
<file path=[Content_Types].xml><?xml version="1.0" encoding="utf-8"?>
<Types xmlns="http://schemas.openxmlformats.org/package/2006/content-types">
  <Override PartName="/xl/worksheets/sheet15.xml" ContentType="application/vnd.openxmlformats-officedocument.spreadsheetml.worksheet+xml"/>
  <Override PartName="/xl/pivotTables/pivotTable6.xml" ContentType="application/vnd.openxmlformats-officedocument.spreadsheetml.pivotTab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4.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5.xml" ContentType="application/vnd.openxmlformats-officedocument.spreadsheetml.pivotCacheRecords+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pivotTables/pivotTable5.xml" ContentType="application/vnd.openxmlformats-officedocument.spreadsheetml.pivotTable+xml"/>
  <Override PartName="/xl/worksheets/sheet14.xml" ContentType="application/vnd.openxmlformats-officedocument.spreadsheetml.worksheet+xml"/>
  <Override PartName="/xl/pivotTables/pivotTable3.xml" ContentType="application/vnd.openxmlformats-officedocument.spreadsheetml.pivot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4580" windowHeight="12015" firstSheet="3" activeTab="8"/>
  </bookViews>
  <sheets>
    <sheet name="7PSourceSummary" sheetId="14" r:id="rId1"/>
    <sheet name="forRPM" sheetId="22" r:id="rId2"/>
    <sheet name="SC-Retro" sheetId="6" r:id="rId3"/>
    <sheet name="M_Input_Out" sheetId="21" r:id="rId4"/>
    <sheet name="M_Input" sheetId="4" r:id="rId5"/>
    <sheet name="Segmented" sheetId="2" r:id="rId6"/>
    <sheet name="Weighting" sheetId="5" r:id="rId7"/>
    <sheet name="Composite" sheetId="3" r:id="rId8"/>
    <sheet name="Raw RTF" sheetId="1" r:id="rId9"/>
    <sheet name="CharacteristicScenariosRH" sheetId="8" r:id="rId10"/>
    <sheet name="Attic" sheetId="9" r:id="rId11"/>
    <sheet name="Window" sheetId="10" r:id="rId12"/>
    <sheet name="FlCrawl" sheetId="11" r:id="rId13"/>
    <sheet name="SFblowerdoor" sheetId="13" r:id="rId14"/>
    <sheet name="RBSA Weights" sheetId="7" r:id="rId15"/>
    <sheet name="Achievements" sheetId="16" r:id="rId16"/>
    <sheet name="savings analysis" sheetId="18" r:id="rId17"/>
    <sheet name="cost analysis" sheetId="17" r:id="rId18"/>
    <sheet name="To Do 7P" sheetId="15" r:id="rId19"/>
  </sheets>
  <externalReferences>
    <externalReference r:id="rId20"/>
    <externalReference r:id="rId21"/>
    <externalReference r:id="rId22"/>
  </externalReferences>
  <definedNames>
    <definedName name="_xlnm._FilterDatabase" localSheetId="9" hidden="1">CharacteristicScenariosRH!$A$754:$J$1283</definedName>
    <definedName name="_xlnm._FilterDatabase" localSheetId="7" hidden="1">Composite!$A$4:$DB$325</definedName>
    <definedName name="_xlnm._FilterDatabase" localSheetId="12" hidden="1">FlCrawl!$A$2:$S$962</definedName>
    <definedName name="_xlnm._FilterDatabase" localSheetId="8" hidden="1">'Raw RTF'!$A$7:$DB$463</definedName>
    <definedName name="_xlnm._FilterDatabase" localSheetId="2" hidden="1">'SC-Retro'!$A$157:$X$217</definedName>
    <definedName name="_xlnm._FilterDatabase" localSheetId="11" hidden="1">Window!$A$1:$J$1800</definedName>
    <definedName name="_Key1" localSheetId="0" hidden="1">#REF!</definedName>
    <definedName name="_Key1" localSheetId="9" hidden="1">#REF!</definedName>
    <definedName name="_Key1" localSheetId="18" hidden="1">#REF!</definedName>
    <definedName name="_Key1" hidden="1">#REF!</definedName>
    <definedName name="_Order1" hidden="1">255</definedName>
    <definedName name="_Sort" localSheetId="0" hidden="1">#REF!</definedName>
    <definedName name="_Sort" localSheetId="9" hidden="1">#REF!</definedName>
    <definedName name="_Sort" localSheetId="18" hidden="1">#REF!</definedName>
    <definedName name="_Sort" hidden="1">#REF!</definedName>
    <definedName name="anscount" hidden="1">1</definedName>
    <definedName name="CBWorkbookPriority" hidden="1">-738590518</definedName>
    <definedName name="limcount" hidden="1">1</definedName>
    <definedName name="MeasureOutput">M_Input_Out!$A$4:$AM$150</definedName>
    <definedName name="ResBase">'[1]Res Forecast (Base Case)'!$C$14:$BD$61</definedName>
    <definedName name="sencount" hidden="1">1</definedName>
    <definedName name="SFblowerdoor">SFblowerdoor!$A$1:$Q$450</definedName>
    <definedName name="sort" hidden="1">#REF!</definedName>
  </definedNames>
  <calcPr calcId="125725"/>
  <pivotCaches>
    <pivotCache cacheId="0" r:id="rId23"/>
    <pivotCache cacheId="1" r:id="rId24"/>
    <pivotCache cacheId="2" r:id="rId25"/>
    <pivotCache cacheId="3" r:id="rId26"/>
    <pivotCache cacheId="4" r:id="rId27"/>
  </pivotCaches>
</workbook>
</file>

<file path=xl/calcChain.xml><?xml version="1.0" encoding="utf-8"?>
<calcChain xmlns="http://schemas.openxmlformats.org/spreadsheetml/2006/main">
  <c r="A385" i="1"/>
  <c r="D9" i="6" l="1"/>
  <c r="D8"/>
  <c r="Y13" s="1"/>
  <c r="C8"/>
  <c r="Y15" l="1"/>
  <c r="Y16"/>
  <c r="Y14"/>
  <c r="M9" i="5"/>
  <c r="M8"/>
  <c r="M7"/>
  <c r="M6"/>
  <c r="M5"/>
  <c r="E21"/>
  <c r="C62" i="22" l="1"/>
  <c r="B62"/>
  <c r="C61"/>
  <c r="B61"/>
  <c r="C60"/>
  <c r="B60"/>
  <c r="C59"/>
  <c r="B59"/>
  <c r="C58"/>
  <c r="B58"/>
  <c r="C57"/>
  <c r="B57"/>
  <c r="C56"/>
  <c r="B56"/>
  <c r="C55"/>
  <c r="B55"/>
  <c r="C54"/>
  <c r="B54"/>
  <c r="C53"/>
  <c r="B53"/>
  <c r="C52"/>
  <c r="B52"/>
  <c r="C51"/>
  <c r="B51"/>
  <c r="C50"/>
  <c r="B50"/>
  <c r="C49"/>
  <c r="B49"/>
  <c r="C48"/>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C9"/>
  <c r="B9"/>
  <c r="C8"/>
  <c r="B8"/>
  <c r="C7"/>
  <c r="B7"/>
  <c r="C6"/>
  <c r="B6"/>
  <c r="C5"/>
  <c r="B5"/>
  <c r="C4"/>
  <c r="B4"/>
  <c r="C3"/>
  <c r="B3"/>
  <c r="AD2"/>
  <c r="AC2"/>
  <c r="AB2"/>
  <c r="AA2"/>
  <c r="Z2"/>
  <c r="Y2"/>
  <c r="X2"/>
  <c r="W2"/>
  <c r="V2"/>
  <c r="U2"/>
  <c r="T2"/>
  <c r="S2"/>
  <c r="R2"/>
  <c r="Q2"/>
  <c r="P2"/>
  <c r="O2"/>
  <c r="N2"/>
  <c r="M2"/>
  <c r="L2"/>
  <c r="K2"/>
  <c r="E273" i="2" l="1"/>
  <c r="F273"/>
  <c r="E182"/>
  <c r="F182"/>
  <c r="E77"/>
  <c r="F77"/>
  <c r="H27" i="5" l="1"/>
  <c r="Q23" i="10" l="1"/>
  <c r="Q24"/>
  <c r="Q25"/>
  <c r="Q26"/>
  <c r="T25" s="1"/>
  <c r="Q27"/>
  <c r="Q28"/>
  <c r="Q29"/>
  <c r="Q30"/>
  <c r="Q31"/>
  <c r="Q32"/>
  <c r="Q33"/>
  <c r="Q34"/>
  <c r="Q35"/>
  <c r="Q36"/>
  <c r="Q37"/>
  <c r="H29" i="5"/>
  <c r="G30"/>
  <c r="G29"/>
  <c r="G28"/>
  <c r="G27"/>
  <c r="F30"/>
  <c r="F29"/>
  <c r="F28"/>
  <c r="F27"/>
  <c r="E30"/>
  <c r="E29"/>
  <c r="E28"/>
  <c r="E27"/>
  <c r="B24" i="6" l="1"/>
  <c r="B29"/>
  <c r="B30"/>
  <c r="B31"/>
  <c r="B32"/>
  <c r="B33"/>
  <c r="B34"/>
  <c r="B36"/>
  <c r="B38"/>
  <c r="B47"/>
  <c r="B48"/>
  <c r="B56"/>
  <c r="B57"/>
  <c r="B60"/>
  <c r="B62"/>
  <c r="B63"/>
  <c r="B64"/>
  <c r="B65"/>
  <c r="B66"/>
  <c r="B67"/>
  <c r="B76"/>
  <c r="B77"/>
  <c r="B78"/>
  <c r="B79"/>
  <c r="B80"/>
  <c r="B81"/>
  <c r="B82"/>
  <c r="B23"/>
  <c r="F343" i="2" l="1"/>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342"/>
  <c r="S2" i="13" l="1"/>
  <c r="O13" i="9" l="1"/>
  <c r="O14"/>
  <c r="O15"/>
  <c r="P13"/>
  <c r="P14"/>
  <c r="P15"/>
  <c r="X12" i="6" l="1"/>
  <c r="W12"/>
  <c r="V12"/>
  <c r="U12"/>
  <c r="T12"/>
  <c r="S12"/>
  <c r="R12"/>
  <c r="Q12"/>
  <c r="P12"/>
  <c r="O12"/>
  <c r="N12"/>
  <c r="M12"/>
  <c r="L12"/>
  <c r="K12"/>
  <c r="J12"/>
  <c r="I12"/>
  <c r="H12"/>
  <c r="G12"/>
  <c r="F12"/>
  <c r="E12"/>
  <c r="F283" i="2"/>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282"/>
  <c r="E18" i="5" l="1"/>
  <c r="E20" s="1"/>
  <c r="E22" l="1"/>
  <c r="G7"/>
  <c r="F7"/>
  <c r="E7"/>
  <c r="G5"/>
  <c r="F5"/>
  <c r="E5"/>
  <c r="G16" i="16"/>
  <c r="H16"/>
  <c r="A1" i="15"/>
  <c r="E7" i="2" l="1"/>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4"/>
  <c r="E275"/>
  <c r="E6"/>
  <c r="F7" l="1"/>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4"/>
  <c r="F275"/>
  <c r="A9" i="1"/>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D274" i="3" s="1"/>
  <c r="A220" i="1"/>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6" i="3"/>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8" i="1"/>
  <c r="A5" i="3"/>
  <c r="F6" i="2"/>
  <c r="S3" i="13" l="1"/>
  <c r="S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R3"/>
  <c r="R4"/>
  <c r="R5"/>
  <c r="R6"/>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T317" s="1"/>
  <c r="R318"/>
  <c r="R319"/>
  <c r="R320"/>
  <c r="R321"/>
  <c r="R322"/>
  <c r="R323"/>
  <c r="R324"/>
  <c r="R325"/>
  <c r="T325" s="1"/>
  <c r="R326"/>
  <c r="R327"/>
  <c r="R328"/>
  <c r="R329"/>
  <c r="R330"/>
  <c r="R331"/>
  <c r="R332"/>
  <c r="R333"/>
  <c r="T333" s="1"/>
  <c r="R334"/>
  <c r="R335"/>
  <c r="R336"/>
  <c r="R337"/>
  <c r="R338"/>
  <c r="R339"/>
  <c r="R340"/>
  <c r="R341"/>
  <c r="T341" s="1"/>
  <c r="R342"/>
  <c r="R343"/>
  <c r="R344"/>
  <c r="R345"/>
  <c r="R346"/>
  <c r="R347"/>
  <c r="R348"/>
  <c r="R349"/>
  <c r="T349" s="1"/>
  <c r="R350"/>
  <c r="R351"/>
  <c r="R352"/>
  <c r="R353"/>
  <c r="R354"/>
  <c r="R355"/>
  <c r="R356"/>
  <c r="R357"/>
  <c r="T357" s="1"/>
  <c r="R358"/>
  <c r="R359"/>
  <c r="R360"/>
  <c r="R361"/>
  <c r="R362"/>
  <c r="R363"/>
  <c r="R364"/>
  <c r="R365"/>
  <c r="T365" s="1"/>
  <c r="R366"/>
  <c r="R367"/>
  <c r="R368"/>
  <c r="R369"/>
  <c r="R370"/>
  <c r="R371"/>
  <c r="R372"/>
  <c r="R373"/>
  <c r="T373" s="1"/>
  <c r="R374"/>
  <c r="R375"/>
  <c r="R376"/>
  <c r="R377"/>
  <c r="R378"/>
  <c r="R379"/>
  <c r="R380"/>
  <c r="R381"/>
  <c r="T381" s="1"/>
  <c r="R382"/>
  <c r="R383"/>
  <c r="R384"/>
  <c r="R385"/>
  <c r="R386"/>
  <c r="R387"/>
  <c r="R388"/>
  <c r="R389"/>
  <c r="T389" s="1"/>
  <c r="R390"/>
  <c r="R391"/>
  <c r="R392"/>
  <c r="R393"/>
  <c r="R394"/>
  <c r="R395"/>
  <c r="R396"/>
  <c r="R397"/>
  <c r="T397" s="1"/>
  <c r="R398"/>
  <c r="R399"/>
  <c r="R400"/>
  <c r="R401"/>
  <c r="R402"/>
  <c r="R403"/>
  <c r="R404"/>
  <c r="R405"/>
  <c r="T405" s="1"/>
  <c r="R406"/>
  <c r="R407"/>
  <c r="R408"/>
  <c r="R409"/>
  <c r="R410"/>
  <c r="R411"/>
  <c r="R412"/>
  <c r="R413"/>
  <c r="T413" s="1"/>
  <c r="R414"/>
  <c r="R415"/>
  <c r="R416"/>
  <c r="R417"/>
  <c r="R418"/>
  <c r="R419"/>
  <c r="R420"/>
  <c r="R421"/>
  <c r="T421" s="1"/>
  <c r="R422"/>
  <c r="R423"/>
  <c r="R424"/>
  <c r="R425"/>
  <c r="R426"/>
  <c r="R427"/>
  <c r="R428"/>
  <c r="R429"/>
  <c r="T429" s="1"/>
  <c r="R430"/>
  <c r="R431"/>
  <c r="R432"/>
  <c r="R433"/>
  <c r="R434"/>
  <c r="R435"/>
  <c r="R436"/>
  <c r="R437"/>
  <c r="T437" s="1"/>
  <c r="R438"/>
  <c r="R439"/>
  <c r="R440"/>
  <c r="R441"/>
  <c r="R442"/>
  <c r="R443"/>
  <c r="R444"/>
  <c r="R445"/>
  <c r="T445" s="1"/>
  <c r="R446"/>
  <c r="R447"/>
  <c r="R448"/>
  <c r="R449"/>
  <c r="R450"/>
  <c r="R2"/>
  <c r="T2" s="1"/>
  <c r="AO15" i="11"/>
  <c r="AN15"/>
  <c r="S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3"/>
  <c r="R14" i="10"/>
  <c r="R13"/>
  <c r="R12"/>
  <c r="R11"/>
  <c r="R10"/>
  <c r="R9"/>
  <c r="T26"/>
  <c r="T24"/>
  <c r="T23"/>
  <c r="U10" l="1"/>
  <c r="T447" i="13"/>
  <c r="T439"/>
  <c r="T431"/>
  <c r="T423"/>
  <c r="T415"/>
  <c r="T407"/>
  <c r="T399"/>
  <c r="T391"/>
  <c r="T383"/>
  <c r="T375"/>
  <c r="T367"/>
  <c r="T359"/>
  <c r="T351"/>
  <c r="T343"/>
  <c r="T335"/>
  <c r="T327"/>
  <c r="T319"/>
  <c r="T279"/>
  <c r="T271"/>
  <c r="T263"/>
  <c r="T255"/>
  <c r="T247"/>
  <c r="T239"/>
  <c r="T231"/>
  <c r="T223"/>
  <c r="T215"/>
  <c r="T207"/>
  <c r="T199"/>
  <c r="T191"/>
  <c r="T183"/>
  <c r="T175"/>
  <c r="T167"/>
  <c r="T159"/>
  <c r="T151"/>
  <c r="T143"/>
  <c r="T135"/>
  <c r="T127"/>
  <c r="T119"/>
  <c r="T111"/>
  <c r="T103"/>
  <c r="T95"/>
  <c r="T87"/>
  <c r="T79"/>
  <c r="T71"/>
  <c r="T63"/>
  <c r="T55"/>
  <c r="T47"/>
  <c r="T39"/>
  <c r="T31"/>
  <c r="T23"/>
  <c r="T15"/>
  <c r="T7"/>
  <c r="T449"/>
  <c r="T441"/>
  <c r="T433"/>
  <c r="T425"/>
  <c r="T417"/>
  <c r="T409"/>
  <c r="T401"/>
  <c r="T393"/>
  <c r="T385"/>
  <c r="T377"/>
  <c r="T369"/>
  <c r="T361"/>
  <c r="T353"/>
  <c r="T345"/>
  <c r="T337"/>
  <c r="T329"/>
  <c r="T321"/>
  <c r="T313"/>
  <c r="T309"/>
  <c r="T305"/>
  <c r="T301"/>
  <c r="T297"/>
  <c r="T293"/>
  <c r="T289"/>
  <c r="T285"/>
  <c r="T443"/>
  <c r="T435"/>
  <c r="T427"/>
  <c r="T419"/>
  <c r="T411"/>
  <c r="T403"/>
  <c r="T395"/>
  <c r="T387"/>
  <c r="T379"/>
  <c r="T371"/>
  <c r="T363"/>
  <c r="T355"/>
  <c r="T347"/>
  <c r="T339"/>
  <c r="T331"/>
  <c r="T323"/>
  <c r="T315"/>
  <c r="T311"/>
  <c r="T307"/>
  <c r="T303"/>
  <c r="T299"/>
  <c r="T295"/>
  <c r="T291"/>
  <c r="T287"/>
  <c r="T283"/>
  <c r="T275"/>
  <c r="T267"/>
  <c r="T259"/>
  <c r="T251"/>
  <c r="T243"/>
  <c r="T235"/>
  <c r="T227"/>
  <c r="T219"/>
  <c r="T211"/>
  <c r="T203"/>
  <c r="T195"/>
  <c r="T187"/>
  <c r="T179"/>
  <c r="T171"/>
  <c r="T163"/>
  <c r="T155"/>
  <c r="T147"/>
  <c r="T139"/>
  <c r="T131"/>
  <c r="T123"/>
  <c r="T115"/>
  <c r="T107"/>
  <c r="T99"/>
  <c r="T91"/>
  <c r="T83"/>
  <c r="T75"/>
  <c r="T67"/>
  <c r="T59"/>
  <c r="T51"/>
  <c r="T43"/>
  <c r="T35"/>
  <c r="T27"/>
  <c r="T19"/>
  <c r="T11"/>
  <c r="T3"/>
  <c r="T448"/>
  <c r="T444"/>
  <c r="T440"/>
  <c r="T436"/>
  <c r="T432"/>
  <c r="T428"/>
  <c r="T424"/>
  <c r="T420"/>
  <c r="T416"/>
  <c r="T412"/>
  <c r="T408"/>
  <c r="T404"/>
  <c r="T400"/>
  <c r="T396"/>
  <c r="T392"/>
  <c r="T388"/>
  <c r="T384"/>
  <c r="T380"/>
  <c r="T376"/>
  <c r="T372"/>
  <c r="T368"/>
  <c r="T364"/>
  <c r="T360"/>
  <c r="T356"/>
  <c r="T352"/>
  <c r="T348"/>
  <c r="T344"/>
  <c r="T340"/>
  <c r="T336"/>
  <c r="T332"/>
  <c r="T328"/>
  <c r="T324"/>
  <c r="T320"/>
  <c r="T316"/>
  <c r="T312"/>
  <c r="T308"/>
  <c r="T304"/>
  <c r="T300"/>
  <c r="T296"/>
  <c r="T292"/>
  <c r="T288"/>
  <c r="T284"/>
  <c r="T280"/>
  <c r="T276"/>
  <c r="T272"/>
  <c r="T268"/>
  <c r="T264"/>
  <c r="T260"/>
  <c r="T256"/>
  <c r="T252"/>
  <c r="T248"/>
  <c r="T244"/>
  <c r="T240"/>
  <c r="T236"/>
  <c r="T232"/>
  <c r="T228"/>
  <c r="T224"/>
  <c r="T220"/>
  <c r="T216"/>
  <c r="T212"/>
  <c r="T208"/>
  <c r="T204"/>
  <c r="T200"/>
  <c r="T196"/>
  <c r="T192"/>
  <c r="T188"/>
  <c r="T184"/>
  <c r="T180"/>
  <c r="T176"/>
  <c r="T172"/>
  <c r="T168"/>
  <c r="T164"/>
  <c r="T160"/>
  <c r="T156"/>
  <c r="T152"/>
  <c r="T148"/>
  <c r="T144"/>
  <c r="T140"/>
  <c r="T136"/>
  <c r="T132"/>
  <c r="T128"/>
  <c r="T124"/>
  <c r="T120"/>
  <c r="T116"/>
  <c r="T112"/>
  <c r="T108"/>
  <c r="T104"/>
  <c r="T100"/>
  <c r="T96"/>
  <c r="T92"/>
  <c r="T88"/>
  <c r="T84"/>
  <c r="T80"/>
  <c r="T76"/>
  <c r="T72"/>
  <c r="T68"/>
  <c r="T64"/>
  <c r="T60"/>
  <c r="T56"/>
  <c r="T52"/>
  <c r="T48"/>
  <c r="T44"/>
  <c r="T40"/>
  <c r="T36"/>
  <c r="T32"/>
  <c r="T28"/>
  <c r="T24"/>
  <c r="T20"/>
  <c r="T16"/>
  <c r="T12"/>
  <c r="T8"/>
  <c r="T4"/>
  <c r="U9" i="10"/>
  <c r="T450" i="13"/>
  <c r="T446"/>
  <c r="T442"/>
  <c r="T438"/>
  <c r="T434"/>
  <c r="T430"/>
  <c r="T426"/>
  <c r="T422"/>
  <c r="T418"/>
  <c r="T414"/>
  <c r="T410"/>
  <c r="T406"/>
  <c r="T402"/>
  <c r="T398"/>
  <c r="T394"/>
  <c r="T390"/>
  <c r="T386"/>
  <c r="T382"/>
  <c r="T378"/>
  <c r="T374"/>
  <c r="T370"/>
  <c r="T366"/>
  <c r="T362"/>
  <c r="T358"/>
  <c r="T354"/>
  <c r="T350"/>
  <c r="T346"/>
  <c r="T342"/>
  <c r="T338"/>
  <c r="T334"/>
  <c r="T330"/>
  <c r="T326"/>
  <c r="T322"/>
  <c r="T318"/>
  <c r="T314"/>
  <c r="T310"/>
  <c r="T306"/>
  <c r="T302"/>
  <c r="T298"/>
  <c r="T294"/>
  <c r="T290"/>
  <c r="T286"/>
  <c r="T282"/>
  <c r="T278"/>
  <c r="T274"/>
  <c r="T270"/>
  <c r="T266"/>
  <c r="T262"/>
  <c r="T258"/>
  <c r="T254"/>
  <c r="T250"/>
  <c r="T246"/>
  <c r="T242"/>
  <c r="T238"/>
  <c r="T234"/>
  <c r="T230"/>
  <c r="T226"/>
  <c r="T222"/>
  <c r="T218"/>
  <c r="T214"/>
  <c r="T210"/>
  <c r="T206"/>
  <c r="T202"/>
  <c r="T198"/>
  <c r="T194"/>
  <c r="T190"/>
  <c r="T186"/>
  <c r="T182"/>
  <c r="T178"/>
  <c r="T174"/>
  <c r="T170"/>
  <c r="T166"/>
  <c r="T162"/>
  <c r="T158"/>
  <c r="T154"/>
  <c r="T150"/>
  <c r="T146"/>
  <c r="T142"/>
  <c r="T138"/>
  <c r="T134"/>
  <c r="T130"/>
  <c r="T126"/>
  <c r="T122"/>
  <c r="T118"/>
  <c r="T114"/>
  <c r="T110"/>
  <c r="T106"/>
  <c r="T102"/>
  <c r="T98"/>
  <c r="T94"/>
  <c r="T90"/>
  <c r="T86"/>
  <c r="T82"/>
  <c r="T78"/>
  <c r="T74"/>
  <c r="T70"/>
  <c r="T66"/>
  <c r="T62"/>
  <c r="T58"/>
  <c r="T54"/>
  <c r="T50"/>
  <c r="T46"/>
  <c r="T42"/>
  <c r="T38"/>
  <c r="T34"/>
  <c r="T30"/>
  <c r="T26"/>
  <c r="T22"/>
  <c r="T18"/>
  <c r="T14"/>
  <c r="T10"/>
  <c r="T6"/>
  <c r="AP15" i="11"/>
  <c r="T281" i="13"/>
  <c r="T277"/>
  <c r="T273"/>
  <c r="T269"/>
  <c r="T265"/>
  <c r="T261"/>
  <c r="T257"/>
  <c r="T253"/>
  <c r="T249"/>
  <c r="T245"/>
  <c r="T241"/>
  <c r="T237"/>
  <c r="T233"/>
  <c r="T229"/>
  <c r="T225"/>
  <c r="T221"/>
  <c r="T217"/>
  <c r="T213"/>
  <c r="T209"/>
  <c r="T205"/>
  <c r="T201"/>
  <c r="T197"/>
  <c r="T193"/>
  <c r="T189"/>
  <c r="T185"/>
  <c r="T181"/>
  <c r="T177"/>
  <c r="T173"/>
  <c r="T169"/>
  <c r="T165"/>
  <c r="T161"/>
  <c r="T157"/>
  <c r="T153"/>
  <c r="T149"/>
  <c r="T145"/>
  <c r="T141"/>
  <c r="T137"/>
  <c r="T133"/>
  <c r="T129"/>
  <c r="T125"/>
  <c r="T121"/>
  <c r="T117"/>
  <c r="T113"/>
  <c r="T109"/>
  <c r="T105"/>
  <c r="T101"/>
  <c r="T97"/>
  <c r="T93"/>
  <c r="T89"/>
  <c r="T85"/>
  <c r="T81"/>
  <c r="T77"/>
  <c r="T73"/>
  <c r="T69"/>
  <c r="T65"/>
  <c r="T61"/>
  <c r="T57"/>
  <c r="T53"/>
  <c r="T49"/>
  <c r="T45"/>
  <c r="T41"/>
  <c r="T37"/>
  <c r="T33"/>
  <c r="T29"/>
  <c r="T25"/>
  <c r="T21"/>
  <c r="T17"/>
  <c r="T13"/>
  <c r="T9"/>
  <c r="T5"/>
  <c r="J3" i="10"/>
  <c r="J4"/>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214"/>
  <c r="J1215"/>
  <c r="J1216"/>
  <c r="J1217"/>
  <c r="J1218"/>
  <c r="J1219"/>
  <c r="J1220"/>
  <c r="J1221"/>
  <c r="J1222"/>
  <c r="J1223"/>
  <c r="J1224"/>
  <c r="J1225"/>
  <c r="J1226"/>
  <c r="J1227"/>
  <c r="J1228"/>
  <c r="J1229"/>
  <c r="J1230"/>
  <c r="J1231"/>
  <c r="J1232"/>
  <c r="J1233"/>
  <c r="J1234"/>
  <c r="J1235"/>
  <c r="J1236"/>
  <c r="J1237"/>
  <c r="J1238"/>
  <c r="J1239"/>
  <c r="J1240"/>
  <c r="J1241"/>
  <c r="J1242"/>
  <c r="J1243"/>
  <c r="J1244"/>
  <c r="J1245"/>
  <c r="J1246"/>
  <c r="J1247"/>
  <c r="J1248"/>
  <c r="J1249"/>
  <c r="J1250"/>
  <c r="J1251"/>
  <c r="J1252"/>
  <c r="J1253"/>
  <c r="J1254"/>
  <c r="J1255"/>
  <c r="J1256"/>
  <c r="J1257"/>
  <c r="J1258"/>
  <c r="J1259"/>
  <c r="J1260"/>
  <c r="J1261"/>
  <c r="J1262"/>
  <c r="J1263"/>
  <c r="J1264"/>
  <c r="J1265"/>
  <c r="J1266"/>
  <c r="J1267"/>
  <c r="J1268"/>
  <c r="J1269"/>
  <c r="J1270"/>
  <c r="J1271"/>
  <c r="J1272"/>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402"/>
  <c r="J1403"/>
  <c r="J1404"/>
  <c r="J1405"/>
  <c r="J1406"/>
  <c r="J1407"/>
  <c r="J1408"/>
  <c r="J1409"/>
  <c r="J1410"/>
  <c r="J1411"/>
  <c r="J1412"/>
  <c r="J1413"/>
  <c r="J1414"/>
  <c r="J1415"/>
  <c r="J1416"/>
  <c r="J1417"/>
  <c r="J1418"/>
  <c r="J1419"/>
  <c r="J1420"/>
  <c r="J1421"/>
  <c r="J1422"/>
  <c r="J1423"/>
  <c r="J1424"/>
  <c r="J1425"/>
  <c r="J1426"/>
  <c r="J1427"/>
  <c r="J1428"/>
  <c r="J1429"/>
  <c r="J1430"/>
  <c r="J1431"/>
  <c r="J1432"/>
  <c r="J1433"/>
  <c r="J1434"/>
  <c r="J1435"/>
  <c r="J1436"/>
  <c r="J1437"/>
  <c r="J1438"/>
  <c r="J1439"/>
  <c r="J1440"/>
  <c r="J1441"/>
  <c r="J1442"/>
  <c r="J1443"/>
  <c r="J1444"/>
  <c r="J1445"/>
  <c r="J1446"/>
  <c r="J1447"/>
  <c r="J1448"/>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1492"/>
  <c r="J1493"/>
  <c r="J1494"/>
  <c r="J1495"/>
  <c r="J1496"/>
  <c r="J1497"/>
  <c r="J1498"/>
  <c r="J1499"/>
  <c r="J1500"/>
  <c r="J1501"/>
  <c r="J1502"/>
  <c r="J1503"/>
  <c r="J1504"/>
  <c r="J1505"/>
  <c r="J1506"/>
  <c r="J1507"/>
  <c r="J1508"/>
  <c r="J1509"/>
  <c r="J1510"/>
  <c r="J1511"/>
  <c r="J1512"/>
  <c r="J1513"/>
  <c r="J1514"/>
  <c r="J1515"/>
  <c r="J1516"/>
  <c r="J1517"/>
  <c r="J1518"/>
  <c r="J1519"/>
  <c r="J1520"/>
  <c r="J1521"/>
  <c r="J1522"/>
  <c r="J1523"/>
  <c r="J1524"/>
  <c r="J1525"/>
  <c r="J1526"/>
  <c r="J1527"/>
  <c r="J1528"/>
  <c r="J1529"/>
  <c r="J1530"/>
  <c r="J1531"/>
  <c r="J1532"/>
  <c r="J1533"/>
  <c r="J1534"/>
  <c r="J1535"/>
  <c r="J1536"/>
  <c r="J1537"/>
  <c r="J1538"/>
  <c r="J1539"/>
  <c r="J1540"/>
  <c r="J1541"/>
  <c r="J1542"/>
  <c r="J1543"/>
  <c r="J1544"/>
  <c r="J1545"/>
  <c r="J1546"/>
  <c r="J1547"/>
  <c r="J1548"/>
  <c r="J1549"/>
  <c r="J1550"/>
  <c r="J1551"/>
  <c r="J1552"/>
  <c r="J1553"/>
  <c r="J1554"/>
  <c r="J1555"/>
  <c r="J1556"/>
  <c r="J1557"/>
  <c r="J1558"/>
  <c r="J1559"/>
  <c r="J1560"/>
  <c r="J1561"/>
  <c r="J1562"/>
  <c r="J1563"/>
  <c r="J1564"/>
  <c r="J1565"/>
  <c r="J1566"/>
  <c r="J1567"/>
  <c r="J1568"/>
  <c r="J1569"/>
  <c r="J1570"/>
  <c r="J1571"/>
  <c r="J1572"/>
  <c r="J1573"/>
  <c r="J1574"/>
  <c r="J1575"/>
  <c r="J1576"/>
  <c r="J1577"/>
  <c r="J1578"/>
  <c r="J1579"/>
  <c r="J1580"/>
  <c r="J1581"/>
  <c r="J1582"/>
  <c r="J1583"/>
  <c r="J1584"/>
  <c r="J1585"/>
  <c r="J1586"/>
  <c r="J1587"/>
  <c r="J1588"/>
  <c r="J1589"/>
  <c r="J1590"/>
  <c r="J1591"/>
  <c r="J1592"/>
  <c r="J1593"/>
  <c r="J1594"/>
  <c r="J1595"/>
  <c r="J1596"/>
  <c r="J1597"/>
  <c r="J1598"/>
  <c r="J1599"/>
  <c r="J1600"/>
  <c r="J1601"/>
  <c r="J1602"/>
  <c r="J1603"/>
  <c r="J1604"/>
  <c r="J1605"/>
  <c r="J1606"/>
  <c r="J1607"/>
  <c r="J1608"/>
  <c r="J1609"/>
  <c r="J1610"/>
  <c r="J1611"/>
  <c r="J1612"/>
  <c r="J1613"/>
  <c r="J1614"/>
  <c r="J1615"/>
  <c r="J1616"/>
  <c r="J1617"/>
  <c r="J1618"/>
  <c r="J1619"/>
  <c r="J1620"/>
  <c r="J1621"/>
  <c r="J1622"/>
  <c r="J1623"/>
  <c r="J1624"/>
  <c r="J1625"/>
  <c r="J1626"/>
  <c r="J1627"/>
  <c r="J1628"/>
  <c r="J1629"/>
  <c r="J1630"/>
  <c r="J1631"/>
  <c r="J1632"/>
  <c r="J1633"/>
  <c r="J1634"/>
  <c r="J1635"/>
  <c r="J1636"/>
  <c r="J1637"/>
  <c r="J1638"/>
  <c r="J1639"/>
  <c r="J1640"/>
  <c r="J1641"/>
  <c r="J1642"/>
  <c r="J1643"/>
  <c r="J1644"/>
  <c r="J1645"/>
  <c r="J1646"/>
  <c r="J1647"/>
  <c r="J1648"/>
  <c r="J1649"/>
  <c r="J1650"/>
  <c r="J1651"/>
  <c r="J1652"/>
  <c r="J1653"/>
  <c r="J1654"/>
  <c r="J1655"/>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7"/>
  <c r="J1708"/>
  <c r="J1709"/>
  <c r="J1710"/>
  <c r="J1711"/>
  <c r="J1712"/>
  <c r="J1713"/>
  <c r="J1714"/>
  <c r="J1715"/>
  <c r="J1716"/>
  <c r="J1717"/>
  <c r="J1718"/>
  <c r="J1719"/>
  <c r="J1720"/>
  <c r="J1721"/>
  <c r="J1722"/>
  <c r="J1723"/>
  <c r="J1724"/>
  <c r="J1725"/>
  <c r="J1726"/>
  <c r="J1727"/>
  <c r="J1728"/>
  <c r="J1729"/>
  <c r="J1730"/>
  <c r="J1731"/>
  <c r="J1732"/>
  <c r="J1733"/>
  <c r="J1734"/>
  <c r="J1735"/>
  <c r="J1736"/>
  <c r="J1737"/>
  <c r="J1738"/>
  <c r="J1739"/>
  <c r="J1740"/>
  <c r="J1741"/>
  <c r="J1742"/>
  <c r="J1743"/>
  <c r="J1744"/>
  <c r="J1745"/>
  <c r="J1746"/>
  <c r="J1747"/>
  <c r="J1748"/>
  <c r="J1749"/>
  <c r="J1750"/>
  <c r="J1751"/>
  <c r="J1752"/>
  <c r="J1753"/>
  <c r="J1754"/>
  <c r="J1755"/>
  <c r="J1756"/>
  <c r="J1757"/>
  <c r="J1758"/>
  <c r="J1759"/>
  <c r="J1760"/>
  <c r="J1761"/>
  <c r="J1762"/>
  <c r="J1763"/>
  <c r="J1764"/>
  <c r="J1765"/>
  <c r="J1766"/>
  <c r="J1767"/>
  <c r="J1768"/>
  <c r="J1769"/>
  <c r="J1770"/>
  <c r="J1771"/>
  <c r="J1772"/>
  <c r="J1773"/>
  <c r="J1774"/>
  <c r="J1775"/>
  <c r="J1776"/>
  <c r="J1777"/>
  <c r="J1778"/>
  <c r="J1779"/>
  <c r="J1780"/>
  <c r="J1781"/>
  <c r="J1782"/>
  <c r="J1783"/>
  <c r="J1784"/>
  <c r="J1785"/>
  <c r="J1786"/>
  <c r="J1787"/>
  <c r="J1788"/>
  <c r="J1789"/>
  <c r="J1790"/>
  <c r="J1791"/>
  <c r="J1792"/>
  <c r="J1793"/>
  <c r="J1794"/>
  <c r="J1795"/>
  <c r="J1796"/>
  <c r="J1797"/>
  <c r="J1798"/>
  <c r="J1799"/>
  <c r="J1800"/>
  <c r="J2"/>
  <c r="U2" i="13" l="1"/>
  <c r="A22" i="4"/>
  <c r="A37"/>
  <c r="A52"/>
  <c r="A67"/>
  <c r="A82"/>
  <c r="A97"/>
  <c r="A112"/>
  <c r="A69"/>
  <c r="A70"/>
  <c r="A71"/>
  <c r="A72"/>
  <c r="A73"/>
  <c r="A74"/>
  <c r="A75"/>
  <c r="A76"/>
  <c r="A77"/>
  <c r="A78"/>
  <c r="A79"/>
  <c r="A80"/>
  <c r="A81"/>
  <c r="A83"/>
  <c r="A84"/>
  <c r="A85"/>
  <c r="A86"/>
  <c r="A87"/>
  <c r="A88"/>
  <c r="A89"/>
  <c r="A90"/>
  <c r="A91"/>
  <c r="A92"/>
  <c r="A93"/>
  <c r="A94"/>
  <c r="A95"/>
  <c r="A96"/>
  <c r="A98"/>
  <c r="A99"/>
  <c r="A100"/>
  <c r="A101"/>
  <c r="A102"/>
  <c r="A103"/>
  <c r="A104"/>
  <c r="A105"/>
  <c r="A106"/>
  <c r="A107"/>
  <c r="A108"/>
  <c r="A109"/>
  <c r="A110"/>
  <c r="A111"/>
  <c r="A113"/>
  <c r="A114"/>
  <c r="A115"/>
  <c r="A116"/>
  <c r="A117"/>
  <c r="A118"/>
  <c r="A119"/>
  <c r="A120"/>
  <c r="A121"/>
  <c r="A122"/>
  <c r="A123"/>
  <c r="A124"/>
  <c r="A125"/>
  <c r="A126"/>
  <c r="A127"/>
  <c r="A68"/>
  <c r="A9"/>
  <c r="A10"/>
  <c r="A11"/>
  <c r="A12"/>
  <c r="A13"/>
  <c r="A14"/>
  <c r="A15"/>
  <c r="A16"/>
  <c r="A17"/>
  <c r="A18"/>
  <c r="A19"/>
  <c r="A20"/>
  <c r="A21"/>
  <c r="A23"/>
  <c r="A24"/>
  <c r="A25"/>
  <c r="A26"/>
  <c r="A27"/>
  <c r="A28"/>
  <c r="A29"/>
  <c r="A30"/>
  <c r="A31"/>
  <c r="A32"/>
  <c r="A33"/>
  <c r="A34"/>
  <c r="A35"/>
  <c r="A36"/>
  <c r="A38"/>
  <c r="A39"/>
  <c r="A40"/>
  <c r="A41"/>
  <c r="A42"/>
  <c r="A43"/>
  <c r="A44"/>
  <c r="A45"/>
  <c r="A46"/>
  <c r="A47"/>
  <c r="A48"/>
  <c r="A49"/>
  <c r="A50"/>
  <c r="A51"/>
  <c r="A53"/>
  <c r="A54"/>
  <c r="A55"/>
  <c r="A56"/>
  <c r="A57"/>
  <c r="A58"/>
  <c r="A59"/>
  <c r="A60"/>
  <c r="A61"/>
  <c r="A62"/>
  <c r="A63"/>
  <c r="A64"/>
  <c r="A65"/>
  <c r="A66"/>
  <c r="A8"/>
  <c r="B127"/>
  <c r="B126"/>
  <c r="B125"/>
  <c r="B124"/>
  <c r="B123"/>
  <c r="B122"/>
  <c r="B121"/>
  <c r="B120"/>
  <c r="B119"/>
  <c r="B118"/>
  <c r="B117"/>
  <c r="B116"/>
  <c r="B115"/>
  <c r="B114"/>
  <c r="B113"/>
  <c r="B112"/>
  <c r="B111"/>
  <c r="B110"/>
  <c r="B109"/>
  <c r="B108"/>
  <c r="B107"/>
  <c r="B106"/>
  <c r="B105"/>
  <c r="B104"/>
  <c r="B103"/>
  <c r="B102"/>
  <c r="B101"/>
  <c r="B100"/>
  <c r="B99"/>
  <c r="B98"/>
  <c r="B95"/>
  <c r="B96"/>
  <c r="B97"/>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8"/>
  <c r="D160" i="6" l="1"/>
  <c r="J5" i="22" s="1"/>
  <c r="D215" i="6"/>
  <c r="J60" i="22" s="1"/>
  <c r="D211" i="6"/>
  <c r="J56" i="22" s="1"/>
  <c r="D208" i="6"/>
  <c r="J53" i="22" s="1"/>
  <c r="D204" i="6"/>
  <c r="J49" i="22" s="1"/>
  <c r="D189" i="6"/>
  <c r="J34" i="22" s="1"/>
  <c r="D182" i="6"/>
  <c r="J27" i="22" s="1"/>
  <c r="D175" i="6"/>
  <c r="J20" i="22" s="1"/>
  <c r="D167" i="6"/>
  <c r="J12" i="22" s="1"/>
  <c r="D161" i="6"/>
  <c r="J6" i="22" s="1"/>
  <c r="D212" i="6"/>
  <c r="J57" i="22" s="1"/>
  <c r="D205" i="6"/>
  <c r="J50" i="22" s="1"/>
  <c r="D200" i="6"/>
  <c r="J45" i="22" s="1"/>
  <c r="D183" i="6"/>
  <c r="J28" i="22" s="1"/>
  <c r="D176" i="6"/>
  <c r="J21" i="22" s="1"/>
  <c r="D162" i="6"/>
  <c r="J7" i="22" s="1"/>
  <c r="D217" i="6"/>
  <c r="J62" i="22" s="1"/>
  <c r="D213" i="6"/>
  <c r="J58" i="22" s="1"/>
  <c r="D210" i="6"/>
  <c r="J55" i="22" s="1"/>
  <c r="D206" i="6"/>
  <c r="J51" i="22" s="1"/>
  <c r="D201" i="6"/>
  <c r="J46" i="22" s="1"/>
  <c r="D197" i="6"/>
  <c r="J42" i="22" s="1"/>
  <c r="D184" i="6"/>
  <c r="J29" i="22" s="1"/>
  <c r="D181" i="6"/>
  <c r="J26" i="22" s="1"/>
  <c r="D177" i="6"/>
  <c r="J22" i="22" s="1"/>
  <c r="D173" i="6"/>
  <c r="J18" i="22" s="1"/>
  <c r="D165" i="6"/>
  <c r="J10" i="22" s="1"/>
  <c r="D216" i="6"/>
  <c r="J61" i="22" s="1"/>
  <c r="D209" i="6"/>
  <c r="J54" i="22" s="1"/>
  <c r="D202" i="6"/>
  <c r="J47" i="22" s="1"/>
  <c r="D192" i="6"/>
  <c r="J37" i="22" s="1"/>
  <c r="D187" i="6"/>
  <c r="J32" i="22" s="1"/>
  <c r="D180" i="6"/>
  <c r="J25" i="22" s="1"/>
  <c r="D172" i="6"/>
  <c r="J17" i="22" s="1"/>
  <c r="D164" i="6"/>
  <c r="J9" i="22" s="1"/>
  <c r="D214" i="6"/>
  <c r="J59" i="22" s="1"/>
  <c r="D207" i="6"/>
  <c r="J52" i="22" s="1"/>
  <c r="D203" i="6"/>
  <c r="J48" i="22" s="1"/>
  <c r="D198" i="6"/>
  <c r="J43" i="22" s="1"/>
  <c r="D190" i="6"/>
  <c r="J35" i="22" s="1"/>
  <c r="D188" i="6"/>
  <c r="J33" i="22" s="1"/>
  <c r="D185" i="6"/>
  <c r="J30" i="22" s="1"/>
  <c r="D178" i="6"/>
  <c r="J23" i="22" s="1"/>
  <c r="D174" i="6"/>
  <c r="J19" i="22" s="1"/>
  <c r="D166" i="6"/>
  <c r="J11" i="22" s="1"/>
  <c r="D196" i="6"/>
  <c r="J41" i="22" s="1"/>
  <c r="D168" i="6"/>
  <c r="J13" i="22" s="1"/>
  <c r="D191" i="6"/>
  <c r="J36" i="22" s="1"/>
  <c r="D193" i="6"/>
  <c r="J38" i="22" s="1"/>
  <c r="D195" i="6"/>
  <c r="J40" i="22" s="1"/>
  <c r="D199" i="6"/>
  <c r="J44" i="22" s="1"/>
  <c r="D169" i="6"/>
  <c r="J14" i="22" s="1"/>
  <c r="D194" i="6"/>
  <c r="J39" i="22" s="1"/>
  <c r="D186" i="6"/>
  <c r="J31" i="22" s="1"/>
  <c r="D179" i="6"/>
  <c r="J24" i="22" s="1"/>
  <c r="D171" i="6"/>
  <c r="J16" i="22" s="1"/>
  <c r="D163" i="6"/>
  <c r="J8" i="22" s="1"/>
  <c r="D159" i="6"/>
  <c r="J4" i="22" s="1"/>
  <c r="D158" i="6"/>
  <c r="J3" i="22" s="1"/>
  <c r="D170" i="6"/>
  <c r="J15" i="22" s="1"/>
  <c r="AX8" l="1"/>
  <c r="AW8"/>
  <c r="AK8"/>
  <c r="F8"/>
  <c r="AT8"/>
  <c r="AJ8"/>
  <c r="AN8"/>
  <c r="BC8"/>
  <c r="BB8"/>
  <c r="AF8"/>
  <c r="BA8"/>
  <c r="AS8"/>
  <c r="AO8"/>
  <c r="AM8"/>
  <c r="BD8"/>
  <c r="AU8"/>
  <c r="AV8"/>
  <c r="AL8"/>
  <c r="AG8"/>
  <c r="AQ8"/>
  <c r="AH8"/>
  <c r="AY8"/>
  <c r="AP8"/>
  <c r="AI8"/>
  <c r="AZ8"/>
  <c r="BC38"/>
  <c r="AS38"/>
  <c r="AG38"/>
  <c r="F38"/>
  <c r="AX38"/>
  <c r="AJ38"/>
  <c r="AW38"/>
  <c r="AF38"/>
  <c r="AO38"/>
  <c r="BA38"/>
  <c r="AN38"/>
  <c r="AK38"/>
  <c r="AT38"/>
  <c r="AQ38"/>
  <c r="AU38"/>
  <c r="BB38"/>
  <c r="AM38"/>
  <c r="AL38"/>
  <c r="AV38"/>
  <c r="AP38"/>
  <c r="AZ38"/>
  <c r="AY38"/>
  <c r="BD38"/>
  <c r="AH38"/>
  <c r="AI38"/>
  <c r="BD33"/>
  <c r="AH33"/>
  <c r="AY33"/>
  <c r="AS33"/>
  <c r="AG33"/>
  <c r="AX33"/>
  <c r="AV33"/>
  <c r="BC33"/>
  <c r="AW33"/>
  <c r="AT33"/>
  <c r="AI33"/>
  <c r="F33"/>
  <c r="AL33"/>
  <c r="AF33"/>
  <c r="BA33"/>
  <c r="BB33"/>
  <c r="AM33"/>
  <c r="AP33"/>
  <c r="AJ33"/>
  <c r="AK33"/>
  <c r="AQ33"/>
  <c r="AU33"/>
  <c r="AO33"/>
  <c r="AZ33"/>
  <c r="AN33"/>
  <c r="BC54"/>
  <c r="AO54"/>
  <c r="AN54"/>
  <c r="AW54"/>
  <c r="AG54"/>
  <c r="AF54"/>
  <c r="AX54"/>
  <c r="F54"/>
  <c r="AK54"/>
  <c r="AT54"/>
  <c r="AJ54"/>
  <c r="AM54"/>
  <c r="BD54"/>
  <c r="AP54"/>
  <c r="BB54"/>
  <c r="AS54"/>
  <c r="AQ54"/>
  <c r="AL54"/>
  <c r="BA54"/>
  <c r="AV54"/>
  <c r="AU54"/>
  <c r="AZ54"/>
  <c r="AY54"/>
  <c r="AI54"/>
  <c r="AH54"/>
  <c r="BD45"/>
  <c r="F45"/>
  <c r="AT45"/>
  <c r="AJ45"/>
  <c r="BA45"/>
  <c r="AP45"/>
  <c r="AK45"/>
  <c r="AM45"/>
  <c r="AF45"/>
  <c r="AH45"/>
  <c r="BC45"/>
  <c r="AZ45"/>
  <c r="AG45"/>
  <c r="AN45"/>
  <c r="AL45"/>
  <c r="AO45"/>
  <c r="AI45"/>
  <c r="AS45"/>
  <c r="AU45"/>
  <c r="AX45"/>
  <c r="AQ45"/>
  <c r="AW45"/>
  <c r="AY45"/>
  <c r="BB45"/>
  <c r="AV45"/>
  <c r="BC39"/>
  <c r="AX39"/>
  <c r="AM39"/>
  <c r="BB39"/>
  <c r="AK39"/>
  <c r="F39"/>
  <c r="AW39"/>
  <c r="AG39"/>
  <c r="AS39"/>
  <c r="AF39"/>
  <c r="BD39"/>
  <c r="AQ39"/>
  <c r="BA39"/>
  <c r="AI39"/>
  <c r="AJ39"/>
  <c r="AN39"/>
  <c r="AV39"/>
  <c r="AH39"/>
  <c r="AY39"/>
  <c r="AT39"/>
  <c r="AL39"/>
  <c r="AZ39"/>
  <c r="AP39"/>
  <c r="AU39"/>
  <c r="AO39"/>
  <c r="BD11"/>
  <c r="AF11"/>
  <c r="AW11"/>
  <c r="AP11"/>
  <c r="AK11"/>
  <c r="BB11"/>
  <c r="AM11"/>
  <c r="AN11"/>
  <c r="AY11"/>
  <c r="F11"/>
  <c r="AJ11"/>
  <c r="BA11"/>
  <c r="AU11"/>
  <c r="AO11"/>
  <c r="AQ11"/>
  <c r="AH11"/>
  <c r="AT11"/>
  <c r="AV11"/>
  <c r="AX11"/>
  <c r="AI11"/>
  <c r="BC11"/>
  <c r="AS11"/>
  <c r="AL11"/>
  <c r="AZ11"/>
  <c r="AG11"/>
  <c r="BA52"/>
  <c r="AM52"/>
  <c r="F52"/>
  <c r="AI52"/>
  <c r="BD52"/>
  <c r="AZ52"/>
  <c r="AQ52"/>
  <c r="AP52"/>
  <c r="AU52"/>
  <c r="AV52"/>
  <c r="AY52"/>
  <c r="AK52"/>
  <c r="BB52"/>
  <c r="AF52"/>
  <c r="AW52"/>
  <c r="BC52"/>
  <c r="AT52"/>
  <c r="AJ52"/>
  <c r="AX52"/>
  <c r="AN52"/>
  <c r="AH52"/>
  <c r="AG52"/>
  <c r="AS52"/>
  <c r="AL52"/>
  <c r="AO52"/>
  <c r="BD25"/>
  <c r="F25"/>
  <c r="AJ25"/>
  <c r="BA25"/>
  <c r="AP25"/>
  <c r="AO25"/>
  <c r="AM25"/>
  <c r="AT25"/>
  <c r="AN25"/>
  <c r="AH25"/>
  <c r="AG25"/>
  <c r="AV25"/>
  <c r="BB25"/>
  <c r="AS25"/>
  <c r="AU25"/>
  <c r="AX25"/>
  <c r="AZ25"/>
  <c r="AW25"/>
  <c r="AY25"/>
  <c r="AI25"/>
  <c r="BC25"/>
  <c r="AK25"/>
  <c r="AF25"/>
  <c r="AL25"/>
  <c r="AQ25"/>
  <c r="AZ22"/>
  <c r="AQ22"/>
  <c r="AM22"/>
  <c r="AI22"/>
  <c r="AV22"/>
  <c r="BA22"/>
  <c r="AH22"/>
  <c r="AY22"/>
  <c r="AK22"/>
  <c r="BB22"/>
  <c r="AJ22"/>
  <c r="AT22"/>
  <c r="AS22"/>
  <c r="AL22"/>
  <c r="BC22"/>
  <c r="AO22"/>
  <c r="AN22"/>
  <c r="AP22"/>
  <c r="F22"/>
  <c r="AG22"/>
  <c r="AF22"/>
  <c r="BD22"/>
  <c r="AU22"/>
  <c r="AX22"/>
  <c r="AW22"/>
  <c r="BC46"/>
  <c r="AN46"/>
  <c r="AX46"/>
  <c r="AG46"/>
  <c r="F46"/>
  <c r="AW46"/>
  <c r="AO46"/>
  <c r="AF46"/>
  <c r="BB46"/>
  <c r="AS46"/>
  <c r="BA46"/>
  <c r="AV46"/>
  <c r="AH46"/>
  <c r="AY46"/>
  <c r="AK46"/>
  <c r="AJ46"/>
  <c r="AI46"/>
  <c r="BD46"/>
  <c r="AM46"/>
  <c r="AL46"/>
  <c r="AT46"/>
  <c r="AQ46"/>
  <c r="AP46"/>
  <c r="AZ46"/>
  <c r="AU46"/>
  <c r="BC62"/>
  <c r="AQ62"/>
  <c r="AK62"/>
  <c r="BB62"/>
  <c r="AW62"/>
  <c r="AF62"/>
  <c r="AO62"/>
  <c r="AN62"/>
  <c r="AM62"/>
  <c r="AH62"/>
  <c r="AY62"/>
  <c r="AJ62"/>
  <c r="BA62"/>
  <c r="AT62"/>
  <c r="AS62"/>
  <c r="AL62"/>
  <c r="AX62"/>
  <c r="BD62"/>
  <c r="AZ62"/>
  <c r="F62"/>
  <c r="AP62"/>
  <c r="AV62"/>
  <c r="AI62"/>
  <c r="AG62"/>
  <c r="AU62"/>
  <c r="BB12"/>
  <c r="BA12"/>
  <c r="AO12"/>
  <c r="AF12"/>
  <c r="AX12"/>
  <c r="AN12"/>
  <c r="F12"/>
  <c r="AS12"/>
  <c r="AG12"/>
  <c r="AW12"/>
  <c r="AJ12"/>
  <c r="AT12"/>
  <c r="AK12"/>
  <c r="AQ12"/>
  <c r="AH12"/>
  <c r="AY12"/>
  <c r="AZ12"/>
  <c r="AP12"/>
  <c r="AV12"/>
  <c r="AL12"/>
  <c r="BC12"/>
  <c r="AI12"/>
  <c r="AM12"/>
  <c r="BD12"/>
  <c r="AU12"/>
  <c r="BD49"/>
  <c r="AY49"/>
  <c r="F49"/>
  <c r="BC49"/>
  <c r="AO49"/>
  <c r="AN49"/>
  <c r="AL49"/>
  <c r="AK49"/>
  <c r="AQ49"/>
  <c r="AW49"/>
  <c r="AX49"/>
  <c r="AI49"/>
  <c r="AF49"/>
  <c r="BA49"/>
  <c r="AU49"/>
  <c r="BB49"/>
  <c r="AM49"/>
  <c r="AH49"/>
  <c r="AJ49"/>
  <c r="AG49"/>
  <c r="AV49"/>
  <c r="AP49"/>
  <c r="AZ49"/>
  <c r="AT49"/>
  <c r="AS49"/>
  <c r="BA5"/>
  <c r="AN5"/>
  <c r="AZ5"/>
  <c r="F5"/>
  <c r="AG5"/>
  <c r="BD5"/>
  <c r="AK5"/>
  <c r="AT5"/>
  <c r="AX5"/>
  <c r="AF5"/>
  <c r="AJ5"/>
  <c r="AP5"/>
  <c r="AM5"/>
  <c r="AV5"/>
  <c r="AH5"/>
  <c r="AQ5"/>
  <c r="AO5"/>
  <c r="AU5"/>
  <c r="AW5"/>
  <c r="AY5"/>
  <c r="AI5"/>
  <c r="BB5"/>
  <c r="BC5"/>
  <c r="AL5"/>
  <c r="AS5"/>
  <c r="BD15"/>
  <c r="AH15"/>
  <c r="AO15"/>
  <c r="AJ15"/>
  <c r="BA15"/>
  <c r="F15"/>
  <c r="AY15"/>
  <c r="AQ15"/>
  <c r="AX15"/>
  <c r="AZ15"/>
  <c r="AT15"/>
  <c r="AN15"/>
  <c r="AL15"/>
  <c r="BC15"/>
  <c r="AV15"/>
  <c r="AG15"/>
  <c r="AS15"/>
  <c r="AP15"/>
  <c r="AI15"/>
  <c r="AF15"/>
  <c r="AM15"/>
  <c r="AU15"/>
  <c r="AK15"/>
  <c r="AW15"/>
  <c r="BB15"/>
  <c r="BB16"/>
  <c r="AX16"/>
  <c r="AN16"/>
  <c r="F16"/>
  <c r="AW16"/>
  <c r="AJ16"/>
  <c r="AS16"/>
  <c r="BA16"/>
  <c r="AF16"/>
  <c r="AO16"/>
  <c r="AG16"/>
  <c r="AT16"/>
  <c r="BC16"/>
  <c r="AV16"/>
  <c r="AL16"/>
  <c r="AM16"/>
  <c r="AI16"/>
  <c r="AZ16"/>
  <c r="AP16"/>
  <c r="BD16"/>
  <c r="AU16"/>
  <c r="AK16"/>
  <c r="AQ16"/>
  <c r="AY16"/>
  <c r="AH16"/>
  <c r="AI14"/>
  <c r="BD14"/>
  <c r="BA14"/>
  <c r="AZ14"/>
  <c r="AH14"/>
  <c r="AY14"/>
  <c r="AT14"/>
  <c r="AS14"/>
  <c r="AQ14"/>
  <c r="AP14"/>
  <c r="AK14"/>
  <c r="BB14"/>
  <c r="AJ14"/>
  <c r="F14"/>
  <c r="AM14"/>
  <c r="AL14"/>
  <c r="BC14"/>
  <c r="AG14"/>
  <c r="AX14"/>
  <c r="AF14"/>
  <c r="AW14"/>
  <c r="AV14"/>
  <c r="AU14"/>
  <c r="AN14"/>
  <c r="AO14"/>
  <c r="BA36"/>
  <c r="AZ36"/>
  <c r="BD36"/>
  <c r="F36"/>
  <c r="AM36"/>
  <c r="AI36"/>
  <c r="AQ36"/>
  <c r="AP36"/>
  <c r="AO36"/>
  <c r="AJ36"/>
  <c r="AV36"/>
  <c r="AY36"/>
  <c r="AT36"/>
  <c r="AF36"/>
  <c r="AH36"/>
  <c r="BC36"/>
  <c r="AX36"/>
  <c r="AN36"/>
  <c r="AL36"/>
  <c r="AG36"/>
  <c r="BB36"/>
  <c r="AS36"/>
  <c r="AU36"/>
  <c r="AK36"/>
  <c r="AW36"/>
  <c r="BD19"/>
  <c r="F19"/>
  <c r="AU19"/>
  <c r="AO19"/>
  <c r="AN19"/>
  <c r="AV19"/>
  <c r="BC19"/>
  <c r="AX19"/>
  <c r="AW19"/>
  <c r="AH19"/>
  <c r="AY19"/>
  <c r="AT19"/>
  <c r="AS19"/>
  <c r="AI19"/>
  <c r="AZ19"/>
  <c r="AL19"/>
  <c r="AG19"/>
  <c r="AF19"/>
  <c r="AM19"/>
  <c r="AK19"/>
  <c r="AQ19"/>
  <c r="AP19"/>
  <c r="BA19"/>
  <c r="BB19"/>
  <c r="AJ19"/>
  <c r="BC35"/>
  <c r="BD35"/>
  <c r="AS35"/>
  <c r="AG35"/>
  <c r="F35"/>
  <c r="BB35"/>
  <c r="AM35"/>
  <c r="AX35"/>
  <c r="AK35"/>
  <c r="AW35"/>
  <c r="AF35"/>
  <c r="AQ35"/>
  <c r="AJ35"/>
  <c r="AI35"/>
  <c r="AO35"/>
  <c r="AN35"/>
  <c r="AV35"/>
  <c r="AU35"/>
  <c r="AP35"/>
  <c r="BA35"/>
  <c r="AY35"/>
  <c r="AT35"/>
  <c r="AH35"/>
  <c r="AZ35"/>
  <c r="AL35"/>
  <c r="BA59"/>
  <c r="AZ59"/>
  <c r="AM59"/>
  <c r="BD59"/>
  <c r="AI59"/>
  <c r="AL59"/>
  <c r="BC59"/>
  <c r="AO59"/>
  <c r="AH59"/>
  <c r="AN59"/>
  <c r="AP59"/>
  <c r="AT59"/>
  <c r="AS59"/>
  <c r="AV59"/>
  <c r="AQ59"/>
  <c r="AG59"/>
  <c r="AW59"/>
  <c r="AK59"/>
  <c r="AU59"/>
  <c r="AY59"/>
  <c r="F59"/>
  <c r="AX59"/>
  <c r="AF59"/>
  <c r="AJ59"/>
  <c r="BB59"/>
  <c r="BA32"/>
  <c r="AM32"/>
  <c r="AQ32"/>
  <c r="AI32"/>
  <c r="BD32"/>
  <c r="AZ32"/>
  <c r="AH32"/>
  <c r="AK32"/>
  <c r="BB32"/>
  <c r="AL32"/>
  <c r="AF32"/>
  <c r="AW32"/>
  <c r="AV32"/>
  <c r="AU32"/>
  <c r="AX32"/>
  <c r="AY32"/>
  <c r="AG32"/>
  <c r="BC32"/>
  <c r="AJ32"/>
  <c r="AO32"/>
  <c r="AN32"/>
  <c r="F32"/>
  <c r="AT32"/>
  <c r="AP32"/>
  <c r="AS32"/>
  <c r="BC61"/>
  <c r="AW61"/>
  <c r="AF61"/>
  <c r="AO61"/>
  <c r="AG61"/>
  <c r="AX61"/>
  <c r="F61"/>
  <c r="AN61"/>
  <c r="AK61"/>
  <c r="AS61"/>
  <c r="AQ61"/>
  <c r="AH61"/>
  <c r="AY61"/>
  <c r="AT61"/>
  <c r="BA61"/>
  <c r="AV61"/>
  <c r="AL61"/>
  <c r="AZ61"/>
  <c r="AP61"/>
  <c r="BB61"/>
  <c r="AJ61"/>
  <c r="BD61"/>
  <c r="AU61"/>
  <c r="AI61"/>
  <c r="AM61"/>
  <c r="BC26"/>
  <c r="AX26"/>
  <c r="AN26"/>
  <c r="AS26"/>
  <c r="AF26"/>
  <c r="AO26"/>
  <c r="BA26"/>
  <c r="AJ26"/>
  <c r="F26"/>
  <c r="AG26"/>
  <c r="AW26"/>
  <c r="AT26"/>
  <c r="BB26"/>
  <c r="AV26"/>
  <c r="AH26"/>
  <c r="AY26"/>
  <c r="AK26"/>
  <c r="AM26"/>
  <c r="AU26"/>
  <c r="AQ26"/>
  <c r="AZ26"/>
  <c r="AL26"/>
  <c r="BD26"/>
  <c r="AP26"/>
  <c r="AI26"/>
  <c r="BC51"/>
  <c r="BB51"/>
  <c r="AQ51"/>
  <c r="AF51"/>
  <c r="AX51"/>
  <c r="AM51"/>
  <c r="BD51"/>
  <c r="AG51"/>
  <c r="AW51"/>
  <c r="AS51"/>
  <c r="F51"/>
  <c r="AK51"/>
  <c r="AO51"/>
  <c r="AI51"/>
  <c r="AV51"/>
  <c r="AN51"/>
  <c r="AT51"/>
  <c r="AP51"/>
  <c r="AZ51"/>
  <c r="AU51"/>
  <c r="AJ51"/>
  <c r="AY51"/>
  <c r="BA51"/>
  <c r="AH51"/>
  <c r="AL51"/>
  <c r="BD7"/>
  <c r="AO7"/>
  <c r="AS7"/>
  <c r="AY7"/>
  <c r="AI7"/>
  <c r="AZ7"/>
  <c r="F7"/>
  <c r="AX7"/>
  <c r="BA7"/>
  <c r="AP7"/>
  <c r="AQ7"/>
  <c r="AT7"/>
  <c r="AF7"/>
  <c r="AW7"/>
  <c r="AH7"/>
  <c r="BC7"/>
  <c r="AM7"/>
  <c r="AJ7"/>
  <c r="AU7"/>
  <c r="AG7"/>
  <c r="AN7"/>
  <c r="AV7"/>
  <c r="AL7"/>
  <c r="BB7"/>
  <c r="AK7"/>
  <c r="BC50"/>
  <c r="AW50"/>
  <c r="AJ50"/>
  <c r="AS50"/>
  <c r="AG50"/>
  <c r="F50"/>
  <c r="AN50"/>
  <c r="BA50"/>
  <c r="AF50"/>
  <c r="AX50"/>
  <c r="AO50"/>
  <c r="AK50"/>
  <c r="AI50"/>
  <c r="AZ50"/>
  <c r="AL50"/>
  <c r="AV50"/>
  <c r="AH50"/>
  <c r="BD50"/>
  <c r="AP50"/>
  <c r="AT50"/>
  <c r="AM50"/>
  <c r="AU50"/>
  <c r="BB50"/>
  <c r="AQ50"/>
  <c r="AY50"/>
  <c r="BA20"/>
  <c r="AT20"/>
  <c r="AG20"/>
  <c r="BB20"/>
  <c r="AO20"/>
  <c r="AF20"/>
  <c r="AX20"/>
  <c r="BC20"/>
  <c r="AK20"/>
  <c r="AW20"/>
  <c r="AN20"/>
  <c r="AS20"/>
  <c r="AJ20"/>
  <c r="F20"/>
  <c r="AI20"/>
  <c r="AZ20"/>
  <c r="AP20"/>
  <c r="AH20"/>
  <c r="AM20"/>
  <c r="BD20"/>
  <c r="AU20"/>
  <c r="AQ20"/>
  <c r="AY20"/>
  <c r="AV20"/>
  <c r="AL20"/>
  <c r="BD53"/>
  <c r="F53"/>
  <c r="AG53"/>
  <c r="AX53"/>
  <c r="AK53"/>
  <c r="BB53"/>
  <c r="AS53"/>
  <c r="AP53"/>
  <c r="AV53"/>
  <c r="AO53"/>
  <c r="AN53"/>
  <c r="AU53"/>
  <c r="AM53"/>
  <c r="AT53"/>
  <c r="AW53"/>
  <c r="AY53"/>
  <c r="AQ53"/>
  <c r="AF53"/>
  <c r="BA53"/>
  <c r="AH53"/>
  <c r="BC53"/>
  <c r="AZ53"/>
  <c r="AI53"/>
  <c r="AL53"/>
  <c r="AJ53"/>
  <c r="BD3"/>
  <c r="AH3"/>
  <c r="AY3"/>
  <c r="AN3"/>
  <c r="AT3"/>
  <c r="AV3"/>
  <c r="AP3"/>
  <c r="AF3"/>
  <c r="AW3"/>
  <c r="AG3"/>
  <c r="AM3"/>
  <c r="AL3"/>
  <c r="BC3"/>
  <c r="AS3"/>
  <c r="AX3"/>
  <c r="AI3"/>
  <c r="AZ3"/>
  <c r="BB3"/>
  <c r="AO3"/>
  <c r="BA3"/>
  <c r="AK3"/>
  <c r="F3"/>
  <c r="AU3"/>
  <c r="AQ3"/>
  <c r="AJ3"/>
  <c r="BA24"/>
  <c r="AI24"/>
  <c r="BD24"/>
  <c r="AZ24"/>
  <c r="AM24"/>
  <c r="AU24"/>
  <c r="AT24"/>
  <c r="AP24"/>
  <c r="AN24"/>
  <c r="AQ24"/>
  <c r="AO24"/>
  <c r="AS24"/>
  <c r="AH24"/>
  <c r="F24"/>
  <c r="AX24"/>
  <c r="AL24"/>
  <c r="AW24"/>
  <c r="AV24"/>
  <c r="AG24"/>
  <c r="BB24"/>
  <c r="AY24"/>
  <c r="AF24"/>
  <c r="AK24"/>
  <c r="BC24"/>
  <c r="AJ24"/>
  <c r="BA44"/>
  <c r="BD44"/>
  <c r="AZ44"/>
  <c r="AM44"/>
  <c r="AI44"/>
  <c r="AV44"/>
  <c r="AP44"/>
  <c r="AQ44"/>
  <c r="AT44"/>
  <c r="AH44"/>
  <c r="AN44"/>
  <c r="AY44"/>
  <c r="AK44"/>
  <c r="BC44"/>
  <c r="AW44"/>
  <c r="AO44"/>
  <c r="F44"/>
  <c r="AF44"/>
  <c r="AX44"/>
  <c r="AL44"/>
  <c r="AJ44"/>
  <c r="AU44"/>
  <c r="AG44"/>
  <c r="AS44"/>
  <c r="BB44"/>
  <c r="AS13"/>
  <c r="AM13"/>
  <c r="AZ13"/>
  <c r="AG13"/>
  <c r="AX13"/>
  <c r="BD13"/>
  <c r="BB13"/>
  <c r="BC13"/>
  <c r="BA13"/>
  <c r="AV13"/>
  <c r="AT13"/>
  <c r="AH13"/>
  <c r="AY13"/>
  <c r="AQ13"/>
  <c r="AW13"/>
  <c r="AI13"/>
  <c r="AF13"/>
  <c r="AK13"/>
  <c r="F13"/>
  <c r="AL13"/>
  <c r="AJ13"/>
  <c r="AP13"/>
  <c r="AO13"/>
  <c r="AN13"/>
  <c r="AU13"/>
  <c r="BC23"/>
  <c r="AK23"/>
  <c r="BB23"/>
  <c r="AW23"/>
  <c r="AQ23"/>
  <c r="AF23"/>
  <c r="BA23"/>
  <c r="AN23"/>
  <c r="F23"/>
  <c r="AX23"/>
  <c r="AJ23"/>
  <c r="AT23"/>
  <c r="AG23"/>
  <c r="BD23"/>
  <c r="AS23"/>
  <c r="AH23"/>
  <c r="AY23"/>
  <c r="AO23"/>
  <c r="AI23"/>
  <c r="AP23"/>
  <c r="AV23"/>
  <c r="AZ23"/>
  <c r="AU23"/>
  <c r="AM23"/>
  <c r="AL23"/>
  <c r="BC43"/>
  <c r="BB43"/>
  <c r="AF43"/>
  <c r="AQ43"/>
  <c r="AK43"/>
  <c r="AW43"/>
  <c r="AV43"/>
  <c r="AZ43"/>
  <c r="F43"/>
  <c r="AX43"/>
  <c r="BA43"/>
  <c r="AI43"/>
  <c r="AG43"/>
  <c r="BD43"/>
  <c r="AO43"/>
  <c r="AT43"/>
  <c r="AH43"/>
  <c r="AY43"/>
  <c r="AJ43"/>
  <c r="AL43"/>
  <c r="AN43"/>
  <c r="AP43"/>
  <c r="AM43"/>
  <c r="AU43"/>
  <c r="AS43"/>
  <c r="AK9"/>
  <c r="BB9"/>
  <c r="AF9"/>
  <c r="AW9"/>
  <c r="BD9"/>
  <c r="AV9"/>
  <c r="AN9"/>
  <c r="AQ9"/>
  <c r="BA9"/>
  <c r="AZ9"/>
  <c r="AG9"/>
  <c r="AU9"/>
  <c r="AI9"/>
  <c r="BC9"/>
  <c r="F9"/>
  <c r="AM9"/>
  <c r="AH9"/>
  <c r="AY9"/>
  <c r="AJ9"/>
  <c r="AS9"/>
  <c r="AL9"/>
  <c r="AO9"/>
  <c r="AT9"/>
  <c r="AX9"/>
  <c r="AP9"/>
  <c r="BD37"/>
  <c r="AG37"/>
  <c r="AX37"/>
  <c r="AF37"/>
  <c r="AW37"/>
  <c r="F37"/>
  <c r="AU37"/>
  <c r="AI37"/>
  <c r="AZ37"/>
  <c r="AT37"/>
  <c r="AN37"/>
  <c r="AH37"/>
  <c r="BC37"/>
  <c r="AM37"/>
  <c r="AV37"/>
  <c r="BB37"/>
  <c r="AS37"/>
  <c r="AL37"/>
  <c r="AQ37"/>
  <c r="AK37"/>
  <c r="BA37"/>
  <c r="AP37"/>
  <c r="AY37"/>
  <c r="AO37"/>
  <c r="AJ37"/>
  <c r="BA10"/>
  <c r="AZ10"/>
  <c r="AV10"/>
  <c r="AI10"/>
  <c r="BD10"/>
  <c r="AM10"/>
  <c r="F10"/>
  <c r="AO10"/>
  <c r="AH10"/>
  <c r="AN10"/>
  <c r="AG10"/>
  <c r="AY10"/>
  <c r="AW10"/>
  <c r="AQ10"/>
  <c r="AL10"/>
  <c r="AT10"/>
  <c r="AP10"/>
  <c r="AS10"/>
  <c r="AU10"/>
  <c r="AX10"/>
  <c r="AF10"/>
  <c r="AK10"/>
  <c r="BB10"/>
  <c r="BC10"/>
  <c r="AJ10"/>
  <c r="BD29"/>
  <c r="F29"/>
  <c r="AP29"/>
  <c r="AO29"/>
  <c r="AN29"/>
  <c r="AQ29"/>
  <c r="AH29"/>
  <c r="BC29"/>
  <c r="AG29"/>
  <c r="AF29"/>
  <c r="BA29"/>
  <c r="AZ29"/>
  <c r="AL29"/>
  <c r="AX29"/>
  <c r="AJ29"/>
  <c r="AK29"/>
  <c r="AI29"/>
  <c r="AU29"/>
  <c r="BB29"/>
  <c r="AS29"/>
  <c r="AT29"/>
  <c r="AM29"/>
  <c r="AV29"/>
  <c r="AW29"/>
  <c r="AY29"/>
  <c r="BC55"/>
  <c r="AK55"/>
  <c r="BB55"/>
  <c r="AF55"/>
  <c r="AW55"/>
  <c r="AQ55"/>
  <c r="AJ55"/>
  <c r="AN55"/>
  <c r="F55"/>
  <c r="AX55"/>
  <c r="AO55"/>
  <c r="AT55"/>
  <c r="AG55"/>
  <c r="BD55"/>
  <c r="BA55"/>
  <c r="AM55"/>
  <c r="AU55"/>
  <c r="AS55"/>
  <c r="AZ55"/>
  <c r="AL55"/>
  <c r="AP55"/>
  <c r="AV55"/>
  <c r="AY55"/>
  <c r="AI55"/>
  <c r="AH55"/>
  <c r="AN21"/>
  <c r="AI21"/>
  <c r="BA21"/>
  <c r="AT21"/>
  <c r="F21"/>
  <c r="AZ21"/>
  <c r="AM21"/>
  <c r="AQ21"/>
  <c r="AF21"/>
  <c r="AJ21"/>
  <c r="AP21"/>
  <c r="AX21"/>
  <c r="AH21"/>
  <c r="AG21"/>
  <c r="AK21"/>
  <c r="AO21"/>
  <c r="AU21"/>
  <c r="AW21"/>
  <c r="AS21"/>
  <c r="AV21"/>
  <c r="AY21"/>
  <c r="BB21"/>
  <c r="AL21"/>
  <c r="BD21"/>
  <c r="BC21"/>
  <c r="BC57"/>
  <c r="AX57"/>
  <c r="AG57"/>
  <c r="F57"/>
  <c r="AW57"/>
  <c r="AF57"/>
  <c r="AN57"/>
  <c r="AO57"/>
  <c r="AK57"/>
  <c r="AM57"/>
  <c r="BD57"/>
  <c r="AU57"/>
  <c r="AT57"/>
  <c r="AJ57"/>
  <c r="AQ57"/>
  <c r="AH57"/>
  <c r="AY57"/>
  <c r="AS57"/>
  <c r="AV57"/>
  <c r="AL57"/>
  <c r="BB57"/>
  <c r="BA57"/>
  <c r="AZ57"/>
  <c r="AP57"/>
  <c r="AI57"/>
  <c r="BC27"/>
  <c r="BD27"/>
  <c r="AS27"/>
  <c r="AG27"/>
  <c r="F27"/>
  <c r="AX27"/>
  <c r="AK27"/>
  <c r="AW27"/>
  <c r="AF27"/>
  <c r="AQ27"/>
  <c r="BB27"/>
  <c r="AM27"/>
  <c r="AO27"/>
  <c r="AT27"/>
  <c r="AV27"/>
  <c r="AZ27"/>
  <c r="BA27"/>
  <c r="AN27"/>
  <c r="AL27"/>
  <c r="AH27"/>
  <c r="AI27"/>
  <c r="AP27"/>
  <c r="AU27"/>
  <c r="AJ27"/>
  <c r="AY27"/>
  <c r="BA56"/>
  <c r="AI56"/>
  <c r="AZ56"/>
  <c r="BD56"/>
  <c r="AP56"/>
  <c r="AU56"/>
  <c r="AV56"/>
  <c r="AQ56"/>
  <c r="AH56"/>
  <c r="AO56"/>
  <c r="AJ56"/>
  <c r="AL56"/>
  <c r="AK56"/>
  <c r="AN56"/>
  <c r="AT56"/>
  <c r="AS56"/>
  <c r="F56"/>
  <c r="AY56"/>
  <c r="AX56"/>
  <c r="AW56"/>
  <c r="BB56"/>
  <c r="AF56"/>
  <c r="AG56"/>
  <c r="AM56"/>
  <c r="BC56"/>
  <c r="BB4"/>
  <c r="BA4"/>
  <c r="AO4"/>
  <c r="AF4"/>
  <c r="AX4"/>
  <c r="AN4"/>
  <c r="F4"/>
  <c r="AG4"/>
  <c r="AJ4"/>
  <c r="AW4"/>
  <c r="AS4"/>
  <c r="AK4"/>
  <c r="AT4"/>
  <c r="BC4"/>
  <c r="AI4"/>
  <c r="AZ4"/>
  <c r="AP4"/>
  <c r="AY4"/>
  <c r="AM4"/>
  <c r="BD4"/>
  <c r="AU4"/>
  <c r="AQ4"/>
  <c r="AH4"/>
  <c r="AL4"/>
  <c r="AV4"/>
  <c r="BC31"/>
  <c r="AX31"/>
  <c r="AM31"/>
  <c r="AW31"/>
  <c r="AG31"/>
  <c r="AS31"/>
  <c r="AF31"/>
  <c r="BD31"/>
  <c r="AQ31"/>
  <c r="BB31"/>
  <c r="AK31"/>
  <c r="F31"/>
  <c r="AO31"/>
  <c r="AN31"/>
  <c r="AV31"/>
  <c r="AT31"/>
  <c r="AI31"/>
  <c r="AP31"/>
  <c r="AJ31"/>
  <c r="AZ31"/>
  <c r="BA31"/>
  <c r="AY31"/>
  <c r="AH31"/>
  <c r="AL31"/>
  <c r="AU31"/>
  <c r="BA40"/>
  <c r="AI40"/>
  <c r="AZ40"/>
  <c r="F40"/>
  <c r="AM40"/>
  <c r="BD40"/>
  <c r="AQ40"/>
  <c r="AV40"/>
  <c r="AP40"/>
  <c r="AT40"/>
  <c r="AN40"/>
  <c r="AU40"/>
  <c r="AK40"/>
  <c r="AJ40"/>
  <c r="AW40"/>
  <c r="AY40"/>
  <c r="AO40"/>
  <c r="AS40"/>
  <c r="AH40"/>
  <c r="BC40"/>
  <c r="AX40"/>
  <c r="AF40"/>
  <c r="AG40"/>
  <c r="AL40"/>
  <c r="BB40"/>
  <c r="BD41"/>
  <c r="F41"/>
  <c r="BB41"/>
  <c r="AF41"/>
  <c r="AJ41"/>
  <c r="BA41"/>
  <c r="AK41"/>
  <c r="AN41"/>
  <c r="AH41"/>
  <c r="AY41"/>
  <c r="AG41"/>
  <c r="AI41"/>
  <c r="AZ41"/>
  <c r="AT41"/>
  <c r="AS41"/>
  <c r="AW41"/>
  <c r="AL41"/>
  <c r="AX41"/>
  <c r="AV41"/>
  <c r="AP41"/>
  <c r="AU41"/>
  <c r="AM41"/>
  <c r="BC41"/>
  <c r="AQ41"/>
  <c r="AO41"/>
  <c r="BC30"/>
  <c r="AS30"/>
  <c r="AG30"/>
  <c r="F30"/>
  <c r="AW30"/>
  <c r="AF30"/>
  <c r="AO30"/>
  <c r="BA30"/>
  <c r="AN30"/>
  <c r="AX30"/>
  <c r="AJ30"/>
  <c r="AK30"/>
  <c r="AT30"/>
  <c r="AI30"/>
  <c r="AZ30"/>
  <c r="AL30"/>
  <c r="BD30"/>
  <c r="AY30"/>
  <c r="AP30"/>
  <c r="AM30"/>
  <c r="AH30"/>
  <c r="AQ30"/>
  <c r="BB30"/>
  <c r="AU30"/>
  <c r="AV30"/>
  <c r="BA48"/>
  <c r="BD48"/>
  <c r="AZ48"/>
  <c r="AI48"/>
  <c r="AM48"/>
  <c r="AQ48"/>
  <c r="AY48"/>
  <c r="AV48"/>
  <c r="F48"/>
  <c r="AH48"/>
  <c r="AG48"/>
  <c r="AX48"/>
  <c r="AL48"/>
  <c r="AS48"/>
  <c r="AP48"/>
  <c r="BB48"/>
  <c r="AU48"/>
  <c r="AF48"/>
  <c r="AK48"/>
  <c r="BC48"/>
  <c r="AJ48"/>
  <c r="AO48"/>
  <c r="AN48"/>
  <c r="AW48"/>
  <c r="AT48"/>
  <c r="AT17"/>
  <c r="AN17"/>
  <c r="F17"/>
  <c r="AZ17"/>
  <c r="AI17"/>
  <c r="AK17"/>
  <c r="BA17"/>
  <c r="AS17"/>
  <c r="AQ17"/>
  <c r="AX17"/>
  <c r="AO17"/>
  <c r="AL17"/>
  <c r="BB17"/>
  <c r="AU17"/>
  <c r="AW17"/>
  <c r="BD17"/>
  <c r="AV17"/>
  <c r="AP17"/>
  <c r="BC17"/>
  <c r="AY17"/>
  <c r="AH17"/>
  <c r="AG17"/>
  <c r="AM17"/>
  <c r="AF17"/>
  <c r="AJ17"/>
  <c r="BC47"/>
  <c r="BB47"/>
  <c r="AF47"/>
  <c r="AW47"/>
  <c r="AK47"/>
  <c r="AQ47"/>
  <c r="BA47"/>
  <c r="AZ47"/>
  <c r="AM47"/>
  <c r="AI47"/>
  <c r="AS47"/>
  <c r="AT47"/>
  <c r="AX47"/>
  <c r="AL47"/>
  <c r="AO47"/>
  <c r="BD47"/>
  <c r="AJ47"/>
  <c r="F47"/>
  <c r="AY47"/>
  <c r="AV47"/>
  <c r="AG47"/>
  <c r="AH47"/>
  <c r="AP47"/>
  <c r="AN47"/>
  <c r="AU47"/>
  <c r="AZ18"/>
  <c r="AI18"/>
  <c r="AM18"/>
  <c r="BD18"/>
  <c r="BA18"/>
  <c r="AH18"/>
  <c r="AY18"/>
  <c r="AG18"/>
  <c r="AX18"/>
  <c r="AF18"/>
  <c r="AW18"/>
  <c r="F18"/>
  <c r="AP18"/>
  <c r="AO18"/>
  <c r="AN18"/>
  <c r="AQ18"/>
  <c r="AL18"/>
  <c r="BC18"/>
  <c r="AK18"/>
  <c r="BB18"/>
  <c r="AJ18"/>
  <c r="AU18"/>
  <c r="AS18"/>
  <c r="AT18"/>
  <c r="AV18"/>
  <c r="BC42"/>
  <c r="AN42"/>
  <c r="AO42"/>
  <c r="F42"/>
  <c r="AG42"/>
  <c r="AX42"/>
  <c r="AF42"/>
  <c r="AW42"/>
  <c r="BB42"/>
  <c r="AJ42"/>
  <c r="AV42"/>
  <c r="AS42"/>
  <c r="AM42"/>
  <c r="AU42"/>
  <c r="AK42"/>
  <c r="BA42"/>
  <c r="AQ42"/>
  <c r="AT42"/>
  <c r="AY42"/>
  <c r="AI42"/>
  <c r="AH42"/>
  <c r="AZ42"/>
  <c r="AL42"/>
  <c r="BD42"/>
  <c r="AP42"/>
  <c r="BC58"/>
  <c r="AW58"/>
  <c r="AQ58"/>
  <c r="AF58"/>
  <c r="BB58"/>
  <c r="AK58"/>
  <c r="AN58"/>
  <c r="F58"/>
  <c r="AX58"/>
  <c r="AU58"/>
  <c r="AJ58"/>
  <c r="AT58"/>
  <c r="AG58"/>
  <c r="BD58"/>
  <c r="AH58"/>
  <c r="AY58"/>
  <c r="AV58"/>
  <c r="AO58"/>
  <c r="AM58"/>
  <c r="AL58"/>
  <c r="BA58"/>
  <c r="AI58"/>
  <c r="AS58"/>
  <c r="AP58"/>
  <c r="AZ58"/>
  <c r="BA28"/>
  <c r="AZ28"/>
  <c r="BD28"/>
  <c r="AQ28"/>
  <c r="AM28"/>
  <c r="AI28"/>
  <c r="F28"/>
  <c r="AG28"/>
  <c r="AX28"/>
  <c r="AY28"/>
  <c r="AS28"/>
  <c r="AV28"/>
  <c r="AK28"/>
  <c r="BC28"/>
  <c r="AW28"/>
  <c r="AO28"/>
  <c r="AF28"/>
  <c r="AH28"/>
  <c r="AT28"/>
  <c r="AL28"/>
  <c r="AJ28"/>
  <c r="AN28"/>
  <c r="BB28"/>
  <c r="AU28"/>
  <c r="AP28"/>
  <c r="AM6"/>
  <c r="AV6"/>
  <c r="BD6"/>
  <c r="AQ6"/>
  <c r="AI6"/>
  <c r="AZ6"/>
  <c r="F6"/>
  <c r="AK6"/>
  <c r="BB6"/>
  <c r="AL6"/>
  <c r="AJ6"/>
  <c r="AT6"/>
  <c r="BC6"/>
  <c r="AP6"/>
  <c r="AO6"/>
  <c r="AU6"/>
  <c r="AN6"/>
  <c r="AY6"/>
  <c r="AS6"/>
  <c r="AX6"/>
  <c r="AW6"/>
  <c r="BA6"/>
  <c r="AG6"/>
  <c r="AF6"/>
  <c r="AH6"/>
  <c r="BC34"/>
  <c r="AX34"/>
  <c r="AN34"/>
  <c r="AW34"/>
  <c r="AG34"/>
  <c r="AS34"/>
  <c r="AF34"/>
  <c r="AO34"/>
  <c r="BA34"/>
  <c r="AJ34"/>
  <c r="F34"/>
  <c r="AK34"/>
  <c r="AT34"/>
  <c r="AM34"/>
  <c r="BD34"/>
  <c r="AP34"/>
  <c r="BB34"/>
  <c r="AV34"/>
  <c r="AH34"/>
  <c r="AU34"/>
  <c r="AZ34"/>
  <c r="AL34"/>
  <c r="AI34"/>
  <c r="AQ34"/>
  <c r="AY34"/>
  <c r="BD60"/>
  <c r="F60"/>
  <c r="AT60"/>
  <c r="AF60"/>
  <c r="AW60"/>
  <c r="AU60"/>
  <c r="AM60"/>
  <c r="AG60"/>
  <c r="AX60"/>
  <c r="AJ60"/>
  <c r="BA60"/>
  <c r="AH60"/>
  <c r="AY60"/>
  <c r="AQ60"/>
  <c r="AK60"/>
  <c r="AN60"/>
  <c r="AL60"/>
  <c r="AO60"/>
  <c r="AS60"/>
  <c r="AP60"/>
  <c r="AI60"/>
  <c r="BC60"/>
  <c r="AV60"/>
  <c r="AZ60"/>
  <c r="BB60"/>
  <c r="A158" i="6"/>
  <c r="G3" i="22" s="1"/>
  <c r="B158" i="6"/>
  <c r="H3" i="22" s="1"/>
  <c r="B179" i="6"/>
  <c r="H24" i="22" s="1"/>
  <c r="A179" i="6"/>
  <c r="G24" i="22" s="1"/>
  <c r="B199" i="6"/>
  <c r="H44" i="22" s="1"/>
  <c r="A199" i="6"/>
  <c r="G44" i="22" s="1"/>
  <c r="A168" i="6"/>
  <c r="G13" i="22" s="1"/>
  <c r="B168" i="6"/>
  <c r="H13" i="22" s="1"/>
  <c r="B178" i="6"/>
  <c r="H23" i="22" s="1"/>
  <c r="A178" i="6"/>
  <c r="G23" i="22" s="1"/>
  <c r="B190" i="6"/>
  <c r="H35" i="22" s="1"/>
  <c r="A190" i="6"/>
  <c r="G35" i="22" s="1"/>
  <c r="B207" i="6"/>
  <c r="H52" i="22" s="1"/>
  <c r="A207" i="6"/>
  <c r="G52" i="22" s="1"/>
  <c r="A172" i="6"/>
  <c r="G17" i="22" s="1"/>
  <c r="B172" i="6"/>
  <c r="H17" i="22" s="1"/>
  <c r="B202" i="6"/>
  <c r="H47" i="22" s="1"/>
  <c r="A202" i="6"/>
  <c r="G47" i="22" s="1"/>
  <c r="B173" i="6"/>
  <c r="H18" i="22" s="1"/>
  <c r="A173" i="6"/>
  <c r="G18" i="22" s="1"/>
  <c r="B217" i="6"/>
  <c r="H62" i="22" s="1"/>
  <c r="A217" i="6"/>
  <c r="G62" i="22" s="1"/>
  <c r="B161" i="6"/>
  <c r="H6" i="22" s="1"/>
  <c r="A161" i="6"/>
  <c r="G6" i="22" s="1"/>
  <c r="B189" i="6"/>
  <c r="H34" i="22" s="1"/>
  <c r="A189" i="6"/>
  <c r="G34" i="22" s="1"/>
  <c r="B211" i="6"/>
  <c r="H56" i="22" s="1"/>
  <c r="A211" i="6"/>
  <c r="G56" i="22" s="1"/>
  <c r="B171" i="6"/>
  <c r="H16" i="22" s="1"/>
  <c r="A171" i="6"/>
  <c r="G16" i="22" s="1"/>
  <c r="B169" i="6"/>
  <c r="H14" i="22" s="1"/>
  <c r="A169" i="6"/>
  <c r="G14" i="22" s="1"/>
  <c r="B191" i="6"/>
  <c r="H36" i="22" s="1"/>
  <c r="A191" i="6"/>
  <c r="G36" i="22" s="1"/>
  <c r="B174" i="6"/>
  <c r="H19" i="22" s="1"/>
  <c r="A174" i="6"/>
  <c r="G19" i="22" s="1"/>
  <c r="B188" i="6"/>
  <c r="H33" i="22" s="1"/>
  <c r="A188" i="6"/>
  <c r="G33" i="22" s="1"/>
  <c r="B203" i="6"/>
  <c r="H48" i="22" s="1"/>
  <c r="A203" i="6"/>
  <c r="G48" i="22" s="1"/>
  <c r="A164" i="6"/>
  <c r="G9" i="22" s="1"/>
  <c r="B164" i="6"/>
  <c r="H9" i="22" s="1"/>
  <c r="B192" i="6"/>
  <c r="H37" i="22" s="1"/>
  <c r="A192" i="6"/>
  <c r="G37" i="22" s="1"/>
  <c r="B165" i="6"/>
  <c r="H10" i="22" s="1"/>
  <c r="A165" i="6"/>
  <c r="G10" i="22" s="1"/>
  <c r="B184" i="6"/>
  <c r="H29" i="22" s="1"/>
  <c r="A184" i="6"/>
  <c r="G29" i="22" s="1"/>
  <c r="B201" i="6"/>
  <c r="H46" i="22" s="1"/>
  <c r="A201" i="6"/>
  <c r="G46" i="22" s="1"/>
  <c r="B213" i="6"/>
  <c r="H58" i="22" s="1"/>
  <c r="A213" i="6"/>
  <c r="G58" i="22" s="1"/>
  <c r="B183" i="6"/>
  <c r="H28" i="22" s="1"/>
  <c r="A183" i="6"/>
  <c r="G28" i="22" s="1"/>
  <c r="B212" i="6"/>
  <c r="H57" i="22" s="1"/>
  <c r="A212" i="6"/>
  <c r="G57" i="22" s="1"/>
  <c r="B182" i="6"/>
  <c r="H27" i="22" s="1"/>
  <c r="A182" i="6"/>
  <c r="G27" i="22" s="1"/>
  <c r="B208" i="6"/>
  <c r="H53" i="22" s="1"/>
  <c r="A208" i="6"/>
  <c r="G53" i="22" s="1"/>
  <c r="A170" i="6"/>
  <c r="G15" i="22" s="1"/>
  <c r="B170" i="6"/>
  <c r="H15" i="22" s="1"/>
  <c r="B163" i="6"/>
  <c r="H8" i="22" s="1"/>
  <c r="A163" i="6"/>
  <c r="G8" i="22" s="1"/>
  <c r="B194" i="6"/>
  <c r="H39" i="22" s="1"/>
  <c r="A194" i="6"/>
  <c r="G39" i="22" s="1"/>
  <c r="B193" i="6"/>
  <c r="H38" i="22" s="1"/>
  <c r="A193" i="6"/>
  <c r="G38" i="22" s="1"/>
  <c r="A166" i="6"/>
  <c r="G11" i="22" s="1"/>
  <c r="B166" i="6"/>
  <c r="H11" i="22" s="1"/>
  <c r="B185" i="6"/>
  <c r="H30" i="22" s="1"/>
  <c r="A185" i="6"/>
  <c r="G30" i="22" s="1"/>
  <c r="B214" i="6"/>
  <c r="H59" i="22" s="1"/>
  <c r="A214" i="6"/>
  <c r="G59" i="22" s="1"/>
  <c r="B187" i="6"/>
  <c r="H32" i="22" s="1"/>
  <c r="A187" i="6"/>
  <c r="G32" i="22" s="1"/>
  <c r="B216" i="6"/>
  <c r="H61" i="22" s="1"/>
  <c r="A216" i="6"/>
  <c r="G61" i="22" s="1"/>
  <c r="B181" i="6"/>
  <c r="H26" i="22" s="1"/>
  <c r="A181" i="6"/>
  <c r="G26" i="22" s="1"/>
  <c r="B197" i="6"/>
  <c r="H42" i="22" s="1"/>
  <c r="A197" i="6"/>
  <c r="G42" i="22" s="1"/>
  <c r="B210" i="6"/>
  <c r="H55" i="22" s="1"/>
  <c r="A210" i="6"/>
  <c r="G55" i="22" s="1"/>
  <c r="B176" i="6"/>
  <c r="H21" i="22" s="1"/>
  <c r="A176" i="6"/>
  <c r="G21" i="22" s="1"/>
  <c r="B205" i="6"/>
  <c r="H50" i="22" s="1"/>
  <c r="A205" i="6"/>
  <c r="G50" i="22" s="1"/>
  <c r="B175" i="6"/>
  <c r="H20" i="22" s="1"/>
  <c r="A175" i="6"/>
  <c r="G20" i="22" s="1"/>
  <c r="B204" i="6"/>
  <c r="H49" i="22" s="1"/>
  <c r="A204" i="6"/>
  <c r="G49" i="22" s="1"/>
  <c r="A160" i="6"/>
  <c r="G5" i="22" s="1"/>
  <c r="B160" i="6"/>
  <c r="H5" i="22" s="1"/>
  <c r="B159" i="6"/>
  <c r="H4" i="22" s="1"/>
  <c r="A159" i="6"/>
  <c r="G4" i="22" s="1"/>
  <c r="B186" i="6"/>
  <c r="H31" i="22" s="1"/>
  <c r="A186" i="6"/>
  <c r="G31" i="22" s="1"/>
  <c r="B195" i="6"/>
  <c r="H40" i="22" s="1"/>
  <c r="A195" i="6"/>
  <c r="G40" i="22" s="1"/>
  <c r="B196" i="6"/>
  <c r="H41" i="22" s="1"/>
  <c r="A196" i="6"/>
  <c r="G41" i="22" s="1"/>
  <c r="B198" i="6"/>
  <c r="H43" i="22" s="1"/>
  <c r="A198" i="6"/>
  <c r="G43" i="22" s="1"/>
  <c r="B180" i="6"/>
  <c r="H25" i="22" s="1"/>
  <c r="A180" i="6"/>
  <c r="G25" i="22" s="1"/>
  <c r="B209" i="6"/>
  <c r="H54" i="22" s="1"/>
  <c r="A209" i="6"/>
  <c r="G54" i="22" s="1"/>
  <c r="B177" i="6"/>
  <c r="H22" i="22" s="1"/>
  <c r="A177" i="6"/>
  <c r="G22" i="22" s="1"/>
  <c r="B206" i="6"/>
  <c r="H51" i="22" s="1"/>
  <c r="A206" i="6"/>
  <c r="G51" i="22" s="1"/>
  <c r="A162" i="6"/>
  <c r="G7" i="22" s="1"/>
  <c r="B162" i="6"/>
  <c r="H7" i="22" s="1"/>
  <c r="B200" i="6"/>
  <c r="H45" i="22" s="1"/>
  <c r="A200" i="6"/>
  <c r="G45" i="22" s="1"/>
  <c r="B167" i="6"/>
  <c r="H12" i="22" s="1"/>
  <c r="A167" i="6"/>
  <c r="G12" i="22" s="1"/>
  <c r="B215" i="6"/>
  <c r="H60" i="22" s="1"/>
  <c r="A215" i="6"/>
  <c r="G60" i="22" s="1"/>
  <c r="K351" i="9"/>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1045"/>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K1164"/>
  <c r="K1165"/>
  <c r="K1166"/>
  <c r="K1167"/>
  <c r="K1168"/>
  <c r="K1169"/>
  <c r="K1170"/>
  <c r="K1171"/>
  <c r="K1172"/>
  <c r="K1173"/>
  <c r="K1174"/>
  <c r="K1175"/>
  <c r="K1176"/>
  <c r="K1177"/>
  <c r="K1178"/>
  <c r="K1179"/>
  <c r="K1180"/>
  <c r="K1181"/>
  <c r="K1182"/>
  <c r="K1183"/>
  <c r="K1184"/>
  <c r="K1185"/>
  <c r="K1186"/>
  <c r="K1187"/>
  <c r="K1188"/>
  <c r="K1189"/>
  <c r="K1190"/>
  <c r="K1191"/>
  <c r="K1192"/>
  <c r="K1193"/>
  <c r="K1194"/>
  <c r="K1195"/>
  <c r="K1196"/>
  <c r="K1197"/>
  <c r="K1198"/>
  <c r="K1199"/>
  <c r="K1200"/>
  <c r="K1201"/>
  <c r="K1202"/>
  <c r="K1203"/>
  <c r="K1204"/>
  <c r="K1205"/>
  <c r="K1206"/>
  <c r="K1207"/>
  <c r="K1208"/>
  <c r="K1209"/>
  <c r="K1210"/>
  <c r="K1211"/>
  <c r="K1212"/>
  <c r="K1213"/>
  <c r="K1214"/>
  <c r="K1215"/>
  <c r="K1216"/>
  <c r="K1217"/>
  <c r="K1218"/>
  <c r="K1219"/>
  <c r="K1220"/>
  <c r="K1221"/>
  <c r="K1222"/>
  <c r="K1223"/>
  <c r="K1224"/>
  <c r="K1225"/>
  <c r="K1226"/>
  <c r="K1227"/>
  <c r="K1228"/>
  <c r="K1229"/>
  <c r="K1230"/>
  <c r="K1231"/>
  <c r="K1232"/>
  <c r="K1233"/>
  <c r="K1234"/>
  <c r="K1235"/>
  <c r="K1236"/>
  <c r="K1237"/>
  <c r="K1238"/>
  <c r="K1239"/>
  <c r="K1240"/>
  <c r="K1241"/>
  <c r="K1242"/>
  <c r="K1243"/>
  <c r="K1244"/>
  <c r="K1245"/>
  <c r="K1246"/>
  <c r="K1247"/>
  <c r="K1248"/>
  <c r="K1249"/>
  <c r="K1250"/>
  <c r="K1251"/>
  <c r="K1252"/>
  <c r="K1253"/>
  <c r="K1254"/>
  <c r="K1255"/>
  <c r="K1256"/>
  <c r="K1257"/>
  <c r="K1258"/>
  <c r="K1259"/>
  <c r="K1260"/>
  <c r="K1261"/>
  <c r="K1262"/>
  <c r="K1263"/>
  <c r="K1264"/>
  <c r="K1265"/>
  <c r="K1266"/>
  <c r="K1267"/>
  <c r="K1268"/>
  <c r="K1269"/>
  <c r="K1270"/>
  <c r="K1271"/>
  <c r="K1272"/>
  <c r="K1273"/>
  <c r="K1274"/>
  <c r="K1275"/>
  <c r="K1276"/>
  <c r="K1277"/>
  <c r="K1278"/>
  <c r="K1279"/>
  <c r="K1280"/>
  <c r="K1281"/>
  <c r="K1282"/>
  <c r="K1283"/>
  <c r="K1284"/>
  <c r="K1285"/>
  <c r="K1286"/>
  <c r="K1287"/>
  <c r="K1288"/>
  <c r="K1289"/>
  <c r="K1290"/>
  <c r="K1291"/>
  <c r="K1292"/>
  <c r="K1293"/>
  <c r="K1294"/>
  <c r="K1295"/>
  <c r="K1296"/>
  <c r="K1297"/>
  <c r="K1298"/>
  <c r="K1299"/>
  <c r="K1300"/>
  <c r="K1301"/>
  <c r="K1302"/>
  <c r="K1303"/>
  <c r="K1304"/>
  <c r="K1305"/>
  <c r="K1306"/>
  <c r="K1307"/>
  <c r="K1308"/>
  <c r="K1309"/>
  <c r="K1310"/>
  <c r="K1311"/>
  <c r="K1312"/>
  <c r="K1313"/>
  <c r="K1314"/>
  <c r="K1315"/>
  <c r="K1316"/>
  <c r="K1317"/>
  <c r="K1318"/>
  <c r="K1319"/>
  <c r="K1320"/>
  <c r="K1321"/>
  <c r="K1322"/>
  <c r="K1323"/>
  <c r="K1324"/>
  <c r="K1325"/>
  <c r="K1326"/>
  <c r="K1327"/>
  <c r="K1328"/>
  <c r="K1329"/>
  <c r="K1330"/>
  <c r="K1331"/>
  <c r="K1332"/>
  <c r="K1333"/>
  <c r="K1334"/>
  <c r="K1335"/>
  <c r="K1336"/>
  <c r="K1337"/>
  <c r="K1338"/>
  <c r="K1339"/>
  <c r="K1340"/>
  <c r="K1341"/>
  <c r="K1342"/>
  <c r="K1343"/>
  <c r="K1344"/>
  <c r="K1345"/>
  <c r="K1346"/>
  <c r="K1347"/>
  <c r="K1348"/>
  <c r="K1349"/>
  <c r="K1350"/>
  <c r="K1351"/>
  <c r="K1352"/>
  <c r="K1353"/>
  <c r="K1354"/>
  <c r="K1355"/>
  <c r="K1356"/>
  <c r="K1357"/>
  <c r="K1358"/>
  <c r="K1359"/>
  <c r="K1360"/>
  <c r="K1361"/>
  <c r="K1362"/>
  <c r="K1363"/>
  <c r="K1364"/>
  <c r="K1365"/>
  <c r="K1366"/>
  <c r="K1367"/>
  <c r="K1368"/>
  <c r="K1369"/>
  <c r="K1370"/>
  <c r="K1371"/>
  <c r="K1372"/>
  <c r="K1373"/>
  <c r="K1374"/>
  <c r="K1375"/>
  <c r="K1376"/>
  <c r="K1377"/>
  <c r="K1378"/>
  <c r="K1379"/>
  <c r="K1380"/>
  <c r="K1381"/>
  <c r="K1382"/>
  <c r="K1383"/>
  <c r="K1384"/>
  <c r="K1385"/>
  <c r="K1386"/>
  <c r="K1387"/>
  <c r="K1388"/>
  <c r="K1389"/>
  <c r="K1390"/>
  <c r="K1391"/>
  <c r="K1392"/>
  <c r="K1393"/>
  <c r="K1394"/>
  <c r="K1395"/>
  <c r="K1396"/>
  <c r="K1397"/>
  <c r="K1398"/>
  <c r="K1399"/>
  <c r="K1400"/>
  <c r="K1401"/>
  <c r="K1402"/>
  <c r="K1403"/>
  <c r="K1404"/>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4"/>
  <c r="K5"/>
  <c r="K6"/>
  <c r="K7"/>
  <c r="K8"/>
  <c r="K9"/>
  <c r="K10"/>
  <c r="K11"/>
  <c r="K12"/>
  <c r="K13"/>
  <c r="K14"/>
  <c r="K15"/>
  <c r="K16"/>
  <c r="K17"/>
  <c r="K18"/>
  <c r="K19"/>
  <c r="K20"/>
  <c r="K21"/>
  <c r="K22"/>
  <c r="K23"/>
  <c r="K24"/>
  <c r="K25"/>
  <c r="K26"/>
  <c r="K27"/>
  <c r="K28"/>
  <c r="K29"/>
  <c r="K30"/>
  <c r="K31"/>
  <c r="K32"/>
  <c r="K33"/>
  <c r="K34"/>
  <c r="K35"/>
  <c r="K3"/>
  <c r="P1283" i="8"/>
  <c r="J1283"/>
  <c r="P1282"/>
  <c r="J1282"/>
  <c r="P1281"/>
  <c r="J1281"/>
  <c r="P1280"/>
  <c r="J1280"/>
  <c r="P1279"/>
  <c r="J1279"/>
  <c r="P1278"/>
  <c r="J1278"/>
  <c r="P1277"/>
  <c r="J1277"/>
  <c r="P1276"/>
  <c r="J1276"/>
  <c r="P1275"/>
  <c r="J1275"/>
  <c r="P1274"/>
  <c r="J1274"/>
  <c r="P1273"/>
  <c r="J1273"/>
  <c r="P1272"/>
  <c r="M1272"/>
  <c r="J1272"/>
  <c r="P1271"/>
  <c r="J1271"/>
  <c r="P1270"/>
  <c r="J1270"/>
  <c r="P1269"/>
  <c r="J1269"/>
  <c r="P1268"/>
  <c r="J1268"/>
  <c r="P1267"/>
  <c r="J1267"/>
  <c r="P1266"/>
  <c r="J1266"/>
  <c r="P1265"/>
  <c r="M1265"/>
  <c r="J1265"/>
  <c r="P1264"/>
  <c r="J1264"/>
  <c r="P1263"/>
  <c r="J1263"/>
  <c r="P1262"/>
  <c r="M1262"/>
  <c r="J1262"/>
  <c r="P1261"/>
  <c r="J1261"/>
  <c r="P1260"/>
  <c r="M1260"/>
  <c r="J1260"/>
  <c r="P1259"/>
  <c r="M1259"/>
  <c r="J1259"/>
  <c r="P1258"/>
  <c r="M1258"/>
  <c r="J1258"/>
  <c r="P1257"/>
  <c r="J1257"/>
  <c r="P1256"/>
  <c r="J1256"/>
  <c r="P1255"/>
  <c r="M1255"/>
  <c r="J1255"/>
  <c r="P1254"/>
  <c r="J1254"/>
  <c r="P1253"/>
  <c r="J1253"/>
  <c r="P1252"/>
  <c r="M1252"/>
  <c r="J1252"/>
  <c r="P1251"/>
  <c r="J1251"/>
  <c r="P1250"/>
  <c r="J1250"/>
  <c r="P1249"/>
  <c r="J1249"/>
  <c r="P1248"/>
  <c r="M1248"/>
  <c r="J1248"/>
  <c r="P1247"/>
  <c r="J1247"/>
  <c r="P1246"/>
  <c r="M1246"/>
  <c r="J1246"/>
  <c r="P1245"/>
  <c r="J1245"/>
  <c r="P1244"/>
  <c r="M1244"/>
  <c r="J1244"/>
  <c r="P1243"/>
  <c r="J1243"/>
  <c r="P1242"/>
  <c r="J1242"/>
  <c r="P1241"/>
  <c r="M1241"/>
  <c r="J1241"/>
  <c r="P1240"/>
  <c r="J1240"/>
  <c r="P1239"/>
  <c r="M1239"/>
  <c r="J1239"/>
  <c r="P1238"/>
  <c r="M1238"/>
  <c r="J1238"/>
  <c r="P1237"/>
  <c r="J1237"/>
  <c r="P1236"/>
  <c r="J1236"/>
  <c r="P1235"/>
  <c r="M1235"/>
  <c r="J1235"/>
  <c r="P1234"/>
  <c r="J1234"/>
  <c r="P1233"/>
  <c r="J1233"/>
  <c r="P1232"/>
  <c r="J1232"/>
  <c r="P1231"/>
  <c r="J1231"/>
  <c r="P1230"/>
  <c r="J1230"/>
  <c r="P1229"/>
  <c r="J1229"/>
  <c r="P1228"/>
  <c r="J1228"/>
  <c r="P1227"/>
  <c r="J1227"/>
  <c r="P1226"/>
  <c r="J1226"/>
  <c r="P1225"/>
  <c r="J1225"/>
  <c r="P1224"/>
  <c r="J1224"/>
  <c r="P1223"/>
  <c r="M1223"/>
  <c r="J1223"/>
  <c r="P1222"/>
  <c r="M1222"/>
  <c r="J1222"/>
  <c r="P1221"/>
  <c r="J1221"/>
  <c r="P1220"/>
  <c r="M1220"/>
  <c r="J1220"/>
  <c r="P1219"/>
  <c r="J1219"/>
  <c r="P1218"/>
  <c r="J1218"/>
  <c r="P1217"/>
  <c r="J1217"/>
  <c r="P1216"/>
  <c r="J1216"/>
  <c r="P1215"/>
  <c r="J1215"/>
  <c r="P1214"/>
  <c r="J1214"/>
  <c r="P1213"/>
  <c r="J1213"/>
  <c r="P1212"/>
  <c r="J1212"/>
  <c r="P1211"/>
  <c r="J1211"/>
  <c r="P1210"/>
  <c r="J1210"/>
  <c r="P1209"/>
  <c r="J1209"/>
  <c r="P1208"/>
  <c r="M1208"/>
  <c r="J1208"/>
  <c r="P1207"/>
  <c r="J1207"/>
  <c r="P1206"/>
  <c r="J1206"/>
  <c r="P1205"/>
  <c r="J1205"/>
  <c r="P1204"/>
  <c r="J1204"/>
  <c r="P1203"/>
  <c r="J1203"/>
  <c r="P1202"/>
  <c r="J1202"/>
  <c r="P1201"/>
  <c r="M1201"/>
  <c r="J1201"/>
  <c r="P1200"/>
  <c r="J1200"/>
  <c r="P1199"/>
  <c r="J1199"/>
  <c r="P1198"/>
  <c r="J1198"/>
  <c r="P1197"/>
  <c r="M1197"/>
  <c r="J1197"/>
  <c r="P1196"/>
  <c r="M1196"/>
  <c r="J1196"/>
  <c r="P1195"/>
  <c r="J1195"/>
  <c r="P1194"/>
  <c r="J1194"/>
  <c r="P1193"/>
  <c r="M1193"/>
  <c r="J1193"/>
  <c r="P1192"/>
  <c r="J1192"/>
  <c r="P1191"/>
  <c r="M1191"/>
  <c r="J1191"/>
  <c r="P1190"/>
  <c r="J1190"/>
  <c r="P1189"/>
  <c r="M1189"/>
  <c r="J1189"/>
  <c r="P1188"/>
  <c r="M1188"/>
  <c r="J1188"/>
  <c r="P1187"/>
  <c r="J1187"/>
  <c r="P1186"/>
  <c r="M1186"/>
  <c r="J1186"/>
  <c r="P1185"/>
  <c r="M1185"/>
  <c r="J1185"/>
  <c r="P1184"/>
  <c r="J1184"/>
  <c r="P1183"/>
  <c r="J1183"/>
  <c r="P1182"/>
  <c r="J1182"/>
  <c r="P1181"/>
  <c r="J1181"/>
  <c r="P1180"/>
  <c r="M1180"/>
  <c r="J1180"/>
  <c r="P1179"/>
  <c r="J1179"/>
  <c r="P1178"/>
  <c r="J1178"/>
  <c r="P1177"/>
  <c r="M1177"/>
  <c r="J1177"/>
  <c r="P1176"/>
  <c r="J1176"/>
  <c r="P1175"/>
  <c r="J1175"/>
  <c r="P1174"/>
  <c r="M1174"/>
  <c r="J1174"/>
  <c r="P1173"/>
  <c r="M1173"/>
  <c r="J1173"/>
  <c r="P1172"/>
  <c r="J1172"/>
  <c r="P1171"/>
  <c r="J1171"/>
  <c r="P1170"/>
  <c r="J1170"/>
  <c r="P1169"/>
  <c r="J1169"/>
  <c r="P1168"/>
  <c r="J1168"/>
  <c r="P1167"/>
  <c r="J1167"/>
  <c r="P1166"/>
  <c r="M1166"/>
  <c r="J1166"/>
  <c r="P1165"/>
  <c r="J1165"/>
  <c r="P1164"/>
  <c r="J1164"/>
  <c r="P1163"/>
  <c r="M1163"/>
  <c r="J1163"/>
  <c r="P1162"/>
  <c r="M1162"/>
  <c r="J1162"/>
  <c r="P1161"/>
  <c r="J1161"/>
  <c r="P1160"/>
  <c r="M1160"/>
  <c r="J1160"/>
  <c r="P1159"/>
  <c r="J1159"/>
  <c r="P1158"/>
  <c r="J1158"/>
  <c r="P1157"/>
  <c r="M1157"/>
  <c r="J1157"/>
  <c r="P1156"/>
  <c r="J1156"/>
  <c r="P1155"/>
  <c r="M1155"/>
  <c r="J1155"/>
  <c r="P1154"/>
  <c r="J1154"/>
  <c r="P1153"/>
  <c r="J1153"/>
  <c r="P1152"/>
  <c r="M1152"/>
  <c r="J1152"/>
  <c r="P1151"/>
  <c r="J1151"/>
  <c r="P1150"/>
  <c r="M1150"/>
  <c r="J1150"/>
  <c r="P1149"/>
  <c r="J1149"/>
  <c r="P1148"/>
  <c r="M1148"/>
  <c r="J1148"/>
  <c r="P1147"/>
  <c r="J1147"/>
  <c r="P1146"/>
  <c r="M1146"/>
  <c r="J1146"/>
  <c r="P1145"/>
  <c r="J1145"/>
  <c r="P1144"/>
  <c r="M1144"/>
  <c r="J1144"/>
  <c r="P1143"/>
  <c r="J1143"/>
  <c r="P1142"/>
  <c r="J1142"/>
  <c r="P1141"/>
  <c r="J1141"/>
  <c r="P1140"/>
  <c r="J1140"/>
  <c r="P1139"/>
  <c r="J1139"/>
  <c r="P1138"/>
  <c r="J1138"/>
  <c r="P1137"/>
  <c r="J1137"/>
  <c r="P1136"/>
  <c r="M1136"/>
  <c r="J1136"/>
  <c r="P1135"/>
  <c r="J1135"/>
  <c r="P1134"/>
  <c r="J1134"/>
  <c r="P1133"/>
  <c r="J1133"/>
  <c r="P1132"/>
  <c r="J1132"/>
  <c r="P1131"/>
  <c r="J1131"/>
  <c r="P1130"/>
  <c r="J1130"/>
  <c r="P1129"/>
  <c r="M1129"/>
  <c r="J1129"/>
  <c r="P1128"/>
  <c r="M1128"/>
  <c r="J1128"/>
  <c r="P1127"/>
  <c r="J1127"/>
  <c r="P1126"/>
  <c r="M1126"/>
  <c r="J1126"/>
  <c r="P1125"/>
  <c r="M1125"/>
  <c r="J1125"/>
  <c r="P1124"/>
  <c r="J1124"/>
  <c r="P1123"/>
  <c r="J1123"/>
  <c r="P1122"/>
  <c r="J1122"/>
  <c r="P1121"/>
  <c r="J1121"/>
  <c r="P1120"/>
  <c r="J1120"/>
  <c r="P1119"/>
  <c r="J1119"/>
  <c r="P1118"/>
  <c r="J1118"/>
  <c r="P1117"/>
  <c r="J1117"/>
  <c r="P1116"/>
  <c r="M1116"/>
  <c r="J1116"/>
  <c r="P1115"/>
  <c r="J1115"/>
  <c r="P1114"/>
  <c r="J1114"/>
  <c r="P1113"/>
  <c r="M1113"/>
  <c r="J1113"/>
  <c r="P1112"/>
  <c r="J1112"/>
  <c r="P1111"/>
  <c r="J1111"/>
  <c r="P1110"/>
  <c r="J1110"/>
  <c r="P1109"/>
  <c r="J1109"/>
  <c r="P1108"/>
  <c r="J1108"/>
  <c r="P1107"/>
  <c r="J1107"/>
  <c r="P1106"/>
  <c r="J1106"/>
  <c r="P1105"/>
  <c r="J1105"/>
  <c r="P1104"/>
  <c r="J1104"/>
  <c r="P1103"/>
  <c r="J1103"/>
  <c r="P1102"/>
  <c r="M1102"/>
  <c r="J1102"/>
  <c r="P1101"/>
  <c r="M1101"/>
  <c r="J1101"/>
  <c r="P1100"/>
  <c r="M1100"/>
  <c r="J1100"/>
  <c r="P1099"/>
  <c r="J1099"/>
  <c r="P1098"/>
  <c r="J1098"/>
  <c r="P1097"/>
  <c r="M1097"/>
  <c r="J1097"/>
  <c r="P1096"/>
  <c r="J1096"/>
  <c r="P1095"/>
  <c r="J1095"/>
  <c r="P1094"/>
  <c r="M1094"/>
  <c r="J1094"/>
  <c r="P1093"/>
  <c r="M1093"/>
  <c r="J1093"/>
  <c r="P1092"/>
  <c r="M1092"/>
  <c r="J1092"/>
  <c r="P1091"/>
  <c r="J1091"/>
  <c r="P1090"/>
  <c r="J1090"/>
  <c r="P1089"/>
  <c r="M1089"/>
  <c r="J1089"/>
  <c r="P1088"/>
  <c r="M1088"/>
  <c r="J1088"/>
  <c r="P1087"/>
  <c r="J1087"/>
  <c r="P1086"/>
  <c r="M1086"/>
  <c r="J1086"/>
  <c r="P1085"/>
  <c r="M1085"/>
  <c r="J1085"/>
  <c r="P1084"/>
  <c r="J1084"/>
  <c r="P1083"/>
  <c r="J1083"/>
  <c r="P1082"/>
  <c r="M1082"/>
  <c r="J1082"/>
  <c r="P1081"/>
  <c r="M1081"/>
  <c r="J1081"/>
  <c r="P1080"/>
  <c r="J1080"/>
  <c r="P1079"/>
  <c r="J1079"/>
  <c r="P1078"/>
  <c r="J1078"/>
  <c r="P1077"/>
  <c r="J1077"/>
  <c r="P1076"/>
  <c r="M1076"/>
  <c r="J1076"/>
  <c r="P1075"/>
  <c r="J1075"/>
  <c r="P1074"/>
  <c r="M1074"/>
  <c r="J1074"/>
  <c r="P1073"/>
  <c r="J1073"/>
  <c r="P1072"/>
  <c r="M1072"/>
  <c r="J1072"/>
  <c r="P1071"/>
  <c r="J1071"/>
  <c r="P1070"/>
  <c r="J1070"/>
  <c r="P1069"/>
  <c r="J1069"/>
  <c r="P1068"/>
  <c r="M1068"/>
  <c r="J1068"/>
  <c r="P1067"/>
  <c r="J1067"/>
  <c r="P1066"/>
  <c r="M1066"/>
  <c r="J1066"/>
  <c r="P1065"/>
  <c r="J1065"/>
  <c r="P1064"/>
  <c r="J1064"/>
  <c r="P1063"/>
  <c r="J1063"/>
  <c r="P1062"/>
  <c r="M1062"/>
  <c r="J1062"/>
  <c r="P1061"/>
  <c r="J1061"/>
  <c r="P1060"/>
  <c r="M1060"/>
  <c r="J1060"/>
  <c r="P1059"/>
  <c r="J1059"/>
  <c r="P1058"/>
  <c r="J1058"/>
  <c r="P1057"/>
  <c r="J1057"/>
  <c r="P1056"/>
  <c r="J1056"/>
  <c r="P1055"/>
  <c r="J1055"/>
  <c r="P1054"/>
  <c r="J1054"/>
  <c r="P1053"/>
  <c r="J1053"/>
  <c r="P1052"/>
  <c r="J1052"/>
  <c r="P1051"/>
  <c r="J1051"/>
  <c r="P1050"/>
  <c r="J1050"/>
  <c r="P1049"/>
  <c r="J1049"/>
  <c r="P1048"/>
  <c r="J1048"/>
  <c r="P1047"/>
  <c r="M1047"/>
  <c r="J1047"/>
  <c r="P1046"/>
  <c r="J1046"/>
  <c r="P1045"/>
  <c r="J1045"/>
  <c r="P1044"/>
  <c r="J1044"/>
  <c r="P1043"/>
  <c r="M1043"/>
  <c r="J1043"/>
  <c r="P1042"/>
  <c r="M1042"/>
  <c r="J1042"/>
  <c r="P1041"/>
  <c r="J1041"/>
  <c r="P1040"/>
  <c r="M1040"/>
  <c r="J1040"/>
  <c r="P1039"/>
  <c r="J1039"/>
  <c r="P1038"/>
  <c r="M1038"/>
  <c r="J1038"/>
  <c r="P1037"/>
  <c r="J1037"/>
  <c r="P1036"/>
  <c r="M1036"/>
  <c r="J1036"/>
  <c r="P1035"/>
  <c r="J1035"/>
  <c r="P1034"/>
  <c r="J1034"/>
  <c r="P1033"/>
  <c r="J1033"/>
  <c r="P1032"/>
  <c r="J1032"/>
  <c r="P1031"/>
  <c r="M1031"/>
  <c r="J1031"/>
  <c r="P1030"/>
  <c r="J1030"/>
  <c r="P1029"/>
  <c r="M1029"/>
  <c r="J1029"/>
  <c r="P1028"/>
  <c r="J1028"/>
  <c r="P1027"/>
  <c r="J1027"/>
  <c r="P1026"/>
  <c r="J1026"/>
  <c r="P1025"/>
  <c r="M1025"/>
  <c r="J1025"/>
  <c r="P1024"/>
  <c r="J1024"/>
  <c r="P1023"/>
  <c r="J1023"/>
  <c r="P1022"/>
  <c r="J1022"/>
  <c r="P1021"/>
  <c r="J1021"/>
  <c r="P1020"/>
  <c r="J1020"/>
  <c r="P1019"/>
  <c r="J1019"/>
  <c r="P1018"/>
  <c r="J1018"/>
  <c r="P1017"/>
  <c r="J1017"/>
  <c r="P1016"/>
  <c r="J1016"/>
  <c r="P1015"/>
  <c r="J1015"/>
  <c r="P1014"/>
  <c r="M1014"/>
  <c r="J1014"/>
  <c r="P1013"/>
  <c r="J1013"/>
  <c r="P1012"/>
  <c r="J1012"/>
  <c r="P1011"/>
  <c r="M1011"/>
  <c r="J1011"/>
  <c r="P1010"/>
  <c r="J1010"/>
  <c r="P1009"/>
  <c r="J1009"/>
  <c r="P1008"/>
  <c r="J1008"/>
  <c r="P1007"/>
  <c r="J1007"/>
  <c r="P1006"/>
  <c r="J1006"/>
  <c r="P1005"/>
  <c r="M1005"/>
  <c r="J1005"/>
  <c r="P1004"/>
  <c r="M1004"/>
  <c r="J1004"/>
  <c r="P1003"/>
  <c r="J1003"/>
  <c r="P1002"/>
  <c r="J1002"/>
  <c r="P1001"/>
  <c r="M1001"/>
  <c r="J1001"/>
  <c r="P1000"/>
  <c r="M1000"/>
  <c r="J1000"/>
  <c r="P999"/>
  <c r="J999"/>
  <c r="P998"/>
  <c r="J998"/>
  <c r="P997"/>
  <c r="M997"/>
  <c r="J997"/>
  <c r="P996"/>
  <c r="J996"/>
  <c r="P995"/>
  <c r="J995"/>
  <c r="P994"/>
  <c r="J994"/>
  <c r="P993"/>
  <c r="J993"/>
  <c r="P992"/>
  <c r="J992"/>
  <c r="P991"/>
  <c r="J991"/>
  <c r="P990"/>
  <c r="J990"/>
  <c r="P989"/>
  <c r="J989"/>
  <c r="P988"/>
  <c r="J988"/>
  <c r="P987"/>
  <c r="J987"/>
  <c r="P986"/>
  <c r="J986"/>
  <c r="P985"/>
  <c r="M985"/>
  <c r="J985"/>
  <c r="P984"/>
  <c r="M984"/>
  <c r="J984"/>
  <c r="P983"/>
  <c r="J983"/>
  <c r="P982"/>
  <c r="J982"/>
  <c r="P981"/>
  <c r="M981"/>
  <c r="J981"/>
  <c r="P980"/>
  <c r="M980"/>
  <c r="J980"/>
  <c r="P979"/>
  <c r="J979"/>
  <c r="P978"/>
  <c r="J978"/>
  <c r="P977"/>
  <c r="J977"/>
  <c r="P976"/>
  <c r="J976"/>
  <c r="P975"/>
  <c r="J975"/>
  <c r="P974"/>
  <c r="M974"/>
  <c r="J974"/>
  <c r="P973"/>
  <c r="M973"/>
  <c r="J973"/>
  <c r="P972"/>
  <c r="J972"/>
  <c r="P971"/>
  <c r="J971"/>
  <c r="P970"/>
  <c r="J970"/>
  <c r="P969"/>
  <c r="M969"/>
  <c r="J969"/>
  <c r="P968"/>
  <c r="J968"/>
  <c r="P967"/>
  <c r="J967"/>
  <c r="P966"/>
  <c r="J966"/>
  <c r="P965"/>
  <c r="J965"/>
  <c r="P964"/>
  <c r="J964"/>
  <c r="P963"/>
  <c r="M963"/>
  <c r="J963"/>
  <c r="P962"/>
  <c r="J962"/>
  <c r="P961"/>
  <c r="J961"/>
  <c r="P960"/>
  <c r="J960"/>
  <c r="P959"/>
  <c r="J959"/>
  <c r="P958"/>
  <c r="J958"/>
  <c r="P957"/>
  <c r="J957"/>
  <c r="P956"/>
  <c r="J956"/>
  <c r="P955"/>
  <c r="J955"/>
  <c r="P954"/>
  <c r="J954"/>
  <c r="P953"/>
  <c r="J953"/>
  <c r="P952"/>
  <c r="J952"/>
  <c r="P951"/>
  <c r="J951"/>
  <c r="P950"/>
  <c r="J950"/>
  <c r="P949"/>
  <c r="J949"/>
  <c r="P948"/>
  <c r="J948"/>
  <c r="P947"/>
  <c r="J947"/>
  <c r="P946"/>
  <c r="J946"/>
  <c r="P945"/>
  <c r="J945"/>
  <c r="P944"/>
  <c r="M944"/>
  <c r="J944"/>
  <c r="P943"/>
  <c r="M943"/>
  <c r="J943"/>
  <c r="P942"/>
  <c r="J942"/>
  <c r="P941"/>
  <c r="J941"/>
  <c r="P940"/>
  <c r="M940"/>
  <c r="J940"/>
  <c r="P939"/>
  <c r="J939"/>
  <c r="P938"/>
  <c r="J938"/>
  <c r="P937"/>
  <c r="J937"/>
  <c r="P936"/>
  <c r="J936"/>
  <c r="P935"/>
  <c r="J935"/>
  <c r="P934"/>
  <c r="J934"/>
  <c r="P933"/>
  <c r="J933"/>
  <c r="P932"/>
  <c r="J932"/>
  <c r="P931"/>
  <c r="J931"/>
  <c r="P930"/>
  <c r="M930"/>
  <c r="J930"/>
  <c r="P929"/>
  <c r="J929"/>
  <c r="P928"/>
  <c r="J928"/>
  <c r="P927"/>
  <c r="M927"/>
  <c r="J927"/>
  <c r="P926"/>
  <c r="M926"/>
  <c r="J926"/>
  <c r="P925"/>
  <c r="J925"/>
  <c r="P924"/>
  <c r="J924"/>
  <c r="P923"/>
  <c r="J923"/>
  <c r="P922"/>
  <c r="J922"/>
  <c r="P921"/>
  <c r="J921"/>
  <c r="P920"/>
  <c r="J920"/>
  <c r="P919"/>
  <c r="M919"/>
  <c r="J919"/>
  <c r="P918"/>
  <c r="J918"/>
  <c r="P917"/>
  <c r="J917"/>
  <c r="P916"/>
  <c r="M916"/>
  <c r="J916"/>
  <c r="P915"/>
  <c r="M915"/>
  <c r="J915"/>
  <c r="P914"/>
  <c r="J914"/>
  <c r="P913"/>
  <c r="M913"/>
  <c r="J913"/>
  <c r="P912"/>
  <c r="M912"/>
  <c r="J912"/>
  <c r="P911"/>
  <c r="J911"/>
  <c r="P910"/>
  <c r="J910"/>
  <c r="P909"/>
  <c r="J909"/>
  <c r="P908"/>
  <c r="J908"/>
  <c r="P907"/>
  <c r="J907"/>
  <c r="P906"/>
  <c r="J906"/>
  <c r="P905"/>
  <c r="J905"/>
  <c r="P904"/>
  <c r="J904"/>
  <c r="P903"/>
  <c r="J903"/>
  <c r="P902"/>
  <c r="J902"/>
  <c r="P901"/>
  <c r="J901"/>
  <c r="P900"/>
  <c r="J900"/>
  <c r="P899"/>
  <c r="J899"/>
  <c r="P898"/>
  <c r="J898"/>
  <c r="P897"/>
  <c r="J897"/>
  <c r="P896"/>
  <c r="J896"/>
  <c r="P895"/>
  <c r="M895"/>
  <c r="J895"/>
  <c r="P894"/>
  <c r="J894"/>
  <c r="P893"/>
  <c r="J893"/>
  <c r="P892"/>
  <c r="J892"/>
  <c r="P891"/>
  <c r="J891"/>
  <c r="P890"/>
  <c r="J890"/>
  <c r="P889"/>
  <c r="J889"/>
  <c r="P888"/>
  <c r="M888"/>
  <c r="J888"/>
  <c r="P887"/>
  <c r="J887"/>
  <c r="P886"/>
  <c r="J886"/>
  <c r="P885"/>
  <c r="J885"/>
  <c r="P884"/>
  <c r="J884"/>
  <c r="P883"/>
  <c r="J883"/>
  <c r="P882"/>
  <c r="J882"/>
  <c r="P881"/>
  <c r="J881"/>
  <c r="P880"/>
  <c r="M880"/>
  <c r="J880"/>
  <c r="P879"/>
  <c r="J879"/>
  <c r="P878"/>
  <c r="J878"/>
  <c r="P877"/>
  <c r="J877"/>
  <c r="P876"/>
  <c r="J876"/>
  <c r="P875"/>
  <c r="J875"/>
  <c r="P874"/>
  <c r="J874"/>
  <c r="P873"/>
  <c r="J873"/>
  <c r="P872"/>
  <c r="J872"/>
  <c r="P871"/>
  <c r="M871"/>
  <c r="J871"/>
  <c r="P870"/>
  <c r="J870"/>
  <c r="P869"/>
  <c r="J869"/>
  <c r="P868"/>
  <c r="M868"/>
  <c r="J868"/>
  <c r="P867"/>
  <c r="J867"/>
  <c r="P866"/>
  <c r="J866"/>
  <c r="P865"/>
  <c r="J865"/>
  <c r="P864"/>
  <c r="M864"/>
  <c r="J864"/>
  <c r="P863"/>
  <c r="J863"/>
  <c r="P862"/>
  <c r="J862"/>
  <c r="P861"/>
  <c r="J861"/>
  <c r="P860"/>
  <c r="J860"/>
  <c r="P859"/>
  <c r="M859"/>
  <c r="J859"/>
  <c r="P858"/>
  <c r="J858"/>
  <c r="P857"/>
  <c r="J857"/>
  <c r="P856"/>
  <c r="J856"/>
  <c r="P855"/>
  <c r="J855"/>
  <c r="P854"/>
  <c r="M854"/>
  <c r="J854"/>
  <c r="P853"/>
  <c r="J853"/>
  <c r="P852"/>
  <c r="J852"/>
  <c r="P851"/>
  <c r="M851"/>
  <c r="J851"/>
  <c r="P850"/>
  <c r="J850"/>
  <c r="P849"/>
  <c r="J849"/>
  <c r="P848"/>
  <c r="J848"/>
  <c r="P847"/>
  <c r="J847"/>
  <c r="P846"/>
  <c r="J846"/>
  <c r="P845"/>
  <c r="J845"/>
  <c r="P844"/>
  <c r="J844"/>
  <c r="P843"/>
  <c r="J843"/>
  <c r="P842"/>
  <c r="J842"/>
  <c r="P841"/>
  <c r="J841"/>
  <c r="P840"/>
  <c r="M840"/>
  <c r="J840"/>
  <c r="P839"/>
  <c r="J839"/>
  <c r="P838"/>
  <c r="M838"/>
  <c r="J838"/>
  <c r="P837"/>
  <c r="J837"/>
  <c r="P836"/>
  <c r="J836"/>
  <c r="P835"/>
  <c r="M835"/>
  <c r="J835"/>
  <c r="P834"/>
  <c r="J834"/>
  <c r="P833"/>
  <c r="J833"/>
  <c r="P832"/>
  <c r="M832"/>
  <c r="J832"/>
  <c r="P831"/>
  <c r="J831"/>
  <c r="P830"/>
  <c r="M830"/>
  <c r="J830"/>
  <c r="P829"/>
  <c r="M829"/>
  <c r="J829"/>
  <c r="P828"/>
  <c r="J828"/>
  <c r="P827"/>
  <c r="J827"/>
  <c r="P826"/>
  <c r="J826"/>
  <c r="P825"/>
  <c r="J825"/>
  <c r="P824"/>
  <c r="M824"/>
  <c r="J824"/>
  <c r="P823"/>
  <c r="M823"/>
  <c r="J823"/>
  <c r="P822"/>
  <c r="M822"/>
  <c r="J822"/>
  <c r="P821"/>
  <c r="J821"/>
  <c r="P820"/>
  <c r="J820"/>
  <c r="P819"/>
  <c r="J819"/>
  <c r="P818"/>
  <c r="J818"/>
  <c r="P817"/>
  <c r="J817"/>
  <c r="P816"/>
  <c r="J816"/>
  <c r="P815"/>
  <c r="J815"/>
  <c r="P814"/>
  <c r="J814"/>
  <c r="P813"/>
  <c r="J813"/>
  <c r="P812"/>
  <c r="J812"/>
  <c r="P811"/>
  <c r="J811"/>
  <c r="P810"/>
  <c r="M810"/>
  <c r="J810"/>
  <c r="P809"/>
  <c r="J809"/>
  <c r="P808"/>
  <c r="J808"/>
  <c r="P807"/>
  <c r="J807"/>
  <c r="P806"/>
  <c r="J806"/>
  <c r="P805"/>
  <c r="J805"/>
  <c r="P804"/>
  <c r="J804"/>
  <c r="P803"/>
  <c r="J803"/>
  <c r="P802"/>
  <c r="J802"/>
  <c r="P801"/>
  <c r="J801"/>
  <c r="P800"/>
  <c r="J800"/>
  <c r="P799"/>
  <c r="J799"/>
  <c r="P798"/>
  <c r="J798"/>
  <c r="P797"/>
  <c r="M797"/>
  <c r="J797"/>
  <c r="P796"/>
  <c r="M796"/>
  <c r="J796"/>
  <c r="P795"/>
  <c r="J795"/>
  <c r="P794"/>
  <c r="M794"/>
  <c r="J794"/>
  <c r="P793"/>
  <c r="J793"/>
  <c r="P792"/>
  <c r="J792"/>
  <c r="P791"/>
  <c r="J791"/>
  <c r="P790"/>
  <c r="J790"/>
  <c r="P789"/>
  <c r="J789"/>
  <c r="P788"/>
  <c r="J788"/>
  <c r="P787"/>
  <c r="J787"/>
  <c r="P786"/>
  <c r="M786"/>
  <c r="J786"/>
  <c r="P785"/>
  <c r="J785"/>
  <c r="P784"/>
  <c r="J784"/>
  <c r="P783"/>
  <c r="J783"/>
  <c r="P782"/>
  <c r="J782"/>
  <c r="P781"/>
  <c r="M781"/>
  <c r="J781"/>
  <c r="P780"/>
  <c r="J780"/>
  <c r="P779"/>
  <c r="J779"/>
  <c r="P778"/>
  <c r="J778"/>
  <c r="P777"/>
  <c r="M777"/>
  <c r="J777"/>
  <c r="P776"/>
  <c r="J776"/>
  <c r="P775"/>
  <c r="J775"/>
  <c r="P774"/>
  <c r="J774"/>
  <c r="P773"/>
  <c r="J773"/>
  <c r="P772"/>
  <c r="M772"/>
  <c r="J772"/>
  <c r="P771"/>
  <c r="J771"/>
  <c r="P770"/>
  <c r="J770"/>
  <c r="P769"/>
  <c r="J769"/>
  <c r="P768"/>
  <c r="M768"/>
  <c r="J768"/>
  <c r="P767"/>
  <c r="J767"/>
  <c r="P766"/>
  <c r="J766"/>
  <c r="P765"/>
  <c r="M765"/>
  <c r="J765"/>
  <c r="P764"/>
  <c r="M764"/>
  <c r="J764"/>
  <c r="P763"/>
  <c r="J763"/>
  <c r="P762"/>
  <c r="J762"/>
  <c r="P761"/>
  <c r="J761"/>
  <c r="P760"/>
  <c r="J760"/>
  <c r="P759"/>
  <c r="J759"/>
  <c r="P758"/>
  <c r="J758"/>
  <c r="P757"/>
  <c r="M757"/>
  <c r="J757"/>
  <c r="P756"/>
  <c r="J756"/>
  <c r="P755"/>
  <c r="M755"/>
  <c r="J755"/>
  <c r="C752"/>
  <c r="C751"/>
  <c r="C750"/>
  <c r="C749"/>
  <c r="H748" a="1"/>
  <c r="H748" s="1"/>
  <c r="G748" a="1"/>
  <c r="G748" s="1"/>
  <c r="F748" a="1"/>
  <c r="F748" s="1"/>
  <c r="E748" a="1"/>
  <c r="E748" s="1"/>
  <c r="C748"/>
  <c r="B714"/>
  <c r="J714" s="1"/>
  <c r="B713"/>
  <c r="B712"/>
  <c r="J712" s="1"/>
  <c r="B711"/>
  <c r="B710"/>
  <c r="J710" s="1"/>
  <c r="B709"/>
  <c r="J709" s="1"/>
  <c r="B708"/>
  <c r="B707"/>
  <c r="B706"/>
  <c r="J706" s="1"/>
  <c r="B705"/>
  <c r="B704"/>
  <c r="J704" s="1"/>
  <c r="B703"/>
  <c r="B702"/>
  <c r="J702" s="1"/>
  <c r="B701"/>
  <c r="J701" s="1"/>
  <c r="B700"/>
  <c r="B699"/>
  <c r="B698"/>
  <c r="J698" s="1"/>
  <c r="B697"/>
  <c r="B696"/>
  <c r="J696" s="1"/>
  <c r="B695"/>
  <c r="B694"/>
  <c r="J694" s="1"/>
  <c r="B693"/>
  <c r="J693" s="1"/>
  <c r="B692"/>
  <c r="B691"/>
  <c r="B690"/>
  <c r="J690" s="1"/>
  <c r="B689"/>
  <c r="B688"/>
  <c r="J688" s="1"/>
  <c r="B687"/>
  <c r="B686"/>
  <c r="J686" s="1"/>
  <c r="B685"/>
  <c r="J685" s="1"/>
  <c r="B684"/>
  <c r="B683"/>
  <c r="B682"/>
  <c r="J682" s="1"/>
  <c r="B681"/>
  <c r="B680"/>
  <c r="J680" s="1"/>
  <c r="B679"/>
  <c r="B678"/>
  <c r="J678" s="1"/>
  <c r="B677"/>
  <c r="J677" s="1"/>
  <c r="B676"/>
  <c r="B675"/>
  <c r="B674"/>
  <c r="J674" s="1"/>
  <c r="B673"/>
  <c r="B672"/>
  <c r="J672" s="1"/>
  <c r="B671"/>
  <c r="B670"/>
  <c r="J670" s="1"/>
  <c r="B669"/>
  <c r="J669" s="1"/>
  <c r="B668"/>
  <c r="B667"/>
  <c r="B666"/>
  <c r="J666" s="1"/>
  <c r="B665"/>
  <c r="B664"/>
  <c r="J664" s="1"/>
  <c r="B663"/>
  <c r="B662"/>
  <c r="J662" s="1"/>
  <c r="B661"/>
  <c r="J661" s="1"/>
  <c r="B660"/>
  <c r="B659"/>
  <c r="B658"/>
  <c r="J658" s="1"/>
  <c r="B657"/>
  <c r="B656"/>
  <c r="J656" s="1"/>
  <c r="B655"/>
  <c r="B654"/>
  <c r="J654" s="1"/>
  <c r="B653"/>
  <c r="J653" s="1"/>
  <c r="B652"/>
  <c r="B651"/>
  <c r="B650"/>
  <c r="J650" s="1"/>
  <c r="B649"/>
  <c r="B648"/>
  <c r="J648" s="1"/>
  <c r="B647"/>
  <c r="B646"/>
  <c r="J646" s="1"/>
  <c r="B645"/>
  <c r="J645" s="1"/>
  <c r="B644"/>
  <c r="B643"/>
  <c r="B642"/>
  <c r="B641"/>
  <c r="B640"/>
  <c r="J640" s="1"/>
  <c r="B639"/>
  <c r="J639" s="1"/>
  <c r="B638"/>
  <c r="B637"/>
  <c r="B636"/>
  <c r="J636" s="1"/>
  <c r="B635"/>
  <c r="J635" s="1"/>
  <c r="B634"/>
  <c r="B633"/>
  <c r="B632"/>
  <c r="J632" s="1"/>
  <c r="B631"/>
  <c r="J631" s="1"/>
  <c r="B630"/>
  <c r="B629"/>
  <c r="B628"/>
  <c r="J628" s="1"/>
  <c r="B627"/>
  <c r="J627" s="1"/>
  <c r="B626"/>
  <c r="B625"/>
  <c r="B624"/>
  <c r="J624" s="1"/>
  <c r="B623"/>
  <c r="J623" s="1"/>
  <c r="B622"/>
  <c r="B621"/>
  <c r="B620"/>
  <c r="J620" s="1"/>
  <c r="J619"/>
  <c r="B619"/>
  <c r="B618"/>
  <c r="B617"/>
  <c r="B616"/>
  <c r="J616" s="1"/>
  <c r="B615"/>
  <c r="J615" s="1"/>
  <c r="B614"/>
  <c r="B613"/>
  <c r="B612"/>
  <c r="J612" s="1"/>
  <c r="B611"/>
  <c r="J611" s="1"/>
  <c r="B610"/>
  <c r="B609"/>
  <c r="B608"/>
  <c r="J608" s="1"/>
  <c r="B607"/>
  <c r="J607" s="1"/>
  <c r="B606"/>
  <c r="B605"/>
  <c r="B604"/>
  <c r="J604" s="1"/>
  <c r="B603"/>
  <c r="J603" s="1"/>
  <c r="B602"/>
  <c r="B601"/>
  <c r="B600"/>
  <c r="J600" s="1"/>
  <c r="B599"/>
  <c r="J599" s="1"/>
  <c r="B598"/>
  <c r="B597"/>
  <c r="B596"/>
  <c r="J596" s="1"/>
  <c r="B595"/>
  <c r="J595" s="1"/>
  <c r="B594"/>
  <c r="B593"/>
  <c r="B592"/>
  <c r="J592" s="1"/>
  <c r="B591"/>
  <c r="J591" s="1"/>
  <c r="B590"/>
  <c r="B589"/>
  <c r="B588"/>
  <c r="J588" s="1"/>
  <c r="B587"/>
  <c r="J587" s="1"/>
  <c r="B586"/>
  <c r="B585"/>
  <c r="B584"/>
  <c r="J584" s="1"/>
  <c r="B583"/>
  <c r="J583" s="1"/>
  <c r="B582"/>
  <c r="B581"/>
  <c r="B580"/>
  <c r="J580" s="1"/>
  <c r="B579"/>
  <c r="J579" s="1"/>
  <c r="B578"/>
  <c r="B577"/>
  <c r="B576"/>
  <c r="J576" s="1"/>
  <c r="B575"/>
  <c r="J575" s="1"/>
  <c r="B574"/>
  <c r="B573"/>
  <c r="B572"/>
  <c r="J572" s="1"/>
  <c r="B571"/>
  <c r="J571" s="1"/>
  <c r="B570"/>
  <c r="B569"/>
  <c r="B568"/>
  <c r="J568" s="1"/>
  <c r="B567"/>
  <c r="J567" s="1"/>
  <c r="B566"/>
  <c r="B565"/>
  <c r="B564"/>
  <c r="J564" s="1"/>
  <c r="B563"/>
  <c r="J563" s="1"/>
  <c r="B562"/>
  <c r="B561"/>
  <c r="B560"/>
  <c r="J560" s="1"/>
  <c r="B559"/>
  <c r="J559" s="1"/>
  <c r="B558"/>
  <c r="B557"/>
  <c r="B556"/>
  <c r="J556" s="1"/>
  <c r="B555"/>
  <c r="J555" s="1"/>
  <c r="B554"/>
  <c r="B553"/>
  <c r="B552"/>
  <c r="J552" s="1"/>
  <c r="B551"/>
  <c r="J551" s="1"/>
  <c r="B550"/>
  <c r="B549"/>
  <c r="B548"/>
  <c r="J548" s="1"/>
  <c r="B547"/>
  <c r="J547" s="1"/>
  <c r="B546"/>
  <c r="B545"/>
  <c r="B544"/>
  <c r="J544" s="1"/>
  <c r="B543"/>
  <c r="J543" s="1"/>
  <c r="B542"/>
  <c r="B541"/>
  <c r="B540"/>
  <c r="J540" s="1"/>
  <c r="B539"/>
  <c r="J539" s="1"/>
  <c r="B538"/>
  <c r="B537"/>
  <c r="B536"/>
  <c r="J536" s="1"/>
  <c r="B535"/>
  <c r="J535" s="1"/>
  <c r="B534"/>
  <c r="B533"/>
  <c r="B532"/>
  <c r="J532" s="1"/>
  <c r="B531"/>
  <c r="J531" s="1"/>
  <c r="B530"/>
  <c r="B529"/>
  <c r="B528"/>
  <c r="J528" s="1"/>
  <c r="B527"/>
  <c r="J527" s="1"/>
  <c r="B526"/>
  <c r="B525"/>
  <c r="B524"/>
  <c r="J524" s="1"/>
  <c r="B523"/>
  <c r="J523" s="1"/>
  <c r="B522"/>
  <c r="B521"/>
  <c r="B520"/>
  <c r="J520" s="1"/>
  <c r="B519"/>
  <c r="J519" s="1"/>
  <c r="B518"/>
  <c r="B517"/>
  <c r="B516"/>
  <c r="J516" s="1"/>
  <c r="J515"/>
  <c r="B515"/>
  <c r="B514"/>
  <c r="B513"/>
  <c r="J512"/>
  <c r="B512"/>
  <c r="B511"/>
  <c r="J511" s="1"/>
  <c r="B510"/>
  <c r="B509"/>
  <c r="B508"/>
  <c r="J508" s="1"/>
  <c r="B507"/>
  <c r="J507" s="1"/>
  <c r="B506"/>
  <c r="B505"/>
  <c r="B504"/>
  <c r="J504" s="1"/>
  <c r="B503"/>
  <c r="J503" s="1"/>
  <c r="B502"/>
  <c r="B501"/>
  <c r="B500"/>
  <c r="J500" s="1"/>
  <c r="B499"/>
  <c r="J499" s="1"/>
  <c r="B498"/>
  <c r="B497"/>
  <c r="B496"/>
  <c r="J496" s="1"/>
  <c r="B495"/>
  <c r="J495" s="1"/>
  <c r="B494"/>
  <c r="B493"/>
  <c r="B492"/>
  <c r="J492" s="1"/>
  <c r="B491"/>
  <c r="J491" s="1"/>
  <c r="B490"/>
  <c r="B489"/>
  <c r="B488"/>
  <c r="J488" s="1"/>
  <c r="B487"/>
  <c r="J487" s="1"/>
  <c r="B486"/>
  <c r="B485"/>
  <c r="B484"/>
  <c r="J484" s="1"/>
  <c r="B483"/>
  <c r="J483" s="1"/>
  <c r="B482"/>
  <c r="B481"/>
  <c r="B480"/>
  <c r="J480" s="1"/>
  <c r="B479"/>
  <c r="J479" s="1"/>
  <c r="B478"/>
  <c r="B477"/>
  <c r="B476"/>
  <c r="J476" s="1"/>
  <c r="B475"/>
  <c r="J475" s="1"/>
  <c r="B474"/>
  <c r="B473"/>
  <c r="B472"/>
  <c r="J472" s="1"/>
  <c r="B471"/>
  <c r="J471" s="1"/>
  <c r="B470"/>
  <c r="B469"/>
  <c r="B468"/>
  <c r="J468" s="1"/>
  <c r="J467"/>
  <c r="B467"/>
  <c r="B466"/>
  <c r="B465"/>
  <c r="J464"/>
  <c r="B464"/>
  <c r="B463"/>
  <c r="J463" s="1"/>
  <c r="B462"/>
  <c r="B461"/>
  <c r="B460"/>
  <c r="J460" s="1"/>
  <c r="B459"/>
  <c r="J459" s="1"/>
  <c r="B458"/>
  <c r="B457"/>
  <c r="B456"/>
  <c r="J456" s="1"/>
  <c r="B455"/>
  <c r="J455" s="1"/>
  <c r="B454"/>
  <c r="B453"/>
  <c r="B452"/>
  <c r="J452" s="1"/>
  <c r="B451"/>
  <c r="J451" s="1"/>
  <c r="B450"/>
  <c r="B449"/>
  <c r="B448"/>
  <c r="J448" s="1"/>
  <c r="B447"/>
  <c r="J447" s="1"/>
  <c r="B446"/>
  <c r="B445"/>
  <c r="B444"/>
  <c r="J444" s="1"/>
  <c r="B443"/>
  <c r="J443" s="1"/>
  <c r="B442"/>
  <c r="B441"/>
  <c r="B440"/>
  <c r="J440" s="1"/>
  <c r="B439"/>
  <c r="J439" s="1"/>
  <c r="B438"/>
  <c r="B437"/>
  <c r="B436"/>
  <c r="J436" s="1"/>
  <c r="B435"/>
  <c r="J435" s="1"/>
  <c r="B434"/>
  <c r="B433"/>
  <c r="B432"/>
  <c r="J432" s="1"/>
  <c r="B431"/>
  <c r="J431" s="1"/>
  <c r="B430"/>
  <c r="B429"/>
  <c r="B428"/>
  <c r="J428" s="1"/>
  <c r="B427"/>
  <c r="J427" s="1"/>
  <c r="B426"/>
  <c r="B425"/>
  <c r="B424"/>
  <c r="J424" s="1"/>
  <c r="B423"/>
  <c r="J423" s="1"/>
  <c r="B422"/>
  <c r="B421"/>
  <c r="B420"/>
  <c r="J420" s="1"/>
  <c r="B419"/>
  <c r="J419" s="1"/>
  <c r="B418"/>
  <c r="B417"/>
  <c r="B416"/>
  <c r="J416" s="1"/>
  <c r="B415"/>
  <c r="J415" s="1"/>
  <c r="B414"/>
  <c r="B413"/>
  <c r="B412"/>
  <c r="J412" s="1"/>
  <c r="B411"/>
  <c r="J411" s="1"/>
  <c r="B410"/>
  <c r="B409"/>
  <c r="B408"/>
  <c r="J408" s="1"/>
  <c r="B407"/>
  <c r="J407" s="1"/>
  <c r="B406"/>
  <c r="B405"/>
  <c r="B404"/>
  <c r="J404" s="1"/>
  <c r="B403"/>
  <c r="J403" s="1"/>
  <c r="B402"/>
  <c r="B401"/>
  <c r="B400"/>
  <c r="J400" s="1"/>
  <c r="B399"/>
  <c r="J399" s="1"/>
  <c r="B398"/>
  <c r="B397"/>
  <c r="B396"/>
  <c r="J396" s="1"/>
  <c r="B395"/>
  <c r="J395" s="1"/>
  <c r="B394"/>
  <c r="B393"/>
  <c r="B392"/>
  <c r="J392" s="1"/>
  <c r="B391"/>
  <c r="J391" s="1"/>
  <c r="B390"/>
  <c r="J390" s="1"/>
  <c r="B389"/>
  <c r="J389" s="1"/>
  <c r="B388"/>
  <c r="J388" s="1"/>
  <c r="B387"/>
  <c r="J387" s="1"/>
  <c r="B386"/>
  <c r="J386" s="1"/>
  <c r="B385"/>
  <c r="J385" s="1"/>
  <c r="B384"/>
  <c r="J384" s="1"/>
  <c r="B383"/>
  <c r="J383" s="1"/>
  <c r="B382"/>
  <c r="J382" s="1"/>
  <c r="B381"/>
  <c r="J381" s="1"/>
  <c r="B380"/>
  <c r="J380" s="1"/>
  <c r="B379"/>
  <c r="J379" s="1"/>
  <c r="B378"/>
  <c r="J378" s="1"/>
  <c r="B377"/>
  <c r="J377" s="1"/>
  <c r="B376"/>
  <c r="J376" s="1"/>
  <c r="B375"/>
  <c r="J375" s="1"/>
  <c r="B374"/>
  <c r="J374" s="1"/>
  <c r="J373"/>
  <c r="B373"/>
  <c r="B372"/>
  <c r="J372" s="1"/>
  <c r="B371"/>
  <c r="J371" s="1"/>
  <c r="J370"/>
  <c r="B370"/>
  <c r="B369"/>
  <c r="J369" s="1"/>
  <c r="B368"/>
  <c r="J368" s="1"/>
  <c r="B367"/>
  <c r="J367" s="1"/>
  <c r="B366"/>
  <c r="J366" s="1"/>
  <c r="B365"/>
  <c r="J365" s="1"/>
  <c r="B364"/>
  <c r="J364" s="1"/>
  <c r="B363"/>
  <c r="J363" s="1"/>
  <c r="B362"/>
  <c r="J362" s="1"/>
  <c r="B361"/>
  <c r="J361" s="1"/>
  <c r="J360"/>
  <c r="B360"/>
  <c r="B359"/>
  <c r="J359" s="1"/>
  <c r="B358"/>
  <c r="J358" s="1"/>
  <c r="B357"/>
  <c r="J357" s="1"/>
  <c r="B356"/>
  <c r="J356" s="1"/>
  <c r="B355"/>
  <c r="J355" s="1"/>
  <c r="B354"/>
  <c r="J354" s="1"/>
  <c r="B353"/>
  <c r="J353" s="1"/>
  <c r="B352"/>
  <c r="J352" s="1"/>
  <c r="B351"/>
  <c r="J351" s="1"/>
  <c r="B350"/>
  <c r="J350" s="1"/>
  <c r="B349"/>
  <c r="J349" s="1"/>
  <c r="B348"/>
  <c r="J348" s="1"/>
  <c r="B347"/>
  <c r="J347" s="1"/>
  <c r="B346"/>
  <c r="J346" s="1"/>
  <c r="B345"/>
  <c r="J345" s="1"/>
  <c r="B344"/>
  <c r="J344" s="1"/>
  <c r="B343"/>
  <c r="J343" s="1"/>
  <c r="B342"/>
  <c r="J342" s="1"/>
  <c r="B341"/>
  <c r="J341" s="1"/>
  <c r="B340"/>
  <c r="J340" s="1"/>
  <c r="B339"/>
  <c r="J339" s="1"/>
  <c r="B338"/>
  <c r="J338" s="1"/>
  <c r="B337"/>
  <c r="J337" s="1"/>
  <c r="B336"/>
  <c r="J336" s="1"/>
  <c r="B335"/>
  <c r="J335" s="1"/>
  <c r="B334"/>
  <c r="J334" s="1"/>
  <c r="B333"/>
  <c r="J333" s="1"/>
  <c r="B332"/>
  <c r="J332" s="1"/>
  <c r="B331"/>
  <c r="J331" s="1"/>
  <c r="B330"/>
  <c r="J330" s="1"/>
  <c r="B329"/>
  <c r="J329" s="1"/>
  <c r="B328"/>
  <c r="J328" s="1"/>
  <c r="B327"/>
  <c r="J327" s="1"/>
  <c r="B326"/>
  <c r="J326" s="1"/>
  <c r="B325"/>
  <c r="J325" s="1"/>
  <c r="B324"/>
  <c r="J324" s="1"/>
  <c r="B323"/>
  <c r="J323" s="1"/>
  <c r="B322"/>
  <c r="J322" s="1"/>
  <c r="B321"/>
  <c r="J321" s="1"/>
  <c r="B320"/>
  <c r="J320" s="1"/>
  <c r="B319"/>
  <c r="J319" s="1"/>
  <c r="B318"/>
  <c r="J318" s="1"/>
  <c r="B317"/>
  <c r="J317" s="1"/>
  <c r="B316"/>
  <c r="J316" s="1"/>
  <c r="B315"/>
  <c r="J315" s="1"/>
  <c r="B314"/>
  <c r="J314" s="1"/>
  <c r="B313"/>
  <c r="J313" s="1"/>
  <c r="B312"/>
  <c r="J312" s="1"/>
  <c r="B311"/>
  <c r="J311" s="1"/>
  <c r="B310"/>
  <c r="J310" s="1"/>
  <c r="J309"/>
  <c r="B309"/>
  <c r="B308"/>
  <c r="J308" s="1"/>
  <c r="B307"/>
  <c r="J307" s="1"/>
  <c r="B306"/>
  <c r="J306" s="1"/>
  <c r="B305"/>
  <c r="J305" s="1"/>
  <c r="B304"/>
  <c r="J304" s="1"/>
  <c r="B303"/>
  <c r="J303" s="1"/>
  <c r="B302"/>
  <c r="J302" s="1"/>
  <c r="B301"/>
  <c r="J301" s="1"/>
  <c r="B300"/>
  <c r="J300" s="1"/>
  <c r="B299"/>
  <c r="J299" s="1"/>
  <c r="B298"/>
  <c r="J298" s="1"/>
  <c r="B297"/>
  <c r="J297" s="1"/>
  <c r="B296"/>
  <c r="J296" s="1"/>
  <c r="B295"/>
  <c r="J295" s="1"/>
  <c r="B294"/>
  <c r="J294" s="1"/>
  <c r="B293"/>
  <c r="J293" s="1"/>
  <c r="B292"/>
  <c r="J292" s="1"/>
  <c r="B291"/>
  <c r="J291" s="1"/>
  <c r="B290"/>
  <c r="J290" s="1"/>
  <c r="B289"/>
  <c r="J289" s="1"/>
  <c r="B288"/>
  <c r="J288" s="1"/>
  <c r="B287"/>
  <c r="J287" s="1"/>
  <c r="B286"/>
  <c r="J286" s="1"/>
  <c r="B285"/>
  <c r="J285" s="1"/>
  <c r="B284"/>
  <c r="J284" s="1"/>
  <c r="B283"/>
  <c r="J283" s="1"/>
  <c r="B282"/>
  <c r="J282" s="1"/>
  <c r="B281"/>
  <c r="J281" s="1"/>
  <c r="B280"/>
  <c r="J280" s="1"/>
  <c r="B279"/>
  <c r="J279" s="1"/>
  <c r="B278"/>
  <c r="J278" s="1"/>
  <c r="B277"/>
  <c r="J277" s="1"/>
  <c r="B276"/>
  <c r="J276" s="1"/>
  <c r="B275"/>
  <c r="B274"/>
  <c r="J274" s="1"/>
  <c r="B273"/>
  <c r="J273" s="1"/>
  <c r="B272"/>
  <c r="J272" s="1"/>
  <c r="B271"/>
  <c r="J271" s="1"/>
  <c r="B270"/>
  <c r="J270" s="1"/>
  <c r="B269"/>
  <c r="J269" s="1"/>
  <c r="B268"/>
  <c r="J268" s="1"/>
  <c r="B267"/>
  <c r="J267" s="1"/>
  <c r="B266"/>
  <c r="J266" s="1"/>
  <c r="B265"/>
  <c r="J265" s="1"/>
  <c r="C243"/>
  <c r="BB208"/>
  <c r="BA208"/>
  <c r="AZ208"/>
  <c r="AY208"/>
  <c r="AX208"/>
  <c r="AW208"/>
  <c r="AV208"/>
  <c r="AR208"/>
  <c r="AQ208"/>
  <c r="AP208"/>
  <c r="AO208"/>
  <c r="AN208"/>
  <c r="AM208"/>
  <c r="AL208"/>
  <c r="AK208"/>
  <c r="AJ208"/>
  <c r="AI208"/>
  <c r="AH208"/>
  <c r="AG208"/>
  <c r="AF208"/>
  <c r="AE208"/>
  <c r="AD208"/>
  <c r="AC208"/>
  <c r="AB208"/>
  <c r="AA208"/>
  <c r="U208"/>
  <c r="T208"/>
  <c r="BB207"/>
  <c r="BA207"/>
  <c r="AZ207"/>
  <c r="AY207"/>
  <c r="AX207"/>
  <c r="AW207"/>
  <c r="AV207"/>
  <c r="AR207"/>
  <c r="AQ207"/>
  <c r="AP207"/>
  <c r="AO207"/>
  <c r="AN207"/>
  <c r="AM207"/>
  <c r="AL207"/>
  <c r="AK207"/>
  <c r="AJ207"/>
  <c r="AI207"/>
  <c r="AH207"/>
  <c r="AG207"/>
  <c r="AF207"/>
  <c r="AE207"/>
  <c r="AD207"/>
  <c r="AC207"/>
  <c r="AB207"/>
  <c r="AA207"/>
  <c r="U207"/>
  <c r="T207"/>
  <c r="BB206"/>
  <c r="BA206"/>
  <c r="AZ206"/>
  <c r="AY206"/>
  <c r="AX206"/>
  <c r="AW206"/>
  <c r="AV206"/>
  <c r="AR206"/>
  <c r="AQ206"/>
  <c r="AP206"/>
  <c r="AO206"/>
  <c r="AN206"/>
  <c r="AM206"/>
  <c r="AL206"/>
  <c r="AK206"/>
  <c r="AJ206"/>
  <c r="AI206"/>
  <c r="AH206"/>
  <c r="AG206"/>
  <c r="AF206"/>
  <c r="AE206"/>
  <c r="AD206"/>
  <c r="AC206"/>
  <c r="AB206"/>
  <c r="AA206"/>
  <c r="U206"/>
  <c r="T206"/>
  <c r="BB205"/>
  <c r="BA205"/>
  <c r="AZ205"/>
  <c r="AY205"/>
  <c r="AX205"/>
  <c r="AW205"/>
  <c r="AV205"/>
  <c r="AR205"/>
  <c r="AQ205"/>
  <c r="AP205"/>
  <c r="AO205"/>
  <c r="AN205"/>
  <c r="AM205"/>
  <c r="AL205"/>
  <c r="AK205"/>
  <c r="AJ205"/>
  <c r="AI205"/>
  <c r="AH205"/>
  <c r="AG205"/>
  <c r="AF205"/>
  <c r="AE205"/>
  <c r="AD205"/>
  <c r="AC205"/>
  <c r="AB205"/>
  <c r="AA205"/>
  <c r="U205"/>
  <c r="T205"/>
  <c r="BB204"/>
  <c r="BA204"/>
  <c r="AZ204"/>
  <c r="AY204"/>
  <c r="AX204"/>
  <c r="AW204"/>
  <c r="AV204"/>
  <c r="AR204"/>
  <c r="AQ204"/>
  <c r="AP204"/>
  <c r="AO204"/>
  <c r="AN204"/>
  <c r="AM204"/>
  <c r="AL204"/>
  <c r="AK204"/>
  <c r="AJ204"/>
  <c r="AI204"/>
  <c r="AH204"/>
  <c r="AG204"/>
  <c r="AF204"/>
  <c r="AE204"/>
  <c r="AD204"/>
  <c r="AC204"/>
  <c r="AB204"/>
  <c r="AA204"/>
  <c r="U204"/>
  <c r="T204"/>
  <c r="BB203"/>
  <c r="BA203"/>
  <c r="AZ203"/>
  <c r="AY203"/>
  <c r="AX203"/>
  <c r="AW203"/>
  <c r="AV203"/>
  <c r="AR203"/>
  <c r="AQ203"/>
  <c r="AP203"/>
  <c r="AO203"/>
  <c r="AN203"/>
  <c r="AM203"/>
  <c r="AL203"/>
  <c r="AK203"/>
  <c r="AJ203"/>
  <c r="AI203"/>
  <c r="AH203"/>
  <c r="AG203"/>
  <c r="AF203"/>
  <c r="AE203"/>
  <c r="AD203"/>
  <c r="AC203"/>
  <c r="AB203"/>
  <c r="AA203"/>
  <c r="U203"/>
  <c r="T203"/>
  <c r="BB202"/>
  <c r="BA202"/>
  <c r="AZ202"/>
  <c r="AY202"/>
  <c r="AX202"/>
  <c r="AW202"/>
  <c r="AV202"/>
  <c r="AR202"/>
  <c r="AQ202"/>
  <c r="AP202"/>
  <c r="AO202"/>
  <c r="AN202"/>
  <c r="AM202"/>
  <c r="AL202"/>
  <c r="AK202"/>
  <c r="AJ202"/>
  <c r="AI202"/>
  <c r="AH202"/>
  <c r="AG202"/>
  <c r="AF202"/>
  <c r="AE202"/>
  <c r="AD202"/>
  <c r="AC202"/>
  <c r="AB202"/>
  <c r="AA202"/>
  <c r="U202"/>
  <c r="T202"/>
  <c r="BB201"/>
  <c r="BA201"/>
  <c r="AZ201"/>
  <c r="AY201"/>
  <c r="AX201"/>
  <c r="AW201"/>
  <c r="AV201"/>
  <c r="AR201"/>
  <c r="AQ201"/>
  <c r="AP201"/>
  <c r="AO201"/>
  <c r="AN201"/>
  <c r="AM201"/>
  <c r="AL201"/>
  <c r="AK201"/>
  <c r="AJ201"/>
  <c r="AI201"/>
  <c r="AH201"/>
  <c r="AG201"/>
  <c r="AF201"/>
  <c r="AE201"/>
  <c r="AD201"/>
  <c r="AC201"/>
  <c r="AB201"/>
  <c r="AA201"/>
  <c r="U201"/>
  <c r="T201"/>
  <c r="BB200"/>
  <c r="BA200"/>
  <c r="AZ200"/>
  <c r="AY200"/>
  <c r="AX200"/>
  <c r="AW200"/>
  <c r="AV200"/>
  <c r="AR200"/>
  <c r="AQ200"/>
  <c r="AP200"/>
  <c r="AO200"/>
  <c r="AN200"/>
  <c r="AM200"/>
  <c r="AL200"/>
  <c r="AK200"/>
  <c r="AJ200"/>
  <c r="AI200"/>
  <c r="AH200"/>
  <c r="AG200"/>
  <c r="AF200"/>
  <c r="AE200"/>
  <c r="AD200"/>
  <c r="AC200"/>
  <c r="AB200"/>
  <c r="AA200"/>
  <c r="U200"/>
  <c r="T200"/>
  <c r="BB199"/>
  <c r="BA199"/>
  <c r="AZ199"/>
  <c r="AY199"/>
  <c r="AX199"/>
  <c r="AW199"/>
  <c r="AV199"/>
  <c r="AR199"/>
  <c r="AQ199"/>
  <c r="AP199"/>
  <c r="AO199"/>
  <c r="AN199"/>
  <c r="AM199"/>
  <c r="AL199"/>
  <c r="AK199"/>
  <c r="AJ199"/>
  <c r="AI199"/>
  <c r="AH199"/>
  <c r="AG199"/>
  <c r="AF199"/>
  <c r="AE199"/>
  <c r="AD199"/>
  <c r="AC199"/>
  <c r="AB199"/>
  <c r="AA199"/>
  <c r="U199"/>
  <c r="T199"/>
  <c r="BB198"/>
  <c r="BA198"/>
  <c r="AZ198"/>
  <c r="AY198"/>
  <c r="AX198"/>
  <c r="AW198"/>
  <c r="AV198"/>
  <c r="AR198"/>
  <c r="AQ198"/>
  <c r="AP198"/>
  <c r="AO198"/>
  <c r="AN198"/>
  <c r="AM198"/>
  <c r="AL198"/>
  <c r="AK198"/>
  <c r="AJ198"/>
  <c r="AI198"/>
  <c r="AH198"/>
  <c r="AG198"/>
  <c r="AF198"/>
  <c r="AE198"/>
  <c r="AD198"/>
  <c r="AC198"/>
  <c r="AB198"/>
  <c r="AA198"/>
  <c r="U198"/>
  <c r="T198"/>
  <c r="BB197"/>
  <c r="BA197"/>
  <c r="AZ197"/>
  <c r="AY197"/>
  <c r="AX197"/>
  <c r="AW197"/>
  <c r="AV197"/>
  <c r="AR197"/>
  <c r="AQ197"/>
  <c r="AP197"/>
  <c r="AO197"/>
  <c r="Q197" s="1"/>
  <c r="AN197"/>
  <c r="AM197"/>
  <c r="AL197"/>
  <c r="AK197"/>
  <c r="AJ197"/>
  <c r="AI197"/>
  <c r="AH197"/>
  <c r="AG197"/>
  <c r="AF197"/>
  <c r="AE197"/>
  <c r="AD197"/>
  <c r="AC197"/>
  <c r="AB197"/>
  <c r="AA197"/>
  <c r="U197"/>
  <c r="T197"/>
  <c r="BB196"/>
  <c r="BA196"/>
  <c r="AZ196"/>
  <c r="AY196"/>
  <c r="AX196"/>
  <c r="AW196"/>
  <c r="AV196"/>
  <c r="AR196"/>
  <c r="AQ196"/>
  <c r="AP196"/>
  <c r="AO196"/>
  <c r="AN196"/>
  <c r="AM196"/>
  <c r="AL196"/>
  <c r="AK196"/>
  <c r="AJ196"/>
  <c r="AI196"/>
  <c r="AH196"/>
  <c r="AG196"/>
  <c r="AF196"/>
  <c r="AE196"/>
  <c r="AD196"/>
  <c r="AC196"/>
  <c r="AB196"/>
  <c r="AA196"/>
  <c r="U196"/>
  <c r="T196"/>
  <c r="BB195"/>
  <c r="BA195"/>
  <c r="AZ195"/>
  <c r="AY195"/>
  <c r="AX195"/>
  <c r="AW195"/>
  <c r="AV195"/>
  <c r="AR195"/>
  <c r="AQ195"/>
  <c r="AP195"/>
  <c r="AO195"/>
  <c r="AN195"/>
  <c r="AM195"/>
  <c r="AL195"/>
  <c r="AK195"/>
  <c r="AJ195"/>
  <c r="AI195"/>
  <c r="AH195"/>
  <c r="AG195"/>
  <c r="AF195"/>
  <c r="AE195"/>
  <c r="AD195"/>
  <c r="AC195"/>
  <c r="AB195"/>
  <c r="AA195"/>
  <c r="U195"/>
  <c r="T195"/>
  <c r="BB194"/>
  <c r="BA194"/>
  <c r="AZ194"/>
  <c r="AY194"/>
  <c r="AX194"/>
  <c r="AW194"/>
  <c r="AV194"/>
  <c r="AR194"/>
  <c r="AQ194"/>
  <c r="AP194"/>
  <c r="AO194"/>
  <c r="AN194"/>
  <c r="AM194"/>
  <c r="AL194"/>
  <c r="AK194"/>
  <c r="AJ194"/>
  <c r="AI194"/>
  <c r="AH194"/>
  <c r="AG194"/>
  <c r="AF194"/>
  <c r="AE194"/>
  <c r="AD194"/>
  <c r="AC194"/>
  <c r="AB194"/>
  <c r="AA194"/>
  <c r="U194"/>
  <c r="T194"/>
  <c r="BB193"/>
  <c r="BA193"/>
  <c r="AZ193"/>
  <c r="AY193"/>
  <c r="AX193"/>
  <c r="AW193"/>
  <c r="AV193"/>
  <c r="AR193"/>
  <c r="AQ193"/>
  <c r="AP193"/>
  <c r="AO193"/>
  <c r="Q193" s="1"/>
  <c r="AN193"/>
  <c r="AM193"/>
  <c r="AL193"/>
  <c r="AK193"/>
  <c r="AJ193"/>
  <c r="AI193"/>
  <c r="AH193"/>
  <c r="AG193"/>
  <c r="AF193"/>
  <c r="AE193"/>
  <c r="AD193"/>
  <c r="AC193"/>
  <c r="AB193"/>
  <c r="AA193"/>
  <c r="U193"/>
  <c r="T193"/>
  <c r="BB192"/>
  <c r="BA192"/>
  <c r="AZ192"/>
  <c r="AY192"/>
  <c r="AX192"/>
  <c r="AW192"/>
  <c r="AV192"/>
  <c r="AR192"/>
  <c r="AQ192"/>
  <c r="AP192"/>
  <c r="AO192"/>
  <c r="AN192"/>
  <c r="AM192"/>
  <c r="AL192"/>
  <c r="AK192"/>
  <c r="AJ192"/>
  <c r="AI192"/>
  <c r="AH192"/>
  <c r="AG192"/>
  <c r="AF192"/>
  <c r="AE192"/>
  <c r="AD192"/>
  <c r="AC192"/>
  <c r="AB192"/>
  <c r="AA192"/>
  <c r="U192"/>
  <c r="T192"/>
  <c r="BB191"/>
  <c r="BA191"/>
  <c r="AZ191"/>
  <c r="AY191"/>
  <c r="AX191"/>
  <c r="AW191"/>
  <c r="AV191"/>
  <c r="AR191"/>
  <c r="AQ191"/>
  <c r="AP191"/>
  <c r="AO191"/>
  <c r="AN191"/>
  <c r="AM191"/>
  <c r="AL191"/>
  <c r="AK191"/>
  <c r="AJ191"/>
  <c r="AI191"/>
  <c r="AH191"/>
  <c r="AG191"/>
  <c r="AF191"/>
  <c r="AE191"/>
  <c r="AD191"/>
  <c r="AC191"/>
  <c r="AB191"/>
  <c r="AA191"/>
  <c r="U191"/>
  <c r="T191"/>
  <c r="BB190"/>
  <c r="BA190"/>
  <c r="AZ190"/>
  <c r="AY190"/>
  <c r="AX190"/>
  <c r="AW190"/>
  <c r="AV190"/>
  <c r="AR190"/>
  <c r="AQ190"/>
  <c r="AP190"/>
  <c r="AO190"/>
  <c r="AN190"/>
  <c r="AM190"/>
  <c r="AL190"/>
  <c r="AK190"/>
  <c r="AJ190"/>
  <c r="AI190"/>
  <c r="AH190"/>
  <c r="AG190"/>
  <c r="AF190"/>
  <c r="AE190"/>
  <c r="AD190"/>
  <c r="AC190"/>
  <c r="AB190"/>
  <c r="AA190"/>
  <c r="U190"/>
  <c r="T190"/>
  <c r="BB189"/>
  <c r="BA189"/>
  <c r="AZ189"/>
  <c r="AY189"/>
  <c r="AX189"/>
  <c r="AW189"/>
  <c r="AV189"/>
  <c r="AR189"/>
  <c r="AQ189"/>
  <c r="AP189"/>
  <c r="AO189"/>
  <c r="AN189"/>
  <c r="AM189"/>
  <c r="AL189"/>
  <c r="AK189"/>
  <c r="AJ189"/>
  <c r="AI189"/>
  <c r="AH189"/>
  <c r="AG189"/>
  <c r="AF189"/>
  <c r="AE189"/>
  <c r="AD189"/>
  <c r="AC189"/>
  <c r="AB189"/>
  <c r="AA189"/>
  <c r="U189"/>
  <c r="T189"/>
  <c r="BB188"/>
  <c r="BA188"/>
  <c r="AZ188"/>
  <c r="AY188"/>
  <c r="AX188"/>
  <c r="AW188"/>
  <c r="AV188"/>
  <c r="AR188"/>
  <c r="AQ188"/>
  <c r="AP188"/>
  <c r="AO188"/>
  <c r="AN188"/>
  <c r="AM188"/>
  <c r="AL188"/>
  <c r="AK188"/>
  <c r="AJ188"/>
  <c r="AI188"/>
  <c r="AH188"/>
  <c r="AG188"/>
  <c r="AF188"/>
  <c r="AE188"/>
  <c r="AD188"/>
  <c r="AC188"/>
  <c r="AB188"/>
  <c r="AA188"/>
  <c r="U188"/>
  <c r="T188"/>
  <c r="BB187"/>
  <c r="BA187"/>
  <c r="AZ187"/>
  <c r="AY187"/>
  <c r="AX187"/>
  <c r="AW187"/>
  <c r="AV187"/>
  <c r="AR187"/>
  <c r="AQ187"/>
  <c r="AP187"/>
  <c r="AO187"/>
  <c r="AN187"/>
  <c r="AM187"/>
  <c r="AL187"/>
  <c r="AK187"/>
  <c r="AJ187"/>
  <c r="AI187"/>
  <c r="AH187"/>
  <c r="AG187"/>
  <c r="AF187"/>
  <c r="AE187"/>
  <c r="AD187"/>
  <c r="AC187"/>
  <c r="AB187"/>
  <c r="AA187"/>
  <c r="U187"/>
  <c r="T187"/>
  <c r="BB186"/>
  <c r="BA186"/>
  <c r="AZ186"/>
  <c r="AY186"/>
  <c r="AX186"/>
  <c r="AW186"/>
  <c r="AV186"/>
  <c r="AR186"/>
  <c r="AQ186"/>
  <c r="AP186"/>
  <c r="AO186"/>
  <c r="AN186"/>
  <c r="AM186"/>
  <c r="AL186"/>
  <c r="AK186"/>
  <c r="AJ186"/>
  <c r="AI186"/>
  <c r="AH186"/>
  <c r="AG186"/>
  <c r="AF186"/>
  <c r="AE186"/>
  <c r="AD186"/>
  <c r="AC186"/>
  <c r="AB186"/>
  <c r="AA186"/>
  <c r="U186"/>
  <c r="T186"/>
  <c r="BB185"/>
  <c r="BA185"/>
  <c r="AZ185"/>
  <c r="AY185"/>
  <c r="AX185"/>
  <c r="AW185"/>
  <c r="AV185"/>
  <c r="AR185"/>
  <c r="AQ185"/>
  <c r="AP185"/>
  <c r="AO185"/>
  <c r="AN185"/>
  <c r="AM185"/>
  <c r="AL185"/>
  <c r="AK185"/>
  <c r="AJ185"/>
  <c r="AI185"/>
  <c r="AH185"/>
  <c r="AG185"/>
  <c r="AF185"/>
  <c r="AE185"/>
  <c r="AD185"/>
  <c r="AC185"/>
  <c r="AB185"/>
  <c r="AA185"/>
  <c r="U185"/>
  <c r="T185"/>
  <c r="BB184"/>
  <c r="BA184"/>
  <c r="AZ184"/>
  <c r="AY184"/>
  <c r="AX184"/>
  <c r="AW184"/>
  <c r="AV184"/>
  <c r="AR184"/>
  <c r="AQ184"/>
  <c r="AP184"/>
  <c r="AO184"/>
  <c r="AN184"/>
  <c r="AM184"/>
  <c r="AL184"/>
  <c r="AK184"/>
  <c r="AJ184"/>
  <c r="AI184"/>
  <c r="AH184"/>
  <c r="AG184"/>
  <c r="AF184"/>
  <c r="AE184"/>
  <c r="AD184"/>
  <c r="AC184"/>
  <c r="AB184"/>
  <c r="AA184"/>
  <c r="U184"/>
  <c r="T184"/>
  <c r="BB183"/>
  <c r="BA183"/>
  <c r="AZ183"/>
  <c r="AY183"/>
  <c r="AX183"/>
  <c r="AW183"/>
  <c r="AV183"/>
  <c r="AR183"/>
  <c r="AQ183"/>
  <c r="AP183"/>
  <c r="AO183"/>
  <c r="AN183"/>
  <c r="AM183"/>
  <c r="AL183"/>
  <c r="AK183"/>
  <c r="AJ183"/>
  <c r="AI183"/>
  <c r="AH183"/>
  <c r="AG183"/>
  <c r="AF183"/>
  <c r="AE183"/>
  <c r="AD183"/>
  <c r="AC183"/>
  <c r="AB183"/>
  <c r="AA183"/>
  <c r="U183"/>
  <c r="T183"/>
  <c r="BB182"/>
  <c r="BA182"/>
  <c r="AZ182"/>
  <c r="AY182"/>
  <c r="AX182"/>
  <c r="AW182"/>
  <c r="AV182"/>
  <c r="AR182"/>
  <c r="AQ182"/>
  <c r="AP182"/>
  <c r="AO182"/>
  <c r="AN182"/>
  <c r="Q182" s="1"/>
  <c r="AM182"/>
  <c r="AL182"/>
  <c r="AK182"/>
  <c r="AJ182"/>
  <c r="AI182"/>
  <c r="AH182"/>
  <c r="AG182"/>
  <c r="AF182"/>
  <c r="AE182"/>
  <c r="AD182"/>
  <c r="AC182"/>
  <c r="AB182"/>
  <c r="AA182"/>
  <c r="U182"/>
  <c r="T182"/>
  <c r="BB181"/>
  <c r="BA181"/>
  <c r="AZ181"/>
  <c r="AY181"/>
  <c r="AX181"/>
  <c r="AW181"/>
  <c r="AV181"/>
  <c r="AR181"/>
  <c r="AQ181"/>
  <c r="AP181"/>
  <c r="AO181"/>
  <c r="AN181"/>
  <c r="AM181"/>
  <c r="AL181"/>
  <c r="AK181"/>
  <c r="AJ181"/>
  <c r="AI181"/>
  <c r="AH181"/>
  <c r="AG181"/>
  <c r="AF181"/>
  <c r="AE181"/>
  <c r="AD181"/>
  <c r="AC181"/>
  <c r="AB181"/>
  <c r="AA181"/>
  <c r="U181"/>
  <c r="T181"/>
  <c r="BB180"/>
  <c r="BA180"/>
  <c r="AZ180"/>
  <c r="AY180"/>
  <c r="AX180"/>
  <c r="AW180"/>
  <c r="AV180"/>
  <c r="AR180"/>
  <c r="AQ180"/>
  <c r="AP180"/>
  <c r="AO180"/>
  <c r="AN180"/>
  <c r="AM180"/>
  <c r="AL180"/>
  <c r="AK180"/>
  <c r="AJ180"/>
  <c r="AI180"/>
  <c r="AH180"/>
  <c r="AG180"/>
  <c r="AF180"/>
  <c r="AE180"/>
  <c r="AD180"/>
  <c r="AC180"/>
  <c r="AB180"/>
  <c r="AA180"/>
  <c r="U180"/>
  <c r="T180"/>
  <c r="BB179"/>
  <c r="BA179"/>
  <c r="AZ179"/>
  <c r="AY179"/>
  <c r="AX179"/>
  <c r="AW179"/>
  <c r="AV179"/>
  <c r="AR179"/>
  <c r="AQ179"/>
  <c r="AP179"/>
  <c r="AO179"/>
  <c r="AN179"/>
  <c r="AM179"/>
  <c r="AL179"/>
  <c r="AK179"/>
  <c r="AJ179"/>
  <c r="AI179"/>
  <c r="AH179"/>
  <c r="AG179"/>
  <c r="AF179"/>
  <c r="AE179"/>
  <c r="AD179"/>
  <c r="AC179"/>
  <c r="AB179"/>
  <c r="AA179"/>
  <c r="U179"/>
  <c r="T179"/>
  <c r="BB178"/>
  <c r="BA178"/>
  <c r="AZ178"/>
  <c r="AY178"/>
  <c r="AX178"/>
  <c r="AW178"/>
  <c r="AV178"/>
  <c r="AR178"/>
  <c r="AQ178"/>
  <c r="AP178"/>
  <c r="AO178"/>
  <c r="AN178"/>
  <c r="AM178"/>
  <c r="AL178"/>
  <c r="AK178"/>
  <c r="AJ178"/>
  <c r="AI178"/>
  <c r="AH178"/>
  <c r="AG178"/>
  <c r="AF178"/>
  <c r="AE178"/>
  <c r="AD178"/>
  <c r="AC178"/>
  <c r="AB178"/>
  <c r="AA178"/>
  <c r="U178"/>
  <c r="T178"/>
  <c r="BB177"/>
  <c r="BA177"/>
  <c r="AZ177"/>
  <c r="AY177"/>
  <c r="AX177"/>
  <c r="AW177"/>
  <c r="AV177"/>
  <c r="AR177"/>
  <c r="AQ177"/>
  <c r="AP177"/>
  <c r="AO177"/>
  <c r="AN177"/>
  <c r="AM177"/>
  <c r="AL177"/>
  <c r="AK177"/>
  <c r="AJ177"/>
  <c r="AI177"/>
  <c r="AH177"/>
  <c r="AG177"/>
  <c r="AF177"/>
  <c r="AE177"/>
  <c r="AD177"/>
  <c r="AC177"/>
  <c r="AB177"/>
  <c r="AA177"/>
  <c r="U177"/>
  <c r="T177"/>
  <c r="BB176"/>
  <c r="BA176"/>
  <c r="AZ176"/>
  <c r="AY176"/>
  <c r="AX176"/>
  <c r="AW176"/>
  <c r="AV176"/>
  <c r="AR176"/>
  <c r="AQ176"/>
  <c r="AP176"/>
  <c r="AO176"/>
  <c r="AN176"/>
  <c r="AM176"/>
  <c r="AL176"/>
  <c r="AK176"/>
  <c r="AJ176"/>
  <c r="AI176"/>
  <c r="AH176"/>
  <c r="AG176"/>
  <c r="AF176"/>
  <c r="AE176"/>
  <c r="AD176"/>
  <c r="AC176"/>
  <c r="AB176"/>
  <c r="AA176"/>
  <c r="U176"/>
  <c r="T176"/>
  <c r="BB175"/>
  <c r="BA175"/>
  <c r="AZ175"/>
  <c r="AY175"/>
  <c r="AX175"/>
  <c r="AW175"/>
  <c r="AV175"/>
  <c r="AR175"/>
  <c r="AQ175"/>
  <c r="AP175"/>
  <c r="AO175"/>
  <c r="AN175"/>
  <c r="Q175" s="1"/>
  <c r="AM175"/>
  <c r="AL175"/>
  <c r="AK175"/>
  <c r="AJ175"/>
  <c r="AI175"/>
  <c r="AH175"/>
  <c r="AG175"/>
  <c r="AF175"/>
  <c r="AE175"/>
  <c r="AD175"/>
  <c r="AC175"/>
  <c r="AB175"/>
  <c r="AA175"/>
  <c r="U175"/>
  <c r="T175"/>
  <c r="BB174"/>
  <c r="BA174"/>
  <c r="AZ174"/>
  <c r="AY174"/>
  <c r="AX174"/>
  <c r="AW174"/>
  <c r="AV174"/>
  <c r="AR174"/>
  <c r="AQ174"/>
  <c r="AP174"/>
  <c r="AO174"/>
  <c r="AN174"/>
  <c r="AM174"/>
  <c r="AL174"/>
  <c r="AK174"/>
  <c r="AJ174"/>
  <c r="AI174"/>
  <c r="AH174"/>
  <c r="AG174"/>
  <c r="AF174"/>
  <c r="AE174"/>
  <c r="AD174"/>
  <c r="AC174"/>
  <c r="AB174"/>
  <c r="AA174"/>
  <c r="U174"/>
  <c r="T174"/>
  <c r="BB173"/>
  <c r="BA173"/>
  <c r="AZ173"/>
  <c r="AY173"/>
  <c r="AX173"/>
  <c r="AW173"/>
  <c r="AV173"/>
  <c r="AR173"/>
  <c r="AQ173"/>
  <c r="AP173"/>
  <c r="AO173"/>
  <c r="AN173"/>
  <c r="AM173"/>
  <c r="AL173"/>
  <c r="AK173"/>
  <c r="AJ173"/>
  <c r="AI173"/>
  <c r="AH173"/>
  <c r="AG173"/>
  <c r="AF173"/>
  <c r="AE173"/>
  <c r="AD173"/>
  <c r="AC173"/>
  <c r="AB173"/>
  <c r="AA173"/>
  <c r="U173"/>
  <c r="T173"/>
  <c r="BB172"/>
  <c r="BA172"/>
  <c r="AZ172"/>
  <c r="AY172"/>
  <c r="AX172"/>
  <c r="AW172"/>
  <c r="AV172"/>
  <c r="AR172"/>
  <c r="AQ172"/>
  <c r="AP172"/>
  <c r="AO172"/>
  <c r="AN172"/>
  <c r="AM172"/>
  <c r="AL172"/>
  <c r="AK172"/>
  <c r="AJ172"/>
  <c r="AI172"/>
  <c r="AH172"/>
  <c r="AG172"/>
  <c r="AF172"/>
  <c r="AE172"/>
  <c r="AD172"/>
  <c r="AC172"/>
  <c r="AB172"/>
  <c r="AA172"/>
  <c r="U172"/>
  <c r="T172"/>
  <c r="Q172"/>
  <c r="BB171"/>
  <c r="BA171"/>
  <c r="AZ171"/>
  <c r="AY171"/>
  <c r="AX171"/>
  <c r="AW171"/>
  <c r="AV171"/>
  <c r="AR171"/>
  <c r="AQ171"/>
  <c r="AP171"/>
  <c r="AO171"/>
  <c r="AN171"/>
  <c r="AM171"/>
  <c r="AL171"/>
  <c r="AK171"/>
  <c r="AJ171"/>
  <c r="AI171"/>
  <c r="AH171"/>
  <c r="AG171"/>
  <c r="AF171"/>
  <c r="AE171"/>
  <c r="AD171"/>
  <c r="AC171"/>
  <c r="AB171"/>
  <c r="AA171"/>
  <c r="U171"/>
  <c r="T171"/>
  <c r="BB170"/>
  <c r="BA170"/>
  <c r="AZ170"/>
  <c r="AY170"/>
  <c r="AX170"/>
  <c r="AW170"/>
  <c r="AV170"/>
  <c r="AR170"/>
  <c r="AQ170"/>
  <c r="AP170"/>
  <c r="AO170"/>
  <c r="AN170"/>
  <c r="AM170"/>
  <c r="AL170"/>
  <c r="AK170"/>
  <c r="AJ170"/>
  <c r="AI170"/>
  <c r="AH170"/>
  <c r="AG170"/>
  <c r="AF170"/>
  <c r="AE170"/>
  <c r="AD170"/>
  <c r="AC170"/>
  <c r="AB170"/>
  <c r="AA170"/>
  <c r="U170"/>
  <c r="T170"/>
  <c r="BB169"/>
  <c r="BA169"/>
  <c r="AZ169"/>
  <c r="AY169"/>
  <c r="AX169"/>
  <c r="AW169"/>
  <c r="AV169"/>
  <c r="AR169"/>
  <c r="AQ169"/>
  <c r="AP169"/>
  <c r="AO169"/>
  <c r="AN169"/>
  <c r="AM169"/>
  <c r="AL169"/>
  <c r="AK169"/>
  <c r="AJ169"/>
  <c r="AI169"/>
  <c r="AH169"/>
  <c r="AG169"/>
  <c r="AF169"/>
  <c r="AE169"/>
  <c r="AD169"/>
  <c r="AC169"/>
  <c r="AB169"/>
  <c r="AA169"/>
  <c r="U169"/>
  <c r="T169"/>
  <c r="BB168"/>
  <c r="BA168"/>
  <c r="AZ168"/>
  <c r="AY168"/>
  <c r="AX168"/>
  <c r="AW168"/>
  <c r="AV168"/>
  <c r="AR168"/>
  <c r="AQ168"/>
  <c r="AP168"/>
  <c r="AO168"/>
  <c r="AN168"/>
  <c r="AM168"/>
  <c r="AL168"/>
  <c r="AK168"/>
  <c r="AJ168"/>
  <c r="AI168"/>
  <c r="AH168"/>
  <c r="AG168"/>
  <c r="AF168"/>
  <c r="AE168"/>
  <c r="AD168"/>
  <c r="AC168"/>
  <c r="AB168"/>
  <c r="AA168"/>
  <c r="U168"/>
  <c r="T168"/>
  <c r="BB167"/>
  <c r="BA167"/>
  <c r="AZ167"/>
  <c r="AY167"/>
  <c r="AX167"/>
  <c r="AW167"/>
  <c r="AV167"/>
  <c r="AR167"/>
  <c r="AQ167"/>
  <c r="AP167"/>
  <c r="AO167"/>
  <c r="AN167"/>
  <c r="AM167"/>
  <c r="AL167"/>
  <c r="AK167"/>
  <c r="AJ167"/>
  <c r="AI167"/>
  <c r="AH167"/>
  <c r="AG167"/>
  <c r="AF167"/>
  <c r="AE167"/>
  <c r="AD167"/>
  <c r="AC167"/>
  <c r="AB167"/>
  <c r="AA167"/>
  <c r="U167"/>
  <c r="T167"/>
  <c r="BB166"/>
  <c r="BA166"/>
  <c r="AZ166"/>
  <c r="AY166"/>
  <c r="AX166"/>
  <c r="AW166"/>
  <c r="AV166"/>
  <c r="AR166"/>
  <c r="AQ166"/>
  <c r="AP166"/>
  <c r="AO166"/>
  <c r="AN166"/>
  <c r="AM166"/>
  <c r="AL166"/>
  <c r="AK166"/>
  <c r="AJ166"/>
  <c r="AI166"/>
  <c r="AH166"/>
  <c r="AG166"/>
  <c r="AF166"/>
  <c r="AE166"/>
  <c r="AD166"/>
  <c r="AC166"/>
  <c r="AB166"/>
  <c r="AA166"/>
  <c r="U166"/>
  <c r="T166"/>
  <c r="BB165"/>
  <c r="BA165"/>
  <c r="AZ165"/>
  <c r="AY165"/>
  <c r="AX165"/>
  <c r="AW165"/>
  <c r="AV165"/>
  <c r="AR165"/>
  <c r="AQ165"/>
  <c r="AP165"/>
  <c r="AO165"/>
  <c r="AN165"/>
  <c r="AM165"/>
  <c r="AL165"/>
  <c r="AK165"/>
  <c r="AJ165"/>
  <c r="AI165"/>
  <c r="AH165"/>
  <c r="AG165"/>
  <c r="AF165"/>
  <c r="AE165"/>
  <c r="AD165"/>
  <c r="AC165"/>
  <c r="AB165"/>
  <c r="AA165"/>
  <c r="U165"/>
  <c r="T165"/>
  <c r="BB164"/>
  <c r="BA164"/>
  <c r="AZ164"/>
  <c r="AY164"/>
  <c r="AX164"/>
  <c r="AW164"/>
  <c r="AV164"/>
  <c r="AR164"/>
  <c r="AQ164"/>
  <c r="AP164"/>
  <c r="AO164"/>
  <c r="AN164"/>
  <c r="AM164"/>
  <c r="AL164"/>
  <c r="AK164"/>
  <c r="AJ164"/>
  <c r="AI164"/>
  <c r="AH164"/>
  <c r="AG164"/>
  <c r="AF164"/>
  <c r="AE164"/>
  <c r="AD164"/>
  <c r="AC164"/>
  <c r="AB164"/>
  <c r="AA164"/>
  <c r="U164"/>
  <c r="T164"/>
  <c r="BB163"/>
  <c r="BA163"/>
  <c r="AZ163"/>
  <c r="AY163"/>
  <c r="AX163"/>
  <c r="AW163"/>
  <c r="AV163"/>
  <c r="AR163"/>
  <c r="AQ163"/>
  <c r="AP163"/>
  <c r="AO163"/>
  <c r="AN163"/>
  <c r="AM163"/>
  <c r="AL163"/>
  <c r="AK163"/>
  <c r="AJ163"/>
  <c r="AI163"/>
  <c r="AH163"/>
  <c r="AG163"/>
  <c r="AF163"/>
  <c r="AE163"/>
  <c r="AD163"/>
  <c r="AC163"/>
  <c r="AB163"/>
  <c r="AA163"/>
  <c r="U163"/>
  <c r="T163"/>
  <c r="BB162"/>
  <c r="BA162"/>
  <c r="AZ162"/>
  <c r="AY162"/>
  <c r="AX162"/>
  <c r="AW162"/>
  <c r="AV162"/>
  <c r="AR162"/>
  <c r="AQ162"/>
  <c r="AP162"/>
  <c r="AO162"/>
  <c r="AN162"/>
  <c r="AM162"/>
  <c r="AL162"/>
  <c r="AK162"/>
  <c r="AJ162"/>
  <c r="AI162"/>
  <c r="AH162"/>
  <c r="AG162"/>
  <c r="AF162"/>
  <c r="AE162"/>
  <c r="AD162"/>
  <c r="AC162"/>
  <c r="AB162"/>
  <c r="AA162"/>
  <c r="U162"/>
  <c r="T162"/>
  <c r="BB161"/>
  <c r="BA161"/>
  <c r="AZ161"/>
  <c r="AY161"/>
  <c r="AX161"/>
  <c r="AW161"/>
  <c r="AV161"/>
  <c r="AR161"/>
  <c r="AQ161"/>
  <c r="AP161"/>
  <c r="AO161"/>
  <c r="AN161"/>
  <c r="AM161"/>
  <c r="AL161"/>
  <c r="AK161"/>
  <c r="AJ161"/>
  <c r="AI161"/>
  <c r="AH161"/>
  <c r="AG161"/>
  <c r="AF161"/>
  <c r="AE161"/>
  <c r="AD161"/>
  <c r="AC161"/>
  <c r="AB161"/>
  <c r="AA161"/>
  <c r="U161"/>
  <c r="T161"/>
  <c r="BB160"/>
  <c r="BA160"/>
  <c r="AZ160"/>
  <c r="AY160"/>
  <c r="AX160"/>
  <c r="AW160"/>
  <c r="AV160"/>
  <c r="AR160"/>
  <c r="AQ160"/>
  <c r="AP160"/>
  <c r="AO160"/>
  <c r="AN160"/>
  <c r="AM160"/>
  <c r="AL160"/>
  <c r="AK160"/>
  <c r="AJ160"/>
  <c r="AI160"/>
  <c r="AH160"/>
  <c r="AG160"/>
  <c r="AF160"/>
  <c r="AE160"/>
  <c r="AD160"/>
  <c r="AC160"/>
  <c r="AB160"/>
  <c r="AA160"/>
  <c r="U160"/>
  <c r="T160"/>
  <c r="BB159"/>
  <c r="BA159"/>
  <c r="AZ159"/>
  <c r="AY159"/>
  <c r="AX159"/>
  <c r="AW159"/>
  <c r="AV159"/>
  <c r="AR159"/>
  <c r="AQ159"/>
  <c r="AP159"/>
  <c r="AO159"/>
  <c r="AN159"/>
  <c r="AM159"/>
  <c r="AL159"/>
  <c r="AK159"/>
  <c r="AJ159"/>
  <c r="AI159"/>
  <c r="AH159"/>
  <c r="AG159"/>
  <c r="AF159"/>
  <c r="AE159"/>
  <c r="AD159"/>
  <c r="AC159"/>
  <c r="AB159"/>
  <c r="AA159"/>
  <c r="U159"/>
  <c r="T159"/>
  <c r="BB158"/>
  <c r="BA158"/>
  <c r="AZ158"/>
  <c r="AY158"/>
  <c r="AX158"/>
  <c r="AW158"/>
  <c r="AV158"/>
  <c r="AR158"/>
  <c r="AQ158"/>
  <c r="AP158"/>
  <c r="AO158"/>
  <c r="AN158"/>
  <c r="AM158"/>
  <c r="AL158"/>
  <c r="AK158"/>
  <c r="AJ158"/>
  <c r="AI158"/>
  <c r="AH158"/>
  <c r="AG158"/>
  <c r="AF158"/>
  <c r="AE158"/>
  <c r="AD158"/>
  <c r="AC158"/>
  <c r="AB158"/>
  <c r="AA158"/>
  <c r="U158"/>
  <c r="T158"/>
  <c r="BB157"/>
  <c r="BA157"/>
  <c r="AZ157"/>
  <c r="AY157"/>
  <c r="AX157"/>
  <c r="AW157"/>
  <c r="AV157"/>
  <c r="AR157"/>
  <c r="AQ157"/>
  <c r="AP157"/>
  <c r="AO157"/>
  <c r="AN157"/>
  <c r="AM157"/>
  <c r="AL157"/>
  <c r="AK157"/>
  <c r="AJ157"/>
  <c r="AI157"/>
  <c r="AH157"/>
  <c r="AG157"/>
  <c r="AF157"/>
  <c r="AE157"/>
  <c r="AD157"/>
  <c r="AC157"/>
  <c r="AB157"/>
  <c r="AA157"/>
  <c r="U157"/>
  <c r="T157"/>
  <c r="BB156"/>
  <c r="BA156"/>
  <c r="AZ156"/>
  <c r="AY156"/>
  <c r="AX156"/>
  <c r="AW156"/>
  <c r="AV156"/>
  <c r="AR156"/>
  <c r="AQ156"/>
  <c r="AP156"/>
  <c r="AO156"/>
  <c r="AN156"/>
  <c r="AM156"/>
  <c r="AL156"/>
  <c r="AK156"/>
  <c r="AJ156"/>
  <c r="AI156"/>
  <c r="AH156"/>
  <c r="AG156"/>
  <c r="AF156"/>
  <c r="AE156"/>
  <c r="AD156"/>
  <c r="AC156"/>
  <c r="AB156"/>
  <c r="AA156"/>
  <c r="N156" s="1"/>
  <c r="U156"/>
  <c r="T156"/>
  <c r="BB155"/>
  <c r="BA155"/>
  <c r="AZ155"/>
  <c r="AY155"/>
  <c r="AX155"/>
  <c r="AW155"/>
  <c r="AV155"/>
  <c r="AR155"/>
  <c r="AQ155"/>
  <c r="AP155"/>
  <c r="AO155"/>
  <c r="AN155"/>
  <c r="AM155"/>
  <c r="AL155"/>
  <c r="AK155"/>
  <c r="AJ155"/>
  <c r="AI155"/>
  <c r="AH155"/>
  <c r="AG155"/>
  <c r="AF155"/>
  <c r="AE155"/>
  <c r="AD155"/>
  <c r="AC155"/>
  <c r="AB155"/>
  <c r="AA155"/>
  <c r="N155" s="1"/>
  <c r="U155"/>
  <c r="T155"/>
  <c r="BB154"/>
  <c r="BA154"/>
  <c r="AZ154"/>
  <c r="AY154"/>
  <c r="AX154"/>
  <c r="AW154"/>
  <c r="AV154"/>
  <c r="AR154"/>
  <c r="AQ154"/>
  <c r="AP154"/>
  <c r="AO154"/>
  <c r="AN154"/>
  <c r="AM154"/>
  <c r="AL154"/>
  <c r="AK154"/>
  <c r="AJ154"/>
  <c r="AI154"/>
  <c r="AH154"/>
  <c r="AG154"/>
  <c r="AF154"/>
  <c r="AE154"/>
  <c r="AD154"/>
  <c r="AC154"/>
  <c r="AB154"/>
  <c r="AA154"/>
  <c r="U154"/>
  <c r="T154"/>
  <c r="BB153"/>
  <c r="BA153"/>
  <c r="AZ153"/>
  <c r="AY153"/>
  <c r="AX153"/>
  <c r="AW153"/>
  <c r="AV153"/>
  <c r="AR153"/>
  <c r="AQ153"/>
  <c r="AP153"/>
  <c r="AO153"/>
  <c r="AN153"/>
  <c r="AM153"/>
  <c r="AL153"/>
  <c r="AK153"/>
  <c r="AJ153"/>
  <c r="AI153"/>
  <c r="AH153"/>
  <c r="AG153"/>
  <c r="AF153"/>
  <c r="AE153"/>
  <c r="AD153"/>
  <c r="AC153"/>
  <c r="AB153"/>
  <c r="AA153"/>
  <c r="U153"/>
  <c r="T153"/>
  <c r="BB152"/>
  <c r="BA152"/>
  <c r="AZ152"/>
  <c r="AY152"/>
  <c r="AX152"/>
  <c r="AW152"/>
  <c r="AV152"/>
  <c r="AR152"/>
  <c r="AQ152"/>
  <c r="AP152"/>
  <c r="AO152"/>
  <c r="AN152"/>
  <c r="AM152"/>
  <c r="AL152"/>
  <c r="AK152"/>
  <c r="AJ152"/>
  <c r="AI152"/>
  <c r="AH152"/>
  <c r="AG152"/>
  <c r="AF152"/>
  <c r="AE152"/>
  <c r="AD152"/>
  <c r="AC152"/>
  <c r="AB152"/>
  <c r="AA152"/>
  <c r="U152"/>
  <c r="T152"/>
  <c r="BB151"/>
  <c r="BA151"/>
  <c r="AZ151"/>
  <c r="AY151"/>
  <c r="AX151"/>
  <c r="AW151"/>
  <c r="AV151"/>
  <c r="AR151"/>
  <c r="AQ151"/>
  <c r="AP151"/>
  <c r="AO151"/>
  <c r="AN151"/>
  <c r="AM151"/>
  <c r="AL151"/>
  <c r="AK151"/>
  <c r="AJ151"/>
  <c r="AI151"/>
  <c r="AH151"/>
  <c r="AG151"/>
  <c r="AF151"/>
  <c r="AE151"/>
  <c r="AD151"/>
  <c r="AC151"/>
  <c r="AB151"/>
  <c r="AA151"/>
  <c r="U151"/>
  <c r="T151"/>
  <c r="BB150"/>
  <c r="BA150"/>
  <c r="AZ150"/>
  <c r="AY150"/>
  <c r="AX150"/>
  <c r="AW150"/>
  <c r="AV150"/>
  <c r="AR150"/>
  <c r="AQ150"/>
  <c r="AP150"/>
  <c r="AO150"/>
  <c r="AN150"/>
  <c r="AM150"/>
  <c r="AL150"/>
  <c r="AK150"/>
  <c r="AJ150"/>
  <c r="AI150"/>
  <c r="AH150"/>
  <c r="AG150"/>
  <c r="AF150"/>
  <c r="AE150"/>
  <c r="AD150"/>
  <c r="AC150"/>
  <c r="AB150"/>
  <c r="AA150"/>
  <c r="U150"/>
  <c r="T150"/>
  <c r="BB149"/>
  <c r="BA149"/>
  <c r="AZ149"/>
  <c r="AY149"/>
  <c r="AX149"/>
  <c r="AW149"/>
  <c r="AV149"/>
  <c r="AR149"/>
  <c r="AQ149"/>
  <c r="AP149"/>
  <c r="AO149"/>
  <c r="AN149"/>
  <c r="AM149"/>
  <c r="AL149"/>
  <c r="AK149"/>
  <c r="AJ149"/>
  <c r="AI149"/>
  <c r="AH149"/>
  <c r="AG149"/>
  <c r="AF149"/>
  <c r="AE149"/>
  <c r="AD149"/>
  <c r="AC149"/>
  <c r="AB149"/>
  <c r="AA149"/>
  <c r="U149"/>
  <c r="T149"/>
  <c r="BB148"/>
  <c r="BA148"/>
  <c r="AZ148"/>
  <c r="AY148"/>
  <c r="AX148"/>
  <c r="AW148"/>
  <c r="AV148"/>
  <c r="AR148"/>
  <c r="AQ148"/>
  <c r="AP148"/>
  <c r="AO148"/>
  <c r="AN148"/>
  <c r="AM148"/>
  <c r="AL148"/>
  <c r="AK148"/>
  <c r="AJ148"/>
  <c r="AI148"/>
  <c r="AH148"/>
  <c r="AG148"/>
  <c r="AF148"/>
  <c r="AE148"/>
  <c r="AD148"/>
  <c r="AC148"/>
  <c r="AB148"/>
  <c r="AA148"/>
  <c r="U148"/>
  <c r="T148"/>
  <c r="Q148"/>
  <c r="BB147"/>
  <c r="BA147"/>
  <c r="AZ147"/>
  <c r="AY147"/>
  <c r="AX147"/>
  <c r="AW147"/>
  <c r="AV147"/>
  <c r="AR147"/>
  <c r="AQ147"/>
  <c r="AP147"/>
  <c r="AO147"/>
  <c r="AN147"/>
  <c r="AM147"/>
  <c r="AL147"/>
  <c r="AK147"/>
  <c r="AJ147"/>
  <c r="AI147"/>
  <c r="AH147"/>
  <c r="AG147"/>
  <c r="AF147"/>
  <c r="AE147"/>
  <c r="AD147"/>
  <c r="AC147"/>
  <c r="AB147"/>
  <c r="AA147"/>
  <c r="U147"/>
  <c r="T147"/>
  <c r="BB146"/>
  <c r="BA146"/>
  <c r="AZ146"/>
  <c r="AY146"/>
  <c r="AX146"/>
  <c r="AW146"/>
  <c r="AV146"/>
  <c r="AR146"/>
  <c r="AQ146"/>
  <c r="AP146"/>
  <c r="AO146"/>
  <c r="AN146"/>
  <c r="AM146"/>
  <c r="AL146"/>
  <c r="AK146"/>
  <c r="AJ146"/>
  <c r="AI146"/>
  <c r="AH146"/>
  <c r="AG146"/>
  <c r="AF146"/>
  <c r="AE146"/>
  <c r="AD146"/>
  <c r="AC146"/>
  <c r="AB146"/>
  <c r="AA146"/>
  <c r="U146"/>
  <c r="T146"/>
  <c r="BB145"/>
  <c r="BA145"/>
  <c r="AZ145"/>
  <c r="AY145"/>
  <c r="AX145"/>
  <c r="AW145"/>
  <c r="AV145"/>
  <c r="AR145"/>
  <c r="AQ145"/>
  <c r="AP145"/>
  <c r="AO145"/>
  <c r="AN145"/>
  <c r="AM145"/>
  <c r="AL145"/>
  <c r="AK145"/>
  <c r="AJ145"/>
  <c r="AI145"/>
  <c r="AH145"/>
  <c r="AG145"/>
  <c r="AF145"/>
  <c r="AE145"/>
  <c r="AD145"/>
  <c r="AC145"/>
  <c r="AB145"/>
  <c r="AA145"/>
  <c r="U145"/>
  <c r="T145"/>
  <c r="BB144"/>
  <c r="BA144"/>
  <c r="AZ144"/>
  <c r="AY144"/>
  <c r="AX144"/>
  <c r="AW144"/>
  <c r="AV144"/>
  <c r="AR144"/>
  <c r="AQ144"/>
  <c r="AP144"/>
  <c r="AO144"/>
  <c r="AN144"/>
  <c r="AM144"/>
  <c r="AL144"/>
  <c r="AK144"/>
  <c r="AJ144"/>
  <c r="AI144"/>
  <c r="AH144"/>
  <c r="AG144"/>
  <c r="AF144"/>
  <c r="AE144"/>
  <c r="AD144"/>
  <c r="AC144"/>
  <c r="AB144"/>
  <c r="AA144"/>
  <c r="U144"/>
  <c r="T144"/>
  <c r="BB143"/>
  <c r="BA143"/>
  <c r="AZ143"/>
  <c r="AY143"/>
  <c r="AX143"/>
  <c r="AW143"/>
  <c r="AV143"/>
  <c r="AR143"/>
  <c r="AQ143"/>
  <c r="AP143"/>
  <c r="AO143"/>
  <c r="Q143" s="1"/>
  <c r="AN143"/>
  <c r="AM143"/>
  <c r="AL143"/>
  <c r="AK143"/>
  <c r="AJ143"/>
  <c r="AI143"/>
  <c r="AH143"/>
  <c r="AG143"/>
  <c r="AF143"/>
  <c r="AE143"/>
  <c r="AD143"/>
  <c r="AC143"/>
  <c r="AB143"/>
  <c r="AA143"/>
  <c r="U143"/>
  <c r="T143"/>
  <c r="BB142"/>
  <c r="BA142"/>
  <c r="AZ142"/>
  <c r="AY142"/>
  <c r="AX142"/>
  <c r="AW142"/>
  <c r="AV142"/>
  <c r="AR142"/>
  <c r="AQ142"/>
  <c r="AP142"/>
  <c r="AO142"/>
  <c r="AN142"/>
  <c r="Q142" s="1"/>
  <c r="AM142"/>
  <c r="AL142"/>
  <c r="AK142"/>
  <c r="AJ142"/>
  <c r="AI142"/>
  <c r="AH142"/>
  <c r="AG142"/>
  <c r="AF142"/>
  <c r="AE142"/>
  <c r="AD142"/>
  <c r="AC142"/>
  <c r="AB142"/>
  <c r="AA142"/>
  <c r="U142"/>
  <c r="T142"/>
  <c r="BB141"/>
  <c r="BA141"/>
  <c r="AZ141"/>
  <c r="AY141"/>
  <c r="AX141"/>
  <c r="AW141"/>
  <c r="AV141"/>
  <c r="AR141"/>
  <c r="AQ141"/>
  <c r="AP141"/>
  <c r="AO141"/>
  <c r="AN141"/>
  <c r="AM141"/>
  <c r="AL141"/>
  <c r="AK141"/>
  <c r="AJ141"/>
  <c r="AI141"/>
  <c r="AH141"/>
  <c r="AG141"/>
  <c r="AF141"/>
  <c r="AE141"/>
  <c r="AD141"/>
  <c r="AC141"/>
  <c r="AB141"/>
  <c r="AA141"/>
  <c r="U141"/>
  <c r="T141"/>
  <c r="BB140"/>
  <c r="BA140"/>
  <c r="AZ140"/>
  <c r="AY140"/>
  <c r="AX140"/>
  <c r="AW140"/>
  <c r="AV140"/>
  <c r="AR140"/>
  <c r="AQ140"/>
  <c r="AP140"/>
  <c r="AO140"/>
  <c r="AN140"/>
  <c r="AM140"/>
  <c r="AL140"/>
  <c r="AK140"/>
  <c r="AJ140"/>
  <c r="AI140"/>
  <c r="AH140"/>
  <c r="AG140"/>
  <c r="AF140"/>
  <c r="AE140"/>
  <c r="AD140"/>
  <c r="AC140"/>
  <c r="AB140"/>
  <c r="AA140"/>
  <c r="U140"/>
  <c r="T140"/>
  <c r="Q140"/>
  <c r="BB139"/>
  <c r="BA139"/>
  <c r="AZ139"/>
  <c r="AY139"/>
  <c r="AX139"/>
  <c r="AW139"/>
  <c r="AV139"/>
  <c r="AR139"/>
  <c r="AQ139"/>
  <c r="AP139"/>
  <c r="AO139"/>
  <c r="AN139"/>
  <c r="AM139"/>
  <c r="AL139"/>
  <c r="AK139"/>
  <c r="AJ139"/>
  <c r="AI139"/>
  <c r="AH139"/>
  <c r="AG139"/>
  <c r="AF139"/>
  <c r="AE139"/>
  <c r="AD139"/>
  <c r="AC139"/>
  <c r="AB139"/>
  <c r="AA139"/>
  <c r="U139"/>
  <c r="T139"/>
  <c r="BB138"/>
  <c r="BA138"/>
  <c r="AZ138"/>
  <c r="AY138"/>
  <c r="AX138"/>
  <c r="AW138"/>
  <c r="AV138"/>
  <c r="AR138"/>
  <c r="AQ138"/>
  <c r="AP138"/>
  <c r="AO138"/>
  <c r="AN138"/>
  <c r="AM138"/>
  <c r="AL138"/>
  <c r="AK138"/>
  <c r="AJ138"/>
  <c r="AI138"/>
  <c r="AH138"/>
  <c r="AG138"/>
  <c r="AF138"/>
  <c r="AE138"/>
  <c r="AD138"/>
  <c r="AC138"/>
  <c r="AB138"/>
  <c r="AA138"/>
  <c r="U138"/>
  <c r="T138"/>
  <c r="BB137"/>
  <c r="BA137"/>
  <c r="AZ137"/>
  <c r="AY137"/>
  <c r="AX137"/>
  <c r="AW137"/>
  <c r="AV137"/>
  <c r="AR137"/>
  <c r="AQ137"/>
  <c r="AP137"/>
  <c r="AO137"/>
  <c r="AN137"/>
  <c r="AM137"/>
  <c r="AL137"/>
  <c r="AK137"/>
  <c r="AJ137"/>
  <c r="AI137"/>
  <c r="AH137"/>
  <c r="AG137"/>
  <c r="AF137"/>
  <c r="AE137"/>
  <c r="AD137"/>
  <c r="AC137"/>
  <c r="AB137"/>
  <c r="AA137"/>
  <c r="U137"/>
  <c r="T137"/>
  <c r="BB136"/>
  <c r="BA136"/>
  <c r="AZ136"/>
  <c r="AY136"/>
  <c r="AX136"/>
  <c r="AW136"/>
  <c r="AV136"/>
  <c r="AR136"/>
  <c r="AQ136"/>
  <c r="AP136"/>
  <c r="AO136"/>
  <c r="AN136"/>
  <c r="AM136"/>
  <c r="AL136"/>
  <c r="AK136"/>
  <c r="AJ136"/>
  <c r="AI136"/>
  <c r="AH136"/>
  <c r="AG136"/>
  <c r="AF136"/>
  <c r="AE136"/>
  <c r="AD136"/>
  <c r="AC136"/>
  <c r="AB136"/>
  <c r="AA136"/>
  <c r="U136"/>
  <c r="T136"/>
  <c r="BB135"/>
  <c r="BA135"/>
  <c r="AZ135"/>
  <c r="AY135"/>
  <c r="AX135"/>
  <c r="AW135"/>
  <c r="AV135"/>
  <c r="AR135"/>
  <c r="AQ135"/>
  <c r="AP135"/>
  <c r="AO135"/>
  <c r="AN135"/>
  <c r="AM135"/>
  <c r="AL135"/>
  <c r="AK135"/>
  <c r="AJ135"/>
  <c r="AI135"/>
  <c r="AH135"/>
  <c r="AG135"/>
  <c r="AF135"/>
  <c r="AE135"/>
  <c r="AD135"/>
  <c r="AC135"/>
  <c r="AB135"/>
  <c r="AA135"/>
  <c r="U135"/>
  <c r="T135"/>
  <c r="BB134"/>
  <c r="BA134"/>
  <c r="AZ134"/>
  <c r="AY134"/>
  <c r="AX134"/>
  <c r="AW134"/>
  <c r="AV134"/>
  <c r="AR134"/>
  <c r="AQ134"/>
  <c r="AP134"/>
  <c r="AO134"/>
  <c r="AN134"/>
  <c r="AM134"/>
  <c r="AL134"/>
  <c r="AK134"/>
  <c r="AJ134"/>
  <c r="AI134"/>
  <c r="AH134"/>
  <c r="AG134"/>
  <c r="AF134"/>
  <c r="AE134"/>
  <c r="AD134"/>
  <c r="AC134"/>
  <c r="AB134"/>
  <c r="AA134"/>
  <c r="U134"/>
  <c r="T134"/>
  <c r="BB133"/>
  <c r="BA133"/>
  <c r="AZ133"/>
  <c r="AY133"/>
  <c r="AX133"/>
  <c r="AW133"/>
  <c r="AV133"/>
  <c r="AR133"/>
  <c r="AQ133"/>
  <c r="AP133"/>
  <c r="AO133"/>
  <c r="AN133"/>
  <c r="AM133"/>
  <c r="AL133"/>
  <c r="AK133"/>
  <c r="AJ133"/>
  <c r="AI133"/>
  <c r="AH133"/>
  <c r="AG133"/>
  <c r="AF133"/>
  <c r="AE133"/>
  <c r="AD133"/>
  <c r="AC133"/>
  <c r="AB133"/>
  <c r="AA133"/>
  <c r="U133"/>
  <c r="T133"/>
  <c r="BB132"/>
  <c r="BA132"/>
  <c r="AZ132"/>
  <c r="AY132"/>
  <c r="AX132"/>
  <c r="AW132"/>
  <c r="AV132"/>
  <c r="AR132"/>
  <c r="AQ132"/>
  <c r="AP132"/>
  <c r="AO132"/>
  <c r="AN132"/>
  <c r="AM132"/>
  <c r="AL132"/>
  <c r="AK132"/>
  <c r="AJ132"/>
  <c r="AI132"/>
  <c r="AH132"/>
  <c r="AG132"/>
  <c r="AF132"/>
  <c r="AE132"/>
  <c r="AD132"/>
  <c r="AC132"/>
  <c r="AB132"/>
  <c r="AA132"/>
  <c r="U132"/>
  <c r="T132"/>
  <c r="BB131"/>
  <c r="BA131"/>
  <c r="AZ131"/>
  <c r="AY131"/>
  <c r="AX131"/>
  <c r="AW131"/>
  <c r="AV131"/>
  <c r="AR131"/>
  <c r="AQ131"/>
  <c r="AP131"/>
  <c r="AO131"/>
  <c r="AN131"/>
  <c r="AM131"/>
  <c r="AL131"/>
  <c r="AK131"/>
  <c r="AJ131"/>
  <c r="AI131"/>
  <c r="AH131"/>
  <c r="AG131"/>
  <c r="AF131"/>
  <c r="AE131"/>
  <c r="AD131"/>
  <c r="AC131"/>
  <c r="AB131"/>
  <c r="AA131"/>
  <c r="U131"/>
  <c r="T131"/>
  <c r="BB130"/>
  <c r="BA130"/>
  <c r="AZ130"/>
  <c r="AY130"/>
  <c r="AX130"/>
  <c r="AW130"/>
  <c r="AV130"/>
  <c r="AR130"/>
  <c r="AQ130"/>
  <c r="AP130"/>
  <c r="AO130"/>
  <c r="AN130"/>
  <c r="AM130"/>
  <c r="AL130"/>
  <c r="AK130"/>
  <c r="AJ130"/>
  <c r="AI130"/>
  <c r="AH130"/>
  <c r="AG130"/>
  <c r="AF130"/>
  <c r="AE130"/>
  <c r="AD130"/>
  <c r="AC130"/>
  <c r="AB130"/>
  <c r="AA130"/>
  <c r="U130"/>
  <c r="T130"/>
  <c r="BB129"/>
  <c r="BA129"/>
  <c r="AZ129"/>
  <c r="AY129"/>
  <c r="AX129"/>
  <c r="AW129"/>
  <c r="AV129"/>
  <c r="AR129"/>
  <c r="AQ129"/>
  <c r="AP129"/>
  <c r="AO129"/>
  <c r="AN129"/>
  <c r="AM129"/>
  <c r="AL129"/>
  <c r="AK129"/>
  <c r="AJ129"/>
  <c r="AI129"/>
  <c r="AH129"/>
  <c r="AG129"/>
  <c r="AF129"/>
  <c r="AE129"/>
  <c r="AD129"/>
  <c r="AC129"/>
  <c r="AB129"/>
  <c r="AA129"/>
  <c r="U129"/>
  <c r="T129"/>
  <c r="BB128"/>
  <c r="BA128"/>
  <c r="AZ128"/>
  <c r="AY128"/>
  <c r="AX128"/>
  <c r="AW128"/>
  <c r="AV128"/>
  <c r="AR128"/>
  <c r="AQ128"/>
  <c r="AP128"/>
  <c r="AO128"/>
  <c r="AN128"/>
  <c r="AM128"/>
  <c r="AL128"/>
  <c r="AK128"/>
  <c r="AJ128"/>
  <c r="AI128"/>
  <c r="AH128"/>
  <c r="AG128"/>
  <c r="AF128"/>
  <c r="AE128"/>
  <c r="AD128"/>
  <c r="AC128"/>
  <c r="AB128"/>
  <c r="AA128"/>
  <c r="U128"/>
  <c r="T128"/>
  <c r="BB127"/>
  <c r="BA127"/>
  <c r="AZ127"/>
  <c r="AY127"/>
  <c r="AX127"/>
  <c r="AW127"/>
  <c r="AV127"/>
  <c r="AR127"/>
  <c r="AQ127"/>
  <c r="AP127"/>
  <c r="AO127"/>
  <c r="AN127"/>
  <c r="AM127"/>
  <c r="AL127"/>
  <c r="AK127"/>
  <c r="AJ127"/>
  <c r="AI127"/>
  <c r="AH127"/>
  <c r="AG127"/>
  <c r="AF127"/>
  <c r="AE127"/>
  <c r="AD127"/>
  <c r="AC127"/>
  <c r="AB127"/>
  <c r="AA127"/>
  <c r="U127"/>
  <c r="T127"/>
  <c r="BB126"/>
  <c r="BA126"/>
  <c r="AZ126"/>
  <c r="AY126"/>
  <c r="AX126"/>
  <c r="AW126"/>
  <c r="AV126"/>
  <c r="AR126"/>
  <c r="AQ126"/>
  <c r="AP126"/>
  <c r="AO126"/>
  <c r="AN126"/>
  <c r="AM126"/>
  <c r="AL126"/>
  <c r="AK126"/>
  <c r="AJ126"/>
  <c r="AI126"/>
  <c r="AH126"/>
  <c r="AG126"/>
  <c r="AF126"/>
  <c r="AE126"/>
  <c r="AD126"/>
  <c r="AC126"/>
  <c r="AB126"/>
  <c r="AA126"/>
  <c r="U126"/>
  <c r="T126"/>
  <c r="BB125"/>
  <c r="BA125"/>
  <c r="AZ125"/>
  <c r="AY125"/>
  <c r="AX125"/>
  <c r="AW125"/>
  <c r="AV125"/>
  <c r="AR125"/>
  <c r="AQ125"/>
  <c r="AP125"/>
  <c r="AO125"/>
  <c r="AN125"/>
  <c r="AM125"/>
  <c r="AL125"/>
  <c r="AK125"/>
  <c r="AJ125"/>
  <c r="AI125"/>
  <c r="AH125"/>
  <c r="AG125"/>
  <c r="AF125"/>
  <c r="AE125"/>
  <c r="AD125"/>
  <c r="AC125"/>
  <c r="AB125"/>
  <c r="AA125"/>
  <c r="U125"/>
  <c r="T125"/>
  <c r="BB124"/>
  <c r="BA124"/>
  <c r="AZ124"/>
  <c r="AY124"/>
  <c r="AX124"/>
  <c r="AW124"/>
  <c r="AV124"/>
  <c r="AR124"/>
  <c r="AQ124"/>
  <c r="AP124"/>
  <c r="AO124"/>
  <c r="AN124"/>
  <c r="AM124"/>
  <c r="AL124"/>
  <c r="AK124"/>
  <c r="AJ124"/>
  <c r="AI124"/>
  <c r="AH124"/>
  <c r="AG124"/>
  <c r="AF124"/>
  <c r="AE124"/>
  <c r="AD124"/>
  <c r="AC124"/>
  <c r="AB124"/>
  <c r="AA124"/>
  <c r="U124"/>
  <c r="T124"/>
  <c r="BB123"/>
  <c r="BA123"/>
  <c r="AZ123"/>
  <c r="AY123"/>
  <c r="AX123"/>
  <c r="AW123"/>
  <c r="AV123"/>
  <c r="AR123"/>
  <c r="AQ123"/>
  <c r="AP123"/>
  <c r="AO123"/>
  <c r="AN123"/>
  <c r="AM123"/>
  <c r="AL123"/>
  <c r="AK123"/>
  <c r="AJ123"/>
  <c r="AI123"/>
  <c r="AH123"/>
  <c r="AG123"/>
  <c r="AF123"/>
  <c r="AE123"/>
  <c r="AD123"/>
  <c r="AC123"/>
  <c r="AB123"/>
  <c r="AA123"/>
  <c r="U123"/>
  <c r="T123"/>
  <c r="BB122"/>
  <c r="BA122"/>
  <c r="AZ122"/>
  <c r="AY122"/>
  <c r="AX122"/>
  <c r="AW122"/>
  <c r="AV122"/>
  <c r="AR122"/>
  <c r="AQ122"/>
  <c r="AP122"/>
  <c r="AO122"/>
  <c r="AN122"/>
  <c r="AM122"/>
  <c r="AL122"/>
  <c r="AK122"/>
  <c r="AJ122"/>
  <c r="AI122"/>
  <c r="AH122"/>
  <c r="AG122"/>
  <c r="AF122"/>
  <c r="AE122"/>
  <c r="AD122"/>
  <c r="AC122"/>
  <c r="AB122"/>
  <c r="AA122"/>
  <c r="U122"/>
  <c r="T122"/>
  <c r="BB121"/>
  <c r="BA121"/>
  <c r="AZ121"/>
  <c r="AY121"/>
  <c r="AX121"/>
  <c r="AW121"/>
  <c r="AV121"/>
  <c r="AR121"/>
  <c r="AQ121"/>
  <c r="AP121"/>
  <c r="AO121"/>
  <c r="AN121"/>
  <c r="AM121"/>
  <c r="AL121"/>
  <c r="AK121"/>
  <c r="P121" s="1"/>
  <c r="AJ121"/>
  <c r="AI121"/>
  <c r="AH121"/>
  <c r="AG121"/>
  <c r="AF121"/>
  <c r="AE121"/>
  <c r="AD121"/>
  <c r="AC121"/>
  <c r="AB121"/>
  <c r="AA121"/>
  <c r="U121"/>
  <c r="T121"/>
  <c r="Q121"/>
  <c r="BB120"/>
  <c r="BA120"/>
  <c r="AZ120"/>
  <c r="AY120"/>
  <c r="AX120"/>
  <c r="AW120"/>
  <c r="AV120"/>
  <c r="AR120"/>
  <c r="AQ120"/>
  <c r="AP120"/>
  <c r="AO120"/>
  <c r="AN120"/>
  <c r="AM120"/>
  <c r="AL120"/>
  <c r="AK120"/>
  <c r="AJ120"/>
  <c r="AI120"/>
  <c r="AH120"/>
  <c r="AG120"/>
  <c r="AF120"/>
  <c r="AE120"/>
  <c r="AD120"/>
  <c r="AC120"/>
  <c r="AB120"/>
  <c r="AA120"/>
  <c r="U120"/>
  <c r="T120"/>
  <c r="BB119"/>
  <c r="BA119"/>
  <c r="AZ119"/>
  <c r="AY119"/>
  <c r="AX119"/>
  <c r="AW119"/>
  <c r="AV119"/>
  <c r="AR119"/>
  <c r="AQ119"/>
  <c r="AP119"/>
  <c r="AO119"/>
  <c r="AN119"/>
  <c r="AM119"/>
  <c r="AL119"/>
  <c r="AK119"/>
  <c r="AJ119"/>
  <c r="AI119"/>
  <c r="AH119"/>
  <c r="AG119"/>
  <c r="AF119"/>
  <c r="AE119"/>
  <c r="AD119"/>
  <c r="AC119"/>
  <c r="AB119"/>
  <c r="AA119"/>
  <c r="N119" s="1"/>
  <c r="U119"/>
  <c r="T119"/>
  <c r="BB118"/>
  <c r="BA118"/>
  <c r="AZ118"/>
  <c r="AY118"/>
  <c r="AX118"/>
  <c r="AW118"/>
  <c r="AV118"/>
  <c r="AR118"/>
  <c r="AQ118"/>
  <c r="AP118"/>
  <c r="AO118"/>
  <c r="AN118"/>
  <c r="AM118"/>
  <c r="AL118"/>
  <c r="AK118"/>
  <c r="AJ118"/>
  <c r="AI118"/>
  <c r="AH118"/>
  <c r="AG118"/>
  <c r="AF118"/>
  <c r="AE118"/>
  <c r="AD118"/>
  <c r="AC118"/>
  <c r="AB118"/>
  <c r="AA118"/>
  <c r="U118"/>
  <c r="T118"/>
  <c r="BB117"/>
  <c r="BA117"/>
  <c r="AZ117"/>
  <c r="AY117"/>
  <c r="AX117"/>
  <c r="AW117"/>
  <c r="AV117"/>
  <c r="AR117"/>
  <c r="AQ117"/>
  <c r="AP117"/>
  <c r="AO117"/>
  <c r="AN117"/>
  <c r="AM117"/>
  <c r="AL117"/>
  <c r="AK117"/>
  <c r="AJ117"/>
  <c r="AI117"/>
  <c r="AH117"/>
  <c r="AG117"/>
  <c r="AF117"/>
  <c r="AE117"/>
  <c r="AD117"/>
  <c r="AC117"/>
  <c r="AB117"/>
  <c r="AA117"/>
  <c r="U117"/>
  <c r="T117"/>
  <c r="BB116"/>
  <c r="BA116"/>
  <c r="AZ116"/>
  <c r="AY116"/>
  <c r="AX116"/>
  <c r="AW116"/>
  <c r="AV116"/>
  <c r="AR116"/>
  <c r="AQ116"/>
  <c r="AP116"/>
  <c r="AO116"/>
  <c r="AN116"/>
  <c r="AM116"/>
  <c r="AL116"/>
  <c r="AK116"/>
  <c r="AJ116"/>
  <c r="AI116"/>
  <c r="AH116"/>
  <c r="AG116"/>
  <c r="AF116"/>
  <c r="AE116"/>
  <c r="AD116"/>
  <c r="AC116"/>
  <c r="AB116"/>
  <c r="AA116"/>
  <c r="U116"/>
  <c r="T116"/>
  <c r="BB115"/>
  <c r="BA115"/>
  <c r="AZ115"/>
  <c r="AY115"/>
  <c r="AX115"/>
  <c r="AW115"/>
  <c r="AV115"/>
  <c r="AR115"/>
  <c r="AQ115"/>
  <c r="AP115"/>
  <c r="AO115"/>
  <c r="AN115"/>
  <c r="AM115"/>
  <c r="AL115"/>
  <c r="AK115"/>
  <c r="AJ115"/>
  <c r="AI115"/>
  <c r="AH115"/>
  <c r="AG115"/>
  <c r="AF115"/>
  <c r="AE115"/>
  <c r="AD115"/>
  <c r="AC115"/>
  <c r="AB115"/>
  <c r="AA115"/>
  <c r="N115" s="1"/>
  <c r="U115"/>
  <c r="T115"/>
  <c r="BB114"/>
  <c r="BA114"/>
  <c r="AZ114"/>
  <c r="AY114"/>
  <c r="AX114"/>
  <c r="AW114"/>
  <c r="AV114"/>
  <c r="AR114"/>
  <c r="AQ114"/>
  <c r="AP114"/>
  <c r="AO114"/>
  <c r="AN114"/>
  <c r="Q114" s="1"/>
  <c r="AM114"/>
  <c r="AL114"/>
  <c r="AK114"/>
  <c r="AJ114"/>
  <c r="AI114"/>
  <c r="AH114"/>
  <c r="AG114"/>
  <c r="AF114"/>
  <c r="AE114"/>
  <c r="AD114"/>
  <c r="AC114"/>
  <c r="AB114"/>
  <c r="AA114"/>
  <c r="U114"/>
  <c r="T114"/>
  <c r="Y107"/>
  <c r="AT106"/>
  <c r="AS106"/>
  <c r="BB105"/>
  <c r="BA105"/>
  <c r="AZ105"/>
  <c r="AY105"/>
  <c r="AX105"/>
  <c r="AW105"/>
  <c r="AV105"/>
  <c r="AU105"/>
  <c r="AT105"/>
  <c r="AS105"/>
  <c r="AR105"/>
  <c r="AQ105"/>
  <c r="AP105"/>
  <c r="AO105"/>
  <c r="AN105"/>
  <c r="AM105"/>
  <c r="AL105"/>
  <c r="AK105"/>
  <c r="AJ105"/>
  <c r="AI105"/>
  <c r="AH105"/>
  <c r="AG105"/>
  <c r="AF105"/>
  <c r="AE105"/>
  <c r="AD105"/>
  <c r="AC105"/>
  <c r="AB105"/>
  <c r="AA105"/>
  <c r="K95"/>
  <c r="K94"/>
  <c r="K89"/>
  <c r="L89" s="1"/>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K57"/>
  <c r="J57"/>
  <c r="K56"/>
  <c r="J56"/>
  <c r="K55"/>
  <c r="J55"/>
  <c r="K54"/>
  <c r="J54"/>
  <c r="K53"/>
  <c r="J53"/>
  <c r="K52"/>
  <c r="J52"/>
  <c r="K51"/>
  <c r="J51"/>
  <c r="K50"/>
  <c r="J50"/>
  <c r="K49"/>
  <c r="J49"/>
  <c r="K48"/>
  <c r="J48"/>
  <c r="K47"/>
  <c r="J47"/>
  <c r="K46"/>
  <c r="J46"/>
  <c r="E15"/>
  <c r="F12"/>
  <c r="E12"/>
  <c r="G12" s="1"/>
  <c r="G10"/>
  <c r="M933"/>
  <c r="F9"/>
  <c r="G8"/>
  <c r="F7"/>
  <c r="E7"/>
  <c r="G7" s="1"/>
  <c r="E6"/>
  <c r="G6" s="1"/>
  <c r="E5"/>
  <c r="G5" s="1"/>
  <c r="G3"/>
  <c r="K1282"/>
  <c r="X262" i="6"/>
  <c r="X263" s="1"/>
  <c r="W262"/>
  <c r="W263" s="1"/>
  <c r="V262"/>
  <c r="V263" s="1"/>
  <c r="U262"/>
  <c r="U263" s="1"/>
  <c r="T262"/>
  <c r="T263" s="1"/>
  <c r="S262"/>
  <c r="S263" s="1"/>
  <c r="R262"/>
  <c r="R263" s="1"/>
  <c r="Q262"/>
  <c r="Q263" s="1"/>
  <c r="P262"/>
  <c r="P263" s="1"/>
  <c r="O262"/>
  <c r="O263" s="1"/>
  <c r="N262"/>
  <c r="N263" s="1"/>
  <c r="M262"/>
  <c r="M263" s="1"/>
  <c r="L262"/>
  <c r="L263" s="1"/>
  <c r="K262"/>
  <c r="K263" s="1"/>
  <c r="J262"/>
  <c r="J263" s="1"/>
  <c r="I262"/>
  <c r="I263" s="1"/>
  <c r="H262"/>
  <c r="H263" s="1"/>
  <c r="G262"/>
  <c r="G263" s="1"/>
  <c r="F262"/>
  <c r="F263" s="1"/>
  <c r="E262"/>
  <c r="E263" s="1"/>
  <c r="X225"/>
  <c r="X226" s="1"/>
  <c r="W225"/>
  <c r="W226" s="1"/>
  <c r="V225"/>
  <c r="V226" s="1"/>
  <c r="U225"/>
  <c r="U226" s="1"/>
  <c r="T225"/>
  <c r="T226" s="1"/>
  <c r="S225"/>
  <c r="S226" s="1"/>
  <c r="R225"/>
  <c r="R226" s="1"/>
  <c r="Q225"/>
  <c r="Q226" s="1"/>
  <c r="P225"/>
  <c r="P226" s="1"/>
  <c r="O225"/>
  <c r="O226" s="1"/>
  <c r="N225"/>
  <c r="N226" s="1"/>
  <c r="M225"/>
  <c r="M226" s="1"/>
  <c r="L225"/>
  <c r="L226" s="1"/>
  <c r="K225"/>
  <c r="K226" s="1"/>
  <c r="J225"/>
  <c r="J226" s="1"/>
  <c r="I225"/>
  <c r="I226" s="1"/>
  <c r="H225"/>
  <c r="H226" s="1"/>
  <c r="G225"/>
  <c r="G226" s="1"/>
  <c r="F225"/>
  <c r="F226" s="1"/>
  <c r="E225"/>
  <c r="E226" s="1"/>
  <c r="C158"/>
  <c r="I3" i="22" s="1"/>
  <c r="X156" i="6"/>
  <c r="X157" s="1"/>
  <c r="W156"/>
  <c r="W157" s="1"/>
  <c r="V156"/>
  <c r="V157" s="1"/>
  <c r="U156"/>
  <c r="U157" s="1"/>
  <c r="T156"/>
  <c r="T157" s="1"/>
  <c r="S156"/>
  <c r="S157" s="1"/>
  <c r="R156"/>
  <c r="R157" s="1"/>
  <c r="Q156"/>
  <c r="Q157" s="1"/>
  <c r="P156"/>
  <c r="P157" s="1"/>
  <c r="O156"/>
  <c r="O157" s="1"/>
  <c r="N156"/>
  <c r="N157" s="1"/>
  <c r="M156"/>
  <c r="M157" s="1"/>
  <c r="L156"/>
  <c r="L157" s="1"/>
  <c r="K156"/>
  <c r="K157" s="1"/>
  <c r="J156"/>
  <c r="J157" s="1"/>
  <c r="I156"/>
  <c r="I157" s="1"/>
  <c r="H156"/>
  <c r="H157" s="1"/>
  <c r="G156"/>
  <c r="G157" s="1"/>
  <c r="F156"/>
  <c r="F157" s="1"/>
  <c r="E156"/>
  <c r="E157" s="1"/>
  <c r="C155"/>
  <c r="C23"/>
  <c r="C89" s="1"/>
  <c r="C22"/>
  <c r="A21" s="1"/>
  <c r="A11"/>
  <c r="C9"/>
  <c r="J751" i="8" l="1"/>
  <c r="P181"/>
  <c r="C36" i="6"/>
  <c r="C102" s="1"/>
  <c r="C40"/>
  <c r="C106" s="1"/>
  <c r="C44"/>
  <c r="C110" s="1"/>
  <c r="C47"/>
  <c r="C51"/>
  <c r="C117" s="1"/>
  <c r="C54"/>
  <c r="C120" s="1"/>
  <c r="C56"/>
  <c r="C122" s="1"/>
  <c r="C60"/>
  <c r="C64"/>
  <c r="C130" s="1"/>
  <c r="C69"/>
  <c r="C135" s="1"/>
  <c r="C73"/>
  <c r="C76"/>
  <c r="C142" s="1"/>
  <c r="C80"/>
  <c r="C146" s="1"/>
  <c r="C37"/>
  <c r="C103" s="1"/>
  <c r="C41"/>
  <c r="C107" s="1"/>
  <c r="C45"/>
  <c r="C111" s="1"/>
  <c r="C48"/>
  <c r="C52"/>
  <c r="C118" s="1"/>
  <c r="C57"/>
  <c r="C123" s="1"/>
  <c r="C61"/>
  <c r="C127" s="1"/>
  <c r="C65"/>
  <c r="C67"/>
  <c r="C70"/>
  <c r="C136" s="1"/>
  <c r="C74"/>
  <c r="C140" s="1"/>
  <c r="C77"/>
  <c r="C143" s="1"/>
  <c r="C81"/>
  <c r="C147" s="1"/>
  <c r="C38"/>
  <c r="C104" s="1"/>
  <c r="C46"/>
  <c r="C112" s="1"/>
  <c r="C58"/>
  <c r="C124" s="1"/>
  <c r="C66"/>
  <c r="C132" s="1"/>
  <c r="C71"/>
  <c r="C137" s="1"/>
  <c r="C78"/>
  <c r="C144" s="1"/>
  <c r="C34"/>
  <c r="C42"/>
  <c r="C108" s="1"/>
  <c r="C49"/>
  <c r="C62"/>
  <c r="C75"/>
  <c r="C141" s="1"/>
  <c r="C82"/>
  <c r="C148" s="1"/>
  <c r="C59"/>
  <c r="C72"/>
  <c r="C138" s="1"/>
  <c r="C35"/>
  <c r="C101" s="1"/>
  <c r="C50"/>
  <c r="C63"/>
  <c r="C39"/>
  <c r="C105" s="1"/>
  <c r="C53"/>
  <c r="C119" s="1"/>
  <c r="C79"/>
  <c r="C145" s="1"/>
  <c r="C43"/>
  <c r="C55"/>
  <c r="C68"/>
  <c r="Q133" i="8"/>
  <c r="Q200"/>
  <c r="L3" i="9"/>
  <c r="C167" i="6"/>
  <c r="I12" i="22" s="1"/>
  <c r="C171" i="6"/>
  <c r="I16" i="22" s="1"/>
  <c r="C175" i="6"/>
  <c r="I20" i="22" s="1"/>
  <c r="C179" i="6"/>
  <c r="I24" i="22" s="1"/>
  <c r="C182" i="6"/>
  <c r="I27" i="22" s="1"/>
  <c r="C186" i="6"/>
  <c r="I31" i="22" s="1"/>
  <c r="C189" i="6"/>
  <c r="I34" i="22" s="1"/>
  <c r="C191" i="6"/>
  <c r="I36" i="22" s="1"/>
  <c r="C195" i="6"/>
  <c r="I40" i="22" s="1"/>
  <c r="C199" i="6"/>
  <c r="I44" i="22" s="1"/>
  <c r="C204" i="6"/>
  <c r="I49" i="22" s="1"/>
  <c r="C208" i="6"/>
  <c r="I53" i="22" s="1"/>
  <c r="C211" i="6"/>
  <c r="I56" i="22" s="1"/>
  <c r="C215" i="6"/>
  <c r="I60" i="22" s="1"/>
  <c r="C168" i="6"/>
  <c r="I13" i="22" s="1"/>
  <c r="C172" i="6"/>
  <c r="I17" i="22" s="1"/>
  <c r="C176" i="6"/>
  <c r="I21" i="22" s="1"/>
  <c r="C180" i="6"/>
  <c r="I25" i="22" s="1"/>
  <c r="C183" i="6"/>
  <c r="I28" i="22" s="1"/>
  <c r="C187" i="6"/>
  <c r="I32" i="22" s="1"/>
  <c r="C192" i="6"/>
  <c r="I37" i="22" s="1"/>
  <c r="C196" i="6"/>
  <c r="I41" i="22" s="1"/>
  <c r="C200" i="6"/>
  <c r="I45" i="22" s="1"/>
  <c r="C202" i="6"/>
  <c r="I47" i="22" s="1"/>
  <c r="C205" i="6"/>
  <c r="I50" i="22" s="1"/>
  <c r="C209" i="6"/>
  <c r="I54" i="22" s="1"/>
  <c r="C212" i="6"/>
  <c r="I57" i="22" s="1"/>
  <c r="C216" i="6"/>
  <c r="I61" i="22" s="1"/>
  <c r="C169" i="6"/>
  <c r="I14" i="22" s="1"/>
  <c r="C173" i="6"/>
  <c r="I18" i="22" s="1"/>
  <c r="C177" i="6"/>
  <c r="I22" i="22" s="1"/>
  <c r="C181" i="6"/>
  <c r="I26" i="22" s="1"/>
  <c r="C184" i="6"/>
  <c r="I29" i="22" s="1"/>
  <c r="C193" i="6"/>
  <c r="I38" i="22" s="1"/>
  <c r="C197" i="6"/>
  <c r="I42" i="22" s="1"/>
  <c r="C201" i="6"/>
  <c r="I46" i="22" s="1"/>
  <c r="C206" i="6"/>
  <c r="I51" i="22" s="1"/>
  <c r="C210" i="6"/>
  <c r="I55" i="22" s="1"/>
  <c r="C213" i="6"/>
  <c r="I58" i="22" s="1"/>
  <c r="C217" i="6"/>
  <c r="I62" i="22" s="1"/>
  <c r="C170" i="6"/>
  <c r="I15" i="22" s="1"/>
  <c r="C174" i="6"/>
  <c r="I19" i="22" s="1"/>
  <c r="C178" i="6"/>
  <c r="I23" i="22" s="1"/>
  <c r="C185" i="6"/>
  <c r="I30" i="22" s="1"/>
  <c r="C188" i="6"/>
  <c r="I33" i="22" s="1"/>
  <c r="C190" i="6"/>
  <c r="I35" i="22" s="1"/>
  <c r="C194" i="6"/>
  <c r="I39" i="22" s="1"/>
  <c r="C198" i="6"/>
  <c r="I43" i="22" s="1"/>
  <c r="C203" i="6"/>
  <c r="I48" i="22" s="1"/>
  <c r="C207" i="6"/>
  <c r="I52" i="22" s="1"/>
  <c r="C214" i="6"/>
  <c r="I59" i="22" s="1"/>
  <c r="P124" i="8"/>
  <c r="P128"/>
  <c r="P132"/>
  <c r="Q166"/>
  <c r="Q179"/>
  <c r="Q125"/>
  <c r="P129"/>
  <c r="Q129"/>
  <c r="S146"/>
  <c r="AU146" s="1"/>
  <c r="Y146" s="1"/>
  <c r="N167"/>
  <c r="P205"/>
  <c r="Q205"/>
  <c r="S123"/>
  <c r="Q183"/>
  <c r="Q191"/>
  <c r="S191"/>
  <c r="AU191" s="1"/>
  <c r="Y191" s="1"/>
  <c r="Q195"/>
  <c r="Q207"/>
  <c r="P189"/>
  <c r="P197"/>
  <c r="AB106"/>
  <c r="AJ106"/>
  <c r="P116"/>
  <c r="Q116"/>
  <c r="S116"/>
  <c r="AU116" s="1"/>
  <c r="Y116" s="1"/>
  <c r="P148"/>
  <c r="N168"/>
  <c r="P173"/>
  <c r="N175"/>
  <c r="P177"/>
  <c r="Q177"/>
  <c r="S147"/>
  <c r="AU147" s="1"/>
  <c r="Y147" s="1"/>
  <c r="S158"/>
  <c r="AU158" s="1"/>
  <c r="Y158" s="1"/>
  <c r="P201"/>
  <c r="P125"/>
  <c r="S127"/>
  <c r="S131"/>
  <c r="AU131" s="1"/>
  <c r="Y131" s="1"/>
  <c r="S159"/>
  <c r="AU159" s="1"/>
  <c r="Y159" s="1"/>
  <c r="N163"/>
  <c r="P165"/>
  <c r="Q189"/>
  <c r="P193"/>
  <c r="S207"/>
  <c r="AU207" s="1"/>
  <c r="Y207" s="1"/>
  <c r="N123"/>
  <c r="P126"/>
  <c r="P149"/>
  <c r="P158"/>
  <c r="S162"/>
  <c r="AU162" s="1"/>
  <c r="Y162" s="1"/>
  <c r="N164"/>
  <c r="Q165"/>
  <c r="S166"/>
  <c r="AU166" s="1"/>
  <c r="Y166" s="1"/>
  <c r="S167"/>
  <c r="AU167" s="1"/>
  <c r="Y167" s="1"/>
  <c r="S169"/>
  <c r="AU169" s="1"/>
  <c r="S183"/>
  <c r="AU183" s="1"/>
  <c r="Y183" s="1"/>
  <c r="Q201"/>
  <c r="P136"/>
  <c r="Q136"/>
  <c r="S136"/>
  <c r="P141"/>
  <c r="P145"/>
  <c r="Q151"/>
  <c r="P160"/>
  <c r="Q164"/>
  <c r="P172"/>
  <c r="Q181"/>
  <c r="P185"/>
  <c r="Q185"/>
  <c r="S199"/>
  <c r="AU199" s="1"/>
  <c r="Y199" s="1"/>
  <c r="F5"/>
  <c r="M890"/>
  <c r="AR106"/>
  <c r="Q117"/>
  <c r="N127"/>
  <c r="S142"/>
  <c r="AU142" s="1"/>
  <c r="Q146"/>
  <c r="N148"/>
  <c r="S154"/>
  <c r="AU154" s="1"/>
  <c r="Y154" s="1"/>
  <c r="S155"/>
  <c r="AU155" s="1"/>
  <c r="Y155" s="1"/>
  <c r="Q158"/>
  <c r="N159"/>
  <c r="S161"/>
  <c r="AU161" s="1"/>
  <c r="P170"/>
  <c r="Q173"/>
  <c r="P184"/>
  <c r="S184"/>
  <c r="AU184" s="1"/>
  <c r="Y184" s="1"/>
  <c r="Q192"/>
  <c r="P194"/>
  <c r="P200"/>
  <c r="S200"/>
  <c r="Q208"/>
  <c r="S119"/>
  <c r="AU119" s="1"/>
  <c r="Y119" s="1"/>
  <c r="Q130"/>
  <c r="P134"/>
  <c r="N139"/>
  <c r="S143"/>
  <c r="Q150"/>
  <c r="S151"/>
  <c r="AU151" s="1"/>
  <c r="Y151" s="1"/>
  <c r="P153"/>
  <c r="Q154"/>
  <c r="P156"/>
  <c r="Q162"/>
  <c r="S175"/>
  <c r="AU175" s="1"/>
  <c r="Y175" s="1"/>
  <c r="S179"/>
  <c r="AU179" s="1"/>
  <c r="Y179" s="1"/>
  <c r="S187"/>
  <c r="AU187" s="1"/>
  <c r="Y187" s="1"/>
  <c r="S195"/>
  <c r="AU195" s="1"/>
  <c r="Y195" s="1"/>
  <c r="S203"/>
  <c r="AU203" s="1"/>
  <c r="Y203" s="1"/>
  <c r="Q137"/>
  <c r="P142"/>
  <c r="S150"/>
  <c r="AU150" s="1"/>
  <c r="Y150" s="1"/>
  <c r="N151"/>
  <c r="S163"/>
  <c r="AU163" s="1"/>
  <c r="Y163" s="1"/>
  <c r="Q170"/>
  <c r="Q184"/>
  <c r="P186"/>
  <c r="P192"/>
  <c r="S192"/>
  <c r="AU192" s="1"/>
  <c r="Y192" s="1"/>
  <c r="P202"/>
  <c r="P208"/>
  <c r="S208"/>
  <c r="AU208" s="1"/>
  <c r="Y208" s="1"/>
  <c r="AV106"/>
  <c r="Q115"/>
  <c r="S115"/>
  <c r="AU115" s="1"/>
  <c r="Y115" s="1"/>
  <c r="P120"/>
  <c r="Q120"/>
  <c r="S120"/>
  <c r="P122"/>
  <c r="P133"/>
  <c r="Q135"/>
  <c r="S135"/>
  <c r="AU135" s="1"/>
  <c r="Y135" s="1"/>
  <c r="S139"/>
  <c r="AU139" s="1"/>
  <c r="Y139" s="1"/>
  <c r="P144"/>
  <c r="P152"/>
  <c r="N172"/>
  <c r="Q174"/>
  <c r="P176"/>
  <c r="N179"/>
  <c r="P180"/>
  <c r="Q180"/>
  <c r="S180"/>
  <c r="AU180" s="1"/>
  <c r="Y180" s="1"/>
  <c r="P182"/>
  <c r="P188"/>
  <c r="Q188"/>
  <c r="S188"/>
  <c r="AU188" s="1"/>
  <c r="Y188" s="1"/>
  <c r="P190"/>
  <c r="P196"/>
  <c r="Q196"/>
  <c r="S196"/>
  <c r="AU196" s="1"/>
  <c r="Y196" s="1"/>
  <c r="P198"/>
  <c r="P204"/>
  <c r="Q204"/>
  <c r="S204"/>
  <c r="AU204" s="1"/>
  <c r="Y204" s="1"/>
  <c r="P206"/>
  <c r="J275"/>
  <c r="M958"/>
  <c r="M1015"/>
  <c r="M1117"/>
  <c r="M1215"/>
  <c r="F4"/>
  <c r="F6"/>
  <c r="M853"/>
  <c r="M996"/>
  <c r="M774"/>
  <c r="M833"/>
  <c r="C33" i="6"/>
  <c r="K768" i="8"/>
  <c r="K848"/>
  <c r="M866"/>
  <c r="K880"/>
  <c r="M901"/>
  <c r="K912"/>
  <c r="K963"/>
  <c r="K1035"/>
  <c r="K1175"/>
  <c r="N1256"/>
  <c r="K863"/>
  <c r="K891"/>
  <c r="K928"/>
  <c r="K1051"/>
  <c r="M1213"/>
  <c r="F10"/>
  <c r="K791"/>
  <c r="M801"/>
  <c r="M817"/>
  <c r="M842"/>
  <c r="K868"/>
  <c r="M869"/>
  <c r="M878"/>
  <c r="K884"/>
  <c r="K892"/>
  <c r="K923"/>
  <c r="M934"/>
  <c r="M942"/>
  <c r="M946"/>
  <c r="K955"/>
  <c r="K967"/>
  <c r="K972"/>
  <c r="M990"/>
  <c r="K1008"/>
  <c r="K1016"/>
  <c r="K1166"/>
  <c r="M1179"/>
  <c r="M785"/>
  <c r="K811"/>
  <c r="K832"/>
  <c r="K896"/>
  <c r="K916"/>
  <c r="K936"/>
  <c r="K1154"/>
  <c r="K1181"/>
  <c r="K1231"/>
  <c r="M1279"/>
  <c r="K812"/>
  <c r="K824"/>
  <c r="K867"/>
  <c r="M922"/>
  <c r="F3"/>
  <c r="F11"/>
  <c r="K831"/>
  <c r="K843"/>
  <c r="M865"/>
  <c r="K879"/>
  <c r="M898"/>
  <c r="K907"/>
  <c r="K935"/>
  <c r="K943"/>
  <c r="M949"/>
  <c r="K976"/>
  <c r="K1006"/>
  <c r="K1073"/>
  <c r="AZ106"/>
  <c r="P118"/>
  <c r="Q122"/>
  <c r="Q126"/>
  <c r="S130"/>
  <c r="AU130" s="1"/>
  <c r="Y130" s="1"/>
  <c r="Q134"/>
  <c r="P138"/>
  <c r="AY106"/>
  <c r="Q145"/>
  <c r="P150"/>
  <c r="P154"/>
  <c r="S157"/>
  <c r="AU157" s="1"/>
  <c r="Y157" s="1"/>
  <c r="N160"/>
  <c r="Q161"/>
  <c r="P164"/>
  <c r="Q169"/>
  <c r="S170"/>
  <c r="AU170" s="1"/>
  <c r="Y170" s="1"/>
  <c r="P171"/>
  <c r="Q171"/>
  <c r="S174"/>
  <c r="AU174" s="1"/>
  <c r="Y174" s="1"/>
  <c r="Q176"/>
  <c r="S176"/>
  <c r="AU176" s="1"/>
  <c r="Y176" s="1"/>
  <c r="P178"/>
  <c r="Q186"/>
  <c r="Q190"/>
  <c r="Q194"/>
  <c r="Q198"/>
  <c r="Q202"/>
  <c r="Q206"/>
  <c r="AF106"/>
  <c r="AE106"/>
  <c r="AM106"/>
  <c r="AA106"/>
  <c r="AI106"/>
  <c r="P117"/>
  <c r="AQ106"/>
  <c r="Q118"/>
  <c r="S122"/>
  <c r="AU122" s="1"/>
  <c r="Y122" s="1"/>
  <c r="S126"/>
  <c r="AU126" s="1"/>
  <c r="Y126" s="1"/>
  <c r="N131"/>
  <c r="S134"/>
  <c r="AU134" s="1"/>
  <c r="Y134" s="1"/>
  <c r="P137"/>
  <c r="Q138"/>
  <c r="Q141"/>
  <c r="N147"/>
  <c r="S149"/>
  <c r="AU149" s="1"/>
  <c r="Y149" s="1"/>
  <c r="S153"/>
  <c r="AU153" s="1"/>
  <c r="Y153" s="1"/>
  <c r="Q157"/>
  <c r="P161"/>
  <c r="P163"/>
  <c r="Q163"/>
  <c r="P168"/>
  <c r="P169"/>
  <c r="S171"/>
  <c r="AU171" s="1"/>
  <c r="Y171" s="1"/>
  <c r="Q178"/>
  <c r="S182"/>
  <c r="AU182" s="1"/>
  <c r="Y182" s="1"/>
  <c r="S186"/>
  <c r="AU186" s="1"/>
  <c r="Y186" s="1"/>
  <c r="S190"/>
  <c r="AU190" s="1"/>
  <c r="Y190" s="1"/>
  <c r="S194"/>
  <c r="AU194" s="1"/>
  <c r="Y194" s="1"/>
  <c r="S198"/>
  <c r="AU198" s="1"/>
  <c r="Y198" s="1"/>
  <c r="S202"/>
  <c r="AU202" s="1"/>
  <c r="Y202" s="1"/>
  <c r="S206"/>
  <c r="AU206" s="1"/>
  <c r="Y206" s="1"/>
  <c r="AX106"/>
  <c r="BB106"/>
  <c r="S118"/>
  <c r="AU118" s="1"/>
  <c r="Y118" s="1"/>
  <c r="Q123"/>
  <c r="Q124"/>
  <c r="S124"/>
  <c r="AU124" s="1"/>
  <c r="Y124" s="1"/>
  <c r="Q128"/>
  <c r="S128"/>
  <c r="AU128" s="1"/>
  <c r="Y128" s="1"/>
  <c r="P130"/>
  <c r="Q131"/>
  <c r="Q132"/>
  <c r="S132"/>
  <c r="AU132" s="1"/>
  <c r="Y132" s="1"/>
  <c r="N135"/>
  <c r="S138"/>
  <c r="AU138" s="1"/>
  <c r="Y138" s="1"/>
  <c r="N140"/>
  <c r="P140"/>
  <c r="N143"/>
  <c r="P146"/>
  <c r="Q149"/>
  <c r="Q153"/>
  <c r="P157"/>
  <c r="Q160"/>
  <c r="P162"/>
  <c r="S165"/>
  <c r="AU165" s="1"/>
  <c r="Y165" s="1"/>
  <c r="P166"/>
  <c r="P167"/>
  <c r="Q167"/>
  <c r="S172"/>
  <c r="P174"/>
  <c r="S178"/>
  <c r="AU178" s="1"/>
  <c r="Y178" s="1"/>
  <c r="N183"/>
  <c r="N187"/>
  <c r="N191"/>
  <c r="N195"/>
  <c r="N199"/>
  <c r="N203"/>
  <c r="N207"/>
  <c r="L1281"/>
  <c r="L1277"/>
  <c r="L1273"/>
  <c r="L1269"/>
  <c r="L1265"/>
  <c r="L1261"/>
  <c r="L1257"/>
  <c r="L1253"/>
  <c r="L1249"/>
  <c r="L1245"/>
  <c r="L1241"/>
  <c r="L1237"/>
  <c r="L1233"/>
  <c r="L1229"/>
  <c r="L1225"/>
  <c r="L1221"/>
  <c r="L1217"/>
  <c r="L1213"/>
  <c r="L1209"/>
  <c r="L1205"/>
  <c r="L1201"/>
  <c r="L1197"/>
  <c r="L1193"/>
  <c r="L1189"/>
  <c r="L1185"/>
  <c r="L1181"/>
  <c r="L1177"/>
  <c r="L1173"/>
  <c r="L1169"/>
  <c r="L1165"/>
  <c r="L1161"/>
  <c r="L1157"/>
  <c r="L1153"/>
  <c r="L1149"/>
  <c r="L1145"/>
  <c r="L1141"/>
  <c r="L1137"/>
  <c r="L1133"/>
  <c r="L1129"/>
  <c r="L1125"/>
  <c r="L1121"/>
  <c r="L1117"/>
  <c r="L1113"/>
  <c r="L1109"/>
  <c r="L1105"/>
  <c r="L1101"/>
  <c r="L1097"/>
  <c r="L1093"/>
  <c r="L1089"/>
  <c r="L1085"/>
  <c r="L1081"/>
  <c r="L1077"/>
  <c r="L1073"/>
  <c r="L1069"/>
  <c r="L1065"/>
  <c r="L1278"/>
  <c r="L1276"/>
  <c r="L1271"/>
  <c r="L1254"/>
  <c r="L1252"/>
  <c r="L1247"/>
  <c r="L1243"/>
  <c r="L1230"/>
  <c r="L1228"/>
  <c r="L1223"/>
  <c r="L1219"/>
  <c r="L1210"/>
  <c r="L1208"/>
  <c r="L1203"/>
  <c r="L1194"/>
  <c r="L1192"/>
  <c r="L1187"/>
  <c r="L1183"/>
  <c r="L1170"/>
  <c r="L1168"/>
  <c r="L1166"/>
  <c r="L1164"/>
  <c r="L1162"/>
  <c r="L1160"/>
  <c r="L1155"/>
  <c r="L1138"/>
  <c r="L1136"/>
  <c r="L1131"/>
  <c r="L1118"/>
  <c r="L1116"/>
  <c r="L1111"/>
  <c r="L1098"/>
  <c r="L1096"/>
  <c r="L1094"/>
  <c r="L1092"/>
  <c r="L1087"/>
  <c r="L1083"/>
  <c r="L1079"/>
  <c r="L1063"/>
  <c r="L1059"/>
  <c r="L1055"/>
  <c r="L1051"/>
  <c r="L1047"/>
  <c r="L1043"/>
  <c r="L1039"/>
  <c r="L1035"/>
  <c r="L1031"/>
  <c r="L1027"/>
  <c r="L1023"/>
  <c r="L1019"/>
  <c r="L1015"/>
  <c r="L1283"/>
  <c r="L1282"/>
  <c r="L1268"/>
  <c r="L1258"/>
  <c r="L1232"/>
  <c r="L1231"/>
  <c r="L1218"/>
  <c r="L1207"/>
  <c r="L1204"/>
  <c r="L1200"/>
  <c r="L1196"/>
  <c r="L1195"/>
  <c r="L1191"/>
  <c r="L1188"/>
  <c r="L1184"/>
  <c r="L1179"/>
  <c r="L1178"/>
  <c r="L1154"/>
  <c r="L1150"/>
  <c r="L1146"/>
  <c r="L1135"/>
  <c r="L1132"/>
  <c r="L1128"/>
  <c r="L1120"/>
  <c r="L1119"/>
  <c r="L1110"/>
  <c r="L1102"/>
  <c r="L1090"/>
  <c r="L1086"/>
  <c r="L1082"/>
  <c r="L1066"/>
  <c r="L1052"/>
  <c r="L1050"/>
  <c r="L1045"/>
  <c r="L1028"/>
  <c r="L1026"/>
  <c r="L1021"/>
  <c r="L1010"/>
  <c r="L1006"/>
  <c r="L1002"/>
  <c r="L998"/>
  <c r="L994"/>
  <c r="L990"/>
  <c r="L986"/>
  <c r="L982"/>
  <c r="L978"/>
  <c r="L974"/>
  <c r="L970"/>
  <c r="L966"/>
  <c r="L962"/>
  <c r="L958"/>
  <c r="L1274"/>
  <c r="L1266"/>
  <c r="L1256"/>
  <c r="L1255"/>
  <c r="L1244"/>
  <c r="L1242"/>
  <c r="L1224"/>
  <c r="L1199"/>
  <c r="L1186"/>
  <c r="L1182"/>
  <c r="L1148"/>
  <c r="L1127"/>
  <c r="L1126"/>
  <c r="L1112"/>
  <c r="L1108"/>
  <c r="L1104"/>
  <c r="L1088"/>
  <c r="L1080"/>
  <c r="L1068"/>
  <c r="L1062"/>
  <c r="L1058"/>
  <c r="L1048"/>
  <c r="L1040"/>
  <c r="L1036"/>
  <c r="L1018"/>
  <c r="L1014"/>
  <c r="L1007"/>
  <c r="L1005"/>
  <c r="L1000"/>
  <c r="L991"/>
  <c r="L989"/>
  <c r="L984"/>
  <c r="L975"/>
  <c r="L973"/>
  <c r="L968"/>
  <c r="L954"/>
  <c r="L950"/>
  <c r="L946"/>
  <c r="L942"/>
  <c r="L938"/>
  <c r="L934"/>
  <c r="L930"/>
  <c r="L926"/>
  <c r="L922"/>
  <c r="L918"/>
  <c r="L914"/>
  <c r="L910"/>
  <c r="L906"/>
  <c r="L902"/>
  <c r="L898"/>
  <c r="L894"/>
  <c r="L890"/>
  <c r="L886"/>
  <c r="L882"/>
  <c r="L878"/>
  <c r="L874"/>
  <c r="L870"/>
  <c r="L866"/>
  <c r="L862"/>
  <c r="L858"/>
  <c r="L854"/>
  <c r="L850"/>
  <c r="L846"/>
  <c r="L842"/>
  <c r="L838"/>
  <c r="L834"/>
  <c r="L830"/>
  <c r="L826"/>
  <c r="L822"/>
  <c r="L818"/>
  <c r="L814"/>
  <c r="L810"/>
  <c r="L806"/>
  <c r="L802"/>
  <c r="L798"/>
  <c r="L794"/>
  <c r="L790"/>
  <c r="L786"/>
  <c r="L782"/>
  <c r="L778"/>
  <c r="L774"/>
  <c r="L770"/>
  <c r="L766"/>
  <c r="L762"/>
  <c r="L758"/>
  <c r="L1272"/>
  <c r="L1270"/>
  <c r="L1267"/>
  <c r="L1260"/>
  <c r="L1259"/>
  <c r="L1250"/>
  <c r="L1222"/>
  <c r="L1211"/>
  <c r="L1174"/>
  <c r="L1159"/>
  <c r="L1158"/>
  <c r="L1147"/>
  <c r="L1139"/>
  <c r="L1107"/>
  <c r="L1106"/>
  <c r="L1078"/>
  <c r="L1076"/>
  <c r="L1075"/>
  <c r="L1061"/>
  <c r="L1057"/>
  <c r="L1056"/>
  <c r="L1030"/>
  <c r="L1029"/>
  <c r="L1025"/>
  <c r="L1022"/>
  <c r="L1017"/>
  <c r="L1016"/>
  <c r="L1013"/>
  <c r="L1011"/>
  <c r="L1009"/>
  <c r="L1004"/>
  <c r="L995"/>
  <c r="L993"/>
  <c r="L988"/>
  <c r="L979"/>
  <c r="L977"/>
  <c r="L972"/>
  <c r="L959"/>
  <c r="L957"/>
  <c r="L955"/>
  <c r="L951"/>
  <c r="L947"/>
  <c r="L943"/>
  <c r="L939"/>
  <c r="L935"/>
  <c r="L931"/>
  <c r="L927"/>
  <c r="L923"/>
  <c r="L919"/>
  <c r="L915"/>
  <c r="L911"/>
  <c r="L907"/>
  <c r="L903"/>
  <c r="L899"/>
  <c r="L895"/>
  <c r="L891"/>
  <c r="L887"/>
  <c r="L883"/>
  <c r="L879"/>
  <c r="L875"/>
  <c r="L871"/>
  <c r="L867"/>
  <c r="L863"/>
  <c r="L859"/>
  <c r="L855"/>
  <c r="L851"/>
  <c r="L847"/>
  <c r="L843"/>
  <c r="L839"/>
  <c r="L835"/>
  <c r="L831"/>
  <c r="L827"/>
  <c r="L823"/>
  <c r="L819"/>
  <c r="L815"/>
  <c r="L811"/>
  <c r="L807"/>
  <c r="L803"/>
  <c r="L799"/>
  <c r="L795"/>
  <c r="L791"/>
  <c r="L787"/>
  <c r="L783"/>
  <c r="L779"/>
  <c r="L775"/>
  <c r="L771"/>
  <c r="L767"/>
  <c r="L763"/>
  <c r="L759"/>
  <c r="L755"/>
  <c r="L1251"/>
  <c r="L1246"/>
  <c r="L1236"/>
  <c r="L1235"/>
  <c r="L1190"/>
  <c r="L1163"/>
  <c r="L1156"/>
  <c r="L1140"/>
  <c r="L1130"/>
  <c r="L1124"/>
  <c r="L1115"/>
  <c r="L1114"/>
  <c r="L1103"/>
  <c r="L1100"/>
  <c r="L1099"/>
  <c r="L1095"/>
  <c r="L1084"/>
  <c r="L1070"/>
  <c r="L1067"/>
  <c r="L1054"/>
  <c r="L1053"/>
  <c r="L1049"/>
  <c r="L1046"/>
  <c r="L1044"/>
  <c r="L1038"/>
  <c r="L1037"/>
  <c r="L1024"/>
  <c r="L1003"/>
  <c r="L1001"/>
  <c r="L997"/>
  <c r="L996"/>
  <c r="L956"/>
  <c r="L949"/>
  <c r="L948"/>
  <c r="L925"/>
  <c r="L924"/>
  <c r="L909"/>
  <c r="L908"/>
  <c r="L901"/>
  <c r="L900"/>
  <c r="L888"/>
  <c r="L881"/>
  <c r="L869"/>
  <c r="L864"/>
  <c r="L845"/>
  <c r="L844"/>
  <c r="L833"/>
  <c r="L793"/>
  <c r="L792"/>
  <c r="L785"/>
  <c r="L784"/>
  <c r="L777"/>
  <c r="L776"/>
  <c r="L765"/>
  <c r="L1248"/>
  <c r="L1240"/>
  <c r="L1239"/>
  <c r="L1238"/>
  <c r="L1227"/>
  <c r="L1226"/>
  <c r="L1206"/>
  <c r="L1172"/>
  <c r="L1171"/>
  <c r="L1167"/>
  <c r="L1152"/>
  <c r="L1151"/>
  <c r="L1144"/>
  <c r="L1143"/>
  <c r="L1142"/>
  <c r="L1071"/>
  <c r="L1042"/>
  <c r="L1041"/>
  <c r="L1020"/>
  <c r="L1012"/>
  <c r="L976"/>
  <c r="L967"/>
  <c r="L965"/>
  <c r="L964"/>
  <c r="L937"/>
  <c r="L936"/>
  <c r="L929"/>
  <c r="L928"/>
  <c r="L917"/>
  <c r="L913"/>
  <c r="L893"/>
  <c r="L892"/>
  <c r="L880"/>
  <c r="L873"/>
  <c r="L872"/>
  <c r="L868"/>
  <c r="L857"/>
  <c r="L856"/>
  <c r="L837"/>
  <c r="L836"/>
  <c r="L832"/>
  <c r="L825"/>
  <c r="L821"/>
  <c r="L820"/>
  <c r="L813"/>
  <c r="L812"/>
  <c r="L805"/>
  <c r="L804"/>
  <c r="L797"/>
  <c r="L769"/>
  <c r="L764"/>
  <c r="L757"/>
  <c r="L756"/>
  <c r="L1220"/>
  <c r="L1202"/>
  <c r="L1175"/>
  <c r="L1091"/>
  <c r="L1033"/>
  <c r="L1008"/>
  <c r="L969"/>
  <c r="L960"/>
  <c r="L941"/>
  <c r="L940"/>
  <c r="L921"/>
  <c r="L912"/>
  <c r="L896"/>
  <c r="L841"/>
  <c r="L840"/>
  <c r="L768"/>
  <c r="L761"/>
  <c r="L760"/>
  <c r="F8"/>
  <c r="L1215"/>
  <c r="L1122"/>
  <c r="L992"/>
  <c r="L983"/>
  <c r="L933"/>
  <c r="L932"/>
  <c r="L885"/>
  <c r="L860"/>
  <c r="L1280"/>
  <c r="L1279"/>
  <c r="L1198"/>
  <c r="L1134"/>
  <c r="L1123"/>
  <c r="L1074"/>
  <c r="L1060"/>
  <c r="L1032"/>
  <c r="L987"/>
  <c r="L985"/>
  <c r="L981"/>
  <c r="L980"/>
  <c r="L953"/>
  <c r="L920"/>
  <c r="L905"/>
  <c r="L861"/>
  <c r="L853"/>
  <c r="L852"/>
  <c r="L817"/>
  <c r="L816"/>
  <c r="L801"/>
  <c r="L800"/>
  <c r="L796"/>
  <c r="L789"/>
  <c r="L781"/>
  <c r="L1264"/>
  <c r="L1216"/>
  <c r="L1214"/>
  <c r="L1180"/>
  <c r="L1072"/>
  <c r="L1064"/>
  <c r="L952"/>
  <c r="L904"/>
  <c r="L865"/>
  <c r="L849"/>
  <c r="AU120"/>
  <c r="Y120" s="1"/>
  <c r="N121"/>
  <c r="N129"/>
  <c r="J397"/>
  <c r="J409"/>
  <c r="J417"/>
  <c r="J429"/>
  <c r="J437"/>
  <c r="J449"/>
  <c r="J461"/>
  <c r="J469"/>
  <c r="J481"/>
  <c r="J489"/>
  <c r="J497"/>
  <c r="J509"/>
  <c r="J521"/>
  <c r="J529"/>
  <c r="J541"/>
  <c r="J553"/>
  <c r="J561"/>
  <c r="J573"/>
  <c r="J581"/>
  <c r="J589"/>
  <c r="J601"/>
  <c r="J613"/>
  <c r="J625"/>
  <c r="J633"/>
  <c r="J641"/>
  <c r="J657"/>
  <c r="J705"/>
  <c r="I725" a="1"/>
  <c r="I725" s="1"/>
  <c r="G725" a="1"/>
  <c r="G725" s="1"/>
  <c r="E725" a="1"/>
  <c r="E725" s="1"/>
  <c r="H726" a="1"/>
  <c r="H726" s="1"/>
  <c r="F726" a="1"/>
  <c r="F726" s="1"/>
  <c r="D726" a="1"/>
  <c r="D726" s="1"/>
  <c r="I724" a="1"/>
  <c r="I724" s="1"/>
  <c r="G726" a="1"/>
  <c r="G726" s="1"/>
  <c r="H724" a="1"/>
  <c r="H724" s="1"/>
  <c r="E724" a="1"/>
  <c r="E724" s="1"/>
  <c r="H725" a="1"/>
  <c r="H725" s="1"/>
  <c r="D741" s="1"/>
  <c r="D725" a="1"/>
  <c r="D725" s="1"/>
  <c r="G724" a="1"/>
  <c r="G724" s="1"/>
  <c r="E726" a="1"/>
  <c r="E726" s="1"/>
  <c r="D724" a="1"/>
  <c r="D724" s="1"/>
  <c r="N149"/>
  <c r="BA106"/>
  <c r="S141"/>
  <c r="N152"/>
  <c r="N818"/>
  <c r="N846"/>
  <c r="L848"/>
  <c r="L877"/>
  <c r="N1112"/>
  <c r="L1234"/>
  <c r="E9"/>
  <c r="G9" s="1"/>
  <c r="AL106"/>
  <c r="N144"/>
  <c r="P147"/>
  <c r="S148"/>
  <c r="Q152"/>
  <c r="Q156"/>
  <c r="S160"/>
  <c r="Q168"/>
  <c r="F725" a="1"/>
  <c r="F725" s="1"/>
  <c r="L772"/>
  <c r="L773"/>
  <c r="N786"/>
  <c r="L809"/>
  <c r="N819"/>
  <c r="L824"/>
  <c r="N830"/>
  <c r="N831"/>
  <c r="N847"/>
  <c r="N882"/>
  <c r="N895"/>
  <c r="N934"/>
  <c r="N935"/>
  <c r="L944"/>
  <c r="L945"/>
  <c r="L963"/>
  <c r="N966"/>
  <c r="N1054"/>
  <c r="L1176"/>
  <c r="L1212"/>
  <c r="L1262"/>
  <c r="L1263"/>
  <c r="N1283"/>
  <c r="N1279"/>
  <c r="N1275"/>
  <c r="N1271"/>
  <c r="N1267"/>
  <c r="N1263"/>
  <c r="N1259"/>
  <c r="N1255"/>
  <c r="N1251"/>
  <c r="N1247"/>
  <c r="N1243"/>
  <c r="N1239"/>
  <c r="N1235"/>
  <c r="N1231"/>
  <c r="N1227"/>
  <c r="N1223"/>
  <c r="N1219"/>
  <c r="N1215"/>
  <c r="N1211"/>
  <c r="N1207"/>
  <c r="N1203"/>
  <c r="N1199"/>
  <c r="N1195"/>
  <c r="N1191"/>
  <c r="N1187"/>
  <c r="N1183"/>
  <c r="N1179"/>
  <c r="N1175"/>
  <c r="N1171"/>
  <c r="N1167"/>
  <c r="N1163"/>
  <c r="N1159"/>
  <c r="N1155"/>
  <c r="N1151"/>
  <c r="N1147"/>
  <c r="N1143"/>
  <c r="N1139"/>
  <c r="N1135"/>
  <c r="N1131"/>
  <c r="N1127"/>
  <c r="N1123"/>
  <c r="N1119"/>
  <c r="N1115"/>
  <c r="N1111"/>
  <c r="N1107"/>
  <c r="N1103"/>
  <c r="N1099"/>
  <c r="N1095"/>
  <c r="N1091"/>
  <c r="N1087"/>
  <c r="N1083"/>
  <c r="N1079"/>
  <c r="N1075"/>
  <c r="N1071"/>
  <c r="N1067"/>
  <c r="N1282"/>
  <c r="N1273"/>
  <c r="N1268"/>
  <c r="N1266"/>
  <c r="N1249"/>
  <c r="N1245"/>
  <c r="N1240"/>
  <c r="N1238"/>
  <c r="N1236"/>
  <c r="N1234"/>
  <c r="N1225"/>
  <c r="N1221"/>
  <c r="N1216"/>
  <c r="N1214"/>
  <c r="N1205"/>
  <c r="N1200"/>
  <c r="N1198"/>
  <c r="N1189"/>
  <c r="N1185"/>
  <c r="N1180"/>
  <c r="N1178"/>
  <c r="N1157"/>
  <c r="N1152"/>
  <c r="N1150"/>
  <c r="N1148"/>
  <c r="N1146"/>
  <c r="N1144"/>
  <c r="N1142"/>
  <c r="N1133"/>
  <c r="N1128"/>
  <c r="N1126"/>
  <c r="N1124"/>
  <c r="N1122"/>
  <c r="N1113"/>
  <c r="N1108"/>
  <c r="N1106"/>
  <c r="N1089"/>
  <c r="N1085"/>
  <c r="N1081"/>
  <c r="N1076"/>
  <c r="N1074"/>
  <c r="N1072"/>
  <c r="N1070"/>
  <c r="N1061"/>
  <c r="N1057"/>
  <c r="N1053"/>
  <c r="N1049"/>
  <c r="N1045"/>
  <c r="N1041"/>
  <c r="N1037"/>
  <c r="N1033"/>
  <c r="N1029"/>
  <c r="N1025"/>
  <c r="N1021"/>
  <c r="N1017"/>
  <c r="N1276"/>
  <c r="N1262"/>
  <c r="N1252"/>
  <c r="N1237"/>
  <c r="N1226"/>
  <c r="N1213"/>
  <c r="N1212"/>
  <c r="N1202"/>
  <c r="N1186"/>
  <c r="N1182"/>
  <c r="N1170"/>
  <c r="N1169"/>
  <c r="N1165"/>
  <c r="N1162"/>
  <c r="N1158"/>
  <c r="N1141"/>
  <c r="N1140"/>
  <c r="N1130"/>
  <c r="N1114"/>
  <c r="N1105"/>
  <c r="N1104"/>
  <c r="N1098"/>
  <c r="N1097"/>
  <c r="N1093"/>
  <c r="N1088"/>
  <c r="N1084"/>
  <c r="N1080"/>
  <c r="N1077"/>
  <c r="N1073"/>
  <c r="N1062"/>
  <c r="N1060"/>
  <c r="N1058"/>
  <c r="N1056"/>
  <c r="N1047"/>
  <c r="N1042"/>
  <c r="N1040"/>
  <c r="N1038"/>
  <c r="N1036"/>
  <c r="N1034"/>
  <c r="N1032"/>
  <c r="N1023"/>
  <c r="N1018"/>
  <c r="N1016"/>
  <c r="N1012"/>
  <c r="N1008"/>
  <c r="N1004"/>
  <c r="N1000"/>
  <c r="N996"/>
  <c r="N992"/>
  <c r="N988"/>
  <c r="N984"/>
  <c r="N980"/>
  <c r="N976"/>
  <c r="N972"/>
  <c r="N968"/>
  <c r="N964"/>
  <c r="N960"/>
  <c r="N956"/>
  <c r="N1278"/>
  <c r="N1270"/>
  <c r="N1261"/>
  <c r="N1253"/>
  <c r="N1250"/>
  <c r="N1248"/>
  <c r="N1220"/>
  <c r="N1201"/>
  <c r="N1197"/>
  <c r="N1196"/>
  <c r="N1194"/>
  <c r="N1193"/>
  <c r="N1184"/>
  <c r="N1166"/>
  <c r="N1160"/>
  <c r="N1156"/>
  <c r="N1129"/>
  <c r="N1102"/>
  <c r="N1094"/>
  <c r="N1086"/>
  <c r="N1078"/>
  <c r="N1066"/>
  <c r="N1052"/>
  <c r="N1051"/>
  <c r="N1046"/>
  <c r="N1043"/>
  <c r="N1031"/>
  <c r="N1030"/>
  <c r="N1002"/>
  <c r="N997"/>
  <c r="N995"/>
  <c r="N986"/>
  <c r="N981"/>
  <c r="N979"/>
  <c r="N970"/>
  <c r="N965"/>
  <c r="N963"/>
  <c r="N961"/>
  <c r="N959"/>
  <c r="N952"/>
  <c r="N948"/>
  <c r="N944"/>
  <c r="N940"/>
  <c r="N936"/>
  <c r="N932"/>
  <c r="N928"/>
  <c r="N924"/>
  <c r="N920"/>
  <c r="N916"/>
  <c r="N912"/>
  <c r="N908"/>
  <c r="N904"/>
  <c r="N900"/>
  <c r="N896"/>
  <c r="N892"/>
  <c r="N888"/>
  <c r="N884"/>
  <c r="N880"/>
  <c r="N876"/>
  <c r="N872"/>
  <c r="N868"/>
  <c r="N864"/>
  <c r="N860"/>
  <c r="N856"/>
  <c r="N852"/>
  <c r="N848"/>
  <c r="N844"/>
  <c r="N840"/>
  <c r="N836"/>
  <c r="N832"/>
  <c r="N828"/>
  <c r="N824"/>
  <c r="N820"/>
  <c r="N816"/>
  <c r="N812"/>
  <c r="N808"/>
  <c r="N804"/>
  <c r="N800"/>
  <c r="N796"/>
  <c r="N792"/>
  <c r="N788"/>
  <c r="N784"/>
  <c r="N780"/>
  <c r="N776"/>
  <c r="N772"/>
  <c r="N768"/>
  <c r="N764"/>
  <c r="N760"/>
  <c r="N756"/>
  <c r="N1265"/>
  <c r="N1264"/>
  <c r="N1254"/>
  <c r="N1246"/>
  <c r="N1241"/>
  <c r="N1230"/>
  <c r="N1229"/>
  <c r="N1218"/>
  <c r="N1217"/>
  <c r="N1192"/>
  <c r="N1181"/>
  <c r="N1177"/>
  <c r="N1176"/>
  <c r="N1164"/>
  <c r="N1154"/>
  <c r="N1153"/>
  <c r="N1145"/>
  <c r="N1125"/>
  <c r="N1118"/>
  <c r="N1117"/>
  <c r="N1101"/>
  <c r="N1100"/>
  <c r="N1092"/>
  <c r="N1065"/>
  <c r="N1064"/>
  <c r="N1050"/>
  <c r="N1039"/>
  <c r="N1035"/>
  <c r="N1020"/>
  <c r="N1006"/>
  <c r="N1001"/>
  <c r="N999"/>
  <c r="N990"/>
  <c r="N985"/>
  <c r="N983"/>
  <c r="N974"/>
  <c r="N969"/>
  <c r="N967"/>
  <c r="N953"/>
  <c r="N949"/>
  <c r="N945"/>
  <c r="N941"/>
  <c r="N937"/>
  <c r="N933"/>
  <c r="N929"/>
  <c r="N925"/>
  <c r="N921"/>
  <c r="N917"/>
  <c r="N913"/>
  <c r="N909"/>
  <c r="N905"/>
  <c r="N901"/>
  <c r="N897"/>
  <c r="N893"/>
  <c r="N889"/>
  <c r="N885"/>
  <c r="N881"/>
  <c r="N877"/>
  <c r="N873"/>
  <c r="N869"/>
  <c r="N865"/>
  <c r="N861"/>
  <c r="N857"/>
  <c r="N853"/>
  <c r="N849"/>
  <c r="N845"/>
  <c r="N841"/>
  <c r="N837"/>
  <c r="N833"/>
  <c r="N829"/>
  <c r="N825"/>
  <c r="N821"/>
  <c r="N817"/>
  <c r="N813"/>
  <c r="N809"/>
  <c r="N805"/>
  <c r="N801"/>
  <c r="N797"/>
  <c r="N793"/>
  <c r="N789"/>
  <c r="N785"/>
  <c r="N781"/>
  <c r="N777"/>
  <c r="N773"/>
  <c r="N769"/>
  <c r="N765"/>
  <c r="N761"/>
  <c r="N757"/>
  <c r="N1274"/>
  <c r="N1260"/>
  <c r="N1258"/>
  <c r="N1257"/>
  <c r="N1233"/>
  <c r="N1228"/>
  <c r="N1224"/>
  <c r="N1222"/>
  <c r="N1210"/>
  <c r="N1209"/>
  <c r="N1208"/>
  <c r="N1206"/>
  <c r="N1204"/>
  <c r="N1173"/>
  <c r="N1172"/>
  <c r="N1168"/>
  <c r="N1149"/>
  <c r="N1090"/>
  <c r="N1068"/>
  <c r="N1063"/>
  <c r="N998"/>
  <c r="N943"/>
  <c r="N939"/>
  <c r="N938"/>
  <c r="N931"/>
  <c r="N930"/>
  <c r="N918"/>
  <c r="N914"/>
  <c r="N894"/>
  <c r="N875"/>
  <c r="N874"/>
  <c r="N858"/>
  <c r="N851"/>
  <c r="N839"/>
  <c r="N838"/>
  <c r="N827"/>
  <c r="N826"/>
  <c r="N822"/>
  <c r="N815"/>
  <c r="N814"/>
  <c r="N807"/>
  <c r="N806"/>
  <c r="N799"/>
  <c r="N798"/>
  <c r="N771"/>
  <c r="N770"/>
  <c r="N759"/>
  <c r="N758"/>
  <c r="N1277"/>
  <c r="N1109"/>
  <c r="N1069"/>
  <c r="N1048"/>
  <c r="N973"/>
  <c r="N971"/>
  <c r="N958"/>
  <c r="N957"/>
  <c r="N955"/>
  <c r="N954"/>
  <c r="N947"/>
  <c r="N946"/>
  <c r="N942"/>
  <c r="N923"/>
  <c r="N922"/>
  <c r="N907"/>
  <c r="N906"/>
  <c r="N899"/>
  <c r="N898"/>
  <c r="N887"/>
  <c r="N886"/>
  <c r="N863"/>
  <c r="N862"/>
  <c r="N850"/>
  <c r="N843"/>
  <c r="N842"/>
  <c r="N791"/>
  <c r="N790"/>
  <c r="N783"/>
  <c r="N782"/>
  <c r="N775"/>
  <c r="N774"/>
  <c r="N1244"/>
  <c r="N1190"/>
  <c r="N1116"/>
  <c r="N1096"/>
  <c r="N1059"/>
  <c r="N1026"/>
  <c r="N1015"/>
  <c r="N1014"/>
  <c r="N1013"/>
  <c r="N1005"/>
  <c r="N1003"/>
  <c r="N994"/>
  <c r="N975"/>
  <c r="N927"/>
  <c r="N926"/>
  <c r="N919"/>
  <c r="N910"/>
  <c r="N891"/>
  <c r="N890"/>
  <c r="N879"/>
  <c r="N878"/>
  <c r="N811"/>
  <c r="N810"/>
  <c r="N795"/>
  <c r="N766"/>
  <c r="N1272"/>
  <c r="N1136"/>
  <c r="N1132"/>
  <c r="N1028"/>
  <c r="N1019"/>
  <c r="N1010"/>
  <c r="N962"/>
  <c r="N950"/>
  <c r="N902"/>
  <c r="N871"/>
  <c r="N870"/>
  <c r="N1242"/>
  <c r="N1232"/>
  <c r="N1188"/>
  <c r="N1161"/>
  <c r="N1121"/>
  <c r="N1110"/>
  <c r="N1082"/>
  <c r="N1044"/>
  <c r="N1024"/>
  <c r="N993"/>
  <c r="N991"/>
  <c r="N982"/>
  <c r="N951"/>
  <c r="N903"/>
  <c r="N859"/>
  <c r="N794"/>
  <c r="N787"/>
  <c r="N779"/>
  <c r="N763"/>
  <c r="N762"/>
  <c r="E14"/>
  <c r="N1281"/>
  <c r="N1280"/>
  <c r="N1269"/>
  <c r="N1138"/>
  <c r="N1137"/>
  <c r="N1134"/>
  <c r="N1120"/>
  <c r="N1055"/>
  <c r="N1011"/>
  <c r="N989"/>
  <c r="N987"/>
  <c r="N978"/>
  <c r="N977"/>
  <c r="N915"/>
  <c r="N883"/>
  <c r="N855"/>
  <c r="N854"/>
  <c r="N117"/>
  <c r="N125"/>
  <c r="N133"/>
  <c r="AU136"/>
  <c r="Y136" s="1"/>
  <c r="N137"/>
  <c r="N173"/>
  <c r="J393"/>
  <c r="J401"/>
  <c r="J405"/>
  <c r="J413"/>
  <c r="J421"/>
  <c r="J425"/>
  <c r="J433"/>
  <c r="J441"/>
  <c r="J445"/>
  <c r="J453"/>
  <c r="J457"/>
  <c r="J465"/>
  <c r="J473"/>
  <c r="J477"/>
  <c r="J485"/>
  <c r="J493"/>
  <c r="J501"/>
  <c r="J505"/>
  <c r="J513"/>
  <c r="J517"/>
  <c r="J525"/>
  <c r="J533"/>
  <c r="J537"/>
  <c r="J545"/>
  <c r="J549"/>
  <c r="J557"/>
  <c r="J565"/>
  <c r="J569"/>
  <c r="J577"/>
  <c r="J585"/>
  <c r="J593"/>
  <c r="J597"/>
  <c r="J605"/>
  <c r="J609"/>
  <c r="J617"/>
  <c r="J621"/>
  <c r="J629"/>
  <c r="J637"/>
  <c r="J673"/>
  <c r="J689"/>
  <c r="N153"/>
  <c r="N157"/>
  <c r="N161"/>
  <c r="Y161"/>
  <c r="N165"/>
  <c r="N169"/>
  <c r="Y169"/>
  <c r="J647"/>
  <c r="J652"/>
  <c r="J663"/>
  <c r="J668"/>
  <c r="J679"/>
  <c r="J684"/>
  <c r="J695"/>
  <c r="J700"/>
  <c r="J711"/>
  <c r="AK106"/>
  <c r="P114"/>
  <c r="N141"/>
  <c r="N145"/>
  <c r="J649"/>
  <c r="J665"/>
  <c r="J681"/>
  <c r="J697"/>
  <c r="J713"/>
  <c r="Y142"/>
  <c r="AW106"/>
  <c r="S145"/>
  <c r="P151"/>
  <c r="P155"/>
  <c r="Q155"/>
  <c r="P159"/>
  <c r="Q159"/>
  <c r="N171"/>
  <c r="N778"/>
  <c r="L808"/>
  <c r="L961"/>
  <c r="L971"/>
  <c r="N1007"/>
  <c r="AN106"/>
  <c r="S114"/>
  <c r="AD106"/>
  <c r="AH106"/>
  <c r="AP106"/>
  <c r="S117"/>
  <c r="S121"/>
  <c r="S125"/>
  <c r="S129"/>
  <c r="S133"/>
  <c r="S137"/>
  <c r="P143"/>
  <c r="Q147"/>
  <c r="S152"/>
  <c r="S156"/>
  <c r="S164"/>
  <c r="S168"/>
  <c r="S177"/>
  <c r="S181"/>
  <c r="S185"/>
  <c r="S189"/>
  <c r="S193"/>
  <c r="S197"/>
  <c r="S201"/>
  <c r="S205"/>
  <c r="AC106"/>
  <c r="AG106"/>
  <c r="AO106"/>
  <c r="P115"/>
  <c r="V115" s="1"/>
  <c r="W115" s="1"/>
  <c r="N116"/>
  <c r="P119"/>
  <c r="Q119"/>
  <c r="N120"/>
  <c r="P123"/>
  <c r="AU123"/>
  <c r="Y123" s="1"/>
  <c r="N124"/>
  <c r="P127"/>
  <c r="Q127"/>
  <c r="AU127"/>
  <c r="Y127" s="1"/>
  <c r="N128"/>
  <c r="P131"/>
  <c r="N132"/>
  <c r="P135"/>
  <c r="N136"/>
  <c r="P139"/>
  <c r="Q139"/>
  <c r="S140"/>
  <c r="Q144"/>
  <c r="S144"/>
  <c r="S173"/>
  <c r="P175"/>
  <c r="N176"/>
  <c r="P179"/>
  <c r="N180"/>
  <c r="P183"/>
  <c r="N184"/>
  <c r="P187"/>
  <c r="Q187"/>
  <c r="N188"/>
  <c r="P191"/>
  <c r="N192"/>
  <c r="P195"/>
  <c r="N196"/>
  <c r="P199"/>
  <c r="Q199"/>
  <c r="N200"/>
  <c r="P203"/>
  <c r="Q203"/>
  <c r="N204"/>
  <c r="P207"/>
  <c r="N208"/>
  <c r="I726" a="1"/>
  <c r="I726" s="1"/>
  <c r="N767"/>
  <c r="L780"/>
  <c r="N802"/>
  <c r="N823"/>
  <c r="L828"/>
  <c r="L829"/>
  <c r="N866"/>
  <c r="N867"/>
  <c r="L884"/>
  <c r="L889"/>
  <c r="L916"/>
  <c r="N1009"/>
  <c r="L1034"/>
  <c r="L1275"/>
  <c r="N177"/>
  <c r="N181"/>
  <c r="N185"/>
  <c r="N189"/>
  <c r="N193"/>
  <c r="N197"/>
  <c r="AU200"/>
  <c r="Y200" s="1"/>
  <c r="N201"/>
  <c r="N205"/>
  <c r="J394"/>
  <c r="J398"/>
  <c r="J402"/>
  <c r="J406"/>
  <c r="J410"/>
  <c r="J414"/>
  <c r="J418"/>
  <c r="J422"/>
  <c r="J426"/>
  <c r="J430"/>
  <c r="J434"/>
  <c r="J438"/>
  <c r="J442"/>
  <c r="J446"/>
  <c r="J450"/>
  <c r="J454"/>
  <c r="J458"/>
  <c r="J462"/>
  <c r="J466"/>
  <c r="J470"/>
  <c r="J474"/>
  <c r="J478"/>
  <c r="J482"/>
  <c r="J486"/>
  <c r="J490"/>
  <c r="J494"/>
  <c r="J498"/>
  <c r="J502"/>
  <c r="J506"/>
  <c r="J510"/>
  <c r="J514"/>
  <c r="J518"/>
  <c r="J522"/>
  <c r="J526"/>
  <c r="J530"/>
  <c r="J534"/>
  <c r="J538"/>
  <c r="J542"/>
  <c r="J546"/>
  <c r="J550"/>
  <c r="J554"/>
  <c r="J558"/>
  <c r="J562"/>
  <c r="J566"/>
  <c r="J570"/>
  <c r="J574"/>
  <c r="J578"/>
  <c r="J582"/>
  <c r="J586"/>
  <c r="J590"/>
  <c r="J594"/>
  <c r="J598"/>
  <c r="J602"/>
  <c r="J606"/>
  <c r="J610"/>
  <c r="J614"/>
  <c r="J618"/>
  <c r="J622"/>
  <c r="J626"/>
  <c r="J630"/>
  <c r="J634"/>
  <c r="J638"/>
  <c r="J642"/>
  <c r="J644"/>
  <c r="J655"/>
  <c r="J660"/>
  <c r="J671"/>
  <c r="J676"/>
  <c r="J687"/>
  <c r="J692"/>
  <c r="J703"/>
  <c r="J708"/>
  <c r="F724" a="1"/>
  <c r="F724" s="1"/>
  <c r="N755"/>
  <c r="L788"/>
  <c r="N803"/>
  <c r="N834"/>
  <c r="N835"/>
  <c r="L876"/>
  <c r="L897"/>
  <c r="N911"/>
  <c r="L999"/>
  <c r="N1022"/>
  <c r="N1027"/>
  <c r="N1174"/>
  <c r="M1282"/>
  <c r="M1278"/>
  <c r="M1274"/>
  <c r="M1270"/>
  <c r="M1266"/>
  <c r="M1254"/>
  <c r="M1250"/>
  <c r="M1242"/>
  <c r="M1234"/>
  <c r="M1230"/>
  <c r="M1226"/>
  <c r="M1218"/>
  <c r="M1214"/>
  <c r="M1210"/>
  <c r="M1206"/>
  <c r="M1202"/>
  <c r="M1198"/>
  <c r="M1194"/>
  <c r="M1190"/>
  <c r="M1182"/>
  <c r="M1178"/>
  <c r="M1170"/>
  <c r="M1158"/>
  <c r="M1154"/>
  <c r="M1142"/>
  <c r="M1138"/>
  <c r="M1134"/>
  <c r="M1130"/>
  <c r="M1122"/>
  <c r="M1118"/>
  <c r="M1114"/>
  <c r="M1110"/>
  <c r="M1106"/>
  <c r="M1098"/>
  <c r="M1090"/>
  <c r="M1078"/>
  <c r="M1070"/>
  <c r="M1280"/>
  <c r="M1275"/>
  <c r="M1269"/>
  <c r="M1264"/>
  <c r="M1256"/>
  <c r="M1251"/>
  <c r="M1237"/>
  <c r="M1232"/>
  <c r="M1227"/>
  <c r="M1217"/>
  <c r="M1212"/>
  <c r="M1207"/>
  <c r="M1181"/>
  <c r="M1176"/>
  <c r="M1172"/>
  <c r="M1167"/>
  <c r="M1159"/>
  <c r="M1153"/>
  <c r="M1149"/>
  <c r="M1145"/>
  <c r="M1140"/>
  <c r="M1135"/>
  <c r="M1120"/>
  <c r="M1115"/>
  <c r="M1109"/>
  <c r="M1104"/>
  <c r="M1095"/>
  <c r="M1091"/>
  <c r="M1077"/>
  <c r="M1073"/>
  <c r="M1064"/>
  <c r="M1056"/>
  <c r="M1052"/>
  <c r="M1048"/>
  <c r="M1044"/>
  <c r="M1032"/>
  <c r="M1028"/>
  <c r="M1024"/>
  <c r="M1020"/>
  <c r="M1016"/>
  <c r="M1277"/>
  <c r="M1267"/>
  <c r="M1261"/>
  <c r="M1253"/>
  <c r="M1240"/>
  <c r="M1236"/>
  <c r="M1233"/>
  <c r="M1211"/>
  <c r="M1203"/>
  <c r="M1199"/>
  <c r="M1187"/>
  <c r="M1183"/>
  <c r="M1139"/>
  <c r="M1131"/>
  <c r="M1127"/>
  <c r="M1124"/>
  <c r="M1121"/>
  <c r="M1103"/>
  <c r="M1069"/>
  <c r="M1067"/>
  <c r="M1063"/>
  <c r="M1059"/>
  <c r="M1054"/>
  <c r="M1049"/>
  <c r="M1039"/>
  <c r="M1035"/>
  <c r="M1030"/>
  <c r="M1019"/>
  <c r="M1007"/>
  <c r="M1003"/>
  <c r="M999"/>
  <c r="M995"/>
  <c r="M991"/>
  <c r="M987"/>
  <c r="M983"/>
  <c r="M979"/>
  <c r="M975"/>
  <c r="M971"/>
  <c r="M967"/>
  <c r="M959"/>
  <c r="M1273"/>
  <c r="M1271"/>
  <c r="M1257"/>
  <c r="M1221"/>
  <c r="M1204"/>
  <c r="M1200"/>
  <c r="M1195"/>
  <c r="M1161"/>
  <c r="M1147"/>
  <c r="M1132"/>
  <c r="M1111"/>
  <c r="M1107"/>
  <c r="M1087"/>
  <c r="M1079"/>
  <c r="M1075"/>
  <c r="M1061"/>
  <c r="M1057"/>
  <c r="M1026"/>
  <c r="M1022"/>
  <c r="M1017"/>
  <c r="M1013"/>
  <c r="M1009"/>
  <c r="M998"/>
  <c r="M993"/>
  <c r="M988"/>
  <c r="M982"/>
  <c r="M977"/>
  <c r="M972"/>
  <c r="M966"/>
  <c r="M962"/>
  <c r="M957"/>
  <c r="M955"/>
  <c r="M951"/>
  <c r="M947"/>
  <c r="M939"/>
  <c r="M935"/>
  <c r="M931"/>
  <c r="M923"/>
  <c r="M911"/>
  <c r="M907"/>
  <c r="M903"/>
  <c r="M899"/>
  <c r="M891"/>
  <c r="M887"/>
  <c r="M883"/>
  <c r="M879"/>
  <c r="M875"/>
  <c r="M867"/>
  <c r="M863"/>
  <c r="M855"/>
  <c r="M847"/>
  <c r="M843"/>
  <c r="M839"/>
  <c r="M831"/>
  <c r="M827"/>
  <c r="M819"/>
  <c r="M815"/>
  <c r="M811"/>
  <c r="M807"/>
  <c r="M803"/>
  <c r="M799"/>
  <c r="M795"/>
  <c r="M791"/>
  <c r="M787"/>
  <c r="M783"/>
  <c r="M779"/>
  <c r="M775"/>
  <c r="M771"/>
  <c r="M767"/>
  <c r="M763"/>
  <c r="M759"/>
  <c r="M1268"/>
  <c r="M1263"/>
  <c r="M1249"/>
  <c r="M1247"/>
  <c r="M1231"/>
  <c r="M1216"/>
  <c r="M1184"/>
  <c r="M1175"/>
  <c r="M1165"/>
  <c r="M1156"/>
  <c r="M1123"/>
  <c r="M1119"/>
  <c r="M1105"/>
  <c r="M1084"/>
  <c r="M1071"/>
  <c r="M1051"/>
  <c r="M1046"/>
  <c r="M1034"/>
  <c r="M1021"/>
  <c r="M1012"/>
  <c r="M1008"/>
  <c r="M1002"/>
  <c r="M992"/>
  <c r="M986"/>
  <c r="M976"/>
  <c r="M970"/>
  <c r="M965"/>
  <c r="M961"/>
  <c r="M956"/>
  <c r="M952"/>
  <c r="M948"/>
  <c r="M936"/>
  <c r="M932"/>
  <c r="M928"/>
  <c r="M924"/>
  <c r="M920"/>
  <c r="M908"/>
  <c r="M904"/>
  <c r="M900"/>
  <c r="M896"/>
  <c r="M892"/>
  <c r="M884"/>
  <c r="M876"/>
  <c r="M872"/>
  <c r="M860"/>
  <c r="M856"/>
  <c r="M852"/>
  <c r="M848"/>
  <c r="M844"/>
  <c r="M836"/>
  <c r="M828"/>
  <c r="M820"/>
  <c r="M816"/>
  <c r="M812"/>
  <c r="M808"/>
  <c r="M804"/>
  <c r="M800"/>
  <c r="M792"/>
  <c r="M788"/>
  <c r="M784"/>
  <c r="M780"/>
  <c r="M776"/>
  <c r="M760"/>
  <c r="M756"/>
  <c r="M1276"/>
  <c r="M1245"/>
  <c r="M1229"/>
  <c r="M1225"/>
  <c r="M1192"/>
  <c r="M1171"/>
  <c r="M1169"/>
  <c r="M1164"/>
  <c r="M1151"/>
  <c r="M1143"/>
  <c r="M1112"/>
  <c r="M1108"/>
  <c r="M1096"/>
  <c r="M1065"/>
  <c r="M1055"/>
  <c r="M1041"/>
  <c r="M1027"/>
  <c r="M1023"/>
  <c r="M1010"/>
  <c r="M994"/>
  <c r="M964"/>
  <c r="M950"/>
  <c r="M937"/>
  <c r="M929"/>
  <c r="M917"/>
  <c r="M910"/>
  <c r="M902"/>
  <c r="M893"/>
  <c r="M882"/>
  <c r="M873"/>
  <c r="M870"/>
  <c r="M857"/>
  <c r="M846"/>
  <c r="M837"/>
  <c r="M834"/>
  <c r="M825"/>
  <c r="M821"/>
  <c r="M813"/>
  <c r="M805"/>
  <c r="M778"/>
  <c r="M769"/>
  <c r="M766"/>
  <c r="M1228"/>
  <c r="M1224"/>
  <c r="M1209"/>
  <c r="M1205"/>
  <c r="M1168"/>
  <c r="M1141"/>
  <c r="M1050"/>
  <c r="M1033"/>
  <c r="M1018"/>
  <c r="M960"/>
  <c r="M953"/>
  <c r="M945"/>
  <c r="M941"/>
  <c r="M938"/>
  <c r="M921"/>
  <c r="M918"/>
  <c r="M914"/>
  <c r="M905"/>
  <c r="M897"/>
  <c r="M894"/>
  <c r="M885"/>
  <c r="M874"/>
  <c r="M861"/>
  <c r="M858"/>
  <c r="M849"/>
  <c r="M841"/>
  <c r="M826"/>
  <c r="M814"/>
  <c r="M806"/>
  <c r="M798"/>
  <c r="M789"/>
  <c r="M773"/>
  <c r="M770"/>
  <c r="M758"/>
  <c r="J643"/>
  <c r="J651"/>
  <c r="J659"/>
  <c r="J667"/>
  <c r="J675"/>
  <c r="J683"/>
  <c r="J691"/>
  <c r="J699"/>
  <c r="J707"/>
  <c r="E11"/>
  <c r="G11" s="1"/>
  <c r="K756"/>
  <c r="M761"/>
  <c r="K775"/>
  <c r="K780"/>
  <c r="M782"/>
  <c r="K788"/>
  <c r="M793"/>
  <c r="M802"/>
  <c r="K803"/>
  <c r="K804"/>
  <c r="M818"/>
  <c r="K819"/>
  <c r="K820"/>
  <c r="K836"/>
  <c r="M850"/>
  <c r="K855"/>
  <c r="K856"/>
  <c r="K860"/>
  <c r="K872"/>
  <c r="M886"/>
  <c r="K899"/>
  <c r="K904"/>
  <c r="M909"/>
  <c r="K947"/>
  <c r="K952"/>
  <c r="K959"/>
  <c r="M968"/>
  <c r="M978"/>
  <c r="K979"/>
  <c r="K983"/>
  <c r="K986"/>
  <c r="K988"/>
  <c r="M989"/>
  <c r="K990"/>
  <c r="K992"/>
  <c r="K1012"/>
  <c r="K1020"/>
  <c r="M1037"/>
  <c r="M1058"/>
  <c r="M1080"/>
  <c r="M1099"/>
  <c r="K1122"/>
  <c r="M1133"/>
  <c r="K1135"/>
  <c r="M1137"/>
  <c r="K1138"/>
  <c r="K1139"/>
  <c r="K1146"/>
  <c r="M1219"/>
  <c r="K1241"/>
  <c r="M1281"/>
  <c r="M1283"/>
  <c r="K1280"/>
  <c r="K1276"/>
  <c r="K1272"/>
  <c r="K1268"/>
  <c r="K1264"/>
  <c r="K1260"/>
  <c r="K1256"/>
  <c r="K1252"/>
  <c r="K1248"/>
  <c r="K1244"/>
  <c r="K1240"/>
  <c r="K1236"/>
  <c r="K1232"/>
  <c r="K1228"/>
  <c r="K1224"/>
  <c r="K1220"/>
  <c r="K1216"/>
  <c r="K1212"/>
  <c r="K1208"/>
  <c r="K1204"/>
  <c r="K1200"/>
  <c r="K1196"/>
  <c r="K1192"/>
  <c r="K1188"/>
  <c r="K1184"/>
  <c r="K1180"/>
  <c r="K1176"/>
  <c r="K1172"/>
  <c r="K1168"/>
  <c r="K1164"/>
  <c r="K1160"/>
  <c r="K1156"/>
  <c r="K1152"/>
  <c r="K1148"/>
  <c r="K1144"/>
  <c r="K1140"/>
  <c r="K1136"/>
  <c r="K1132"/>
  <c r="K1128"/>
  <c r="K1124"/>
  <c r="K1120"/>
  <c r="K1116"/>
  <c r="K1112"/>
  <c r="K1108"/>
  <c r="K1104"/>
  <c r="K1100"/>
  <c r="K1096"/>
  <c r="K1092"/>
  <c r="K1088"/>
  <c r="K1084"/>
  <c r="K1080"/>
  <c r="K1076"/>
  <c r="K1072"/>
  <c r="K1068"/>
  <c r="K1283"/>
  <c r="K1281"/>
  <c r="K1274"/>
  <c r="K1267"/>
  <c r="K1265"/>
  <c r="K1261"/>
  <c r="K1257"/>
  <c r="K1250"/>
  <c r="K1246"/>
  <c r="K1239"/>
  <c r="K1235"/>
  <c r="K1233"/>
  <c r="K1226"/>
  <c r="K1222"/>
  <c r="K1215"/>
  <c r="K1213"/>
  <c r="K1206"/>
  <c r="K1199"/>
  <c r="K1197"/>
  <c r="K1190"/>
  <c r="K1186"/>
  <c r="K1179"/>
  <c r="K1177"/>
  <c r="K1173"/>
  <c r="K1158"/>
  <c r="K1151"/>
  <c r="K1147"/>
  <c r="K1143"/>
  <c r="K1141"/>
  <c r="K1134"/>
  <c r="K1127"/>
  <c r="K1123"/>
  <c r="K1121"/>
  <c r="K1114"/>
  <c r="K1107"/>
  <c r="K1105"/>
  <c r="K1101"/>
  <c r="K1090"/>
  <c r="K1086"/>
  <c r="K1082"/>
  <c r="K1075"/>
  <c r="K1071"/>
  <c r="K1069"/>
  <c r="K1065"/>
  <c r="K1062"/>
  <c r="K1058"/>
  <c r="K1054"/>
  <c r="K1050"/>
  <c r="K1046"/>
  <c r="K1042"/>
  <c r="K1038"/>
  <c r="K1034"/>
  <c r="K1030"/>
  <c r="K1026"/>
  <c r="K1022"/>
  <c r="K1018"/>
  <c r="K1014"/>
  <c r="K1278"/>
  <c r="K1273"/>
  <c r="K1269"/>
  <c r="K1263"/>
  <c r="K1254"/>
  <c r="K1249"/>
  <c r="K1245"/>
  <c r="K1238"/>
  <c r="K1227"/>
  <c r="K1223"/>
  <c r="K1219"/>
  <c r="K1214"/>
  <c r="K1209"/>
  <c r="K1201"/>
  <c r="K1171"/>
  <c r="K1163"/>
  <c r="K1159"/>
  <c r="K1155"/>
  <c r="K1142"/>
  <c r="K1137"/>
  <c r="K1129"/>
  <c r="K1115"/>
  <c r="K1111"/>
  <c r="K1106"/>
  <c r="K1099"/>
  <c r="K1078"/>
  <c r="K1074"/>
  <c r="K1061"/>
  <c r="K1057"/>
  <c r="K1055"/>
  <c r="K1048"/>
  <c r="K1041"/>
  <c r="K1037"/>
  <c r="K1033"/>
  <c r="K1031"/>
  <c r="K1024"/>
  <c r="K1017"/>
  <c r="K1015"/>
  <c r="K1013"/>
  <c r="K1009"/>
  <c r="K1005"/>
  <c r="K1001"/>
  <c r="K997"/>
  <c r="K993"/>
  <c r="K989"/>
  <c r="K985"/>
  <c r="K981"/>
  <c r="K977"/>
  <c r="K973"/>
  <c r="K969"/>
  <c r="K965"/>
  <c r="K961"/>
  <c r="K957"/>
  <c r="K1279"/>
  <c r="K1277"/>
  <c r="K1262"/>
  <c r="K1258"/>
  <c r="K1251"/>
  <c r="K1243"/>
  <c r="K1205"/>
  <c r="K1203"/>
  <c r="K1202"/>
  <c r="K1198"/>
  <c r="K1189"/>
  <c r="K1187"/>
  <c r="K1167"/>
  <c r="K1162"/>
  <c r="K1150"/>
  <c r="K1149"/>
  <c r="K1133"/>
  <c r="K1131"/>
  <c r="K1130"/>
  <c r="K1110"/>
  <c r="K1109"/>
  <c r="K1103"/>
  <c r="K1095"/>
  <c r="K1089"/>
  <c r="K1081"/>
  <c r="K1067"/>
  <c r="K1063"/>
  <c r="K1059"/>
  <c r="K1053"/>
  <c r="K1044"/>
  <c r="K1032"/>
  <c r="K1027"/>
  <c r="K1023"/>
  <c r="K1019"/>
  <c r="K1010"/>
  <c r="K1003"/>
  <c r="K996"/>
  <c r="K994"/>
  <c r="K987"/>
  <c r="K980"/>
  <c r="K978"/>
  <c r="K971"/>
  <c r="K964"/>
  <c r="K960"/>
  <c r="K958"/>
  <c r="K953"/>
  <c r="K949"/>
  <c r="K945"/>
  <c r="K941"/>
  <c r="K937"/>
  <c r="K933"/>
  <c r="K929"/>
  <c r="K925"/>
  <c r="K921"/>
  <c r="K917"/>
  <c r="K913"/>
  <c r="K909"/>
  <c r="K905"/>
  <c r="K901"/>
  <c r="K897"/>
  <c r="K893"/>
  <c r="K889"/>
  <c r="K885"/>
  <c r="K881"/>
  <c r="K877"/>
  <c r="K873"/>
  <c r="K869"/>
  <c r="K865"/>
  <c r="K861"/>
  <c r="K857"/>
  <c r="K853"/>
  <c r="K849"/>
  <c r="K845"/>
  <c r="K841"/>
  <c r="K837"/>
  <c r="K833"/>
  <c r="K829"/>
  <c r="K825"/>
  <c r="K821"/>
  <c r="K817"/>
  <c r="K813"/>
  <c r="K809"/>
  <c r="K805"/>
  <c r="K801"/>
  <c r="K797"/>
  <c r="K793"/>
  <c r="K789"/>
  <c r="K785"/>
  <c r="K781"/>
  <c r="K777"/>
  <c r="K773"/>
  <c r="K769"/>
  <c r="K765"/>
  <c r="K761"/>
  <c r="K757"/>
  <c r="K1271"/>
  <c r="K1266"/>
  <c r="K1255"/>
  <c r="K1253"/>
  <c r="K1242"/>
  <c r="K1221"/>
  <c r="K1195"/>
  <c r="K1194"/>
  <c r="K1185"/>
  <c r="K1183"/>
  <c r="K1182"/>
  <c r="K1161"/>
  <c r="K1157"/>
  <c r="K1126"/>
  <c r="K1087"/>
  <c r="K1079"/>
  <c r="K1077"/>
  <c r="K1052"/>
  <c r="K1047"/>
  <c r="K1040"/>
  <c r="K1036"/>
  <c r="K1007"/>
  <c r="K1000"/>
  <c r="K998"/>
  <c r="K991"/>
  <c r="K984"/>
  <c r="K982"/>
  <c r="K975"/>
  <c r="K968"/>
  <c r="K966"/>
  <c r="K962"/>
  <c r="K954"/>
  <c r="K950"/>
  <c r="K946"/>
  <c r="K942"/>
  <c r="K938"/>
  <c r="K934"/>
  <c r="K930"/>
  <c r="K926"/>
  <c r="K922"/>
  <c r="K918"/>
  <c r="K914"/>
  <c r="K910"/>
  <c r="K906"/>
  <c r="K902"/>
  <c r="K898"/>
  <c r="K894"/>
  <c r="K890"/>
  <c r="K886"/>
  <c r="K882"/>
  <c r="K878"/>
  <c r="K874"/>
  <c r="K870"/>
  <c r="K866"/>
  <c r="K862"/>
  <c r="K858"/>
  <c r="K854"/>
  <c r="K850"/>
  <c r="K846"/>
  <c r="K842"/>
  <c r="K838"/>
  <c r="K834"/>
  <c r="K830"/>
  <c r="K826"/>
  <c r="K822"/>
  <c r="K818"/>
  <c r="K814"/>
  <c r="K810"/>
  <c r="K806"/>
  <c r="K802"/>
  <c r="K798"/>
  <c r="K794"/>
  <c r="K790"/>
  <c r="K786"/>
  <c r="K782"/>
  <c r="K778"/>
  <c r="K774"/>
  <c r="K770"/>
  <c r="K766"/>
  <c r="K762"/>
  <c r="K758"/>
  <c r="K1275"/>
  <c r="K1270"/>
  <c r="K1247"/>
  <c r="K1234"/>
  <c r="K1217"/>
  <c r="K1191"/>
  <c r="K1118"/>
  <c r="K1117"/>
  <c r="K1113"/>
  <c r="K1098"/>
  <c r="K1097"/>
  <c r="K1091"/>
  <c r="K1083"/>
  <c r="K1064"/>
  <c r="K1056"/>
  <c r="K1045"/>
  <c r="K1039"/>
  <c r="K1029"/>
  <c r="K1028"/>
  <c r="K1025"/>
  <c r="K1011"/>
  <c r="K1004"/>
  <c r="K1002"/>
  <c r="K999"/>
  <c r="K995"/>
  <c r="K951"/>
  <c r="K944"/>
  <c r="K940"/>
  <c r="K932"/>
  <c r="K927"/>
  <c r="K911"/>
  <c r="K903"/>
  <c r="K883"/>
  <c r="K876"/>
  <c r="K871"/>
  <c r="K852"/>
  <c r="K847"/>
  <c r="K840"/>
  <c r="K835"/>
  <c r="K828"/>
  <c r="K816"/>
  <c r="K808"/>
  <c r="K800"/>
  <c r="K795"/>
  <c r="K787"/>
  <c r="K779"/>
  <c r="K772"/>
  <c r="K767"/>
  <c r="K760"/>
  <c r="K755"/>
  <c r="K1259"/>
  <c r="K1237"/>
  <c r="K1230"/>
  <c r="K1229"/>
  <c r="K1225"/>
  <c r="K1218"/>
  <c r="K1211"/>
  <c r="K1210"/>
  <c r="K1207"/>
  <c r="K1193"/>
  <c r="K1178"/>
  <c r="K1174"/>
  <c r="K1170"/>
  <c r="K1169"/>
  <c r="K1165"/>
  <c r="K1153"/>
  <c r="K1145"/>
  <c r="K1125"/>
  <c r="K1119"/>
  <c r="K1102"/>
  <c r="K1094"/>
  <c r="K1093"/>
  <c r="K1085"/>
  <c r="K1070"/>
  <c r="K1066"/>
  <c r="K1049"/>
  <c r="K1043"/>
  <c r="K956"/>
  <c r="K948"/>
  <c r="K939"/>
  <c r="K931"/>
  <c r="K924"/>
  <c r="K919"/>
  <c r="K915"/>
  <c r="K908"/>
  <c r="K900"/>
  <c r="K895"/>
  <c r="K888"/>
  <c r="K875"/>
  <c r="K864"/>
  <c r="K859"/>
  <c r="K844"/>
  <c r="K839"/>
  <c r="K827"/>
  <c r="K823"/>
  <c r="K815"/>
  <c r="K807"/>
  <c r="K799"/>
  <c r="K792"/>
  <c r="K784"/>
  <c r="K776"/>
  <c r="K771"/>
  <c r="K759"/>
  <c r="E4"/>
  <c r="G4" s="1"/>
  <c r="N114"/>
  <c r="N118"/>
  <c r="N122"/>
  <c r="N126"/>
  <c r="N130"/>
  <c r="N134"/>
  <c r="N138"/>
  <c r="N142"/>
  <c r="N146"/>
  <c r="N150"/>
  <c r="N154"/>
  <c r="N158"/>
  <c r="N162"/>
  <c r="N166"/>
  <c r="N170"/>
  <c r="N174"/>
  <c r="N178"/>
  <c r="N182"/>
  <c r="N186"/>
  <c r="N190"/>
  <c r="N194"/>
  <c r="N198"/>
  <c r="N202"/>
  <c r="N206"/>
  <c r="M762"/>
  <c r="K763"/>
  <c r="K764"/>
  <c r="K783"/>
  <c r="M790"/>
  <c r="K796"/>
  <c r="M809"/>
  <c r="M845"/>
  <c r="K851"/>
  <c r="M862"/>
  <c r="M877"/>
  <c r="M881"/>
  <c r="K887"/>
  <c r="M889"/>
  <c r="M906"/>
  <c r="K920"/>
  <c r="M925"/>
  <c r="M954"/>
  <c r="K970"/>
  <c r="K974"/>
  <c r="M1006"/>
  <c r="K1021"/>
  <c r="M1045"/>
  <c r="M1053"/>
  <c r="K1060"/>
  <c r="M1083"/>
  <c r="M1243"/>
  <c r="J752"/>
  <c r="C32" i="6"/>
  <c r="C29"/>
  <c r="C26"/>
  <c r="C31"/>
  <c r="C28"/>
  <c r="C30"/>
  <c r="C25"/>
  <c r="C24"/>
  <c r="C27"/>
  <c r="D262"/>
  <c r="C88"/>
  <c r="C163"/>
  <c r="I8" i="22" s="1"/>
  <c r="C162" i="6"/>
  <c r="I7" i="22" s="1"/>
  <c r="C166" i="6"/>
  <c r="I11" i="22" s="1"/>
  <c r="C164" i="6"/>
  <c r="I9" i="22" s="1"/>
  <c r="C160" i="6"/>
  <c r="I5" i="22" s="1"/>
  <c r="C165" i="6"/>
  <c r="I10" i="22" s="1"/>
  <c r="C161" i="6"/>
  <c r="I6" i="22" s="1"/>
  <c r="C159" i="6"/>
  <c r="I4" i="22" s="1"/>
  <c r="C125" i="6" l="1"/>
  <c r="V172" i="8"/>
  <c r="W172" s="1"/>
  <c r="V163"/>
  <c r="W163" s="1"/>
  <c r="C116" i="6"/>
  <c r="C98"/>
  <c r="C90"/>
  <c r="C100"/>
  <c r="C133"/>
  <c r="C93"/>
  <c r="C95"/>
  <c r="C94"/>
  <c r="C97"/>
  <c r="C91"/>
  <c r="C92"/>
  <c r="C113"/>
  <c r="C139"/>
  <c r="C121"/>
  <c r="C128"/>
  <c r="V207" i="8"/>
  <c r="W207" s="1"/>
  <c r="V175"/>
  <c r="W175" s="1"/>
  <c r="V116"/>
  <c r="W116" s="1"/>
  <c r="V166"/>
  <c r="W166" s="1"/>
  <c r="V150"/>
  <c r="W150" s="1"/>
  <c r="V134"/>
  <c r="W134" s="1"/>
  <c r="V118"/>
  <c r="W118" s="1"/>
  <c r="V122"/>
  <c r="W122" s="1"/>
  <c r="V165"/>
  <c r="W165" s="1"/>
  <c r="V195"/>
  <c r="W195" s="1"/>
  <c r="V151"/>
  <c r="W151" s="1"/>
  <c r="AU172"/>
  <c r="Y172" s="1"/>
  <c r="V167"/>
  <c r="W167" s="1"/>
  <c r="V135"/>
  <c r="W135" s="1"/>
  <c r="V158"/>
  <c r="W158" s="1"/>
  <c r="V191"/>
  <c r="W191" s="1"/>
  <c r="V184"/>
  <c r="W184" s="1"/>
  <c r="V136"/>
  <c r="W136" s="1"/>
  <c r="V123"/>
  <c r="W123" s="1"/>
  <c r="V188"/>
  <c r="W188" s="1"/>
  <c r="V208"/>
  <c r="W208" s="1"/>
  <c r="V143"/>
  <c r="W143" s="1"/>
  <c r="O786"/>
  <c r="O1086"/>
  <c r="V131"/>
  <c r="W131" s="1"/>
  <c r="V198"/>
  <c r="W198" s="1"/>
  <c r="V170"/>
  <c r="W170" s="1"/>
  <c r="V154"/>
  <c r="W154" s="1"/>
  <c r="V192"/>
  <c r="W192" s="1"/>
  <c r="V204"/>
  <c r="W204" s="1"/>
  <c r="V200"/>
  <c r="W200" s="1"/>
  <c r="V196"/>
  <c r="W196" s="1"/>
  <c r="V119"/>
  <c r="W119" s="1"/>
  <c r="V149"/>
  <c r="W149" s="1"/>
  <c r="V171"/>
  <c r="W171" s="1"/>
  <c r="V182"/>
  <c r="W182" s="1"/>
  <c r="V180"/>
  <c r="W180" s="1"/>
  <c r="V120"/>
  <c r="W120" s="1"/>
  <c r="V199"/>
  <c r="W199" s="1"/>
  <c r="V142"/>
  <c r="W142" s="1"/>
  <c r="V179"/>
  <c r="W179" s="1"/>
  <c r="V132"/>
  <c r="W132" s="1"/>
  <c r="V147"/>
  <c r="W147" s="1"/>
  <c r="AU143"/>
  <c r="Y143" s="1"/>
  <c r="O764"/>
  <c r="O792"/>
  <c r="O859"/>
  <c r="O1094"/>
  <c r="O810"/>
  <c r="O842"/>
  <c r="O890"/>
  <c r="O922"/>
  <c r="O1194"/>
  <c r="O1150"/>
  <c r="O1262"/>
  <c r="O1163"/>
  <c r="O1238"/>
  <c r="O1062"/>
  <c r="O1186"/>
  <c r="O976"/>
  <c r="O868"/>
  <c r="O1025"/>
  <c r="O763"/>
  <c r="O1175"/>
  <c r="O791"/>
  <c r="O822"/>
  <c r="O854"/>
  <c r="O812"/>
  <c r="O936"/>
  <c r="O898"/>
  <c r="O1280"/>
  <c r="O811"/>
  <c r="O796"/>
  <c r="O779"/>
  <c r="O927"/>
  <c r="O1029"/>
  <c r="O971"/>
  <c r="O1031"/>
  <c r="O1190"/>
  <c r="O1100"/>
  <c r="O1260"/>
  <c r="O848"/>
  <c r="O1051"/>
  <c r="O891"/>
  <c r="O916"/>
  <c r="O972"/>
  <c r="C129" i="6"/>
  <c r="C126"/>
  <c r="C115"/>
  <c r="C96"/>
  <c r="C99"/>
  <c r="C131"/>
  <c r="C114"/>
  <c r="C134"/>
  <c r="C109"/>
  <c r="O1153" i="8"/>
  <c r="O1000"/>
  <c r="O1131"/>
  <c r="O981"/>
  <c r="O1123"/>
  <c r="O1267"/>
  <c r="O892"/>
  <c r="O935"/>
  <c r="O843"/>
  <c r="O768"/>
  <c r="O832"/>
  <c r="O880"/>
  <c r="O912"/>
  <c r="O1282"/>
  <c r="O1021"/>
  <c r="O1207"/>
  <c r="O1259"/>
  <c r="O871"/>
  <c r="O1056"/>
  <c r="O993"/>
  <c r="O1061"/>
  <c r="O1106"/>
  <c r="O1137"/>
  <c r="O1160"/>
  <c r="O1192"/>
  <c r="O1272"/>
  <c r="O1008"/>
  <c r="O1006"/>
  <c r="O982"/>
  <c r="O1048"/>
  <c r="O1180"/>
  <c r="O788"/>
  <c r="O867"/>
  <c r="O844"/>
  <c r="O1193"/>
  <c r="O1209"/>
  <c r="O1179"/>
  <c r="O1076"/>
  <c r="O1124"/>
  <c r="O831"/>
  <c r="O879"/>
  <c r="O1035"/>
  <c r="O1073"/>
  <c r="O824"/>
  <c r="O923"/>
  <c r="O963"/>
  <c r="V186"/>
  <c r="W186" s="1"/>
  <c r="O919"/>
  <c r="O835"/>
  <c r="O1097"/>
  <c r="O762"/>
  <c r="O794"/>
  <c r="O757"/>
  <c r="O789"/>
  <c r="O821"/>
  <c r="O853"/>
  <c r="O885"/>
  <c r="O917"/>
  <c r="O949"/>
  <c r="O1010"/>
  <c r="O1189"/>
  <c r="O1009"/>
  <c r="O1046"/>
  <c r="O1246"/>
  <c r="O1283"/>
  <c r="O1096"/>
  <c r="O1128"/>
  <c r="O1208"/>
  <c r="O1139"/>
  <c r="O992"/>
  <c r="V202"/>
  <c r="W202" s="1"/>
  <c r="V138"/>
  <c r="W138" s="1"/>
  <c r="O948"/>
  <c r="O1170"/>
  <c r="O772"/>
  <c r="O1002"/>
  <c r="O1118"/>
  <c r="O858"/>
  <c r="O1079"/>
  <c r="O1161"/>
  <c r="O1253"/>
  <c r="O805"/>
  <c r="O837"/>
  <c r="O869"/>
  <c r="O901"/>
  <c r="O933"/>
  <c r="O987"/>
  <c r="O1063"/>
  <c r="O1214"/>
  <c r="O1014"/>
  <c r="O1158"/>
  <c r="O1206"/>
  <c r="O1226"/>
  <c r="O1080"/>
  <c r="O1112"/>
  <c r="O1256"/>
  <c r="V157"/>
  <c r="W157" s="1"/>
  <c r="O974"/>
  <c r="V206"/>
  <c r="W206" s="1"/>
  <c r="V190"/>
  <c r="W190" s="1"/>
  <c r="V174"/>
  <c r="W174" s="1"/>
  <c r="V126"/>
  <c r="W126" s="1"/>
  <c r="O888"/>
  <c r="O795"/>
  <c r="O940"/>
  <c r="O1091"/>
  <c r="O1117"/>
  <c r="O1234"/>
  <c r="O774"/>
  <c r="O790"/>
  <c r="O806"/>
  <c r="O870"/>
  <c r="O902"/>
  <c r="O934"/>
  <c r="O1005"/>
  <c r="O1037"/>
  <c r="O1129"/>
  <c r="O1026"/>
  <c r="O1042"/>
  <c r="O1090"/>
  <c r="O1222"/>
  <c r="O1146"/>
  <c r="O907"/>
  <c r="O1016"/>
  <c r="V187"/>
  <c r="W187" s="1"/>
  <c r="V183"/>
  <c r="W183" s="1"/>
  <c r="V176"/>
  <c r="W176" s="1"/>
  <c r="V128"/>
  <c r="W128" s="1"/>
  <c r="V124"/>
  <c r="W124" s="1"/>
  <c r="V169"/>
  <c r="W169" s="1"/>
  <c r="V161"/>
  <c r="W161" s="1"/>
  <c r="O943"/>
  <c r="O1060"/>
  <c r="V194"/>
  <c r="W194" s="1"/>
  <c r="V178"/>
  <c r="W178" s="1"/>
  <c r="V162"/>
  <c r="W162" s="1"/>
  <c r="V146"/>
  <c r="W146" s="1"/>
  <c r="V130"/>
  <c r="W130" s="1"/>
  <c r="O776"/>
  <c r="O839"/>
  <c r="O908"/>
  <c r="O1085"/>
  <c r="O1165"/>
  <c r="O1178"/>
  <c r="O1211"/>
  <c r="O1230"/>
  <c r="O760"/>
  <c r="O883"/>
  <c r="O932"/>
  <c r="O995"/>
  <c r="O1011"/>
  <c r="O1039"/>
  <c r="O1113"/>
  <c r="O1275"/>
  <c r="O770"/>
  <c r="O802"/>
  <c r="O834"/>
  <c r="O866"/>
  <c r="O882"/>
  <c r="O914"/>
  <c r="O930"/>
  <c r="O946"/>
  <c r="O966"/>
  <c r="O984"/>
  <c r="O1052"/>
  <c r="O1221"/>
  <c r="O1266"/>
  <c r="O765"/>
  <c r="O781"/>
  <c r="O797"/>
  <c r="O813"/>
  <c r="O829"/>
  <c r="O861"/>
  <c r="O877"/>
  <c r="O925"/>
  <c r="O941"/>
  <c r="O958"/>
  <c r="O1023"/>
  <c r="O1109"/>
  <c r="O1251"/>
  <c r="O985"/>
  <c r="O1001"/>
  <c r="O1015"/>
  <c r="O1115"/>
  <c r="O1155"/>
  <c r="O1201"/>
  <c r="O1223"/>
  <c r="O1249"/>
  <c r="O1273"/>
  <c r="O1038"/>
  <c r="O1107"/>
  <c r="O1147"/>
  <c r="O1177"/>
  <c r="O1197"/>
  <c r="O1235"/>
  <c r="O1072"/>
  <c r="O1088"/>
  <c r="O1104"/>
  <c r="O1136"/>
  <c r="O1168"/>
  <c r="O1184"/>
  <c r="O1200"/>
  <c r="O1216"/>
  <c r="O1232"/>
  <c r="O1264"/>
  <c r="O952"/>
  <c r="O899"/>
  <c r="O856"/>
  <c r="O884"/>
  <c r="O928"/>
  <c r="O863"/>
  <c r="O1181"/>
  <c r="V203"/>
  <c r="W203" s="1"/>
  <c r="V127"/>
  <c r="W127" s="1"/>
  <c r="V159"/>
  <c r="W159" s="1"/>
  <c r="V153"/>
  <c r="W153" s="1"/>
  <c r="D247"/>
  <c r="D246"/>
  <c r="D248"/>
  <c r="AU137"/>
  <c r="Y137" s="1"/>
  <c r="V137"/>
  <c r="W137" s="1"/>
  <c r="AU125"/>
  <c r="Y125" s="1"/>
  <c r="V125"/>
  <c r="W125" s="1"/>
  <c r="AU177"/>
  <c r="Y177" s="1"/>
  <c r="V177"/>
  <c r="W177" s="1"/>
  <c r="AU114"/>
  <c r="V114"/>
  <c r="W114" s="1"/>
  <c r="O896"/>
  <c r="O967"/>
  <c r="O1154"/>
  <c r="O1231"/>
  <c r="O1166"/>
  <c r="O920"/>
  <c r="O783"/>
  <c r="O759"/>
  <c r="O823"/>
  <c r="O895"/>
  <c r="O1066"/>
  <c r="O1145"/>
  <c r="O1225"/>
  <c r="O800"/>
  <c r="O911"/>
  <c r="O944"/>
  <c r="O1028"/>
  <c r="O1247"/>
  <c r="O778"/>
  <c r="O826"/>
  <c r="O874"/>
  <c r="O906"/>
  <c r="O938"/>
  <c r="O954"/>
  <c r="O975"/>
  <c r="O998"/>
  <c r="O1040"/>
  <c r="O773"/>
  <c r="O964"/>
  <c r="O1032"/>
  <c r="O1095"/>
  <c r="O1130"/>
  <c r="O1205"/>
  <c r="O961"/>
  <c r="O977"/>
  <c r="O1024"/>
  <c r="O1041"/>
  <c r="O1263"/>
  <c r="O1030"/>
  <c r="O1075"/>
  <c r="O1101"/>
  <c r="O1121"/>
  <c r="O1141"/>
  <c r="O1265"/>
  <c r="O1144"/>
  <c r="O1176"/>
  <c r="O1224"/>
  <c r="O1240"/>
  <c r="O986"/>
  <c r="O872"/>
  <c r="O775"/>
  <c r="O955"/>
  <c r="V139"/>
  <c r="W139" s="1"/>
  <c r="D745"/>
  <c r="D743"/>
  <c r="V144"/>
  <c r="W144" s="1"/>
  <c r="AU144"/>
  <c r="Y144" s="1"/>
  <c r="D733"/>
  <c r="D735"/>
  <c r="AU197"/>
  <c r="Y197" s="1"/>
  <c r="V197"/>
  <c r="W197" s="1"/>
  <c r="AU185"/>
  <c r="Y185" s="1"/>
  <c r="V185"/>
  <c r="W185" s="1"/>
  <c r="V164"/>
  <c r="W164" s="1"/>
  <c r="AU164"/>
  <c r="Y164" s="1"/>
  <c r="V160"/>
  <c r="W160" s="1"/>
  <c r="AU160"/>
  <c r="Y160" s="1"/>
  <c r="O807"/>
  <c r="O875"/>
  <c r="O931"/>
  <c r="O1043"/>
  <c r="O1119"/>
  <c r="O787"/>
  <c r="V155"/>
  <c r="W155" s="1"/>
  <c r="V152"/>
  <c r="W152" s="1"/>
  <c r="AU152"/>
  <c r="Y152" s="1"/>
  <c r="D732"/>
  <c r="J724"/>
  <c r="D738"/>
  <c r="D740"/>
  <c r="O1083"/>
  <c r="O1217"/>
  <c r="O818"/>
  <c r="O1007"/>
  <c r="O1126"/>
  <c r="O996"/>
  <c r="O1081"/>
  <c r="O1133"/>
  <c r="O1078"/>
  <c r="O1022"/>
  <c r="O1069"/>
  <c r="O1215"/>
  <c r="O1274"/>
  <c r="O979"/>
  <c r="O803"/>
  <c r="D736"/>
  <c r="V140"/>
  <c r="W140" s="1"/>
  <c r="AU140"/>
  <c r="Y140" s="1"/>
  <c r="AU205"/>
  <c r="Y205" s="1"/>
  <c r="V205"/>
  <c r="W205" s="1"/>
  <c r="AU181"/>
  <c r="Y181" s="1"/>
  <c r="V181"/>
  <c r="W181" s="1"/>
  <c r="O755"/>
  <c r="D243"/>
  <c r="E243" s="1"/>
  <c r="D239"/>
  <c r="E239" s="1"/>
  <c r="D242"/>
  <c r="E242" s="1"/>
  <c r="D238"/>
  <c r="E238" s="1"/>
  <c r="D240"/>
  <c r="E240" s="1"/>
  <c r="D241"/>
  <c r="E241" s="1"/>
  <c r="AU193"/>
  <c r="Y193" s="1"/>
  <c r="V193"/>
  <c r="W193" s="1"/>
  <c r="V156"/>
  <c r="W156" s="1"/>
  <c r="AU156"/>
  <c r="Y156" s="1"/>
  <c r="AU133"/>
  <c r="Y133" s="1"/>
  <c r="V133"/>
  <c r="W133" s="1"/>
  <c r="AU121"/>
  <c r="Y121" s="1"/>
  <c r="V121"/>
  <c r="W121" s="1"/>
  <c r="AU145"/>
  <c r="Y145" s="1"/>
  <c r="V145"/>
  <c r="W145" s="1"/>
  <c r="AU141"/>
  <c r="Y141" s="1"/>
  <c r="V141"/>
  <c r="W141" s="1"/>
  <c r="D737"/>
  <c r="J725"/>
  <c r="D739"/>
  <c r="O816"/>
  <c r="O847"/>
  <c r="O850"/>
  <c r="O1183"/>
  <c r="O845"/>
  <c r="O893"/>
  <c r="O909"/>
  <c r="O978"/>
  <c r="O1053"/>
  <c r="O1167"/>
  <c r="O1202"/>
  <c r="O1279"/>
  <c r="O969"/>
  <c r="O1033"/>
  <c r="O1055"/>
  <c r="O1054"/>
  <c r="O1127"/>
  <c r="O1257"/>
  <c r="O1120"/>
  <c r="O1152"/>
  <c r="O1248"/>
  <c r="O1020"/>
  <c r="O820"/>
  <c r="O756"/>
  <c r="O887"/>
  <c r="O851"/>
  <c r="O771"/>
  <c r="O799"/>
  <c r="O827"/>
  <c r="O864"/>
  <c r="O900"/>
  <c r="O924"/>
  <c r="O956"/>
  <c r="O1070"/>
  <c r="O1102"/>
  <c r="O1174"/>
  <c r="O1210"/>
  <c r="O1229"/>
  <c r="O808"/>
  <c r="O840"/>
  <c r="O876"/>
  <c r="O951"/>
  <c r="O1004"/>
  <c r="O1064"/>
  <c r="O1098"/>
  <c r="O1191"/>
  <c r="O1270"/>
  <c r="O766"/>
  <c r="O782"/>
  <c r="O798"/>
  <c r="O814"/>
  <c r="O830"/>
  <c r="O846"/>
  <c r="O862"/>
  <c r="O878"/>
  <c r="O894"/>
  <c r="O910"/>
  <c r="O926"/>
  <c r="O942"/>
  <c r="O962"/>
  <c r="O1047"/>
  <c r="O1087"/>
  <c r="O1182"/>
  <c r="O1195"/>
  <c r="O1255"/>
  <c r="O761"/>
  <c r="O777"/>
  <c r="O793"/>
  <c r="O809"/>
  <c r="O825"/>
  <c r="O841"/>
  <c r="O857"/>
  <c r="O873"/>
  <c r="O889"/>
  <c r="O905"/>
  <c r="O921"/>
  <c r="O937"/>
  <c r="O953"/>
  <c r="O994"/>
  <c r="O1019"/>
  <c r="O1044"/>
  <c r="O1067"/>
  <c r="O1103"/>
  <c r="O1162"/>
  <c r="O1198"/>
  <c r="O1243"/>
  <c r="O1277"/>
  <c r="O965"/>
  <c r="O997"/>
  <c r="O1013"/>
  <c r="O1074"/>
  <c r="O1111"/>
  <c r="O1142"/>
  <c r="O1171"/>
  <c r="O1219"/>
  <c r="O1245"/>
  <c r="O1269"/>
  <c r="O1018"/>
  <c r="O1034"/>
  <c r="O1050"/>
  <c r="O1065"/>
  <c r="O1082"/>
  <c r="O1105"/>
  <c r="O1143"/>
  <c r="O1173"/>
  <c r="O1213"/>
  <c r="O1233"/>
  <c r="O1250"/>
  <c r="O1068"/>
  <c r="O1084"/>
  <c r="O1116"/>
  <c r="O1132"/>
  <c r="O1148"/>
  <c r="O1164"/>
  <c r="O1196"/>
  <c r="O1212"/>
  <c r="O1228"/>
  <c r="O1244"/>
  <c r="O1276"/>
  <c r="O1241"/>
  <c r="O1138"/>
  <c r="O1122"/>
  <c r="O990"/>
  <c r="O983"/>
  <c r="O959"/>
  <c r="O904"/>
  <c r="O860"/>
  <c r="O836"/>
  <c r="O804"/>
  <c r="D245"/>
  <c r="D244"/>
  <c r="D252"/>
  <c r="D251"/>
  <c r="D253"/>
  <c r="AU173"/>
  <c r="Y173" s="1"/>
  <c r="V173"/>
  <c r="W173" s="1"/>
  <c r="AU201"/>
  <c r="Y201" s="1"/>
  <c r="V201"/>
  <c r="W201" s="1"/>
  <c r="AU189"/>
  <c r="Y189" s="1"/>
  <c r="V189"/>
  <c r="W189" s="1"/>
  <c r="V168"/>
  <c r="W168" s="1"/>
  <c r="AU168"/>
  <c r="Y168" s="1"/>
  <c r="AU129"/>
  <c r="Y129" s="1"/>
  <c r="V129"/>
  <c r="W129" s="1"/>
  <c r="AU117"/>
  <c r="Y117" s="1"/>
  <c r="V117"/>
  <c r="W117" s="1"/>
  <c r="V148"/>
  <c r="W148" s="1"/>
  <c r="AU148"/>
  <c r="Y148" s="1"/>
  <c r="J726"/>
  <c r="D742"/>
  <c r="D744"/>
  <c r="O970"/>
  <c r="O784"/>
  <c r="O815"/>
  <c r="O915"/>
  <c r="O939"/>
  <c r="O1049"/>
  <c r="O1093"/>
  <c r="O1125"/>
  <c r="O1169"/>
  <c r="O1218"/>
  <c r="O1237"/>
  <c r="O767"/>
  <c r="O828"/>
  <c r="O852"/>
  <c r="O903"/>
  <c r="O999"/>
  <c r="O1045"/>
  <c r="O758"/>
  <c r="O838"/>
  <c r="O886"/>
  <c r="O918"/>
  <c r="O950"/>
  <c r="O968"/>
  <c r="O991"/>
  <c r="O1036"/>
  <c r="O1077"/>
  <c r="O1157"/>
  <c r="O1185"/>
  <c r="O1242"/>
  <c r="O1271"/>
  <c r="O769"/>
  <c r="O785"/>
  <c r="O801"/>
  <c r="O817"/>
  <c r="O833"/>
  <c r="O849"/>
  <c r="O865"/>
  <c r="O881"/>
  <c r="O897"/>
  <c r="O913"/>
  <c r="O929"/>
  <c r="O945"/>
  <c r="O960"/>
  <c r="O980"/>
  <c r="O1003"/>
  <c r="O1027"/>
  <c r="O1059"/>
  <c r="O1089"/>
  <c r="O1110"/>
  <c r="O1149"/>
  <c r="O1187"/>
  <c r="O1203"/>
  <c r="O1258"/>
  <c r="O957"/>
  <c r="O973"/>
  <c r="O989"/>
  <c r="O1017"/>
  <c r="O1057"/>
  <c r="O1099"/>
  <c r="O1159"/>
  <c r="O1227"/>
  <c r="O1254"/>
  <c r="O1278"/>
  <c r="O1058"/>
  <c r="O1071"/>
  <c r="O1114"/>
  <c r="O1134"/>
  <c r="O1151"/>
  <c r="O1199"/>
  <c r="O1239"/>
  <c r="O1261"/>
  <c r="O1281"/>
  <c r="O1092"/>
  <c r="O1108"/>
  <c r="O1140"/>
  <c r="O1156"/>
  <c r="O1172"/>
  <c r="O1188"/>
  <c r="O1204"/>
  <c r="O1220"/>
  <c r="O1236"/>
  <c r="O1252"/>
  <c r="O1268"/>
  <c r="O1135"/>
  <c r="O1012"/>
  <c r="O988"/>
  <c r="O947"/>
  <c r="O855"/>
  <c r="O819"/>
  <c r="O780"/>
  <c r="D746"/>
  <c r="A87" i="6"/>
  <c r="H275" i="8" l="1"/>
  <c r="H390"/>
  <c r="I390" s="1"/>
  <c r="H388"/>
  <c r="I388" s="1"/>
  <c r="H386"/>
  <c r="I386" s="1"/>
  <c r="H385"/>
  <c r="I385" s="1"/>
  <c r="H383"/>
  <c r="H381"/>
  <c r="H379"/>
  <c r="I379" s="1"/>
  <c r="H372"/>
  <c r="H370"/>
  <c r="I370" s="1"/>
  <c r="H368"/>
  <c r="I368" s="1"/>
  <c r="H366"/>
  <c r="H364"/>
  <c r="I364" s="1"/>
  <c r="H362"/>
  <c r="I362" s="1"/>
  <c r="H360"/>
  <c r="I360" s="1"/>
  <c r="H358"/>
  <c r="I358" s="1"/>
  <c r="H356"/>
  <c r="I356" s="1"/>
  <c r="H354"/>
  <c r="H352"/>
  <c r="I352" s="1"/>
  <c r="H350"/>
  <c r="H348"/>
  <c r="H346"/>
  <c r="H344"/>
  <c r="I344" s="1"/>
  <c r="H342"/>
  <c r="I342" s="1"/>
  <c r="H340"/>
  <c r="I340" s="1"/>
  <c r="H338"/>
  <c r="H336"/>
  <c r="H334"/>
  <c r="H332"/>
  <c r="I332" s="1"/>
  <c r="H330"/>
  <c r="H328"/>
  <c r="I328" s="1"/>
  <c r="H326"/>
  <c r="I326" s="1"/>
  <c r="H324"/>
  <c r="I324" s="1"/>
  <c r="H322"/>
  <c r="I322" s="1"/>
  <c r="H320"/>
  <c r="I320" s="1"/>
  <c r="H318"/>
  <c r="H316"/>
  <c r="I316" s="1"/>
  <c r="H314"/>
  <c r="H312"/>
  <c r="H310"/>
  <c r="I310" s="1"/>
  <c r="H308"/>
  <c r="I308" s="1"/>
  <c r="H306"/>
  <c r="H304"/>
  <c r="I304" s="1"/>
  <c r="H302"/>
  <c r="H300"/>
  <c r="H298"/>
  <c r="I298" s="1"/>
  <c r="H296"/>
  <c r="I296" s="1"/>
  <c r="H294"/>
  <c r="H293"/>
  <c r="H291"/>
  <c r="I291" s="1"/>
  <c r="H289"/>
  <c r="I289" s="1"/>
  <c r="H287"/>
  <c r="I287" s="1"/>
  <c r="H285"/>
  <c r="H283"/>
  <c r="H281"/>
  <c r="H710"/>
  <c r="I710" s="1"/>
  <c r="H702"/>
  <c r="H694"/>
  <c r="I694" s="1"/>
  <c r="H686"/>
  <c r="I686" s="1"/>
  <c r="H678"/>
  <c r="I678" s="1"/>
  <c r="H670"/>
  <c r="I670" s="1"/>
  <c r="H662"/>
  <c r="I662" s="1"/>
  <c r="H654"/>
  <c r="H646"/>
  <c r="I646" s="1"/>
  <c r="H391"/>
  <c r="I391" s="1"/>
  <c r="H389"/>
  <c r="I389" s="1"/>
  <c r="H387"/>
  <c r="H384"/>
  <c r="I384" s="1"/>
  <c r="H382"/>
  <c r="I382" s="1"/>
  <c r="H380"/>
  <c r="I380" s="1"/>
  <c r="H378"/>
  <c r="I378" s="1"/>
  <c r="H377"/>
  <c r="I377" s="1"/>
  <c r="H376"/>
  <c r="I376" s="1"/>
  <c r="H375"/>
  <c r="I375" s="1"/>
  <c r="H374"/>
  <c r="I374" s="1"/>
  <c r="H373"/>
  <c r="I373" s="1"/>
  <c r="H371"/>
  <c r="I371" s="1"/>
  <c r="H369"/>
  <c r="H367"/>
  <c r="I367" s="1"/>
  <c r="H365"/>
  <c r="I365" s="1"/>
  <c r="H363"/>
  <c r="I363" s="1"/>
  <c r="H361"/>
  <c r="I361" s="1"/>
  <c r="H359"/>
  <c r="I359" s="1"/>
  <c r="H357"/>
  <c r="H355"/>
  <c r="I355" s="1"/>
  <c r="H353"/>
  <c r="H351"/>
  <c r="H349"/>
  <c r="I349" s="1"/>
  <c r="H347"/>
  <c r="H345"/>
  <c r="H343"/>
  <c r="I343" s="1"/>
  <c r="H341"/>
  <c r="I341" s="1"/>
  <c r="H339"/>
  <c r="H337"/>
  <c r="I337" s="1"/>
  <c r="H335"/>
  <c r="H333"/>
  <c r="H331"/>
  <c r="H329"/>
  <c r="H327"/>
  <c r="H325"/>
  <c r="I325" s="1"/>
  <c r="H323"/>
  <c r="I323" s="1"/>
  <c r="H321"/>
  <c r="I321" s="1"/>
  <c r="H319"/>
  <c r="I319" s="1"/>
  <c r="H317"/>
  <c r="H315"/>
  <c r="H313"/>
  <c r="I313" s="1"/>
  <c r="H311"/>
  <c r="H309"/>
  <c r="I309" s="1"/>
  <c r="H307"/>
  <c r="I307" s="1"/>
  <c r="H305"/>
  <c r="I305" s="1"/>
  <c r="H303"/>
  <c r="H301"/>
  <c r="I301" s="1"/>
  <c r="H299"/>
  <c r="H297"/>
  <c r="H295"/>
  <c r="I295" s="1"/>
  <c r="H292"/>
  <c r="I292" s="1"/>
  <c r="H290"/>
  <c r="I290" s="1"/>
  <c r="H288"/>
  <c r="I288" s="1"/>
  <c r="H286"/>
  <c r="I286" s="1"/>
  <c r="H284"/>
  <c r="I284" s="1"/>
  <c r="H282"/>
  <c r="I282" s="1"/>
  <c r="H280"/>
  <c r="I280" s="1"/>
  <c r="H279"/>
  <c r="I279" s="1"/>
  <c r="H278"/>
  <c r="I278" s="1"/>
  <c r="H277"/>
  <c r="I277" s="1"/>
  <c r="H276"/>
  <c r="H274"/>
  <c r="I274" s="1"/>
  <c r="H273"/>
  <c r="I273" s="1"/>
  <c r="H272"/>
  <c r="I272" s="1"/>
  <c r="H271"/>
  <c r="I271" s="1"/>
  <c r="H270"/>
  <c r="H269"/>
  <c r="I269" s="1"/>
  <c r="H268"/>
  <c r="I268" s="1"/>
  <c r="H267"/>
  <c r="H266"/>
  <c r="H265"/>
  <c r="H712"/>
  <c r="I712" s="1"/>
  <c r="H701"/>
  <c r="H696"/>
  <c r="H685"/>
  <c r="I685" s="1"/>
  <c r="H680"/>
  <c r="I680" s="1"/>
  <c r="H669"/>
  <c r="I669" s="1"/>
  <c r="H664"/>
  <c r="I664" s="1"/>
  <c r="H653"/>
  <c r="I653" s="1"/>
  <c r="H648"/>
  <c r="H706"/>
  <c r="I706" s="1"/>
  <c r="H690"/>
  <c r="H674"/>
  <c r="I674" s="1"/>
  <c r="H658"/>
  <c r="I658" s="1"/>
  <c r="H709"/>
  <c r="I709" s="1"/>
  <c r="H704"/>
  <c r="I704" s="1"/>
  <c r="H693"/>
  <c r="I693" s="1"/>
  <c r="H688"/>
  <c r="I688" s="1"/>
  <c r="H677"/>
  <c r="H672"/>
  <c r="H661"/>
  <c r="I661" s="1"/>
  <c r="H656"/>
  <c r="I656" s="1"/>
  <c r="H645"/>
  <c r="I645" s="1"/>
  <c r="H714"/>
  <c r="H682"/>
  <c r="I682" s="1"/>
  <c r="H666"/>
  <c r="I666" s="1"/>
  <c r="H650"/>
  <c r="I650" s="1"/>
  <c r="H698"/>
  <c r="I698" s="1"/>
  <c r="H705"/>
  <c r="I705" s="1"/>
  <c r="H673"/>
  <c r="I673" s="1"/>
  <c r="H652"/>
  <c r="I652" s="1"/>
  <c r="H668"/>
  <c r="I668" s="1"/>
  <c r="H684"/>
  <c r="H700"/>
  <c r="I700" s="1"/>
  <c r="H665"/>
  <c r="I665" s="1"/>
  <c r="H697"/>
  <c r="I697" s="1"/>
  <c r="H655"/>
  <c r="I655" s="1"/>
  <c r="H671"/>
  <c r="I671" s="1"/>
  <c r="H687"/>
  <c r="I687" s="1"/>
  <c r="H703"/>
  <c r="I703" s="1"/>
  <c r="H415"/>
  <c r="I415" s="1"/>
  <c r="H447"/>
  <c r="I447" s="1"/>
  <c r="H479"/>
  <c r="H507"/>
  <c r="I507" s="1"/>
  <c r="H527"/>
  <c r="I527" s="1"/>
  <c r="H543"/>
  <c r="I543" s="1"/>
  <c r="H559"/>
  <c r="I559" s="1"/>
  <c r="H575"/>
  <c r="I575" s="1"/>
  <c r="H591"/>
  <c r="I591" s="1"/>
  <c r="H607"/>
  <c r="I607" s="1"/>
  <c r="H623"/>
  <c r="H639"/>
  <c r="H395"/>
  <c r="I395" s="1"/>
  <c r="H427"/>
  <c r="I427" s="1"/>
  <c r="H459"/>
  <c r="I459" s="1"/>
  <c r="H491"/>
  <c r="I491" s="1"/>
  <c r="H396"/>
  <c r="I396" s="1"/>
  <c r="H412"/>
  <c r="I412" s="1"/>
  <c r="H428"/>
  <c r="I428" s="1"/>
  <c r="H444"/>
  <c r="H460"/>
  <c r="I460" s="1"/>
  <c r="H476"/>
  <c r="H492"/>
  <c r="H508"/>
  <c r="I508" s="1"/>
  <c r="H524"/>
  <c r="I524" s="1"/>
  <c r="H540"/>
  <c r="H556"/>
  <c r="I556" s="1"/>
  <c r="H572"/>
  <c r="I572" s="1"/>
  <c r="H588"/>
  <c r="H604"/>
  <c r="I604" s="1"/>
  <c r="H620"/>
  <c r="I620" s="1"/>
  <c r="H636"/>
  <c r="H397"/>
  <c r="I397" s="1"/>
  <c r="H417"/>
  <c r="I417" s="1"/>
  <c r="H437"/>
  <c r="I437" s="1"/>
  <c r="H461"/>
  <c r="H481"/>
  <c r="I481" s="1"/>
  <c r="H497"/>
  <c r="I497" s="1"/>
  <c r="H521"/>
  <c r="I521" s="1"/>
  <c r="H541"/>
  <c r="I541" s="1"/>
  <c r="H561"/>
  <c r="H581"/>
  <c r="H601"/>
  <c r="I601" s="1"/>
  <c r="H625"/>
  <c r="I625" s="1"/>
  <c r="H641"/>
  <c r="H657"/>
  <c r="I657" s="1"/>
  <c r="H689"/>
  <c r="I689" s="1"/>
  <c r="H647"/>
  <c r="H663"/>
  <c r="I663" s="1"/>
  <c r="H679"/>
  <c r="I679" s="1"/>
  <c r="H695"/>
  <c r="I695" s="1"/>
  <c r="H711"/>
  <c r="I711" s="1"/>
  <c r="H649"/>
  <c r="I649" s="1"/>
  <c r="H681"/>
  <c r="I681" s="1"/>
  <c r="H713"/>
  <c r="I713" s="1"/>
  <c r="H644"/>
  <c r="I644" s="1"/>
  <c r="H660"/>
  <c r="I660" s="1"/>
  <c r="H676"/>
  <c r="I676" s="1"/>
  <c r="H692"/>
  <c r="I692" s="1"/>
  <c r="H708"/>
  <c r="H399"/>
  <c r="I399" s="1"/>
  <c r="H431"/>
  <c r="I431" s="1"/>
  <c r="H463"/>
  <c r="I463" s="1"/>
  <c r="H495"/>
  <c r="H519"/>
  <c r="I519" s="1"/>
  <c r="H535"/>
  <c r="I535" s="1"/>
  <c r="H551"/>
  <c r="I551" s="1"/>
  <c r="H567"/>
  <c r="I567" s="1"/>
  <c r="H583"/>
  <c r="I583" s="1"/>
  <c r="H599"/>
  <c r="I599" s="1"/>
  <c r="H615"/>
  <c r="I615" s="1"/>
  <c r="H631"/>
  <c r="I631" s="1"/>
  <c r="H411"/>
  <c r="I411" s="1"/>
  <c r="H443"/>
  <c r="I443" s="1"/>
  <c r="H475"/>
  <c r="I475" s="1"/>
  <c r="H511"/>
  <c r="H404"/>
  <c r="H420"/>
  <c r="H436"/>
  <c r="H452"/>
  <c r="I452" s="1"/>
  <c r="H468"/>
  <c r="H484"/>
  <c r="I484" s="1"/>
  <c r="H500"/>
  <c r="I500" s="1"/>
  <c r="H516"/>
  <c r="H532"/>
  <c r="I532" s="1"/>
  <c r="H548"/>
  <c r="I548" s="1"/>
  <c r="H564"/>
  <c r="H580"/>
  <c r="I580" s="1"/>
  <c r="H596"/>
  <c r="H612"/>
  <c r="H628"/>
  <c r="I628" s="1"/>
  <c r="H597"/>
  <c r="I597" s="1"/>
  <c r="H398"/>
  <c r="I398" s="1"/>
  <c r="H406"/>
  <c r="I406" s="1"/>
  <c r="H414"/>
  <c r="I414" s="1"/>
  <c r="H422"/>
  <c r="I422" s="1"/>
  <c r="H430"/>
  <c r="I430" s="1"/>
  <c r="H446"/>
  <c r="I446" s="1"/>
  <c r="H454"/>
  <c r="I454" s="1"/>
  <c r="H462"/>
  <c r="I462" s="1"/>
  <c r="H478"/>
  <c r="I478" s="1"/>
  <c r="H486"/>
  <c r="I486" s="1"/>
  <c r="H502"/>
  <c r="I502" s="1"/>
  <c r="H510"/>
  <c r="H526"/>
  <c r="I526" s="1"/>
  <c r="H534"/>
  <c r="H550"/>
  <c r="I550" s="1"/>
  <c r="H558"/>
  <c r="H574"/>
  <c r="I574" s="1"/>
  <c r="H582"/>
  <c r="H598"/>
  <c r="I598" s="1"/>
  <c r="H606"/>
  <c r="H622"/>
  <c r="I622" s="1"/>
  <c r="H630"/>
  <c r="I630" s="1"/>
  <c r="H643"/>
  <c r="I643" s="1"/>
  <c r="H675"/>
  <c r="I675" s="1"/>
  <c r="H691"/>
  <c r="I691" s="1"/>
  <c r="H423"/>
  <c r="H487"/>
  <c r="I487" s="1"/>
  <c r="H515"/>
  <c r="I515" s="1"/>
  <c r="H547"/>
  <c r="I547" s="1"/>
  <c r="H563"/>
  <c r="H595"/>
  <c r="I595" s="1"/>
  <c r="H611"/>
  <c r="I611" s="1"/>
  <c r="H409"/>
  <c r="I409" s="1"/>
  <c r="H429"/>
  <c r="I429" s="1"/>
  <c r="H449"/>
  <c r="I449" s="1"/>
  <c r="H469"/>
  <c r="I469" s="1"/>
  <c r="H489"/>
  <c r="H509"/>
  <c r="I509" s="1"/>
  <c r="H529"/>
  <c r="I529" s="1"/>
  <c r="H553"/>
  <c r="H573"/>
  <c r="I573" s="1"/>
  <c r="H589"/>
  <c r="I589" s="1"/>
  <c r="H613"/>
  <c r="I613" s="1"/>
  <c r="H633"/>
  <c r="I633" s="1"/>
  <c r="H401"/>
  <c r="H413"/>
  <c r="I413" s="1"/>
  <c r="H425"/>
  <c r="H441"/>
  <c r="H453"/>
  <c r="I453" s="1"/>
  <c r="H465"/>
  <c r="H477"/>
  <c r="H493"/>
  <c r="I493" s="1"/>
  <c r="H505"/>
  <c r="I505" s="1"/>
  <c r="H517"/>
  <c r="I517" s="1"/>
  <c r="H533"/>
  <c r="H545"/>
  <c r="H557"/>
  <c r="H569"/>
  <c r="I569" s="1"/>
  <c r="H585"/>
  <c r="I585" s="1"/>
  <c r="H609"/>
  <c r="I609" s="1"/>
  <c r="H621"/>
  <c r="H637"/>
  <c r="I637" s="1"/>
  <c r="H438"/>
  <c r="H470"/>
  <c r="I470" s="1"/>
  <c r="H494"/>
  <c r="I494" s="1"/>
  <c r="H518"/>
  <c r="I518" s="1"/>
  <c r="H542"/>
  <c r="I542" s="1"/>
  <c r="H566"/>
  <c r="I566" s="1"/>
  <c r="H590"/>
  <c r="I590" s="1"/>
  <c r="H614"/>
  <c r="I614" s="1"/>
  <c r="H638"/>
  <c r="I638" s="1"/>
  <c r="H659"/>
  <c r="I659" s="1"/>
  <c r="H707"/>
  <c r="I707" s="1"/>
  <c r="H455"/>
  <c r="I455" s="1"/>
  <c r="H531"/>
  <c r="H579"/>
  <c r="I579" s="1"/>
  <c r="H627"/>
  <c r="I627" s="1"/>
  <c r="H433"/>
  <c r="I433" s="1"/>
  <c r="H485"/>
  <c r="I485" s="1"/>
  <c r="H537"/>
  <c r="H593"/>
  <c r="H402"/>
  <c r="H434"/>
  <c r="I434" s="1"/>
  <c r="H466"/>
  <c r="I466" s="1"/>
  <c r="H498"/>
  <c r="H530"/>
  <c r="H562"/>
  <c r="I562" s="1"/>
  <c r="H594"/>
  <c r="H626"/>
  <c r="I626" s="1"/>
  <c r="H651"/>
  <c r="I651" s="1"/>
  <c r="H407"/>
  <c r="I407" s="1"/>
  <c r="H523"/>
  <c r="I523" s="1"/>
  <c r="H587"/>
  <c r="H403"/>
  <c r="I403" s="1"/>
  <c r="H467"/>
  <c r="I467" s="1"/>
  <c r="H400"/>
  <c r="I400" s="1"/>
  <c r="H432"/>
  <c r="I432" s="1"/>
  <c r="H464"/>
  <c r="I464" s="1"/>
  <c r="H496"/>
  <c r="I496" s="1"/>
  <c r="H528"/>
  <c r="H560"/>
  <c r="I560" s="1"/>
  <c r="H592"/>
  <c r="I592" s="1"/>
  <c r="H624"/>
  <c r="H393"/>
  <c r="I393" s="1"/>
  <c r="H445"/>
  <c r="I445" s="1"/>
  <c r="H501"/>
  <c r="I501" s="1"/>
  <c r="H549"/>
  <c r="I549" s="1"/>
  <c r="H605"/>
  <c r="H405"/>
  <c r="H457"/>
  <c r="I457" s="1"/>
  <c r="H513"/>
  <c r="I513" s="1"/>
  <c r="H565"/>
  <c r="I565" s="1"/>
  <c r="H617"/>
  <c r="I617" s="1"/>
  <c r="H418"/>
  <c r="I418" s="1"/>
  <c r="H450"/>
  <c r="I450" s="1"/>
  <c r="H482"/>
  <c r="I482" s="1"/>
  <c r="H514"/>
  <c r="I514" s="1"/>
  <c r="H546"/>
  <c r="H578"/>
  <c r="H610"/>
  <c r="I610" s="1"/>
  <c r="H642"/>
  <c r="H683"/>
  <c r="H471"/>
  <c r="I471" s="1"/>
  <c r="H555"/>
  <c r="I555" s="1"/>
  <c r="H619"/>
  <c r="I619" s="1"/>
  <c r="H435"/>
  <c r="H499"/>
  <c r="I499" s="1"/>
  <c r="H416"/>
  <c r="I416" s="1"/>
  <c r="H448"/>
  <c r="I448" s="1"/>
  <c r="H480"/>
  <c r="H512"/>
  <c r="I512" s="1"/>
  <c r="H544"/>
  <c r="I544" s="1"/>
  <c r="H576"/>
  <c r="H608"/>
  <c r="I608" s="1"/>
  <c r="H640"/>
  <c r="I640" s="1"/>
  <c r="H421"/>
  <c r="I421" s="1"/>
  <c r="H473"/>
  <c r="H525"/>
  <c r="H577"/>
  <c r="I577" s="1"/>
  <c r="H629"/>
  <c r="I629" s="1"/>
  <c r="H394"/>
  <c r="I394" s="1"/>
  <c r="H426"/>
  <c r="H458"/>
  <c r="I458" s="1"/>
  <c r="H490"/>
  <c r="I490" s="1"/>
  <c r="H522"/>
  <c r="I522" s="1"/>
  <c r="H554"/>
  <c r="I554" s="1"/>
  <c r="H586"/>
  <c r="I586" s="1"/>
  <c r="H618"/>
  <c r="H424"/>
  <c r="I424" s="1"/>
  <c r="H488"/>
  <c r="I488" s="1"/>
  <c r="H520"/>
  <c r="I520" s="1"/>
  <c r="H584"/>
  <c r="I584" s="1"/>
  <c r="H616"/>
  <c r="I616" s="1"/>
  <c r="H699"/>
  <c r="I699" s="1"/>
  <c r="H439"/>
  <c r="I439" s="1"/>
  <c r="H539"/>
  <c r="I539" s="1"/>
  <c r="H603"/>
  <c r="I603" s="1"/>
  <c r="H419"/>
  <c r="I419" s="1"/>
  <c r="H483"/>
  <c r="I483" s="1"/>
  <c r="H408"/>
  <c r="H440"/>
  <c r="I440" s="1"/>
  <c r="H472"/>
  <c r="I472" s="1"/>
  <c r="H504"/>
  <c r="I504" s="1"/>
  <c r="H536"/>
  <c r="I536" s="1"/>
  <c r="H568"/>
  <c r="I568" s="1"/>
  <c r="H600"/>
  <c r="H632"/>
  <c r="I632" s="1"/>
  <c r="H410"/>
  <c r="I410" s="1"/>
  <c r="H442"/>
  <c r="H474"/>
  <c r="H506"/>
  <c r="I506" s="1"/>
  <c r="H538"/>
  <c r="I538" s="1"/>
  <c r="H570"/>
  <c r="H602"/>
  <c r="I602" s="1"/>
  <c r="H634"/>
  <c r="I634" s="1"/>
  <c r="H667"/>
  <c r="I667" s="1"/>
  <c r="H503"/>
  <c r="I503" s="1"/>
  <c r="H571"/>
  <c r="I571" s="1"/>
  <c r="H635"/>
  <c r="H451"/>
  <c r="I451" s="1"/>
  <c r="H392"/>
  <c r="I392" s="1"/>
  <c r="H456"/>
  <c r="I456" s="1"/>
  <c r="H552"/>
  <c r="AU106"/>
  <c r="Y114"/>
  <c r="E744"/>
  <c r="F742"/>
  <c r="E742"/>
  <c r="L74"/>
  <c r="L66"/>
  <c r="L58"/>
  <c r="L50"/>
  <c r="L82"/>
  <c r="L78"/>
  <c r="L70"/>
  <c r="L62"/>
  <c r="L54"/>
  <c r="L46"/>
  <c r="L76"/>
  <c r="L68"/>
  <c r="L52"/>
  <c r="L77"/>
  <c r="L69"/>
  <c r="L61"/>
  <c r="L53"/>
  <c r="L60"/>
  <c r="L81"/>
  <c r="L73"/>
  <c r="L65"/>
  <c r="L57"/>
  <c r="L49"/>
  <c r="L48"/>
  <c r="L80"/>
  <c r="L51"/>
  <c r="L71"/>
  <c r="L72"/>
  <c r="L64"/>
  <c r="L67"/>
  <c r="L55"/>
  <c r="L59"/>
  <c r="L47"/>
  <c r="L56"/>
  <c r="L79"/>
  <c r="L75"/>
  <c r="L63"/>
  <c r="E739"/>
  <c r="E737"/>
  <c r="F737"/>
  <c r="E732"/>
  <c r="F732"/>
  <c r="E734"/>
  <c r="G742" l="1"/>
  <c r="G737"/>
  <c r="I265"/>
  <c r="I474"/>
  <c r="I426"/>
  <c r="I525"/>
  <c r="I480"/>
  <c r="I435"/>
  <c r="I683"/>
  <c r="I546"/>
  <c r="I530"/>
  <c r="I402"/>
  <c r="I465"/>
  <c r="I563"/>
  <c r="I423"/>
  <c r="I582"/>
  <c r="I534"/>
  <c r="I612"/>
  <c r="I420"/>
  <c r="I581"/>
  <c r="I540"/>
  <c r="I476"/>
  <c r="I648"/>
  <c r="I276"/>
  <c r="I297"/>
  <c r="I329"/>
  <c r="I345"/>
  <c r="I353"/>
  <c r="I369"/>
  <c r="I283"/>
  <c r="I306"/>
  <c r="I314"/>
  <c r="I330"/>
  <c r="I338"/>
  <c r="I346"/>
  <c r="I354"/>
  <c r="I383"/>
  <c r="G732"/>
  <c r="I552"/>
  <c r="I635"/>
  <c r="I578"/>
  <c r="I624"/>
  <c r="I531"/>
  <c r="I438"/>
  <c r="I533"/>
  <c r="I477"/>
  <c r="I425"/>
  <c r="I564"/>
  <c r="I436"/>
  <c r="I492"/>
  <c r="I623"/>
  <c r="I479"/>
  <c r="I677"/>
  <c r="I701"/>
  <c r="I267"/>
  <c r="I275"/>
  <c r="C245" s="1"/>
  <c r="I303"/>
  <c r="I311"/>
  <c r="I327"/>
  <c r="I335"/>
  <c r="I351"/>
  <c r="I387"/>
  <c r="I654"/>
  <c r="I281"/>
  <c r="I312"/>
  <c r="I336"/>
  <c r="I381"/>
  <c r="I600"/>
  <c r="I408"/>
  <c r="I618"/>
  <c r="I605"/>
  <c r="I528"/>
  <c r="I594"/>
  <c r="I537"/>
  <c r="I545"/>
  <c r="I441"/>
  <c r="I553"/>
  <c r="I606"/>
  <c r="I558"/>
  <c r="I510"/>
  <c r="I516"/>
  <c r="I511"/>
  <c r="I495"/>
  <c r="I708"/>
  <c r="I647"/>
  <c r="I461"/>
  <c r="I636"/>
  <c r="I444"/>
  <c r="I639"/>
  <c r="I714"/>
  <c r="I672"/>
  <c r="I690"/>
  <c r="I696"/>
  <c r="I266"/>
  <c r="I270"/>
  <c r="I317"/>
  <c r="I333"/>
  <c r="I357"/>
  <c r="I294"/>
  <c r="I302"/>
  <c r="I318"/>
  <c r="I334"/>
  <c r="I350"/>
  <c r="I366"/>
  <c r="H110"/>
  <c r="I570"/>
  <c r="I442"/>
  <c r="I473"/>
  <c r="I576"/>
  <c r="I642"/>
  <c r="I405"/>
  <c r="I587"/>
  <c r="I498"/>
  <c r="I593"/>
  <c r="I621"/>
  <c r="I557"/>
  <c r="I401"/>
  <c r="I489"/>
  <c r="I596"/>
  <c r="I468"/>
  <c r="I404"/>
  <c r="I641"/>
  <c r="I561"/>
  <c r="I588"/>
  <c r="I684"/>
  <c r="I299"/>
  <c r="I315"/>
  <c r="I331"/>
  <c r="I339"/>
  <c r="I347"/>
  <c r="I702"/>
  <c r="I285"/>
  <c r="I293"/>
  <c r="I300"/>
  <c r="I348"/>
  <c r="I372"/>
  <c r="C239" l="1"/>
  <c r="C236"/>
  <c r="C248"/>
  <c r="C240"/>
  <c r="C249"/>
  <c r="C250"/>
  <c r="C237"/>
  <c r="C242"/>
  <c r="C247"/>
  <c r="C241"/>
  <c r="C238"/>
  <c r="C235"/>
  <c r="C251"/>
  <c r="C246"/>
  <c r="C244"/>
  <c r="C252"/>
  <c r="C253"/>
  <c r="M274" i="3" l="1"/>
  <c r="Q275" i="2" s="1"/>
  <c r="H273" i="3"/>
  <c r="L274" i="2" s="1"/>
  <c r="L272" i="3"/>
  <c r="G271"/>
  <c r="I270"/>
  <c r="H269"/>
  <c r="L270" i="2" s="1"/>
  <c r="I268" i="3"/>
  <c r="G267"/>
  <c r="J265"/>
  <c r="I264"/>
  <c r="K263"/>
  <c r="O264" i="2" s="1"/>
  <c r="H262" i="3"/>
  <c r="L263" i="2" s="1"/>
  <c r="G261" i="3"/>
  <c r="L260"/>
  <c r="F259"/>
  <c r="G258"/>
  <c r="G257"/>
  <c r="H256"/>
  <c r="L257" i="2" s="1"/>
  <c r="G255" i="3"/>
  <c r="F254"/>
  <c r="I253"/>
  <c r="J252"/>
  <c r="N251"/>
  <c r="M250"/>
  <c r="Q251" i="2" s="1"/>
  <c r="G249" i="3"/>
  <c r="I248"/>
  <c r="L247"/>
  <c r="J246"/>
  <c r="G245"/>
  <c r="F243"/>
  <c r="G242"/>
  <c r="J240"/>
  <c r="M239"/>
  <c r="Q240" i="2" s="1"/>
  <c r="F238" i="3"/>
  <c r="K237"/>
  <c r="O238" i="2" s="1"/>
  <c r="F236" i="3"/>
  <c r="Q234"/>
  <c r="G233"/>
  <c r="G232"/>
  <c r="M230"/>
  <c r="Q231" i="2" s="1"/>
  <c r="G229" i="3"/>
  <c r="I228"/>
  <c r="M227"/>
  <c r="Q228" i="2" s="1"/>
  <c r="H226" i="3"/>
  <c r="L227" i="2" s="1"/>
  <c r="K224" i="3"/>
  <c r="O225" i="2" s="1"/>
  <c r="G223" i="3"/>
  <c r="I222"/>
  <c r="I220"/>
  <c r="K218"/>
  <c r="O219" i="2" s="1"/>
  <c r="G217" i="3"/>
  <c r="L216"/>
  <c r="J214"/>
  <c r="L213"/>
  <c r="G211"/>
  <c r="J208"/>
  <c r="K207"/>
  <c r="O208" i="2" s="1"/>
  <c r="G206" i="3"/>
  <c r="I205"/>
  <c r="G202"/>
  <c r="G201"/>
  <c r="Q198"/>
  <c r="H197"/>
  <c r="L198" i="2" s="1"/>
  <c r="J196" i="3"/>
  <c r="O195"/>
  <c r="S196" i="2" s="1"/>
  <c r="H194" i="3"/>
  <c r="L195" i="2" s="1"/>
  <c r="I192" i="3"/>
  <c r="N191"/>
  <c r="G190"/>
  <c r="M189"/>
  <c r="Q190" i="2" s="1"/>
  <c r="F187" i="3"/>
  <c r="P186"/>
  <c r="K185"/>
  <c r="O186" i="2" s="1"/>
  <c r="I184" i="3"/>
  <c r="P183"/>
  <c r="G182"/>
  <c r="M180"/>
  <c r="Q181" i="2" s="1"/>
  <c r="K179" i="3"/>
  <c r="O180" i="2" s="1"/>
  <c r="K177" i="3"/>
  <c r="O178" i="2" s="1"/>
  <c r="M176" i="3"/>
  <c r="Q177" i="2" s="1"/>
  <c r="G174" i="3"/>
  <c r="O173"/>
  <c r="S174" i="2" s="1"/>
  <c r="J170" i="3"/>
  <c r="G169"/>
  <c r="F168"/>
  <c r="F167"/>
  <c r="J164"/>
  <c r="J163"/>
  <c r="K160"/>
  <c r="O161" i="2" s="1"/>
  <c r="J158" i="3"/>
  <c r="G157"/>
  <c r="L156"/>
  <c r="K154"/>
  <c r="O155" i="2" s="1"/>
  <c r="M151" i="3"/>
  <c r="Q152" i="2" s="1"/>
  <c r="K148" i="3"/>
  <c r="O149" i="2" s="1"/>
  <c r="Q147" i="3"/>
  <c r="G145"/>
  <c r="K142"/>
  <c r="O143" i="2" s="1"/>
  <c r="Q141" i="3"/>
  <c r="Q139"/>
  <c r="O136"/>
  <c r="S137" i="2" s="1"/>
  <c r="Q133" i="3"/>
  <c r="J132"/>
  <c r="O130"/>
  <c r="S131" i="2" s="1"/>
  <c r="J127" i="3"/>
  <c r="N126"/>
  <c r="O123"/>
  <c r="S124" i="2" s="1"/>
  <c r="S400" s="1"/>
  <c r="N126" i="4" s="1"/>
  <c r="F122" i="3"/>
  <c r="Q121"/>
  <c r="O120"/>
  <c r="S121" i="2" s="1"/>
  <c r="S397" s="1"/>
  <c r="N123" i="4" s="1"/>
  <c r="I119" i="3"/>
  <c r="L118"/>
  <c r="N117"/>
  <c r="O116"/>
  <c r="S117" i="2" s="1"/>
  <c r="S393" s="1"/>
  <c r="N119" i="4" s="1"/>
  <c r="Q115" i="3"/>
  <c r="G114"/>
  <c r="I113"/>
  <c r="K112"/>
  <c r="O113" i="2" s="1"/>
  <c r="O389" s="1"/>
  <c r="J115" i="4" s="1"/>
  <c r="M111" i="3"/>
  <c r="Q112" i="2" s="1"/>
  <c r="Q388" s="1"/>
  <c r="L114" i="4" s="1"/>
  <c r="O110" i="3"/>
  <c r="S111" i="2" s="1"/>
  <c r="S387" s="1"/>
  <c r="N113" i="4" s="1"/>
  <c r="I109" i="3"/>
  <c r="J108"/>
  <c r="N107"/>
  <c r="H106"/>
  <c r="L107" i="2" s="1"/>
  <c r="L383" s="1"/>
  <c r="N105" i="3"/>
  <c r="O104"/>
  <c r="S105" i="2" s="1"/>
  <c r="S381" s="1"/>
  <c r="N107" i="4" s="1"/>
  <c r="I103" i="3"/>
  <c r="L102"/>
  <c r="J101"/>
  <c r="K100"/>
  <c r="O101" i="2" s="1"/>
  <c r="O377" s="1"/>
  <c r="J103" i="4" s="1"/>
  <c r="N99" i="3"/>
  <c r="O98"/>
  <c r="S99" i="2" s="1"/>
  <c r="S375" s="1"/>
  <c r="N101" i="4" s="1"/>
  <c r="I97" i="3"/>
  <c r="F96"/>
  <c r="Q95"/>
  <c r="J94"/>
  <c r="H93"/>
  <c r="L94" i="2" s="1"/>
  <c r="L370" s="1"/>
  <c r="N92" i="3"/>
  <c r="L91"/>
  <c r="F90"/>
  <c r="J89"/>
  <c r="N88"/>
  <c r="K87"/>
  <c r="O88" i="2" s="1"/>
  <c r="O364" s="1"/>
  <c r="J90" i="4" s="1"/>
  <c r="H86" i="3"/>
  <c r="L87" i="2" s="1"/>
  <c r="L363" s="1"/>
  <c r="L85" i="3"/>
  <c r="I84"/>
  <c r="Q83"/>
  <c r="J82"/>
  <c r="F81"/>
  <c r="K80"/>
  <c r="O81" i="2" s="1"/>
  <c r="O357" s="1"/>
  <c r="J83" i="4" s="1"/>
  <c r="M79" i="3"/>
  <c r="Q80" i="2" s="1"/>
  <c r="Q356" s="1"/>
  <c r="L82" i="4" s="1"/>
  <c r="I78" i="3"/>
  <c r="L77"/>
  <c r="G76"/>
  <c r="H75"/>
  <c r="L76" i="2" s="1"/>
  <c r="L352" s="1"/>
  <c r="N73" i="3"/>
  <c r="O72"/>
  <c r="S73" i="2" s="1"/>
  <c r="S349" s="1"/>
  <c r="N75" i="4" s="1"/>
  <c r="H71" i="3"/>
  <c r="L72" i="2" s="1"/>
  <c r="L348" s="1"/>
  <c r="O70" i="3"/>
  <c r="S71" i="2" s="1"/>
  <c r="S347" s="1"/>
  <c r="N73" i="4" s="1"/>
  <c r="I69" i="3"/>
  <c r="L68"/>
  <c r="N67"/>
  <c r="O66"/>
  <c r="S67" i="2" s="1"/>
  <c r="S343" s="1"/>
  <c r="N69" i="4" s="1"/>
  <c r="F64" i="3"/>
  <c r="G63"/>
  <c r="L62"/>
  <c r="M61"/>
  <c r="Q62" i="2" s="1"/>
  <c r="Q338" s="1"/>
  <c r="L64" i="4" s="1"/>
  <c r="O60" i="3"/>
  <c r="S61" i="2" s="1"/>
  <c r="S337" s="1"/>
  <c r="N63" i="4" s="1"/>
  <c r="H59" i="3"/>
  <c r="L60" i="2" s="1"/>
  <c r="L336" s="1"/>
  <c r="H58" i="3"/>
  <c r="L59" i="2" s="1"/>
  <c r="L335" s="1"/>
  <c r="J57" i="3"/>
  <c r="N56"/>
  <c r="N55"/>
  <c r="O54"/>
  <c r="S55" i="2" s="1"/>
  <c r="S331" s="1"/>
  <c r="N57" i="4" s="1"/>
  <c r="K52" i="3"/>
  <c r="O53" i="2" s="1"/>
  <c r="O329" s="1"/>
  <c r="J55" i="4" s="1"/>
  <c r="J51" i="3"/>
  <c r="O50"/>
  <c r="S51" i="2" s="1"/>
  <c r="S327" s="1"/>
  <c r="N53" i="4" s="1"/>
  <c r="N48" i="3"/>
  <c r="O47"/>
  <c r="S48" i="2" s="1"/>
  <c r="S324" s="1"/>
  <c r="N50" i="4" s="1"/>
  <c r="Q45" i="3"/>
  <c r="J44"/>
  <c r="K42"/>
  <c r="O43" i="2" s="1"/>
  <c r="O319" s="1"/>
  <c r="J45" i="4" s="1"/>
  <c r="N41" i="3"/>
  <c r="K40"/>
  <c r="O41" i="2" s="1"/>
  <c r="O317" s="1"/>
  <c r="J43" i="4" s="1"/>
  <c r="J39" i="3"/>
  <c r="N38"/>
  <c r="K37"/>
  <c r="O38" i="2" s="1"/>
  <c r="O314" s="1"/>
  <c r="J40" i="4" s="1"/>
  <c r="N35" i="3"/>
  <c r="O34"/>
  <c r="S35" i="2" s="1"/>
  <c r="S311" s="1"/>
  <c r="N37" i="4" s="1"/>
  <c r="K139" i="3"/>
  <c r="O140" i="2" s="1"/>
  <c r="I115" i="3" l="1"/>
  <c r="L101"/>
  <c r="L234"/>
  <c r="K67"/>
  <c r="O68" i="2" s="1"/>
  <c r="O344" s="1"/>
  <c r="J70" i="4" s="1"/>
  <c r="H105" i="3"/>
  <c r="L106" i="2" s="1"/>
  <c r="L382" s="1"/>
  <c r="L180" i="3"/>
  <c r="H111"/>
  <c r="L112" i="2" s="1"/>
  <c r="L388" s="1"/>
  <c r="K39" i="3"/>
  <c r="O40" i="2" s="1"/>
  <c r="O316" s="1"/>
  <c r="J42" i="4" s="1"/>
  <c r="H57" i="3"/>
  <c r="L58" i="2" s="1"/>
  <c r="L334" s="1"/>
  <c r="K61" i="3"/>
  <c r="O62" i="2" s="1"/>
  <c r="O338" s="1"/>
  <c r="J64" i="4" s="1"/>
  <c r="K92" i="3"/>
  <c r="O93" i="2" s="1"/>
  <c r="O369" s="1"/>
  <c r="J95" i="4" s="1"/>
  <c r="L170" i="3"/>
  <c r="L95"/>
  <c r="L246"/>
  <c r="F89"/>
  <c r="L63"/>
  <c r="F227"/>
  <c r="F192"/>
  <c r="K115"/>
  <c r="O116" i="2" s="1"/>
  <c r="O392" s="1"/>
  <c r="J118" i="4" s="1"/>
  <c r="L105" i="3"/>
  <c r="H97"/>
  <c r="L98" i="2" s="1"/>
  <c r="L374" s="1"/>
  <c r="L110" i="3"/>
  <c r="H101"/>
  <c r="L102" i="2" s="1"/>
  <c r="L378" s="1"/>
  <c r="F268" i="3"/>
  <c r="F202"/>
  <c r="K158"/>
  <c r="O159" i="2" s="1"/>
  <c r="L67" i="3"/>
  <c r="I57"/>
  <c r="L117"/>
  <c r="H89"/>
  <c r="L90" i="2" s="1"/>
  <c r="L366" s="1"/>
  <c r="K192" i="3"/>
  <c r="O193" i="2" s="1"/>
  <c r="I183" i="3"/>
  <c r="I174"/>
  <c r="K164"/>
  <c r="O165" i="2" s="1"/>
  <c r="I142" i="3"/>
  <c r="K262"/>
  <c r="O263" i="2" s="1"/>
  <c r="K252" i="3"/>
  <c r="O253" i="2" s="1"/>
  <c r="K240" i="3"/>
  <c r="O241" i="2" s="1"/>
  <c r="H230" i="3"/>
  <c r="L231" i="2" s="1"/>
  <c r="F218" i="3"/>
  <c r="K196"/>
  <c r="O197" i="2" s="1"/>
  <c r="I186" i="3"/>
  <c r="H176"/>
  <c r="L177" i="2" s="1"/>
  <c r="I167" i="3"/>
  <c r="K48"/>
  <c r="O49" i="2" s="1"/>
  <c r="O325" s="1"/>
  <c r="J51" i="4" s="1"/>
  <c r="I61" i="3"/>
  <c r="K56"/>
  <c r="O57" i="2" s="1"/>
  <c r="O333" s="1"/>
  <c r="J59" i="4" s="1"/>
  <c r="I99" i="3"/>
  <c r="H95"/>
  <c r="L96" i="2" s="1"/>
  <c r="L372" s="1"/>
  <c r="I92" i="3"/>
  <c r="L252"/>
  <c r="I243"/>
  <c r="K234"/>
  <c r="O235" i="2" s="1"/>
  <c r="L224" i="3"/>
  <c r="H218"/>
  <c r="L219" i="2" s="1"/>
  <c r="H208" i="3"/>
  <c r="L209" i="2" s="1"/>
  <c r="F190" i="3"/>
  <c r="L176"/>
  <c r="K169"/>
  <c r="O170" i="2" s="1"/>
  <c r="I158" i="3"/>
  <c r="I139"/>
  <c r="K268"/>
  <c r="O269" i="2" s="1"/>
  <c r="H250" i="3"/>
  <c r="L251" i="2" s="1"/>
  <c r="F240" i="3"/>
  <c r="K202"/>
  <c r="O203" i="2" s="1"/>
  <c r="L35" i="3"/>
  <c r="L60"/>
  <c r="F121"/>
  <c r="H99"/>
  <c r="L100" i="2" s="1"/>
  <c r="L376" s="1"/>
  <c r="F95" i="3"/>
  <c r="L89"/>
  <c r="L51"/>
  <c r="I274"/>
  <c r="I250"/>
  <c r="I148"/>
  <c r="H121"/>
  <c r="L122" i="2" s="1"/>
  <c r="L398" s="1"/>
  <c r="F117" i="3"/>
  <c r="I111"/>
  <c r="H108"/>
  <c r="L109" i="2" s="1"/>
  <c r="L385" s="1"/>
  <c r="L268" i="3"/>
  <c r="I256"/>
  <c r="F246"/>
  <c r="L240"/>
  <c r="H236"/>
  <c r="L237" i="2" s="1"/>
  <c r="I230" i="3"/>
  <c r="K227"/>
  <c r="O228" i="2" s="1"/>
  <c r="F224" i="3"/>
  <c r="L218"/>
  <c r="I214"/>
  <c r="I208"/>
  <c r="L202"/>
  <c r="L192"/>
  <c r="H190"/>
  <c r="L191" i="2" s="1"/>
  <c r="K183" i="3"/>
  <c r="O184" i="2" s="1"/>
  <c r="F180" i="3"/>
  <c r="K174"/>
  <c r="O175" i="2" s="1"/>
  <c r="I127" i="3"/>
  <c r="L38"/>
  <c r="F66"/>
  <c r="K62"/>
  <c r="O63" i="2" s="1"/>
  <c r="O339" s="1"/>
  <c r="J65" i="4" s="1"/>
  <c r="L59" i="3"/>
  <c r="L121"/>
  <c r="H117"/>
  <c r="L118" i="2" s="1"/>
  <c r="L394" s="1"/>
  <c r="F114" i="3"/>
  <c r="I108"/>
  <c r="F105"/>
  <c r="F101"/>
  <c r="K274"/>
  <c r="O275" i="2" s="1"/>
  <c r="I262" i="3"/>
  <c r="K256"/>
  <c r="O257" i="2" s="1"/>
  <c r="F252" i="3"/>
  <c r="K246"/>
  <c r="O247" i="2" s="1"/>
  <c r="H243" i="3"/>
  <c r="L244" i="2" s="1"/>
  <c r="I236" i="3"/>
  <c r="F234"/>
  <c r="L227"/>
  <c r="H224"/>
  <c r="L225" i="2" s="1"/>
  <c r="K214" i="3"/>
  <c r="O215" i="2" s="1"/>
  <c r="I196" i="3"/>
  <c r="L190"/>
  <c r="H186"/>
  <c r="L187" i="2" s="1"/>
  <c r="K180" i="3"/>
  <c r="O181" i="2" s="1"/>
  <c r="F176" i="3"/>
  <c r="F170"/>
  <c r="I164"/>
  <c r="K133"/>
  <c r="O134" i="2" s="1"/>
  <c r="M55" i="3"/>
  <c r="Q56" i="2" s="1"/>
  <c r="Q332" s="1"/>
  <c r="L58" i="4" s="1"/>
  <c r="K45" i="3"/>
  <c r="O46" i="2" s="1"/>
  <c r="O322" s="1"/>
  <c r="J48" i="4" s="1"/>
  <c r="K51" i="3"/>
  <c r="O52" i="2" s="1"/>
  <c r="O328" s="1"/>
  <c r="J54" i="4" s="1"/>
  <c r="L41" i="3"/>
  <c r="L55"/>
  <c r="H112"/>
  <c r="L113" i="2" s="1"/>
  <c r="L389" s="1"/>
  <c r="H79" i="3"/>
  <c r="L80" i="2" s="1"/>
  <c r="L356" s="1"/>
  <c r="I73" i="3"/>
  <c r="F232"/>
  <c r="L48"/>
  <c r="K41"/>
  <c r="O42" i="2" s="1"/>
  <c r="O318" s="1"/>
  <c r="J44" i="4" s="1"/>
  <c r="K55" i="3"/>
  <c r="O56" i="2" s="1"/>
  <c r="O332" s="1"/>
  <c r="J58" i="4" s="1"/>
  <c r="L45" i="3"/>
  <c r="I83"/>
  <c r="H73"/>
  <c r="L74" i="2" s="1"/>
  <c r="L350" s="1"/>
  <c r="F273" i="3"/>
  <c r="F67"/>
  <c r="K83"/>
  <c r="O84" i="2" s="1"/>
  <c r="O360" s="1"/>
  <c r="J86" i="4" s="1"/>
  <c r="I79" i="3"/>
  <c r="L72"/>
  <c r="K170"/>
  <c r="O171" i="2" s="1"/>
  <c r="H167" i="3"/>
  <c r="L168" i="2" s="1"/>
  <c r="I133" i="3"/>
  <c r="L107"/>
  <c r="H257"/>
  <c r="L258" i="2" s="1"/>
  <c r="H118" i="3"/>
  <c r="L119" i="2" s="1"/>
  <c r="L395" s="1"/>
  <c r="K106" i="3"/>
  <c r="O107" i="2" s="1"/>
  <c r="O383" s="1"/>
  <c r="J109" i="4" s="1"/>
  <c r="N183" i="3"/>
  <c r="I121"/>
  <c r="K108"/>
  <c r="O109" i="2" s="1"/>
  <c r="O385" s="1"/>
  <c r="J111" i="4" s="1"/>
  <c r="I105" i="3"/>
  <c r="K99"/>
  <c r="O100" i="2" s="1"/>
  <c r="O376" s="1"/>
  <c r="J102" i="4" s="1"/>
  <c r="I95" i="3"/>
  <c r="F92"/>
  <c r="K86"/>
  <c r="O87" i="2" s="1"/>
  <c r="O363" s="1"/>
  <c r="J89" i="4" s="1"/>
  <c r="F83" i="3"/>
  <c r="K73"/>
  <c r="O74" i="2" s="1"/>
  <c r="O350" s="1"/>
  <c r="J76" i="4" s="1"/>
  <c r="H268" i="3"/>
  <c r="L269" i="2" s="1"/>
  <c r="L262" i="3"/>
  <c r="F262"/>
  <c r="L256"/>
  <c r="F256"/>
  <c r="H252"/>
  <c r="L253" i="2" s="1"/>
  <c r="K250" i="3"/>
  <c r="O251" i="2" s="1"/>
  <c r="H240" i="3"/>
  <c r="L241" i="2" s="1"/>
  <c r="K236" i="3"/>
  <c r="O237" i="2" s="1"/>
  <c r="H234" i="3"/>
  <c r="L235" i="2" s="1"/>
  <c r="K230" i="3"/>
  <c r="O231" i="2" s="1"/>
  <c r="J176" i="3"/>
  <c r="I102"/>
  <c r="F68"/>
  <c r="H67"/>
  <c r="L68" i="2" s="1"/>
  <c r="L344" s="1"/>
  <c r="L61" i="3"/>
  <c r="F61"/>
  <c r="K57"/>
  <c r="O58" i="2" s="1"/>
  <c r="O334" s="1"/>
  <c r="J60" i="4" s="1"/>
  <c r="I117" i="3"/>
  <c r="L115"/>
  <c r="F115"/>
  <c r="K111"/>
  <c r="O112" i="2" s="1"/>
  <c r="O388" s="1"/>
  <c r="J114" i="4" s="1"/>
  <c r="I101" i="3"/>
  <c r="L92"/>
  <c r="I89"/>
  <c r="L83"/>
  <c r="K79"/>
  <c r="O80" i="2" s="1"/>
  <c r="O356" s="1"/>
  <c r="J82" i="4" s="1"/>
  <c r="L274" i="3"/>
  <c r="F274"/>
  <c r="H246"/>
  <c r="L247" i="2" s="1"/>
  <c r="K243" i="3"/>
  <c r="O244" i="2" s="1"/>
  <c r="H227" i="3"/>
  <c r="L228" i="2" s="1"/>
  <c r="I224" i="3"/>
  <c r="I218"/>
  <c r="L214"/>
  <c r="F214"/>
  <c r="K208"/>
  <c r="O209" i="2" s="1"/>
  <c r="H202" i="3"/>
  <c r="L203" i="2" s="1"/>
  <c r="L196" i="3"/>
  <c r="F196"/>
  <c r="H192"/>
  <c r="L193" i="2" s="1"/>
  <c r="I190" i="3"/>
  <c r="K186"/>
  <c r="O187" i="2" s="1"/>
  <c r="L183" i="3"/>
  <c r="F183"/>
  <c r="H180"/>
  <c r="L181" i="2" s="1"/>
  <c r="I176" i="3"/>
  <c r="L174"/>
  <c r="F174"/>
  <c r="H170"/>
  <c r="L171" i="2" s="1"/>
  <c r="K167" i="3"/>
  <c r="O168" i="2" s="1"/>
  <c r="L164" i="3"/>
  <c r="F164"/>
  <c r="I154"/>
  <c r="K35"/>
  <c r="O36" i="2" s="1"/>
  <c r="O312" s="1"/>
  <c r="J38" i="4" s="1"/>
  <c r="L39" i="3"/>
  <c r="F70"/>
  <c r="I67"/>
  <c r="H64"/>
  <c r="L65" i="2" s="1"/>
  <c r="L341" s="1"/>
  <c r="H61" i="3"/>
  <c r="L62" i="2" s="1"/>
  <c r="L338" s="1"/>
  <c r="L57" i="3"/>
  <c r="F57"/>
  <c r="K121"/>
  <c r="O122" i="2" s="1"/>
  <c r="O398" s="1"/>
  <c r="J124" i="4" s="1"/>
  <c r="K120" i="3"/>
  <c r="O121" i="2" s="1"/>
  <c r="O397" s="1"/>
  <c r="J123" i="4" s="1"/>
  <c r="K117" i="3"/>
  <c r="O118" i="2" s="1"/>
  <c r="O394" s="1"/>
  <c r="J120" i="4" s="1"/>
  <c r="I116" i="3"/>
  <c r="H115"/>
  <c r="L116" i="2" s="1"/>
  <c r="L392" s="1"/>
  <c r="L111" i="3"/>
  <c r="F111"/>
  <c r="L108"/>
  <c r="F108"/>
  <c r="K105"/>
  <c r="O106" i="2" s="1"/>
  <c r="O382" s="1"/>
  <c r="J108" i="4" s="1"/>
  <c r="K104" i="3"/>
  <c r="O105" i="2" s="1"/>
  <c r="O381" s="1"/>
  <c r="J107" i="4" s="1"/>
  <c r="K101" i="3"/>
  <c r="O102" i="2" s="1"/>
  <c r="O378" s="1"/>
  <c r="J104" i="4" s="1"/>
  <c r="L99" i="3"/>
  <c r="F99"/>
  <c r="K95"/>
  <c r="O96" i="2" s="1"/>
  <c r="O372" s="1"/>
  <c r="J98" i="4" s="1"/>
  <c r="H92" i="3"/>
  <c r="L93" i="2" s="1"/>
  <c r="L369" s="1"/>
  <c r="K89" i="3"/>
  <c r="O90" i="2" s="1"/>
  <c r="O366" s="1"/>
  <c r="J92" i="4" s="1"/>
  <c r="F88" i="3"/>
  <c r="L84"/>
  <c r="H83"/>
  <c r="L84" i="2" s="1"/>
  <c r="L360" s="1"/>
  <c r="L79" i="3"/>
  <c r="F79"/>
  <c r="L73"/>
  <c r="F73"/>
  <c r="H274"/>
  <c r="L275" i="2" s="1"/>
  <c r="I252" i="3"/>
  <c r="L250"/>
  <c r="F250"/>
  <c r="I246"/>
  <c r="L243"/>
  <c r="I240"/>
  <c r="L236"/>
  <c r="I234"/>
  <c r="L230"/>
  <c r="F230"/>
  <c r="I227"/>
  <c r="K223"/>
  <c r="O224" i="2" s="1"/>
  <c r="I217" i="3"/>
  <c r="H214"/>
  <c r="L215" i="2" s="1"/>
  <c r="L208" i="3"/>
  <c r="F208"/>
  <c r="I202"/>
  <c r="K198"/>
  <c r="O199" i="2" s="1"/>
  <c r="H196" i="3"/>
  <c r="L197" i="2" s="1"/>
  <c r="K190" i="3"/>
  <c r="O191" i="2" s="1"/>
  <c r="L186" i="3"/>
  <c r="F186"/>
  <c r="H183"/>
  <c r="L184" i="2" s="1"/>
  <c r="I180" i="3"/>
  <c r="K176"/>
  <c r="O177" i="2" s="1"/>
  <c r="H174" i="3"/>
  <c r="L175" i="2" s="1"/>
  <c r="I170" i="3"/>
  <c r="L167"/>
  <c r="H164"/>
  <c r="L165" i="2" s="1"/>
  <c r="K151" i="3"/>
  <c r="O152" i="2" s="1"/>
  <c r="J121" i="3"/>
  <c r="M105"/>
  <c r="Q106" i="2" s="1"/>
  <c r="Q382" s="1"/>
  <c r="L108" i="4" s="1"/>
  <c r="L44" i="3"/>
  <c r="I68"/>
  <c r="K64"/>
  <c r="O65" i="2" s="1"/>
  <c r="O341" s="1"/>
  <c r="J67" i="4" s="1"/>
  <c r="K98" i="3"/>
  <c r="O99" i="2" s="1"/>
  <c r="O375" s="1"/>
  <c r="J101" i="4" s="1"/>
  <c r="I94" i="3"/>
  <c r="I90"/>
  <c r="L82"/>
  <c r="I76"/>
  <c r="K163"/>
  <c r="O164" i="2" s="1"/>
  <c r="J95" i="3"/>
  <c r="M48"/>
  <c r="Q49" i="2" s="1"/>
  <c r="Q325" s="1"/>
  <c r="L51" i="4" s="1"/>
  <c r="M99" i="3"/>
  <c r="Q100" i="2" s="1"/>
  <c r="Q376" s="1"/>
  <c r="L102" i="4" s="1"/>
  <c r="J227" i="3"/>
  <c r="M35"/>
  <c r="Q36" i="2" s="1"/>
  <c r="Q312" s="1"/>
  <c r="L38" i="4" s="1"/>
  <c r="P234" i="3"/>
  <c r="K126"/>
  <c r="O127" i="2" s="1"/>
  <c r="J45" i="3"/>
  <c r="J202"/>
  <c r="M67"/>
  <c r="Q68" i="2" s="1"/>
  <c r="Q344" s="1"/>
  <c r="L70" i="4" s="1"/>
  <c r="M117" i="3"/>
  <c r="Q118" i="2" s="1"/>
  <c r="Q394" s="1"/>
  <c r="L120" i="4" s="1"/>
  <c r="Q186" i="3"/>
  <c r="O38"/>
  <c r="S39" i="2" s="1"/>
  <c r="S315" s="1"/>
  <c r="N41" i="4" s="1"/>
  <c r="O107" i="3"/>
  <c r="S108" i="2" s="1"/>
  <c r="S384" s="1"/>
  <c r="N110" i="4" s="1"/>
  <c r="L47" i="3"/>
  <c r="L54"/>
  <c r="I70"/>
  <c r="I66"/>
  <c r="L120"/>
  <c r="K116"/>
  <c r="O117" i="2" s="1"/>
  <c r="O393" s="1"/>
  <c r="J119" i="4" s="1"/>
  <c r="I114" i="3"/>
  <c r="F110"/>
  <c r="F107"/>
  <c r="F72"/>
  <c r="I271"/>
  <c r="I258"/>
  <c r="I255"/>
  <c r="K182"/>
  <c r="O183" i="2" s="1"/>
  <c r="L50" i="3"/>
  <c r="L71"/>
  <c r="L70"/>
  <c r="L66"/>
  <c r="K63"/>
  <c r="O64" i="2" s="1"/>
  <c r="O340" s="1"/>
  <c r="J66" i="4" s="1"/>
  <c r="F62" i="3"/>
  <c r="K60"/>
  <c r="O61" i="2" s="1"/>
  <c r="O337" s="1"/>
  <c r="J63" i="4" s="1"/>
  <c r="I56" i="3"/>
  <c r="I120"/>
  <c r="F116"/>
  <c r="L114"/>
  <c r="K110"/>
  <c r="O111" i="2" s="1"/>
  <c r="O387" s="1"/>
  <c r="J113" i="4" s="1"/>
  <c r="K107" i="3"/>
  <c r="O108" i="2" s="1"/>
  <c r="O384" s="1"/>
  <c r="J110" i="4" s="1"/>
  <c r="I104" i="3"/>
  <c r="I98"/>
  <c r="F94"/>
  <c r="K91"/>
  <c r="O92" i="2" s="1"/>
  <c r="O368" s="1"/>
  <c r="J94" i="4" s="1"/>
  <c r="L88" i="3"/>
  <c r="L87"/>
  <c r="K82"/>
  <c r="O83" i="2" s="1"/>
  <c r="O359" s="1"/>
  <c r="J85" i="4" s="1"/>
  <c r="F76" i="3"/>
  <c r="K72"/>
  <c r="O73" i="2" s="1"/>
  <c r="O349" s="1"/>
  <c r="J75" i="4" s="1"/>
  <c r="K265" i="3"/>
  <c r="O266" i="2" s="1"/>
  <c r="K261" i="3"/>
  <c r="O262" i="2" s="1"/>
  <c r="K251" i="3"/>
  <c r="O252" i="2" s="1"/>
  <c r="K249" i="3"/>
  <c r="O250" i="2" s="1"/>
  <c r="K245" i="3"/>
  <c r="O246" i="2" s="1"/>
  <c r="K242" i="3"/>
  <c r="O243" i="2" s="1"/>
  <c r="K239" i="3"/>
  <c r="O240" i="2" s="1"/>
  <c r="K233" i="3"/>
  <c r="O234" i="2" s="1"/>
  <c r="K229" i="3"/>
  <c r="O230" i="2" s="1"/>
  <c r="I223" i="3"/>
  <c r="I207"/>
  <c r="K201"/>
  <c r="O202" i="2" s="1"/>
  <c r="I198" i="3"/>
  <c r="K157"/>
  <c r="O158" i="2" s="1"/>
  <c r="K141" i="3"/>
  <c r="O142" i="2" s="1"/>
  <c r="K130" i="3"/>
  <c r="O131" i="2" s="1"/>
  <c r="G47" i="3"/>
  <c r="G72"/>
  <c r="G98"/>
  <c r="G123"/>
  <c r="G251"/>
  <c r="J50"/>
  <c r="J76"/>
  <c r="J126"/>
  <c r="J157"/>
  <c r="J182"/>
  <c r="J207"/>
  <c r="J233"/>
  <c r="J258"/>
  <c r="Q39"/>
  <c r="Q57"/>
  <c r="N79"/>
  <c r="Q89"/>
  <c r="Q108"/>
  <c r="Q127"/>
  <c r="M157"/>
  <c r="Q158" i="2" s="1"/>
  <c r="Q190" i="3"/>
  <c r="Q249"/>
  <c r="G66"/>
  <c r="G116"/>
  <c r="G147"/>
  <c r="G173"/>
  <c r="G195"/>
  <c r="G239"/>
  <c r="O56"/>
  <c r="S57" i="2" s="1"/>
  <c r="S333" s="1"/>
  <c r="N59" i="4" s="1"/>
  <c r="O76" i="3"/>
  <c r="O88"/>
  <c r="S89" i="2" s="1"/>
  <c r="S365" s="1"/>
  <c r="N91" i="4" s="1"/>
  <c r="O126" i="3"/>
  <c r="S127" i="2" s="1"/>
  <c r="Q173" i="3"/>
  <c r="Q223"/>
  <c r="N239"/>
  <c r="F63"/>
  <c r="F60"/>
  <c r="L56"/>
  <c r="L104"/>
  <c r="L98"/>
  <c r="K94"/>
  <c r="O95" i="2" s="1"/>
  <c r="O371" s="1"/>
  <c r="J97" i="4" s="1"/>
  <c r="I88" i="3"/>
  <c r="F82"/>
  <c r="K76"/>
  <c r="I267"/>
  <c r="I211"/>
  <c r="K205"/>
  <c r="O206" i="2" s="1"/>
  <c r="K195" i="3"/>
  <c r="O196" i="2" s="1"/>
  <c r="K147" i="3"/>
  <c r="O148" i="2" s="1"/>
  <c r="K136" i="3"/>
  <c r="O137" i="2" s="1"/>
  <c r="G34" i="3"/>
  <c r="G60"/>
  <c r="G110"/>
  <c r="G136"/>
  <c r="G141"/>
  <c r="G185"/>
  <c r="J38"/>
  <c r="J63"/>
  <c r="J88"/>
  <c r="J114"/>
  <c r="J145"/>
  <c r="J169"/>
  <c r="J195"/>
  <c r="J245"/>
  <c r="J271"/>
  <c r="O44"/>
  <c r="S45" i="2" s="1"/>
  <c r="S321" s="1"/>
  <c r="N47" i="4" s="1"/>
  <c r="N63" i="3"/>
  <c r="N76"/>
  <c r="O94"/>
  <c r="S95" i="2" s="1"/>
  <c r="S371" s="1"/>
  <c r="N97" i="4" s="1"/>
  <c r="N114" i="3"/>
  <c r="O132"/>
  <c r="S133" i="2" s="1"/>
  <c r="N169" i="3"/>
  <c r="M265"/>
  <c r="Q266" i="2" s="1"/>
  <c r="K34" i="3"/>
  <c r="O35" i="2" s="1"/>
  <c r="O311" s="1"/>
  <c r="J37" i="4" s="1"/>
  <c r="L34" i="3"/>
  <c r="K70"/>
  <c r="O71" i="2" s="1"/>
  <c r="O347" s="1"/>
  <c r="J73" i="4" s="1"/>
  <c r="K66" i="3"/>
  <c r="O67" i="2" s="1"/>
  <c r="O343" s="1"/>
  <c r="J69" i="4" s="1"/>
  <c r="I63" i="3"/>
  <c r="I60"/>
  <c r="F56"/>
  <c r="F120"/>
  <c r="L116"/>
  <c r="K114"/>
  <c r="O115" i="2" s="1"/>
  <c r="O391" s="1"/>
  <c r="J117" i="4" s="1"/>
  <c r="I110" i="3"/>
  <c r="I107"/>
  <c r="F104"/>
  <c r="F98"/>
  <c r="L94"/>
  <c r="F91"/>
  <c r="K88"/>
  <c r="O89" i="2" s="1"/>
  <c r="O365" s="1"/>
  <c r="J91" i="4" s="1"/>
  <c r="I82" i="3"/>
  <c r="L76"/>
  <c r="I72"/>
  <c r="K271"/>
  <c r="O272" i="2" s="1"/>
  <c r="K267" i="3"/>
  <c r="O268" i="2" s="1"/>
  <c r="I265" i="3"/>
  <c r="I261"/>
  <c r="K258"/>
  <c r="O259" i="2" s="1"/>
  <c r="K255" i="3"/>
  <c r="O256" i="2" s="1"/>
  <c r="I251" i="3"/>
  <c r="I249"/>
  <c r="I245"/>
  <c r="I242"/>
  <c r="I239"/>
  <c r="I233"/>
  <c r="I229"/>
  <c r="H222"/>
  <c r="L223" i="2" s="1"/>
  <c r="K211" i="3"/>
  <c r="O212" i="2" s="1"/>
  <c r="I201" i="3"/>
  <c r="K189"/>
  <c r="O190" i="2" s="1"/>
  <c r="K173" i="3"/>
  <c r="O174" i="2" s="1"/>
  <c r="K132" i="3"/>
  <c r="O133" i="2" s="1"/>
  <c r="K127" i="3"/>
  <c r="O128" i="2" s="1"/>
  <c r="G54" i="3"/>
  <c r="G104"/>
  <c r="G130"/>
  <c r="G265"/>
  <c r="J83"/>
  <c r="J133"/>
  <c r="J190"/>
  <c r="N44"/>
  <c r="Q51"/>
  <c r="N61"/>
  <c r="N82"/>
  <c r="N94"/>
  <c r="Q101"/>
  <c r="N111"/>
  <c r="N132"/>
  <c r="M145"/>
  <c r="Q146" i="2" s="1"/>
  <c r="N180" i="3"/>
  <c r="N217"/>
  <c r="N230"/>
  <c r="L49"/>
  <c r="K49"/>
  <c r="O50" i="2" s="1"/>
  <c r="O326" s="1"/>
  <c r="J52" i="4" s="1"/>
  <c r="G49" i="3"/>
  <c r="I59"/>
  <c r="O59"/>
  <c r="S60" i="2" s="1"/>
  <c r="S336" s="1"/>
  <c r="N62" i="4" s="1"/>
  <c r="K59" i="3"/>
  <c r="O60" i="2" s="1"/>
  <c r="O336" s="1"/>
  <c r="J62" i="4" s="1"/>
  <c r="G59" i="3"/>
  <c r="K69"/>
  <c r="O70" i="2" s="1"/>
  <c r="O346" s="1"/>
  <c r="J72" i="4" s="1"/>
  <c r="G69" i="3"/>
  <c r="F69"/>
  <c r="L69"/>
  <c r="O78"/>
  <c r="S79" i="2" s="1"/>
  <c r="S355" s="1"/>
  <c r="N81" i="4" s="1"/>
  <c r="F78" i="3"/>
  <c r="L78"/>
  <c r="G78"/>
  <c r="H78"/>
  <c r="L79" i="2" s="1"/>
  <c r="L355" s="1"/>
  <c r="H87" i="3"/>
  <c r="L88" i="2" s="1"/>
  <c r="L364" s="1"/>
  <c r="G87" i="3"/>
  <c r="I87"/>
  <c r="O97"/>
  <c r="S98" i="2" s="1"/>
  <c r="S374" s="1"/>
  <c r="N100" i="4" s="1"/>
  <c r="K97" i="3"/>
  <c r="O98" i="2" s="1"/>
  <c r="O374" s="1"/>
  <c r="J100" i="4" s="1"/>
  <c r="F97" i="3"/>
  <c r="L97"/>
  <c r="G97"/>
  <c r="O103"/>
  <c r="S104" i="2" s="1"/>
  <c r="S380" s="1"/>
  <c r="N106" i="4" s="1"/>
  <c r="F103" i="3"/>
  <c r="L103"/>
  <c r="G103"/>
  <c r="H103"/>
  <c r="L104" i="2" s="1"/>
  <c r="L380" s="1"/>
  <c r="K113" i="3"/>
  <c r="O114" i="2" s="1"/>
  <c r="O390" s="1"/>
  <c r="J116" i="4" s="1"/>
  <c r="G113" i="3"/>
  <c r="F113"/>
  <c r="L113"/>
  <c r="L122"/>
  <c r="H122"/>
  <c r="L123" i="2" s="1"/>
  <c r="L399" s="1"/>
  <c r="G122" i="3"/>
  <c r="O129"/>
  <c r="S130" i="2" s="1"/>
  <c r="K129" i="3"/>
  <c r="O130" i="2" s="1"/>
  <c r="G129" i="3"/>
  <c r="K138"/>
  <c r="O139" i="2" s="1"/>
  <c r="G138" i="3"/>
  <c r="F138"/>
  <c r="M146"/>
  <c r="Q147" i="2" s="1"/>
  <c r="K146" i="3"/>
  <c r="O147" i="2" s="1"/>
  <c r="G146" i="3"/>
  <c r="L153"/>
  <c r="F153"/>
  <c r="H153"/>
  <c r="L154" i="2" s="1"/>
  <c r="G153" i="3"/>
  <c r="P162"/>
  <c r="F162"/>
  <c r="G162"/>
  <c r="K162"/>
  <c r="O163" i="2" s="1"/>
  <c r="L172" i="3"/>
  <c r="F172"/>
  <c r="F184"/>
  <c r="K184"/>
  <c r="O185" i="2" s="1"/>
  <c r="H184" i="3"/>
  <c r="L185" i="2" s="1"/>
  <c r="K200" i="3"/>
  <c r="O201" i="2" s="1"/>
  <c r="L200" i="3"/>
  <c r="F200"/>
  <c r="O210"/>
  <c r="S211" i="2" s="1"/>
  <c r="K210" i="3"/>
  <c r="O211" i="2" s="1"/>
  <c r="H220" i="3"/>
  <c r="L221" i="2" s="1"/>
  <c r="K220" i="3"/>
  <c r="O221" i="2" s="1"/>
  <c r="L220" i="3"/>
  <c r="K248"/>
  <c r="O249" i="2" s="1"/>
  <c r="F248" i="3"/>
  <c r="L248"/>
  <c r="F266"/>
  <c r="L266"/>
  <c r="H266"/>
  <c r="L267" i="2" s="1"/>
  <c r="L257" i="3"/>
  <c r="H232"/>
  <c r="L233" i="2" s="1"/>
  <c r="H200" i="3"/>
  <c r="L201" i="2" s="1"/>
  <c r="K172" i="3"/>
  <c r="O173" i="2" s="1"/>
  <c r="L37" i="3"/>
  <c r="G37"/>
  <c r="G43"/>
  <c r="K43"/>
  <c r="O44" i="2" s="1"/>
  <c r="O320" s="1"/>
  <c r="J46" i="4" s="1"/>
  <c r="O53" i="3"/>
  <c r="S54" i="2" s="1"/>
  <c r="S330" s="1"/>
  <c r="N56" i="4" s="1"/>
  <c r="G53" i="3"/>
  <c r="L53"/>
  <c r="K53"/>
  <c r="O54" i="2" s="1"/>
  <c r="O330" s="1"/>
  <c r="J56" i="4" s="1"/>
  <c r="H62" i="3"/>
  <c r="L63" i="2" s="1"/>
  <c r="L339" s="1"/>
  <c r="G62" i="3"/>
  <c r="I62"/>
  <c r="O65"/>
  <c r="S66" i="2" s="1"/>
  <c r="S342" s="1"/>
  <c r="N68" i="4" s="1"/>
  <c r="F65" i="3"/>
  <c r="L65"/>
  <c r="G65"/>
  <c r="H65"/>
  <c r="L66" i="2" s="1"/>
  <c r="L342" s="1"/>
  <c r="I71" i="3"/>
  <c r="K71"/>
  <c r="O72" i="2" s="1"/>
  <c r="O348" s="1"/>
  <c r="J74" i="4" s="1"/>
  <c r="G71" i="3"/>
  <c r="K75"/>
  <c r="O76" i="2" s="1"/>
  <c r="O352" s="1"/>
  <c r="J78" i="4" s="1"/>
  <c r="G75" i="3"/>
  <c r="F75"/>
  <c r="L75"/>
  <c r="H81"/>
  <c r="L82" i="2" s="1"/>
  <c r="L358" s="1"/>
  <c r="G81" i="3"/>
  <c r="I81"/>
  <c r="H85"/>
  <c r="L86" i="2" s="1"/>
  <c r="L362" s="1"/>
  <c r="O85" i="3"/>
  <c r="S86" i="2" s="1"/>
  <c r="S362" s="1"/>
  <c r="N88" i="4" s="1"/>
  <c r="I85" i="3"/>
  <c r="G85"/>
  <c r="O91"/>
  <c r="S92" i="2" s="1"/>
  <c r="S368" s="1"/>
  <c r="N94" i="4" s="1"/>
  <c r="H91" i="3"/>
  <c r="L92" i="2" s="1"/>
  <c r="L368" s="1"/>
  <c r="G91" i="3"/>
  <c r="I91"/>
  <c r="K109"/>
  <c r="O110" i="2" s="1"/>
  <c r="O386" s="1"/>
  <c r="J112" i="4" s="1"/>
  <c r="O109" i="3"/>
  <c r="S110" i="2" s="1"/>
  <c r="S386" s="1"/>
  <c r="N112" i="4" s="1"/>
  <c r="F109" i="3"/>
  <c r="L109"/>
  <c r="G109"/>
  <c r="K119"/>
  <c r="O120" i="2" s="1"/>
  <c r="O396" s="1"/>
  <c r="J122" i="4" s="1"/>
  <c r="G119" i="3"/>
  <c r="F119"/>
  <c r="L119"/>
  <c r="K125"/>
  <c r="O126" i="2" s="1"/>
  <c r="L125" i="3"/>
  <c r="G125"/>
  <c r="F125"/>
  <c r="I131"/>
  <c r="H131"/>
  <c r="L132" i="2" s="1"/>
  <c r="G131" i="3"/>
  <c r="L135"/>
  <c r="F135"/>
  <c r="H135"/>
  <c r="L136" i="2" s="1"/>
  <c r="G135" i="3"/>
  <c r="L140"/>
  <c r="F140"/>
  <c r="G140"/>
  <c r="K144"/>
  <c r="O145" i="2" s="1"/>
  <c r="G144" i="3"/>
  <c r="L144"/>
  <c r="I150"/>
  <c r="H150"/>
  <c r="L151" i="2" s="1"/>
  <c r="G150" i="3"/>
  <c r="Q156"/>
  <c r="G156"/>
  <c r="F156"/>
  <c r="I160"/>
  <c r="G160"/>
  <c r="L166"/>
  <c r="F166"/>
  <c r="K166"/>
  <c r="O167" i="2" s="1"/>
  <c r="G166" i="3"/>
  <c r="L178"/>
  <c r="I178"/>
  <c r="F178"/>
  <c r="K178"/>
  <c r="O179" i="2" s="1"/>
  <c r="F188" i="3"/>
  <c r="I188"/>
  <c r="K188"/>
  <c r="O189" i="2" s="1"/>
  <c r="F194" i="3"/>
  <c r="K194"/>
  <c r="O195" i="2" s="1"/>
  <c r="G194" i="3"/>
  <c r="F197"/>
  <c r="I197"/>
  <c r="K197"/>
  <c r="O198" i="2" s="1"/>
  <c r="N204" i="3"/>
  <c r="F204"/>
  <c r="H204"/>
  <c r="L205" i="2" s="1"/>
  <c r="H206" i="3"/>
  <c r="L207" i="2" s="1"/>
  <c r="I206" i="3"/>
  <c r="K206"/>
  <c r="O207" i="2" s="1"/>
  <c r="K213" i="3"/>
  <c r="O214" i="2" s="1"/>
  <c r="G213" i="3"/>
  <c r="F213"/>
  <c r="H213"/>
  <c r="L214" i="2" s="1"/>
  <c r="I216" i="3"/>
  <c r="H216"/>
  <c r="L217" i="2" s="1"/>
  <c r="K216" i="3"/>
  <c r="O217" i="2" s="1"/>
  <c r="K222" i="3"/>
  <c r="O223" i="2" s="1"/>
  <c r="F222" i="3"/>
  <c r="L222"/>
  <c r="G226"/>
  <c r="K226"/>
  <c r="O227" i="2" s="1"/>
  <c r="F226" i="3"/>
  <c r="L226"/>
  <c r="I232"/>
  <c r="K232"/>
  <c r="O233" i="2" s="1"/>
  <c r="G238" i="3"/>
  <c r="H238"/>
  <c r="L239" i="2" s="1"/>
  <c r="I238" i="3"/>
  <c r="F244"/>
  <c r="L244"/>
  <c r="H244"/>
  <c r="L245" i="2" s="1"/>
  <c r="I254" i="3"/>
  <c r="K254"/>
  <c r="O255" i="2" s="1"/>
  <c r="I257" i="3"/>
  <c r="K257"/>
  <c r="O258" i="2" s="1"/>
  <c r="H260" i="3"/>
  <c r="L261" i="2" s="1"/>
  <c r="I260" i="3"/>
  <c r="G264"/>
  <c r="F264"/>
  <c r="L264"/>
  <c r="H264"/>
  <c r="L265" i="2" s="1"/>
  <c r="K270" i="3"/>
  <c r="O271" i="2" s="1"/>
  <c r="F270" i="3"/>
  <c r="L270"/>
  <c r="I273"/>
  <c r="K273"/>
  <c r="O274" i="2" s="1"/>
  <c r="I65" i="3"/>
  <c r="K103"/>
  <c r="O104" i="2" s="1"/>
  <c r="O380" s="1"/>
  <c r="J106" i="4" s="1"/>
  <c r="F85" i="3"/>
  <c r="K81"/>
  <c r="O82" i="2" s="1"/>
  <c r="O358" s="1"/>
  <c r="J84" i="4" s="1"/>
  <c r="K78" i="3"/>
  <c r="O79" i="2" s="1"/>
  <c r="O355" s="1"/>
  <c r="J81" i="4" s="1"/>
  <c r="I75" i="3"/>
  <c r="L43"/>
  <c r="F71"/>
  <c r="H69"/>
  <c r="L70" i="2" s="1"/>
  <c r="L346" s="1"/>
  <c r="K65" i="3"/>
  <c r="O66" i="2" s="1"/>
  <c r="O342" s="1"/>
  <c r="J68" i="4" s="1"/>
  <c r="F59" i="3"/>
  <c r="H119"/>
  <c r="L120" i="2" s="1"/>
  <c r="L396" s="1"/>
  <c r="H113" i="3"/>
  <c r="L114" i="2" s="1"/>
  <c r="L390" s="1"/>
  <c r="H109" i="3"/>
  <c r="L110" i="2" s="1"/>
  <c r="L386" s="1"/>
  <c r="F87" i="3"/>
  <c r="K85"/>
  <c r="O86" i="2" s="1"/>
  <c r="O362" s="1"/>
  <c r="J88" i="4" s="1"/>
  <c r="L81" i="3"/>
  <c r="L273"/>
  <c r="I266"/>
  <c r="K264"/>
  <c r="O265" i="2" s="1"/>
  <c r="F260" i="3"/>
  <c r="H254"/>
  <c r="L255" i="2" s="1"/>
  <c r="I244" i="3"/>
  <c r="K238"/>
  <c r="O239" i="2" s="1"/>
  <c r="L232" i="3"/>
  <c r="I226"/>
  <c r="H210"/>
  <c r="L211" i="2" s="1"/>
  <c r="F206" i="3"/>
  <c r="K204"/>
  <c r="O205" i="2" s="1"/>
  <c r="I200" i="3"/>
  <c r="I194"/>
  <c r="H270"/>
  <c r="L271" i="2" s="1"/>
  <c r="K266" i="3"/>
  <c r="O267" i="2" s="1"/>
  <c r="K260" i="3"/>
  <c r="O261" i="2" s="1"/>
  <c r="F257" i="3"/>
  <c r="L254"/>
  <c r="H248"/>
  <c r="L249" i="2" s="1"/>
  <c r="K244" i="3"/>
  <c r="O245" i="2" s="1"/>
  <c r="L238" i="3"/>
  <c r="F220"/>
  <c r="F216"/>
  <c r="I213"/>
  <c r="I210"/>
  <c r="L206"/>
  <c r="L204"/>
  <c r="H188"/>
  <c r="L189" i="2" s="1"/>
  <c r="F144" i="3"/>
  <c r="H140"/>
  <c r="L141" i="2" s="1"/>
  <c r="L138" i="3"/>
  <c r="G220"/>
  <c r="G244"/>
  <c r="G270"/>
  <c r="O71"/>
  <c r="S72" i="2" s="1"/>
  <c r="S348" s="1"/>
  <c r="N74" i="4" s="1"/>
  <c r="I58" i="3"/>
  <c r="G176"/>
  <c r="G186"/>
  <c r="G198"/>
  <c r="G207"/>
  <c r="J115"/>
  <c r="J139"/>
  <c r="J183"/>
  <c r="J234"/>
  <c r="M41"/>
  <c r="Q42" i="2" s="1"/>
  <c r="Q318" s="1"/>
  <c r="L44" i="4" s="1"/>
  <c r="N50" i="3"/>
  <c r="O63"/>
  <c r="S64" i="2" s="1"/>
  <c r="S340" s="1"/>
  <c r="N66" i="4" s="1"/>
  <c r="N70" i="3"/>
  <c r="M73"/>
  <c r="Q74" i="2" s="1"/>
  <c r="Q350" s="1"/>
  <c r="L76" i="4" s="1"/>
  <c r="O82" i="3"/>
  <c r="S83" i="2" s="1"/>
  <c r="S359" s="1"/>
  <c r="N85" i="4" s="1"/>
  <c r="M92" i="3"/>
  <c r="Q93" i="2" s="1"/>
  <c r="Q369" s="1"/>
  <c r="L95" i="4" s="1"/>
  <c r="O114" i="3"/>
  <c r="S115" i="2" s="1"/>
  <c r="S391" s="1"/>
  <c r="N117" i="4" s="1"/>
  <c r="N120" i="3"/>
  <c r="P141"/>
  <c r="M163"/>
  <c r="Q164" i="2" s="1"/>
  <c r="O169" i="3"/>
  <c r="S170" i="2" s="1"/>
  <c r="N265" i="3"/>
  <c r="K217"/>
  <c r="O218" i="2" s="1"/>
  <c r="K191" i="3"/>
  <c r="O192" i="2" s="1"/>
  <c r="K145" i="3"/>
  <c r="O146" i="2" s="1"/>
  <c r="K123" i="3"/>
  <c r="O124" i="2" s="1"/>
  <c r="O400" s="1"/>
  <c r="J126" i="4" s="1"/>
  <c r="G38" i="3"/>
  <c r="G44"/>
  <c r="G50"/>
  <c r="G56"/>
  <c r="G70"/>
  <c r="G82"/>
  <c r="G88"/>
  <c r="G94"/>
  <c r="G107"/>
  <c r="G120"/>
  <c r="G126"/>
  <c r="G132"/>
  <c r="G151"/>
  <c r="G163"/>
  <c r="J56"/>
  <c r="J70"/>
  <c r="J107"/>
  <c r="J120"/>
  <c r="J151"/>
  <c r="J189"/>
  <c r="J201"/>
  <c r="J239"/>
  <c r="J251"/>
  <c r="M217"/>
  <c r="Q218" i="2" s="1"/>
  <c r="O223" i="3"/>
  <c r="S224" i="2" s="1"/>
  <c r="N36" i="3"/>
  <c r="J36"/>
  <c r="O36"/>
  <c r="S37" i="2" s="1"/>
  <c r="S313" s="1"/>
  <c r="N39" i="4" s="1"/>
  <c r="M36" i="3"/>
  <c r="Q37" i="2" s="1"/>
  <c r="Q313" s="1"/>
  <c r="L39" i="4" s="1"/>
  <c r="G36" i="3"/>
  <c r="Q36"/>
  <c r="L36"/>
  <c r="N40"/>
  <c r="J40"/>
  <c r="O40"/>
  <c r="S41" i="2" s="1"/>
  <c r="S317" s="1"/>
  <c r="N43" i="4" s="1"/>
  <c r="P40" i="3"/>
  <c r="Q40"/>
  <c r="G40"/>
  <c r="M40"/>
  <c r="Q41" i="2" s="1"/>
  <c r="Q317" s="1"/>
  <c r="L43" i="4" s="1"/>
  <c r="L40" i="3"/>
  <c r="N42"/>
  <c r="J42"/>
  <c r="O42"/>
  <c r="S43" i="2" s="1"/>
  <c r="S319" s="1"/>
  <c r="N45" i="4" s="1"/>
  <c r="M42" i="3"/>
  <c r="Q43" i="2" s="1"/>
  <c r="Q319" s="1"/>
  <c r="L45" i="4" s="1"/>
  <c r="G42" i="3"/>
  <c r="L42"/>
  <c r="P42"/>
  <c r="Q42"/>
  <c r="N46"/>
  <c r="J46"/>
  <c r="O46"/>
  <c r="S47" i="2" s="1"/>
  <c r="S323" s="1"/>
  <c r="N49" i="4" s="1"/>
  <c r="P46" i="3"/>
  <c r="Q46"/>
  <c r="G46"/>
  <c r="L46"/>
  <c r="K46"/>
  <c r="O47" i="2" s="1"/>
  <c r="O323" s="1"/>
  <c r="J49" i="4" s="1"/>
  <c r="M46" i="3"/>
  <c r="Q47" i="2" s="1"/>
  <c r="Q323" s="1"/>
  <c r="L49" i="4" s="1"/>
  <c r="N52" i="3"/>
  <c r="J52"/>
  <c r="O52"/>
  <c r="S53" i="2" s="1"/>
  <c r="S329" s="1"/>
  <c r="N55" i="4" s="1"/>
  <c r="P52" i="3"/>
  <c r="Q52"/>
  <c r="G52"/>
  <c r="M52"/>
  <c r="Q53" i="2" s="1"/>
  <c r="Q329" s="1"/>
  <c r="L55" i="4" s="1"/>
  <c r="L52" i="3"/>
  <c r="N58"/>
  <c r="J58"/>
  <c r="O58"/>
  <c r="S59" i="2" s="1"/>
  <c r="S335" s="1"/>
  <c r="N61" i="4" s="1"/>
  <c r="P58" i="3"/>
  <c r="Q58"/>
  <c r="G58"/>
  <c r="F58"/>
  <c r="L58"/>
  <c r="M58"/>
  <c r="Q59" i="2" s="1"/>
  <c r="Q335" s="1"/>
  <c r="L61" i="4" s="1"/>
  <c r="N64" i="3"/>
  <c r="J64"/>
  <c r="O64"/>
  <c r="S65" i="2" s="1"/>
  <c r="S341" s="1"/>
  <c r="N67" i="4" s="1"/>
  <c r="P64" i="3"/>
  <c r="Q64"/>
  <c r="G64"/>
  <c r="M64"/>
  <c r="Q65" i="2" s="1"/>
  <c r="Q341" s="1"/>
  <c r="L67" i="4" s="1"/>
  <c r="I64" i="3"/>
  <c r="N68"/>
  <c r="J68"/>
  <c r="O68"/>
  <c r="S69" i="2" s="1"/>
  <c r="S345" s="1"/>
  <c r="N71" i="4" s="1"/>
  <c r="M68" i="3"/>
  <c r="Q69" i="2" s="1"/>
  <c r="Q345" s="1"/>
  <c r="L71" i="4" s="1"/>
  <c r="G68" i="3"/>
  <c r="K68"/>
  <c r="O69" i="2" s="1"/>
  <c r="O345" s="1"/>
  <c r="J71" i="4" s="1"/>
  <c r="P68" i="3"/>
  <c r="Q68"/>
  <c r="N74"/>
  <c r="J74"/>
  <c r="O74"/>
  <c r="S75" i="2" s="1"/>
  <c r="S351" s="1"/>
  <c r="N77" i="4" s="1"/>
  <c r="M74" i="3"/>
  <c r="Q75" i="2" s="1"/>
  <c r="Q351" s="1"/>
  <c r="L77" i="4" s="1"/>
  <c r="G74" i="3"/>
  <c r="Q74"/>
  <c r="F74"/>
  <c r="L74"/>
  <c r="I74"/>
  <c r="N77"/>
  <c r="J77"/>
  <c r="O77"/>
  <c r="S78" i="2" s="1"/>
  <c r="S354" s="1"/>
  <c r="N80" i="4" s="1"/>
  <c r="P77" i="3"/>
  <c r="Q77"/>
  <c r="G77"/>
  <c r="M77"/>
  <c r="Q78" i="2" s="1"/>
  <c r="Q354" s="1"/>
  <c r="L80" i="4" s="1"/>
  <c r="H77" i="3"/>
  <c r="L78" i="2" s="1"/>
  <c r="L354" s="1"/>
  <c r="K77" i="3"/>
  <c r="O78" i="2" s="1"/>
  <c r="O354" s="1"/>
  <c r="J80" i="4" s="1"/>
  <c r="N80" i="3"/>
  <c r="J80"/>
  <c r="O80"/>
  <c r="S81" i="2" s="1"/>
  <c r="S357" s="1"/>
  <c r="N83" i="4" s="1"/>
  <c r="M80" i="3"/>
  <c r="Q81" i="2" s="1"/>
  <c r="Q357" s="1"/>
  <c r="L83" i="4" s="1"/>
  <c r="G80" i="3"/>
  <c r="I80"/>
  <c r="P80"/>
  <c r="Q80"/>
  <c r="F80"/>
  <c r="L80"/>
  <c r="N84"/>
  <c r="J84"/>
  <c r="O84"/>
  <c r="S85" i="2" s="1"/>
  <c r="S361" s="1"/>
  <c r="N87" i="4" s="1"/>
  <c r="P84" i="3"/>
  <c r="Q84"/>
  <c r="G84"/>
  <c r="K84"/>
  <c r="O85" i="2" s="1"/>
  <c r="O361" s="1"/>
  <c r="J87" i="4" s="1"/>
  <c r="M84" i="3"/>
  <c r="Q85" i="2" s="1"/>
  <c r="Q361" s="1"/>
  <c r="L87" i="4" s="1"/>
  <c r="H84" i="3"/>
  <c r="L85" i="2" s="1"/>
  <c r="L361" s="1"/>
  <c r="N86" i="3"/>
  <c r="J86"/>
  <c r="O86"/>
  <c r="S87" i="2" s="1"/>
  <c r="S363" s="1"/>
  <c r="N89" i="4" s="1"/>
  <c r="M86" i="3"/>
  <c r="Q87" i="2" s="1"/>
  <c r="Q363" s="1"/>
  <c r="L89" i="4" s="1"/>
  <c r="G86" i="3"/>
  <c r="Q86"/>
  <c r="F86"/>
  <c r="L86"/>
  <c r="I86"/>
  <c r="N90"/>
  <c r="J90"/>
  <c r="O90"/>
  <c r="S91" i="2" s="1"/>
  <c r="S367" s="1"/>
  <c r="N93" i="4" s="1"/>
  <c r="P90" i="3"/>
  <c r="Q90"/>
  <c r="G90"/>
  <c r="M90"/>
  <c r="Q91" i="2" s="1"/>
  <c r="Q367" s="1"/>
  <c r="L93" i="4" s="1"/>
  <c r="H90" i="3"/>
  <c r="L91" i="2" s="1"/>
  <c r="L367" s="1"/>
  <c r="K90" i="3"/>
  <c r="O91" i="2" s="1"/>
  <c r="O367" s="1"/>
  <c r="J93" i="4" s="1"/>
  <c r="N93" i="3"/>
  <c r="J93"/>
  <c r="O93"/>
  <c r="S94" i="2" s="1"/>
  <c r="S370" s="1"/>
  <c r="N96" i="4" s="1"/>
  <c r="M93" i="3"/>
  <c r="Q94" i="2" s="1"/>
  <c r="Q370" s="1"/>
  <c r="L96" i="4" s="1"/>
  <c r="G93" i="3"/>
  <c r="I93"/>
  <c r="P93"/>
  <c r="Q93"/>
  <c r="F93"/>
  <c r="L93"/>
  <c r="N96"/>
  <c r="J96"/>
  <c r="O96"/>
  <c r="S97" i="2" s="1"/>
  <c r="S373" s="1"/>
  <c r="N99" i="4" s="1"/>
  <c r="P96" i="3"/>
  <c r="Q96"/>
  <c r="G96"/>
  <c r="K96"/>
  <c r="O97" i="2" s="1"/>
  <c r="O373" s="1"/>
  <c r="J99" i="4" s="1"/>
  <c r="M96" i="3"/>
  <c r="Q97" i="2" s="1"/>
  <c r="Q373" s="1"/>
  <c r="L99" i="4" s="1"/>
  <c r="H96" i="3"/>
  <c r="L97" i="2" s="1"/>
  <c r="L373" s="1"/>
  <c r="N100" i="3"/>
  <c r="J100"/>
  <c r="O100"/>
  <c r="S101" i="2" s="1"/>
  <c r="S377" s="1"/>
  <c r="N103" i="4" s="1"/>
  <c r="M100" i="3"/>
  <c r="Q101" i="2" s="1"/>
  <c r="Q377" s="1"/>
  <c r="L103" i="4" s="1"/>
  <c r="G100" i="3"/>
  <c r="Q100"/>
  <c r="F100"/>
  <c r="L100"/>
  <c r="I100"/>
  <c r="N102"/>
  <c r="J102"/>
  <c r="O102"/>
  <c r="S103" i="2" s="1"/>
  <c r="S379" s="1"/>
  <c r="N105" i="4" s="1"/>
  <c r="P102" i="3"/>
  <c r="Q102"/>
  <c r="G102"/>
  <c r="M102"/>
  <c r="Q103" i="2" s="1"/>
  <c r="Q379" s="1"/>
  <c r="L105" i="4" s="1"/>
  <c r="H102" i="3"/>
  <c r="L103" i="2" s="1"/>
  <c r="L379" s="1"/>
  <c r="K102" i="3"/>
  <c r="O103" i="2" s="1"/>
  <c r="O379" s="1"/>
  <c r="J105" i="4" s="1"/>
  <c r="N106" i="3"/>
  <c r="J106"/>
  <c r="O106"/>
  <c r="S107" i="2" s="1"/>
  <c r="S383" s="1"/>
  <c r="N109" i="4" s="1"/>
  <c r="M106" i="3"/>
  <c r="Q107" i="2" s="1"/>
  <c r="Q383" s="1"/>
  <c r="L109" i="4" s="1"/>
  <c r="G106" i="3"/>
  <c r="I106"/>
  <c r="P106"/>
  <c r="Q106"/>
  <c r="F106"/>
  <c r="L106"/>
  <c r="N112"/>
  <c r="J112"/>
  <c r="O112"/>
  <c r="S113" i="2" s="1"/>
  <c r="S389" s="1"/>
  <c r="N115" i="4" s="1"/>
  <c r="M112" i="3"/>
  <c r="Q113" i="2" s="1"/>
  <c r="Q389" s="1"/>
  <c r="L115" i="4" s="1"/>
  <c r="G112" i="3"/>
  <c r="Q112"/>
  <c r="F112"/>
  <c r="L112"/>
  <c r="I112"/>
  <c r="N118"/>
  <c r="J118"/>
  <c r="O118"/>
  <c r="S119" i="2" s="1"/>
  <c r="S395" s="1"/>
  <c r="N121" i="4" s="1"/>
  <c r="M118" i="3"/>
  <c r="Q119" i="2" s="1"/>
  <c r="Q395" s="1"/>
  <c r="L121" i="4" s="1"/>
  <c r="G118" i="3"/>
  <c r="I118"/>
  <c r="P118"/>
  <c r="Q118"/>
  <c r="F118"/>
  <c r="N124"/>
  <c r="J124"/>
  <c r="O124"/>
  <c r="S125" i="2" s="1"/>
  <c r="S401" s="1"/>
  <c r="N127" i="4" s="1"/>
  <c r="K124" i="3"/>
  <c r="O125" i="2" s="1"/>
  <c r="O401" s="1"/>
  <c r="J127" i="4" s="1"/>
  <c r="M124" i="3"/>
  <c r="Q125" i="2" s="1"/>
  <c r="Q401" s="1"/>
  <c r="L127" i="4" s="1"/>
  <c r="G124" i="3"/>
  <c r="I124"/>
  <c r="P124"/>
  <c r="Q124"/>
  <c r="L124"/>
  <c r="H124"/>
  <c r="L125" i="2" s="1"/>
  <c r="L401" s="1"/>
  <c r="F124" i="3"/>
  <c r="N128"/>
  <c r="J128"/>
  <c r="O128"/>
  <c r="S129" i="2" s="1"/>
  <c r="P128" i="3"/>
  <c r="I128"/>
  <c r="Q128"/>
  <c r="G128"/>
  <c r="H128"/>
  <c r="L129" i="2" s="1"/>
  <c r="M128" i="3"/>
  <c r="Q129" i="2" s="1"/>
  <c r="K128" i="3"/>
  <c r="O129" i="2" s="1"/>
  <c r="F128" i="3"/>
  <c r="N134"/>
  <c r="J134"/>
  <c r="O134"/>
  <c r="S135" i="2" s="1"/>
  <c r="P134" i="3"/>
  <c r="F134"/>
  <c r="L134"/>
  <c r="Q134"/>
  <c r="G134"/>
  <c r="K134"/>
  <c r="O135" i="2" s="1"/>
  <c r="I134" i="3"/>
  <c r="M134"/>
  <c r="Q135" i="2" s="1"/>
  <c r="H134" i="3"/>
  <c r="L135" i="2" s="1"/>
  <c r="N137" i="3"/>
  <c r="J137"/>
  <c r="O137"/>
  <c r="S138" i="2" s="1"/>
  <c r="K137" i="3"/>
  <c r="O138" i="2" s="1"/>
  <c r="M137" i="3"/>
  <c r="Q138" i="2" s="1"/>
  <c r="G137" i="3"/>
  <c r="I137"/>
  <c r="P137"/>
  <c r="Q137"/>
  <c r="L137"/>
  <c r="H137"/>
  <c r="L138" i="2" s="1"/>
  <c r="F137" i="3"/>
  <c r="P143"/>
  <c r="Q143"/>
  <c r="M143"/>
  <c r="Q144" i="2" s="1"/>
  <c r="J143" i="3"/>
  <c r="N143"/>
  <c r="K143"/>
  <c r="O144" i="2" s="1"/>
  <c r="O143" i="3"/>
  <c r="S144" i="2" s="1"/>
  <c r="G143" i="3"/>
  <c r="I143"/>
  <c r="L143"/>
  <c r="H143"/>
  <c r="L144" i="2" s="1"/>
  <c r="F143" i="3"/>
  <c r="P149"/>
  <c r="Q149"/>
  <c r="M149"/>
  <c r="Q150" i="2" s="1"/>
  <c r="J149" i="3"/>
  <c r="H149"/>
  <c r="L150" i="2" s="1"/>
  <c r="G149" i="3"/>
  <c r="F149"/>
  <c r="L149"/>
  <c r="N149"/>
  <c r="O149"/>
  <c r="S150" i="2" s="1"/>
  <c r="K149" i="3"/>
  <c r="O150" i="2" s="1"/>
  <c r="I149" i="3"/>
  <c r="P152"/>
  <c r="Q152"/>
  <c r="M152"/>
  <c r="Q153" i="2" s="1"/>
  <c r="N152" i="3"/>
  <c r="J152"/>
  <c r="O152"/>
  <c r="S153" i="2" s="1"/>
  <c r="F152" i="3"/>
  <c r="L152"/>
  <c r="G152"/>
  <c r="K152"/>
  <c r="O153" i="2" s="1"/>
  <c r="I152" i="3"/>
  <c r="H152"/>
  <c r="L153" i="2" s="1"/>
  <c r="P155" i="3"/>
  <c r="Q155"/>
  <c r="M155"/>
  <c r="Q156" i="2" s="1"/>
  <c r="J155" i="3"/>
  <c r="N155"/>
  <c r="K155"/>
  <c r="O156" i="2" s="1"/>
  <c r="O155" i="3"/>
  <c r="S156" i="2" s="1"/>
  <c r="G155" i="3"/>
  <c r="I155"/>
  <c r="L155"/>
  <c r="H155"/>
  <c r="L156" i="2" s="1"/>
  <c r="F155" i="3"/>
  <c r="N159"/>
  <c r="Q159"/>
  <c r="M159"/>
  <c r="Q160" i="2" s="1"/>
  <c r="O159" i="3"/>
  <c r="S160" i="2" s="1"/>
  <c r="J159" i="3"/>
  <c r="P159"/>
  <c r="I159"/>
  <c r="G159"/>
  <c r="H159"/>
  <c r="L160" i="2" s="1"/>
  <c r="K159" i="3"/>
  <c r="O160" i="2" s="1"/>
  <c r="F159" i="3"/>
  <c r="N161"/>
  <c r="M161"/>
  <c r="Q162" i="2" s="1"/>
  <c r="O161" i="3"/>
  <c r="S162" i="2" s="1"/>
  <c r="P161" i="3"/>
  <c r="J161"/>
  <c r="Q161"/>
  <c r="K161"/>
  <c r="O162" i="2" s="1"/>
  <c r="G161" i="3"/>
  <c r="I161"/>
  <c r="L161"/>
  <c r="H161"/>
  <c r="L162" i="2" s="1"/>
  <c r="N165" i="3"/>
  <c r="O165"/>
  <c r="S166" i="2" s="1"/>
  <c r="P165" i="3"/>
  <c r="Q165"/>
  <c r="J165"/>
  <c r="K165"/>
  <c r="O166" i="2" s="1"/>
  <c r="M165" i="3"/>
  <c r="Q166" i="2" s="1"/>
  <c r="G165" i="3"/>
  <c r="I165"/>
  <c r="L165"/>
  <c r="H165"/>
  <c r="L166" i="2" s="1"/>
  <c r="N168" i="3"/>
  <c r="P168"/>
  <c r="Q168"/>
  <c r="J168"/>
  <c r="M168"/>
  <c r="Q169" i="2" s="1"/>
  <c r="K168" i="3"/>
  <c r="O169" i="2" s="1"/>
  <c r="O168" i="3"/>
  <c r="S169" i="2" s="1"/>
  <c r="G168" i="3"/>
  <c r="I168"/>
  <c r="L168"/>
  <c r="H168"/>
  <c r="L169" i="2" s="1"/>
  <c r="N171" i="3"/>
  <c r="Q171"/>
  <c r="M171"/>
  <c r="Q172" i="2" s="1"/>
  <c r="J171" i="3"/>
  <c r="G171"/>
  <c r="O171"/>
  <c r="S172" i="2" s="1"/>
  <c r="K171" i="3"/>
  <c r="O172" i="2" s="1"/>
  <c r="P171" i="3"/>
  <c r="I171"/>
  <c r="L171"/>
  <c r="H171"/>
  <c r="L172" i="2" s="1"/>
  <c r="N175" i="3"/>
  <c r="M175"/>
  <c r="Q176" i="2" s="1"/>
  <c r="O175" i="3"/>
  <c r="S176" i="2" s="1"/>
  <c r="J175" i="3"/>
  <c r="G175"/>
  <c r="P175"/>
  <c r="Q175"/>
  <c r="I175"/>
  <c r="L175"/>
  <c r="K175"/>
  <c r="O176" i="2" s="1"/>
  <c r="H175" i="3"/>
  <c r="L176" i="2" s="1"/>
  <c r="N177" i="3"/>
  <c r="O177"/>
  <c r="S178" i="2" s="1"/>
  <c r="P177" i="3"/>
  <c r="J177"/>
  <c r="M177"/>
  <c r="Q178" i="2" s="1"/>
  <c r="G177" i="3"/>
  <c r="Q177"/>
  <c r="I177"/>
  <c r="H177"/>
  <c r="L178" i="2" s="1"/>
  <c r="F177" i="3"/>
  <c r="L177"/>
  <c r="N181"/>
  <c r="P181"/>
  <c r="Q181"/>
  <c r="M181"/>
  <c r="Q182" i="2" s="1"/>
  <c r="J181" i="3"/>
  <c r="O181"/>
  <c r="S182" i="2" s="1"/>
  <c r="G181" i="3"/>
  <c r="K181"/>
  <c r="O182" i="2" s="1"/>
  <c r="I181" i="3"/>
  <c r="H181"/>
  <c r="L182" i="2" s="1"/>
  <c r="N187" i="3"/>
  <c r="M187"/>
  <c r="Q188" i="2" s="1"/>
  <c r="O187" i="3"/>
  <c r="S188" i="2" s="1"/>
  <c r="P187" i="3"/>
  <c r="J187"/>
  <c r="Q187"/>
  <c r="G187"/>
  <c r="K187"/>
  <c r="O188" i="2" s="1"/>
  <c r="I187" i="3"/>
  <c r="H187"/>
  <c r="L188" i="2" s="1"/>
  <c r="N193" i="3"/>
  <c r="P193"/>
  <c r="Q193"/>
  <c r="J193"/>
  <c r="G193"/>
  <c r="M193"/>
  <c r="Q194" i="2" s="1"/>
  <c r="O193" i="3"/>
  <c r="S194" i="2" s="1"/>
  <c r="K193" i="3"/>
  <c r="O194" i="2" s="1"/>
  <c r="I193" i="3"/>
  <c r="H193"/>
  <c r="L194" i="2" s="1"/>
  <c r="N199" i="3"/>
  <c r="M199"/>
  <c r="Q200" i="2" s="1"/>
  <c r="O199" i="3"/>
  <c r="S200" i="2" s="1"/>
  <c r="J199" i="3"/>
  <c r="G199"/>
  <c r="P199"/>
  <c r="Q199"/>
  <c r="I199"/>
  <c r="H199"/>
  <c r="L200" i="2" s="1"/>
  <c r="F199" i="3"/>
  <c r="L199"/>
  <c r="N203"/>
  <c r="O203"/>
  <c r="S204" i="2" s="1"/>
  <c r="P203" i="3"/>
  <c r="J203"/>
  <c r="M203"/>
  <c r="Q204" i="2" s="1"/>
  <c r="G203" i="3"/>
  <c r="H203"/>
  <c r="L204" i="2" s="1"/>
  <c r="F203" i="3"/>
  <c r="L203"/>
  <c r="Q203"/>
  <c r="K203"/>
  <c r="O204" i="2" s="1"/>
  <c r="N209" i="3"/>
  <c r="Q209"/>
  <c r="M209"/>
  <c r="Q210" i="2" s="1"/>
  <c r="O209" i="3"/>
  <c r="S210" i="2" s="1"/>
  <c r="J209" i="3"/>
  <c r="P209"/>
  <c r="G209"/>
  <c r="K209"/>
  <c r="O210" i="2" s="1"/>
  <c r="I209" i="3"/>
  <c r="H209"/>
  <c r="L210" i="2" s="1"/>
  <c r="N212" i="3"/>
  <c r="M212"/>
  <c r="Q213" i="2" s="1"/>
  <c r="O212" i="3"/>
  <c r="S213" i="2" s="1"/>
  <c r="P212" i="3"/>
  <c r="J212"/>
  <c r="Q212"/>
  <c r="G212"/>
  <c r="I212"/>
  <c r="H212"/>
  <c r="L213" i="2" s="1"/>
  <c r="F212" i="3"/>
  <c r="L212"/>
  <c r="N215"/>
  <c r="O215"/>
  <c r="S216" i="2" s="1"/>
  <c r="P215" i="3"/>
  <c r="Q215"/>
  <c r="J215"/>
  <c r="G215"/>
  <c r="M215"/>
  <c r="Q216" i="2" s="1"/>
  <c r="H215" i="3"/>
  <c r="L216" i="2" s="1"/>
  <c r="F215" i="3"/>
  <c r="L215"/>
  <c r="K215"/>
  <c r="O216" i="2" s="1"/>
  <c r="N219" i="3"/>
  <c r="P219"/>
  <c r="Q219"/>
  <c r="J219"/>
  <c r="G219"/>
  <c r="M219"/>
  <c r="Q220" i="2" s="1"/>
  <c r="O219" i="3"/>
  <c r="S220" i="2" s="1"/>
  <c r="F219" i="3"/>
  <c r="L219"/>
  <c r="K219"/>
  <c r="O220" i="2" s="1"/>
  <c r="I219" i="3"/>
  <c r="N221"/>
  <c r="Q221"/>
  <c r="M221"/>
  <c r="Q222" i="2" s="1"/>
  <c r="J221" i="3"/>
  <c r="G221"/>
  <c r="O221"/>
  <c r="S222" i="2" s="1"/>
  <c r="P221" i="3"/>
  <c r="K221"/>
  <c r="O222" i="2" s="1"/>
  <c r="I221" i="3"/>
  <c r="H221"/>
  <c r="L222" i="2" s="1"/>
  <c r="N225" i="3"/>
  <c r="M225"/>
  <c r="Q226" i="2" s="1"/>
  <c r="O225" i="3"/>
  <c r="S226" i="2" s="1"/>
  <c r="J225" i="3"/>
  <c r="G225"/>
  <c r="P225"/>
  <c r="Q225"/>
  <c r="I225"/>
  <c r="H225"/>
  <c r="L226" i="2" s="1"/>
  <c r="F225" i="3"/>
  <c r="L225"/>
  <c r="N228"/>
  <c r="O228"/>
  <c r="S229" i="2" s="1"/>
  <c r="P228" i="3"/>
  <c r="J228"/>
  <c r="M228"/>
  <c r="Q229" i="2" s="1"/>
  <c r="G228" i="3"/>
  <c r="Q228"/>
  <c r="H228"/>
  <c r="L229" i="2" s="1"/>
  <c r="F228" i="3"/>
  <c r="L228"/>
  <c r="K228"/>
  <c r="O229" i="2" s="1"/>
  <c r="N231" i="3"/>
  <c r="P231"/>
  <c r="Q231"/>
  <c r="M231"/>
  <c r="Q232" i="2" s="1"/>
  <c r="J231" i="3"/>
  <c r="O231"/>
  <c r="S232" i="2" s="1"/>
  <c r="G231" i="3"/>
  <c r="F231"/>
  <c r="L231"/>
  <c r="K231"/>
  <c r="O232" i="2" s="1"/>
  <c r="I231" i="3"/>
  <c r="N235"/>
  <c r="Q235"/>
  <c r="M235"/>
  <c r="Q236" i="2" s="1"/>
  <c r="O235" i="3"/>
  <c r="S236" i="2" s="1"/>
  <c r="P235" i="3"/>
  <c r="J235"/>
  <c r="G235"/>
  <c r="K235"/>
  <c r="O236" i="2" s="1"/>
  <c r="I235" i="3"/>
  <c r="H235"/>
  <c r="L236" i="2" s="1"/>
  <c r="N237" i="3"/>
  <c r="Q237"/>
  <c r="M237"/>
  <c r="Q238" i="2" s="1"/>
  <c r="O237" i="3"/>
  <c r="S238" i="2" s="1"/>
  <c r="J237" i="3"/>
  <c r="P237"/>
  <c r="G237"/>
  <c r="I237"/>
  <c r="H237"/>
  <c r="L238" i="2" s="1"/>
  <c r="F237" i="3"/>
  <c r="L237"/>
  <c r="N241"/>
  <c r="Q241"/>
  <c r="M241"/>
  <c r="Q242" i="2" s="1"/>
  <c r="O241" i="3"/>
  <c r="S242" i="2" s="1"/>
  <c r="P241" i="3"/>
  <c r="J241"/>
  <c r="G241"/>
  <c r="H241"/>
  <c r="L242" i="2" s="1"/>
  <c r="K241" i="3"/>
  <c r="O242" i="2" s="1"/>
  <c r="N247" i="3"/>
  <c r="Q247"/>
  <c r="M247"/>
  <c r="Q248" i="2" s="1"/>
  <c r="O247" i="3"/>
  <c r="S248" i="2" s="1"/>
  <c r="P247" i="3"/>
  <c r="J247"/>
  <c r="G247"/>
  <c r="K247"/>
  <c r="O248" i="2" s="1"/>
  <c r="H247" i="3"/>
  <c r="L248" i="2" s="1"/>
  <c r="N253" i="3"/>
  <c r="Q253"/>
  <c r="M253"/>
  <c r="Q254" i="2" s="1"/>
  <c r="O253" i="3"/>
  <c r="S254" i="2" s="1"/>
  <c r="P253" i="3"/>
  <c r="J253"/>
  <c r="G253"/>
  <c r="H253"/>
  <c r="L254" i="2" s="1"/>
  <c r="K253" i="3"/>
  <c r="O254" i="2" s="1"/>
  <c r="N259" i="3"/>
  <c r="Q259"/>
  <c r="M259"/>
  <c r="Q260" i="2" s="1"/>
  <c r="O259" i="3"/>
  <c r="S260" i="2" s="1"/>
  <c r="P259" i="3"/>
  <c r="J259"/>
  <c r="G259"/>
  <c r="K259"/>
  <c r="O260" i="2" s="1"/>
  <c r="H259" i="3"/>
  <c r="L260" i="2" s="1"/>
  <c r="N263" i="3"/>
  <c r="Q263"/>
  <c r="M263"/>
  <c r="Q264" i="2" s="1"/>
  <c r="O263" i="3"/>
  <c r="S264" i="2" s="1"/>
  <c r="J263" i="3"/>
  <c r="P263"/>
  <c r="G263"/>
  <c r="I263"/>
  <c r="F263"/>
  <c r="L263"/>
  <c r="N269"/>
  <c r="Q269"/>
  <c r="M269"/>
  <c r="Q270" i="2" s="1"/>
  <c r="J269" i="3"/>
  <c r="G269"/>
  <c r="F269"/>
  <c r="L269"/>
  <c r="O269"/>
  <c r="S270" i="2" s="1"/>
  <c r="P269" i="3"/>
  <c r="I269"/>
  <c r="N272"/>
  <c r="Q272"/>
  <c r="M272"/>
  <c r="Q273" i="2" s="1"/>
  <c r="O272" i="3"/>
  <c r="S273" i="2" s="1"/>
  <c r="P272" i="3"/>
  <c r="J272"/>
  <c r="G272"/>
  <c r="K272"/>
  <c r="O273" i="2" s="1"/>
  <c r="H272" i="3"/>
  <c r="L273" i="2" s="1"/>
  <c r="K36" i="3"/>
  <c r="O37" i="2" s="1"/>
  <c r="O313" s="1"/>
  <c r="J39" i="4" s="1"/>
  <c r="H68" i="3"/>
  <c r="L69" i="2" s="1"/>
  <c r="L345" s="1"/>
  <c r="L64" i="3"/>
  <c r="K58"/>
  <c r="O59" i="2" s="1"/>
  <c r="O335" s="1"/>
  <c r="J61" i="4" s="1"/>
  <c r="K118" i="3"/>
  <c r="O119" i="2" s="1"/>
  <c r="O395" s="1"/>
  <c r="J121" i="4" s="1"/>
  <c r="F102" i="3"/>
  <c r="H100"/>
  <c r="L101" i="2" s="1"/>
  <c r="L377" s="1"/>
  <c r="I96" i="3"/>
  <c r="K93"/>
  <c r="O94" i="2" s="1"/>
  <c r="O370" s="1"/>
  <c r="J96" i="4" s="1"/>
  <c r="L90" i="3"/>
  <c r="F77"/>
  <c r="H74"/>
  <c r="L75" i="2" s="1"/>
  <c r="L351" s="1"/>
  <c r="K269" i="3"/>
  <c r="O270" i="2" s="1"/>
  <c r="I259" i="3"/>
  <c r="L253"/>
  <c r="F241"/>
  <c r="H231"/>
  <c r="L232" i="2" s="1"/>
  <c r="F221" i="3"/>
  <c r="H219"/>
  <c r="L220" i="2" s="1"/>
  <c r="I215" i="3"/>
  <c r="K212"/>
  <c r="O213" i="2" s="1"/>
  <c r="F209" i="3"/>
  <c r="I203"/>
  <c r="K199"/>
  <c r="O200" i="2" s="1"/>
  <c r="L187" i="3"/>
  <c r="F171"/>
  <c r="L128"/>
  <c r="L96"/>
  <c r="F84"/>
  <c r="H80"/>
  <c r="L81" i="2" s="1"/>
  <c r="L357" s="1"/>
  <c r="I77" i="3"/>
  <c r="K74"/>
  <c r="O75" i="2" s="1"/>
  <c r="O351" s="1"/>
  <c r="J77" i="4" s="1"/>
  <c r="F272" i="3"/>
  <c r="L259"/>
  <c r="F247"/>
  <c r="I241"/>
  <c r="F235"/>
  <c r="L221"/>
  <c r="L209"/>
  <c r="F193"/>
  <c r="F181"/>
  <c r="F175"/>
  <c r="F161"/>
  <c r="P36"/>
  <c r="P74"/>
  <c r="P86"/>
  <c r="P100"/>
  <c r="P112"/>
  <c r="I272"/>
  <c r="H263"/>
  <c r="L264" i="2" s="1"/>
  <c r="F253" i="3"/>
  <c r="I247"/>
  <c r="L241"/>
  <c r="L235"/>
  <c r="K225"/>
  <c r="O226" i="2" s="1"/>
  <c r="L193" i="3"/>
  <c r="L181"/>
  <c r="F165"/>
  <c r="L159"/>
  <c r="L210"/>
  <c r="F210"/>
  <c r="I204"/>
  <c r="L197"/>
  <c r="L194"/>
  <c r="L188"/>
  <c r="L184"/>
  <c r="L162"/>
  <c r="K156"/>
  <c r="O157" i="2" s="1"/>
  <c r="I146" i="3"/>
  <c r="I129"/>
  <c r="P53"/>
  <c r="P65"/>
  <c r="P78"/>
  <c r="P91"/>
  <c r="P103"/>
  <c r="P129"/>
  <c r="N146"/>
  <c r="P210"/>
  <c r="Q37"/>
  <c r="M37"/>
  <c r="Q38" i="2" s="1"/>
  <c r="Q314" s="1"/>
  <c r="L40" i="4" s="1"/>
  <c r="N37" i="3"/>
  <c r="J37"/>
  <c r="O37"/>
  <c r="S38" i="2" s="1"/>
  <c r="S314" s="1"/>
  <c r="N40" i="4" s="1"/>
  <c r="P37" i="3"/>
  <c r="Q43"/>
  <c r="M43"/>
  <c r="Q44" i="2" s="1"/>
  <c r="Q320" s="1"/>
  <c r="L46" i="4" s="1"/>
  <c r="N43" i="3"/>
  <c r="J43"/>
  <c r="O43"/>
  <c r="S44" i="2" s="1"/>
  <c r="S320" s="1"/>
  <c r="N46" i="4" s="1"/>
  <c r="P43" i="3"/>
  <c r="Q49"/>
  <c r="M49"/>
  <c r="Q50" i="2" s="1"/>
  <c r="Q326" s="1"/>
  <c r="L52" i="4" s="1"/>
  <c r="N49" i="3"/>
  <c r="J49"/>
  <c r="O49"/>
  <c r="S50" i="2" s="1"/>
  <c r="S326" s="1"/>
  <c r="N52" i="4" s="1"/>
  <c r="P49" i="3"/>
  <c r="Q53"/>
  <c r="M53"/>
  <c r="Q54" i="2" s="1"/>
  <c r="Q330" s="1"/>
  <c r="L56" i="4" s="1"/>
  <c r="N53" i="3"/>
  <c r="J53"/>
  <c r="Q59"/>
  <c r="M59"/>
  <c r="Q60" i="2" s="1"/>
  <c r="Q336" s="1"/>
  <c r="L62" i="4" s="1"/>
  <c r="N59" i="3"/>
  <c r="J59"/>
  <c r="Q62"/>
  <c r="M62"/>
  <c r="Q63" i="2" s="1"/>
  <c r="Q339" s="1"/>
  <c r="L65" i="4" s="1"/>
  <c r="N62" i="3"/>
  <c r="J62"/>
  <c r="O62"/>
  <c r="S63" i="2" s="1"/>
  <c r="S339" s="1"/>
  <c r="N65" i="4" s="1"/>
  <c r="P62" i="3"/>
  <c r="Q65"/>
  <c r="M65"/>
  <c r="Q66" i="2" s="1"/>
  <c r="Q342" s="1"/>
  <c r="L68" i="4" s="1"/>
  <c r="N65" i="3"/>
  <c r="J65"/>
  <c r="Q69"/>
  <c r="M69"/>
  <c r="Q70" i="2" s="1"/>
  <c r="Q346" s="1"/>
  <c r="L72" i="4" s="1"/>
  <c r="N69" i="3"/>
  <c r="J69"/>
  <c r="O69"/>
  <c r="S70" i="2" s="1"/>
  <c r="S346" s="1"/>
  <c r="N72" i="4" s="1"/>
  <c r="P69" i="3"/>
  <c r="Q71"/>
  <c r="M71"/>
  <c r="Q72" i="2" s="1"/>
  <c r="Q348" s="1"/>
  <c r="L74" i="4" s="1"/>
  <c r="N71" i="3"/>
  <c r="J71"/>
  <c r="Q75"/>
  <c r="M75"/>
  <c r="Q76" i="2" s="1"/>
  <c r="Q352" s="1"/>
  <c r="L78" i="4" s="1"/>
  <c r="N75" i="3"/>
  <c r="J75"/>
  <c r="O75"/>
  <c r="S76" i="2" s="1"/>
  <c r="S352" s="1"/>
  <c r="N78" i="4" s="1"/>
  <c r="P75" i="3"/>
  <c r="Q78"/>
  <c r="M78"/>
  <c r="Q79" i="2" s="1"/>
  <c r="Q355" s="1"/>
  <c r="L81" i="4" s="1"/>
  <c r="N78" i="3"/>
  <c r="J78"/>
  <c r="Q81"/>
  <c r="M81"/>
  <c r="Q82" i="2" s="1"/>
  <c r="Q358" s="1"/>
  <c r="L84" i="4" s="1"/>
  <c r="N81" i="3"/>
  <c r="J81"/>
  <c r="O81"/>
  <c r="S82" i="2" s="1"/>
  <c r="S358" s="1"/>
  <c r="N84" i="4" s="1"/>
  <c r="P81" i="3"/>
  <c r="Q85"/>
  <c r="M85"/>
  <c r="Q86" i="2" s="1"/>
  <c r="Q362" s="1"/>
  <c r="L88" i="4" s="1"/>
  <c r="N85" i="3"/>
  <c r="J85"/>
  <c r="Q87"/>
  <c r="M87"/>
  <c r="Q88" i="2" s="1"/>
  <c r="Q364" s="1"/>
  <c r="L90" i="4" s="1"/>
  <c r="N87" i="3"/>
  <c r="J87"/>
  <c r="O87"/>
  <c r="S88" i="2" s="1"/>
  <c r="S364" s="1"/>
  <c r="N90" i="4" s="1"/>
  <c r="P87" i="3"/>
  <c r="Q91"/>
  <c r="M91"/>
  <c r="Q92" i="2" s="1"/>
  <c r="Q368" s="1"/>
  <c r="L94" i="4" s="1"/>
  <c r="N91" i="3"/>
  <c r="J91"/>
  <c r="Q97"/>
  <c r="M97"/>
  <c r="Q98" i="2" s="1"/>
  <c r="Q374" s="1"/>
  <c r="L100" i="4" s="1"/>
  <c r="N97" i="3"/>
  <c r="J97"/>
  <c r="Q103"/>
  <c r="M103"/>
  <c r="Q104" i="2" s="1"/>
  <c r="Q380" s="1"/>
  <c r="L106" i="4" s="1"/>
  <c r="N103" i="3"/>
  <c r="J103"/>
  <c r="Q109"/>
  <c r="M109"/>
  <c r="Q110" i="2" s="1"/>
  <c r="Q386" s="1"/>
  <c r="L112" i="4" s="1"/>
  <c r="N109" i="3"/>
  <c r="J109"/>
  <c r="Q113"/>
  <c r="M113"/>
  <c r="Q114" i="2" s="1"/>
  <c r="Q390" s="1"/>
  <c r="L116" i="4" s="1"/>
  <c r="N113" i="3"/>
  <c r="J113"/>
  <c r="O113"/>
  <c r="S114" i="2" s="1"/>
  <c r="S390" s="1"/>
  <c r="N116" i="4" s="1"/>
  <c r="P113" i="3"/>
  <c r="Q119"/>
  <c r="M119"/>
  <c r="Q120" i="2" s="1"/>
  <c r="Q396" s="1"/>
  <c r="L122" i="4" s="1"/>
  <c r="N119" i="3"/>
  <c r="J119"/>
  <c r="O119"/>
  <c r="S120" i="2" s="1"/>
  <c r="S396" s="1"/>
  <c r="N122" i="4" s="1"/>
  <c r="P119" i="3"/>
  <c r="Q122"/>
  <c r="M122"/>
  <c r="Q123" i="2" s="1"/>
  <c r="Q399" s="1"/>
  <c r="L125" i="4" s="1"/>
  <c r="N122" i="3"/>
  <c r="J122"/>
  <c r="K122"/>
  <c r="O123" i="2" s="1"/>
  <c r="O399" s="1"/>
  <c r="J125" i="4" s="1"/>
  <c r="I122" i="3"/>
  <c r="Q125"/>
  <c r="M125"/>
  <c r="Q126" i="2" s="1"/>
  <c r="N125" i="3"/>
  <c r="J125"/>
  <c r="O125"/>
  <c r="S126" i="2" s="1"/>
  <c r="I125" i="3"/>
  <c r="P125"/>
  <c r="H125"/>
  <c r="L126" i="2" s="1"/>
  <c r="Q129" i="3"/>
  <c r="M129"/>
  <c r="Q130" i="2" s="1"/>
  <c r="N129" i="3"/>
  <c r="J129"/>
  <c r="H129"/>
  <c r="L130" i="2" s="1"/>
  <c r="F129" i="3"/>
  <c r="L129"/>
  <c r="Q131"/>
  <c r="M131"/>
  <c r="Q132" i="2" s="1"/>
  <c r="N131" i="3"/>
  <c r="J131"/>
  <c r="O131"/>
  <c r="S132" i="2" s="1"/>
  <c r="F131" i="3"/>
  <c r="L131"/>
  <c r="P131"/>
  <c r="K131"/>
  <c r="O132" i="2" s="1"/>
  <c r="Q135" i="3"/>
  <c r="M135"/>
  <c r="Q136" i="2" s="1"/>
  <c r="N135" i="3"/>
  <c r="J135"/>
  <c r="K135"/>
  <c r="O136" i="2" s="1"/>
  <c r="I135" i="3"/>
  <c r="Q138"/>
  <c r="M138"/>
  <c r="Q139" i="2" s="1"/>
  <c r="N138" i="3"/>
  <c r="J138"/>
  <c r="O138"/>
  <c r="S139" i="2" s="1"/>
  <c r="I138" i="3"/>
  <c r="P138"/>
  <c r="H138"/>
  <c r="L139" i="2" s="1"/>
  <c r="O140" i="3"/>
  <c r="S141" i="2" s="1"/>
  <c r="P140" i="3"/>
  <c r="Q140"/>
  <c r="J140"/>
  <c r="M140"/>
  <c r="Q141" i="2" s="1"/>
  <c r="K140" i="3"/>
  <c r="O141" i="2" s="1"/>
  <c r="N140" i="3"/>
  <c r="I140"/>
  <c r="O144"/>
  <c r="S145" i="2" s="1"/>
  <c r="P144" i="3"/>
  <c r="M144"/>
  <c r="Q145" i="2" s="1"/>
  <c r="N144" i="3"/>
  <c r="J144"/>
  <c r="I144"/>
  <c r="H144"/>
  <c r="L145" i="2" s="1"/>
  <c r="O146" i="3"/>
  <c r="S147" i="2" s="1"/>
  <c r="P146" i="3"/>
  <c r="Q146"/>
  <c r="J146"/>
  <c r="H146"/>
  <c r="L147" i="2" s="1"/>
  <c r="F146" i="3"/>
  <c r="L146"/>
  <c r="O150"/>
  <c r="S151" i="2" s="1"/>
  <c r="P150" i="3"/>
  <c r="M150"/>
  <c r="Q151" i="2" s="1"/>
  <c r="N150" i="3"/>
  <c r="J150"/>
  <c r="Q150"/>
  <c r="F150"/>
  <c r="L150"/>
  <c r="K150"/>
  <c r="O151" i="2" s="1"/>
  <c r="O153" i="3"/>
  <c r="S154" i="2" s="1"/>
  <c r="P153" i="3"/>
  <c r="Q153"/>
  <c r="J153"/>
  <c r="M153"/>
  <c r="Q154" i="2" s="1"/>
  <c r="K153" i="3"/>
  <c r="O154" i="2" s="1"/>
  <c r="N153" i="3"/>
  <c r="I153"/>
  <c r="O156"/>
  <c r="S157" i="2" s="1"/>
  <c r="P156" i="3"/>
  <c r="M156"/>
  <c r="Q157" i="2" s="1"/>
  <c r="N156" i="3"/>
  <c r="J156"/>
  <c r="I156"/>
  <c r="H156"/>
  <c r="L157" i="2" s="1"/>
  <c r="Q160" i="3"/>
  <c r="M160"/>
  <c r="Q161" i="2" s="1"/>
  <c r="N160" i="3"/>
  <c r="J160"/>
  <c r="H160"/>
  <c r="L161" i="2" s="1"/>
  <c r="F160" i="3"/>
  <c r="L160"/>
  <c r="Q162"/>
  <c r="M162"/>
  <c r="Q163" i="2" s="1"/>
  <c r="N162" i="3"/>
  <c r="O162"/>
  <c r="S163" i="2" s="1"/>
  <c r="J162" i="3"/>
  <c r="I162"/>
  <c r="H162"/>
  <c r="L163" i="2" s="1"/>
  <c r="Q166" i="3"/>
  <c r="M166"/>
  <c r="Q167" i="2" s="1"/>
  <c r="O166" i="3"/>
  <c r="S167" i="2" s="1"/>
  <c r="P166" i="3"/>
  <c r="N166"/>
  <c r="J166"/>
  <c r="I166"/>
  <c r="H166"/>
  <c r="L167" i="2" s="1"/>
  <c r="Q172" i="3"/>
  <c r="M172"/>
  <c r="Q173" i="2" s="1"/>
  <c r="N172" i="3"/>
  <c r="O172"/>
  <c r="S173" i="2" s="1"/>
  <c r="P172" i="3"/>
  <c r="J172"/>
  <c r="I172"/>
  <c r="G172"/>
  <c r="H172"/>
  <c r="L173" i="2" s="1"/>
  <c r="Q178" i="3"/>
  <c r="M178"/>
  <c r="Q179" i="2" s="1"/>
  <c r="O178" i="3"/>
  <c r="S179" i="2" s="1"/>
  <c r="P178" i="3"/>
  <c r="J178"/>
  <c r="N178"/>
  <c r="H178"/>
  <c r="L179" i="2" s="1"/>
  <c r="Q184" i="3"/>
  <c r="M184"/>
  <c r="Q185" i="2" s="1"/>
  <c r="N184" i="3"/>
  <c r="J184"/>
  <c r="O184"/>
  <c r="S185" i="2" s="1"/>
  <c r="P184" i="3"/>
  <c r="G184"/>
  <c r="Q188"/>
  <c r="M188"/>
  <c r="Q189" i="2" s="1"/>
  <c r="N188" i="3"/>
  <c r="O188"/>
  <c r="S189" i="2" s="1"/>
  <c r="J188" i="3"/>
  <c r="P188"/>
  <c r="G188"/>
  <c r="Q194"/>
  <c r="M194"/>
  <c r="Q195" i="2" s="1"/>
  <c r="P194" i="3"/>
  <c r="N194"/>
  <c r="O194"/>
  <c r="S195" i="2" s="1"/>
  <c r="J194" i="3"/>
  <c r="Q197"/>
  <c r="M197"/>
  <c r="Q198" i="2" s="1"/>
  <c r="N197" i="3"/>
  <c r="O197"/>
  <c r="S198" i="2" s="1"/>
  <c r="P197" i="3"/>
  <c r="J197"/>
  <c r="G197"/>
  <c r="Q200"/>
  <c r="M200"/>
  <c r="Q201" i="2" s="1"/>
  <c r="N200" i="3"/>
  <c r="O200"/>
  <c r="S201" i="2" s="1"/>
  <c r="P200" i="3"/>
  <c r="J200"/>
  <c r="G200"/>
  <c r="Q204"/>
  <c r="M204"/>
  <c r="Q205" i="2" s="1"/>
  <c r="O204" i="3"/>
  <c r="S205" i="2" s="1"/>
  <c r="P204" i="3"/>
  <c r="J204"/>
  <c r="Q206"/>
  <c r="M206"/>
  <c r="Q207" i="2" s="1"/>
  <c r="P206" i="3"/>
  <c r="J206"/>
  <c r="Q210"/>
  <c r="M210"/>
  <c r="Q211" i="2" s="1"/>
  <c r="N210" i="3"/>
  <c r="J210"/>
  <c r="G210"/>
  <c r="Q213"/>
  <c r="M213"/>
  <c r="Q214" i="2" s="1"/>
  <c r="N213" i="3"/>
  <c r="O213"/>
  <c r="S214" i="2" s="1"/>
  <c r="J213" i="3"/>
  <c r="Q216"/>
  <c r="M216"/>
  <c r="Q217" i="2" s="1"/>
  <c r="O216" i="3"/>
  <c r="S217" i="2" s="1"/>
  <c r="P216" i="3"/>
  <c r="N216"/>
  <c r="J216"/>
  <c r="G216"/>
  <c r="Q220"/>
  <c r="M220"/>
  <c r="Q221" i="2" s="1"/>
  <c r="P220" i="3"/>
  <c r="N220"/>
  <c r="O220"/>
  <c r="S221" i="2" s="1"/>
  <c r="J220" i="3"/>
  <c r="Q222"/>
  <c r="M222"/>
  <c r="Q223" i="2" s="1"/>
  <c r="N222" i="3"/>
  <c r="O222"/>
  <c r="S223" i="2" s="1"/>
  <c r="P222" i="3"/>
  <c r="J222"/>
  <c r="G222"/>
  <c r="Q226"/>
  <c r="M226"/>
  <c r="Q227" i="2" s="1"/>
  <c r="N226" i="3"/>
  <c r="O226"/>
  <c r="S227" i="2" s="1"/>
  <c r="P226" i="3"/>
  <c r="J226"/>
  <c r="Q232"/>
  <c r="M232"/>
  <c r="Q233" i="2" s="1"/>
  <c r="P232" i="3"/>
  <c r="J232"/>
  <c r="N232"/>
  <c r="O232"/>
  <c r="S233" i="2" s="1"/>
  <c r="Q238" i="3"/>
  <c r="M238"/>
  <c r="Q239" i="2" s="1"/>
  <c r="P238" i="3"/>
  <c r="N238"/>
  <c r="O238"/>
  <c r="S239" i="2" s="1"/>
  <c r="J238" i="3"/>
  <c r="Q244"/>
  <c r="M244"/>
  <c r="Q245" i="2" s="1"/>
  <c r="P244" i="3"/>
  <c r="N244"/>
  <c r="O244"/>
  <c r="S245" i="2" s="1"/>
  <c r="J244" i="3"/>
  <c r="Q248"/>
  <c r="M248"/>
  <c r="Q249" i="2" s="1"/>
  <c r="P248" i="3"/>
  <c r="N248"/>
  <c r="O248"/>
  <c r="S249" i="2" s="1"/>
  <c r="J248" i="3"/>
  <c r="G248"/>
  <c r="Q254"/>
  <c r="M254"/>
  <c r="Q255" i="2" s="1"/>
  <c r="P254" i="3"/>
  <c r="J254"/>
  <c r="G254"/>
  <c r="Q257"/>
  <c r="M257"/>
  <c r="Q258" i="2" s="1"/>
  <c r="P257" i="3"/>
  <c r="N257"/>
  <c r="O257"/>
  <c r="S258" i="2" s="1"/>
  <c r="J257" i="3"/>
  <c r="Q260"/>
  <c r="M260"/>
  <c r="Q261" i="2" s="1"/>
  <c r="P260" i="3"/>
  <c r="N260"/>
  <c r="O260"/>
  <c r="S261" i="2" s="1"/>
  <c r="J260" i="3"/>
  <c r="G260"/>
  <c r="Q264"/>
  <c r="M264"/>
  <c r="Q265" i="2" s="1"/>
  <c r="P264" i="3"/>
  <c r="N264"/>
  <c r="O264"/>
  <c r="S265" i="2" s="1"/>
  <c r="J264" i="3"/>
  <c r="Q266"/>
  <c r="M266"/>
  <c r="Q267" i="2" s="1"/>
  <c r="P266" i="3"/>
  <c r="J266"/>
  <c r="N266"/>
  <c r="G266"/>
  <c r="O266"/>
  <c r="S267" i="2" s="1"/>
  <c r="Q270" i="3"/>
  <c r="M270"/>
  <c r="Q271" i="2" s="1"/>
  <c r="P270" i="3"/>
  <c r="N270"/>
  <c r="O270"/>
  <c r="S271" i="2" s="1"/>
  <c r="J270" i="3"/>
  <c r="Q273"/>
  <c r="M273"/>
  <c r="Q274" i="2" s="1"/>
  <c r="P273" i="3"/>
  <c r="N273"/>
  <c r="O273"/>
  <c r="S274" i="2" s="1"/>
  <c r="J273" i="3"/>
  <c r="G273"/>
  <c r="G178"/>
  <c r="G204"/>
  <c r="P59"/>
  <c r="P71"/>
  <c r="P85"/>
  <c r="P97"/>
  <c r="P109"/>
  <c r="P122"/>
  <c r="P135"/>
  <c r="P160"/>
  <c r="O206"/>
  <c r="S207" i="2" s="1"/>
  <c r="O254" i="3"/>
  <c r="S255" i="2" s="1"/>
  <c r="O122" i="3"/>
  <c r="S123" i="2" s="1"/>
  <c r="S399" s="1"/>
  <c r="N125" i="4" s="1"/>
  <c r="O135" i="3"/>
  <c r="S136" i="2" s="1"/>
  <c r="Q144" i="3"/>
  <c r="O160"/>
  <c r="S161" i="2" s="1"/>
  <c r="N206" i="3"/>
  <c r="P213"/>
  <c r="N254"/>
  <c r="O35"/>
  <c r="S36" i="2" s="1"/>
  <c r="S312" s="1"/>
  <c r="N38" i="4" s="1"/>
  <c r="P35" i="3"/>
  <c r="O39"/>
  <c r="S40" i="2" s="1"/>
  <c r="S316" s="1"/>
  <c r="N42" i="4" s="1"/>
  <c r="P39" i="3"/>
  <c r="O41"/>
  <c r="S42" i="2" s="1"/>
  <c r="S318" s="1"/>
  <c r="N44" i="4" s="1"/>
  <c r="P41" i="3"/>
  <c r="O45"/>
  <c r="S46" i="2" s="1"/>
  <c r="S322" s="1"/>
  <c r="N48" i="4" s="1"/>
  <c r="P45" i="3"/>
  <c r="O48"/>
  <c r="S49" i="2" s="1"/>
  <c r="S325" s="1"/>
  <c r="N51" i="4" s="1"/>
  <c r="P48" i="3"/>
  <c r="O51"/>
  <c r="S52" i="2" s="1"/>
  <c r="S328" s="1"/>
  <c r="N54" i="4" s="1"/>
  <c r="P51" i="3"/>
  <c r="O55"/>
  <c r="S56" i="2" s="1"/>
  <c r="S332" s="1"/>
  <c r="N58" i="4" s="1"/>
  <c r="P55" i="3"/>
  <c r="O57"/>
  <c r="S58" i="2" s="1"/>
  <c r="S334" s="1"/>
  <c r="N60" i="4" s="1"/>
  <c r="P57" i="3"/>
  <c r="O61"/>
  <c r="S62" i="2" s="1"/>
  <c r="S338" s="1"/>
  <c r="N64" i="4" s="1"/>
  <c r="P61" i="3"/>
  <c r="O67"/>
  <c r="S68" i="2" s="1"/>
  <c r="S344" s="1"/>
  <c r="N70" i="4" s="1"/>
  <c r="P67" i="3"/>
  <c r="O73"/>
  <c r="S74" i="2" s="1"/>
  <c r="S350" s="1"/>
  <c r="N76" i="4" s="1"/>
  <c r="P73" i="3"/>
  <c r="O79"/>
  <c r="S80" i="2" s="1"/>
  <c r="S356" s="1"/>
  <c r="N82" i="4" s="1"/>
  <c r="P79" i="3"/>
  <c r="O83"/>
  <c r="S84" i="2" s="1"/>
  <c r="S360" s="1"/>
  <c r="N86" i="4" s="1"/>
  <c r="P83" i="3"/>
  <c r="O89"/>
  <c r="S90" i="2" s="1"/>
  <c r="S366" s="1"/>
  <c r="N92" i="4" s="1"/>
  <c r="P89" i="3"/>
  <c r="O92"/>
  <c r="S93" i="2" s="1"/>
  <c r="S369" s="1"/>
  <c r="N95" i="4" s="1"/>
  <c r="P92" i="3"/>
  <c r="O95"/>
  <c r="S96" i="2" s="1"/>
  <c r="S372" s="1"/>
  <c r="N98" i="4" s="1"/>
  <c r="P95" i="3"/>
  <c r="O99"/>
  <c r="S100" i="2" s="1"/>
  <c r="S376" s="1"/>
  <c r="N102" i="4" s="1"/>
  <c r="P99" i="3"/>
  <c r="O101"/>
  <c r="S102" i="2" s="1"/>
  <c r="S378" s="1"/>
  <c r="N104" i="4" s="1"/>
  <c r="P101" i="3"/>
  <c r="O105"/>
  <c r="S106" i="2" s="1"/>
  <c r="S382" s="1"/>
  <c r="N108" i="4" s="1"/>
  <c r="P105" i="3"/>
  <c r="O108"/>
  <c r="S109" i="2" s="1"/>
  <c r="S385" s="1"/>
  <c r="N111" i="4" s="1"/>
  <c r="P108" i="3"/>
  <c r="O111"/>
  <c r="S112" i="2" s="1"/>
  <c r="S388" s="1"/>
  <c r="N114" i="4" s="1"/>
  <c r="P111" i="3"/>
  <c r="O115"/>
  <c r="S116" i="2" s="1"/>
  <c r="S392" s="1"/>
  <c r="N118" i="4" s="1"/>
  <c r="P115" i="3"/>
  <c r="O117"/>
  <c r="S118" i="2" s="1"/>
  <c r="S394" s="1"/>
  <c r="N120" i="4" s="1"/>
  <c r="P117" i="3"/>
  <c r="O121"/>
  <c r="S122" i="2" s="1"/>
  <c r="S398" s="1"/>
  <c r="N124" i="4" s="1"/>
  <c r="P121" i="3"/>
  <c r="H127"/>
  <c r="L128" i="2" s="1"/>
  <c r="O127" i="3"/>
  <c r="S128" i="2" s="1"/>
  <c r="P127" i="3"/>
  <c r="H133"/>
  <c r="L134" i="2" s="1"/>
  <c r="O133" i="3"/>
  <c r="S134" i="2" s="1"/>
  <c r="P133" i="3"/>
  <c r="H139"/>
  <c r="L140" i="2" s="1"/>
  <c r="O139" i="3"/>
  <c r="S140" i="2" s="1"/>
  <c r="P139" i="3"/>
  <c r="H142"/>
  <c r="L143" i="2" s="1"/>
  <c r="Q142" i="3"/>
  <c r="M142"/>
  <c r="Q143" i="2" s="1"/>
  <c r="N142" i="3"/>
  <c r="O142"/>
  <c r="S143" i="2" s="1"/>
  <c r="P142" i="3"/>
  <c r="H148"/>
  <c r="L149" i="2" s="1"/>
  <c r="Q148" i="3"/>
  <c r="M148"/>
  <c r="Q149" i="2" s="1"/>
  <c r="N148" i="3"/>
  <c r="O148"/>
  <c r="S149" i="2" s="1"/>
  <c r="P148" i="3"/>
  <c r="H154"/>
  <c r="L155" i="2" s="1"/>
  <c r="Q154" i="3"/>
  <c r="M154"/>
  <c r="Q155" i="2" s="1"/>
  <c r="N154" i="3"/>
  <c r="O154"/>
  <c r="S155" i="2" s="1"/>
  <c r="P154" i="3"/>
  <c r="H158"/>
  <c r="L159" i="2" s="1"/>
  <c r="Q158" i="3"/>
  <c r="M158"/>
  <c r="Q159" i="2" s="1"/>
  <c r="N158" i="3"/>
  <c r="O164"/>
  <c r="S165" i="2" s="1"/>
  <c r="N164" i="3"/>
  <c r="P164"/>
  <c r="M164"/>
  <c r="Q165" i="2" s="1"/>
  <c r="O167" i="3"/>
  <c r="S168" i="2" s="1"/>
  <c r="P167" i="3"/>
  <c r="Q167"/>
  <c r="M167"/>
  <c r="Q168" i="2" s="1"/>
  <c r="N167" i="3"/>
  <c r="O170"/>
  <c r="S171" i="2" s="1"/>
  <c r="Q170" i="3"/>
  <c r="M170"/>
  <c r="Q171" i="2" s="1"/>
  <c r="N170" i="3"/>
  <c r="P170"/>
  <c r="O174"/>
  <c r="S175" i="2" s="1"/>
  <c r="M174" i="3"/>
  <c r="Q175" i="2" s="1"/>
  <c r="N174" i="3"/>
  <c r="P174"/>
  <c r="Q174"/>
  <c r="O176"/>
  <c r="S177" i="2" s="1"/>
  <c r="N176" i="3"/>
  <c r="P176"/>
  <c r="Q176"/>
  <c r="O180"/>
  <c r="S181" i="2" s="1"/>
  <c r="P180" i="3"/>
  <c r="Q180"/>
  <c r="O183"/>
  <c r="S184" i="2" s="1"/>
  <c r="Q183" i="3"/>
  <c r="M183"/>
  <c r="Q184" i="2" s="1"/>
  <c r="O186" i="3"/>
  <c r="S187" i="2" s="1"/>
  <c r="M186" i="3"/>
  <c r="Q187" i="2" s="1"/>
  <c r="N186" i="3"/>
  <c r="O190"/>
  <c r="S191" i="2" s="1"/>
  <c r="N190" i="3"/>
  <c r="P190"/>
  <c r="M190"/>
  <c r="Q191" i="2" s="1"/>
  <c r="O192" i="3"/>
  <c r="S193" i="2" s="1"/>
  <c r="P192" i="3"/>
  <c r="Q192"/>
  <c r="M192"/>
  <c r="Q193" i="2" s="1"/>
  <c r="N192" i="3"/>
  <c r="O196"/>
  <c r="S197" i="2" s="1"/>
  <c r="Q196" i="3"/>
  <c r="M196"/>
  <c r="Q197" i="2" s="1"/>
  <c r="N196" i="3"/>
  <c r="P196"/>
  <c r="O202"/>
  <c r="S203" i="2" s="1"/>
  <c r="N202" i="3"/>
  <c r="P202"/>
  <c r="Q202"/>
  <c r="O208"/>
  <c r="S209" i="2" s="1"/>
  <c r="Q208" i="3"/>
  <c r="M208"/>
  <c r="Q209" i="2" s="1"/>
  <c r="G208" i="3"/>
  <c r="O214"/>
  <c r="S215" i="2" s="1"/>
  <c r="N214" i="3"/>
  <c r="P214"/>
  <c r="G214"/>
  <c r="M214"/>
  <c r="Q215" i="2" s="1"/>
  <c r="O218" i="3"/>
  <c r="S219" i="2" s="1"/>
  <c r="P218" i="3"/>
  <c r="Q218"/>
  <c r="M218"/>
  <c r="Q219" i="2" s="1"/>
  <c r="G218" i="3"/>
  <c r="N218"/>
  <c r="O224"/>
  <c r="S225" i="2" s="1"/>
  <c r="M224" i="3"/>
  <c r="Q225" i="2" s="1"/>
  <c r="N224" i="3"/>
  <c r="P224"/>
  <c r="G224"/>
  <c r="Q224"/>
  <c r="O227"/>
  <c r="S228" i="2" s="1"/>
  <c r="N227" i="3"/>
  <c r="P227"/>
  <c r="Q227"/>
  <c r="G227"/>
  <c r="O230"/>
  <c r="S231" i="2" s="1"/>
  <c r="P230" i="3"/>
  <c r="Q230"/>
  <c r="G230"/>
  <c r="O234"/>
  <c r="S235" i="2" s="1"/>
  <c r="N234" i="3"/>
  <c r="M234"/>
  <c r="Q235" i="2" s="1"/>
  <c r="G234" i="3"/>
  <c r="O236"/>
  <c r="S237" i="2" s="1"/>
  <c r="N236" i="3"/>
  <c r="P236"/>
  <c r="Q236"/>
  <c r="G236"/>
  <c r="O240"/>
  <c r="S241" i="2" s="1"/>
  <c r="N240" i="3"/>
  <c r="M240"/>
  <c r="Q241" i="2" s="1"/>
  <c r="P240" i="3"/>
  <c r="G240"/>
  <c r="Q240"/>
  <c r="O243"/>
  <c r="S244" i="2" s="1"/>
  <c r="N243" i="3"/>
  <c r="P243"/>
  <c r="Q243"/>
  <c r="G243"/>
  <c r="M243"/>
  <c r="Q244" i="2" s="1"/>
  <c r="O246" i="3"/>
  <c r="S247" i="2" s="1"/>
  <c r="N246" i="3"/>
  <c r="M246"/>
  <c r="Q247" i="2" s="1"/>
  <c r="G246" i="3"/>
  <c r="O250"/>
  <c r="S251" i="2" s="1"/>
  <c r="N250" i="3"/>
  <c r="P250"/>
  <c r="Q250"/>
  <c r="G250"/>
  <c r="O252"/>
  <c r="S253" i="2" s="1"/>
  <c r="N252" i="3"/>
  <c r="M252"/>
  <c r="Q253" i="2" s="1"/>
  <c r="P252" i="3"/>
  <c r="G252"/>
  <c r="Q252"/>
  <c r="O256"/>
  <c r="S257" i="2" s="1"/>
  <c r="N256" i="3"/>
  <c r="P256"/>
  <c r="Q256"/>
  <c r="G256"/>
  <c r="M256"/>
  <c r="Q257" i="2" s="1"/>
  <c r="O262" i="3"/>
  <c r="S263" i="2" s="1"/>
  <c r="N262" i="3"/>
  <c r="P262"/>
  <c r="Q262"/>
  <c r="G262"/>
  <c r="O268"/>
  <c r="S269" i="2" s="1"/>
  <c r="N268" i="3"/>
  <c r="P268"/>
  <c r="Q268"/>
  <c r="G268"/>
  <c r="M268"/>
  <c r="Q269" i="2" s="1"/>
  <c r="O274" i="3"/>
  <c r="S275" i="2" s="1"/>
  <c r="N274" i="3"/>
  <c r="P274"/>
  <c r="Q274"/>
  <c r="G274"/>
  <c r="G180"/>
  <c r="G189"/>
  <c r="G192"/>
  <c r="J35"/>
  <c r="J41"/>
  <c r="J48"/>
  <c r="J55"/>
  <c r="J61"/>
  <c r="J67"/>
  <c r="J73"/>
  <c r="J79"/>
  <c r="J92"/>
  <c r="J99"/>
  <c r="J105"/>
  <c r="J111"/>
  <c r="J117"/>
  <c r="J142"/>
  <c r="J148"/>
  <c r="J154"/>
  <c r="J167"/>
  <c r="J174"/>
  <c r="J180"/>
  <c r="J186"/>
  <c r="J192"/>
  <c r="J218"/>
  <c r="J224"/>
  <c r="J230"/>
  <c r="J236"/>
  <c r="J243"/>
  <c r="J250"/>
  <c r="J256"/>
  <c r="J262"/>
  <c r="J268"/>
  <c r="J274"/>
  <c r="N39"/>
  <c r="N45"/>
  <c r="N51"/>
  <c r="N57"/>
  <c r="N83"/>
  <c r="N89"/>
  <c r="N95"/>
  <c r="N101"/>
  <c r="N108"/>
  <c r="N115"/>
  <c r="N121"/>
  <c r="N127"/>
  <c r="N133"/>
  <c r="N139"/>
  <c r="P158"/>
  <c r="M202"/>
  <c r="Q203" i="2" s="1"/>
  <c r="P208" i="3"/>
  <c r="M236"/>
  <c r="Q237" i="2" s="1"/>
  <c r="Q246" i="3"/>
  <c r="M262"/>
  <c r="Q263" i="2" s="1"/>
  <c r="P34" i="3"/>
  <c r="Q34"/>
  <c r="M34"/>
  <c r="Q35" i="2" s="1"/>
  <c r="Q311" s="1"/>
  <c r="L37" i="4" s="1"/>
  <c r="K38" i="3"/>
  <c r="O39" i="2" s="1"/>
  <c r="O315" s="1"/>
  <c r="J41" i="4" s="1"/>
  <c r="P38" i="3"/>
  <c r="Q38"/>
  <c r="M38"/>
  <c r="Q39" i="2" s="1"/>
  <c r="Q315" s="1"/>
  <c r="L41" i="4" s="1"/>
  <c r="K44" i="3"/>
  <c r="O45" i="2" s="1"/>
  <c r="O321" s="1"/>
  <c r="J47" i="4" s="1"/>
  <c r="P44" i="3"/>
  <c r="Q44"/>
  <c r="M44"/>
  <c r="Q45" i="2" s="1"/>
  <c r="Q321" s="1"/>
  <c r="L47" i="4" s="1"/>
  <c r="K47" i="3"/>
  <c r="O48" i="2" s="1"/>
  <c r="O324" s="1"/>
  <c r="J50" i="4" s="1"/>
  <c r="P47" i="3"/>
  <c r="Q47"/>
  <c r="M47"/>
  <c r="Q48" i="2" s="1"/>
  <c r="Q324" s="1"/>
  <c r="L50" i="4" s="1"/>
  <c r="K50" i="3"/>
  <c r="O51" i="2" s="1"/>
  <c r="O327" s="1"/>
  <c r="J53" i="4" s="1"/>
  <c r="P50" i="3"/>
  <c r="Q50"/>
  <c r="M50"/>
  <c r="Q51" i="2" s="1"/>
  <c r="Q327" s="1"/>
  <c r="L53" i="4" s="1"/>
  <c r="K54" i="3"/>
  <c r="O55" i="2" s="1"/>
  <c r="O331" s="1"/>
  <c r="J57" i="4" s="1"/>
  <c r="P54" i="3"/>
  <c r="Q54"/>
  <c r="M54"/>
  <c r="Q55" i="2" s="1"/>
  <c r="Q331" s="1"/>
  <c r="L57" i="4" s="1"/>
  <c r="P56" i="3"/>
  <c r="Q56"/>
  <c r="M56"/>
  <c r="Q57" i="2" s="1"/>
  <c r="Q333" s="1"/>
  <c r="L59" i="4" s="1"/>
  <c r="P60" i="3"/>
  <c r="Q60"/>
  <c r="M60"/>
  <c r="Q61" i="2" s="1"/>
  <c r="Q337" s="1"/>
  <c r="L63" i="4" s="1"/>
  <c r="P63" i="3"/>
  <c r="Q63"/>
  <c r="M63"/>
  <c r="Q64" i="2" s="1"/>
  <c r="Q340" s="1"/>
  <c r="L66" i="4" s="1"/>
  <c r="P66" i="3"/>
  <c r="Q66"/>
  <c r="M66"/>
  <c r="Q67" i="2" s="1"/>
  <c r="Q343" s="1"/>
  <c r="L69" i="4" s="1"/>
  <c r="P70" i="3"/>
  <c r="Q70"/>
  <c r="M70"/>
  <c r="Q71" i="2" s="1"/>
  <c r="Q347" s="1"/>
  <c r="L73" i="4" s="1"/>
  <c r="P72" i="3"/>
  <c r="Q72"/>
  <c r="M72"/>
  <c r="Q73" i="2" s="1"/>
  <c r="Q349" s="1"/>
  <c r="L75" i="4" s="1"/>
  <c r="P76" i="3"/>
  <c r="Q76"/>
  <c r="M76"/>
  <c r="P82"/>
  <c r="Q82"/>
  <c r="M82"/>
  <c r="Q83" i="2" s="1"/>
  <c r="Q359" s="1"/>
  <c r="L85" i="4" s="1"/>
  <c r="P88" i="3"/>
  <c r="Q88"/>
  <c r="M88"/>
  <c r="Q89" i="2" s="1"/>
  <c r="Q365" s="1"/>
  <c r="L91" i="4" s="1"/>
  <c r="P94" i="3"/>
  <c r="Q94"/>
  <c r="M94"/>
  <c r="Q95" i="2" s="1"/>
  <c r="Q371" s="1"/>
  <c r="L97" i="4" s="1"/>
  <c r="P98" i="3"/>
  <c r="Q98"/>
  <c r="M98"/>
  <c r="Q99" i="2" s="1"/>
  <c r="Q375" s="1"/>
  <c r="L101" i="4" s="1"/>
  <c r="P104" i="3"/>
  <c r="Q104"/>
  <c r="M104"/>
  <c r="Q105" i="2" s="1"/>
  <c r="Q381" s="1"/>
  <c r="L107" i="4" s="1"/>
  <c r="P107" i="3"/>
  <c r="Q107"/>
  <c r="M107"/>
  <c r="Q108" i="2" s="1"/>
  <c r="Q384" s="1"/>
  <c r="L110" i="4" s="1"/>
  <c r="P110" i="3"/>
  <c r="Q110"/>
  <c r="M110"/>
  <c r="Q111" i="2" s="1"/>
  <c r="Q387" s="1"/>
  <c r="L113" i="4" s="1"/>
  <c r="P114" i="3"/>
  <c r="Q114"/>
  <c r="M114"/>
  <c r="Q115" i="2" s="1"/>
  <c r="Q391" s="1"/>
  <c r="L117" i="4" s="1"/>
  <c r="P116" i="3"/>
  <c r="Q116"/>
  <c r="M116"/>
  <c r="Q117" i="2" s="1"/>
  <c r="Q393" s="1"/>
  <c r="L119" i="4" s="1"/>
  <c r="P120" i="3"/>
  <c r="Q120"/>
  <c r="M120"/>
  <c r="Q121" i="2" s="1"/>
  <c r="Q397" s="1"/>
  <c r="L123" i="4" s="1"/>
  <c r="P123" i="3"/>
  <c r="Q123"/>
  <c r="M123"/>
  <c r="Q124" i="2" s="1"/>
  <c r="Q400" s="1"/>
  <c r="L126" i="4" s="1"/>
  <c r="P126" i="3"/>
  <c r="Q126"/>
  <c r="M126"/>
  <c r="Q127" i="2" s="1"/>
  <c r="P130" i="3"/>
  <c r="Q130"/>
  <c r="M130"/>
  <c r="Q131" i="2" s="1"/>
  <c r="P132" i="3"/>
  <c r="Q132"/>
  <c r="M132"/>
  <c r="Q133" i="2" s="1"/>
  <c r="P136" i="3"/>
  <c r="Q136"/>
  <c r="M136"/>
  <c r="Q137" i="2" s="1"/>
  <c r="N141" i="3"/>
  <c r="O141"/>
  <c r="S142" i="2" s="1"/>
  <c r="M141" i="3"/>
  <c r="Q142" i="2" s="1"/>
  <c r="N145" i="3"/>
  <c r="O145"/>
  <c r="S146" i="2" s="1"/>
  <c r="P145" i="3"/>
  <c r="Q145"/>
  <c r="N147"/>
  <c r="O147"/>
  <c r="S148" i="2" s="1"/>
  <c r="M147" i="3"/>
  <c r="Q148" i="2" s="1"/>
  <c r="N151" i="3"/>
  <c r="O151"/>
  <c r="S152" i="2" s="1"/>
  <c r="P151" i="3"/>
  <c r="Q151"/>
  <c r="N157"/>
  <c r="O157"/>
  <c r="S158" i="2" s="1"/>
  <c r="P157" i="3"/>
  <c r="Q157"/>
  <c r="P163"/>
  <c r="N163"/>
  <c r="O163"/>
  <c r="S164" i="2" s="1"/>
  <c r="Q163" i="3"/>
  <c r="P169"/>
  <c r="Q169"/>
  <c r="M169"/>
  <c r="Q170" i="2" s="1"/>
  <c r="P173" i="3"/>
  <c r="M173"/>
  <c r="Q174" i="2" s="1"/>
  <c r="N173" i="3"/>
  <c r="P179"/>
  <c r="O179"/>
  <c r="S180" i="2" s="1"/>
  <c r="Q179" i="3"/>
  <c r="M179"/>
  <c r="Q180" i="2" s="1"/>
  <c r="N179" i="3"/>
  <c r="P182"/>
  <c r="Q182"/>
  <c r="M182"/>
  <c r="Q183" i="2" s="1"/>
  <c r="N182" i="3"/>
  <c r="O182"/>
  <c r="S183" i="2" s="1"/>
  <c r="P185" i="3"/>
  <c r="M185"/>
  <c r="Q186" i="2" s="1"/>
  <c r="N185" i="3"/>
  <c r="O185"/>
  <c r="S186" i="2" s="1"/>
  <c r="Q185" i="3"/>
  <c r="P189"/>
  <c r="N189"/>
  <c r="O189"/>
  <c r="S190" i="2" s="1"/>
  <c r="Q189" i="3"/>
  <c r="P191"/>
  <c r="O191"/>
  <c r="S192" i="2" s="1"/>
  <c r="Q191" i="3"/>
  <c r="P195"/>
  <c r="Q195"/>
  <c r="M195"/>
  <c r="Q196" i="2" s="1"/>
  <c r="P198" i="3"/>
  <c r="M198"/>
  <c r="Q199" i="2" s="1"/>
  <c r="N198" i="3"/>
  <c r="P201"/>
  <c r="N201"/>
  <c r="O201"/>
  <c r="S202" i="2" s="1"/>
  <c r="M201" i="3"/>
  <c r="Q202" i="2" s="1"/>
  <c r="P205" i="3"/>
  <c r="O205"/>
  <c r="S206" i="2" s="1"/>
  <c r="Q205" i="3"/>
  <c r="M205"/>
  <c r="Q206" i="2" s="1"/>
  <c r="N205" i="3"/>
  <c r="P207"/>
  <c r="Q207"/>
  <c r="M207"/>
  <c r="Q208" i="2" s="1"/>
  <c r="N207" i="3"/>
  <c r="O207"/>
  <c r="S208" i="2" s="1"/>
  <c r="P211" i="3"/>
  <c r="M211"/>
  <c r="Q212" i="2" s="1"/>
  <c r="N211" i="3"/>
  <c r="O211"/>
  <c r="S212" i="2" s="1"/>
  <c r="Q211" i="3"/>
  <c r="P217"/>
  <c r="O217"/>
  <c r="S218" i="2" s="1"/>
  <c r="Q217" i="3"/>
  <c r="P223"/>
  <c r="M223"/>
  <c r="Q224" i="2" s="1"/>
  <c r="N223" i="3"/>
  <c r="P229"/>
  <c r="O229"/>
  <c r="S230" i="2" s="1"/>
  <c r="Q229" i="3"/>
  <c r="M229"/>
  <c r="Q230" i="2" s="1"/>
  <c r="N229" i="3"/>
  <c r="P233"/>
  <c r="Q233"/>
  <c r="M233"/>
  <c r="Q234" i="2" s="1"/>
  <c r="N233" i="3"/>
  <c r="O233"/>
  <c r="S234" i="2" s="1"/>
  <c r="P239" i="3"/>
  <c r="O239"/>
  <c r="S240" i="2" s="1"/>
  <c r="Q239" i="3"/>
  <c r="P242"/>
  <c r="O242"/>
  <c r="S243" i="2" s="1"/>
  <c r="M242" i="3"/>
  <c r="Q243" i="2" s="1"/>
  <c r="N242" i="3"/>
  <c r="Q242"/>
  <c r="P245"/>
  <c r="O245"/>
  <c r="S246" i="2" s="1"/>
  <c r="Q245" i="3"/>
  <c r="M245"/>
  <c r="Q246" i="2" s="1"/>
  <c r="N245" i="3"/>
  <c r="P249"/>
  <c r="O249"/>
  <c r="S250" i="2" s="1"/>
  <c r="M249" i="3"/>
  <c r="Q250" i="2" s="1"/>
  <c r="N249" i="3"/>
  <c r="P251"/>
  <c r="O251"/>
  <c r="S252" i="2" s="1"/>
  <c r="Q251" i="3"/>
  <c r="P255"/>
  <c r="O255"/>
  <c r="S256" i="2" s="1"/>
  <c r="M255" i="3"/>
  <c r="Q256" i="2" s="1"/>
  <c r="N255" i="3"/>
  <c r="Q255"/>
  <c r="P258"/>
  <c r="O258"/>
  <c r="S259" i="2" s="1"/>
  <c r="Q258" i="3"/>
  <c r="M258"/>
  <c r="Q259" i="2" s="1"/>
  <c r="N258" i="3"/>
  <c r="P261"/>
  <c r="O261"/>
  <c r="S262" i="2" s="1"/>
  <c r="M261" i="3"/>
  <c r="Q262" i="2" s="1"/>
  <c r="N261" i="3"/>
  <c r="P265"/>
  <c r="O265"/>
  <c r="S266" i="2" s="1"/>
  <c r="Q265" i="3"/>
  <c r="P267"/>
  <c r="O267"/>
  <c r="S268" i="2" s="1"/>
  <c r="M267" i="3"/>
  <c r="Q268" i="2" s="1"/>
  <c r="N267" i="3"/>
  <c r="Q267"/>
  <c r="P271"/>
  <c r="O271"/>
  <c r="S272" i="2" s="1"/>
  <c r="Q271" i="3"/>
  <c r="M271"/>
  <c r="Q272" i="2" s="1"/>
  <c r="N271" i="3"/>
  <c r="G35"/>
  <c r="G39"/>
  <c r="G41"/>
  <c r="G45"/>
  <c r="G48"/>
  <c r="G51"/>
  <c r="G55"/>
  <c r="G57"/>
  <c r="G61"/>
  <c r="G67"/>
  <c r="G73"/>
  <c r="G79"/>
  <c r="G83"/>
  <c r="G89"/>
  <c r="G92"/>
  <c r="G95"/>
  <c r="G99"/>
  <c r="G101"/>
  <c r="G105"/>
  <c r="G108"/>
  <c r="G111"/>
  <c r="G115"/>
  <c r="G117"/>
  <c r="G121"/>
  <c r="G127"/>
  <c r="G133"/>
  <c r="G139"/>
  <c r="G142"/>
  <c r="G148"/>
  <c r="G154"/>
  <c r="G158"/>
  <c r="G164"/>
  <c r="G167"/>
  <c r="G170"/>
  <c r="G179"/>
  <c r="G183"/>
  <c r="G191"/>
  <c r="G196"/>
  <c r="G205"/>
  <c r="J34"/>
  <c r="J47"/>
  <c r="J54"/>
  <c r="J60"/>
  <c r="J66"/>
  <c r="J72"/>
  <c r="J98"/>
  <c r="J104"/>
  <c r="J110"/>
  <c r="J116"/>
  <c r="J123"/>
  <c r="J130"/>
  <c r="J136"/>
  <c r="J141"/>
  <c r="J147"/>
  <c r="J173"/>
  <c r="J179"/>
  <c r="J185"/>
  <c r="J191"/>
  <c r="J198"/>
  <c r="J205"/>
  <c r="J211"/>
  <c r="J217"/>
  <c r="J223"/>
  <c r="J229"/>
  <c r="J242"/>
  <c r="J249"/>
  <c r="J255"/>
  <c r="J261"/>
  <c r="J267"/>
  <c r="N34"/>
  <c r="Q35"/>
  <c r="M39"/>
  <c r="Q40" i="2" s="1"/>
  <c r="Q316" s="1"/>
  <c r="L42" i="4" s="1"/>
  <c r="Q41" i="3"/>
  <c r="M45"/>
  <c r="Q46" i="2" s="1"/>
  <c r="Q322" s="1"/>
  <c r="L48" i="4" s="1"/>
  <c r="N47" i="3"/>
  <c r="Q48"/>
  <c r="M51"/>
  <c r="Q52" i="2" s="1"/>
  <c r="Q328" s="1"/>
  <c r="L54" i="4" s="1"/>
  <c r="N54" i="3"/>
  <c r="Q55"/>
  <c r="M57"/>
  <c r="Q58" i="2" s="1"/>
  <c r="Q334" s="1"/>
  <c r="L60" i="4" s="1"/>
  <c r="N60" i="3"/>
  <c r="Q61"/>
  <c r="N66"/>
  <c r="Q67"/>
  <c r="N72"/>
  <c r="Q73"/>
  <c r="Q79"/>
  <c r="M83"/>
  <c r="Q84" i="2" s="1"/>
  <c r="Q360" s="1"/>
  <c r="L86" i="4" s="1"/>
  <c r="M89" i="3"/>
  <c r="Q90" i="2" s="1"/>
  <c r="Q366" s="1"/>
  <c r="L92" i="4" s="1"/>
  <c r="Q92" i="3"/>
  <c r="M95"/>
  <c r="Q96" i="2" s="1"/>
  <c r="Q372" s="1"/>
  <c r="L98" i="4" s="1"/>
  <c r="N98" i="3"/>
  <c r="Q99"/>
  <c r="M101"/>
  <c r="Q102" i="2" s="1"/>
  <c r="Q378" s="1"/>
  <c r="L104" i="4" s="1"/>
  <c r="N104" i="3"/>
  <c r="Q105"/>
  <c r="M108"/>
  <c r="Q109" i="2" s="1"/>
  <c r="Q385" s="1"/>
  <c r="L111" i="4" s="1"/>
  <c r="N110" i="3"/>
  <c r="Q111"/>
  <c r="M115"/>
  <c r="Q116" i="2" s="1"/>
  <c r="Q392" s="1"/>
  <c r="L118" i="4" s="1"/>
  <c r="N116" i="3"/>
  <c r="Q117"/>
  <c r="M121"/>
  <c r="Q122" i="2" s="1"/>
  <c r="Q398" s="1"/>
  <c r="L124" i="4" s="1"/>
  <c r="N123" i="3"/>
  <c r="M127"/>
  <c r="Q128" i="2" s="1"/>
  <c r="N130" i="3"/>
  <c r="M133"/>
  <c r="Q134" i="2" s="1"/>
  <c r="N136" i="3"/>
  <c r="M139"/>
  <c r="Q140" i="2" s="1"/>
  <c r="P147" i="3"/>
  <c r="O158"/>
  <c r="S159" i="2" s="1"/>
  <c r="Q164" i="3"/>
  <c r="M191"/>
  <c r="Q192" i="2" s="1"/>
  <c r="N195" i="3"/>
  <c r="O198"/>
  <c r="S199" i="2" s="1"/>
  <c r="Q201" i="3"/>
  <c r="N208"/>
  <c r="Q214"/>
  <c r="P246"/>
  <c r="M251"/>
  <c r="Q252" i="2" s="1"/>
  <c r="Q261" i="3"/>
  <c r="H56"/>
  <c r="L57" i="2" s="1"/>
  <c r="L333" s="1"/>
  <c r="H60" i="3"/>
  <c r="L61" i="2" s="1"/>
  <c r="L337" s="1"/>
  <c r="H63" i="3"/>
  <c r="L64" i="2" s="1"/>
  <c r="L340" s="1"/>
  <c r="H66" i="3"/>
  <c r="L67" i="2" s="1"/>
  <c r="L343" s="1"/>
  <c r="H70" i="3"/>
  <c r="L71" i="2" s="1"/>
  <c r="L347" s="1"/>
  <c r="H72" i="3"/>
  <c r="L73" i="2" s="1"/>
  <c r="L349" s="1"/>
  <c r="H76" i="3"/>
  <c r="H82"/>
  <c r="L83" i="2" s="1"/>
  <c r="L359" s="1"/>
  <c r="H88" i="3"/>
  <c r="L89" i="2" s="1"/>
  <c r="L365" s="1"/>
  <c r="H94" i="3"/>
  <c r="L95" i="2" s="1"/>
  <c r="L371" s="1"/>
  <c r="H98" i="3"/>
  <c r="L99" i="2" s="1"/>
  <c r="L375" s="1"/>
  <c r="H104" i="3"/>
  <c r="L105" i="2" s="1"/>
  <c r="L381" s="1"/>
  <c r="H107" i="3"/>
  <c r="L108" i="2" s="1"/>
  <c r="L384" s="1"/>
  <c r="H110" i="3"/>
  <c r="L111" i="2" s="1"/>
  <c r="L387" s="1"/>
  <c r="H114" i="3"/>
  <c r="L115" i="2" s="1"/>
  <c r="L391" s="1"/>
  <c r="H116" i="3"/>
  <c r="L117" i="2" s="1"/>
  <c r="L393" s="1"/>
  <c r="H120" i="3"/>
  <c r="L121" i="2" s="1"/>
  <c r="L397" s="1"/>
  <c r="I123" i="3"/>
  <c r="H123"/>
  <c r="L124" i="2" s="1"/>
  <c r="L400" s="1"/>
  <c r="F123" i="3"/>
  <c r="L123"/>
  <c r="I126"/>
  <c r="H126"/>
  <c r="L127" i="2" s="1"/>
  <c r="F126" i="3"/>
  <c r="L126"/>
  <c r="I130"/>
  <c r="H130"/>
  <c r="L131" i="2" s="1"/>
  <c r="F130" i="3"/>
  <c r="L130"/>
  <c r="I132"/>
  <c r="H132"/>
  <c r="L133" i="2" s="1"/>
  <c r="F132" i="3"/>
  <c r="L132"/>
  <c r="I136"/>
  <c r="H136"/>
  <c r="L137" i="2" s="1"/>
  <c r="F136" i="3"/>
  <c r="L136"/>
  <c r="I141"/>
  <c r="H141"/>
  <c r="L142" i="2" s="1"/>
  <c r="F141" i="3"/>
  <c r="L141"/>
  <c r="I145"/>
  <c r="H145"/>
  <c r="L146" i="2" s="1"/>
  <c r="F145" i="3"/>
  <c r="L145"/>
  <c r="I147"/>
  <c r="H147"/>
  <c r="L148" i="2" s="1"/>
  <c r="F147" i="3"/>
  <c r="L147"/>
  <c r="I151"/>
  <c r="H151"/>
  <c r="L152" i="2" s="1"/>
  <c r="F151" i="3"/>
  <c r="L151"/>
  <c r="I157"/>
  <c r="H157"/>
  <c r="L158" i="2" s="1"/>
  <c r="F157" i="3"/>
  <c r="L157"/>
  <c r="I163"/>
  <c r="H163"/>
  <c r="L164" i="2" s="1"/>
  <c r="F163" i="3"/>
  <c r="L163"/>
  <c r="I169"/>
  <c r="H169"/>
  <c r="L170" i="2" s="1"/>
  <c r="F169" i="3"/>
  <c r="L169"/>
  <c r="I173"/>
  <c r="H173"/>
  <c r="L174" i="2" s="1"/>
  <c r="F173" i="3"/>
  <c r="L173"/>
  <c r="I179"/>
  <c r="H179"/>
  <c r="L180" i="2" s="1"/>
  <c r="F179" i="3"/>
  <c r="L179"/>
  <c r="I182"/>
  <c r="H182"/>
  <c r="L183" i="2" s="1"/>
  <c r="F182" i="3"/>
  <c r="L182"/>
  <c r="I185"/>
  <c r="H185"/>
  <c r="L186" i="2" s="1"/>
  <c r="F185" i="3"/>
  <c r="L185"/>
  <c r="I189"/>
  <c r="H189"/>
  <c r="L190" i="2" s="1"/>
  <c r="F189" i="3"/>
  <c r="L189"/>
  <c r="I191"/>
  <c r="H191"/>
  <c r="L192" i="2" s="1"/>
  <c r="F191" i="3"/>
  <c r="L191"/>
  <c r="I195"/>
  <c r="H195"/>
  <c r="L196" i="2" s="1"/>
  <c r="F195" i="3"/>
  <c r="L195"/>
  <c r="H198"/>
  <c r="L199" i="2" s="1"/>
  <c r="F198" i="3"/>
  <c r="L198"/>
  <c r="H201"/>
  <c r="L202" i="2" s="1"/>
  <c r="F201" i="3"/>
  <c r="L201"/>
  <c r="H205"/>
  <c r="L206" i="2" s="1"/>
  <c r="F205" i="3"/>
  <c r="L205"/>
  <c r="H207"/>
  <c r="L208" i="2" s="1"/>
  <c r="F207" i="3"/>
  <c r="L207"/>
  <c r="H211"/>
  <c r="L212" i="2" s="1"/>
  <c r="F211" i="3"/>
  <c r="L211"/>
  <c r="H217"/>
  <c r="L218" i="2" s="1"/>
  <c r="F217" i="3"/>
  <c r="L217"/>
  <c r="H223"/>
  <c r="L224" i="2" s="1"/>
  <c r="F223" i="3"/>
  <c r="L223"/>
  <c r="H229"/>
  <c r="L230" i="2" s="1"/>
  <c r="F229" i="3"/>
  <c r="L229"/>
  <c r="H233"/>
  <c r="L234" i="2" s="1"/>
  <c r="F233" i="3"/>
  <c r="L233"/>
  <c r="H239"/>
  <c r="L240" i="2" s="1"/>
  <c r="F239" i="3"/>
  <c r="L239"/>
  <c r="H242"/>
  <c r="L243" i="2" s="1"/>
  <c r="F242" i="3"/>
  <c r="L242"/>
  <c r="H245"/>
  <c r="L246" i="2" s="1"/>
  <c r="F245" i="3"/>
  <c r="L245"/>
  <c r="H249"/>
  <c r="L250" i="2" s="1"/>
  <c r="F249" i="3"/>
  <c r="L249"/>
  <c r="H251"/>
  <c r="L252" i="2" s="1"/>
  <c r="F251" i="3"/>
  <c r="L251"/>
  <c r="H255"/>
  <c r="L256" i="2" s="1"/>
  <c r="F255" i="3"/>
  <c r="L255"/>
  <c r="H258"/>
  <c r="L259" i="2" s="1"/>
  <c r="F258" i="3"/>
  <c r="L258"/>
  <c r="H261"/>
  <c r="L262" i="2" s="1"/>
  <c r="F261" i="3"/>
  <c r="L261"/>
  <c r="H265"/>
  <c r="L266" i="2" s="1"/>
  <c r="F265" i="3"/>
  <c r="L265"/>
  <c r="H267"/>
  <c r="L268" i="2" s="1"/>
  <c r="F267" i="3"/>
  <c r="L267"/>
  <c r="H271"/>
  <c r="L272" i="2" s="1"/>
  <c r="F271" i="3"/>
  <c r="L271"/>
  <c r="L158"/>
  <c r="F158"/>
  <c r="L154"/>
  <c r="F154"/>
  <c r="L148"/>
  <c r="F148"/>
  <c r="L142"/>
  <c r="F142"/>
  <c r="L139"/>
  <c r="F139"/>
  <c r="L133"/>
  <c r="F133"/>
  <c r="L127"/>
  <c r="F127"/>
  <c r="L77" i="2" l="1"/>
  <c r="L353" s="1"/>
  <c r="O77"/>
  <c r="O353" s="1"/>
  <c r="J79" i="4" s="1"/>
  <c r="Q77" i="2"/>
  <c r="Q353" s="1"/>
  <c r="L79" i="4" s="1"/>
  <c r="S77" i="2"/>
  <c r="S353" s="1"/>
  <c r="N79" i="4" s="1"/>
  <c r="D5" i="3"/>
  <c r="N8" l="1"/>
  <c r="J8"/>
  <c r="O8"/>
  <c r="S9" i="2" s="1"/>
  <c r="S285" s="1"/>
  <c r="N11" i="4" s="1"/>
  <c r="P8" i="3"/>
  <c r="Q8"/>
  <c r="G8"/>
  <c r="K8"/>
  <c r="O9" i="2" s="1"/>
  <c r="O285" s="1"/>
  <c r="J11" i="4" s="1"/>
  <c r="M8" i="3"/>
  <c r="Q9" i="2" s="1"/>
  <c r="Q285" s="1"/>
  <c r="L11" i="4" s="1"/>
  <c r="L8" i="3"/>
  <c r="O13"/>
  <c r="S14" i="2" s="1"/>
  <c r="S290" s="1"/>
  <c r="N16" i="4" s="1"/>
  <c r="P13" i="3"/>
  <c r="M13"/>
  <c r="Q14" i="2" s="1"/>
  <c r="Q290" s="1"/>
  <c r="L16" i="4" s="1"/>
  <c r="G13" i="3"/>
  <c r="N13"/>
  <c r="J13"/>
  <c r="L13"/>
  <c r="K13"/>
  <c r="O14" i="2" s="1"/>
  <c r="O290" s="1"/>
  <c r="J16" i="4" s="1"/>
  <c r="Q13" i="3"/>
  <c r="O23"/>
  <c r="S24" i="2" s="1"/>
  <c r="S300" s="1"/>
  <c r="N26" i="4" s="1"/>
  <c r="P23" i="3"/>
  <c r="Q23"/>
  <c r="G23"/>
  <c r="J23"/>
  <c r="M23"/>
  <c r="Q24" i="2" s="1"/>
  <c r="Q300" s="1"/>
  <c r="L26" i="4" s="1"/>
  <c r="N23" i="3"/>
  <c r="K23"/>
  <c r="O24" i="2" s="1"/>
  <c r="O300" s="1"/>
  <c r="J26" i="4" s="1"/>
  <c r="L23" i="3"/>
  <c r="N33"/>
  <c r="J33"/>
  <c r="O33"/>
  <c r="S34" i="2" s="1"/>
  <c r="S310" s="1"/>
  <c r="N36" i="4" s="1"/>
  <c r="P33" i="3"/>
  <c r="Q33"/>
  <c r="G33"/>
  <c r="L33"/>
  <c r="M33"/>
  <c r="Q34" i="2" s="1"/>
  <c r="Q310" s="1"/>
  <c r="L36" i="4" s="1"/>
  <c r="K33" i="3"/>
  <c r="O34" i="2" s="1"/>
  <c r="O310" s="1"/>
  <c r="J36" i="4" s="1"/>
  <c r="Q25" i="3"/>
  <c r="M25"/>
  <c r="Q26" i="2" s="1"/>
  <c r="Q302" s="1"/>
  <c r="L28" i="4" s="1"/>
  <c r="N25" i="3"/>
  <c r="J25"/>
  <c r="O25"/>
  <c r="S26" i="2" s="1"/>
  <c r="S302" s="1"/>
  <c r="N28" i="4" s="1"/>
  <c r="P25" i="3"/>
  <c r="K25"/>
  <c r="O26" i="2" s="1"/>
  <c r="O302" s="1"/>
  <c r="J28" i="4" s="1"/>
  <c r="L25" i="3"/>
  <c r="G25"/>
  <c r="O7"/>
  <c r="S8" i="2" s="1"/>
  <c r="S284" s="1"/>
  <c r="N10" i="4" s="1"/>
  <c r="P7" i="3"/>
  <c r="M7"/>
  <c r="Q8" i="2" s="1"/>
  <c r="Q284" s="1"/>
  <c r="L10" i="4" s="1"/>
  <c r="G7" i="3"/>
  <c r="N7"/>
  <c r="L7"/>
  <c r="Q7"/>
  <c r="J7"/>
  <c r="K7"/>
  <c r="O8" i="2" s="1"/>
  <c r="O284" s="1"/>
  <c r="J10" i="4" s="1"/>
  <c r="P22" i="3"/>
  <c r="Q22"/>
  <c r="M22"/>
  <c r="Q23" i="2" s="1"/>
  <c r="Q299" s="1"/>
  <c r="L25" i="4" s="1"/>
  <c r="N22" i="3"/>
  <c r="J22"/>
  <c r="O22"/>
  <c r="S23" i="2" s="1"/>
  <c r="S299" s="1"/>
  <c r="N25" i="4" s="1"/>
  <c r="G22" i="3"/>
  <c r="L22"/>
  <c r="K22"/>
  <c r="O23" i="2" s="1"/>
  <c r="O299" s="1"/>
  <c r="J25" i="4" s="1"/>
  <c r="N26" i="3"/>
  <c r="J26"/>
  <c r="O26"/>
  <c r="S27" i="2" s="1"/>
  <c r="S303" s="1"/>
  <c r="N29" i="4" s="1"/>
  <c r="P26" i="3"/>
  <c r="Q26"/>
  <c r="G26"/>
  <c r="M26"/>
  <c r="Q27" i="2" s="1"/>
  <c r="Q303" s="1"/>
  <c r="L29" i="4" s="1"/>
  <c r="L26" i="3"/>
  <c r="K26"/>
  <c r="O27" i="2" s="1"/>
  <c r="O303" s="1"/>
  <c r="J29" i="4" s="1"/>
  <c r="O32" i="3"/>
  <c r="S33" i="2" s="1"/>
  <c r="S309" s="1"/>
  <c r="N35" i="4" s="1"/>
  <c r="P32" i="3"/>
  <c r="M32"/>
  <c r="Q33" i="2" s="1"/>
  <c r="Q309" s="1"/>
  <c r="L35" i="4" s="1"/>
  <c r="G32" i="3"/>
  <c r="N32"/>
  <c r="Q32"/>
  <c r="J32"/>
  <c r="L32"/>
  <c r="K32"/>
  <c r="O33" i="2" s="1"/>
  <c r="O309" s="1"/>
  <c r="J35" i="4" s="1"/>
  <c r="Q27" i="3"/>
  <c r="M27"/>
  <c r="Q28" i="2" s="1"/>
  <c r="Q304" s="1"/>
  <c r="L30" i="4" s="1"/>
  <c r="N27" i="3"/>
  <c r="J27"/>
  <c r="K27"/>
  <c r="O28" i="2" s="1"/>
  <c r="O304" s="1"/>
  <c r="J30" i="4" s="1"/>
  <c r="O27" i="3"/>
  <c r="S28" i="2" s="1"/>
  <c r="S304" s="1"/>
  <c r="N30" i="4" s="1"/>
  <c r="G27" i="3"/>
  <c r="P27"/>
  <c r="L27"/>
  <c r="Q15"/>
  <c r="M15"/>
  <c r="Q16" i="2" s="1"/>
  <c r="Q292" s="1"/>
  <c r="L18" i="4" s="1"/>
  <c r="N15" i="3"/>
  <c r="J15"/>
  <c r="O15"/>
  <c r="S16" i="2" s="1"/>
  <c r="S292" s="1"/>
  <c r="N18" i="4" s="1"/>
  <c r="G15" i="3"/>
  <c r="P15"/>
  <c r="L15"/>
  <c r="K15"/>
  <c r="O16" i="2" s="1"/>
  <c r="O292" s="1"/>
  <c r="J18" i="4" s="1"/>
  <c r="Q5" i="3"/>
  <c r="P5"/>
  <c r="P16"/>
  <c r="Q16"/>
  <c r="M16"/>
  <c r="Q17" i="2" s="1"/>
  <c r="Q293" s="1"/>
  <c r="L19" i="4" s="1"/>
  <c r="N16" i="3"/>
  <c r="J16"/>
  <c r="O16"/>
  <c r="S17" i="2" s="1"/>
  <c r="S293" s="1"/>
  <c r="N19" i="4" s="1"/>
  <c r="G16" i="3"/>
  <c r="L16"/>
  <c r="K16"/>
  <c r="O17" i="2" s="1"/>
  <c r="O293" s="1"/>
  <c r="J19" i="4" s="1"/>
  <c r="N20" i="3"/>
  <c r="J20"/>
  <c r="O20"/>
  <c r="S21" i="2" s="1"/>
  <c r="S297" s="1"/>
  <c r="N23" i="4" s="1"/>
  <c r="P20" i="3"/>
  <c r="Q20"/>
  <c r="G20"/>
  <c r="L20"/>
  <c r="M20"/>
  <c r="Q21" i="2" s="1"/>
  <c r="Q297" s="1"/>
  <c r="L23" i="4" s="1"/>
  <c r="K20" i="3"/>
  <c r="O21" i="2" s="1"/>
  <c r="O297" s="1"/>
  <c r="J23" i="4" s="1"/>
  <c r="N30" i="3"/>
  <c r="J30"/>
  <c r="O30"/>
  <c r="S31" i="2" s="1"/>
  <c r="S307" s="1"/>
  <c r="N33" i="4" s="1"/>
  <c r="M30" i="3"/>
  <c r="Q31" i="2" s="1"/>
  <c r="Q307" s="1"/>
  <c r="L33" i="4" s="1"/>
  <c r="G30" i="3"/>
  <c r="L30"/>
  <c r="P30"/>
  <c r="Q30"/>
  <c r="K30"/>
  <c r="O31" i="2" s="1"/>
  <c r="O307" s="1"/>
  <c r="J33" i="4" s="1"/>
  <c r="Q31" i="3"/>
  <c r="M31"/>
  <c r="Q32" i="2" s="1"/>
  <c r="Q308" s="1"/>
  <c r="L34" i="4" s="1"/>
  <c r="N31" i="3"/>
  <c r="J31"/>
  <c r="O31"/>
  <c r="S32" i="2" s="1"/>
  <c r="S308" s="1"/>
  <c r="N34" i="4" s="1"/>
  <c r="P31" i="3"/>
  <c r="K31"/>
  <c r="O32" i="2" s="1"/>
  <c r="O308" s="1"/>
  <c r="J34" i="4" s="1"/>
  <c r="G31" i="3"/>
  <c r="L31"/>
  <c r="Q18"/>
  <c r="M18"/>
  <c r="Q19" i="2" s="1"/>
  <c r="Q295" s="1"/>
  <c r="L21" i="4" s="1"/>
  <c r="N18" i="3"/>
  <c r="J18"/>
  <c r="O18"/>
  <c r="S19" i="2" s="1"/>
  <c r="S295" s="1"/>
  <c r="N21" i="4" s="1"/>
  <c r="P18" i="3"/>
  <c r="K18"/>
  <c r="O19" i="2" s="1"/>
  <c r="O295" s="1"/>
  <c r="J21" i="4" s="1"/>
  <c r="G18" i="3"/>
  <c r="L18"/>
  <c r="L5"/>
  <c r="N17"/>
  <c r="J17"/>
  <c r="O17"/>
  <c r="S18" i="2" s="1"/>
  <c r="S294" s="1"/>
  <c r="N20" i="4" s="1"/>
  <c r="M17" i="3"/>
  <c r="Q18" i="2" s="1"/>
  <c r="Q294" s="1"/>
  <c r="L20" i="4" s="1"/>
  <c r="G17" i="3"/>
  <c r="K17"/>
  <c r="O18" i="2" s="1"/>
  <c r="O294" s="1"/>
  <c r="J20" i="4" s="1"/>
  <c r="P17" i="3"/>
  <c r="Q17"/>
  <c r="L17"/>
  <c r="P28"/>
  <c r="Q28"/>
  <c r="M28"/>
  <c r="Q29" i="2" s="1"/>
  <c r="Q305" s="1"/>
  <c r="L31" i="4" s="1"/>
  <c r="N28" i="3"/>
  <c r="J28"/>
  <c r="O28"/>
  <c r="S29" i="2" s="1"/>
  <c r="S305" s="1"/>
  <c r="N31" i="4" s="1"/>
  <c r="G28" i="3"/>
  <c r="L28"/>
  <c r="K28"/>
  <c r="O29" i="2" s="1"/>
  <c r="O305" s="1"/>
  <c r="J31" i="4" s="1"/>
  <c r="Q11" i="3"/>
  <c r="M11"/>
  <c r="Q12" i="2" s="1"/>
  <c r="Q288" s="1"/>
  <c r="L14" i="4" s="1"/>
  <c r="N11" i="3"/>
  <c r="J11"/>
  <c r="O11"/>
  <c r="S12" i="2" s="1"/>
  <c r="S288" s="1"/>
  <c r="N14" i="4" s="1"/>
  <c r="P11" i="3"/>
  <c r="G11"/>
  <c r="L11"/>
  <c r="K11"/>
  <c r="O12" i="2" s="1"/>
  <c r="O288" s="1"/>
  <c r="J14" i="4" s="1"/>
  <c r="P10" i="3"/>
  <c r="Q10"/>
  <c r="M10"/>
  <c r="Q11" i="2" s="1"/>
  <c r="Q287" s="1"/>
  <c r="L13" i="4" s="1"/>
  <c r="N10" i="3"/>
  <c r="J10"/>
  <c r="O10"/>
  <c r="S11" i="2" s="1"/>
  <c r="S287" s="1"/>
  <c r="N13" i="4" s="1"/>
  <c r="G10" i="3"/>
  <c r="K10"/>
  <c r="O11" i="2" s="1"/>
  <c r="O287" s="1"/>
  <c r="J13" i="4" s="1"/>
  <c r="L10" i="3"/>
  <c r="N14"/>
  <c r="J14"/>
  <c r="O14"/>
  <c r="S15" i="2" s="1"/>
  <c r="S291" s="1"/>
  <c r="N17" i="4" s="1"/>
  <c r="P14" i="3"/>
  <c r="Q14"/>
  <c r="G14"/>
  <c r="M14"/>
  <c r="Q15" i="2" s="1"/>
  <c r="Q291" s="1"/>
  <c r="L17" i="4" s="1"/>
  <c r="K14" i="3"/>
  <c r="O15" i="2" s="1"/>
  <c r="O291" s="1"/>
  <c r="J17" i="4" s="1"/>
  <c r="L14" i="3"/>
  <c r="O19"/>
  <c r="S20" i="2" s="1"/>
  <c r="S296" s="1"/>
  <c r="N22" i="4" s="1"/>
  <c r="P19" i="3"/>
  <c r="M19"/>
  <c r="Q20" i="2" s="1"/>
  <c r="Q296" s="1"/>
  <c r="L22" i="4" s="1"/>
  <c r="G19" i="3"/>
  <c r="N19"/>
  <c r="Q19"/>
  <c r="J19"/>
  <c r="N24"/>
  <c r="J24"/>
  <c r="O24"/>
  <c r="S25" i="2" s="1"/>
  <c r="S301" s="1"/>
  <c r="N27" i="4" s="1"/>
  <c r="M24" i="3"/>
  <c r="Q25" i="2" s="1"/>
  <c r="Q301" s="1"/>
  <c r="L27" i="4" s="1"/>
  <c r="G24" i="3"/>
  <c r="Q24"/>
  <c r="L24"/>
  <c r="P24"/>
  <c r="K24"/>
  <c r="O25" i="2" s="1"/>
  <c r="O301" s="1"/>
  <c r="J27" i="4" s="1"/>
  <c r="O29" i="3"/>
  <c r="S30" i="2" s="1"/>
  <c r="S306" s="1"/>
  <c r="N32" i="4" s="1"/>
  <c r="P29" i="3"/>
  <c r="Q29"/>
  <c r="G29"/>
  <c r="J29"/>
  <c r="N29"/>
  <c r="M29"/>
  <c r="Q30" i="2" s="1"/>
  <c r="Q306" s="1"/>
  <c r="L32" i="4" s="1"/>
  <c r="L29" i="3"/>
  <c r="K29"/>
  <c r="O30" i="2" s="1"/>
  <c r="O306" s="1"/>
  <c r="J32" i="4" s="1"/>
  <c r="Q21" i="3"/>
  <c r="M21"/>
  <c r="Q22" i="2" s="1"/>
  <c r="Q298" s="1"/>
  <c r="L24" i="4" s="1"/>
  <c r="N21" i="3"/>
  <c r="J21"/>
  <c r="P21"/>
  <c r="K21"/>
  <c r="O22" i="2" s="1"/>
  <c r="O298" s="1"/>
  <c r="J24" i="4" s="1"/>
  <c r="G21" i="3"/>
  <c r="O21"/>
  <c r="S22" i="2" s="1"/>
  <c r="S298" s="1"/>
  <c r="N24" i="4" s="1"/>
  <c r="L21" i="3"/>
  <c r="Q9"/>
  <c r="M9"/>
  <c r="Q10" i="2" s="1"/>
  <c r="Q286" s="1"/>
  <c r="L12" i="4" s="1"/>
  <c r="N9" i="3"/>
  <c r="J9"/>
  <c r="P9"/>
  <c r="G9"/>
  <c r="O9"/>
  <c r="S10" i="2" s="1"/>
  <c r="S286" s="1"/>
  <c r="N12" i="4" s="1"/>
  <c r="L9" i="3"/>
  <c r="K9"/>
  <c r="O10" i="2" s="1"/>
  <c r="O286" s="1"/>
  <c r="J12" i="4" s="1"/>
  <c r="H5" i="3"/>
  <c r="L6" i="2" s="1"/>
  <c r="L282" s="1"/>
  <c r="K19" i="3"/>
  <c r="O20" i="2" s="1"/>
  <c r="O296" s="1"/>
  <c r="J22" i="4" s="1"/>
  <c r="L19" i="3"/>
  <c r="G5"/>
  <c r="O5"/>
  <c r="S6" i="2" s="1"/>
  <c r="S282" s="1"/>
  <c r="N8" i="4" s="1"/>
  <c r="F5" i="3"/>
  <c r="J5"/>
  <c r="N5"/>
  <c r="D140"/>
  <c r="E140"/>
  <c r="I141" i="2" s="1"/>
  <c r="K5" i="3"/>
  <c r="O6" i="2" s="1"/>
  <c r="O282" s="1"/>
  <c r="J8" i="4" s="1"/>
  <c r="E5" i="3"/>
  <c r="I6" i="2" s="1"/>
  <c r="I282" s="1"/>
  <c r="D8" i="4" s="1"/>
  <c r="I5" i="3"/>
  <c r="M5"/>
  <c r="Q6" i="2" s="1"/>
  <c r="Q282" s="1"/>
  <c r="L8" i="4" s="1"/>
  <c r="P12" i="3" l="1"/>
  <c r="Q12"/>
  <c r="M12"/>
  <c r="Q13" i="2" s="1"/>
  <c r="Q289" s="1"/>
  <c r="L15" i="4" s="1"/>
  <c r="G12" i="3"/>
  <c r="N12"/>
  <c r="O12"/>
  <c r="S13" i="2" s="1"/>
  <c r="S289" s="1"/>
  <c r="N15" i="4" s="1"/>
  <c r="J12" i="3"/>
  <c r="L12"/>
  <c r="K12"/>
  <c r="O13" i="2" s="1"/>
  <c r="O289" s="1"/>
  <c r="J15" i="4" s="1"/>
  <c r="P6" i="3"/>
  <c r="Q6"/>
  <c r="M6"/>
  <c r="Q7" i="2" s="1"/>
  <c r="Q283" s="1"/>
  <c r="L9" i="4" s="1"/>
  <c r="O6" i="3"/>
  <c r="S7" i="2" s="1"/>
  <c r="S283" s="1"/>
  <c r="N9" i="4" s="1"/>
  <c r="G6" i="3"/>
  <c r="J6"/>
  <c r="L6"/>
  <c r="K6"/>
  <c r="O7" i="2" s="1"/>
  <c r="O283" s="1"/>
  <c r="J9" i="4" s="1"/>
  <c r="N6" i="3"/>
  <c r="E93" l="1"/>
  <c r="I94" i="2" s="1"/>
  <c r="I370" s="1"/>
  <c r="D96" i="4" s="1"/>
  <c r="E90" i="3"/>
  <c r="I91" i="2" s="1"/>
  <c r="I367" s="1"/>
  <c r="D93" i="4" s="1"/>
  <c r="E80" i="3"/>
  <c r="I81" i="2" s="1"/>
  <c r="I357" s="1"/>
  <c r="D83" i="4" s="1"/>
  <c r="E77" i="3"/>
  <c r="I78" i="2" s="1"/>
  <c r="I354" s="1"/>
  <c r="D80" i="4" s="1"/>
  <c r="E68" i="3"/>
  <c r="I69" i="2" s="1"/>
  <c r="I345" s="1"/>
  <c r="D71" i="4" s="1"/>
  <c r="E64" i="3"/>
  <c r="I65" i="2" s="1"/>
  <c r="I341" s="1"/>
  <c r="D67" i="4" s="1"/>
  <c r="I54" i="3"/>
  <c r="I47"/>
  <c r="D43"/>
  <c r="E34"/>
  <c r="I35" i="2" s="1"/>
  <c r="I311" s="1"/>
  <c r="D37" i="4" s="1"/>
  <c r="I28" i="3"/>
  <c r="E22"/>
  <c r="I23" i="2" s="1"/>
  <c r="I299" s="1"/>
  <c r="D25" i="4" s="1"/>
  <c r="E16" i="3"/>
  <c r="I17" i="2" s="1"/>
  <c r="I293" s="1"/>
  <c r="D19" i="4" s="1"/>
  <c r="I10" i="3"/>
  <c r="D141"/>
  <c r="E137"/>
  <c r="I138" i="2" s="1"/>
  <c r="E126" i="3"/>
  <c r="I127" i="2" s="1"/>
  <c r="E114" i="3"/>
  <c r="I115" i="2" s="1"/>
  <c r="I391" s="1"/>
  <c r="D117" i="4" s="1"/>
  <c r="D111" i="3"/>
  <c r="D105"/>
  <c r="D99"/>
  <c r="D95"/>
  <c r="D83"/>
  <c r="E54"/>
  <c r="I55" i="2" s="1"/>
  <c r="I331" s="1"/>
  <c r="D57" i="4" s="1"/>
  <c r="H53" i="3"/>
  <c r="L54" i="2" s="1"/>
  <c r="L330" s="1"/>
  <c r="I51" i="3"/>
  <c r="E47"/>
  <c r="I48" i="2" s="1"/>
  <c r="I324" s="1"/>
  <c r="D50" i="4" s="1"/>
  <c r="D45" i="3"/>
  <c r="D39"/>
  <c r="H35"/>
  <c r="L36" i="2" s="1"/>
  <c r="L312" s="1"/>
  <c r="F34" i="3"/>
  <c r="H32"/>
  <c r="L33" i="2" s="1"/>
  <c r="L309" s="1"/>
  <c r="H31" i="3"/>
  <c r="L32" i="2" s="1"/>
  <c r="L308" s="1"/>
  <c r="D29" i="3"/>
  <c r="F28"/>
  <c r="D27"/>
  <c r="H23"/>
  <c r="L24" i="2" s="1"/>
  <c r="L300" s="1"/>
  <c r="F22" i="3"/>
  <c r="D21"/>
  <c r="D19"/>
  <c r="D18"/>
  <c r="F16"/>
  <c r="D15"/>
  <c r="D13"/>
  <c r="H9"/>
  <c r="L10" i="2" s="1"/>
  <c r="L286" s="1"/>
  <c r="H7" i="3"/>
  <c r="L8" i="2" s="1"/>
  <c r="L284" s="1"/>
  <c r="D129" i="3"/>
  <c r="E118"/>
  <c r="I119" i="2" s="1"/>
  <c r="I395" s="1"/>
  <c r="D121" i="4" s="1"/>
  <c r="E106" i="3"/>
  <c r="I107" i="2" s="1"/>
  <c r="I383" s="1"/>
  <c r="D109" i="4" s="1"/>
  <c r="E102" i="3"/>
  <c r="I103" i="2" s="1"/>
  <c r="I379" s="1"/>
  <c r="D105" i="4" s="1"/>
  <c r="I43" i="3"/>
  <c r="I34"/>
  <c r="E28"/>
  <c r="I29" i="2" s="1"/>
  <c r="I305" s="1"/>
  <c r="D31" i="4" s="1"/>
  <c r="I22" i="3"/>
  <c r="I16"/>
  <c r="E10"/>
  <c r="I11" i="2" s="1"/>
  <c r="I287" s="1"/>
  <c r="D13" i="4" s="1"/>
  <c r="D179" i="3"/>
  <c r="D108"/>
  <c r="D92"/>
  <c r="D79"/>
  <c r="D73"/>
  <c r="D67"/>
  <c r="D61"/>
  <c r="D57"/>
  <c r="D51"/>
  <c r="I45"/>
  <c r="E43"/>
  <c r="I44" i="2" s="1"/>
  <c r="I320" s="1"/>
  <c r="D46" i="4" s="1"/>
  <c r="H39" i="3"/>
  <c r="L40" i="2" s="1"/>
  <c r="L316" s="1"/>
  <c r="D35" i="3"/>
  <c r="D32"/>
  <c r="D31"/>
  <c r="H29"/>
  <c r="L30" i="2" s="1"/>
  <c r="L306" s="1"/>
  <c r="H27" i="3"/>
  <c r="L28" i="2" s="1"/>
  <c r="L304" s="1"/>
  <c r="D23" i="3"/>
  <c r="H21"/>
  <c r="L22" i="2" s="1"/>
  <c r="L298" s="1"/>
  <c r="H19" i="3"/>
  <c r="L20" i="2" s="1"/>
  <c r="L296" s="1"/>
  <c r="H18" i="3"/>
  <c r="L19" i="2" s="1"/>
  <c r="L295" s="1"/>
  <c r="H15" i="3"/>
  <c r="L16" i="2" s="1"/>
  <c r="L292" s="1"/>
  <c r="H13" i="3"/>
  <c r="L14" i="2" s="1"/>
  <c r="L290" s="1"/>
  <c r="F10" i="3"/>
  <c r="D9"/>
  <c r="D7"/>
  <c r="D46"/>
  <c r="D52"/>
  <c r="E89"/>
  <c r="I90" i="2" s="1"/>
  <c r="I366" s="1"/>
  <c r="D92" i="4" s="1"/>
  <c r="D123" i="3"/>
  <c r="F51"/>
  <c r="E59"/>
  <c r="I60" i="2" s="1"/>
  <c r="I336" s="1"/>
  <c r="D62" i="4" s="1"/>
  <c r="E92" i="3"/>
  <c r="I93" i="2" s="1"/>
  <c r="I369" s="1"/>
  <c r="D95" i="4" s="1"/>
  <c r="D169" i="3"/>
  <c r="D271"/>
  <c r="E271"/>
  <c r="I272" i="2" s="1"/>
  <c r="D203" i="3"/>
  <c r="D100"/>
  <c r="E179"/>
  <c r="I180" i="2" s="1"/>
  <c r="D66" i="3"/>
  <c r="E87"/>
  <c r="I88" i="2" s="1"/>
  <c r="I364" s="1"/>
  <c r="D90" i="4" s="1"/>
  <c r="D130" i="3"/>
  <c r="D77"/>
  <c r="F14"/>
  <c r="F24"/>
  <c r="F26"/>
  <c r="F36"/>
  <c r="F40"/>
  <c r="E14"/>
  <c r="I15" i="2" s="1"/>
  <c r="I291" s="1"/>
  <c r="D17" i="4" s="1"/>
  <c r="E20" i="3"/>
  <c r="I21" i="2" s="1"/>
  <c r="I297" s="1"/>
  <c r="D23" i="4" s="1"/>
  <c r="F11" i="3"/>
  <c r="D17"/>
  <c r="F18"/>
  <c r="D24"/>
  <c r="F25"/>
  <c r="D30"/>
  <c r="F31"/>
  <c r="D36"/>
  <c r="F37"/>
  <c r="F42"/>
  <c r="D48"/>
  <c r="H49"/>
  <c r="L50" i="2" s="1"/>
  <c r="L326" s="1"/>
  <c r="D55" i="3"/>
  <c r="D65"/>
  <c r="D78"/>
  <c r="D81"/>
  <c r="D91"/>
  <c r="D103"/>
  <c r="D128"/>
  <c r="H42"/>
  <c r="L43" i="2" s="1"/>
  <c r="L319" s="1"/>
  <c r="D119" i="3"/>
  <c r="D127"/>
  <c r="D136"/>
  <c r="D151"/>
  <c r="E201"/>
  <c r="I202" i="2" s="1"/>
  <c r="D96" i="3"/>
  <c r="F48"/>
  <c r="D145"/>
  <c r="E195"/>
  <c r="I196" i="2" s="1"/>
  <c r="D245" i="3"/>
  <c r="E150"/>
  <c r="I151" i="2" s="1"/>
  <c r="E153" i="3"/>
  <c r="I154" i="2" s="1"/>
  <c r="D156" i="3"/>
  <c r="D160"/>
  <c r="E178"/>
  <c r="I179" i="2" s="1"/>
  <c r="D184" i="3"/>
  <c r="D56"/>
  <c r="E61"/>
  <c r="I62" i="2" s="1"/>
  <c r="I338" s="1"/>
  <c r="D64" i="4" s="1"/>
  <c r="E78" i="3"/>
  <c r="I79" i="2" s="1"/>
  <c r="I355" s="1"/>
  <c r="D81" i="4" s="1"/>
  <c r="D107" i="3"/>
  <c r="E111"/>
  <c r="I112" i="2" s="1"/>
  <c r="I388" s="1"/>
  <c r="D114" i="4" s="1"/>
  <c r="E132" i="3"/>
  <c r="I133" i="2" s="1"/>
  <c r="D157" i="3"/>
  <c r="D182"/>
  <c r="D233"/>
  <c r="E233"/>
  <c r="I234" i="2" s="1"/>
  <c r="E258" i="3"/>
  <c r="I259" i="2" s="1"/>
  <c r="E235" i="3"/>
  <c r="I236" i="2" s="1"/>
  <c r="D221" i="3"/>
  <c r="E221"/>
  <c r="I222" i="2" s="1"/>
  <c r="D106" i="3"/>
  <c r="F30"/>
  <c r="I42"/>
  <c r="D101"/>
  <c r="I14"/>
  <c r="I26"/>
  <c r="E33"/>
  <c r="I34" i="2" s="1"/>
  <c r="I310" s="1"/>
  <c r="D36" i="4" s="1"/>
  <c r="I49" i="3"/>
  <c r="E55"/>
  <c r="I56" i="2" s="1"/>
  <c r="I332" s="1"/>
  <c r="D58" i="4" s="1"/>
  <c r="E86" i="3"/>
  <c r="I87" i="2" s="1"/>
  <c r="I363" s="1"/>
  <c r="D89" i="4" s="1"/>
  <c r="E96" i="3"/>
  <c r="I97" i="2" s="1"/>
  <c r="I373" s="1"/>
  <c r="D99" i="4" s="1"/>
  <c r="D137" i="3"/>
  <c r="E7"/>
  <c r="I8" i="2" s="1"/>
  <c r="I284" s="1"/>
  <c r="D10" i="4" s="1"/>
  <c r="I11" i="3"/>
  <c r="I15"/>
  <c r="E19"/>
  <c r="I20" i="2" s="1"/>
  <c r="I296" s="1"/>
  <c r="D22" i="4" s="1"/>
  <c r="I25" i="3"/>
  <c r="I27"/>
  <c r="E29"/>
  <c r="I30" i="2" s="1"/>
  <c r="I306" s="1"/>
  <c r="D32" i="4" s="1"/>
  <c r="E32" i="3"/>
  <c r="I33" i="2" s="1"/>
  <c r="I309" s="1"/>
  <c r="D35" i="4" s="1"/>
  <c r="I37" i="3"/>
  <c r="H48"/>
  <c r="L49" i="2" s="1"/>
  <c r="L325" s="1"/>
  <c r="E51" i="3"/>
  <c r="I52" i="2" s="1"/>
  <c r="I328" s="1"/>
  <c r="D54" i="4" s="1"/>
  <c r="F54" i="3"/>
  <c r="E63"/>
  <c r="I64" i="2" s="1"/>
  <c r="I340" s="1"/>
  <c r="D66" i="4" s="1"/>
  <c r="E76" i="3"/>
  <c r="E88"/>
  <c r="I89" i="2" s="1"/>
  <c r="I365" s="1"/>
  <c r="D91" i="4" s="1"/>
  <c r="D120" i="3"/>
  <c r="D122"/>
  <c r="E124"/>
  <c r="I125" i="2" s="1"/>
  <c r="I401" s="1"/>
  <c r="D127" i="4" s="1"/>
  <c r="H46" i="3"/>
  <c r="L47" i="2" s="1"/>
  <c r="L323" s="1"/>
  <c r="H52" i="3"/>
  <c r="L53" i="2" s="1"/>
  <c r="L329" s="1"/>
  <c r="D60" i="3"/>
  <c r="E69"/>
  <c r="I70" i="2" s="1"/>
  <c r="I346" s="1"/>
  <c r="D72" i="4" s="1"/>
  <c r="E123" i="3"/>
  <c r="I124" i="2" s="1"/>
  <c r="I400" s="1"/>
  <c r="D126" i="4" s="1"/>
  <c r="D131" i="3"/>
  <c r="E131"/>
  <c r="I132" i="2" s="1"/>
  <c r="D225" i="3"/>
  <c r="E225"/>
  <c r="I226" i="2" s="1"/>
  <c r="E67" i="3"/>
  <c r="I68" i="2" s="1"/>
  <c r="I344" s="1"/>
  <c r="D70" i="4" s="1"/>
  <c r="E169" i="3"/>
  <c r="I170" i="2" s="1"/>
  <c r="E253" i="3"/>
  <c r="I254" i="2" s="1"/>
  <c r="D228" i="3"/>
  <c r="E228"/>
  <c r="I229" i="2" s="1"/>
  <c r="E147" i="3"/>
  <c r="I148" i="2" s="1"/>
  <c r="E173" i="3"/>
  <c r="I174" i="2" s="1"/>
  <c r="D54" i="3"/>
  <c r="E57"/>
  <c r="I58" i="2" s="1"/>
  <c r="I334" s="1"/>
  <c r="D60" i="4" s="1"/>
  <c r="E75" i="3"/>
  <c r="I76" i="2" s="1"/>
  <c r="I352" s="1"/>
  <c r="D78" i="4" s="1"/>
  <c r="D104" i="3"/>
  <c r="E108"/>
  <c r="I109" i="2" s="1"/>
  <c r="I385" s="1"/>
  <c r="D111" i="4" s="1"/>
  <c r="F43" i="3"/>
  <c r="D231"/>
  <c r="E231"/>
  <c r="I232" i="2" s="1"/>
  <c r="D219" i="3"/>
  <c r="E219"/>
  <c r="I220" i="2" s="1"/>
  <c r="E128" i="3"/>
  <c r="I129" i="2" s="1"/>
  <c r="D64" i="3"/>
  <c r="F17"/>
  <c r="F46"/>
  <c r="I8"/>
  <c r="I17"/>
  <c r="H45"/>
  <c r="L46" i="2" s="1"/>
  <c r="L322" s="1"/>
  <c r="F7" i="3"/>
  <c r="H8"/>
  <c r="L9" i="2" s="1"/>
  <c r="L285" s="1"/>
  <c r="F13" i="3"/>
  <c r="H14"/>
  <c r="L15" i="2" s="1"/>
  <c r="L291" s="1"/>
  <c r="F19" i="3"/>
  <c r="H20"/>
  <c r="L21" i="2" s="1"/>
  <c r="L297" s="1"/>
  <c r="H26" i="3"/>
  <c r="L27" i="2" s="1"/>
  <c r="L303" s="1"/>
  <c r="F32" i="3"/>
  <c r="H33"/>
  <c r="L34" i="2" s="1"/>
  <c r="L310" s="1"/>
  <c r="F39" i="3"/>
  <c r="H40"/>
  <c r="L41" i="2" s="1"/>
  <c r="L317" s="1"/>
  <c r="I41" i="3"/>
  <c r="E53"/>
  <c r="I54" i="2" s="1"/>
  <c r="I330" s="1"/>
  <c r="D56" i="4" s="1"/>
  <c r="D62" i="3"/>
  <c r="E120"/>
  <c r="I121" i="2" s="1"/>
  <c r="I397" s="1"/>
  <c r="D123" i="4" s="1"/>
  <c r="D185" i="3"/>
  <c r="D72"/>
  <c r="E127"/>
  <c r="I128" i="2" s="1"/>
  <c r="E151" i="3"/>
  <c r="I152" i="2" s="1"/>
  <c r="D237" i="3"/>
  <c r="D212"/>
  <c r="E212"/>
  <c r="I213" i="2" s="1"/>
  <c r="F55" i="3"/>
  <c r="D88"/>
  <c r="E97"/>
  <c r="I98" i="2" s="1"/>
  <c r="I374" s="1"/>
  <c r="D100" i="4" s="1"/>
  <c r="D135" i="3"/>
  <c r="E135"/>
  <c r="I136" i="2" s="1"/>
  <c r="E145" i="3"/>
  <c r="I146" i="2" s="1"/>
  <c r="E245" i="3"/>
  <c r="I246" i="2" s="1"/>
  <c r="E241" i="3"/>
  <c r="I242" i="2" s="1"/>
  <c r="D215" i="3"/>
  <c r="E215"/>
  <c r="I216" i="2" s="1"/>
  <c r="D112" i="3"/>
  <c r="E144"/>
  <c r="I145" i="2" s="1"/>
  <c r="E146" i="3"/>
  <c r="I147" i="2" s="1"/>
  <c r="D150" i="3"/>
  <c r="D153"/>
  <c r="E172"/>
  <c r="I173" i="2" s="1"/>
  <c r="D178" i="3"/>
  <c r="E65"/>
  <c r="I66" i="2" s="1"/>
  <c r="I342" s="1"/>
  <c r="D68" i="4" s="1"/>
  <c r="D94" i="3"/>
  <c r="E99"/>
  <c r="I100" i="2" s="1"/>
  <c r="I376" s="1"/>
  <c r="D102" i="4" s="1"/>
  <c r="E157" i="3"/>
  <c r="I158" i="2" s="1"/>
  <c r="E182" i="3"/>
  <c r="I183" i="2" s="1"/>
  <c r="D259" i="3"/>
  <c r="E247"/>
  <c r="I248" i="2" s="1"/>
  <c r="D93" i="3"/>
  <c r="F52"/>
  <c r="I24"/>
  <c r="I30"/>
  <c r="E52"/>
  <c r="I53" i="2" s="1"/>
  <c r="I329" s="1"/>
  <c r="D55" i="4" s="1"/>
  <c r="E11" i="3"/>
  <c r="I12" i="2" s="1"/>
  <c r="I288" s="1"/>
  <c r="D14" i="4" s="1"/>
  <c r="I13" i="3"/>
  <c r="E15"/>
  <c r="I16" i="2" s="1"/>
  <c r="I292" s="1"/>
  <c r="D18" i="4" s="1"/>
  <c r="I23" i="3"/>
  <c r="E25"/>
  <c r="I26" i="2" s="1"/>
  <c r="I302" s="1"/>
  <c r="D28" i="4" s="1"/>
  <c r="E27" i="3"/>
  <c r="I28" i="2" s="1"/>
  <c r="I304" s="1"/>
  <c r="D30" i="4" s="1"/>
  <c r="I35" i="3"/>
  <c r="E37"/>
  <c r="I38" i="2" s="1"/>
  <c r="I314" s="1"/>
  <c r="D40" i="4" s="1"/>
  <c r="I39" i="3"/>
  <c r="E42"/>
  <c r="I43" i="2" s="1"/>
  <c r="I319" s="1"/>
  <c r="D45" i="4" s="1"/>
  <c r="H55" i="3"/>
  <c r="L56" i="2" s="1"/>
  <c r="L332" s="1"/>
  <c r="E66" i="3"/>
  <c r="I67" i="2" s="1"/>
  <c r="I343" s="1"/>
  <c r="D69" i="4" s="1"/>
  <c r="E104" i="3"/>
  <c r="I105" i="2" s="1"/>
  <c r="I381" s="1"/>
  <c r="D107" i="4" s="1"/>
  <c r="D109" i="3"/>
  <c r="E112"/>
  <c r="I113" i="2" s="1"/>
  <c r="I389" s="1"/>
  <c r="D115" i="4" s="1"/>
  <c r="D251" i="3"/>
  <c r="D98"/>
  <c r="D115"/>
  <c r="E199"/>
  <c r="I200" i="2" s="1"/>
  <c r="E85" i="3"/>
  <c r="I86" i="2" s="1"/>
  <c r="I362" s="1"/>
  <c r="D88" i="4" s="1"/>
  <c r="F53" i="3"/>
  <c r="D113"/>
  <c r="E121"/>
  <c r="I122" i="2" s="1"/>
  <c r="I398" s="1"/>
  <c r="D124" i="4" s="1"/>
  <c r="E189" i="3"/>
  <c r="I190" i="2" s="1"/>
  <c r="E193" i="3"/>
  <c r="I194" i="2" s="1"/>
  <c r="D193" i="3"/>
  <c r="E49"/>
  <c r="I50" i="2" s="1"/>
  <c r="I326" s="1"/>
  <c r="D52" i="4" s="1"/>
  <c r="E8" i="3"/>
  <c r="I9" i="2" s="1"/>
  <c r="I285" s="1"/>
  <c r="D11" i="4" s="1"/>
  <c r="E17" i="3"/>
  <c r="I18" i="2" s="1"/>
  <c r="I294" s="1"/>
  <c r="D20" i="4" s="1"/>
  <c r="E26" i="3"/>
  <c r="I27" i="2" s="1"/>
  <c r="I303" s="1"/>
  <c r="D29" i="4" s="1"/>
  <c r="E41" i="3"/>
  <c r="I42" i="2" s="1"/>
  <c r="I318" s="1"/>
  <c r="D44" i="4" s="1"/>
  <c r="D49" i="3"/>
  <c r="D126"/>
  <c r="F23"/>
  <c r="F29"/>
  <c r="F35"/>
  <c r="D97"/>
  <c r="D42"/>
  <c r="E101"/>
  <c r="I102" i="2" s="1"/>
  <c r="I378" s="1"/>
  <c r="D104" i="4" s="1"/>
  <c r="E119" i="3"/>
  <c r="I120" i="2" s="1"/>
  <c r="I396" s="1"/>
  <c r="D122" i="4" s="1"/>
  <c r="D263" i="3"/>
  <c r="E237"/>
  <c r="I238" i="2" s="1"/>
  <c r="F45" i="3"/>
  <c r="E79"/>
  <c r="I80" i="2" s="1"/>
  <c r="I356" s="1"/>
  <c r="D82" i="4" s="1"/>
  <c r="E156" i="3"/>
  <c r="I157" i="2" s="1"/>
  <c r="D166" i="3"/>
  <c r="E184"/>
  <c r="I185" i="2" s="1"/>
  <c r="D188" i="3"/>
  <c r="E73"/>
  <c r="I74" i="2" s="1"/>
  <c r="I350" s="1"/>
  <c r="D76" i="4" s="1"/>
  <c r="E207" i="3"/>
  <c r="I208" i="2" s="1"/>
  <c r="D258" i="3"/>
  <c r="E272"/>
  <c r="I273" i="2" s="1"/>
  <c r="E259" i="3"/>
  <c r="I260" i="2" s="1"/>
  <c r="D209" i="3"/>
  <c r="D68"/>
  <c r="E30"/>
  <c r="I31" i="2" s="1"/>
  <c r="I307" s="1"/>
  <c r="D33" i="4" s="1"/>
  <c r="E40" i="3"/>
  <c r="I41" i="2" s="1"/>
  <c r="I317" s="1"/>
  <c r="D43" i="4" s="1"/>
  <c r="E58" i="3"/>
  <c r="I59" i="2" s="1"/>
  <c r="I335" s="1"/>
  <c r="D61" i="4" s="1"/>
  <c r="E100" i="3"/>
  <c r="I101" i="2" s="1"/>
  <c r="I377" s="1"/>
  <c r="D103" i="4" s="1"/>
  <c r="E9" i="3"/>
  <c r="I10" i="2" s="1"/>
  <c r="I286" s="1"/>
  <c r="D12" i="4" s="1"/>
  <c r="I19" i="3"/>
  <c r="E31"/>
  <c r="I32" i="2" s="1"/>
  <c r="I308" s="1"/>
  <c r="D34" i="4" s="1"/>
  <c r="H41" i="3"/>
  <c r="L42" i="2" s="1"/>
  <c r="L318" s="1"/>
  <c r="E45" i="3"/>
  <c r="I46" i="2" s="1"/>
  <c r="I322" s="1"/>
  <c r="D48" i="4" s="1"/>
  <c r="F47" i="3"/>
  <c r="D53"/>
  <c r="E72"/>
  <c r="I73" i="2" s="1"/>
  <c r="I349" s="1"/>
  <c r="D75" i="4" s="1"/>
  <c r="E98" i="3"/>
  <c r="I99" i="2" s="1"/>
  <c r="I375" s="1"/>
  <c r="D101" i="4" s="1"/>
  <c r="D134" i="3"/>
  <c r="H17"/>
  <c r="L18" i="2" s="1"/>
  <c r="L294" s="1"/>
  <c r="D22" i="3"/>
  <c r="H30"/>
  <c r="L31" i="2" s="1"/>
  <c r="L307" s="1"/>
  <c r="D34" i="3"/>
  <c r="I52"/>
  <c r="D59"/>
  <c r="D69"/>
  <c r="E110"/>
  <c r="I111" i="2" s="1"/>
  <c r="I387" s="1"/>
  <c r="D113" i="4" s="1"/>
  <c r="E160" i="3"/>
  <c r="I161" i="2" s="1"/>
  <c r="D70" i="3"/>
  <c r="E91"/>
  <c r="I92" i="2" s="1"/>
  <c r="I368" s="1"/>
  <c r="D94" i="4" s="1"/>
  <c r="D272" i="3"/>
  <c r="D247"/>
  <c r="E46"/>
  <c r="I47" i="2" s="1"/>
  <c r="I323" s="1"/>
  <c r="D49" i="4" s="1"/>
  <c r="E74" i="3"/>
  <c r="I75" i="2" s="1"/>
  <c r="I351" s="1"/>
  <c r="D77" i="4" s="1"/>
  <c r="E21" i="3"/>
  <c r="I22" i="2" s="1"/>
  <c r="I298" s="1"/>
  <c r="D24" i="4" s="1"/>
  <c r="I32" i="3"/>
  <c r="E60"/>
  <c r="I61" i="2" s="1"/>
  <c r="I337" s="1"/>
  <c r="D63" i="4" s="1"/>
  <c r="E95" i="3"/>
  <c r="I96" i="2" s="1"/>
  <c r="I372" s="1"/>
  <c r="D98" i="4" s="1"/>
  <c r="E133" i="3"/>
  <c r="I134" i="2" s="1"/>
  <c r="D163" i="3"/>
  <c r="D239"/>
  <c r="E265"/>
  <c r="I266" i="2" s="1"/>
  <c r="D269" i="3"/>
  <c r="H25"/>
  <c r="L26" i="2" s="1"/>
  <c r="L302" s="1"/>
  <c r="H37" i="3"/>
  <c r="L38" i="2" s="1"/>
  <c r="L314" s="1"/>
  <c r="D89" i="3"/>
  <c r="E24"/>
  <c r="I25" i="2" s="1"/>
  <c r="I301" s="1"/>
  <c r="D27" i="4" s="1"/>
  <c r="F21" i="3"/>
  <c r="H43"/>
  <c r="L44" i="2" s="1"/>
  <c r="L320" s="1"/>
  <c r="D87" i="3"/>
  <c r="D199"/>
  <c r="E139"/>
  <c r="I140" i="2" s="1"/>
  <c r="D201" i="3"/>
  <c r="E251"/>
  <c r="I252" i="2" s="1"/>
  <c r="E71" i="3"/>
  <c r="I72" i="2" s="1"/>
  <c r="I348" s="1"/>
  <c r="D74" i="4" s="1"/>
  <c r="D144" i="3"/>
  <c r="E162"/>
  <c r="I163" i="2" s="1"/>
  <c r="D172" i="3"/>
  <c r="F33"/>
  <c r="H51"/>
  <c r="L52" i="2" s="1"/>
  <c r="L328" s="1"/>
  <c r="E23" i="3"/>
  <c r="I24" i="2" s="1"/>
  <c r="I300" s="1"/>
  <c r="D26" i="4" s="1"/>
  <c r="I31" i="3"/>
  <c r="E70"/>
  <c r="I71" i="2" s="1"/>
  <c r="I347" s="1"/>
  <c r="D73" i="4" s="1"/>
  <c r="E134" i="3"/>
  <c r="I135" i="2" s="1"/>
  <c r="F49" i="3"/>
  <c r="D84"/>
  <c r="E105"/>
  <c r="I106" i="2" s="1"/>
  <c r="I382" s="1"/>
  <c r="D108" i="4" s="1"/>
  <c r="D47" i="3"/>
  <c r="H54"/>
  <c r="L55" i="2" s="1"/>
  <c r="L331" s="1"/>
  <c r="E113" i="3"/>
  <c r="I114" i="2" s="1"/>
  <c r="I390" s="1"/>
  <c r="D116" i="4" s="1"/>
  <c r="D121" i="3"/>
  <c r="D133"/>
  <c r="E138"/>
  <c r="I139" i="2" s="1"/>
  <c r="D189" i="3"/>
  <c r="D265"/>
  <c r="E269"/>
  <c r="I270" i="2" s="1"/>
  <c r="D102" i="3"/>
  <c r="H11"/>
  <c r="L12" i="2" s="1"/>
  <c r="L288" s="1"/>
  <c r="I20" i="3"/>
  <c r="I36"/>
  <c r="D8"/>
  <c r="H10"/>
  <c r="L11" i="2" s="1"/>
  <c r="L287" s="1"/>
  <c r="D14" i="3"/>
  <c r="H16"/>
  <c r="L17" i="2" s="1"/>
  <c r="L293" s="1"/>
  <c r="D20" i="3"/>
  <c r="H22"/>
  <c r="L23" i="2" s="1"/>
  <c r="L299" s="1"/>
  <c r="D26" i="3"/>
  <c r="H28"/>
  <c r="L29" i="2" s="1"/>
  <c r="L305" s="1"/>
  <c r="D33" i="3"/>
  <c r="H34"/>
  <c r="L35" i="2" s="1"/>
  <c r="L311" s="1"/>
  <c r="D40" i="3"/>
  <c r="D41"/>
  <c r="I46"/>
  <c r="D85"/>
  <c r="D117"/>
  <c r="D139"/>
  <c r="F41"/>
  <c r="D63"/>
  <c r="E109"/>
  <c r="I110" i="2" s="1"/>
  <c r="I386" s="1"/>
  <c r="D112" i="4" s="1"/>
  <c r="E117" i="3"/>
  <c r="I118" i="2" s="1"/>
  <c r="I394" s="1"/>
  <c r="D120" i="4" s="1"/>
  <c r="D86" i="3"/>
  <c r="D146"/>
  <c r="E166"/>
  <c r="I167" i="2" s="1"/>
  <c r="E188" i="3"/>
  <c r="I189" i="2" s="1"/>
  <c r="D132" i="3"/>
  <c r="D207"/>
  <c r="F8"/>
  <c r="D25"/>
  <c r="D37"/>
  <c r="I33"/>
  <c r="E48"/>
  <c r="I49" i="2" s="1"/>
  <c r="I325" s="1"/>
  <c r="D51" i="4" s="1"/>
  <c r="E13" i="3"/>
  <c r="I14" i="2" s="1"/>
  <c r="I290" s="1"/>
  <c r="D16" i="4" s="1"/>
  <c r="I18" i="3"/>
  <c r="I21"/>
  <c r="E35"/>
  <c r="I36" i="2" s="1"/>
  <c r="I312" s="1"/>
  <c r="D38" i="4" s="1"/>
  <c r="E39" i="3"/>
  <c r="I40" i="2" s="1"/>
  <c r="I316" s="1"/>
  <c r="D42" i="4" s="1"/>
  <c r="E56" i="3"/>
  <c r="I57" i="2" s="1"/>
  <c r="I333" s="1"/>
  <c r="D59" i="4" s="1"/>
  <c r="E82" i="3"/>
  <c r="I83" i="2" s="1"/>
  <c r="I359" s="1"/>
  <c r="D85" i="4" s="1"/>
  <c r="E107" i="3"/>
  <c r="I108" i="2" s="1"/>
  <c r="I384" s="1"/>
  <c r="D110" i="4" s="1"/>
  <c r="E81" i="3"/>
  <c r="I82" i="2" s="1"/>
  <c r="I358" s="1"/>
  <c r="D84" i="4" s="1"/>
  <c r="D58" i="3"/>
  <c r="D76"/>
  <c r="E122"/>
  <c r="I123" i="2" s="1"/>
  <c r="I399" s="1"/>
  <c r="D125" i="4" s="1"/>
  <c r="D253" i="3"/>
  <c r="E203"/>
  <c r="I204" i="2" s="1"/>
  <c r="D124" i="3"/>
  <c r="H47"/>
  <c r="L48" i="2" s="1"/>
  <c r="L324" s="1"/>
  <c r="E185" i="3"/>
  <c r="I186" i="2" s="1"/>
  <c r="E83" i="3"/>
  <c r="I84" i="2" s="1"/>
  <c r="I360" s="1"/>
  <c r="D86" i="4" s="1"/>
  <c r="E116" i="3"/>
  <c r="I117" i="2" s="1"/>
  <c r="I393" s="1"/>
  <c r="D119" i="4" s="1"/>
  <c r="D125" i="3"/>
  <c r="E163"/>
  <c r="I164" i="2" s="1"/>
  <c r="E239" i="3"/>
  <c r="I240" i="2" s="1"/>
  <c r="D90" i="3"/>
  <c r="F20"/>
  <c r="I40"/>
  <c r="D10"/>
  <c r="D16"/>
  <c r="H24"/>
  <c r="L25" i="2" s="1"/>
  <c r="L301" s="1"/>
  <c r="D28" i="3"/>
  <c r="H36"/>
  <c r="L37" i="2" s="1"/>
  <c r="L313" s="1"/>
  <c r="I48" i="3"/>
  <c r="I55"/>
  <c r="D75"/>
  <c r="D173"/>
  <c r="E263"/>
  <c r="I264" i="2" s="1"/>
  <c r="D241" i="3"/>
  <c r="D74"/>
  <c r="D162"/>
  <c r="E209"/>
  <c r="I210" i="2" s="1"/>
  <c r="D118" i="3"/>
  <c r="E84"/>
  <c r="I85" i="2" s="1"/>
  <c r="I361" s="1"/>
  <c r="D87" i="4" s="1"/>
  <c r="D114" i="3"/>
  <c r="I7"/>
  <c r="E18"/>
  <c r="I19" i="2" s="1"/>
  <c r="I295" s="1"/>
  <c r="D21" i="4" s="1"/>
  <c r="I29" i="3"/>
  <c r="E115"/>
  <c r="I116" i="2" s="1"/>
  <c r="I392" s="1"/>
  <c r="D118" i="4" s="1"/>
  <c r="E141" i="3"/>
  <c r="I142" i="2" s="1"/>
  <c r="E62" i="3"/>
  <c r="I63" i="2" s="1"/>
  <c r="I339" s="1"/>
  <c r="D65" i="4" s="1"/>
  <c r="D116" i="3"/>
  <c r="E125"/>
  <c r="I126" i="2" s="1"/>
  <c r="E130" i="3"/>
  <c r="I131" i="2" s="1"/>
  <c r="D138" i="3"/>
  <c r="F9"/>
  <c r="F15"/>
  <c r="F27"/>
  <c r="D71"/>
  <c r="D147"/>
  <c r="D110"/>
  <c r="E136"/>
  <c r="I137" i="2" s="1"/>
  <c r="D195" i="3"/>
  <c r="D82"/>
  <c r="E103"/>
  <c r="I104" i="2" s="1"/>
  <c r="I380" s="1"/>
  <c r="D106" i="4" s="1"/>
  <c r="E129" i="3"/>
  <c r="I130" i="2" s="1"/>
  <c r="D235" i="3"/>
  <c r="D80"/>
  <c r="D11"/>
  <c r="E36"/>
  <c r="I37" i="2" s="1"/>
  <c r="I313" s="1"/>
  <c r="D39" i="4" s="1"/>
  <c r="I9" i="3"/>
  <c r="I53"/>
  <c r="E94"/>
  <c r="I95" i="2" s="1"/>
  <c r="I371" s="1"/>
  <c r="D97" i="4" s="1"/>
  <c r="F6" i="3"/>
  <c r="D6"/>
  <c r="D273"/>
  <c r="D197"/>
  <c r="E38"/>
  <c r="I39" i="2" s="1"/>
  <c r="I315" s="1"/>
  <c r="D41" i="4" s="1"/>
  <c r="E234" i="3"/>
  <c r="I235" i="2" s="1"/>
  <c r="D175" i="3"/>
  <c r="D149"/>
  <c r="D264"/>
  <c r="E238"/>
  <c r="I239" i="2" s="1"/>
  <c r="E226" i="3"/>
  <c r="I227" i="2" s="1"/>
  <c r="D213" i="3"/>
  <c r="D200"/>
  <c r="E200"/>
  <c r="I201" i="2" s="1"/>
  <c r="D267" i="3"/>
  <c r="E267"/>
  <c r="I268" i="2" s="1"/>
  <c r="D217" i="3"/>
  <c r="E217"/>
  <c r="I218" i="2" s="1"/>
  <c r="D191" i="3"/>
  <c r="D262"/>
  <c r="E262"/>
  <c r="I263" i="2" s="1"/>
  <c r="E186" i="3"/>
  <c r="I187" i="2" s="1"/>
  <c r="D214" i="3"/>
  <c r="D164"/>
  <c r="D171"/>
  <c r="E210"/>
  <c r="I211" i="2" s="1"/>
  <c r="D210" i="3"/>
  <c r="D211"/>
  <c r="E211"/>
  <c r="I212" i="2" s="1"/>
  <c r="D256" i="3"/>
  <c r="E256"/>
  <c r="I257" i="2" s="1"/>
  <c r="D180" i="3"/>
  <c r="E12"/>
  <c r="I13" i="2" s="1"/>
  <c r="I289" s="1"/>
  <c r="D15" i="4" s="1"/>
  <c r="D158" i="3"/>
  <c r="D177"/>
  <c r="D152"/>
  <c r="D266"/>
  <c r="D223"/>
  <c r="E223"/>
  <c r="I224" i="2" s="1"/>
  <c r="D198" i="3"/>
  <c r="E268"/>
  <c r="I269" i="2" s="1"/>
  <c r="D218" i="3"/>
  <c r="D167"/>
  <c r="I50"/>
  <c r="E196"/>
  <c r="I197" i="2" s="1"/>
  <c r="D181" i="3"/>
  <c r="D155"/>
  <c r="D270"/>
  <c r="E244"/>
  <c r="I245" i="2" s="1"/>
  <c r="D244" i="3"/>
  <c r="E232"/>
  <c r="I233" i="2" s="1"/>
  <c r="D220" i="3"/>
  <c r="D206"/>
  <c r="D229"/>
  <c r="E229"/>
  <c r="I230" i="2" s="1"/>
  <c r="D250" i="3"/>
  <c r="E250"/>
  <c r="I251" i="2" s="1"/>
  <c r="D148" i="3"/>
  <c r="D44"/>
  <c r="F44"/>
  <c r="D227"/>
  <c r="E202"/>
  <c r="I203" i="2" s="1"/>
  <c r="D176" i="3"/>
  <c r="E159"/>
  <c r="I160" i="2" s="1"/>
  <c r="E197" i="3"/>
  <c r="I198" i="2" s="1"/>
  <c r="E161" i="3"/>
  <c r="I162" i="2" s="1"/>
  <c r="D236" i="3"/>
  <c r="E164"/>
  <c r="I165" i="2" s="1"/>
  <c r="E261" i="3"/>
  <c r="I262" i="2" s="1"/>
  <c r="E230" i="3"/>
  <c r="I231" i="2" s="1"/>
  <c r="E249" i="3"/>
  <c r="I250" i="2" s="1"/>
  <c r="D243" i="3"/>
  <c r="E192"/>
  <c r="I193" i="2" s="1"/>
  <c r="E50" i="3"/>
  <c r="I51" i="2" s="1"/>
  <c r="I327" s="1"/>
  <c r="D53" i="4" s="1"/>
  <c r="E168" i="3"/>
  <c r="I169" i="2" s="1"/>
  <c r="E206" i="3"/>
  <c r="I207" i="2" s="1"/>
  <c r="E255" i="3"/>
  <c r="I256" i="2" s="1"/>
  <c r="E224" i="3"/>
  <c r="I225" i="2" s="1"/>
  <c r="H44" i="3"/>
  <c r="L45" i="2" s="1"/>
  <c r="L321" s="1"/>
  <c r="E44" i="3"/>
  <c r="I45" i="2" s="1"/>
  <c r="I321" s="1"/>
  <c r="D47" i="4" s="1"/>
  <c r="E227" i="3"/>
  <c r="I228" i="2" s="1"/>
  <c r="D202" i="3"/>
  <c r="E273"/>
  <c r="I274" i="2" s="1"/>
  <c r="D248" i="3"/>
  <c r="D222"/>
  <c r="D38"/>
  <c r="D187"/>
  <c r="E264"/>
  <c r="I265" i="2" s="1"/>
  <c r="D186" i="3"/>
  <c r="D190"/>
  <c r="E260"/>
  <c r="I261" i="2" s="1"/>
  <c r="D230" i="3"/>
  <c r="D12"/>
  <c r="D208"/>
  <c r="E266"/>
  <c r="I267" i="2" s="1"/>
  <c r="D254" i="3"/>
  <c r="E243"/>
  <c r="I244" i="2" s="1"/>
  <c r="D50" i="3"/>
  <c r="D143"/>
  <c r="E270"/>
  <c r="I271" i="2" s="1"/>
  <c r="D257" i="3"/>
  <c r="E220"/>
  <c r="I221" i="2" s="1"/>
  <c r="D194" i="3"/>
  <c r="E205"/>
  <c r="I206" i="2" s="1"/>
  <c r="I44" i="3"/>
  <c r="E252"/>
  <c r="I253" i="2" s="1"/>
  <c r="E6" i="3"/>
  <c r="I7" i="2" s="1"/>
  <c r="I283" s="1"/>
  <c r="D9" i="4" s="1"/>
  <c r="I38" i="3"/>
  <c r="H38"/>
  <c r="L39" i="2" s="1"/>
  <c r="L315" s="1"/>
  <c r="E183" i="3"/>
  <c r="I184" i="2" s="1"/>
  <c r="E175" i="3"/>
  <c r="I176" i="2" s="1"/>
  <c r="E149" i="3"/>
  <c r="I150" i="2" s="1"/>
  <c r="E242" i="3"/>
  <c r="I243" i="2" s="1"/>
  <c r="E191" i="3"/>
  <c r="I192" i="2" s="1"/>
  <c r="E190" i="3"/>
  <c r="I191" i="2" s="1"/>
  <c r="E171" i="3"/>
  <c r="I172" i="2" s="1"/>
  <c r="D261" i="3"/>
  <c r="E180"/>
  <c r="I181" i="2" s="1"/>
  <c r="I12" i="3"/>
  <c r="H12"/>
  <c r="L13" i="2" s="1"/>
  <c r="L289" s="1"/>
  <c r="E208" i="3"/>
  <c r="I209" i="2" s="1"/>
  <c r="E177" i="3"/>
  <c r="I178" i="2" s="1"/>
  <c r="E152" i="3"/>
  <c r="I153" i="2" s="1"/>
  <c r="D216" i="3"/>
  <c r="D249"/>
  <c r="E218"/>
  <c r="I219" i="2" s="1"/>
  <c r="E167" i="3"/>
  <c r="I168" i="2" s="1"/>
  <c r="H50" i="3"/>
  <c r="L51" i="2" s="1"/>
  <c r="L327" s="1"/>
  <c r="E246" i="3"/>
  <c r="I247" i="2" s="1"/>
  <c r="D246" i="3"/>
  <c r="E170"/>
  <c r="I171" i="2" s="1"/>
  <c r="E181" i="3"/>
  <c r="I182" i="2" s="1"/>
  <c r="E155" i="3"/>
  <c r="I156" i="2" s="1"/>
  <c r="D255" i="3"/>
  <c r="E148"/>
  <c r="I149" i="2" s="1"/>
  <c r="H6" i="3"/>
  <c r="L7" i="2" s="1"/>
  <c r="L283" s="1"/>
  <c r="E187" i="3"/>
  <c r="I188" i="2" s="1"/>
  <c r="E214" i="3"/>
  <c r="I215" i="2" s="1"/>
  <c r="E154" i="3"/>
  <c r="I155" i="2" s="1"/>
  <c r="E158" i="3"/>
  <c r="I159" i="2" s="1"/>
  <c r="E165" i="3"/>
  <c r="I166" i="2" s="1"/>
  <c r="E204" i="3"/>
  <c r="I205" i="2" s="1"/>
  <c r="D268" i="3"/>
  <c r="E142"/>
  <c r="I143" i="2" s="1"/>
  <c r="E143" i="3"/>
  <c r="I144" i="2" s="1"/>
  <c r="E194" i="3"/>
  <c r="I195" i="2" s="1"/>
  <c r="D205" i="3"/>
  <c r="E174"/>
  <c r="I175" i="2" s="1"/>
  <c r="E176" i="3"/>
  <c r="I177" i="2" s="1"/>
  <c r="I6" i="3"/>
  <c r="D159"/>
  <c r="E248"/>
  <c r="I249" i="2" s="1"/>
  <c r="E222" i="3"/>
  <c r="I223" i="2" s="1"/>
  <c r="F38" i="3"/>
  <c r="D234"/>
  <c r="D183"/>
  <c r="D161"/>
  <c r="D238"/>
  <c r="D226"/>
  <c r="E213"/>
  <c r="I214" i="2" s="1"/>
  <c r="D242" i="3"/>
  <c r="E236"/>
  <c r="I237" i="2" s="1"/>
  <c r="E240" i="3"/>
  <c r="I241" i="2" s="1"/>
  <c r="D240" i="3"/>
  <c r="D260"/>
  <c r="D154"/>
  <c r="F12"/>
  <c r="D165"/>
  <c r="E254"/>
  <c r="I255" i="2" s="1"/>
  <c r="E216" i="3"/>
  <c r="I217" i="2" s="1"/>
  <c r="D204" i="3"/>
  <c r="E198"/>
  <c r="I199" i="2" s="1"/>
  <c r="D192" i="3"/>
  <c r="D142"/>
  <c r="F50"/>
  <c r="D196"/>
  <c r="D170"/>
  <c r="D168"/>
  <c r="E257"/>
  <c r="I258" i="2" s="1"/>
  <c r="D232" i="3"/>
  <c r="E274"/>
  <c r="I275" i="2" s="1"/>
  <c r="D224" i="3"/>
  <c r="D174"/>
  <c r="D252"/>
  <c r="I77" i="2" l="1"/>
  <c r="I353" s="1"/>
  <c r="D79" i="4" s="1"/>
  <c r="F8" i="5"/>
  <c r="E6"/>
  <c r="G8"/>
  <c r="F6"/>
  <c r="E8"/>
  <c r="G6"/>
  <c r="H8" l="1"/>
  <c r="H30" s="1"/>
  <c r="B75" i="6" s="1"/>
  <c r="H6" i="5"/>
  <c r="H28" s="1"/>
  <c r="B25" i="6" l="1"/>
  <c r="B45"/>
  <c r="B41"/>
  <c r="B49"/>
  <c r="B71"/>
  <c r="B44"/>
  <c r="B51"/>
  <c r="B73"/>
  <c r="B27"/>
  <c r="B35"/>
  <c r="B39"/>
  <c r="B53"/>
  <c r="B55"/>
  <c r="B59"/>
  <c r="B72"/>
  <c r="B40"/>
  <c r="B69"/>
  <c r="B26"/>
  <c r="B42"/>
  <c r="B46"/>
  <c r="B58"/>
  <c r="B28"/>
  <c r="B43"/>
  <c r="B50"/>
  <c r="B68"/>
  <c r="B37"/>
  <c r="B52"/>
  <c r="B61"/>
  <c r="B70"/>
  <c r="B74"/>
  <c r="B54"/>
  <c r="H5" i="5" l="1"/>
  <c r="H7"/>
  <c r="A9" i="6" l="1"/>
  <c r="A11" i="22"/>
  <c r="A16"/>
  <c r="A20"/>
  <c r="A22"/>
  <c r="A6"/>
  <c r="A7"/>
  <c r="A41"/>
  <c r="A4"/>
  <c r="A18"/>
  <c r="A46"/>
  <c r="A21"/>
  <c r="A14"/>
  <c r="A48"/>
  <c r="A52"/>
  <c r="A43"/>
  <c r="A27"/>
  <c r="A23"/>
  <c r="A10"/>
  <c r="A60"/>
  <c r="A62"/>
  <c r="A51"/>
  <c r="A33"/>
  <c r="A42"/>
  <c r="A55"/>
  <c r="A35"/>
  <c r="A24"/>
  <c r="A9"/>
  <c r="A30"/>
  <c r="A50"/>
  <c r="A49"/>
  <c r="A57"/>
  <c r="A58"/>
  <c r="A17"/>
  <c r="A12"/>
  <c r="A37"/>
  <c r="A61"/>
  <c r="A15"/>
  <c r="A38"/>
  <c r="A56"/>
  <c r="A5"/>
  <c r="A44"/>
  <c r="A40"/>
  <c r="A8"/>
  <c r="A3"/>
  <c r="A59"/>
  <c r="A29"/>
  <c r="A45"/>
  <c r="A36"/>
  <c r="A47"/>
  <c r="A26"/>
  <c r="A19"/>
  <c r="A53"/>
  <c r="A25"/>
  <c r="A34"/>
  <c r="A54"/>
  <c r="A32"/>
  <c r="A39"/>
  <c r="A13"/>
  <c r="A28"/>
  <c r="A31"/>
  <c r="J88" i="6"/>
  <c r="M88"/>
  <c r="L88"/>
  <c r="P88"/>
  <c r="G88"/>
  <c r="N88"/>
  <c r="Q88"/>
  <c r="T88"/>
  <c r="X88"/>
  <c r="O88"/>
  <c r="S88"/>
  <c r="R88"/>
  <c r="U88"/>
  <c r="E88"/>
  <c r="K88"/>
  <c r="W88"/>
  <c r="V88"/>
  <c r="F88"/>
  <c r="I88"/>
  <c r="H88"/>
  <c r="E7" i="22" l="1"/>
  <c r="E48"/>
  <c r="E32"/>
  <c r="E16"/>
  <c r="E61"/>
  <c r="E45"/>
  <c r="E29"/>
  <c r="E13"/>
  <c r="E58"/>
  <c r="E42"/>
  <c r="E26"/>
  <c r="E10"/>
  <c r="E55"/>
  <c r="E39"/>
  <c r="E23"/>
  <c r="E52"/>
  <c r="E36"/>
  <c r="E20"/>
  <c r="E4"/>
  <c r="E49"/>
  <c r="E33"/>
  <c r="E17"/>
  <c r="E62"/>
  <c r="E46"/>
  <c r="E30"/>
  <c r="E14"/>
  <c r="E59"/>
  <c r="E43"/>
  <c r="E27"/>
  <c r="E11"/>
  <c r="E56"/>
  <c r="E40"/>
  <c r="E24"/>
  <c r="E8"/>
  <c r="E53"/>
  <c r="E37"/>
  <c r="E21"/>
  <c r="E5"/>
  <c r="E50"/>
  <c r="E34"/>
  <c r="E18"/>
  <c r="E3"/>
  <c r="E47"/>
  <c r="E31"/>
  <c r="E15"/>
  <c r="E60"/>
  <c r="E44"/>
  <c r="E28"/>
  <c r="E12"/>
  <c r="E57"/>
  <c r="E41"/>
  <c r="E25"/>
  <c r="E9"/>
  <c r="E54"/>
  <c r="E38"/>
  <c r="E22"/>
  <c r="E6"/>
  <c r="E51"/>
  <c r="E35"/>
  <c r="E19"/>
  <c r="M140" i="2" l="1"/>
  <c r="N170"/>
  <c r="T125"/>
  <c r="P215"/>
  <c r="J125"/>
  <c r="J20"/>
  <c r="M170"/>
  <c r="K110"/>
  <c r="H125"/>
  <c r="P20"/>
  <c r="J35"/>
  <c r="H185"/>
  <c r="M20"/>
  <c r="N155"/>
  <c r="P65"/>
  <c r="R50"/>
  <c r="R110"/>
  <c r="H200"/>
  <c r="T260"/>
  <c r="M185"/>
  <c r="J80"/>
  <c r="M125"/>
  <c r="T200"/>
  <c r="T170"/>
  <c r="J230"/>
  <c r="K125"/>
  <c r="P110"/>
  <c r="T80"/>
  <c r="H65"/>
  <c r="P230"/>
  <c r="H80"/>
  <c r="R185"/>
  <c r="N215"/>
  <c r="N20"/>
  <c r="H95"/>
  <c r="N125"/>
  <c r="P80"/>
  <c r="K260"/>
  <c r="J110"/>
  <c r="P200"/>
  <c r="P125"/>
  <c r="R80"/>
  <c r="P245"/>
  <c r="K80"/>
  <c r="T50"/>
  <c r="N110"/>
  <c r="R140"/>
  <c r="R275"/>
  <c r="K65"/>
  <c r="M80"/>
  <c r="T185"/>
  <c r="P170"/>
  <c r="R215"/>
  <c r="M155"/>
  <c r="M356" s="1"/>
  <c r="H82" i="4" s="1"/>
  <c r="N230" i="2"/>
  <c r="M245"/>
  <c r="P140"/>
  <c r="P275"/>
  <c r="H50"/>
  <c r="T95"/>
  <c r="J155"/>
  <c r="R170"/>
  <c r="R125"/>
  <c r="T140"/>
  <c r="T35"/>
  <c r="K230"/>
  <c r="N185"/>
  <c r="P95"/>
  <c r="R65"/>
  <c r="P35"/>
  <c r="K140"/>
  <c r="M65"/>
  <c r="H170"/>
  <c r="T275"/>
  <c r="H230"/>
  <c r="N80"/>
  <c r="P260"/>
  <c r="T230"/>
  <c r="P155"/>
  <c r="K170"/>
  <c r="J275"/>
  <c r="K155"/>
  <c r="T65"/>
  <c r="T20"/>
  <c r="R200"/>
  <c r="R35"/>
  <c r="J215"/>
  <c r="J140"/>
  <c r="R230"/>
  <c r="T245"/>
  <c r="T386" s="1"/>
  <c r="O112" i="4" s="1"/>
  <c r="J260" i="2"/>
  <c r="N245"/>
  <c r="H20"/>
  <c r="N50"/>
  <c r="J245"/>
  <c r="T155"/>
  <c r="H140"/>
  <c r="K95"/>
  <c r="M215"/>
  <c r="K20"/>
  <c r="J200"/>
  <c r="M200"/>
  <c r="N260"/>
  <c r="K185"/>
  <c r="T110"/>
  <c r="R95"/>
  <c r="N35"/>
  <c r="K245"/>
  <c r="H260"/>
  <c r="H275"/>
  <c r="M230"/>
  <c r="M50"/>
  <c r="K200"/>
  <c r="J65"/>
  <c r="K35"/>
  <c r="H245"/>
  <c r="H35"/>
  <c r="H155"/>
  <c r="R20"/>
  <c r="M95"/>
  <c r="P185"/>
  <c r="R245"/>
  <c r="H215"/>
  <c r="H110"/>
  <c r="K275"/>
  <c r="J170"/>
  <c r="T215"/>
  <c r="J95"/>
  <c r="K50"/>
  <c r="N200"/>
  <c r="N275"/>
  <c r="R260"/>
  <c r="M260"/>
  <c r="K215"/>
  <c r="J50"/>
  <c r="J185"/>
  <c r="P50"/>
  <c r="M110"/>
  <c r="R155"/>
  <c r="N65"/>
  <c r="N140"/>
  <c r="M275"/>
  <c r="M35"/>
  <c r="N95"/>
  <c r="A62" i="6"/>
  <c r="A59"/>
  <c r="A61"/>
  <c r="A45"/>
  <c r="M217" i="2"/>
  <c r="H188"/>
  <c r="H56"/>
  <c r="J221"/>
  <c r="N144"/>
  <c r="R161"/>
  <c r="R235"/>
  <c r="H204"/>
  <c r="H113"/>
  <c r="T158"/>
  <c r="N174"/>
  <c r="R247"/>
  <c r="T264"/>
  <c r="J83"/>
  <c r="P231"/>
  <c r="R24"/>
  <c r="J157"/>
  <c r="H251"/>
  <c r="K40"/>
  <c r="N190"/>
  <c r="P174"/>
  <c r="M127"/>
  <c r="R7"/>
  <c r="N220"/>
  <c r="N142"/>
  <c r="T126"/>
  <c r="M10"/>
  <c r="N216"/>
  <c r="J206"/>
  <c r="N173"/>
  <c r="N126"/>
  <c r="H66"/>
  <c r="R205"/>
  <c r="R188"/>
  <c r="K202"/>
  <c r="R37"/>
  <c r="T189"/>
  <c r="N204"/>
  <c r="H160"/>
  <c r="N82"/>
  <c r="T251"/>
  <c r="N83"/>
  <c r="K232"/>
  <c r="R203"/>
  <c r="K116"/>
  <c r="J201"/>
  <c r="J26"/>
  <c r="R251"/>
  <c r="M98"/>
  <c r="R101"/>
  <c r="J86"/>
  <c r="J66"/>
  <c r="H10"/>
  <c r="J131"/>
  <c r="J116"/>
  <c r="R71"/>
  <c r="M233"/>
  <c r="M189"/>
  <c r="P83"/>
  <c r="H22"/>
  <c r="N264"/>
  <c r="P187"/>
  <c r="K145"/>
  <c r="T68"/>
  <c r="T160"/>
  <c r="J190"/>
  <c r="T97"/>
  <c r="K21"/>
  <c r="R41"/>
  <c r="M160"/>
  <c r="T9"/>
  <c r="P70"/>
  <c r="P172"/>
  <c r="M11"/>
  <c r="K23"/>
  <c r="N219"/>
  <c r="K160"/>
  <c r="R159"/>
  <c r="P21"/>
  <c r="K84"/>
  <c r="P40"/>
  <c r="N67"/>
  <c r="T246"/>
  <c r="N233"/>
  <c r="J161"/>
  <c r="T99"/>
  <c r="R264"/>
  <c r="N189"/>
  <c r="H236"/>
  <c r="P96"/>
  <c r="N191"/>
  <c r="J11"/>
  <c r="T40"/>
  <c r="K231"/>
  <c r="H24"/>
  <c r="P249"/>
  <c r="H157"/>
  <c r="K10"/>
  <c r="P205"/>
  <c r="R82"/>
  <c r="J188"/>
  <c r="P218"/>
  <c r="M247"/>
  <c r="N202"/>
  <c r="K161"/>
  <c r="M86"/>
  <c r="N175"/>
  <c r="N66"/>
  <c r="H174"/>
  <c r="N158"/>
  <c r="K246"/>
  <c r="N172"/>
  <c r="H219"/>
  <c r="R52"/>
  <c r="P190"/>
  <c r="K235"/>
  <c r="M221"/>
  <c r="T8"/>
  <c r="N171"/>
  <c r="M206"/>
  <c r="R114"/>
  <c r="N51"/>
  <c r="R130"/>
  <c r="N86"/>
  <c r="M83"/>
  <c r="M116"/>
  <c r="K114"/>
  <c r="M51"/>
  <c r="H83"/>
  <c r="M131"/>
  <c r="P114"/>
  <c r="P99"/>
  <c r="T247"/>
  <c r="R189"/>
  <c r="J130"/>
  <c r="P265"/>
  <c r="J40"/>
  <c r="K131"/>
  <c r="M38"/>
  <c r="J251"/>
  <c r="T263"/>
  <c r="P115"/>
  <c r="R216"/>
  <c r="T114"/>
  <c r="H250"/>
  <c r="P39"/>
  <c r="H126"/>
  <c r="P9"/>
  <c r="K26"/>
  <c r="M23"/>
  <c r="T116"/>
  <c r="N84"/>
  <c r="H264"/>
  <c r="H144"/>
  <c r="J67"/>
  <c r="T131"/>
  <c r="H52"/>
  <c r="T261"/>
  <c r="P38"/>
  <c r="R204"/>
  <c r="M85"/>
  <c r="N22"/>
  <c r="P221"/>
  <c r="T21"/>
  <c r="H55"/>
  <c r="P188"/>
  <c r="M216"/>
  <c r="N161"/>
  <c r="T56"/>
  <c r="N38"/>
  <c r="T6"/>
  <c r="H217"/>
  <c r="H233"/>
  <c r="J52"/>
  <c r="J160"/>
  <c r="K247"/>
  <c r="K266"/>
  <c r="M219"/>
  <c r="J112"/>
  <c r="T190"/>
  <c r="K173"/>
  <c r="H249"/>
  <c r="M130"/>
  <c r="M204"/>
  <c r="R160"/>
  <c r="M112"/>
  <c r="T129"/>
  <c r="T66"/>
  <c r="R116"/>
  <c r="H96"/>
  <c r="N24"/>
  <c r="P51"/>
  <c r="R98"/>
  <c r="K113"/>
  <c r="K127"/>
  <c r="T98"/>
  <c r="T248"/>
  <c r="R156"/>
  <c r="N25"/>
  <c r="K56"/>
  <c r="K187"/>
  <c r="K188"/>
  <c r="T143"/>
  <c r="N262"/>
  <c r="T206"/>
  <c r="R70"/>
  <c r="J141"/>
  <c r="H171"/>
  <c r="J232"/>
  <c r="R11"/>
  <c r="N101"/>
  <c r="P53"/>
  <c r="N143"/>
  <c r="K82"/>
  <c r="J219"/>
  <c r="K83"/>
  <c r="R97"/>
  <c r="J55"/>
  <c r="J98"/>
  <c r="H39"/>
  <c r="T39"/>
  <c r="P56"/>
  <c r="K130"/>
  <c r="H265"/>
  <c r="R51"/>
  <c r="N265"/>
  <c r="R38"/>
  <c r="J100"/>
  <c r="P173"/>
  <c r="R131"/>
  <c r="T141"/>
  <c r="M8"/>
  <c r="T205"/>
  <c r="K265"/>
  <c r="K67"/>
  <c r="N111"/>
  <c r="H173"/>
  <c r="J37"/>
  <c r="M235"/>
  <c r="P23"/>
  <c r="K11"/>
  <c r="P54"/>
  <c r="M68"/>
  <c r="N9"/>
  <c r="H81"/>
  <c r="H97"/>
  <c r="K216"/>
  <c r="T85"/>
  <c r="R220"/>
  <c r="K171"/>
  <c r="K236"/>
  <c r="P219"/>
  <c r="K221"/>
  <c r="H127"/>
  <c r="J82"/>
  <c r="M218"/>
  <c r="H234"/>
  <c r="K261"/>
  <c r="R174"/>
  <c r="H11"/>
  <c r="T220"/>
  <c r="T37"/>
  <c r="J114"/>
  <c r="N131"/>
  <c r="H158"/>
  <c r="M201"/>
  <c r="J21"/>
  <c r="N249"/>
  <c r="N250"/>
  <c r="H205"/>
  <c r="K220"/>
  <c r="R202"/>
  <c r="M6"/>
  <c r="H176"/>
  <c r="P220"/>
  <c r="N112"/>
  <c r="N261"/>
  <c r="H85"/>
  <c r="P203"/>
  <c r="H128"/>
  <c r="T218"/>
  <c r="P66"/>
  <c r="J10"/>
  <c r="R218"/>
  <c r="P189"/>
  <c r="M126"/>
  <c r="N160"/>
  <c r="H67"/>
  <c r="T236"/>
  <c r="R191"/>
  <c r="J217"/>
  <c r="J41"/>
  <c r="K146"/>
  <c r="K54"/>
  <c r="M144"/>
  <c r="T113"/>
  <c r="R55"/>
  <c r="T81"/>
  <c r="T146"/>
  <c r="H131"/>
  <c r="J70"/>
  <c r="M190"/>
  <c r="H68"/>
  <c r="N55"/>
  <c r="N176"/>
  <c r="K205"/>
  <c r="P236"/>
  <c r="P145"/>
  <c r="R22"/>
  <c r="K248"/>
  <c r="R85"/>
  <c r="R36"/>
  <c r="H261"/>
  <c r="J111"/>
  <c r="J22"/>
  <c r="M129"/>
  <c r="K86"/>
  <c r="P97"/>
  <c r="R246"/>
  <c r="N116"/>
  <c r="H235"/>
  <c r="H376" s="1"/>
  <c r="C102" i="4" s="1"/>
  <c r="K251" i="2"/>
  <c r="J36"/>
  <c r="M101"/>
  <c r="R9"/>
  <c r="H54"/>
  <c r="N247"/>
  <c r="M67"/>
  <c r="T233"/>
  <c r="T374" s="1"/>
  <c r="O100" i="4" s="1"/>
  <c r="R231" i="2"/>
  <c r="J248"/>
  <c r="T171"/>
  <c r="P41"/>
  <c r="T173"/>
  <c r="H41"/>
  <c r="K156"/>
  <c r="J262"/>
  <c r="N54"/>
  <c r="T71"/>
  <c r="H99"/>
  <c r="K174"/>
  <c r="M261"/>
  <c r="P247"/>
  <c r="H159"/>
  <c r="T250"/>
  <c r="M158"/>
  <c r="P263"/>
  <c r="R176"/>
  <c r="R190"/>
  <c r="N71"/>
  <c r="J129"/>
  <c r="P233"/>
  <c r="K36"/>
  <c r="H186"/>
  <c r="P55"/>
  <c r="P266"/>
  <c r="K126"/>
  <c r="P130"/>
  <c r="K172"/>
  <c r="N263"/>
  <c r="M251"/>
  <c r="P248"/>
  <c r="H247"/>
  <c r="M236"/>
  <c r="R99"/>
  <c r="N159"/>
  <c r="K263"/>
  <c r="P142"/>
  <c r="T235"/>
  <c r="H220"/>
  <c r="H23"/>
  <c r="M128"/>
  <c r="K51"/>
  <c r="R96"/>
  <c r="R187"/>
  <c r="K129"/>
  <c r="M248"/>
  <c r="M203"/>
  <c r="T96"/>
  <c r="H266"/>
  <c r="P128"/>
  <c r="P206"/>
  <c r="P101"/>
  <c r="M25"/>
  <c r="T219"/>
  <c r="K100"/>
  <c r="J246"/>
  <c r="P69"/>
  <c r="J250"/>
  <c r="J249"/>
  <c r="M205"/>
  <c r="J156"/>
  <c r="M52"/>
  <c r="T234"/>
  <c r="K234"/>
  <c r="P7"/>
  <c r="J145"/>
  <c r="P112"/>
  <c r="P86"/>
  <c r="J220"/>
  <c r="J146"/>
  <c r="T11"/>
  <c r="R157"/>
  <c r="R232"/>
  <c r="K249"/>
  <c r="R40"/>
  <c r="T201"/>
  <c r="M264"/>
  <c r="P158"/>
  <c r="K206"/>
  <c r="R206"/>
  <c r="J71"/>
  <c r="J84"/>
  <c r="T176"/>
  <c r="R171"/>
  <c r="M161"/>
  <c r="H246"/>
  <c r="H114"/>
  <c r="T10"/>
  <c r="N69"/>
  <c r="R100"/>
  <c r="P52"/>
  <c r="T115"/>
  <c r="T186"/>
  <c r="R54"/>
  <c r="K250"/>
  <c r="P71"/>
  <c r="T204"/>
  <c r="T36"/>
  <c r="K7"/>
  <c r="N201"/>
  <c r="J231"/>
  <c r="R201"/>
  <c r="P11"/>
  <c r="H145"/>
  <c r="M266"/>
  <c r="R266"/>
  <c r="H116"/>
  <c r="J85"/>
  <c r="R112"/>
  <c r="P217"/>
  <c r="R265"/>
  <c r="M172"/>
  <c r="K81"/>
  <c r="N246"/>
  <c r="T26"/>
  <c r="R25"/>
  <c r="J53"/>
  <c r="P232"/>
  <c r="K219"/>
  <c r="K201"/>
  <c r="R8"/>
  <c r="T82"/>
  <c r="P264"/>
  <c r="T24"/>
  <c r="M21"/>
  <c r="H21"/>
  <c r="J7"/>
  <c r="J283" s="1"/>
  <c r="E9" i="4" s="1"/>
  <c r="J264" i="2"/>
  <c r="N36"/>
  <c r="P24"/>
  <c r="M97"/>
  <c r="M313" s="1"/>
  <c r="H39" i="4" s="1"/>
  <c r="M22" i="2"/>
  <c r="N217"/>
  <c r="P26"/>
  <c r="P144"/>
  <c r="H146"/>
  <c r="J128"/>
  <c r="N85"/>
  <c r="H37"/>
  <c r="K69"/>
  <c r="M188"/>
  <c r="T52"/>
  <c r="H191"/>
  <c r="H142"/>
  <c r="R219"/>
  <c r="K41"/>
  <c r="R39"/>
  <c r="H70"/>
  <c r="K25"/>
  <c r="J236"/>
  <c r="R10"/>
  <c r="R248"/>
  <c r="K22"/>
  <c r="T249"/>
  <c r="P261"/>
  <c r="P68"/>
  <c r="K111"/>
  <c r="M265"/>
  <c r="K85"/>
  <c r="K159"/>
  <c r="N157"/>
  <c r="P116"/>
  <c r="N232"/>
  <c r="N373" s="1"/>
  <c r="I99" i="4" s="1"/>
  <c r="T144" i="2"/>
  <c r="N10"/>
  <c r="M114"/>
  <c r="R68"/>
  <c r="N115"/>
  <c r="H53"/>
  <c r="H248"/>
  <c r="K218"/>
  <c r="J115"/>
  <c r="P204"/>
  <c r="H40"/>
  <c r="R56"/>
  <c r="P262"/>
  <c r="J174"/>
  <c r="P202"/>
  <c r="J68"/>
  <c r="P156"/>
  <c r="H130"/>
  <c r="H172"/>
  <c r="J187"/>
  <c r="R142"/>
  <c r="K112"/>
  <c r="N221"/>
  <c r="N70"/>
  <c r="J25"/>
  <c r="P84"/>
  <c r="M202"/>
  <c r="N52"/>
  <c r="J203"/>
  <c r="M143"/>
  <c r="K68"/>
  <c r="K175"/>
  <c r="P98"/>
  <c r="R263"/>
  <c r="M186"/>
  <c r="T142"/>
  <c r="M115"/>
  <c r="T217"/>
  <c r="J8"/>
  <c r="R67"/>
  <c r="P250"/>
  <c r="M232"/>
  <c r="M187"/>
  <c r="M53"/>
  <c r="T100"/>
  <c r="M249"/>
  <c r="K38"/>
  <c r="T262"/>
  <c r="R172"/>
  <c r="T84"/>
  <c r="T53"/>
  <c r="R158"/>
  <c r="N146"/>
  <c r="N266"/>
  <c r="N114"/>
  <c r="J261"/>
  <c r="T188"/>
  <c r="N127"/>
  <c r="H38"/>
  <c r="H6"/>
  <c r="N113"/>
  <c r="R250"/>
  <c r="T156"/>
  <c r="M66"/>
  <c r="J186"/>
  <c r="M84"/>
  <c r="J81"/>
  <c r="R145"/>
  <c r="M173"/>
  <c r="N37"/>
  <c r="M113"/>
  <c r="N129"/>
  <c r="P175"/>
  <c r="P25"/>
  <c r="H112"/>
  <c r="N11"/>
  <c r="M262"/>
  <c r="H98"/>
  <c r="K262"/>
  <c r="T111"/>
  <c r="J101"/>
  <c r="R21"/>
  <c r="H129"/>
  <c r="N231"/>
  <c r="H111"/>
  <c r="N248"/>
  <c r="M142"/>
  <c r="P82"/>
  <c r="P251"/>
  <c r="K55"/>
  <c r="R66"/>
  <c r="J142"/>
  <c r="J113"/>
  <c r="H232"/>
  <c r="N251"/>
  <c r="T70"/>
  <c r="M171"/>
  <c r="N26"/>
  <c r="M111"/>
  <c r="N21"/>
  <c r="N128"/>
  <c r="M56"/>
  <c r="P67"/>
  <c r="H201"/>
  <c r="J39"/>
  <c r="K143"/>
  <c r="J247"/>
  <c r="M39"/>
  <c r="J144"/>
  <c r="J96"/>
  <c r="J233"/>
  <c r="H69"/>
  <c r="J99"/>
  <c r="J315" s="1"/>
  <c r="E41" i="4" s="1"/>
  <c r="M220" i="2"/>
  <c r="P36"/>
  <c r="P100"/>
  <c r="P316" s="1"/>
  <c r="K42" i="4" s="1"/>
  <c r="R26" i="2"/>
  <c r="K99"/>
  <c r="P111"/>
  <c r="M156"/>
  <c r="H231"/>
  <c r="M176"/>
  <c r="P159"/>
  <c r="H101"/>
  <c r="H317" s="1"/>
  <c r="C43" i="4" s="1"/>
  <c r="R129" i="2"/>
  <c r="P171"/>
  <c r="M191"/>
  <c r="N7"/>
  <c r="N283" s="1"/>
  <c r="I9" i="4" s="1"/>
  <c r="K8" i="2"/>
  <c r="M100"/>
  <c r="J205"/>
  <c r="T159"/>
  <c r="M159"/>
  <c r="M55"/>
  <c r="H156"/>
  <c r="T22"/>
  <c r="R249"/>
  <c r="M174"/>
  <c r="N130"/>
  <c r="M24"/>
  <c r="M146"/>
  <c r="M347" s="1"/>
  <c r="H73" i="4" s="1"/>
  <c r="H175" i="2"/>
  <c r="K233"/>
  <c r="P246"/>
  <c r="N23"/>
  <c r="H82"/>
  <c r="P85"/>
  <c r="N203"/>
  <c r="H86"/>
  <c r="R143"/>
  <c r="P131"/>
  <c r="H84"/>
  <c r="J175"/>
  <c r="R69"/>
  <c r="N56"/>
  <c r="T266"/>
  <c r="M81"/>
  <c r="J202"/>
  <c r="H263"/>
  <c r="J159"/>
  <c r="M69"/>
  <c r="H7"/>
  <c r="T175"/>
  <c r="N188"/>
  <c r="T38"/>
  <c r="J69"/>
  <c r="M99"/>
  <c r="M315" s="1"/>
  <c r="H41" i="4" s="1"/>
  <c r="K141" i="2"/>
  <c r="K342" s="1"/>
  <c r="F68" i="4" s="1"/>
  <c r="P160" i="2"/>
  <c r="N97"/>
  <c r="N313" s="1"/>
  <c r="I39" i="4" s="1"/>
  <c r="R217" i="2"/>
  <c r="M9"/>
  <c r="M285" s="1"/>
  <c r="H11" i="4" s="1"/>
  <c r="M96" i="2"/>
  <c r="K66"/>
  <c r="T54"/>
  <c r="T203"/>
  <c r="J216"/>
  <c r="K204"/>
  <c r="R53"/>
  <c r="M157"/>
  <c r="N187"/>
  <c r="N39"/>
  <c r="R144"/>
  <c r="J204"/>
  <c r="M41"/>
  <c r="J23"/>
  <c r="N186"/>
  <c r="K9"/>
  <c r="N99"/>
  <c r="N205"/>
  <c r="P22"/>
  <c r="T69"/>
  <c r="R83"/>
  <c r="H100"/>
  <c r="R233"/>
  <c r="R141"/>
  <c r="R342" s="1"/>
  <c r="M68" i="4" s="1"/>
  <c r="J234" i="2"/>
  <c r="R262"/>
  <c r="N236"/>
  <c r="N377" s="1"/>
  <c r="I103" i="4" s="1"/>
  <c r="R86" i="2"/>
  <c r="P157"/>
  <c r="P234"/>
  <c r="T202"/>
  <c r="T51"/>
  <c r="T187"/>
  <c r="K264"/>
  <c r="M26"/>
  <c r="H203"/>
  <c r="M141"/>
  <c r="M70"/>
  <c r="J51"/>
  <c r="T101"/>
  <c r="T317" s="1"/>
  <c r="O43" i="4" s="1"/>
  <c r="H8" i="2"/>
  <c r="T130"/>
  <c r="K157"/>
  <c r="H221"/>
  <c r="N53"/>
  <c r="K142"/>
  <c r="N81"/>
  <c r="R111"/>
  <c r="J189"/>
  <c r="K101"/>
  <c r="K6"/>
  <c r="K282" s="1"/>
  <c r="F8" i="4" s="1"/>
  <c r="T55" i="2"/>
  <c r="R6"/>
  <c r="R282" s="1"/>
  <c r="M8" i="4" s="1"/>
  <c r="M250" i="2"/>
  <c r="P127"/>
  <c r="K71"/>
  <c r="K217"/>
  <c r="M175"/>
  <c r="M263"/>
  <c r="N218"/>
  <c r="T112"/>
  <c r="T23"/>
  <c r="H36"/>
  <c r="J56"/>
  <c r="R115"/>
  <c r="H161"/>
  <c r="K189"/>
  <c r="M40"/>
  <c r="R146"/>
  <c r="T83"/>
  <c r="J127"/>
  <c r="M37"/>
  <c r="T41"/>
  <c r="J126"/>
  <c r="K176"/>
  <c r="R221"/>
  <c r="R236"/>
  <c r="K97"/>
  <c r="P216"/>
  <c r="N141"/>
  <c r="R186"/>
  <c r="M7"/>
  <c r="T221"/>
  <c r="N206"/>
  <c r="J173"/>
  <c r="P113"/>
  <c r="H202"/>
  <c r="P161"/>
  <c r="N100"/>
  <c r="J9"/>
  <c r="N235"/>
  <c r="P143"/>
  <c r="T7"/>
  <c r="H141"/>
  <c r="K98"/>
  <c r="H71"/>
  <c r="H26"/>
  <c r="J54"/>
  <c r="P129"/>
  <c r="H190"/>
  <c r="K190"/>
  <c r="T232"/>
  <c r="R84"/>
  <c r="M71"/>
  <c r="H189"/>
  <c r="P201"/>
  <c r="T157"/>
  <c r="J176"/>
  <c r="T25"/>
  <c r="H51"/>
  <c r="J158"/>
  <c r="J171"/>
  <c r="J24"/>
  <c r="R23"/>
  <c r="H143"/>
  <c r="H344" s="1"/>
  <c r="C70" i="4" s="1"/>
  <c r="K39" i="2"/>
  <c r="J191"/>
  <c r="T231"/>
  <c r="P186"/>
  <c r="R127"/>
  <c r="H187"/>
  <c r="K186"/>
  <c r="N8"/>
  <c r="J6"/>
  <c r="J282" s="1"/>
  <c r="E8" i="4" s="1"/>
  <c r="K144" i="2"/>
  <c r="N96"/>
  <c r="P235"/>
  <c r="R81"/>
  <c r="N145"/>
  <c r="N346" s="1"/>
  <c r="I72" i="4" s="1"/>
  <c r="H262" i="2"/>
  <c r="K53"/>
  <c r="K70"/>
  <c r="J265"/>
  <c r="K203"/>
  <c r="J235"/>
  <c r="P191"/>
  <c r="M82"/>
  <c r="H25"/>
  <c r="J218"/>
  <c r="N40"/>
  <c r="R113"/>
  <c r="N41"/>
  <c r="T86"/>
  <c r="K24"/>
  <c r="R175"/>
  <c r="T67"/>
  <c r="P141"/>
  <c r="T172"/>
  <c r="N98"/>
  <c r="N314" s="1"/>
  <c r="I40" i="4" s="1"/>
  <c r="M145" i="2"/>
  <c r="P126"/>
  <c r="T161"/>
  <c r="R128"/>
  <c r="T265"/>
  <c r="K128"/>
  <c r="R126"/>
  <c r="R173"/>
  <c r="J38"/>
  <c r="P8"/>
  <c r="J97"/>
  <c r="N234"/>
  <c r="T191"/>
  <c r="H9"/>
  <c r="H206"/>
  <c r="P37"/>
  <c r="H216"/>
  <c r="M36"/>
  <c r="K115"/>
  <c r="T145"/>
  <c r="J143"/>
  <c r="T127"/>
  <c r="M234"/>
  <c r="M375" s="1"/>
  <c r="H101" i="4" s="1"/>
  <c r="M231" i="2"/>
  <c r="P146"/>
  <c r="K191"/>
  <c r="N156"/>
  <c r="M54"/>
  <c r="P81"/>
  <c r="P176"/>
  <c r="T216"/>
  <c r="M246"/>
  <c r="J263"/>
  <c r="K52"/>
  <c r="T174"/>
  <c r="K37"/>
  <c r="R234"/>
  <c r="P10"/>
  <c r="P286" s="1"/>
  <c r="K12" i="4" s="1"/>
  <c r="R261" i="2"/>
  <c r="K158"/>
  <c r="K96"/>
  <c r="J172"/>
  <c r="N68"/>
  <c r="J266"/>
  <c r="T128"/>
  <c r="H115"/>
  <c r="P6"/>
  <c r="H218"/>
  <c r="N6"/>
  <c r="A73" i="6"/>
  <c r="A82"/>
  <c r="A66"/>
  <c r="A75"/>
  <c r="A37"/>
  <c r="A35"/>
  <c r="A29"/>
  <c r="A47"/>
  <c r="K42" i="2"/>
  <c r="J252"/>
  <c r="J27"/>
  <c r="M27"/>
  <c r="T162"/>
  <c r="N147"/>
  <c r="K177"/>
  <c r="H252"/>
  <c r="R177"/>
  <c r="T12"/>
  <c r="R147"/>
  <c r="P57"/>
  <c r="J117"/>
  <c r="K72"/>
  <c r="M162"/>
  <c r="K12"/>
  <c r="M102"/>
  <c r="J192"/>
  <c r="P207"/>
  <c r="J12"/>
  <c r="R102"/>
  <c r="R252"/>
  <c r="R42"/>
  <c r="H132"/>
  <c r="J207"/>
  <c r="T27"/>
  <c r="P12"/>
  <c r="N222"/>
  <c r="N87"/>
  <c r="K252"/>
  <c r="T72"/>
  <c r="M207"/>
  <c r="N27"/>
  <c r="J177"/>
  <c r="R117"/>
  <c r="N162"/>
  <c r="J147"/>
  <c r="H147"/>
  <c r="P222"/>
  <c r="K132"/>
  <c r="K117"/>
  <c r="M132"/>
  <c r="H102"/>
  <c r="T57"/>
  <c r="K57"/>
  <c r="K237"/>
  <c r="M147"/>
  <c r="N237"/>
  <c r="K222"/>
  <c r="J237"/>
  <c r="N117"/>
  <c r="H57"/>
  <c r="M57"/>
  <c r="M42"/>
  <c r="K102"/>
  <c r="N57"/>
  <c r="H162"/>
  <c r="M117"/>
  <c r="M237"/>
  <c r="K147"/>
  <c r="J87"/>
  <c r="N177"/>
  <c r="P162"/>
  <c r="N72"/>
  <c r="K87"/>
  <c r="R27"/>
  <c r="H42"/>
  <c r="R12"/>
  <c r="M12"/>
  <c r="T177"/>
  <c r="M177"/>
  <c r="H222"/>
  <c r="R72"/>
  <c r="J132"/>
  <c r="H267"/>
  <c r="H12"/>
  <c r="R222"/>
  <c r="H207"/>
  <c r="J42"/>
  <c r="N102"/>
  <c r="J267"/>
  <c r="M72"/>
  <c r="N12"/>
  <c r="T42"/>
  <c r="T132"/>
  <c r="R192"/>
  <c r="T102"/>
  <c r="P72"/>
  <c r="H192"/>
  <c r="M267"/>
  <c r="P177"/>
  <c r="M87"/>
  <c r="N132"/>
  <c r="N42"/>
  <c r="H27"/>
  <c r="K27"/>
  <c r="H177"/>
  <c r="T267"/>
  <c r="R132"/>
  <c r="J57"/>
  <c r="T207"/>
  <c r="H87"/>
  <c r="T252"/>
  <c r="P252"/>
  <c r="H237"/>
  <c r="J162"/>
  <c r="R162"/>
  <c r="M222"/>
  <c r="J72"/>
  <c r="H72"/>
  <c r="P87"/>
  <c r="M192"/>
  <c r="R87"/>
  <c r="K267"/>
  <c r="P117"/>
  <c r="T192"/>
  <c r="R267"/>
  <c r="K162"/>
  <c r="P237"/>
  <c r="K192"/>
  <c r="T237"/>
  <c r="K207"/>
  <c r="R237"/>
  <c r="J222"/>
  <c r="T117"/>
  <c r="N267"/>
  <c r="H117"/>
  <c r="J102"/>
  <c r="P102"/>
  <c r="N207"/>
  <c r="P147"/>
  <c r="P348" s="1"/>
  <c r="K74" i="4" s="1"/>
  <c r="P42" i="2"/>
  <c r="P132"/>
  <c r="N192"/>
  <c r="P267"/>
  <c r="T87"/>
  <c r="T222"/>
  <c r="R57"/>
  <c r="P192"/>
  <c r="M252"/>
  <c r="P27"/>
  <c r="N252"/>
  <c r="T147"/>
  <c r="R207"/>
  <c r="K168"/>
  <c r="R273"/>
  <c r="K34"/>
  <c r="N197"/>
  <c r="M77"/>
  <c r="P151"/>
  <c r="T272"/>
  <c r="P257"/>
  <c r="J257"/>
  <c r="K274"/>
  <c r="J33"/>
  <c r="P273"/>
  <c r="K121"/>
  <c r="J181"/>
  <c r="J211"/>
  <c r="H31"/>
  <c r="J79"/>
  <c r="M167"/>
  <c r="P211"/>
  <c r="M31"/>
  <c r="H226"/>
  <c r="M198"/>
  <c r="P152"/>
  <c r="M123"/>
  <c r="H227"/>
  <c r="J17"/>
  <c r="N138"/>
  <c r="T182"/>
  <c r="R152"/>
  <c r="T199"/>
  <c r="J31"/>
  <c r="T106"/>
  <c r="P243"/>
  <c r="N151"/>
  <c r="N63"/>
  <c r="N271"/>
  <c r="J137"/>
  <c r="J242"/>
  <c r="M64"/>
  <c r="H168"/>
  <c r="K198"/>
  <c r="T137"/>
  <c r="T92"/>
  <c r="R47"/>
  <c r="T46"/>
  <c r="P79"/>
  <c r="T196"/>
  <c r="N91"/>
  <c r="R34"/>
  <c r="R77"/>
  <c r="N106"/>
  <c r="M214"/>
  <c r="R199"/>
  <c r="H16"/>
  <c r="T49"/>
  <c r="M226"/>
  <c r="T139"/>
  <c r="M152"/>
  <c r="K61"/>
  <c r="N92"/>
  <c r="K91"/>
  <c r="H169"/>
  <c r="N78"/>
  <c r="M228"/>
  <c r="P17"/>
  <c r="R139"/>
  <c r="K139"/>
  <c r="K196"/>
  <c r="H108"/>
  <c r="R122"/>
  <c r="P91"/>
  <c r="N32"/>
  <c r="P121"/>
  <c r="N181"/>
  <c r="N64"/>
  <c r="K243"/>
  <c r="R106"/>
  <c r="H48"/>
  <c r="P226"/>
  <c r="R256"/>
  <c r="T183"/>
  <c r="N243"/>
  <c r="J64"/>
  <c r="M227"/>
  <c r="T256"/>
  <c r="K47"/>
  <c r="M213"/>
  <c r="J63"/>
  <c r="H242"/>
  <c r="T78"/>
  <c r="P106"/>
  <c r="J227"/>
  <c r="J138"/>
  <c r="M79"/>
  <c r="T244"/>
  <c r="T121"/>
  <c r="M153"/>
  <c r="P181"/>
  <c r="P258"/>
  <c r="M274"/>
  <c r="K259"/>
  <c r="R124"/>
  <c r="P32"/>
  <c r="M243"/>
  <c r="T212"/>
  <c r="R107"/>
  <c r="N77"/>
  <c r="T34"/>
  <c r="H121"/>
  <c r="R153"/>
  <c r="P34"/>
  <c r="J256"/>
  <c r="T168"/>
  <c r="J241"/>
  <c r="H167"/>
  <c r="T152"/>
  <c r="N139"/>
  <c r="P241"/>
  <c r="R64"/>
  <c r="R197"/>
  <c r="K64"/>
  <c r="J34"/>
  <c r="R31"/>
  <c r="M61"/>
  <c r="J196"/>
  <c r="R213"/>
  <c r="M18"/>
  <c r="N182"/>
  <c r="P182"/>
  <c r="M78"/>
  <c r="H138"/>
  <c r="K228"/>
  <c r="P137"/>
  <c r="K33"/>
  <c r="K227"/>
  <c r="T18"/>
  <c r="J49"/>
  <c r="M19"/>
  <c r="H213"/>
  <c r="N108"/>
  <c r="T151"/>
  <c r="P16"/>
  <c r="M197"/>
  <c r="K123"/>
  <c r="N259"/>
  <c r="P197"/>
  <c r="H64"/>
  <c r="P274"/>
  <c r="N79"/>
  <c r="H122"/>
  <c r="M106"/>
  <c r="K257"/>
  <c r="J167"/>
  <c r="J274"/>
  <c r="R229"/>
  <c r="T76"/>
  <c r="H47"/>
  <c r="N109"/>
  <c r="J182"/>
  <c r="P47"/>
  <c r="J139"/>
  <c r="H93"/>
  <c r="J46"/>
  <c r="J198"/>
  <c r="J258"/>
  <c r="P271"/>
  <c r="P242"/>
  <c r="J169"/>
  <c r="P213"/>
  <c r="J197"/>
  <c r="H153"/>
  <c r="P64"/>
  <c r="T197"/>
  <c r="K124"/>
  <c r="M211"/>
  <c r="T169"/>
  <c r="J76"/>
  <c r="N122"/>
  <c r="R33"/>
  <c r="T107"/>
  <c r="J259"/>
  <c r="T91"/>
  <c r="H184"/>
  <c r="P78"/>
  <c r="P92"/>
  <c r="R16"/>
  <c r="N93"/>
  <c r="N76"/>
  <c r="T211"/>
  <c r="J212"/>
  <c r="P244"/>
  <c r="N46"/>
  <c r="N183"/>
  <c r="J91"/>
  <c r="T214"/>
  <c r="K16"/>
  <c r="M137"/>
  <c r="P124"/>
  <c r="R241"/>
  <c r="M184"/>
  <c r="T17"/>
  <c r="P139"/>
  <c r="R137"/>
  <c r="P228"/>
  <c r="J106"/>
  <c r="T229"/>
  <c r="R93"/>
  <c r="R46"/>
  <c r="H166"/>
  <c r="T79"/>
  <c r="R63"/>
  <c r="R49"/>
  <c r="J136"/>
  <c r="T242"/>
  <c r="M271"/>
  <c r="T108"/>
  <c r="K93"/>
  <c r="J92"/>
  <c r="H259"/>
  <c r="N16"/>
  <c r="H17"/>
  <c r="N241"/>
  <c r="N136"/>
  <c r="J32"/>
  <c r="J213"/>
  <c r="H241"/>
  <c r="J152"/>
  <c r="J226"/>
  <c r="K77"/>
  <c r="N228"/>
  <c r="K122"/>
  <c r="J19"/>
  <c r="H123"/>
  <c r="J153"/>
  <c r="R121"/>
  <c r="R166"/>
  <c r="P19"/>
  <c r="H46"/>
  <c r="R242"/>
  <c r="R48"/>
  <c r="H196"/>
  <c r="M17"/>
  <c r="P109"/>
  <c r="M91"/>
  <c r="T243"/>
  <c r="T63"/>
  <c r="K106"/>
  <c r="N107"/>
  <c r="P166"/>
  <c r="H76"/>
  <c r="M241"/>
  <c r="K258"/>
  <c r="H136"/>
  <c r="H256"/>
  <c r="P183"/>
  <c r="H183"/>
  <c r="R154"/>
  <c r="P77"/>
  <c r="K49"/>
  <c r="R259"/>
  <c r="P31"/>
  <c r="K18"/>
  <c r="J77"/>
  <c r="K256"/>
  <c r="M122"/>
  <c r="K212"/>
  <c r="J273"/>
  <c r="N154"/>
  <c r="M108"/>
  <c r="T258"/>
  <c r="P256"/>
  <c r="T62"/>
  <c r="K182"/>
  <c r="K46"/>
  <c r="R182"/>
  <c r="T241"/>
  <c r="K153"/>
  <c r="K138"/>
  <c r="K78"/>
  <c r="J48"/>
  <c r="R136"/>
  <c r="M121"/>
  <c r="K184"/>
  <c r="T226"/>
  <c r="R198"/>
  <c r="P168"/>
  <c r="P229"/>
  <c r="P94"/>
  <c r="N273"/>
  <c r="R94"/>
  <c r="H94"/>
  <c r="K109"/>
  <c r="R18"/>
  <c r="M33"/>
  <c r="N137"/>
  <c r="J107"/>
  <c r="K272"/>
  <c r="H197"/>
  <c r="R227"/>
  <c r="M94"/>
  <c r="P169"/>
  <c r="P33"/>
  <c r="R243"/>
  <c r="J272"/>
  <c r="M63"/>
  <c r="K108"/>
  <c r="K324" s="1"/>
  <c r="F50" i="4" s="1"/>
  <c r="P122" i="2"/>
  <c r="K211"/>
  <c r="K169"/>
  <c r="K181"/>
  <c r="M169"/>
  <c r="K154"/>
  <c r="J61"/>
  <c r="R184"/>
  <c r="N18"/>
  <c r="M136"/>
  <c r="P212"/>
  <c r="N212"/>
  <c r="J124"/>
  <c r="P167"/>
  <c r="K199"/>
  <c r="M62"/>
  <c r="R108"/>
  <c r="J18"/>
  <c r="N213"/>
  <c r="R79"/>
  <c r="K152"/>
  <c r="K167"/>
  <c r="H33"/>
  <c r="H211"/>
  <c r="J168"/>
  <c r="R32"/>
  <c r="M138"/>
  <c r="M258"/>
  <c r="T138"/>
  <c r="N153"/>
  <c r="N274"/>
  <c r="K226"/>
  <c r="H243"/>
  <c r="K197"/>
  <c r="M124"/>
  <c r="T47"/>
  <c r="R212"/>
  <c r="T136"/>
  <c r="R123"/>
  <c r="M229"/>
  <c r="N48"/>
  <c r="J78"/>
  <c r="H106"/>
  <c r="H322" s="1"/>
  <c r="C48" i="4" s="1"/>
  <c r="T257" i="2"/>
  <c r="N242"/>
  <c r="M109"/>
  <c r="K242"/>
  <c r="K383" s="1"/>
  <c r="F109" i="4" s="1"/>
  <c r="H258" i="2"/>
  <c r="H109"/>
  <c r="R76"/>
  <c r="M93"/>
  <c r="K214"/>
  <c r="P76"/>
  <c r="H78"/>
  <c r="J271"/>
  <c r="H257"/>
  <c r="M107"/>
  <c r="K76"/>
  <c r="K241"/>
  <c r="P93"/>
  <c r="J243"/>
  <c r="K94"/>
  <c r="M151"/>
  <c r="H214"/>
  <c r="K62"/>
  <c r="R226"/>
  <c r="N61"/>
  <c r="N229"/>
  <c r="N166"/>
  <c r="R228"/>
  <c r="N198"/>
  <c r="M196"/>
  <c r="J47"/>
  <c r="H18"/>
  <c r="J214"/>
  <c r="N47"/>
  <c r="N184"/>
  <c r="M212"/>
  <c r="J229"/>
  <c r="M182"/>
  <c r="T93"/>
  <c r="T122"/>
  <c r="P123"/>
  <c r="N152"/>
  <c r="M48"/>
  <c r="M166"/>
  <c r="N168"/>
  <c r="M242"/>
  <c r="M257"/>
  <c r="K244"/>
  <c r="T16"/>
  <c r="N214"/>
  <c r="R211"/>
  <c r="P272"/>
  <c r="M199"/>
  <c r="J109"/>
  <c r="R271"/>
  <c r="H124"/>
  <c r="T271"/>
  <c r="M168"/>
  <c r="R167"/>
  <c r="N94"/>
  <c r="M49"/>
  <c r="P138"/>
  <c r="N227"/>
  <c r="T64"/>
  <c r="M16"/>
  <c r="M292" s="1"/>
  <c r="H18" i="4" s="1"/>
  <c r="N124" i="2"/>
  <c r="P48"/>
  <c r="T213"/>
  <c r="T77"/>
  <c r="P61"/>
  <c r="T109"/>
  <c r="T274"/>
  <c r="T273"/>
  <c r="H152"/>
  <c r="H229"/>
  <c r="H92"/>
  <c r="H79"/>
  <c r="J183"/>
  <c r="P18"/>
  <c r="J154"/>
  <c r="T153"/>
  <c r="T354" s="1"/>
  <c r="O80" i="4" s="1"/>
  <c r="N167" i="2"/>
  <c r="R151"/>
  <c r="H182"/>
  <c r="H61"/>
  <c r="H181"/>
  <c r="T33"/>
  <c r="P63"/>
  <c r="P196"/>
  <c r="M273"/>
  <c r="H19"/>
  <c r="H272"/>
  <c r="R138"/>
  <c r="M34"/>
  <c r="K32"/>
  <c r="J122"/>
  <c r="H271"/>
  <c r="H49"/>
  <c r="R274"/>
  <c r="J94"/>
  <c r="N257"/>
  <c r="T166"/>
  <c r="H63"/>
  <c r="K273"/>
  <c r="N226"/>
  <c r="R272"/>
  <c r="H273"/>
  <c r="R61"/>
  <c r="R91"/>
  <c r="T124"/>
  <c r="N169"/>
  <c r="K63"/>
  <c r="M244"/>
  <c r="T123"/>
  <c r="T19"/>
  <c r="T295" s="1"/>
  <c r="O21" i="4" s="1"/>
  <c r="H77" i="2"/>
  <c r="M272"/>
  <c r="K107"/>
  <c r="N19"/>
  <c r="H62"/>
  <c r="R257"/>
  <c r="N256"/>
  <c r="R183"/>
  <c r="H151"/>
  <c r="R109"/>
  <c r="R169"/>
  <c r="N62"/>
  <c r="K31"/>
  <c r="M259"/>
  <c r="H91"/>
  <c r="H199"/>
  <c r="P153"/>
  <c r="J228"/>
  <c r="K48"/>
  <c r="P107"/>
  <c r="K19"/>
  <c r="R19"/>
  <c r="R295" s="1"/>
  <c r="M21" i="4" s="1"/>
  <c r="K213" i="2"/>
  <c r="H154"/>
  <c r="J166"/>
  <c r="N33"/>
  <c r="R181"/>
  <c r="T198"/>
  <c r="R92"/>
  <c r="J199"/>
  <c r="R214"/>
  <c r="K79"/>
  <c r="M46"/>
  <c r="N196"/>
  <c r="K137"/>
  <c r="N34"/>
  <c r="N123"/>
  <c r="H244"/>
  <c r="T181"/>
  <c r="T259"/>
  <c r="M183"/>
  <c r="M154"/>
  <c r="J62"/>
  <c r="J123"/>
  <c r="H228"/>
  <c r="P259"/>
  <c r="J16"/>
  <c r="J292" s="1"/>
  <c r="E18" i="4" s="1"/>
  <c r="H137" i="2"/>
  <c r="R62"/>
  <c r="N211"/>
  <c r="R244"/>
  <c r="P198"/>
  <c r="P227"/>
  <c r="N199"/>
  <c r="N31"/>
  <c r="M47"/>
  <c r="K151"/>
  <c r="M92"/>
  <c r="N121"/>
  <c r="H212"/>
  <c r="K183"/>
  <c r="T228"/>
  <c r="H198"/>
  <c r="J108"/>
  <c r="P214"/>
  <c r="M256"/>
  <c r="P136"/>
  <c r="J151"/>
  <c r="P62"/>
  <c r="T31"/>
  <c r="R196"/>
  <c r="M76"/>
  <c r="T32"/>
  <c r="K92"/>
  <c r="N272"/>
  <c r="P108"/>
  <c r="K136"/>
  <c r="T227"/>
  <c r="J184"/>
  <c r="J121"/>
  <c r="P46"/>
  <c r="T94"/>
  <c r="H107"/>
  <c r="K229"/>
  <c r="M139"/>
  <c r="P49"/>
  <c r="T167"/>
  <c r="T61"/>
  <c r="J244"/>
  <c r="N17"/>
  <c r="P199"/>
  <c r="T154"/>
  <c r="K271"/>
  <c r="H32"/>
  <c r="R258"/>
  <c r="H274"/>
  <c r="H34"/>
  <c r="T184"/>
  <c r="N49"/>
  <c r="K17"/>
  <c r="T48"/>
  <c r="N244"/>
  <c r="N385" s="1"/>
  <c r="I111" i="4" s="1"/>
  <c r="R17" i="2"/>
  <c r="R293" s="1"/>
  <c r="M19" i="4" s="1"/>
  <c r="R168" i="2"/>
  <c r="P184"/>
  <c r="M32"/>
  <c r="R78"/>
  <c r="H139"/>
  <c r="K166"/>
  <c r="P154"/>
  <c r="P355" s="1"/>
  <c r="K81" i="4" s="1"/>
  <c r="M181" i="2"/>
  <c r="N258"/>
  <c r="J93"/>
  <c r="A64" i="6"/>
  <c r="A72"/>
  <c r="A74"/>
  <c r="A81"/>
  <c r="K88" i="2"/>
  <c r="T30"/>
  <c r="N269"/>
  <c r="K253"/>
  <c r="J118"/>
  <c r="J180"/>
  <c r="T238"/>
  <c r="K209"/>
  <c r="M208"/>
  <c r="M30"/>
  <c r="M104"/>
  <c r="T45"/>
  <c r="N268"/>
  <c r="T90"/>
  <c r="K224"/>
  <c r="P238"/>
  <c r="M238"/>
  <c r="J163"/>
  <c r="J255"/>
  <c r="J88"/>
  <c r="K58"/>
  <c r="H240"/>
  <c r="J254"/>
  <c r="P74"/>
  <c r="N208"/>
  <c r="H29"/>
  <c r="H163"/>
  <c r="M150"/>
  <c r="P104"/>
  <c r="P209"/>
  <c r="N13"/>
  <c r="R75"/>
  <c r="H89"/>
  <c r="K74"/>
  <c r="J105"/>
  <c r="R29"/>
  <c r="P180"/>
  <c r="P135"/>
  <c r="J73"/>
  <c r="K89"/>
  <c r="M105"/>
  <c r="R255"/>
  <c r="R268"/>
  <c r="H14"/>
  <c r="P43"/>
  <c r="H210"/>
  <c r="J268"/>
  <c r="T253"/>
  <c r="N238"/>
  <c r="J15"/>
  <c r="N179"/>
  <c r="P225"/>
  <c r="P90"/>
  <c r="N254"/>
  <c r="M148"/>
  <c r="J209"/>
  <c r="P270"/>
  <c r="K193"/>
  <c r="M45"/>
  <c r="H254"/>
  <c r="P253"/>
  <c r="M239"/>
  <c r="R118"/>
  <c r="H44"/>
  <c r="H149"/>
  <c r="K223"/>
  <c r="R73"/>
  <c r="H15"/>
  <c r="R194"/>
  <c r="T210"/>
  <c r="N30"/>
  <c r="H13"/>
  <c r="R90"/>
  <c r="T193"/>
  <c r="H223"/>
  <c r="H74"/>
  <c r="K120"/>
  <c r="T135"/>
  <c r="P60"/>
  <c r="T225"/>
  <c r="M164"/>
  <c r="N75"/>
  <c r="N60"/>
  <c r="R195"/>
  <c r="P45"/>
  <c r="H75"/>
  <c r="T165"/>
  <c r="T43"/>
  <c r="T104"/>
  <c r="P149"/>
  <c r="T194"/>
  <c r="J178"/>
  <c r="H58"/>
  <c r="K15"/>
  <c r="P88"/>
  <c r="T149"/>
  <c r="K255"/>
  <c r="H270"/>
  <c r="H238"/>
  <c r="H120"/>
  <c r="P195"/>
  <c r="N150"/>
  <c r="K43"/>
  <c r="K239"/>
  <c r="N240"/>
  <c r="P30"/>
  <c r="P193"/>
  <c r="N15"/>
  <c r="R253"/>
  <c r="N104"/>
  <c r="N180"/>
  <c r="K44"/>
  <c r="N223"/>
  <c r="P13"/>
  <c r="P133"/>
  <c r="K60"/>
  <c r="M255"/>
  <c r="K30"/>
  <c r="M254"/>
  <c r="K240"/>
  <c r="K164"/>
  <c r="T269"/>
  <c r="R223"/>
  <c r="H88"/>
  <c r="K103"/>
  <c r="R224"/>
  <c r="M195"/>
  <c r="P58"/>
  <c r="T105"/>
  <c r="K14"/>
  <c r="J13"/>
  <c r="M119"/>
  <c r="N195"/>
  <c r="J58"/>
  <c r="N135"/>
  <c r="J28"/>
  <c r="N224"/>
  <c r="J179"/>
  <c r="J193"/>
  <c r="H135"/>
  <c r="M194"/>
  <c r="N14"/>
  <c r="M193"/>
  <c r="H30"/>
  <c r="T58"/>
  <c r="N178"/>
  <c r="P15"/>
  <c r="H134"/>
  <c r="H119"/>
  <c r="R150"/>
  <c r="M14"/>
  <c r="P119"/>
  <c r="N90"/>
  <c r="P224"/>
  <c r="N164"/>
  <c r="J75"/>
  <c r="J134"/>
  <c r="N239"/>
  <c r="P208"/>
  <c r="M15"/>
  <c r="T60"/>
  <c r="R179"/>
  <c r="P194"/>
  <c r="M133"/>
  <c r="K238"/>
  <c r="T89"/>
  <c r="N89"/>
  <c r="J119"/>
  <c r="J89"/>
  <c r="R238"/>
  <c r="J253"/>
  <c r="M74"/>
  <c r="J223"/>
  <c r="K254"/>
  <c r="K28"/>
  <c r="H165"/>
  <c r="M59"/>
  <c r="P268"/>
  <c r="M149"/>
  <c r="T15"/>
  <c r="M103"/>
  <c r="K104"/>
  <c r="M43"/>
  <c r="R120"/>
  <c r="J225"/>
  <c r="R43"/>
  <c r="H239"/>
  <c r="N133"/>
  <c r="M60"/>
  <c r="N105"/>
  <c r="J90"/>
  <c r="J194"/>
  <c r="N225"/>
  <c r="J43"/>
  <c r="T178"/>
  <c r="K149"/>
  <c r="R270"/>
  <c r="K133"/>
  <c r="H45"/>
  <c r="R269"/>
  <c r="N149"/>
  <c r="H103"/>
  <c r="H60"/>
  <c r="P118"/>
  <c r="R240"/>
  <c r="M210"/>
  <c r="H180"/>
  <c r="H104"/>
  <c r="R59"/>
  <c r="H209"/>
  <c r="N103"/>
  <c r="T268"/>
  <c r="M225"/>
  <c r="K208"/>
  <c r="K73"/>
  <c r="P210"/>
  <c r="K119"/>
  <c r="P120"/>
  <c r="T163"/>
  <c r="T224"/>
  <c r="N163"/>
  <c r="R164"/>
  <c r="N209"/>
  <c r="N29"/>
  <c r="P240"/>
  <c r="P381" s="1"/>
  <c r="K107" i="4" s="1"/>
  <c r="J29" i="2"/>
  <c r="R105"/>
  <c r="M270"/>
  <c r="H73"/>
  <c r="R239"/>
  <c r="R380" s="1"/>
  <c r="M106" i="4" s="1"/>
  <c r="P269" i="2"/>
  <c r="T74"/>
  <c r="P254"/>
  <c r="H150"/>
  <c r="M29"/>
  <c r="H179"/>
  <c r="T59"/>
  <c r="J44"/>
  <c r="T239"/>
  <c r="K179"/>
  <c r="M44"/>
  <c r="H224"/>
  <c r="R165"/>
  <c r="R135"/>
  <c r="H193"/>
  <c r="R134"/>
  <c r="M73"/>
  <c r="R44"/>
  <c r="T44"/>
  <c r="J208"/>
  <c r="R60"/>
  <c r="R254"/>
  <c r="M120"/>
  <c r="R149"/>
  <c r="R350" s="1"/>
  <c r="M76" i="4" s="1"/>
  <c r="K135" i="2"/>
  <c r="M58"/>
  <c r="H194"/>
  <c r="K105"/>
  <c r="H225"/>
  <c r="H195"/>
  <c r="K29"/>
  <c r="J30"/>
  <c r="J60"/>
  <c r="R13"/>
  <c r="J104"/>
  <c r="J320" s="1"/>
  <c r="E46" i="4" s="1"/>
  <c r="R15" i="2"/>
  <c r="P239"/>
  <c r="K134"/>
  <c r="P105"/>
  <c r="R163"/>
  <c r="T73"/>
  <c r="H253"/>
  <c r="J103"/>
  <c r="R103"/>
  <c r="P75"/>
  <c r="M224"/>
  <c r="P59"/>
  <c r="M118"/>
  <c r="M88"/>
  <c r="K45"/>
  <c r="N165"/>
  <c r="K163"/>
  <c r="M268"/>
  <c r="T209"/>
  <c r="J164"/>
  <c r="N88"/>
  <c r="R30"/>
  <c r="P163"/>
  <c r="M135"/>
  <c r="N148"/>
  <c r="T164"/>
  <c r="J269"/>
  <c r="T119"/>
  <c r="M240"/>
  <c r="N194"/>
  <c r="T120"/>
  <c r="K270"/>
  <c r="H148"/>
  <c r="N58"/>
  <c r="J149"/>
  <c r="P178"/>
  <c r="T29"/>
  <c r="K180"/>
  <c r="T133"/>
  <c r="T75"/>
  <c r="P73"/>
  <c r="M75"/>
  <c r="T270"/>
  <c r="J224"/>
  <c r="P103"/>
  <c r="T14"/>
  <c r="H43"/>
  <c r="N45"/>
  <c r="R104"/>
  <c r="R28"/>
  <c r="K13"/>
  <c r="N59"/>
  <c r="M179"/>
  <c r="T180"/>
  <c r="M269"/>
  <c r="T150"/>
  <c r="R208"/>
  <c r="R14"/>
  <c r="T118"/>
  <c r="M89"/>
  <c r="T255"/>
  <c r="J239"/>
  <c r="K59"/>
  <c r="H255"/>
  <c r="M163"/>
  <c r="N43"/>
  <c r="H59"/>
  <c r="J135"/>
  <c r="K210"/>
  <c r="N119"/>
  <c r="T254"/>
  <c r="P44"/>
  <c r="N73"/>
  <c r="P164"/>
  <c r="R180"/>
  <c r="M134"/>
  <c r="T223"/>
  <c r="H164"/>
  <c r="K118"/>
  <c r="P14"/>
  <c r="K165"/>
  <c r="K150"/>
  <c r="P255"/>
  <c r="K269"/>
  <c r="R178"/>
  <c r="R58"/>
  <c r="R209"/>
  <c r="M180"/>
  <c r="P165"/>
  <c r="H118"/>
  <c r="J238"/>
  <c r="T195"/>
  <c r="M209"/>
  <c r="K90"/>
  <c r="J210"/>
  <c r="T103"/>
  <c r="T319" s="1"/>
  <c r="O45" i="4" s="1"/>
  <c r="T179" i="2"/>
  <c r="N120"/>
  <c r="T88"/>
  <c r="M253"/>
  <c r="R148"/>
  <c r="R349" s="1"/>
  <c r="M75" i="4" s="1"/>
  <c r="N253" i="2"/>
  <c r="N134"/>
  <c r="T148"/>
  <c r="N74"/>
  <c r="N193"/>
  <c r="J270"/>
  <c r="P148"/>
  <c r="P349" s="1"/>
  <c r="K75" i="4" s="1"/>
  <c r="J133" i="2"/>
  <c r="J14"/>
  <c r="J195"/>
  <c r="M28"/>
  <c r="K268"/>
  <c r="J148"/>
  <c r="K178"/>
  <c r="T240"/>
  <c r="R89"/>
  <c r="T208"/>
  <c r="P150"/>
  <c r="J165"/>
  <c r="K195"/>
  <c r="P29"/>
  <c r="H28"/>
  <c r="R133"/>
  <c r="J45"/>
  <c r="J74"/>
  <c r="N255"/>
  <c r="R88"/>
  <c r="R119"/>
  <c r="N210"/>
  <c r="H105"/>
  <c r="H321" s="1"/>
  <c r="C47" i="4" s="1"/>
  <c r="R74" i="2"/>
  <c r="N44"/>
  <c r="P179"/>
  <c r="M223"/>
  <c r="K148"/>
  <c r="M178"/>
  <c r="H269"/>
  <c r="R193"/>
  <c r="J120"/>
  <c r="R210"/>
  <c r="T134"/>
  <c r="K225"/>
  <c r="P28"/>
  <c r="K194"/>
  <c r="H268"/>
  <c r="P223"/>
  <c r="M13"/>
  <c r="H90"/>
  <c r="M165"/>
  <c r="P134"/>
  <c r="J240"/>
  <c r="J381" s="1"/>
  <c r="E107" i="4" s="1"/>
  <c r="P89" i="2"/>
  <c r="H178"/>
  <c r="T28"/>
  <c r="T13"/>
  <c r="T289" s="1"/>
  <c r="O15" i="4" s="1"/>
  <c r="R225" i="2"/>
  <c r="N118"/>
  <c r="M90"/>
  <c r="H208"/>
  <c r="R45"/>
  <c r="N28"/>
  <c r="J150"/>
  <c r="H133"/>
  <c r="K75"/>
  <c r="N270"/>
  <c r="J59"/>
  <c r="A58" i="6"/>
  <c r="A60"/>
  <c r="A38"/>
  <c r="A55"/>
  <c r="A51"/>
  <c r="A52"/>
  <c r="A67"/>
  <c r="A48"/>
  <c r="M289" i="2" l="1"/>
  <c r="H15" i="4" s="1"/>
  <c r="K349" i="2"/>
  <c r="F75" i="4" s="1"/>
  <c r="T381" i="2"/>
  <c r="O107" i="4" s="1"/>
  <c r="T349" i="2"/>
  <c r="O75" i="4" s="1"/>
  <c r="P290" i="2"/>
  <c r="K16" i="4" s="1"/>
  <c r="T351" i="2"/>
  <c r="O77" i="4" s="1"/>
  <c r="P321" i="2"/>
  <c r="K47" i="4" s="1"/>
  <c r="R381" i="2"/>
  <c r="M107" i="4" s="1"/>
  <c r="N350" i="2"/>
  <c r="I76" i="4" s="1"/>
  <c r="M355" i="2"/>
  <c r="H81" i="4" s="1"/>
  <c r="R294" i="2"/>
  <c r="M20" i="4" s="1"/>
  <c r="H378" i="2"/>
  <c r="C104" i="4" s="1"/>
  <c r="H285" i="2"/>
  <c r="C11" i="4" s="1"/>
  <c r="P284" i="2"/>
  <c r="K10" i="4" s="1"/>
  <c r="P342" i="2"/>
  <c r="K68" i="4" s="1"/>
  <c r="J376" i="2"/>
  <c r="E102" i="4" s="1"/>
  <c r="P376" i="2"/>
  <c r="K102" i="4" s="1"/>
  <c r="R374" i="2"/>
  <c r="M100" i="4" s="1"/>
  <c r="T326" i="2"/>
  <c r="O52" i="4" s="1"/>
  <c r="N312" i="2"/>
  <c r="I38" i="4" s="1"/>
  <c r="K313" i="2"/>
  <c r="F39" i="4" s="1"/>
  <c r="K315" i="2"/>
  <c r="F41" i="4" s="1"/>
  <c r="T356" i="2"/>
  <c r="O82" i="4" s="1"/>
  <c r="P293" i="2"/>
  <c r="K19" i="4" s="1"/>
  <c r="J319" i="2"/>
  <c r="E45" i="4" s="1"/>
  <c r="M319" i="2"/>
  <c r="H45" i="4" s="1"/>
  <c r="K379" i="2"/>
  <c r="F105" i="4" s="1"/>
  <c r="T321" i="2"/>
  <c r="O47" i="4" s="1"/>
  <c r="K319" i="2"/>
  <c r="F45" i="4" s="1"/>
  <c r="N293" i="2"/>
  <c r="I19" i="4" s="1"/>
  <c r="R325" i="2"/>
  <c r="M51" i="4" s="1"/>
  <c r="T378" i="2"/>
  <c r="O104" i="4" s="1"/>
  <c r="M288" i="2"/>
  <c r="H14" i="4" s="1"/>
  <c r="J348" i="2"/>
  <c r="E74" i="4" s="1"/>
  <c r="M318" i="2"/>
  <c r="H44" i="4" s="1"/>
  <c r="N284" i="2"/>
  <c r="I10" i="4" s="1"/>
  <c r="N376" i="2"/>
  <c r="I102" i="4" s="1"/>
  <c r="R345" i="2"/>
  <c r="M71" i="4" s="1"/>
  <c r="K374" i="2"/>
  <c r="F100" i="4" s="1"/>
  <c r="H375" i="2"/>
  <c r="C101" i="4" s="1"/>
  <c r="N344" i="2"/>
  <c r="I70" i="4" s="1"/>
  <c r="K295" i="2"/>
  <c r="F21" i="4" s="1"/>
  <c r="J294" i="2"/>
  <c r="E20" i="4" s="1"/>
  <c r="R375" i="2"/>
  <c r="M101" i="4" s="1"/>
  <c r="M316" i="2"/>
  <c r="H42" i="4" s="1"/>
  <c r="K382" i="2"/>
  <c r="F108" i="4" s="1"/>
  <c r="M352" i="2"/>
  <c r="H78" i="4" s="1"/>
  <c r="M343" i="2"/>
  <c r="H69" i="4" s="1"/>
  <c r="P373" i="2"/>
  <c r="K99" i="4" s="1"/>
  <c r="M326" i="2"/>
  <c r="H52" i="4" s="1"/>
  <c r="H356" i="2"/>
  <c r="C82" i="4" s="1"/>
  <c r="P282" i="2"/>
  <c r="K8" i="4" s="1"/>
  <c r="P344" i="2"/>
  <c r="K70" i="4" s="1"/>
  <c r="N372" i="2"/>
  <c r="I98" i="4" s="1"/>
  <c r="J349" i="2"/>
  <c r="E75" i="4" s="1"/>
  <c r="J290" i="2"/>
  <c r="E16" i="4" s="1"/>
  <c r="K351" i="2"/>
  <c r="F77" i="4" s="1"/>
  <c r="J380" i="2"/>
  <c r="E106" i="4" s="1"/>
  <c r="R290" i="2"/>
  <c r="M16" i="4" s="1"/>
  <c r="T380" i="2"/>
  <c r="O106" i="4" s="1"/>
  <c r="R321" i="2"/>
  <c r="M47" i="4" s="1"/>
  <c r="M350" i="2"/>
  <c r="H76" i="4" s="1"/>
  <c r="J289" i="2"/>
  <c r="E15" i="4" s="1"/>
  <c r="T379" i="2"/>
  <c r="O105" i="4" s="1"/>
  <c r="K293" i="2"/>
  <c r="F19" i="4" s="1"/>
  <c r="P324" i="2"/>
  <c r="K50" i="4" s="1"/>
  <c r="J352" i="2"/>
  <c r="E78" i="4" s="1"/>
  <c r="J324" i="2"/>
  <c r="E50" i="4" s="1"/>
  <c r="H355" i="2"/>
  <c r="C81" i="4" s="1"/>
  <c r="P323" i="2"/>
  <c r="K49" i="4" s="1"/>
  <c r="H295" i="2"/>
  <c r="C21" i="4" s="1"/>
  <c r="R352" i="2"/>
  <c r="M78" i="4" s="1"/>
  <c r="P294" i="2"/>
  <c r="K20" i="4" s="1"/>
  <c r="T325" i="2"/>
  <c r="O51" i="4" s="1"/>
  <c r="J384" i="2"/>
  <c r="E110" i="4" s="1"/>
  <c r="M323" i="2"/>
  <c r="H49" i="4" s="1"/>
  <c r="K353" i="2"/>
  <c r="F79" i="4" s="1"/>
  <c r="P325" i="2"/>
  <c r="K51" i="4" s="1"/>
  <c r="J353" i="2"/>
  <c r="E79" i="4" s="1"/>
  <c r="H354" i="2"/>
  <c r="C80" i="4" s="1"/>
  <c r="T348" i="2"/>
  <c r="O74" i="4" s="1"/>
  <c r="M378" i="2"/>
  <c r="H104" i="4" s="1"/>
  <c r="T346" i="2"/>
  <c r="O72" i="4" s="1"/>
  <c r="N375" i="2"/>
  <c r="I101" i="4" s="1"/>
  <c r="K345" i="2"/>
  <c r="F71" i="4" s="1"/>
  <c r="T283" i="2"/>
  <c r="O9" i="4" s="1"/>
  <c r="N316" i="2"/>
  <c r="I42" i="4" s="1"/>
  <c r="R377" i="2"/>
  <c r="M103" i="4" s="1"/>
  <c r="R347" i="2"/>
  <c r="M73" i="4" s="1"/>
  <c r="H284" i="2"/>
  <c r="C10" i="4" s="1"/>
  <c r="M342" i="2"/>
  <c r="H68" i="4" s="1"/>
  <c r="J375" i="2"/>
  <c r="E101" i="4" s="1"/>
  <c r="N315" i="2"/>
  <c r="I41" i="4" s="1"/>
  <c r="H372" i="2"/>
  <c r="C98" i="4" s="1"/>
  <c r="J345" i="2"/>
  <c r="E71" i="4" s="1"/>
  <c r="J317" i="2"/>
  <c r="E43" i="4" s="1"/>
  <c r="N347" i="2"/>
  <c r="I73" i="4" s="1"/>
  <c r="R356" i="2"/>
  <c r="M82" i="4" s="1"/>
  <c r="R296" i="2"/>
  <c r="M22" i="4" s="1"/>
  <c r="J386" i="2"/>
  <c r="E112" i="4" s="1"/>
  <c r="T291" i="2"/>
  <c r="O17" i="4" s="1"/>
  <c r="J385" i="2"/>
  <c r="E111" i="4" s="1"/>
  <c r="P354" i="2"/>
  <c r="K80" i="4" s="1"/>
  <c r="H352" i="2"/>
  <c r="C78" i="4" s="1"/>
  <c r="K385" i="2"/>
  <c r="F111" i="4" s="1"/>
  <c r="K325" i="2"/>
  <c r="F51" i="4" s="1"/>
  <c r="N282" i="2"/>
  <c r="I8" i="4" s="1"/>
  <c r="K312" i="2"/>
  <c r="F38" i="4" s="1"/>
  <c r="M346" i="2"/>
  <c r="H72" i="4" s="1"/>
  <c r="T372" i="2"/>
  <c r="O98" i="4" s="1"/>
  <c r="T373" i="2"/>
  <c r="O99" i="4" s="1"/>
  <c r="M283" i="2"/>
  <c r="H9" i="4" s="1"/>
  <c r="K317" i="2"/>
  <c r="F43" i="4" s="1"/>
  <c r="P375" i="2"/>
  <c r="K101" i="4" s="1"/>
  <c r="H283" i="2"/>
  <c r="C9" i="4" s="1"/>
  <c r="H314" i="2"/>
  <c r="C40" i="4" s="1"/>
  <c r="M317" i="2"/>
  <c r="H43" i="4" s="1"/>
  <c r="M284" i="2"/>
  <c r="H10" i="4" s="1"/>
  <c r="H326" i="2"/>
  <c r="C52" i="4" s="1"/>
  <c r="H386" i="2"/>
  <c r="C112" i="4" s="1"/>
  <c r="T296" i="2"/>
  <c r="O22" i="4" s="1"/>
  <c r="A40" i="6"/>
  <c r="A43"/>
  <c r="A77"/>
  <c r="A33"/>
  <c r="A36"/>
  <c r="A63"/>
  <c r="A50"/>
  <c r="A49"/>
  <c r="P335" i="2"/>
  <c r="K61" i="4" s="1"/>
  <c r="P305" i="2"/>
  <c r="K31" i="4" s="1"/>
  <c r="H365" i="2"/>
  <c r="C91" i="4" s="1"/>
  <c r="H395" i="2"/>
  <c r="C121" i="4" s="1"/>
  <c r="H364" i="2"/>
  <c r="C90" i="4" s="1"/>
  <c r="H394" i="2"/>
  <c r="C120" i="4" s="1"/>
  <c r="T335" i="2"/>
  <c r="O61" i="4" s="1"/>
  <c r="T305" i="2"/>
  <c r="O31" i="4" s="1"/>
  <c r="T336" i="2"/>
  <c r="O62" i="4" s="1"/>
  <c r="T306" i="2"/>
  <c r="O32" i="4" s="1"/>
  <c r="T334" i="2"/>
  <c r="O60" i="4" s="1"/>
  <c r="T304" i="2"/>
  <c r="O30" i="4" s="1"/>
  <c r="H334" i="2"/>
  <c r="C60" i="4" s="1"/>
  <c r="H304" i="2"/>
  <c r="C30" i="4" s="1"/>
  <c r="R365" i="2"/>
  <c r="M91" i="4" s="1"/>
  <c r="R395" i="2"/>
  <c r="M121" i="4" s="1"/>
  <c r="K334" i="2"/>
  <c r="F60" i="4" s="1"/>
  <c r="K304" i="2"/>
  <c r="F30" i="4" s="1"/>
  <c r="N370" i="2"/>
  <c r="I96" i="4" s="1"/>
  <c r="N400" i="2"/>
  <c r="I126" i="4" s="1"/>
  <c r="N397" i="2"/>
  <c r="I123" i="4" s="1"/>
  <c r="N367" i="2"/>
  <c r="I93" i="4" s="1"/>
  <c r="J370" i="2"/>
  <c r="E96" i="4" s="1"/>
  <c r="J400" i="2"/>
  <c r="E126" i="4" s="1"/>
  <c r="P397" i="2"/>
  <c r="K123" i="4" s="1"/>
  <c r="P367" i="2"/>
  <c r="K93" i="4" s="1"/>
  <c r="H337" i="2"/>
  <c r="C63" i="4" s="1"/>
  <c r="H307" i="2"/>
  <c r="C33" i="4" s="1"/>
  <c r="M370" i="2"/>
  <c r="H96" i="4" s="1"/>
  <c r="M400" i="2"/>
  <c r="H126" i="4" s="1"/>
  <c r="N369" i="2"/>
  <c r="I95" i="4" s="1"/>
  <c r="N399" i="2"/>
  <c r="I125" i="4" s="1"/>
  <c r="N307" i="2"/>
  <c r="I33" i="4" s="1"/>
  <c r="N337" i="2"/>
  <c r="I63" i="4" s="1"/>
  <c r="K400" i="2"/>
  <c r="F126" i="4" s="1"/>
  <c r="K370" i="2"/>
  <c r="F96" i="4" s="1"/>
  <c r="J307" i="2"/>
  <c r="E33" i="4" s="1"/>
  <c r="J337" i="2"/>
  <c r="E63" i="4" s="1"/>
  <c r="M339" i="2"/>
  <c r="H65" i="4" s="1"/>
  <c r="M309" i="2"/>
  <c r="H35" i="4" s="1"/>
  <c r="R369" i="2"/>
  <c r="M95" i="4" s="1"/>
  <c r="R399" i="2"/>
  <c r="M125" i="4" s="1"/>
  <c r="H367" i="2"/>
  <c r="C93" i="4" s="1"/>
  <c r="H397" i="2"/>
  <c r="C123" i="4" s="1"/>
  <c r="T398" i="2"/>
  <c r="O124" i="4" s="1"/>
  <c r="T368" i="2"/>
  <c r="O94" i="4" s="1"/>
  <c r="J367" i="2"/>
  <c r="E93" i="4" s="1"/>
  <c r="J397" i="2"/>
  <c r="E123" i="4" s="1"/>
  <c r="K310" i="2"/>
  <c r="F36" i="4" s="1"/>
  <c r="K340" i="2"/>
  <c r="F66" i="4" s="1"/>
  <c r="R370" i="2"/>
  <c r="M96" i="4" s="1"/>
  <c r="R400" i="2"/>
  <c r="M126" i="4" s="1"/>
  <c r="K369" i="2"/>
  <c r="F95" i="4" s="1"/>
  <c r="K399" i="2"/>
  <c r="F125" i="4" s="1"/>
  <c r="H393" i="2"/>
  <c r="C119" i="4" s="1"/>
  <c r="H363" i="2"/>
  <c r="C89" i="4" s="1"/>
  <c r="M303" i="2"/>
  <c r="H29" i="4" s="1"/>
  <c r="M333" i="2"/>
  <c r="H59" i="4" s="1"/>
  <c r="K303" i="2"/>
  <c r="F29" i="4" s="1"/>
  <c r="K333" i="2"/>
  <c r="F59" i="4" s="1"/>
  <c r="K328" i="2"/>
  <c r="F54" i="4" s="1"/>
  <c r="K298" i="2"/>
  <c r="F24" i="4" s="1"/>
  <c r="K392" i="2"/>
  <c r="F118" i="4" s="1"/>
  <c r="K362" i="2"/>
  <c r="F88" i="4" s="1"/>
  <c r="K329" i="2"/>
  <c r="F55" i="4" s="1"/>
  <c r="K299" i="2"/>
  <c r="F25" i="4" s="1"/>
  <c r="P357" i="2"/>
  <c r="K83" i="4" s="1"/>
  <c r="P387" i="2"/>
  <c r="K113" i="4" s="1"/>
  <c r="K390" i="2"/>
  <c r="F116" i="4" s="1"/>
  <c r="K360" i="2"/>
  <c r="F86" i="4" s="1"/>
  <c r="J327" i="2"/>
  <c r="E53" i="4" s="1"/>
  <c r="J297" i="2"/>
  <c r="E23" i="4" s="1"/>
  <c r="N387" i="2"/>
  <c r="I113" i="4" s="1"/>
  <c r="N357" i="2"/>
  <c r="I83" i="4" s="1"/>
  <c r="R299" i="2"/>
  <c r="M25" i="4" s="1"/>
  <c r="R329" i="2"/>
  <c r="M55" i="4" s="1"/>
  <c r="T330" i="2"/>
  <c r="O56" i="4" s="1"/>
  <c r="T300" i="2"/>
  <c r="O26" i="4" s="1"/>
  <c r="N302" i="2"/>
  <c r="I28" i="4" s="1"/>
  <c r="N332" i="2"/>
  <c r="I58" i="4" s="1"/>
  <c r="M362" i="2"/>
  <c r="H88" i="4" s="1"/>
  <c r="M392" i="2"/>
  <c r="H118" i="4" s="1"/>
  <c r="T299" i="2"/>
  <c r="O25" i="4" s="1"/>
  <c r="T329" i="2"/>
  <c r="O55" i="4" s="1"/>
  <c r="M358" i="2"/>
  <c r="H84" i="4" s="1"/>
  <c r="M388" i="2"/>
  <c r="H114" i="4" s="1"/>
  <c r="M357" i="2"/>
  <c r="H83" i="4" s="1"/>
  <c r="M387" i="2"/>
  <c r="H113" i="4" s="1"/>
  <c r="T328" i="2"/>
  <c r="O54" i="4" s="1"/>
  <c r="T298" i="2"/>
  <c r="O24" i="4" s="1"/>
  <c r="R330" i="2"/>
  <c r="M56" i="4" s="1"/>
  <c r="R300" i="2"/>
  <c r="M26" i="4" s="1"/>
  <c r="M328" i="2"/>
  <c r="H54" i="4" s="1"/>
  <c r="M298" i="2"/>
  <c r="H24" i="4" s="1"/>
  <c r="K297" i="2"/>
  <c r="F23" i="4" s="1"/>
  <c r="K327" i="2"/>
  <c r="F53" i="4" s="1"/>
  <c r="R361" i="2"/>
  <c r="M87" i="4" s="1"/>
  <c r="R391" i="2"/>
  <c r="M117" i="4" s="1"/>
  <c r="R331" i="2"/>
  <c r="M57" i="4" s="1"/>
  <c r="R301" i="2"/>
  <c r="M27" i="4" s="1"/>
  <c r="P390" i="2"/>
  <c r="K116" i="4" s="1"/>
  <c r="P360" i="2"/>
  <c r="K86" i="4" s="1"/>
  <c r="R297" i="2"/>
  <c r="M23" i="4" s="1"/>
  <c r="R327" i="2"/>
  <c r="M53" i="4" s="1"/>
  <c r="K388" i="2"/>
  <c r="F114" i="4" s="1"/>
  <c r="K358" i="2"/>
  <c r="F84" i="4" s="1"/>
  <c r="T302" i="2"/>
  <c r="O28" i="4" s="1"/>
  <c r="T332" i="2"/>
  <c r="O58" i="4" s="1"/>
  <c r="H331" i="2"/>
  <c r="C57" i="4" s="1"/>
  <c r="H301" i="2"/>
  <c r="C27" i="4" s="1"/>
  <c r="H298" i="2"/>
  <c r="C24" i="4" s="1"/>
  <c r="H328" i="2"/>
  <c r="C54" i="4" s="1"/>
  <c r="J359" i="2"/>
  <c r="E85" i="4" s="1"/>
  <c r="J389" i="2"/>
  <c r="E115" i="4" s="1"/>
  <c r="T390" i="2"/>
  <c r="O116" i="4" s="1"/>
  <c r="T360" i="2"/>
  <c r="O86" i="4" s="1"/>
  <c r="K401" i="2"/>
  <c r="F127" i="4" s="1"/>
  <c r="K371" i="2"/>
  <c r="F97" i="4" s="1"/>
  <c r="J401" i="2"/>
  <c r="E127" i="4" s="1"/>
  <c r="J371" i="2"/>
  <c r="E97" i="4" s="1"/>
  <c r="R401" i="2"/>
  <c r="M127" i="4" s="1"/>
  <c r="R371" i="2"/>
  <c r="M97" i="4" s="1"/>
  <c r="R341" i="2"/>
  <c r="M67" i="4" s="1"/>
  <c r="R311" i="2"/>
  <c r="M37" i="4" s="1"/>
  <c r="K311" i="2"/>
  <c r="F37" i="4" s="1"/>
  <c r="K341" i="2"/>
  <c r="F67" i="4" s="1"/>
  <c r="H341" i="2"/>
  <c r="C67" i="4" s="1"/>
  <c r="H311" i="2"/>
  <c r="C37" i="4" s="1"/>
  <c r="N381" i="2"/>
  <c r="I107" i="4" s="1"/>
  <c r="T320" i="2"/>
  <c r="O46" i="4" s="1"/>
  <c r="H350" i="2"/>
  <c r="C76" i="4" s="1"/>
  <c r="N379" i="2"/>
  <c r="I105" i="4" s="1"/>
  <c r="M321" i="2"/>
  <c r="H47" i="4" s="1"/>
  <c r="P320" i="2"/>
  <c r="K46" i="4" s="1"/>
  <c r="M379" i="2"/>
  <c r="H105" i="4" s="1"/>
  <c r="H385" i="2"/>
  <c r="C111" i="4" s="1"/>
  <c r="M385" i="2"/>
  <c r="H111" i="4" s="1"/>
  <c r="T292" i="2"/>
  <c r="O18" i="4" s="1"/>
  <c r="K354" i="2"/>
  <c r="F80" i="4" s="1"/>
  <c r="M324" i="2"/>
  <c r="H50" i="4" s="1"/>
  <c r="R355" i="2"/>
  <c r="M81" i="4" s="1"/>
  <c r="T384" i="2"/>
  <c r="O110" i="4" s="1"/>
  <c r="P295" i="2"/>
  <c r="K21" i="4" s="1"/>
  <c r="H293" i="2"/>
  <c r="C19" i="4" s="1"/>
  <c r="J322" i="2"/>
  <c r="E48" i="4" s="1"/>
  <c r="T293" i="2"/>
  <c r="O19" i="4" s="1"/>
  <c r="T352" i="2"/>
  <c r="O78" i="4" s="1"/>
  <c r="M354" i="2"/>
  <c r="H80" i="4" s="1"/>
  <c r="H383" i="2"/>
  <c r="C109" i="4" s="1"/>
  <c r="R322" i="2"/>
  <c r="M48" i="4" s="1"/>
  <c r="H324" i="2"/>
  <c r="C50" i="4" s="1"/>
  <c r="P384" i="2"/>
  <c r="K110" i="4" s="1"/>
  <c r="R353" i="2"/>
  <c r="M79" i="4" s="1"/>
  <c r="P318" i="2"/>
  <c r="K44" i="4" s="1"/>
  <c r="R318" i="2"/>
  <c r="M44" i="4" s="1"/>
  <c r="K314" i="2"/>
  <c r="F40" i="4" s="1"/>
  <c r="J374" i="2"/>
  <c r="E100" i="4" s="1"/>
  <c r="J284" i="2"/>
  <c r="E10" i="4" s="1"/>
  <c r="J377" i="2"/>
  <c r="E103" i="4" s="1"/>
  <c r="R316" i="2"/>
  <c r="M42" i="4" s="1"/>
  <c r="J347" i="2"/>
  <c r="E73" i="4" s="1"/>
  <c r="J346" i="2"/>
  <c r="E72" i="4" s="1"/>
  <c r="T376" i="2"/>
  <c r="O102" i="4" s="1"/>
  <c r="R315" i="2"/>
  <c r="M41" i="4" s="1"/>
  <c r="R285" i="2"/>
  <c r="M11" i="4" s="1"/>
  <c r="K347" i="2"/>
  <c r="F73" i="4" s="1"/>
  <c r="T377" i="2"/>
  <c r="O103" i="4" s="1"/>
  <c r="M282" i="2"/>
  <c r="H8" i="4" s="1"/>
  <c r="K287" i="2"/>
  <c r="F13" i="4" s="1"/>
  <c r="R313" i="2"/>
  <c r="M39" i="4" s="1"/>
  <c r="J373" i="2"/>
  <c r="E99" i="4" s="1"/>
  <c r="R314" i="2"/>
  <c r="M40" i="4" s="1"/>
  <c r="H374" i="2"/>
  <c r="C100" i="4" s="1"/>
  <c r="H377" i="2"/>
  <c r="C103" i="4" s="1"/>
  <c r="M374" i="2"/>
  <c r="H100" i="4" s="1"/>
  <c r="H286" i="2"/>
  <c r="C12" i="4" s="1"/>
  <c r="M314" i="2"/>
  <c r="H40" i="4" s="1"/>
  <c r="N343" i="2"/>
  <c r="I69" i="4" s="1"/>
  <c r="N345" i="2"/>
  <c r="I71" i="4" s="1"/>
  <c r="H296" i="2"/>
  <c r="C22" i="4" s="1"/>
  <c r="J356" i="2"/>
  <c r="E82" i="4" s="1"/>
  <c r="R326" i="2"/>
  <c r="M52" i="4" s="1"/>
  <c r="M296" i="2"/>
  <c r="H22" i="4" s="1"/>
  <c r="T396" i="2"/>
  <c r="O122" i="4" s="1"/>
  <c r="T366" i="2"/>
  <c r="O92" i="4" s="1"/>
  <c r="R305" i="2"/>
  <c r="M31" i="4" s="1"/>
  <c r="R335" i="2"/>
  <c r="M61" i="4" s="1"/>
  <c r="M306" i="2"/>
  <c r="H32" i="4" s="1"/>
  <c r="M336" i="2"/>
  <c r="H62" i="4" s="1"/>
  <c r="M305" i="2"/>
  <c r="H31" i="4" s="1"/>
  <c r="M335" i="2"/>
  <c r="H61" i="4" s="1"/>
  <c r="M365" i="2"/>
  <c r="H91" i="4" s="1"/>
  <c r="M395" i="2"/>
  <c r="H121" i="4" s="1"/>
  <c r="N396" i="2"/>
  <c r="I122" i="4" s="1"/>
  <c r="N366" i="2"/>
  <c r="I92" i="4" s="1"/>
  <c r="P396" i="2"/>
  <c r="K122" i="4" s="1"/>
  <c r="P366" i="2"/>
  <c r="K92" i="4" s="1"/>
  <c r="A28" i="6"/>
  <c r="A31"/>
  <c r="A24"/>
  <c r="A27"/>
  <c r="A70"/>
  <c r="A57"/>
  <c r="A79"/>
  <c r="A71"/>
  <c r="A53"/>
  <c r="A65"/>
  <c r="A54"/>
  <c r="A42"/>
  <c r="K365" i="2"/>
  <c r="F91" i="4" s="1"/>
  <c r="K395" i="2"/>
  <c r="F121" i="4" s="1"/>
  <c r="K366" i="2"/>
  <c r="F92" i="4" s="1"/>
  <c r="K396" i="2"/>
  <c r="F122" i="4" s="1"/>
  <c r="J304" i="2"/>
  <c r="E30" i="4" s="1"/>
  <c r="J334" i="2"/>
  <c r="E60" i="4" s="1"/>
  <c r="T364" i="2"/>
  <c r="O90" i="4" s="1"/>
  <c r="T394" i="2"/>
  <c r="O120" i="4" s="1"/>
  <c r="K364" i="2"/>
  <c r="F90" i="4" s="1"/>
  <c r="K394" i="2"/>
  <c r="F120" i="4" s="1"/>
  <c r="P370" i="2"/>
  <c r="K96" i="4" s="1"/>
  <c r="P400" i="2"/>
  <c r="K126" i="4" s="1"/>
  <c r="R397" i="2"/>
  <c r="M123" i="4" s="1"/>
  <c r="R367" i="2"/>
  <c r="M93" i="4" s="1"/>
  <c r="H369" i="2"/>
  <c r="C95" i="4" s="1"/>
  <c r="H399" i="2"/>
  <c r="C125" i="4" s="1"/>
  <c r="J308" i="2"/>
  <c r="E34" i="4" s="1"/>
  <c r="J338" i="2"/>
  <c r="E64" i="4" s="1"/>
  <c r="P307" i="2"/>
  <c r="K33" i="4" s="1"/>
  <c r="P337" i="2"/>
  <c r="K63" i="4" s="1"/>
  <c r="M367" i="2"/>
  <c r="H93" i="4" s="1"/>
  <c r="M397" i="2"/>
  <c r="H123" i="4" s="1"/>
  <c r="M308" i="2"/>
  <c r="H34" i="4" s="1"/>
  <c r="M338" i="2"/>
  <c r="H64" i="4" s="1"/>
  <c r="H398" i="2"/>
  <c r="C124" i="4" s="1"/>
  <c r="H368" i="2"/>
  <c r="C94" i="4" s="1"/>
  <c r="T309" i="2"/>
  <c r="O35" i="4" s="1"/>
  <c r="T339" i="2"/>
  <c r="O65" i="4" s="1"/>
  <c r="J368" i="2"/>
  <c r="E94" i="4" s="1"/>
  <c r="J398" i="2"/>
  <c r="E124" i="4" s="1"/>
  <c r="P368" i="2"/>
  <c r="K94" i="4" s="1"/>
  <c r="P398" i="2"/>
  <c r="K124" i="4" s="1"/>
  <c r="T400" i="2"/>
  <c r="O126" i="4" s="1"/>
  <c r="T370" i="2"/>
  <c r="O96" i="4" s="1"/>
  <c r="M399" i="2"/>
  <c r="H125" i="4" s="1"/>
  <c r="M369" i="2"/>
  <c r="H95" i="4" s="1"/>
  <c r="R333" i="2"/>
  <c r="M59" i="4" s="1"/>
  <c r="R303" i="2"/>
  <c r="M29" i="4" s="1"/>
  <c r="N363" i="2"/>
  <c r="I89" i="4" s="1"/>
  <c r="N393" i="2"/>
  <c r="I119" i="4" s="1"/>
  <c r="R393" i="2"/>
  <c r="M119" i="4" s="1"/>
  <c r="R363" i="2"/>
  <c r="M89" i="4" s="1"/>
  <c r="J363" i="2"/>
  <c r="E89" i="4" s="1"/>
  <c r="J393" i="2"/>
  <c r="E119" i="4" s="1"/>
  <c r="P392" i="2"/>
  <c r="K118" i="4" s="1"/>
  <c r="P362" i="2"/>
  <c r="K88" i="4" s="1"/>
  <c r="H361" i="2"/>
  <c r="C87" i="4" s="1"/>
  <c r="H391" i="2"/>
  <c r="C117" i="4" s="1"/>
  <c r="J332" i="2"/>
  <c r="E58" i="4" s="1"/>
  <c r="J302" i="2"/>
  <c r="E28" i="4" s="1"/>
  <c r="T301" i="2"/>
  <c r="O27" i="4" s="1"/>
  <c r="T331" i="2"/>
  <c r="O57" i="4" s="1"/>
  <c r="T297" i="2"/>
  <c r="O23" i="4" s="1"/>
  <c r="T327" i="2"/>
  <c r="O53" i="4" s="1"/>
  <c r="N359" i="2"/>
  <c r="I85" i="4" s="1"/>
  <c r="N389" i="2"/>
  <c r="I115" i="4" s="1"/>
  <c r="M329" i="2"/>
  <c r="H55" i="4" s="1"/>
  <c r="M299" i="2"/>
  <c r="H25" i="4" s="1"/>
  <c r="N328" i="2"/>
  <c r="I54" i="4" s="1"/>
  <c r="N298" i="2"/>
  <c r="I24" i="4" s="1"/>
  <c r="J388" i="2"/>
  <c r="E114" i="4" s="1"/>
  <c r="J358" i="2"/>
  <c r="E84" i="4" s="1"/>
  <c r="R302" i="2"/>
  <c r="M28" i="4" s="1"/>
  <c r="R332" i="2"/>
  <c r="M58" i="4" s="1"/>
  <c r="H392" i="2"/>
  <c r="C118" i="4" s="1"/>
  <c r="H362" i="2"/>
  <c r="C88" i="4" s="1"/>
  <c r="P298" i="2"/>
  <c r="K24" i="4" s="1"/>
  <c r="P328" i="2"/>
  <c r="K54" i="4" s="1"/>
  <c r="H357" i="2"/>
  <c r="C83" i="4" s="1"/>
  <c r="H387" i="2"/>
  <c r="C113" i="4" s="1"/>
  <c r="N300" i="2"/>
  <c r="I26" i="4" s="1"/>
  <c r="N330" i="2"/>
  <c r="I56" i="4" s="1"/>
  <c r="H330" i="2"/>
  <c r="C56" i="4" s="1"/>
  <c r="H300" i="2"/>
  <c r="C26" i="4" s="1"/>
  <c r="M391" i="2"/>
  <c r="H117" i="4" s="1"/>
  <c r="M361" i="2"/>
  <c r="H87" i="4" s="1"/>
  <c r="K330" i="2"/>
  <c r="F56" i="4" s="1"/>
  <c r="K300" i="2"/>
  <c r="F26" i="4" s="1"/>
  <c r="R392" i="2"/>
  <c r="M118" i="4" s="1"/>
  <c r="R362" i="2"/>
  <c r="M88" i="4" s="1"/>
  <c r="P300" i="2"/>
  <c r="K26" i="4" s="1"/>
  <c r="P330" i="2"/>
  <c r="K56" i="4" s="1"/>
  <c r="P332" i="2"/>
  <c r="K58" i="4" s="1"/>
  <c r="P302" i="2"/>
  <c r="K28" i="4" s="1"/>
  <c r="J331" i="2"/>
  <c r="E57" i="4" s="1"/>
  <c r="J301" i="2"/>
  <c r="E27" i="4" s="1"/>
  <c r="K359" i="2"/>
  <c r="F85" i="4" s="1"/>
  <c r="K389" i="2"/>
  <c r="F115" i="4" s="1"/>
  <c r="J328" i="2"/>
  <c r="E54" i="4" s="1"/>
  <c r="J298" i="2"/>
  <c r="E24" i="4" s="1"/>
  <c r="P359" i="2"/>
  <c r="K85" i="4" s="1"/>
  <c r="P389" i="2"/>
  <c r="K115" i="4" s="1"/>
  <c r="R390" i="2"/>
  <c r="M116" i="4" s="1"/>
  <c r="R360" i="2"/>
  <c r="M86" i="4" s="1"/>
  <c r="N327" i="2"/>
  <c r="I53" i="4" s="1"/>
  <c r="N297" i="2"/>
  <c r="I23" i="4" s="1"/>
  <c r="R328" i="2"/>
  <c r="M54" i="4" s="1"/>
  <c r="R298" i="2"/>
  <c r="M24" i="4" s="1"/>
  <c r="J391" i="2"/>
  <c r="E117" i="4" s="1"/>
  <c r="J361" i="2"/>
  <c r="E87" i="4" s="1"/>
  <c r="P388" i="2"/>
  <c r="K114" i="4" s="1"/>
  <c r="P358" i="2"/>
  <c r="K84" i="4" s="1"/>
  <c r="M360" i="2"/>
  <c r="H86" i="4" s="1"/>
  <c r="M390" i="2"/>
  <c r="H116" i="4" s="1"/>
  <c r="R359" i="2"/>
  <c r="M85" i="4" s="1"/>
  <c r="R389" i="2"/>
  <c r="M115" i="4" s="1"/>
  <c r="H359" i="2"/>
  <c r="C85" i="4" s="1"/>
  <c r="H389" i="2"/>
  <c r="C115" i="4" s="1"/>
  <c r="N401" i="2"/>
  <c r="I127" i="4" s="1"/>
  <c r="N371" i="2"/>
  <c r="I97" i="4" s="1"/>
  <c r="J311" i="2"/>
  <c r="E37" i="4" s="1"/>
  <c r="J341" i="2"/>
  <c r="E67" i="4" s="1"/>
  <c r="M371" i="2"/>
  <c r="H97" i="4" s="1"/>
  <c r="M401" i="2"/>
  <c r="H127" i="4" s="1"/>
  <c r="H371" i="2"/>
  <c r="C97" i="4" s="1"/>
  <c r="H401" i="2"/>
  <c r="C127" i="4" s="1"/>
  <c r="R320" i="2"/>
  <c r="M46" i="4" s="1"/>
  <c r="P319" i="2"/>
  <c r="K45" i="4" s="1"/>
  <c r="H349" i="2"/>
  <c r="C75" i="4" s="1"/>
  <c r="M381" i="2"/>
  <c r="H107" i="4" s="1"/>
  <c r="N349" i="2"/>
  <c r="I75" i="4" s="1"/>
  <c r="R319" i="2"/>
  <c r="M45" i="4" s="1"/>
  <c r="R291" i="2"/>
  <c r="M17" i="4" s="1"/>
  <c r="K321" i="2"/>
  <c r="F47" i="4" s="1"/>
  <c r="H351" i="2"/>
  <c r="C77" i="4" s="1"/>
  <c r="H319" i="2"/>
  <c r="C45" i="4" s="1"/>
  <c r="N321" i="2"/>
  <c r="I47" i="4" s="1"/>
  <c r="K320" i="2"/>
  <c r="F46" i="4" s="1"/>
  <c r="R379" i="2"/>
  <c r="M105" i="4" s="1"/>
  <c r="N380" i="2"/>
  <c r="I106" i="4" s="1"/>
  <c r="R351" i="2"/>
  <c r="M77" i="4" s="1"/>
  <c r="N290" i="2"/>
  <c r="I16" i="4" s="1"/>
  <c r="K290" i="2"/>
  <c r="F16" i="4" s="1"/>
  <c r="P289" i="2"/>
  <c r="K15" i="4" s="1"/>
  <c r="N320" i="2"/>
  <c r="I46" i="4" s="1"/>
  <c r="N351" i="2"/>
  <c r="I77" i="4" s="1"/>
  <c r="K291" i="2"/>
  <c r="F17" i="4" s="1"/>
  <c r="P350" i="2"/>
  <c r="K76" i="4" s="1"/>
  <c r="M380" i="2"/>
  <c r="H106" i="4" s="1"/>
  <c r="J291" i="2"/>
  <c r="E17" i="4" s="1"/>
  <c r="H381" i="2"/>
  <c r="C107" i="4" s="1"/>
  <c r="H323" i="2"/>
  <c r="C49" i="4" s="1"/>
  <c r="R385" i="2"/>
  <c r="M111" i="4" s="1"/>
  <c r="K323" i="2"/>
  <c r="F49" i="4" s="1"/>
  <c r="H353" i="2"/>
  <c r="C79" i="4" s="1"/>
  <c r="J325" i="2"/>
  <c r="E51" i="4" s="1"/>
  <c r="M383" i="2"/>
  <c r="H109" i="4" s="1"/>
  <c r="N353" i="2"/>
  <c r="I79" i="4" s="1"/>
  <c r="K294" i="2"/>
  <c r="F20" i="4" s="1"/>
  <c r="M293" i="2"/>
  <c r="H19" i="4" s="1"/>
  <c r="J354" i="2"/>
  <c r="E80" i="4" s="1"/>
  <c r="H382" i="2"/>
  <c r="C108" i="4" s="1"/>
  <c r="N382" i="2"/>
  <c r="I108" i="4" s="1"/>
  <c r="T383" i="2"/>
  <c r="O109" i="4" s="1"/>
  <c r="R292" i="2"/>
  <c r="M18" i="4" s="1"/>
  <c r="N325" i="2"/>
  <c r="I51" i="4" s="1"/>
  <c r="P292" i="2"/>
  <c r="K18" i="4" s="1"/>
  <c r="M295" i="2"/>
  <c r="H21" i="4" s="1"/>
  <c r="P382" i="2"/>
  <c r="K108" i="4" s="1"/>
  <c r="J382" i="2"/>
  <c r="E108" i="4" s="1"/>
  <c r="R354" i="2"/>
  <c r="M80" i="4" s="1"/>
  <c r="R323" i="2"/>
  <c r="M49" i="4" s="1"/>
  <c r="N384" i="2"/>
  <c r="I110" i="4" s="1"/>
  <c r="M353" i="2"/>
  <c r="H79" i="4" s="1"/>
  <c r="H292" i="2"/>
  <c r="C18" i="4" s="1"/>
  <c r="J383" i="2"/>
  <c r="E109" i="4" s="1"/>
  <c r="N352" i="2"/>
  <c r="I78" i="4" s="1"/>
  <c r="J293" i="2"/>
  <c r="E19" i="4" s="1"/>
  <c r="P352" i="2"/>
  <c r="K78" i="4" s="1"/>
  <c r="J378" i="2"/>
  <c r="E104" i="4" s="1"/>
  <c r="K378" i="2"/>
  <c r="F104" i="4" s="1"/>
  <c r="H348" i="2"/>
  <c r="C74" i="4" s="1"/>
  <c r="T288" i="2"/>
  <c r="O14" i="4" s="1"/>
  <c r="N348" i="2"/>
  <c r="I74" i="4" s="1"/>
  <c r="J313" i="2"/>
  <c r="E39" i="4" s="1"/>
  <c r="N342" i="2"/>
  <c r="I68" i="4" s="1"/>
  <c r="K285" i="2"/>
  <c r="F11" i="4" s="1"/>
  <c r="J343" i="2"/>
  <c r="E69" i="4" s="1"/>
  <c r="N287" i="2"/>
  <c r="I13" i="4" s="1"/>
  <c r="R346" i="2"/>
  <c r="M72" i="4" s="1"/>
  <c r="H282" i="2"/>
  <c r="C8" i="4" s="1"/>
  <c r="T343" i="2"/>
  <c r="O69" i="4" s="1"/>
  <c r="R286" i="2"/>
  <c r="M12" i="4" s="1"/>
  <c r="P345" i="2"/>
  <c r="K71" i="4" s="1"/>
  <c r="P287" i="2"/>
  <c r="K13" i="4" s="1"/>
  <c r="K283" i="2"/>
  <c r="F9" i="4" s="1"/>
  <c r="T287" i="2"/>
  <c r="O13" i="4" s="1"/>
  <c r="T375" i="2"/>
  <c r="O101" i="4" s="1"/>
  <c r="K316" i="2"/>
  <c r="F42" i="4" s="1"/>
  <c r="R312" i="2"/>
  <c r="M38" i="4" s="1"/>
  <c r="R372" i="2"/>
  <c r="M98" i="4" s="1"/>
  <c r="P313" i="2"/>
  <c r="K39" i="4" s="1"/>
  <c r="H313" i="2"/>
  <c r="C39" i="4" s="1"/>
  <c r="R287" i="2"/>
  <c r="M13" i="4" s="1"/>
  <c r="H312" i="2"/>
  <c r="C38" i="4" s="1"/>
  <c r="H345" i="2"/>
  <c r="C71" i="4" s="1"/>
  <c r="T284" i="2"/>
  <c r="O10" i="4" s="1"/>
  <c r="K286" i="2"/>
  <c r="F12" i="4" s="1"/>
  <c r="K372" i="2"/>
  <c r="F98" i="4" s="1"/>
  <c r="P312" i="2"/>
  <c r="K38" i="4" s="1"/>
  <c r="T315" i="2"/>
  <c r="O41" i="4" s="1"/>
  <c r="M287" i="2"/>
  <c r="H13" i="4" s="1"/>
  <c r="R317" i="2"/>
  <c r="M43" i="4" s="1"/>
  <c r="R386" i="2"/>
  <c r="M112" i="4" s="1"/>
  <c r="K356" i="2"/>
  <c r="F82" i="4" s="1"/>
  <c r="N326" i="2"/>
  <c r="I52" i="4" s="1"/>
  <c r="N296" i="2"/>
  <c r="I22" i="4" s="1"/>
  <c r="N356" i="2"/>
  <c r="I82" i="4" s="1"/>
  <c r="P296" i="2"/>
  <c r="K22" i="4" s="1"/>
  <c r="J296" i="2"/>
  <c r="E22" i="4" s="1"/>
  <c r="A30" i="6"/>
  <c r="A23"/>
  <c r="A25"/>
  <c r="A26"/>
  <c r="A32"/>
  <c r="A76"/>
  <c r="A41"/>
  <c r="A39"/>
  <c r="A34"/>
  <c r="A46"/>
  <c r="A44"/>
  <c r="A80"/>
  <c r="N365" i="2"/>
  <c r="I91" i="4" s="1"/>
  <c r="N395" i="2"/>
  <c r="I121" i="4" s="1"/>
  <c r="R336" i="2"/>
  <c r="M62" i="4" s="1"/>
  <c r="R306" i="2"/>
  <c r="M32" i="4" s="1"/>
  <c r="H336" i="2"/>
  <c r="C62" i="4" s="1"/>
  <c r="H306" i="2"/>
  <c r="C32" i="4" s="1"/>
  <c r="P365" i="2"/>
  <c r="K91" i="4" s="1"/>
  <c r="P395" i="2"/>
  <c r="K121" i="4" s="1"/>
  <c r="M394" i="2"/>
  <c r="H120" i="4" s="1"/>
  <c r="M364" i="2"/>
  <c r="H90" i="4" s="1"/>
  <c r="T365" i="2"/>
  <c r="O91" i="4" s="1"/>
  <c r="T395" i="2"/>
  <c r="O121" i="4" s="1"/>
  <c r="N306" i="2"/>
  <c r="I32" i="4" s="1"/>
  <c r="N336" i="2"/>
  <c r="I62" i="4" s="1"/>
  <c r="P336" i="2"/>
  <c r="K62" i="4" s="1"/>
  <c r="P306" i="2"/>
  <c r="K32" i="4" s="1"/>
  <c r="T337" i="2"/>
  <c r="O63" i="4" s="1"/>
  <c r="T307" i="2"/>
  <c r="O33" i="4" s="1"/>
  <c r="P399" i="2"/>
  <c r="K125" i="4" s="1"/>
  <c r="P369" i="2"/>
  <c r="K95" i="4" s="1"/>
  <c r="T399" i="2"/>
  <c r="O125" i="4" s="1"/>
  <c r="T369" i="2"/>
  <c r="O95" i="4" s="1"/>
  <c r="H370" i="2"/>
  <c r="C96" i="4" s="1"/>
  <c r="H400" i="2"/>
  <c r="C126" i="4" s="1"/>
  <c r="N308" i="2"/>
  <c r="I34" i="4" s="1"/>
  <c r="N338" i="2"/>
  <c r="I64" i="4" s="1"/>
  <c r="H339" i="2"/>
  <c r="C65" i="4" s="1"/>
  <c r="H309" i="2"/>
  <c r="C35" i="4" s="1"/>
  <c r="K338" i="2"/>
  <c r="F64" i="4" s="1"/>
  <c r="K308" i="2"/>
  <c r="F34" i="4" s="1"/>
  <c r="R309" i="2"/>
  <c r="M35" i="4" s="1"/>
  <c r="R339" i="2"/>
  <c r="M65" i="4" s="1"/>
  <c r="H310" i="2"/>
  <c r="C36" i="4" s="1"/>
  <c r="H340" i="2"/>
  <c r="C66" i="4" s="1"/>
  <c r="M368" i="2"/>
  <c r="H94" i="4" s="1"/>
  <c r="M398" i="2"/>
  <c r="H124" i="4" s="1"/>
  <c r="R310" i="2"/>
  <c r="M36" i="4" s="1"/>
  <c r="R340" i="2"/>
  <c r="M66" i="4" s="1"/>
  <c r="J340" i="2"/>
  <c r="E66" i="4" s="1"/>
  <c r="J310" i="2"/>
  <c r="E36" i="4" s="1"/>
  <c r="N340" i="2"/>
  <c r="I66" i="4" s="1"/>
  <c r="N310" i="2"/>
  <c r="I36" i="4" s="1"/>
  <c r="K307" i="2"/>
  <c r="F33" i="4" s="1"/>
  <c r="K337" i="2"/>
  <c r="F63" i="4" s="1"/>
  <c r="T397" i="2"/>
  <c r="O123" i="4" s="1"/>
  <c r="T367" i="2"/>
  <c r="O93" i="4" s="1"/>
  <c r="M310" i="2"/>
  <c r="H36" i="4" s="1"/>
  <c r="M340" i="2"/>
  <c r="H66" i="4" s="1"/>
  <c r="N339" i="2"/>
  <c r="I65" i="4" s="1"/>
  <c r="N309" i="2"/>
  <c r="I35" i="4" s="1"/>
  <c r="P363" i="2"/>
  <c r="K89" i="4" s="1"/>
  <c r="P393" i="2"/>
  <c r="K119" i="4" s="1"/>
  <c r="M300" i="2"/>
  <c r="H26" i="4" s="1"/>
  <c r="M330" i="2"/>
  <c r="H56" i="4" s="1"/>
  <c r="H388" i="2"/>
  <c r="C114" i="4" s="1"/>
  <c r="H358" i="2"/>
  <c r="C84" i="4" s="1"/>
  <c r="J362" i="2"/>
  <c r="E88" i="4" s="1"/>
  <c r="J392" i="2"/>
  <c r="E118" i="4" s="1"/>
  <c r="H390" i="2"/>
  <c r="C116" i="4" s="1"/>
  <c r="H360" i="2"/>
  <c r="C86" i="4" s="1"/>
  <c r="K391" i="2"/>
  <c r="F117" i="4" s="1"/>
  <c r="K361" i="2"/>
  <c r="F87" i="4" s="1"/>
  <c r="R387" i="2"/>
  <c r="M113" i="4" s="1"/>
  <c r="R357" i="2"/>
  <c r="M83" i="4" s="1"/>
  <c r="J390" i="2"/>
  <c r="E116" i="4" s="1"/>
  <c r="J360" i="2"/>
  <c r="E86" i="4" s="1"/>
  <c r="N299" i="2"/>
  <c r="I25" i="4" s="1"/>
  <c r="N329" i="2"/>
  <c r="I55" i="4" s="1"/>
  <c r="T388" i="2"/>
  <c r="O114" i="4" s="1"/>
  <c r="T358" i="2"/>
  <c r="O84" i="4" s="1"/>
  <c r="N388" i="2"/>
  <c r="I114" i="4" s="1"/>
  <c r="N358" i="2"/>
  <c r="I84" i="4" s="1"/>
  <c r="J387" i="2"/>
  <c r="E113" i="4" s="1"/>
  <c r="J357" i="2"/>
  <c r="E83" i="4" s="1"/>
  <c r="T389" i="2"/>
  <c r="O115" i="4" s="1"/>
  <c r="T359" i="2"/>
  <c r="O85" i="4" s="1"/>
  <c r="R388" i="2"/>
  <c r="M114" i="4" s="1"/>
  <c r="R358" i="2"/>
  <c r="M84" i="4" s="1"/>
  <c r="P331" i="2"/>
  <c r="K57" i="4" s="1"/>
  <c r="P301" i="2"/>
  <c r="K27" i="4" s="1"/>
  <c r="P361" i="2"/>
  <c r="K87" i="4" s="1"/>
  <c r="P391" i="2"/>
  <c r="K117" i="4" s="1"/>
  <c r="N362" i="2"/>
  <c r="I88" i="4" s="1"/>
  <c r="N392" i="2"/>
  <c r="I118" i="4" s="1"/>
  <c r="H302" i="2"/>
  <c r="C28" i="4" s="1"/>
  <c r="H332" i="2"/>
  <c r="C58" i="4" s="1"/>
  <c r="T341" i="2"/>
  <c r="O67" i="4" s="1"/>
  <c r="T311" i="2"/>
  <c r="O37" i="4" s="1"/>
  <c r="T371" i="2"/>
  <c r="O97" i="4" s="1"/>
  <c r="T401" i="2"/>
  <c r="O127" i="4" s="1"/>
  <c r="P341" i="2"/>
  <c r="K67" i="4" s="1"/>
  <c r="P311" i="2"/>
  <c r="K37" i="4" s="1"/>
  <c r="T290" i="2"/>
  <c r="O16" i="4" s="1"/>
  <c r="H379" i="2"/>
  <c r="C105" i="4" s="1"/>
  <c r="M349" i="2"/>
  <c r="H75" i="4" s="1"/>
  <c r="J321" i="2"/>
  <c r="E47" i="4" s="1"/>
  <c r="N289" i="2"/>
  <c r="I15" i="4" s="1"/>
  <c r="M320" i="2"/>
  <c r="H46" i="4" s="1"/>
  <c r="T355" i="2"/>
  <c r="O81" i="4" s="1"/>
  <c r="N295" i="2"/>
  <c r="I21" i="4" s="1"/>
  <c r="H325" i="2"/>
  <c r="C51" i="4" s="1"/>
  <c r="N383" i="2"/>
  <c r="I109" i="4" s="1"/>
  <c r="H384" i="2"/>
  <c r="C110" i="4" s="1"/>
  <c r="R324" i="2"/>
  <c r="M50" i="4" s="1"/>
  <c r="N294" i="2"/>
  <c r="I20" i="4" s="1"/>
  <c r="R384" i="2"/>
  <c r="M110" i="4" s="1"/>
  <c r="M382" i="2"/>
  <c r="H108" i="4" s="1"/>
  <c r="K322" i="2"/>
  <c r="F48" i="4" s="1"/>
  <c r="R383" i="2"/>
  <c r="M109" i="4" s="1"/>
  <c r="R382" i="2"/>
  <c r="M108" i="4" s="1"/>
  <c r="P385" i="2"/>
  <c r="K111" i="4" s="1"/>
  <c r="P383" i="2"/>
  <c r="K109" i="4" s="1"/>
  <c r="M322" i="2"/>
  <c r="H48" i="4" s="1"/>
  <c r="M294" i="2"/>
  <c r="H20" i="4" s="1"/>
  <c r="T385" i="2"/>
  <c r="O111" i="4" s="1"/>
  <c r="P322" i="2"/>
  <c r="K48" i="4" s="1"/>
  <c r="N322" i="2"/>
  <c r="I48" i="4" s="1"/>
  <c r="P353" i="2"/>
  <c r="K79" i="4" s="1"/>
  <c r="R378" i="2"/>
  <c r="M104" i="4" s="1"/>
  <c r="P378" i="2"/>
  <c r="K104" i="4" s="1"/>
  <c r="T318" i="2"/>
  <c r="O44" i="4" s="1"/>
  <c r="N288" i="2"/>
  <c r="I14" i="4" s="1"/>
  <c r="K318" i="2"/>
  <c r="F44" i="4" s="1"/>
  <c r="M348" i="2"/>
  <c r="H74" i="4" s="1"/>
  <c r="H318" i="2"/>
  <c r="C44" i="4" s="1"/>
  <c r="P288" i="2"/>
  <c r="K14" i="4" s="1"/>
  <c r="R348" i="2"/>
  <c r="M74" i="4" s="1"/>
  <c r="M372" i="2"/>
  <c r="H98" i="4" s="1"/>
  <c r="M312" i="2"/>
  <c r="H38" i="4" s="1"/>
  <c r="K284" i="2"/>
  <c r="F10" i="4" s="1"/>
  <c r="T316" i="2"/>
  <c r="O42" i="4" s="1"/>
  <c r="P314" i="2"/>
  <c r="K40" i="4" s="1"/>
  <c r="R343" i="2"/>
  <c r="M69" i="4" s="1"/>
  <c r="T345" i="2"/>
  <c r="O71" i="4" s="1"/>
  <c r="H343" i="2"/>
  <c r="C69" i="4" s="1"/>
  <c r="H347" i="2"/>
  <c r="C73" i="4" s="1"/>
  <c r="H346" i="2"/>
  <c r="C72" i="4" s="1"/>
  <c r="T286" i="2"/>
  <c r="O12" i="4" s="1"/>
  <c r="K375" i="2"/>
  <c r="F101" i="4" s="1"/>
  <c r="P317" i="2"/>
  <c r="K43" i="4" s="1"/>
  <c r="T312" i="2"/>
  <c r="O38" i="4" s="1"/>
  <c r="P377" i="2"/>
  <c r="K103" i="4" s="1"/>
  <c r="T347" i="2"/>
  <c r="O73" i="4" s="1"/>
  <c r="M345" i="2"/>
  <c r="H71" i="4" s="1"/>
  <c r="J286" i="2"/>
  <c r="E12" i="4" s="1"/>
  <c r="K377" i="2"/>
  <c r="F103" i="4" s="1"/>
  <c r="M376" i="2"/>
  <c r="H102" i="4" s="1"/>
  <c r="T342" i="2"/>
  <c r="O68" i="4" s="1"/>
  <c r="J314" i="2"/>
  <c r="E40" i="4" s="1"/>
  <c r="N317" i="2"/>
  <c r="I43" i="4" s="1"/>
  <c r="J342" i="2"/>
  <c r="E68" i="4" s="1"/>
  <c r="T344" i="2"/>
  <c r="O70" i="4" s="1"/>
  <c r="T282" i="2"/>
  <c r="O8" i="4" s="1"/>
  <c r="T285" i="2"/>
  <c r="O11" i="4" s="1"/>
  <c r="T313" i="2"/>
  <c r="O39" i="4" s="1"/>
  <c r="K346" i="2"/>
  <c r="F72" i="4" s="1"/>
  <c r="K373" i="2"/>
  <c r="F99" i="4" s="1"/>
  <c r="M286" i="2"/>
  <c r="H12" i="4" s="1"/>
  <c r="R283" i="2"/>
  <c r="M9" i="4" s="1"/>
  <c r="P372" i="2"/>
  <c r="K98" i="4" s="1"/>
  <c r="R376" i="2"/>
  <c r="M102" i="4" s="1"/>
  <c r="P356" i="2"/>
  <c r="K82" i="4" s="1"/>
  <c r="P386" i="2"/>
  <c r="K112" i="4" s="1"/>
  <c r="J326" i="2"/>
  <c r="E52" i="4" s="1"/>
  <c r="P326" i="2"/>
  <c r="K52" i="4" s="1"/>
  <c r="N335" i="2"/>
  <c r="I61" i="4" s="1"/>
  <c r="N305" i="2"/>
  <c r="I31" i="4" s="1"/>
  <c r="N364" i="2"/>
  <c r="I90" i="4" s="1"/>
  <c r="N394" i="2"/>
  <c r="I120" i="4" s="1"/>
  <c r="R334" i="2"/>
  <c r="M60" i="4" s="1"/>
  <c r="R304" i="2"/>
  <c r="M30" i="4" s="1"/>
  <c r="N334" i="2"/>
  <c r="I60" i="4" s="1"/>
  <c r="N304" i="2"/>
  <c r="I30" i="4" s="1"/>
  <c r="J336" i="2"/>
  <c r="E62" i="4" s="1"/>
  <c r="J306" i="2"/>
  <c r="E32" i="4" s="1"/>
  <c r="J394" i="2"/>
  <c r="E120" i="4" s="1"/>
  <c r="J364" i="2"/>
  <c r="E90" i="4" s="1"/>
  <c r="M366" i="2"/>
  <c r="H92" i="4" s="1"/>
  <c r="M396" i="2"/>
  <c r="H122" i="4" s="1"/>
  <c r="P394" i="2"/>
  <c r="K120" i="4" s="1"/>
  <c r="P364" i="2"/>
  <c r="K90" i="4" s="1"/>
  <c r="A68" i="6"/>
  <c r="A78"/>
  <c r="A69"/>
  <c r="A56"/>
  <c r="J305" i="2"/>
  <c r="E31" i="4" s="1"/>
  <c r="J335" i="2"/>
  <c r="E61" i="4" s="1"/>
  <c r="R394" i="2"/>
  <c r="M120" i="4" s="1"/>
  <c r="R364" i="2"/>
  <c r="M90" i="4" s="1"/>
  <c r="J366" i="2"/>
  <c r="E92" i="4" s="1"/>
  <c r="J396" i="2"/>
  <c r="E122" i="4" s="1"/>
  <c r="H305" i="2"/>
  <c r="C31" i="4" s="1"/>
  <c r="H335" i="2"/>
  <c r="C61" i="4" s="1"/>
  <c r="K335" i="2"/>
  <c r="F61" i="4" s="1"/>
  <c r="K305" i="2"/>
  <c r="F31" i="4" s="1"/>
  <c r="H396" i="2"/>
  <c r="C122" i="4" s="1"/>
  <c r="H366" i="2"/>
  <c r="C92" i="4" s="1"/>
  <c r="M304" i="2"/>
  <c r="H30" i="4" s="1"/>
  <c r="M334" i="2"/>
  <c r="H60" i="4" s="1"/>
  <c r="J365" i="2"/>
  <c r="E91" i="4" s="1"/>
  <c r="J395" i="2"/>
  <c r="E121" i="4" s="1"/>
  <c r="P304" i="2"/>
  <c r="K30" i="4" s="1"/>
  <c r="P334" i="2"/>
  <c r="K60" i="4" s="1"/>
  <c r="K306" i="2"/>
  <c r="F32" i="4" s="1"/>
  <c r="K336" i="2"/>
  <c r="F62" i="4" s="1"/>
  <c r="R366" i="2"/>
  <c r="M92" i="4" s="1"/>
  <c r="R396" i="2"/>
  <c r="M122" i="4" s="1"/>
  <c r="P338" i="2"/>
  <c r="K64" i="4" s="1"/>
  <c r="P308" i="2"/>
  <c r="K34" i="4" s="1"/>
  <c r="R308" i="2"/>
  <c r="M34" i="4" s="1"/>
  <c r="R338" i="2"/>
  <c r="M64" i="4" s="1"/>
  <c r="H338" i="2"/>
  <c r="C64" i="4" s="1"/>
  <c r="H308" i="2"/>
  <c r="C34" i="4" s="1"/>
  <c r="K309" i="2"/>
  <c r="F35" i="4" s="1"/>
  <c r="K339" i="2"/>
  <c r="F65" i="4" s="1"/>
  <c r="R337" i="2"/>
  <c r="M63" i="4" s="1"/>
  <c r="R307" i="2"/>
  <c r="M33" i="4" s="1"/>
  <c r="P339" i="2"/>
  <c r="K65" i="4" s="1"/>
  <c r="P309" i="2"/>
  <c r="K35" i="4" s="1"/>
  <c r="T340" i="2"/>
  <c r="O66" i="4" s="1"/>
  <c r="T310" i="2"/>
  <c r="O36" i="4" s="1"/>
  <c r="K398" i="2"/>
  <c r="F124" i="4" s="1"/>
  <c r="K368" i="2"/>
  <c r="F94" i="4" s="1"/>
  <c r="T338" i="2"/>
  <c r="O64" i="4" s="1"/>
  <c r="T308" i="2"/>
  <c r="O34" i="4" s="1"/>
  <c r="P340" i="2"/>
  <c r="K66" i="4" s="1"/>
  <c r="P310" i="2"/>
  <c r="K36" i="4" s="1"/>
  <c r="J369" i="2"/>
  <c r="E95" i="4" s="1"/>
  <c r="J399" i="2"/>
  <c r="E125" i="4" s="1"/>
  <c r="M337" i="2"/>
  <c r="H63" i="4" s="1"/>
  <c r="M307" i="2"/>
  <c r="H33" i="4" s="1"/>
  <c r="R398" i="2"/>
  <c r="M124" i="4" s="1"/>
  <c r="R368" i="2"/>
  <c r="M94" i="4" s="1"/>
  <c r="J309" i="2"/>
  <c r="E35" i="4" s="1"/>
  <c r="J339" i="2"/>
  <c r="E65" i="4" s="1"/>
  <c r="K397" i="2"/>
  <c r="F123" i="4" s="1"/>
  <c r="K367" i="2"/>
  <c r="F93" i="4" s="1"/>
  <c r="N398" i="2"/>
  <c r="I124" i="4" s="1"/>
  <c r="N368" i="2"/>
  <c r="I94" i="4" s="1"/>
  <c r="K363" i="2"/>
  <c r="F89" i="4" s="1"/>
  <c r="K393" i="2"/>
  <c r="F119" i="4" s="1"/>
  <c r="T393" i="2"/>
  <c r="O119" i="4" s="1"/>
  <c r="T363" i="2"/>
  <c r="O89" i="4" s="1"/>
  <c r="M393" i="2"/>
  <c r="H119" i="4" s="1"/>
  <c r="M363" i="2"/>
  <c r="H89" i="4" s="1"/>
  <c r="J333" i="2"/>
  <c r="E59" i="4" s="1"/>
  <c r="J303" i="2"/>
  <c r="E29" i="4" s="1"/>
  <c r="N303" i="2"/>
  <c r="I29" i="4" s="1"/>
  <c r="N333" i="2"/>
  <c r="I59" i="4" s="1"/>
  <c r="H333" i="2"/>
  <c r="C59" i="4" s="1"/>
  <c r="H303" i="2"/>
  <c r="C29" i="4" s="1"/>
  <c r="T303" i="2"/>
  <c r="O29" i="4" s="1"/>
  <c r="T333" i="2"/>
  <c r="O59" i="4" s="1"/>
  <c r="P333" i="2"/>
  <c r="K59" i="4" s="1"/>
  <c r="P303" i="2"/>
  <c r="K29" i="4" s="1"/>
  <c r="T362" i="2"/>
  <c r="O88" i="4" s="1"/>
  <c r="T392" i="2"/>
  <c r="O118" i="4" s="1"/>
  <c r="K387" i="2"/>
  <c r="F113" i="4" s="1"/>
  <c r="K357" i="2"/>
  <c r="F83" i="4" s="1"/>
  <c r="H327" i="2"/>
  <c r="C53" i="4" s="1"/>
  <c r="H297" i="2"/>
  <c r="C23" i="4" s="1"/>
  <c r="J300" i="2"/>
  <c r="E26" i="4" s="1"/>
  <c r="J330" i="2"/>
  <c r="E56" i="4" s="1"/>
  <c r="M301" i="2"/>
  <c r="H27" i="4" s="1"/>
  <c r="M331" i="2"/>
  <c r="H57" i="4" s="1"/>
  <c r="M302" i="2"/>
  <c r="H28" i="4" s="1"/>
  <c r="M332" i="2"/>
  <c r="H58" i="4" s="1"/>
  <c r="K331" i="2"/>
  <c r="F57" i="4" s="1"/>
  <c r="K301" i="2"/>
  <c r="F27" i="4" s="1"/>
  <c r="H329" i="2"/>
  <c r="C55" i="4" s="1"/>
  <c r="H299" i="2"/>
  <c r="C25" i="4" s="1"/>
  <c r="M359" i="2"/>
  <c r="H85" i="4" s="1"/>
  <c r="M389" i="2"/>
  <c r="H115" i="4" s="1"/>
  <c r="J299" i="2"/>
  <c r="E25" i="4" s="1"/>
  <c r="J329" i="2"/>
  <c r="E55" i="4" s="1"/>
  <c r="T387" i="2"/>
  <c r="O113" i="4" s="1"/>
  <c r="T357" i="2"/>
  <c r="O83" i="4" s="1"/>
  <c r="N301" i="2"/>
  <c r="I27" i="4" s="1"/>
  <c r="N331" i="2"/>
  <c r="I57" i="4" s="1"/>
  <c r="P329" i="2"/>
  <c r="K55" i="4" s="1"/>
  <c r="P299" i="2"/>
  <c r="K25" i="4" s="1"/>
  <c r="K332" i="2"/>
  <c r="F58" i="4" s="1"/>
  <c r="K302" i="2"/>
  <c r="F28" i="4" s="1"/>
  <c r="P327" i="2"/>
  <c r="K53" i="4" s="1"/>
  <c r="P297" i="2"/>
  <c r="K23" i="4" s="1"/>
  <c r="T361" i="2"/>
  <c r="O87" i="4" s="1"/>
  <c r="T391" i="2"/>
  <c r="O117" i="4" s="1"/>
  <c r="M327" i="2"/>
  <c r="H53" i="4" s="1"/>
  <c r="M297" i="2"/>
  <c r="H23" i="4" s="1"/>
  <c r="N360" i="2"/>
  <c r="I86" i="4" s="1"/>
  <c r="N390" i="2"/>
  <c r="I116" i="4" s="1"/>
  <c r="N361" i="2"/>
  <c r="I87" i="4" s="1"/>
  <c r="N391" i="2"/>
  <c r="I117" i="4" s="1"/>
  <c r="N341" i="2"/>
  <c r="I67" i="4" s="1"/>
  <c r="N311" i="2"/>
  <c r="I37" i="4" s="1"/>
  <c r="M311" i="2"/>
  <c r="H37" i="4" s="1"/>
  <c r="M341" i="2"/>
  <c r="H67" i="4" s="1"/>
  <c r="P371" i="2"/>
  <c r="K97" i="4" s="1"/>
  <c r="P401" i="2"/>
  <c r="K127" i="4" s="1"/>
  <c r="P380" i="2"/>
  <c r="K106" i="4" s="1"/>
  <c r="N319" i="2"/>
  <c r="I45" i="4" s="1"/>
  <c r="H380" i="2"/>
  <c r="C106" i="4" s="1"/>
  <c r="M290" i="2"/>
  <c r="H16" i="4" s="1"/>
  <c r="P291" i="2"/>
  <c r="K17" i="4" s="1"/>
  <c r="J351" i="2"/>
  <c r="E77" i="4" s="1"/>
  <c r="P351" i="2"/>
  <c r="K77" i="4" s="1"/>
  <c r="J379" i="2"/>
  <c r="E105" i="4" s="1"/>
  <c r="K289" i="2"/>
  <c r="F15" i="4" s="1"/>
  <c r="J350" i="2"/>
  <c r="E76" i="4" s="1"/>
  <c r="R289" i="2"/>
  <c r="M15" i="4" s="1"/>
  <c r="H320" i="2"/>
  <c r="C46" i="4" s="1"/>
  <c r="K350" i="2"/>
  <c r="F76" i="4" s="1"/>
  <c r="M291" i="2"/>
  <c r="H17" i="4" s="1"/>
  <c r="K381" i="2"/>
  <c r="F107" i="4" s="1"/>
  <c r="N291" i="2"/>
  <c r="I17" i="4" s="1"/>
  <c r="K380" i="2"/>
  <c r="F106" i="4" s="1"/>
  <c r="T350" i="2"/>
  <c r="O76" i="4" s="1"/>
  <c r="H289" i="2"/>
  <c r="C15" i="4" s="1"/>
  <c r="H291" i="2"/>
  <c r="C17" i="4" s="1"/>
  <c r="H290" i="2"/>
  <c r="C16" i="4" s="1"/>
  <c r="M351" i="2"/>
  <c r="H77" i="4" s="1"/>
  <c r="P379" i="2"/>
  <c r="K105" i="4" s="1"/>
  <c r="K352" i="2"/>
  <c r="F78" i="4" s="1"/>
  <c r="J355" i="2"/>
  <c r="E81" i="4" s="1"/>
  <c r="H294" i="2"/>
  <c r="C20" i="4" s="1"/>
  <c r="M325" i="2"/>
  <c r="H51" i="4" s="1"/>
  <c r="N354" i="2"/>
  <c r="I80" i="4" s="1"/>
  <c r="K355" i="2"/>
  <c r="F81" i="4" s="1"/>
  <c r="J323" i="2"/>
  <c r="E49" i="4" s="1"/>
  <c r="T382" i="2"/>
  <c r="O108" i="4" s="1"/>
  <c r="N355" i="2"/>
  <c r="I81" i="4" s="1"/>
  <c r="N323" i="2"/>
  <c r="I49" i="4" s="1"/>
  <c r="J295" i="2"/>
  <c r="E21" i="4" s="1"/>
  <c r="N292" i="2"/>
  <c r="I18" i="4" s="1"/>
  <c r="T324" i="2"/>
  <c r="O50" i="4" s="1"/>
  <c r="K292" i="2"/>
  <c r="F18" i="4" s="1"/>
  <c r="T323" i="2"/>
  <c r="O49" i="4" s="1"/>
  <c r="N324" i="2"/>
  <c r="I50" i="4" s="1"/>
  <c r="T294" i="2"/>
  <c r="O20" i="4" s="1"/>
  <c r="T353" i="2"/>
  <c r="O79" i="4" s="1"/>
  <c r="M384" i="2"/>
  <c r="H110" i="4" s="1"/>
  <c r="K384" i="2"/>
  <c r="F110" i="4" s="1"/>
  <c r="T322" i="2"/>
  <c r="O48" i="4" s="1"/>
  <c r="J318" i="2"/>
  <c r="E44" i="4" s="1"/>
  <c r="N318" i="2"/>
  <c r="I44" i="4" s="1"/>
  <c r="H288" i="2"/>
  <c r="C14" i="4" s="1"/>
  <c r="R288" i="2"/>
  <c r="M14" i="4" s="1"/>
  <c r="K348" i="2"/>
  <c r="F74" i="4" s="1"/>
  <c r="N378" i="2"/>
  <c r="I104" i="4" s="1"/>
  <c r="J288" i="2"/>
  <c r="E14" i="4" s="1"/>
  <c r="K288" i="2"/>
  <c r="F14" i="4" s="1"/>
  <c r="P347" i="2"/>
  <c r="K73" i="4" s="1"/>
  <c r="J344" i="2"/>
  <c r="E70" i="4" s="1"/>
  <c r="H342" i="2"/>
  <c r="C68" i="4" s="1"/>
  <c r="J285" i="2"/>
  <c r="E11" i="4" s="1"/>
  <c r="K343" i="2"/>
  <c r="F69" i="4" s="1"/>
  <c r="H316" i="2"/>
  <c r="C42" i="4" s="1"/>
  <c r="R344" i="2"/>
  <c r="M70" i="4" s="1"/>
  <c r="J312" i="2"/>
  <c r="E38" i="4" s="1"/>
  <c r="K344" i="2"/>
  <c r="F70" i="4" s="1"/>
  <c r="H373" i="2"/>
  <c r="C99" i="4" s="1"/>
  <c r="M373" i="2"/>
  <c r="H99" i="4" s="1"/>
  <c r="M344" i="2"/>
  <c r="H70" i="4" s="1"/>
  <c r="N286" i="2"/>
  <c r="I12" i="4" s="1"/>
  <c r="R284" i="2"/>
  <c r="M10" i="4" s="1"/>
  <c r="J372" i="2"/>
  <c r="E98" i="4" s="1"/>
  <c r="R373" i="2"/>
  <c r="M99" i="4" s="1"/>
  <c r="P283" i="2"/>
  <c r="K9" i="4" s="1"/>
  <c r="P343" i="2"/>
  <c r="K69" i="4" s="1"/>
  <c r="M377" i="2"/>
  <c r="H103" i="4" s="1"/>
  <c r="P374" i="2"/>
  <c r="K100" i="4" s="1"/>
  <c r="H315" i="2"/>
  <c r="C41" i="4" s="1"/>
  <c r="P346" i="2"/>
  <c r="K72" i="4" s="1"/>
  <c r="H287" i="2"/>
  <c r="C13" i="4" s="1"/>
  <c r="N285" i="2"/>
  <c r="I11" i="4" s="1"/>
  <c r="J316" i="2"/>
  <c r="E42" i="4" s="1"/>
  <c r="T314" i="2"/>
  <c r="O40" i="4" s="1"/>
  <c r="P285" i="2"/>
  <c r="K11" i="4" s="1"/>
  <c r="P315" i="2"/>
  <c r="K41" i="4" s="1"/>
  <c r="K376" i="2"/>
  <c r="F102" i="4" s="1"/>
  <c r="J287" i="2"/>
  <c r="E13" i="4" s="1"/>
  <c r="N374" i="2"/>
  <c r="I100" i="4" s="1"/>
  <c r="K386" i="2"/>
  <c r="F112" i="4" s="1"/>
  <c r="K296" i="2"/>
  <c r="F22" i="4" s="1"/>
  <c r="N386" i="2"/>
  <c r="I112" i="4" s="1"/>
  <c r="M386" i="2"/>
  <c r="H112" i="4" s="1"/>
  <c r="K326" i="2"/>
  <c r="F52" i="4" s="1"/>
  <c r="O14" i="6" l="1"/>
  <c r="G15"/>
  <c r="X16"/>
  <c r="H15"/>
  <c r="S16"/>
  <c r="X14"/>
  <c r="R16"/>
  <c r="L16"/>
  <c r="V14"/>
  <c r="F15"/>
  <c r="Q15"/>
  <c r="X15"/>
  <c r="N15"/>
  <c r="W16"/>
  <c r="M13"/>
  <c r="N14"/>
  <c r="R13"/>
  <c r="T16"/>
  <c r="U15"/>
  <c r="M15"/>
  <c r="I15"/>
  <c r="P14"/>
  <c r="N13"/>
  <c r="I16"/>
  <c r="R14"/>
  <c r="E15"/>
  <c r="G13"/>
  <c r="F14"/>
  <c r="U13"/>
  <c r="H16"/>
  <c r="P13"/>
  <c r="V13"/>
  <c r="Q16"/>
  <c r="V16"/>
  <c r="O15"/>
  <c r="H14"/>
  <c r="K16"/>
  <c r="E14"/>
  <c r="H13"/>
  <c r="J16"/>
  <c r="M16"/>
  <c r="L15"/>
  <c r="V15"/>
  <c r="M14"/>
  <c r="T14"/>
  <c r="X13"/>
  <c r="L14"/>
  <c r="U16"/>
  <c r="S15"/>
  <c r="P16"/>
  <c r="U14"/>
  <c r="K15"/>
  <c r="J15"/>
  <c r="G16"/>
  <c r="Q13"/>
  <c r="S13"/>
  <c r="G14"/>
  <c r="O16"/>
  <c r="I13"/>
  <c r="R15"/>
  <c r="Q14"/>
  <c r="F16"/>
  <c r="J13"/>
  <c r="E13"/>
  <c r="T15"/>
  <c r="E16"/>
  <c r="F13"/>
  <c r="S14"/>
  <c r="J14"/>
  <c r="N16"/>
  <c r="K14"/>
  <c r="W15"/>
  <c r="K13"/>
  <c r="P15"/>
  <c r="W14"/>
  <c r="I14"/>
  <c r="O13"/>
  <c r="L13"/>
  <c r="T13"/>
  <c r="W13"/>
  <c r="O18" l="1"/>
  <c r="O52"/>
  <c r="O118" s="1"/>
  <c r="O187" s="1"/>
  <c r="U32" i="22" s="1"/>
  <c r="O74" i="6"/>
  <c r="O140" s="1"/>
  <c r="O209" s="1"/>
  <c r="U54" i="22" s="1"/>
  <c r="O29" i="6"/>
  <c r="O95" s="1"/>
  <c r="O164" s="1"/>
  <c r="U9" i="22" s="1"/>
  <c r="O48" i="6"/>
  <c r="O114" s="1"/>
  <c r="O183" s="1"/>
  <c r="U28" i="22" s="1"/>
  <c r="O47" i="6"/>
  <c r="O113" s="1"/>
  <c r="O182" s="1"/>
  <c r="U27" i="22" s="1"/>
  <c r="O45" i="6"/>
  <c r="O111" s="1"/>
  <c r="O180" s="1"/>
  <c r="U25" i="22" s="1"/>
  <c r="O73" i="6"/>
  <c r="O139" s="1"/>
  <c r="O208" s="1"/>
  <c r="U53" i="22" s="1"/>
  <c r="O62" i="6"/>
  <c r="O128" s="1"/>
  <c r="O197" s="1"/>
  <c r="U42" i="22" s="1"/>
  <c r="O60" i="6"/>
  <c r="O126" s="1"/>
  <c r="O195" s="1"/>
  <c r="U40" i="22" s="1"/>
  <c r="O61" i="6"/>
  <c r="O127" s="1"/>
  <c r="O196" s="1"/>
  <c r="U41" i="22" s="1"/>
  <c r="O55" i="6"/>
  <c r="O121" s="1"/>
  <c r="O190" s="1"/>
  <c r="U35" i="22" s="1"/>
  <c r="O37" i="6"/>
  <c r="O103" s="1"/>
  <c r="O172" s="1"/>
  <c r="U17" i="22" s="1"/>
  <c r="O82" i="6"/>
  <c r="O148" s="1"/>
  <c r="O217" s="1"/>
  <c r="U62" i="22" s="1"/>
  <c r="O67" i="6"/>
  <c r="O133" s="1"/>
  <c r="O202" s="1"/>
  <c r="U47" i="22" s="1"/>
  <c r="O38" i="6"/>
  <c r="O104" s="1"/>
  <c r="O173" s="1"/>
  <c r="U18" i="22" s="1"/>
  <c r="O58" i="6"/>
  <c r="O124" s="1"/>
  <c r="O193" s="1"/>
  <c r="U38" i="22" s="1"/>
  <c r="O81" i="6"/>
  <c r="O147" s="1"/>
  <c r="O216" s="1"/>
  <c r="U61" i="22" s="1"/>
  <c r="O64" i="6"/>
  <c r="O130" s="1"/>
  <c r="O199" s="1"/>
  <c r="U44" i="22" s="1"/>
  <c r="O72" i="6"/>
  <c r="O138" s="1"/>
  <c r="O207" s="1"/>
  <c r="U52" i="22" s="1"/>
  <c r="O35" i="6"/>
  <c r="O101" s="1"/>
  <c r="O170" s="1"/>
  <c r="U15" i="22" s="1"/>
  <c r="O59" i="6"/>
  <c r="O125" s="1"/>
  <c r="O194" s="1"/>
  <c r="U39" i="22" s="1"/>
  <c r="O51" i="6"/>
  <c r="O117" s="1"/>
  <c r="O186" s="1"/>
  <c r="U31" i="22" s="1"/>
  <c r="O66" i="6"/>
  <c r="O132" s="1"/>
  <c r="O201" s="1"/>
  <c r="U46" i="22" s="1"/>
  <c r="O75" i="6"/>
  <c r="O141" s="1"/>
  <c r="O210" s="1"/>
  <c r="U55" i="22" s="1"/>
  <c r="O46" i="6"/>
  <c r="O112" s="1"/>
  <c r="O181" s="1"/>
  <c r="U26" i="22" s="1"/>
  <c r="O36" i="6"/>
  <c r="O102" s="1"/>
  <c r="O171" s="1"/>
  <c r="U16" i="22" s="1"/>
  <c r="O69" i="6"/>
  <c r="O135" s="1"/>
  <c r="O204" s="1"/>
  <c r="U49" i="22" s="1"/>
  <c r="O57" i="6"/>
  <c r="O123" s="1"/>
  <c r="O192" s="1"/>
  <c r="U37" i="22" s="1"/>
  <c r="O56" i="6"/>
  <c r="O122" s="1"/>
  <c r="O191" s="1"/>
  <c r="U36" i="22" s="1"/>
  <c r="O32" i="6"/>
  <c r="O98" s="1"/>
  <c r="O167" s="1"/>
  <c r="U12" i="22" s="1"/>
  <c r="O79" i="6"/>
  <c r="O145" s="1"/>
  <c r="O214" s="1"/>
  <c r="U59" i="22" s="1"/>
  <c r="O49" i="6"/>
  <c r="O115" s="1"/>
  <c r="O184" s="1"/>
  <c r="U29" i="22" s="1"/>
  <c r="O71" i="6"/>
  <c r="O137" s="1"/>
  <c r="O206" s="1"/>
  <c r="U51" i="22" s="1"/>
  <c r="O78" i="6"/>
  <c r="O144" s="1"/>
  <c r="O213" s="1"/>
  <c r="U58" i="22" s="1"/>
  <c r="O76" i="6"/>
  <c r="O142" s="1"/>
  <c r="O211" s="1"/>
  <c r="U56" i="22" s="1"/>
  <c r="O23" i="6"/>
  <c r="O42"/>
  <c r="O108" s="1"/>
  <c r="O177" s="1"/>
  <c r="U22" i="22" s="1"/>
  <c r="O40" i="6"/>
  <c r="O106" s="1"/>
  <c r="O175" s="1"/>
  <c r="U20" i="22" s="1"/>
  <c r="O44" i="6"/>
  <c r="O110" s="1"/>
  <c r="O179" s="1"/>
  <c r="U24" i="22" s="1"/>
  <c r="O53" i="6"/>
  <c r="O119" s="1"/>
  <c r="O188" s="1"/>
  <c r="U33" i="22" s="1"/>
  <c r="O70" i="6"/>
  <c r="O136" s="1"/>
  <c r="O205" s="1"/>
  <c r="U50" i="22" s="1"/>
  <c r="O28" i="6"/>
  <c r="O94" s="1"/>
  <c r="O163" s="1"/>
  <c r="U8" i="22" s="1"/>
  <c r="O63" i="6"/>
  <c r="O129" s="1"/>
  <c r="O198" s="1"/>
  <c r="U43" i="22" s="1"/>
  <c r="O43" i="6"/>
  <c r="O109" s="1"/>
  <c r="O178" s="1"/>
  <c r="U23" i="22" s="1"/>
  <c r="O31" i="6"/>
  <c r="O97" s="1"/>
  <c r="O166" s="1"/>
  <c r="U11" i="22" s="1"/>
  <c r="O77" i="6"/>
  <c r="O143" s="1"/>
  <c r="O212" s="1"/>
  <c r="U57" i="22" s="1"/>
  <c r="O25" i="6"/>
  <c r="O91" s="1"/>
  <c r="O160" s="1"/>
  <c r="U5" i="22" s="1"/>
  <c r="O65" i="6"/>
  <c r="O131" s="1"/>
  <c r="O200" s="1"/>
  <c r="U45" i="22" s="1"/>
  <c r="O41" i="6"/>
  <c r="O107" s="1"/>
  <c r="O176" s="1"/>
  <c r="U21" i="22" s="1"/>
  <c r="O80" i="6"/>
  <c r="O146" s="1"/>
  <c r="O215" s="1"/>
  <c r="U60" i="22" s="1"/>
  <c r="O39" i="6"/>
  <c r="O105" s="1"/>
  <c r="O174" s="1"/>
  <c r="U19" i="22" s="1"/>
  <c r="O26" i="6"/>
  <c r="O92" s="1"/>
  <c r="O161" s="1"/>
  <c r="U6" i="22" s="1"/>
  <c r="O50" i="6"/>
  <c r="O116" s="1"/>
  <c r="O185" s="1"/>
  <c r="U30" i="22" s="1"/>
  <c r="O34" i="6"/>
  <c r="O100" s="1"/>
  <c r="O169" s="1"/>
  <c r="U14" i="22" s="1"/>
  <c r="O30" i="6"/>
  <c r="O96" s="1"/>
  <c r="O165" s="1"/>
  <c r="U10" i="22" s="1"/>
  <c r="O54" i="6"/>
  <c r="O120" s="1"/>
  <c r="O189" s="1"/>
  <c r="U34" i="22" s="1"/>
  <c r="O24" i="6"/>
  <c r="O90" s="1"/>
  <c r="O159" s="1"/>
  <c r="U4" i="22" s="1"/>
  <c r="O33" i="6"/>
  <c r="O99" s="1"/>
  <c r="O168" s="1"/>
  <c r="U13" i="22" s="1"/>
  <c r="O68" i="6"/>
  <c r="O134" s="1"/>
  <c r="O203" s="1"/>
  <c r="U48" i="22" s="1"/>
  <c r="O27" i="6"/>
  <c r="O93" s="1"/>
  <c r="O162" s="1"/>
  <c r="U7" i="22" s="1"/>
  <c r="K18" i="6"/>
  <c r="K37"/>
  <c r="K103" s="1"/>
  <c r="K172" s="1"/>
  <c r="Q17" i="22" s="1"/>
  <c r="K51" i="6"/>
  <c r="K117" s="1"/>
  <c r="K186" s="1"/>
  <c r="Q31" i="22" s="1"/>
  <c r="K38" i="6"/>
  <c r="K104" s="1"/>
  <c r="K173" s="1"/>
  <c r="Q18" i="22" s="1"/>
  <c r="K74" i="6"/>
  <c r="K140" s="1"/>
  <c r="K209" s="1"/>
  <c r="Q54" i="22" s="1"/>
  <c r="K29" i="6"/>
  <c r="K95" s="1"/>
  <c r="K164" s="1"/>
  <c r="Q9" i="22" s="1"/>
  <c r="K61" i="6"/>
  <c r="K127" s="1"/>
  <c r="K196" s="1"/>
  <c r="Q41" i="22" s="1"/>
  <c r="K48" i="6"/>
  <c r="K114" s="1"/>
  <c r="K183" s="1"/>
  <c r="Q28" i="22" s="1"/>
  <c r="K55" i="6"/>
  <c r="K121" s="1"/>
  <c r="K190" s="1"/>
  <c r="Q35" i="22" s="1"/>
  <c r="K81" i="6"/>
  <c r="K147" s="1"/>
  <c r="K216" s="1"/>
  <c r="Q61" i="22" s="1"/>
  <c r="K75" i="6"/>
  <c r="K141" s="1"/>
  <c r="K210" s="1"/>
  <c r="Q55" i="22" s="1"/>
  <c r="K45" i="6"/>
  <c r="K111" s="1"/>
  <c r="K180" s="1"/>
  <c r="Q25" i="22" s="1"/>
  <c r="K72" i="6"/>
  <c r="K138" s="1"/>
  <c r="K207" s="1"/>
  <c r="Q52" i="22" s="1"/>
  <c r="K82" i="6"/>
  <c r="K148" s="1"/>
  <c r="K217" s="1"/>
  <c r="Q62" i="22" s="1"/>
  <c r="K58" i="6"/>
  <c r="K124" s="1"/>
  <c r="K193" s="1"/>
  <c r="Q38" i="22" s="1"/>
  <c r="K60" i="6"/>
  <c r="K126" s="1"/>
  <c r="K195" s="1"/>
  <c r="Q40" i="22" s="1"/>
  <c r="K35" i="6"/>
  <c r="K101" s="1"/>
  <c r="K170" s="1"/>
  <c r="Q15" i="22" s="1"/>
  <c r="K59" i="6"/>
  <c r="K125" s="1"/>
  <c r="K194" s="1"/>
  <c r="Q39" i="22" s="1"/>
  <c r="K66" i="6"/>
  <c r="K132" s="1"/>
  <c r="K201" s="1"/>
  <c r="Q46" i="22" s="1"/>
  <c r="K64" i="6"/>
  <c r="K130" s="1"/>
  <c r="K199" s="1"/>
  <c r="Q44" i="22" s="1"/>
  <c r="K73" i="6"/>
  <c r="K139" s="1"/>
  <c r="K208" s="1"/>
  <c r="Q53" i="22" s="1"/>
  <c r="K62" i="6"/>
  <c r="K128" s="1"/>
  <c r="K197" s="1"/>
  <c r="Q42" i="22" s="1"/>
  <c r="K52" i="6"/>
  <c r="K118" s="1"/>
  <c r="K187" s="1"/>
  <c r="Q32" i="22" s="1"/>
  <c r="K67" i="6"/>
  <c r="K133" s="1"/>
  <c r="K202" s="1"/>
  <c r="Q47" i="22" s="1"/>
  <c r="K47" i="6"/>
  <c r="K113" s="1"/>
  <c r="K182" s="1"/>
  <c r="Q27" i="22" s="1"/>
  <c r="K27" i="6"/>
  <c r="K93" s="1"/>
  <c r="K162" s="1"/>
  <c r="Q7" i="22" s="1"/>
  <c r="K70" i="6"/>
  <c r="K136" s="1"/>
  <c r="K205" s="1"/>
  <c r="Q50" i="22" s="1"/>
  <c r="K28" i="6"/>
  <c r="K94" s="1"/>
  <c r="K163" s="1"/>
  <c r="Q8" i="22" s="1"/>
  <c r="K63" i="6"/>
  <c r="K129" s="1"/>
  <c r="K198" s="1"/>
  <c r="Q43" i="22" s="1"/>
  <c r="K69" i="6"/>
  <c r="K135" s="1"/>
  <c r="K204" s="1"/>
  <c r="Q49" i="22" s="1"/>
  <c r="K80" i="6"/>
  <c r="K146" s="1"/>
  <c r="K215" s="1"/>
  <c r="Q60" i="22" s="1"/>
  <c r="K65" i="6"/>
  <c r="K131" s="1"/>
  <c r="K200" s="1"/>
  <c r="Q45" i="22" s="1"/>
  <c r="K57" i="6"/>
  <c r="K123" s="1"/>
  <c r="K192" s="1"/>
  <c r="Q37" i="22" s="1"/>
  <c r="K31" i="6"/>
  <c r="K97" s="1"/>
  <c r="K166" s="1"/>
  <c r="Q11" i="22" s="1"/>
  <c r="K34" i="6"/>
  <c r="K100" s="1"/>
  <c r="K169" s="1"/>
  <c r="Q14" i="22" s="1"/>
  <c r="K24" i="6"/>
  <c r="K90" s="1"/>
  <c r="K159" s="1"/>
  <c r="Q4" i="22" s="1"/>
  <c r="K42" i="6"/>
  <c r="K108" s="1"/>
  <c r="K177" s="1"/>
  <c r="Q22" i="22" s="1"/>
  <c r="K40" i="6"/>
  <c r="K106" s="1"/>
  <c r="K175" s="1"/>
  <c r="Q20" i="22" s="1"/>
  <c r="K78" i="6"/>
  <c r="K144" s="1"/>
  <c r="K213" s="1"/>
  <c r="Q58" i="22" s="1"/>
  <c r="K41" i="6"/>
  <c r="K107" s="1"/>
  <c r="K176" s="1"/>
  <c r="Q21" i="22" s="1"/>
  <c r="K53" i="6"/>
  <c r="K119" s="1"/>
  <c r="K188" s="1"/>
  <c r="Q33" i="22" s="1"/>
  <c r="K30" i="6"/>
  <c r="K96" s="1"/>
  <c r="K165" s="1"/>
  <c r="Q10" i="22" s="1"/>
  <c r="K54" i="6"/>
  <c r="K120" s="1"/>
  <c r="K189" s="1"/>
  <c r="Q34" i="22" s="1"/>
  <c r="K79" i="6"/>
  <c r="K145" s="1"/>
  <c r="K214" s="1"/>
  <c r="Q59" i="22" s="1"/>
  <c r="K33" i="6"/>
  <c r="K99" s="1"/>
  <c r="K168" s="1"/>
  <c r="Q13" i="22" s="1"/>
  <c r="K39" i="6"/>
  <c r="K105" s="1"/>
  <c r="K174" s="1"/>
  <c r="Q19" i="22" s="1"/>
  <c r="K68" i="6"/>
  <c r="K134" s="1"/>
  <c r="K203" s="1"/>
  <c r="Q48" i="22" s="1"/>
  <c r="K46" i="6"/>
  <c r="K112" s="1"/>
  <c r="K181" s="1"/>
  <c r="Q26" i="22" s="1"/>
  <c r="K23" i="6"/>
  <c r="K71"/>
  <c r="K137" s="1"/>
  <c r="K206" s="1"/>
  <c r="Q51" i="22" s="1"/>
  <c r="K36" i="6"/>
  <c r="K102" s="1"/>
  <c r="K171" s="1"/>
  <c r="Q16" i="22" s="1"/>
  <c r="K44" i="6"/>
  <c r="K110" s="1"/>
  <c r="K179" s="1"/>
  <c r="Q24" i="22" s="1"/>
  <c r="K26" i="6"/>
  <c r="K92" s="1"/>
  <c r="K161" s="1"/>
  <c r="Q6" i="22" s="1"/>
  <c r="K50" i="6"/>
  <c r="K116" s="1"/>
  <c r="K185" s="1"/>
  <c r="Q30" i="22" s="1"/>
  <c r="K77" i="6"/>
  <c r="K143" s="1"/>
  <c r="K212" s="1"/>
  <c r="Q57" i="22" s="1"/>
  <c r="K56" i="6"/>
  <c r="K122" s="1"/>
  <c r="K191" s="1"/>
  <c r="Q36" i="22" s="1"/>
  <c r="K32" i="6"/>
  <c r="K98" s="1"/>
  <c r="K167" s="1"/>
  <c r="Q12" i="22" s="1"/>
  <c r="K49" i="6"/>
  <c r="K115" s="1"/>
  <c r="K184" s="1"/>
  <c r="Q29" i="22" s="1"/>
  <c r="K76" i="6"/>
  <c r="K142" s="1"/>
  <c r="K211" s="1"/>
  <c r="Q56" i="22" s="1"/>
  <c r="K43" i="6"/>
  <c r="K109" s="1"/>
  <c r="K178" s="1"/>
  <c r="Q23" i="22" s="1"/>
  <c r="K25" i="6"/>
  <c r="K91" s="1"/>
  <c r="K160" s="1"/>
  <c r="Q5" i="22" s="1"/>
  <c r="U18" i="6"/>
  <c r="U52"/>
  <c r="U118" s="1"/>
  <c r="U187" s="1"/>
  <c r="AA32" i="22" s="1"/>
  <c r="U35" i="6"/>
  <c r="U101" s="1"/>
  <c r="U170" s="1"/>
  <c r="AA15" i="22" s="1"/>
  <c r="U59" i="6"/>
  <c r="U125" s="1"/>
  <c r="U194" s="1"/>
  <c r="AA39" i="22" s="1"/>
  <c r="U51" i="6"/>
  <c r="U117" s="1"/>
  <c r="U186" s="1"/>
  <c r="AA31" i="22" s="1"/>
  <c r="U48" i="6"/>
  <c r="U114" s="1"/>
  <c r="U183" s="1"/>
  <c r="AA28" i="22" s="1"/>
  <c r="U47" i="6"/>
  <c r="U113" s="1"/>
  <c r="U182" s="1"/>
  <c r="AA27" i="22" s="1"/>
  <c r="U62" i="6"/>
  <c r="U128" s="1"/>
  <c r="U197" s="1"/>
  <c r="AA42" i="22" s="1"/>
  <c r="U72" i="6"/>
  <c r="U138" s="1"/>
  <c r="U207" s="1"/>
  <c r="AA52" i="22" s="1"/>
  <c r="U82" i="6"/>
  <c r="U148" s="1"/>
  <c r="U217" s="1"/>
  <c r="AA62" i="22" s="1"/>
  <c r="U67" i="6"/>
  <c r="U133" s="1"/>
  <c r="U202" s="1"/>
  <c r="AA47" i="22" s="1"/>
  <c r="U66" i="6"/>
  <c r="U132" s="1"/>
  <c r="U201" s="1"/>
  <c r="AA46" i="22" s="1"/>
  <c r="U61" i="6"/>
  <c r="U127" s="1"/>
  <c r="U196" s="1"/>
  <c r="AA41" i="22" s="1"/>
  <c r="U81" i="6"/>
  <c r="U147" s="1"/>
  <c r="U216" s="1"/>
  <c r="AA61" i="22" s="1"/>
  <c r="U75" i="6"/>
  <c r="U141" s="1"/>
  <c r="U210" s="1"/>
  <c r="AA55" i="22" s="1"/>
  <c r="U64" i="6"/>
  <c r="U130" s="1"/>
  <c r="U199" s="1"/>
  <c r="AA44" i="22" s="1"/>
  <c r="U60" i="6"/>
  <c r="U126" s="1"/>
  <c r="U195" s="1"/>
  <c r="AA40" i="22" s="1"/>
  <c r="U55" i="6"/>
  <c r="U121" s="1"/>
  <c r="U190" s="1"/>
  <c r="AA35" i="22" s="1"/>
  <c r="U45" i="6"/>
  <c r="U111" s="1"/>
  <c r="U180" s="1"/>
  <c r="AA25" i="22" s="1"/>
  <c r="U37" i="6"/>
  <c r="U103" s="1"/>
  <c r="U172" s="1"/>
  <c r="AA17" i="22" s="1"/>
  <c r="U73" i="6"/>
  <c r="U139" s="1"/>
  <c r="U208" s="1"/>
  <c r="AA53" i="22" s="1"/>
  <c r="U38" i="6"/>
  <c r="U104" s="1"/>
  <c r="U173" s="1"/>
  <c r="AA18" i="22" s="1"/>
  <c r="U74" i="6"/>
  <c r="U140" s="1"/>
  <c r="U209" s="1"/>
  <c r="AA54" i="22" s="1"/>
  <c r="U29" i="6"/>
  <c r="U95" s="1"/>
  <c r="U164" s="1"/>
  <c r="AA9" i="22" s="1"/>
  <c r="U58" i="6"/>
  <c r="U124" s="1"/>
  <c r="U193" s="1"/>
  <c r="AA38" i="22" s="1"/>
  <c r="U23" i="6"/>
  <c r="U40"/>
  <c r="U106" s="1"/>
  <c r="U175" s="1"/>
  <c r="AA20" i="22" s="1"/>
  <c r="U78" i="6"/>
  <c r="U144" s="1"/>
  <c r="U213" s="1"/>
  <c r="AA58" i="22" s="1"/>
  <c r="U63" i="6"/>
  <c r="U129" s="1"/>
  <c r="U198" s="1"/>
  <c r="AA43" i="22" s="1"/>
  <c r="U26" i="6"/>
  <c r="U92" s="1"/>
  <c r="U161" s="1"/>
  <c r="AA6" i="22" s="1"/>
  <c r="U50" i="6"/>
  <c r="U116" s="1"/>
  <c r="U185" s="1"/>
  <c r="AA30" i="22" s="1"/>
  <c r="U34" i="6"/>
  <c r="U100" s="1"/>
  <c r="U169" s="1"/>
  <c r="AA14" i="22" s="1"/>
  <c r="U49" i="6"/>
  <c r="U115" s="1"/>
  <c r="U184" s="1"/>
  <c r="AA29" i="22" s="1"/>
  <c r="U41" i="6"/>
  <c r="U107" s="1"/>
  <c r="U176" s="1"/>
  <c r="AA21" i="22" s="1"/>
  <c r="U25" i="6"/>
  <c r="U91" s="1"/>
  <c r="U160" s="1"/>
  <c r="AA5" i="22" s="1"/>
  <c r="U43" i="6"/>
  <c r="U109" s="1"/>
  <c r="U178" s="1"/>
  <c r="AA23" i="22" s="1"/>
  <c r="U69" i="6"/>
  <c r="U135" s="1"/>
  <c r="U204" s="1"/>
  <c r="AA49" i="22" s="1"/>
  <c r="U39" i="6"/>
  <c r="U105" s="1"/>
  <c r="U174" s="1"/>
  <c r="AA19" i="22" s="1"/>
  <c r="U24" i="6"/>
  <c r="U90" s="1"/>
  <c r="U159" s="1"/>
  <c r="AA4" i="22" s="1"/>
  <c r="U32" i="6"/>
  <c r="U98" s="1"/>
  <c r="U167" s="1"/>
  <c r="AA12" i="22" s="1"/>
  <c r="U68" i="6"/>
  <c r="U134" s="1"/>
  <c r="U203" s="1"/>
  <c r="AA48" i="22" s="1"/>
  <c r="U46" i="6"/>
  <c r="U112" s="1"/>
  <c r="U181" s="1"/>
  <c r="AA26" i="22" s="1"/>
  <c r="U76" i="6"/>
  <c r="U142" s="1"/>
  <c r="U211" s="1"/>
  <c r="AA56" i="22" s="1"/>
  <c r="U42" i="6"/>
  <c r="U108" s="1"/>
  <c r="U177" s="1"/>
  <c r="AA22" i="22" s="1"/>
  <c r="U71" i="6"/>
  <c r="U137" s="1"/>
  <c r="U206" s="1"/>
  <c r="AA51" i="22" s="1"/>
  <c r="U27" i="6"/>
  <c r="U93" s="1"/>
  <c r="U162" s="1"/>
  <c r="AA7" i="22" s="1"/>
  <c r="U36" i="6"/>
  <c r="U102" s="1"/>
  <c r="U171" s="1"/>
  <c r="AA16" i="22" s="1"/>
  <c r="U53" i="6"/>
  <c r="U119" s="1"/>
  <c r="U188" s="1"/>
  <c r="AA33" i="22" s="1"/>
  <c r="U70" i="6"/>
  <c r="U136" s="1"/>
  <c r="U205" s="1"/>
  <c r="AA50" i="22" s="1"/>
  <c r="U80" i="6"/>
  <c r="U146" s="1"/>
  <c r="U215" s="1"/>
  <c r="AA60" i="22" s="1"/>
  <c r="U65" i="6"/>
  <c r="U131" s="1"/>
  <c r="U200" s="1"/>
  <c r="AA45" i="22" s="1"/>
  <c r="U57" i="6"/>
  <c r="U123" s="1"/>
  <c r="U192" s="1"/>
  <c r="AA37" i="22" s="1"/>
  <c r="U77" i="6"/>
  <c r="U143" s="1"/>
  <c r="U212" s="1"/>
  <c r="AA57" i="22" s="1"/>
  <c r="U56" i="6"/>
  <c r="U122" s="1"/>
  <c r="U191" s="1"/>
  <c r="AA36" i="22" s="1"/>
  <c r="U54" i="6"/>
  <c r="U120" s="1"/>
  <c r="U189" s="1"/>
  <c r="AA34" i="22" s="1"/>
  <c r="U79" i="6"/>
  <c r="U145" s="1"/>
  <c r="U214" s="1"/>
  <c r="AA59" i="22" s="1"/>
  <c r="U33" i="6"/>
  <c r="U99" s="1"/>
  <c r="U168" s="1"/>
  <c r="AA13" i="22" s="1"/>
  <c r="U44" i="6"/>
  <c r="U110" s="1"/>
  <c r="U179" s="1"/>
  <c r="AA24" i="22" s="1"/>
  <c r="U30" i="6"/>
  <c r="U96" s="1"/>
  <c r="U165" s="1"/>
  <c r="AA10" i="22" s="1"/>
  <c r="U28" i="6"/>
  <c r="U94" s="1"/>
  <c r="U163" s="1"/>
  <c r="AA8" i="22" s="1"/>
  <c r="U31" i="6"/>
  <c r="U97" s="1"/>
  <c r="U166" s="1"/>
  <c r="AA11" i="22" s="1"/>
  <c r="R18" i="6"/>
  <c r="R73"/>
  <c r="R139" s="1"/>
  <c r="R208" s="1"/>
  <c r="X53" i="22" s="1"/>
  <c r="R62" i="6"/>
  <c r="R128" s="1"/>
  <c r="R197" s="1"/>
  <c r="X42" i="22" s="1"/>
  <c r="R72" i="6"/>
  <c r="R138" s="1"/>
  <c r="R207" s="1"/>
  <c r="X52" i="22" s="1"/>
  <c r="R35" i="6"/>
  <c r="R101" s="1"/>
  <c r="R170" s="1"/>
  <c r="X15" i="22" s="1"/>
  <c r="R67" i="6"/>
  <c r="R133" s="1"/>
  <c r="R202" s="1"/>
  <c r="X47" i="22" s="1"/>
  <c r="R66" i="6"/>
  <c r="R132" s="1"/>
  <c r="R201" s="1"/>
  <c r="X46" i="22" s="1"/>
  <c r="R45" i="6"/>
  <c r="R111" s="1"/>
  <c r="R180" s="1"/>
  <c r="X25" i="22" s="1"/>
  <c r="R82" i="6"/>
  <c r="R148" s="1"/>
  <c r="R217" s="1"/>
  <c r="X62" i="22" s="1"/>
  <c r="R74" i="6"/>
  <c r="R140" s="1"/>
  <c r="R209" s="1"/>
  <c r="X54" i="22" s="1"/>
  <c r="R75" i="6"/>
  <c r="R141" s="1"/>
  <c r="R210" s="1"/>
  <c r="X55" i="22" s="1"/>
  <c r="R64" i="6"/>
  <c r="R130" s="1"/>
  <c r="R199" s="1"/>
  <c r="X44" i="22" s="1"/>
  <c r="R51" i="6"/>
  <c r="R117" s="1"/>
  <c r="R186" s="1"/>
  <c r="X31" i="22" s="1"/>
  <c r="R38" i="6"/>
  <c r="R104" s="1"/>
  <c r="R173" s="1"/>
  <c r="X18" i="22" s="1"/>
  <c r="R29" i="6"/>
  <c r="R95" s="1"/>
  <c r="R164" s="1"/>
  <c r="X9" i="22" s="1"/>
  <c r="R61" i="6"/>
  <c r="R127" s="1"/>
  <c r="R196" s="1"/>
  <c r="X41" i="22" s="1"/>
  <c r="R58" i="6"/>
  <c r="R124" s="1"/>
  <c r="R193" s="1"/>
  <c r="X38" i="22" s="1"/>
  <c r="R55" i="6"/>
  <c r="R121" s="1"/>
  <c r="R190" s="1"/>
  <c r="X35" i="22" s="1"/>
  <c r="R47" i="6"/>
  <c r="R113" s="1"/>
  <c r="R182" s="1"/>
  <c r="X27" i="22" s="1"/>
  <c r="R37" i="6"/>
  <c r="R103" s="1"/>
  <c r="R172" s="1"/>
  <c r="X17" i="22" s="1"/>
  <c r="R52" i="6"/>
  <c r="R118" s="1"/>
  <c r="R187" s="1"/>
  <c r="X32" i="22" s="1"/>
  <c r="R60" i="6"/>
  <c r="R126" s="1"/>
  <c r="R195" s="1"/>
  <c r="X40" i="22" s="1"/>
  <c r="R59" i="6"/>
  <c r="R125" s="1"/>
  <c r="R194" s="1"/>
  <c r="X39" i="22" s="1"/>
  <c r="R48" i="6"/>
  <c r="R114" s="1"/>
  <c r="R183" s="1"/>
  <c r="X28" i="22" s="1"/>
  <c r="R81" i="6"/>
  <c r="R147" s="1"/>
  <c r="R216" s="1"/>
  <c r="X61" i="22" s="1"/>
  <c r="R42" i="6"/>
  <c r="R108" s="1"/>
  <c r="R177" s="1"/>
  <c r="X22" i="22" s="1"/>
  <c r="R36" i="6"/>
  <c r="R102" s="1"/>
  <c r="R171" s="1"/>
  <c r="X16" i="22" s="1"/>
  <c r="R78" i="6"/>
  <c r="R144" s="1"/>
  <c r="R213" s="1"/>
  <c r="X58" i="22" s="1"/>
  <c r="R25" i="6"/>
  <c r="R91" s="1"/>
  <c r="R160" s="1"/>
  <c r="X5" i="22" s="1"/>
  <c r="R70" i="6"/>
  <c r="R136" s="1"/>
  <c r="R205" s="1"/>
  <c r="X50" i="22" s="1"/>
  <c r="R63" i="6"/>
  <c r="R129" s="1"/>
  <c r="R198" s="1"/>
  <c r="X43" i="22" s="1"/>
  <c r="R65" i="6"/>
  <c r="R131" s="1"/>
  <c r="R200" s="1"/>
  <c r="X45" i="22" s="1"/>
  <c r="R77" i="6"/>
  <c r="R143" s="1"/>
  <c r="R212" s="1"/>
  <c r="X57" i="22" s="1"/>
  <c r="R54" i="6"/>
  <c r="R120" s="1"/>
  <c r="R189" s="1"/>
  <c r="X34" i="22" s="1"/>
  <c r="R79" i="6"/>
  <c r="R145" s="1"/>
  <c r="R214" s="1"/>
  <c r="X59" i="22" s="1"/>
  <c r="R46" i="6"/>
  <c r="R112" s="1"/>
  <c r="R181" s="1"/>
  <c r="X26" i="22" s="1"/>
  <c r="R71" i="6"/>
  <c r="R137" s="1"/>
  <c r="R206" s="1"/>
  <c r="X51" i="22" s="1"/>
  <c r="R53" i="6"/>
  <c r="R119" s="1"/>
  <c r="R188" s="1"/>
  <c r="X33" i="22" s="1"/>
  <c r="R69" i="6"/>
  <c r="R135" s="1"/>
  <c r="R204" s="1"/>
  <c r="X49" i="22" s="1"/>
  <c r="R80" i="6"/>
  <c r="R146" s="1"/>
  <c r="R215" s="1"/>
  <c r="X60" i="22" s="1"/>
  <c r="R57" i="6"/>
  <c r="R123" s="1"/>
  <c r="R192" s="1"/>
  <c r="X37" i="22" s="1"/>
  <c r="R34" i="6"/>
  <c r="R100" s="1"/>
  <c r="R169" s="1"/>
  <c r="X14" i="22" s="1"/>
  <c r="R32" i="6"/>
  <c r="R98" s="1"/>
  <c r="R167" s="1"/>
  <c r="X12" i="22" s="1"/>
  <c r="R30" i="6"/>
  <c r="R96" s="1"/>
  <c r="R165" s="1"/>
  <c r="X10" i="22" s="1"/>
  <c r="R24" i="6"/>
  <c r="R90" s="1"/>
  <c r="R159" s="1"/>
  <c r="X4" i="22" s="1"/>
  <c r="R49" i="6"/>
  <c r="R115" s="1"/>
  <c r="R184" s="1"/>
  <c r="X29" i="22" s="1"/>
  <c r="R27" i="6"/>
  <c r="R93" s="1"/>
  <c r="R162" s="1"/>
  <c r="X7" i="22" s="1"/>
  <c r="R41" i="6"/>
  <c r="R107" s="1"/>
  <c r="R176" s="1"/>
  <c r="X21" i="22" s="1"/>
  <c r="R33" i="6"/>
  <c r="R99" s="1"/>
  <c r="R168" s="1"/>
  <c r="X13" i="22" s="1"/>
  <c r="R76" i="6"/>
  <c r="R142" s="1"/>
  <c r="R211" s="1"/>
  <c r="X56" i="22" s="1"/>
  <c r="R44" i="6"/>
  <c r="R110" s="1"/>
  <c r="R179" s="1"/>
  <c r="X24" i="22" s="1"/>
  <c r="R28" i="6"/>
  <c r="R94" s="1"/>
  <c r="R163" s="1"/>
  <c r="X8" i="22" s="1"/>
  <c r="R43" i="6"/>
  <c r="R109" s="1"/>
  <c r="R178" s="1"/>
  <c r="X23" i="22" s="1"/>
  <c r="R26" i="6"/>
  <c r="R92" s="1"/>
  <c r="R161" s="1"/>
  <c r="X6" i="22" s="1"/>
  <c r="R31" i="6"/>
  <c r="R97" s="1"/>
  <c r="R166" s="1"/>
  <c r="X11" i="22" s="1"/>
  <c r="R23" i="6"/>
  <c r="R40"/>
  <c r="R106" s="1"/>
  <c r="R175" s="1"/>
  <c r="X20" i="22" s="1"/>
  <c r="R50" i="6"/>
  <c r="R116" s="1"/>
  <c r="R185" s="1"/>
  <c r="X30" i="22" s="1"/>
  <c r="R56" i="6"/>
  <c r="R122" s="1"/>
  <c r="R191" s="1"/>
  <c r="X36" i="22" s="1"/>
  <c r="R68" i="6"/>
  <c r="R134" s="1"/>
  <c r="R203" s="1"/>
  <c r="X48" i="22" s="1"/>
  <c r="R39" i="6"/>
  <c r="R105" s="1"/>
  <c r="R174" s="1"/>
  <c r="X19" i="22" s="1"/>
  <c r="L18" i="6"/>
  <c r="L73"/>
  <c r="L139" s="1"/>
  <c r="L208" s="1"/>
  <c r="R53" i="22" s="1"/>
  <c r="L58" i="6"/>
  <c r="L124" s="1"/>
  <c r="L193" s="1"/>
  <c r="R38" i="22" s="1"/>
  <c r="L62" i="6"/>
  <c r="L128" s="1"/>
  <c r="L197" s="1"/>
  <c r="R42" i="22" s="1"/>
  <c r="L52" i="6"/>
  <c r="L118" s="1"/>
  <c r="L187" s="1"/>
  <c r="R32" i="22" s="1"/>
  <c r="L35" i="6"/>
  <c r="L101" s="1"/>
  <c r="L170" s="1"/>
  <c r="R15" i="22" s="1"/>
  <c r="L82" i="6"/>
  <c r="L148" s="1"/>
  <c r="L217" s="1"/>
  <c r="R62" i="22" s="1"/>
  <c r="L59" i="6"/>
  <c r="L125" s="1"/>
  <c r="L194" s="1"/>
  <c r="R39" i="22" s="1"/>
  <c r="L29" i="6"/>
  <c r="L95" s="1"/>
  <c r="L164" s="1"/>
  <c r="R9" i="22" s="1"/>
  <c r="L81" i="6"/>
  <c r="L147" s="1"/>
  <c r="L216" s="1"/>
  <c r="R61" i="22" s="1"/>
  <c r="L47" i="6"/>
  <c r="L113" s="1"/>
  <c r="L182" s="1"/>
  <c r="R27" i="22" s="1"/>
  <c r="L64" i="6"/>
  <c r="L130" s="1"/>
  <c r="L199" s="1"/>
  <c r="R44" i="22" s="1"/>
  <c r="L51" i="6"/>
  <c r="L117" s="1"/>
  <c r="L186" s="1"/>
  <c r="R31" i="22" s="1"/>
  <c r="L61" i="6"/>
  <c r="L127" s="1"/>
  <c r="L196" s="1"/>
  <c r="R41" i="22" s="1"/>
  <c r="L75" i="6"/>
  <c r="L141" s="1"/>
  <c r="L210" s="1"/>
  <c r="R55" i="22" s="1"/>
  <c r="L45" i="6"/>
  <c r="L111" s="1"/>
  <c r="L180" s="1"/>
  <c r="R25" i="22" s="1"/>
  <c r="L37" i="6"/>
  <c r="L103" s="1"/>
  <c r="L172" s="1"/>
  <c r="R17" i="22" s="1"/>
  <c r="L60" i="6"/>
  <c r="L126" s="1"/>
  <c r="L195" s="1"/>
  <c r="R40" i="22" s="1"/>
  <c r="L72" i="6"/>
  <c r="L138" s="1"/>
  <c r="L207" s="1"/>
  <c r="R52" i="22" s="1"/>
  <c r="L67" i="6"/>
  <c r="L133" s="1"/>
  <c r="L202" s="1"/>
  <c r="R47" i="22" s="1"/>
  <c r="L38" i="6"/>
  <c r="L104" s="1"/>
  <c r="L173" s="1"/>
  <c r="R18" i="22" s="1"/>
  <c r="L74" i="6"/>
  <c r="L140" s="1"/>
  <c r="L209" s="1"/>
  <c r="R54" i="22" s="1"/>
  <c r="L66" i="6"/>
  <c r="L132" s="1"/>
  <c r="L201" s="1"/>
  <c r="R46" i="22" s="1"/>
  <c r="L48" i="6"/>
  <c r="L114" s="1"/>
  <c r="L183" s="1"/>
  <c r="R28" i="22" s="1"/>
  <c r="L55" i="6"/>
  <c r="L121" s="1"/>
  <c r="L190" s="1"/>
  <c r="R35" i="22" s="1"/>
  <c r="L76" i="6"/>
  <c r="L142" s="1"/>
  <c r="L211" s="1"/>
  <c r="R56" i="22" s="1"/>
  <c r="L23" i="6"/>
  <c r="L71"/>
  <c r="L137" s="1"/>
  <c r="L206" s="1"/>
  <c r="R51" i="22" s="1"/>
  <c r="L41" i="6"/>
  <c r="L107" s="1"/>
  <c r="L176" s="1"/>
  <c r="R21" i="22" s="1"/>
  <c r="L53" i="6"/>
  <c r="L119" s="1"/>
  <c r="L188" s="1"/>
  <c r="R33" i="22" s="1"/>
  <c r="L28" i="6"/>
  <c r="L94" s="1"/>
  <c r="L163" s="1"/>
  <c r="R8" i="22" s="1"/>
  <c r="L43" i="6"/>
  <c r="L109" s="1"/>
  <c r="L178" s="1"/>
  <c r="R23" i="22" s="1"/>
  <c r="L80" i="6"/>
  <c r="L146" s="1"/>
  <c r="L215" s="1"/>
  <c r="R60" i="22" s="1"/>
  <c r="L57" i="6"/>
  <c r="L123" s="1"/>
  <c r="L192" s="1"/>
  <c r="R37" i="22" s="1"/>
  <c r="L77" i="6"/>
  <c r="L143" s="1"/>
  <c r="L212" s="1"/>
  <c r="R57" i="22" s="1"/>
  <c r="L54" i="6"/>
  <c r="L120" s="1"/>
  <c r="L189" s="1"/>
  <c r="R34" i="22" s="1"/>
  <c r="L24" i="6"/>
  <c r="L90" s="1"/>
  <c r="L159" s="1"/>
  <c r="R4" i="22" s="1"/>
  <c r="L34" i="6"/>
  <c r="L100" s="1"/>
  <c r="L169" s="1"/>
  <c r="R14" i="22" s="1"/>
  <c r="L79" i="6"/>
  <c r="L145" s="1"/>
  <c r="L214" s="1"/>
  <c r="R59" i="22" s="1"/>
  <c r="L46" i="6"/>
  <c r="L112" s="1"/>
  <c r="L181" s="1"/>
  <c r="R26" i="22" s="1"/>
  <c r="L27" i="6"/>
  <c r="L93" s="1"/>
  <c r="L162" s="1"/>
  <c r="R7" i="22" s="1"/>
  <c r="L36" i="6"/>
  <c r="L102" s="1"/>
  <c r="L171" s="1"/>
  <c r="R16" i="22" s="1"/>
  <c r="L25" i="6"/>
  <c r="L91" s="1"/>
  <c r="L160" s="1"/>
  <c r="R5" i="22" s="1"/>
  <c r="L26" i="6"/>
  <c r="L92" s="1"/>
  <c r="L161" s="1"/>
  <c r="R6" i="22" s="1"/>
  <c r="L56" i="6"/>
  <c r="L122" s="1"/>
  <c r="L191" s="1"/>
  <c r="R36" i="22" s="1"/>
  <c r="L30" i="6"/>
  <c r="L96" s="1"/>
  <c r="L165" s="1"/>
  <c r="R10" i="22" s="1"/>
  <c r="L49" i="6"/>
  <c r="L115" s="1"/>
  <c r="L184" s="1"/>
  <c r="R29" i="22" s="1"/>
  <c r="L33" i="6"/>
  <c r="L99" s="1"/>
  <c r="L168" s="1"/>
  <c r="R13" i="22" s="1"/>
  <c r="L40" i="6"/>
  <c r="L106" s="1"/>
  <c r="L175" s="1"/>
  <c r="R20" i="22" s="1"/>
  <c r="L69" i="6"/>
  <c r="L135" s="1"/>
  <c r="L204" s="1"/>
  <c r="R49" i="22" s="1"/>
  <c r="L50" i="6"/>
  <c r="L116" s="1"/>
  <c r="L185" s="1"/>
  <c r="R30" i="22" s="1"/>
  <c r="L68" i="6"/>
  <c r="L134" s="1"/>
  <c r="L203" s="1"/>
  <c r="R48" i="22" s="1"/>
  <c r="L42" i="6"/>
  <c r="L108" s="1"/>
  <c r="L177" s="1"/>
  <c r="R22" i="22" s="1"/>
  <c r="L78" i="6"/>
  <c r="L144" s="1"/>
  <c r="L213" s="1"/>
  <c r="R58" i="22" s="1"/>
  <c r="L44" i="6"/>
  <c r="L110" s="1"/>
  <c r="L179" s="1"/>
  <c r="R24" i="22" s="1"/>
  <c r="L70" i="6"/>
  <c r="L136" s="1"/>
  <c r="L205" s="1"/>
  <c r="R50" i="22" s="1"/>
  <c r="L63" i="6"/>
  <c r="L129" s="1"/>
  <c r="L198" s="1"/>
  <c r="R43" i="22" s="1"/>
  <c r="L39" i="6"/>
  <c r="L105" s="1"/>
  <c r="L174" s="1"/>
  <c r="R19" i="22" s="1"/>
  <c r="L65" i="6"/>
  <c r="L131" s="1"/>
  <c r="L200" s="1"/>
  <c r="R45" i="22" s="1"/>
  <c r="L31" i="6"/>
  <c r="L97" s="1"/>
  <c r="L166" s="1"/>
  <c r="R11" i="22" s="1"/>
  <c r="L32" i="6"/>
  <c r="L98" s="1"/>
  <c r="L167" s="1"/>
  <c r="R12" i="22" s="1"/>
  <c r="X18" i="6"/>
  <c r="X64"/>
  <c r="X52"/>
  <c r="X60"/>
  <c r="X82"/>
  <c r="X59"/>
  <c r="X67"/>
  <c r="X58"/>
  <c r="X55"/>
  <c r="X47"/>
  <c r="X45"/>
  <c r="X37"/>
  <c r="X72"/>
  <c r="X35"/>
  <c r="X51"/>
  <c r="X66"/>
  <c r="X81"/>
  <c r="X75"/>
  <c r="X73"/>
  <c r="X62"/>
  <c r="X38"/>
  <c r="X74"/>
  <c r="X29"/>
  <c r="X61"/>
  <c r="X48"/>
  <c r="X71"/>
  <c r="X27"/>
  <c r="X70"/>
  <c r="X56"/>
  <c r="X34"/>
  <c r="X41"/>
  <c r="X57"/>
  <c r="X25"/>
  <c r="X69"/>
  <c r="X39"/>
  <c r="X26"/>
  <c r="X65"/>
  <c r="X50"/>
  <c r="X54"/>
  <c r="X79"/>
  <c r="X24"/>
  <c r="X33"/>
  <c r="X46"/>
  <c r="X76"/>
  <c r="X23"/>
  <c r="X42"/>
  <c r="X36"/>
  <c r="X78"/>
  <c r="X53"/>
  <c r="X80"/>
  <c r="X31"/>
  <c r="X30"/>
  <c r="X49"/>
  <c r="X28"/>
  <c r="X43"/>
  <c r="X77"/>
  <c r="X68"/>
  <c r="X40"/>
  <c r="X44"/>
  <c r="X63"/>
  <c r="X32"/>
  <c r="T18"/>
  <c r="T64"/>
  <c r="T130" s="1"/>
  <c r="T199" s="1"/>
  <c r="Z44" i="22" s="1"/>
  <c r="T60" i="6"/>
  <c r="T126" s="1"/>
  <c r="T195" s="1"/>
  <c r="Z40" i="22" s="1"/>
  <c r="T72" i="6"/>
  <c r="T138" s="1"/>
  <c r="T207" s="1"/>
  <c r="Z52" i="22" s="1"/>
  <c r="T38" i="6"/>
  <c r="T104" s="1"/>
  <c r="T173" s="1"/>
  <c r="Z18" i="22" s="1"/>
  <c r="T74" i="6"/>
  <c r="T140" s="1"/>
  <c r="T209" s="1"/>
  <c r="Z54" i="22" s="1"/>
  <c r="T66" i="6"/>
  <c r="T132" s="1"/>
  <c r="T201" s="1"/>
  <c r="Z46" i="22" s="1"/>
  <c r="T81" i="6"/>
  <c r="T147" s="1"/>
  <c r="T216" s="1"/>
  <c r="Z61" i="22" s="1"/>
  <c r="T37" i="6"/>
  <c r="T103" s="1"/>
  <c r="T172" s="1"/>
  <c r="Z17" i="22" s="1"/>
  <c r="T35" i="6"/>
  <c r="T101" s="1"/>
  <c r="T170" s="1"/>
  <c r="Z15" i="22" s="1"/>
  <c r="T59" i="6"/>
  <c r="T125" s="1"/>
  <c r="T194" s="1"/>
  <c r="Z39" i="22" s="1"/>
  <c r="T48" i="6"/>
  <c r="T114" s="1"/>
  <c r="T183" s="1"/>
  <c r="Z28" i="22" s="1"/>
  <c r="T47" i="6"/>
  <c r="T113" s="1"/>
  <c r="T182" s="1"/>
  <c r="Z27" i="22" s="1"/>
  <c r="T75" i="6"/>
  <c r="T141" s="1"/>
  <c r="T210" s="1"/>
  <c r="Z55" i="22" s="1"/>
  <c r="T73" i="6"/>
  <c r="T139" s="1"/>
  <c r="T208" s="1"/>
  <c r="Z53" i="22" s="1"/>
  <c r="T67" i="6"/>
  <c r="T133" s="1"/>
  <c r="T202" s="1"/>
  <c r="Z47" i="22" s="1"/>
  <c r="T61" i="6"/>
  <c r="T127" s="1"/>
  <c r="T196" s="1"/>
  <c r="Z41" i="22" s="1"/>
  <c r="T58" i="6"/>
  <c r="T124" s="1"/>
  <c r="T193" s="1"/>
  <c r="Z38" i="22" s="1"/>
  <c r="T45" i="6"/>
  <c r="T111" s="1"/>
  <c r="T180" s="1"/>
  <c r="Z25" i="22" s="1"/>
  <c r="T62" i="6"/>
  <c r="T128" s="1"/>
  <c r="T197" s="1"/>
  <c r="Z42" i="22" s="1"/>
  <c r="T52" i="6"/>
  <c r="T118" s="1"/>
  <c r="T187" s="1"/>
  <c r="Z32" i="22" s="1"/>
  <c r="T82" i="6"/>
  <c r="T148" s="1"/>
  <c r="T217" s="1"/>
  <c r="Z62" i="22" s="1"/>
  <c r="T51" i="6"/>
  <c r="T117" s="1"/>
  <c r="T186" s="1"/>
  <c r="Z31" i="22" s="1"/>
  <c r="T29" i="6"/>
  <c r="T95" s="1"/>
  <c r="T164" s="1"/>
  <c r="Z9" i="22" s="1"/>
  <c r="T55" i="6"/>
  <c r="T121" s="1"/>
  <c r="T190" s="1"/>
  <c r="Z35" i="22" s="1"/>
  <c r="T70" i="6"/>
  <c r="T136" s="1"/>
  <c r="T205" s="1"/>
  <c r="Z50" i="22" s="1"/>
  <c r="T80" i="6"/>
  <c r="T146" s="1"/>
  <c r="T215" s="1"/>
  <c r="Z60" i="22" s="1"/>
  <c r="T39" i="6"/>
  <c r="T105" s="1"/>
  <c r="T174" s="1"/>
  <c r="Z19" i="22" s="1"/>
  <c r="T65" i="6"/>
  <c r="T131" s="1"/>
  <c r="T200" s="1"/>
  <c r="Z45" i="22" s="1"/>
  <c r="T31" i="6"/>
  <c r="T97" s="1"/>
  <c r="T166" s="1"/>
  <c r="Z11" i="22" s="1"/>
  <c r="T54" i="6"/>
  <c r="T120" s="1"/>
  <c r="T189" s="1"/>
  <c r="Z34" i="22" s="1"/>
  <c r="T50" i="6"/>
  <c r="T116" s="1"/>
  <c r="T185" s="1"/>
  <c r="Z30" i="22" s="1"/>
  <c r="T33" i="6"/>
  <c r="T99" s="1"/>
  <c r="T168" s="1"/>
  <c r="Z13" i="22" s="1"/>
  <c r="T68" i="6"/>
  <c r="T134" s="1"/>
  <c r="T203" s="1"/>
  <c r="Z48" i="22" s="1"/>
  <c r="T46" i="6"/>
  <c r="T112" s="1"/>
  <c r="T181" s="1"/>
  <c r="Z26" i="22" s="1"/>
  <c r="T40" i="6"/>
  <c r="T106" s="1"/>
  <c r="T175" s="1"/>
  <c r="Z20" i="22" s="1"/>
  <c r="T44" i="6"/>
  <c r="T110" s="1"/>
  <c r="T179" s="1"/>
  <c r="Z24" i="22" s="1"/>
  <c r="T53" i="6"/>
  <c r="T119" s="1"/>
  <c r="T188" s="1"/>
  <c r="Z33" i="22" s="1"/>
  <c r="T28" i="6"/>
  <c r="T94" s="1"/>
  <c r="T163" s="1"/>
  <c r="Z8" i="22" s="1"/>
  <c r="T63" i="6"/>
  <c r="T129" s="1"/>
  <c r="T198" s="1"/>
  <c r="Z43" i="22" s="1"/>
  <c r="T32" i="6"/>
  <c r="T98" s="1"/>
  <c r="T167" s="1"/>
  <c r="Z12" i="22" s="1"/>
  <c r="T30" i="6"/>
  <c r="T96" s="1"/>
  <c r="T165" s="1"/>
  <c r="Z10" i="22" s="1"/>
  <c r="T78" i="6"/>
  <c r="T144" s="1"/>
  <c r="T213" s="1"/>
  <c r="Z58" i="22" s="1"/>
  <c r="T77" i="6"/>
  <c r="T143" s="1"/>
  <c r="T212" s="1"/>
  <c r="Z57" i="22" s="1"/>
  <c r="T79" i="6"/>
  <c r="T145" s="1"/>
  <c r="T214" s="1"/>
  <c r="Z59" i="22" s="1"/>
  <c r="T42" i="6"/>
  <c r="T108" s="1"/>
  <c r="T177" s="1"/>
  <c r="Z22" i="22" s="1"/>
  <c r="T71" i="6"/>
  <c r="T137" s="1"/>
  <c r="T206" s="1"/>
  <c r="Z51" i="22" s="1"/>
  <c r="T69" i="6"/>
  <c r="T135" s="1"/>
  <c r="T204" s="1"/>
  <c r="Z49" i="22" s="1"/>
  <c r="T57" i="6"/>
  <c r="T123" s="1"/>
  <c r="T192" s="1"/>
  <c r="Z37" i="22" s="1"/>
  <c r="T56" i="6"/>
  <c r="T122" s="1"/>
  <c r="T191" s="1"/>
  <c r="Z36" i="22" s="1"/>
  <c r="T34" i="6"/>
  <c r="T100" s="1"/>
  <c r="T169" s="1"/>
  <c r="Z14" i="22" s="1"/>
  <c r="T49" i="6"/>
  <c r="T115" s="1"/>
  <c r="T184" s="1"/>
  <c r="Z29" i="22" s="1"/>
  <c r="T76" i="6"/>
  <c r="T142" s="1"/>
  <c r="T211" s="1"/>
  <c r="Z56" i="22" s="1"/>
  <c r="T27" i="6"/>
  <c r="T93" s="1"/>
  <c r="T162" s="1"/>
  <c r="Z7" i="22" s="1"/>
  <c r="T41" i="6"/>
  <c r="T107" s="1"/>
  <c r="T176" s="1"/>
  <c r="Z21" i="22" s="1"/>
  <c r="T25" i="6"/>
  <c r="T91" s="1"/>
  <c r="T160" s="1"/>
  <c r="Z5" i="22" s="1"/>
  <c r="T23" i="6"/>
  <c r="T36"/>
  <c r="T102" s="1"/>
  <c r="T171" s="1"/>
  <c r="Z16" i="22" s="1"/>
  <c r="T43" i="6"/>
  <c r="T109" s="1"/>
  <c r="T178" s="1"/>
  <c r="Z23" i="22" s="1"/>
  <c r="T26" i="6"/>
  <c r="T92" s="1"/>
  <c r="T161" s="1"/>
  <c r="Z6" i="22" s="1"/>
  <c r="T24" i="6"/>
  <c r="T90" s="1"/>
  <c r="T159" s="1"/>
  <c r="Z4" i="22" s="1"/>
  <c r="F18" i="6"/>
  <c r="F35"/>
  <c r="F101" s="1"/>
  <c r="F170" s="1"/>
  <c r="L15" i="22" s="1"/>
  <c r="F82" i="6"/>
  <c r="F148" s="1"/>
  <c r="F217" s="1"/>
  <c r="L62" i="22" s="1"/>
  <c r="F51" i="6"/>
  <c r="F117" s="1"/>
  <c r="F186" s="1"/>
  <c r="L31" i="22" s="1"/>
  <c r="F45" i="6"/>
  <c r="F111" s="1"/>
  <c r="F180" s="1"/>
  <c r="L25" i="22" s="1"/>
  <c r="F48" i="6"/>
  <c r="F114" s="1"/>
  <c r="F183" s="1"/>
  <c r="L28" i="22" s="1"/>
  <c r="F55" i="6"/>
  <c r="F121" s="1"/>
  <c r="F190" s="1"/>
  <c r="L35" i="22" s="1"/>
  <c r="F64" i="6"/>
  <c r="F130" s="1"/>
  <c r="F199" s="1"/>
  <c r="L44" i="22" s="1"/>
  <c r="F62" i="6"/>
  <c r="F128" s="1"/>
  <c r="F197" s="1"/>
  <c r="L42" i="22" s="1"/>
  <c r="F52" i="6"/>
  <c r="F118" s="1"/>
  <c r="F187" s="1"/>
  <c r="L32" i="22" s="1"/>
  <c r="F67" i="6"/>
  <c r="F133" s="1"/>
  <c r="F202" s="1"/>
  <c r="L47" i="22" s="1"/>
  <c r="F74" i="6"/>
  <c r="F140" s="1"/>
  <c r="F209" s="1"/>
  <c r="L54" i="22" s="1"/>
  <c r="F29" i="6"/>
  <c r="F95" s="1"/>
  <c r="F164" s="1"/>
  <c r="L9" i="22" s="1"/>
  <c r="F66" i="6"/>
  <c r="F132" s="1"/>
  <c r="F201" s="1"/>
  <c r="L46" i="22" s="1"/>
  <c r="F75" i="6"/>
  <c r="F141" s="1"/>
  <c r="F210" s="1"/>
  <c r="L55" i="22" s="1"/>
  <c r="F37" i="6"/>
  <c r="F103" s="1"/>
  <c r="F172" s="1"/>
  <c r="L17" i="22" s="1"/>
  <c r="F73" i="6"/>
  <c r="F139" s="1"/>
  <c r="F208" s="1"/>
  <c r="L53" i="22" s="1"/>
  <c r="F60" i="6"/>
  <c r="F126" s="1"/>
  <c r="F195" s="1"/>
  <c r="L40" i="22" s="1"/>
  <c r="F72" i="6"/>
  <c r="F138" s="1"/>
  <c r="F207" s="1"/>
  <c r="L52" i="22" s="1"/>
  <c r="F59" i="6"/>
  <c r="F125" s="1"/>
  <c r="F194" s="1"/>
  <c r="L39" i="22" s="1"/>
  <c r="F38" i="6"/>
  <c r="F104" s="1"/>
  <c r="F173" s="1"/>
  <c r="L18" i="22" s="1"/>
  <c r="F61" i="6"/>
  <c r="F127" s="1"/>
  <c r="F196" s="1"/>
  <c r="L41" i="22" s="1"/>
  <c r="F58" i="6"/>
  <c r="F124" s="1"/>
  <c r="F193" s="1"/>
  <c r="L38" i="22" s="1"/>
  <c r="F81" i="6"/>
  <c r="F147" s="1"/>
  <c r="F216" s="1"/>
  <c r="L61" i="22" s="1"/>
  <c r="F47" i="6"/>
  <c r="F113" s="1"/>
  <c r="F182" s="1"/>
  <c r="L27" i="22" s="1"/>
  <c r="F68" i="6"/>
  <c r="F134" s="1"/>
  <c r="F203" s="1"/>
  <c r="L48" i="22" s="1"/>
  <c r="F46" i="6"/>
  <c r="F112" s="1"/>
  <c r="F181" s="1"/>
  <c r="L26" i="22" s="1"/>
  <c r="F23" i="6"/>
  <c r="F36"/>
  <c r="F102" s="1"/>
  <c r="F171" s="1"/>
  <c r="L16" i="22" s="1"/>
  <c r="F40" i="6"/>
  <c r="F106" s="1"/>
  <c r="F175" s="1"/>
  <c r="L20" i="22" s="1"/>
  <c r="F44" i="6"/>
  <c r="F110" s="1"/>
  <c r="F179" s="1"/>
  <c r="L24" i="22" s="1"/>
  <c r="F39" i="6"/>
  <c r="F105" s="1"/>
  <c r="F174" s="1"/>
  <c r="L19" i="22" s="1"/>
  <c r="F65" i="6"/>
  <c r="F131" s="1"/>
  <c r="F200" s="1"/>
  <c r="L45" i="22" s="1"/>
  <c r="F77" i="6"/>
  <c r="F143" s="1"/>
  <c r="F212" s="1"/>
  <c r="L57" i="22" s="1"/>
  <c r="F30" i="6"/>
  <c r="F96" s="1"/>
  <c r="F165" s="1"/>
  <c r="L10" i="22" s="1"/>
  <c r="F54" i="6"/>
  <c r="F120" s="1"/>
  <c r="F189" s="1"/>
  <c r="L34" i="22" s="1"/>
  <c r="F43" i="6"/>
  <c r="F109" s="1"/>
  <c r="F178" s="1"/>
  <c r="L23" i="22" s="1"/>
  <c r="F42" i="6"/>
  <c r="F108" s="1"/>
  <c r="F177" s="1"/>
  <c r="L22" i="22" s="1"/>
  <c r="F78" i="6"/>
  <c r="F144" s="1"/>
  <c r="F213" s="1"/>
  <c r="L58" i="22" s="1"/>
  <c r="F41" i="6"/>
  <c r="F107" s="1"/>
  <c r="F176" s="1"/>
  <c r="L21" i="22" s="1"/>
  <c r="F53" i="6"/>
  <c r="F119" s="1"/>
  <c r="F188" s="1"/>
  <c r="L33" i="22" s="1"/>
  <c r="F69" i="6"/>
  <c r="F135" s="1"/>
  <c r="F204" s="1"/>
  <c r="L49" i="22" s="1"/>
  <c r="F80" i="6"/>
  <c r="F146" s="1"/>
  <c r="F215" s="1"/>
  <c r="L60" i="22" s="1"/>
  <c r="F50" i="6"/>
  <c r="F116" s="1"/>
  <c r="F185" s="1"/>
  <c r="L30" i="22" s="1"/>
  <c r="F24" i="6"/>
  <c r="F90" s="1"/>
  <c r="F159" s="1"/>
  <c r="L4" i="22" s="1"/>
  <c r="F49" i="6"/>
  <c r="F115" s="1"/>
  <c r="F184" s="1"/>
  <c r="L29" i="22" s="1"/>
  <c r="F57" i="6"/>
  <c r="F123" s="1"/>
  <c r="F192" s="1"/>
  <c r="L37" i="22" s="1"/>
  <c r="F31" i="6"/>
  <c r="F97" s="1"/>
  <c r="F166" s="1"/>
  <c r="L11" i="22" s="1"/>
  <c r="F71" i="6"/>
  <c r="F137" s="1"/>
  <c r="F206" s="1"/>
  <c r="L51" i="22" s="1"/>
  <c r="F27" i="6"/>
  <c r="F93" s="1"/>
  <c r="F162" s="1"/>
  <c r="L7" i="22" s="1"/>
  <c r="F25" i="6"/>
  <c r="F91" s="1"/>
  <c r="F160" s="1"/>
  <c r="L5" i="22" s="1"/>
  <c r="F28" i="6"/>
  <c r="F94" s="1"/>
  <c r="F163" s="1"/>
  <c r="L8" i="22" s="1"/>
  <c r="F63" i="6"/>
  <c r="F129" s="1"/>
  <c r="F198" s="1"/>
  <c r="L43" i="22" s="1"/>
  <c r="F56" i="6"/>
  <c r="F122" s="1"/>
  <c r="F191" s="1"/>
  <c r="L36" i="22" s="1"/>
  <c r="F79" i="6"/>
  <c r="F145" s="1"/>
  <c r="F214" s="1"/>
  <c r="L59" i="22" s="1"/>
  <c r="F33" i="6"/>
  <c r="F99" s="1"/>
  <c r="F168" s="1"/>
  <c r="L13" i="22" s="1"/>
  <c r="F26" i="6"/>
  <c r="F92" s="1"/>
  <c r="F161" s="1"/>
  <c r="L6" i="22" s="1"/>
  <c r="F32" i="6"/>
  <c r="F98" s="1"/>
  <c r="F167" s="1"/>
  <c r="L12" i="22" s="1"/>
  <c r="F76" i="6"/>
  <c r="F142" s="1"/>
  <c r="F211" s="1"/>
  <c r="L56" i="22" s="1"/>
  <c r="F70" i="6"/>
  <c r="F136" s="1"/>
  <c r="F205" s="1"/>
  <c r="L50" i="22" s="1"/>
  <c r="F34" i="6"/>
  <c r="F100" s="1"/>
  <c r="F169" s="1"/>
  <c r="L14" i="22" s="1"/>
  <c r="J18" i="6"/>
  <c r="J52"/>
  <c r="J118" s="1"/>
  <c r="J187" s="1"/>
  <c r="P32" i="22" s="1"/>
  <c r="J72" i="6"/>
  <c r="J138" s="1"/>
  <c r="J207" s="1"/>
  <c r="P52" i="22" s="1"/>
  <c r="J82" i="6"/>
  <c r="J148" s="1"/>
  <c r="J217" s="1"/>
  <c r="P62" i="22" s="1"/>
  <c r="J59" i="6"/>
  <c r="J125" s="1"/>
  <c r="J194" s="1"/>
  <c r="P39" i="22" s="1"/>
  <c r="J48" i="6"/>
  <c r="J114" s="1"/>
  <c r="J183" s="1"/>
  <c r="P28" i="22" s="1"/>
  <c r="J81" i="6"/>
  <c r="J147" s="1"/>
  <c r="J216" s="1"/>
  <c r="P61" i="22" s="1"/>
  <c r="J73" i="6"/>
  <c r="J139" s="1"/>
  <c r="J208" s="1"/>
  <c r="P53" i="22" s="1"/>
  <c r="J60" i="6"/>
  <c r="J126" s="1"/>
  <c r="J195" s="1"/>
  <c r="P40" i="22" s="1"/>
  <c r="J51" i="6"/>
  <c r="J117" s="1"/>
  <c r="J186" s="1"/>
  <c r="P31" i="22" s="1"/>
  <c r="J67" i="6"/>
  <c r="J133" s="1"/>
  <c r="J202" s="1"/>
  <c r="P47" i="22" s="1"/>
  <c r="J38" i="6"/>
  <c r="J104" s="1"/>
  <c r="J173" s="1"/>
  <c r="P18" i="22" s="1"/>
  <c r="J29" i="6"/>
  <c r="J95" s="1"/>
  <c r="J164" s="1"/>
  <c r="P9" i="22" s="1"/>
  <c r="J37" i="6"/>
  <c r="J103" s="1"/>
  <c r="J172" s="1"/>
  <c r="P17" i="22" s="1"/>
  <c r="J62" i="6"/>
  <c r="J128" s="1"/>
  <c r="J197" s="1"/>
  <c r="P42" i="22" s="1"/>
  <c r="J35" i="6"/>
  <c r="J101" s="1"/>
  <c r="J170" s="1"/>
  <c r="P15" i="22" s="1"/>
  <c r="J74" i="6"/>
  <c r="J140" s="1"/>
  <c r="J209" s="1"/>
  <c r="P54" i="22" s="1"/>
  <c r="J66" i="6"/>
  <c r="J132" s="1"/>
  <c r="J201" s="1"/>
  <c r="P46" i="22" s="1"/>
  <c r="J55" i="6"/>
  <c r="J121" s="1"/>
  <c r="J190" s="1"/>
  <c r="P35" i="22" s="1"/>
  <c r="J47" i="6"/>
  <c r="J113" s="1"/>
  <c r="J182" s="1"/>
  <c r="P27" i="22" s="1"/>
  <c r="J45" i="6"/>
  <c r="J111" s="1"/>
  <c r="J180" s="1"/>
  <c r="P25" i="22" s="1"/>
  <c r="J64" i="6"/>
  <c r="J130" s="1"/>
  <c r="J199" s="1"/>
  <c r="P44" i="22" s="1"/>
  <c r="J61" i="6"/>
  <c r="J127" s="1"/>
  <c r="J196" s="1"/>
  <c r="P41" i="22" s="1"/>
  <c r="J58" i="6"/>
  <c r="J124" s="1"/>
  <c r="J193" s="1"/>
  <c r="P38" i="22" s="1"/>
  <c r="J75" i="6"/>
  <c r="J141" s="1"/>
  <c r="J210" s="1"/>
  <c r="P55" i="22" s="1"/>
  <c r="J68" i="6"/>
  <c r="J134" s="1"/>
  <c r="J203" s="1"/>
  <c r="P48" i="22" s="1"/>
  <c r="J23" i="6"/>
  <c r="J27"/>
  <c r="J93" s="1"/>
  <c r="J162" s="1"/>
  <c r="P7" i="22" s="1"/>
  <c r="J26" i="6"/>
  <c r="J92" s="1"/>
  <c r="J161" s="1"/>
  <c r="P6" i="22" s="1"/>
  <c r="J50" i="6"/>
  <c r="J116" s="1"/>
  <c r="J185" s="1"/>
  <c r="P30" i="22" s="1"/>
  <c r="J34" i="6"/>
  <c r="J100" s="1"/>
  <c r="J169" s="1"/>
  <c r="P14" i="22" s="1"/>
  <c r="J33" i="6"/>
  <c r="J99" s="1"/>
  <c r="J168" s="1"/>
  <c r="P13" i="22" s="1"/>
  <c r="J42" i="6"/>
  <c r="J108" s="1"/>
  <c r="J177" s="1"/>
  <c r="P22" i="22" s="1"/>
  <c r="J46" i="6"/>
  <c r="J112" s="1"/>
  <c r="J181" s="1"/>
  <c r="P26" i="22" s="1"/>
  <c r="J76" i="6"/>
  <c r="J142" s="1"/>
  <c r="J211" s="1"/>
  <c r="P56" i="22" s="1"/>
  <c r="J71" i="6"/>
  <c r="J137" s="1"/>
  <c r="J206" s="1"/>
  <c r="P51" i="22" s="1"/>
  <c r="J36" i="6"/>
  <c r="J102" s="1"/>
  <c r="J171" s="1"/>
  <c r="P16" i="22" s="1"/>
  <c r="J40" i="6"/>
  <c r="J106" s="1"/>
  <c r="J175" s="1"/>
  <c r="P20" i="22" s="1"/>
  <c r="J78" i="6"/>
  <c r="J144" s="1"/>
  <c r="J213" s="1"/>
  <c r="P58" i="22" s="1"/>
  <c r="J41" i="6"/>
  <c r="J107" s="1"/>
  <c r="J176" s="1"/>
  <c r="P21" i="22" s="1"/>
  <c r="J43" i="6"/>
  <c r="J109" s="1"/>
  <c r="J178" s="1"/>
  <c r="P23" i="22" s="1"/>
  <c r="J69" i="6"/>
  <c r="J135" s="1"/>
  <c r="J204" s="1"/>
  <c r="P49" i="22" s="1"/>
  <c r="J39" i="6"/>
  <c r="J105" s="1"/>
  <c r="J174" s="1"/>
  <c r="P19" i="22" s="1"/>
  <c r="J65" i="6"/>
  <c r="J131" s="1"/>
  <c r="J200" s="1"/>
  <c r="P45" i="22" s="1"/>
  <c r="J31" i="6"/>
  <c r="J97" s="1"/>
  <c r="J166" s="1"/>
  <c r="P11" i="22" s="1"/>
  <c r="J77" i="6"/>
  <c r="J143" s="1"/>
  <c r="J212" s="1"/>
  <c r="P57" i="22" s="1"/>
  <c r="J30" i="6"/>
  <c r="J96" s="1"/>
  <c r="J165" s="1"/>
  <c r="P10" i="22" s="1"/>
  <c r="J54" i="6"/>
  <c r="J120" s="1"/>
  <c r="J189" s="1"/>
  <c r="P34" i="22" s="1"/>
  <c r="J79" i="6"/>
  <c r="J145" s="1"/>
  <c r="J214" s="1"/>
  <c r="P59" i="22" s="1"/>
  <c r="J44" i="6"/>
  <c r="J110" s="1"/>
  <c r="J179" s="1"/>
  <c r="P24" i="22" s="1"/>
  <c r="J63" i="6"/>
  <c r="J129" s="1"/>
  <c r="J198" s="1"/>
  <c r="P43" i="22" s="1"/>
  <c r="J80" i="6"/>
  <c r="J146" s="1"/>
  <c r="J215" s="1"/>
  <c r="P60" i="22" s="1"/>
  <c r="J56" i="6"/>
  <c r="J122" s="1"/>
  <c r="J191" s="1"/>
  <c r="P36" i="22" s="1"/>
  <c r="J25" i="6"/>
  <c r="J91" s="1"/>
  <c r="J160" s="1"/>
  <c r="P5" i="22" s="1"/>
  <c r="J53" i="6"/>
  <c r="J119" s="1"/>
  <c r="J188" s="1"/>
  <c r="P33" i="22" s="1"/>
  <c r="J70" i="6"/>
  <c r="J136" s="1"/>
  <c r="J205" s="1"/>
  <c r="P50" i="22" s="1"/>
  <c r="J28" i="6"/>
  <c r="J94" s="1"/>
  <c r="J163" s="1"/>
  <c r="P8" i="22" s="1"/>
  <c r="J32" i="6"/>
  <c r="J98" s="1"/>
  <c r="J167" s="1"/>
  <c r="P12" i="22" s="1"/>
  <c r="J24" i="6"/>
  <c r="J90" s="1"/>
  <c r="J159" s="1"/>
  <c r="P4" i="22" s="1"/>
  <c r="J49" i="6"/>
  <c r="J115" s="1"/>
  <c r="J184" s="1"/>
  <c r="P29" i="22" s="1"/>
  <c r="J57" i="6"/>
  <c r="J123" s="1"/>
  <c r="J192" s="1"/>
  <c r="P37" i="22" s="1"/>
  <c r="I18" i="6"/>
  <c r="I73"/>
  <c r="I139" s="1"/>
  <c r="I208" s="1"/>
  <c r="O53" i="22" s="1"/>
  <c r="I66" i="6"/>
  <c r="I132" s="1"/>
  <c r="I201" s="1"/>
  <c r="O46" i="22" s="1"/>
  <c r="I61" i="6"/>
  <c r="I127" s="1"/>
  <c r="I196" s="1"/>
  <c r="O41" i="22" s="1"/>
  <c r="I75" i="6"/>
  <c r="I141" s="1"/>
  <c r="I210" s="1"/>
  <c r="O55" i="22" s="1"/>
  <c r="I82" i="6"/>
  <c r="I148" s="1"/>
  <c r="I217" s="1"/>
  <c r="O62" i="22" s="1"/>
  <c r="I51" i="6"/>
  <c r="I117" s="1"/>
  <c r="I186" s="1"/>
  <c r="O31" i="22" s="1"/>
  <c r="I38" i="6"/>
  <c r="I104" s="1"/>
  <c r="I173" s="1"/>
  <c r="O18" i="22" s="1"/>
  <c r="I58" i="6"/>
  <c r="I124" s="1"/>
  <c r="I193" s="1"/>
  <c r="O38" i="22" s="1"/>
  <c r="I81" i="6"/>
  <c r="I147" s="1"/>
  <c r="I216" s="1"/>
  <c r="O61" i="22" s="1"/>
  <c r="I47" i="6"/>
  <c r="I113" s="1"/>
  <c r="I182" s="1"/>
  <c r="O27" i="22" s="1"/>
  <c r="I45" i="6"/>
  <c r="I111" s="1"/>
  <c r="I180" s="1"/>
  <c r="O25" i="22" s="1"/>
  <c r="I37" i="6"/>
  <c r="I103" s="1"/>
  <c r="I172" s="1"/>
  <c r="O17" i="22" s="1"/>
  <c r="I62" i="6"/>
  <c r="I128" s="1"/>
  <c r="I197" s="1"/>
  <c r="O42" i="22" s="1"/>
  <c r="I72" i="6"/>
  <c r="I138" s="1"/>
  <c r="I207" s="1"/>
  <c r="O52" i="22" s="1"/>
  <c r="I35" i="6"/>
  <c r="I101" s="1"/>
  <c r="I170" s="1"/>
  <c r="O15" i="22" s="1"/>
  <c r="I59" i="6"/>
  <c r="I125" s="1"/>
  <c r="I194" s="1"/>
  <c r="O39" i="22" s="1"/>
  <c r="I74" i="6"/>
  <c r="I140" s="1"/>
  <c r="I209" s="1"/>
  <c r="O54" i="22" s="1"/>
  <c r="I29" i="6"/>
  <c r="I95" s="1"/>
  <c r="I164" s="1"/>
  <c r="O9" i="22" s="1"/>
  <c r="I48" i="6"/>
  <c r="I114" s="1"/>
  <c r="I183" s="1"/>
  <c r="O28" i="22" s="1"/>
  <c r="I64" i="6"/>
  <c r="I130" s="1"/>
  <c r="I199" s="1"/>
  <c r="O44" i="22" s="1"/>
  <c r="I52" i="6"/>
  <c r="I118" s="1"/>
  <c r="I187" s="1"/>
  <c r="O32" i="22" s="1"/>
  <c r="I60" i="6"/>
  <c r="I126" s="1"/>
  <c r="I195" s="1"/>
  <c r="O40" i="22" s="1"/>
  <c r="I67" i="6"/>
  <c r="I133" s="1"/>
  <c r="I202" s="1"/>
  <c r="O47" i="22" s="1"/>
  <c r="I55" i="6"/>
  <c r="I121" s="1"/>
  <c r="I190" s="1"/>
  <c r="O35" i="22" s="1"/>
  <c r="I27" i="6"/>
  <c r="I93" s="1"/>
  <c r="I162" s="1"/>
  <c r="O7" i="22" s="1"/>
  <c r="I44" i="6"/>
  <c r="I110" s="1"/>
  <c r="I179" s="1"/>
  <c r="O24" i="22" s="1"/>
  <c r="I41" i="6"/>
  <c r="I107" s="1"/>
  <c r="I176" s="1"/>
  <c r="O21" i="22" s="1"/>
  <c r="I26" i="6"/>
  <c r="I92" s="1"/>
  <c r="I161" s="1"/>
  <c r="O6" i="22" s="1"/>
  <c r="I65" i="6"/>
  <c r="I131" s="1"/>
  <c r="I200" s="1"/>
  <c r="O45" i="22" s="1"/>
  <c r="I31" i="6"/>
  <c r="I97" s="1"/>
  <c r="I166" s="1"/>
  <c r="O11" i="22" s="1"/>
  <c r="I56" i="6"/>
  <c r="I122" s="1"/>
  <c r="I191" s="1"/>
  <c r="O36" i="22" s="1"/>
  <c r="I32" i="6"/>
  <c r="I98" s="1"/>
  <c r="I167" s="1"/>
  <c r="O12" i="22" s="1"/>
  <c r="I79" i="6"/>
  <c r="I145" s="1"/>
  <c r="I214" s="1"/>
  <c r="O59" i="22" s="1"/>
  <c r="I33" i="6"/>
  <c r="I99" s="1"/>
  <c r="I168" s="1"/>
  <c r="O13" i="22" s="1"/>
  <c r="I25" i="6"/>
  <c r="I91" s="1"/>
  <c r="I160" s="1"/>
  <c r="O5" i="22" s="1"/>
  <c r="I70" i="6"/>
  <c r="I136" s="1"/>
  <c r="I205" s="1"/>
  <c r="O50" i="22" s="1"/>
  <c r="I80" i="6"/>
  <c r="I146" s="1"/>
  <c r="I215" s="1"/>
  <c r="O60" i="22" s="1"/>
  <c r="I76" i="6"/>
  <c r="I142" s="1"/>
  <c r="I211" s="1"/>
  <c r="O56" i="22" s="1"/>
  <c r="I23" i="6"/>
  <c r="I71"/>
  <c r="I137" s="1"/>
  <c r="I206" s="1"/>
  <c r="O51" i="22" s="1"/>
  <c r="I36" i="6"/>
  <c r="I102" s="1"/>
  <c r="I171" s="1"/>
  <c r="O16" i="22" s="1"/>
  <c r="I78" i="6"/>
  <c r="I144" s="1"/>
  <c r="I213" s="1"/>
  <c r="O58" i="22" s="1"/>
  <c r="I63" i="6"/>
  <c r="I129" s="1"/>
  <c r="I198" s="1"/>
  <c r="O43" i="22" s="1"/>
  <c r="I57" i="6"/>
  <c r="I123" s="1"/>
  <c r="I192" s="1"/>
  <c r="O37" i="22" s="1"/>
  <c r="I77" i="6"/>
  <c r="I143" s="1"/>
  <c r="I212" s="1"/>
  <c r="O57" i="22" s="1"/>
  <c r="I28" i="6"/>
  <c r="I94" s="1"/>
  <c r="I163" s="1"/>
  <c r="O8" i="22" s="1"/>
  <c r="I30" i="6"/>
  <c r="I96" s="1"/>
  <c r="I165" s="1"/>
  <c r="O10" i="22" s="1"/>
  <c r="I68" i="6"/>
  <c r="I134" s="1"/>
  <c r="I203" s="1"/>
  <c r="O48" i="22" s="1"/>
  <c r="I46" i="6"/>
  <c r="I112" s="1"/>
  <c r="I181" s="1"/>
  <c r="O26" i="22" s="1"/>
  <c r="I40" i="6"/>
  <c r="I106" s="1"/>
  <c r="I175" s="1"/>
  <c r="O20" i="22" s="1"/>
  <c r="I43" i="6"/>
  <c r="I109" s="1"/>
  <c r="I178" s="1"/>
  <c r="O23" i="22" s="1"/>
  <c r="I69" i="6"/>
  <c r="I135" s="1"/>
  <c r="I204" s="1"/>
  <c r="O49" i="22" s="1"/>
  <c r="I39" i="6"/>
  <c r="I105" s="1"/>
  <c r="I174" s="1"/>
  <c r="O19" i="22" s="1"/>
  <c r="I53" i="6"/>
  <c r="I119" s="1"/>
  <c r="I188" s="1"/>
  <c r="O33" i="22" s="1"/>
  <c r="I50" i="6"/>
  <c r="I116" s="1"/>
  <c r="I185" s="1"/>
  <c r="O30" i="22" s="1"/>
  <c r="I34" i="6"/>
  <c r="I100" s="1"/>
  <c r="I169" s="1"/>
  <c r="O14" i="22" s="1"/>
  <c r="I24" i="6"/>
  <c r="I90" s="1"/>
  <c r="I159" s="1"/>
  <c r="O4" i="22" s="1"/>
  <c r="I49" i="6"/>
  <c r="I115" s="1"/>
  <c r="I184" s="1"/>
  <c r="O29" i="22" s="1"/>
  <c r="I42" i="6"/>
  <c r="I108" s="1"/>
  <c r="I177" s="1"/>
  <c r="O22" i="22" s="1"/>
  <c r="I54" i="6"/>
  <c r="I120" s="1"/>
  <c r="I189" s="1"/>
  <c r="O34" i="22" s="1"/>
  <c r="Q18" i="6"/>
  <c r="Q64"/>
  <c r="Q130" s="1"/>
  <c r="Q199" s="1"/>
  <c r="W44" i="22" s="1"/>
  <c r="Q60" i="6"/>
  <c r="Q126" s="1"/>
  <c r="Q195" s="1"/>
  <c r="W40" i="22" s="1"/>
  <c r="Q59" i="6"/>
  <c r="Q125" s="1"/>
  <c r="Q194" s="1"/>
  <c r="W39" i="22" s="1"/>
  <c r="Q29" i="6"/>
  <c r="Q95" s="1"/>
  <c r="Q164" s="1"/>
  <c r="W9" i="22" s="1"/>
  <c r="Q48" i="6"/>
  <c r="Q114" s="1"/>
  <c r="Q183" s="1"/>
  <c r="W28" i="22" s="1"/>
  <c r="Q81" i="6"/>
  <c r="Q147" s="1"/>
  <c r="Q216" s="1"/>
  <c r="W61" i="22" s="1"/>
  <c r="Q35" i="6"/>
  <c r="Q101" s="1"/>
  <c r="Q170" s="1"/>
  <c r="W15" i="22" s="1"/>
  <c r="Q66" i="6"/>
  <c r="Q132" s="1"/>
  <c r="Q201" s="1"/>
  <c r="W46" i="22" s="1"/>
  <c r="Q61" i="6"/>
  <c r="Q127" s="1"/>
  <c r="Q196" s="1"/>
  <c r="W41" i="22" s="1"/>
  <c r="Q45" i="6"/>
  <c r="Q111" s="1"/>
  <c r="Q180" s="1"/>
  <c r="W25" i="22" s="1"/>
  <c r="Q37" i="6"/>
  <c r="Q103" s="1"/>
  <c r="Q172" s="1"/>
  <c r="W17" i="22" s="1"/>
  <c r="Q73" i="6"/>
  <c r="Q139" s="1"/>
  <c r="Q208" s="1"/>
  <c r="W53" i="22" s="1"/>
  <c r="Q62" i="6"/>
  <c r="Q128" s="1"/>
  <c r="Q197" s="1"/>
  <c r="W42" i="22" s="1"/>
  <c r="Q52" i="6"/>
  <c r="Q118" s="1"/>
  <c r="Q187" s="1"/>
  <c r="W32" i="22" s="1"/>
  <c r="Q51" i="6"/>
  <c r="Q117" s="1"/>
  <c r="Q186" s="1"/>
  <c r="W31" i="22" s="1"/>
  <c r="Q38" i="6"/>
  <c r="Q104" s="1"/>
  <c r="Q173" s="1"/>
  <c r="W18" i="22" s="1"/>
  <c r="Q74" i="6"/>
  <c r="Q140" s="1"/>
  <c r="Q209" s="1"/>
  <c r="W54" i="22" s="1"/>
  <c r="Q72" i="6"/>
  <c r="Q138" s="1"/>
  <c r="Q207" s="1"/>
  <c r="W52" i="22" s="1"/>
  <c r="Q82" i="6"/>
  <c r="Q148" s="1"/>
  <c r="Q217" s="1"/>
  <c r="W62" i="22" s="1"/>
  <c r="Q67" i="6"/>
  <c r="Q133" s="1"/>
  <c r="Q202" s="1"/>
  <c r="W47" i="22" s="1"/>
  <c r="Q58" i="6"/>
  <c r="Q124" s="1"/>
  <c r="Q193" s="1"/>
  <c r="W38" i="22" s="1"/>
  <c r="Q55" i="6"/>
  <c r="Q121" s="1"/>
  <c r="Q190" s="1"/>
  <c r="W35" i="22" s="1"/>
  <c r="Q47" i="6"/>
  <c r="Q113" s="1"/>
  <c r="Q182" s="1"/>
  <c r="W27" i="22" s="1"/>
  <c r="Q75" i="6"/>
  <c r="Q141" s="1"/>
  <c r="Q210" s="1"/>
  <c r="W55" i="22" s="1"/>
  <c r="Q68" i="6"/>
  <c r="Q134" s="1"/>
  <c r="Q203" s="1"/>
  <c r="W48" i="22" s="1"/>
  <c r="Q78" i="6"/>
  <c r="Q144" s="1"/>
  <c r="Q213" s="1"/>
  <c r="W58" i="22" s="1"/>
  <c r="Q44" i="6"/>
  <c r="Q110" s="1"/>
  <c r="Q179" s="1"/>
  <c r="W24" i="22" s="1"/>
  <c r="Q25" i="6"/>
  <c r="Q91" s="1"/>
  <c r="Q160" s="1"/>
  <c r="W5" i="22" s="1"/>
  <c r="Q50" i="6"/>
  <c r="Q116" s="1"/>
  <c r="Q185" s="1"/>
  <c r="W30" i="22" s="1"/>
  <c r="Q53" i="6"/>
  <c r="Q119" s="1"/>
  <c r="Q188" s="1"/>
  <c r="W33" i="22" s="1"/>
  <c r="Q28" i="6"/>
  <c r="Q94" s="1"/>
  <c r="Q163" s="1"/>
  <c r="W8" i="22" s="1"/>
  <c r="Q39" i="6"/>
  <c r="Q105" s="1"/>
  <c r="Q174" s="1"/>
  <c r="W19" i="22" s="1"/>
  <c r="Q57" i="6"/>
  <c r="Q123" s="1"/>
  <c r="Q192" s="1"/>
  <c r="W37" i="22" s="1"/>
  <c r="Q77" i="6"/>
  <c r="Q143" s="1"/>
  <c r="Q212" s="1"/>
  <c r="W57" i="22" s="1"/>
  <c r="Q79" i="6"/>
  <c r="Q145" s="1"/>
  <c r="Q214" s="1"/>
  <c r="W59" i="22" s="1"/>
  <c r="Q42" i="6"/>
  <c r="Q108" s="1"/>
  <c r="Q177" s="1"/>
  <c r="W22" i="22" s="1"/>
  <c r="Q71" i="6"/>
  <c r="Q137" s="1"/>
  <c r="Q206" s="1"/>
  <c r="W51" i="22" s="1"/>
  <c r="Q27" i="6"/>
  <c r="Q93" s="1"/>
  <c r="Q162" s="1"/>
  <c r="W7" i="22" s="1"/>
  <c r="Q36" i="6"/>
  <c r="Q102" s="1"/>
  <c r="Q171" s="1"/>
  <c r="W16" i="22" s="1"/>
  <c r="Q70" i="6"/>
  <c r="Q136" s="1"/>
  <c r="Q205" s="1"/>
  <c r="W50" i="22" s="1"/>
  <c r="Q43" i="6"/>
  <c r="Q109" s="1"/>
  <c r="Q178" s="1"/>
  <c r="W23" i="22" s="1"/>
  <c r="Q65" i="6"/>
  <c r="Q131" s="1"/>
  <c r="Q200" s="1"/>
  <c r="W45" i="22" s="1"/>
  <c r="Q56" i="6"/>
  <c r="Q122" s="1"/>
  <c r="Q191" s="1"/>
  <c r="W36" i="22" s="1"/>
  <c r="Q54" i="6"/>
  <c r="Q120" s="1"/>
  <c r="Q189" s="1"/>
  <c r="W34" i="22" s="1"/>
  <c r="Q49" i="6"/>
  <c r="Q115" s="1"/>
  <c r="Q184" s="1"/>
  <c r="W29" i="22" s="1"/>
  <c r="Q40" i="6"/>
  <c r="Q106" s="1"/>
  <c r="Q175" s="1"/>
  <c r="W20" i="22" s="1"/>
  <c r="Q41" i="6"/>
  <c r="Q107" s="1"/>
  <c r="Q176" s="1"/>
  <c r="W21" i="22" s="1"/>
  <c r="Q63" i="6"/>
  <c r="Q129" s="1"/>
  <c r="Q198" s="1"/>
  <c r="W43" i="22" s="1"/>
  <c r="Q69" i="6"/>
  <c r="Q135" s="1"/>
  <c r="Q204" s="1"/>
  <c r="W49" i="22" s="1"/>
  <c r="Q26" i="6"/>
  <c r="Q92" s="1"/>
  <c r="Q161" s="1"/>
  <c r="W6" i="22" s="1"/>
  <c r="Q31" i="6"/>
  <c r="Q97" s="1"/>
  <c r="Q166" s="1"/>
  <c r="W11" i="22" s="1"/>
  <c r="Q34" i="6"/>
  <c r="Q100" s="1"/>
  <c r="Q169" s="1"/>
  <c r="W14" i="22" s="1"/>
  <c r="Q30" i="6"/>
  <c r="Q96" s="1"/>
  <c r="Q165" s="1"/>
  <c r="W10" i="22" s="1"/>
  <c r="Q33" i="6"/>
  <c r="Q99" s="1"/>
  <c r="Q168" s="1"/>
  <c r="W13" i="22" s="1"/>
  <c r="Q23" i="6"/>
  <c r="Q24"/>
  <c r="Q90" s="1"/>
  <c r="Q159" s="1"/>
  <c r="W4" i="22" s="1"/>
  <c r="Q46" i="6"/>
  <c r="Q112" s="1"/>
  <c r="Q181" s="1"/>
  <c r="W26" i="22" s="1"/>
  <c r="Q76" i="6"/>
  <c r="Q142" s="1"/>
  <c r="Q211" s="1"/>
  <c r="W56" i="22" s="1"/>
  <c r="Q80" i="6"/>
  <c r="Q146" s="1"/>
  <c r="Q215" s="1"/>
  <c r="W60" i="22" s="1"/>
  <c r="Q32" i="6"/>
  <c r="Q98" s="1"/>
  <c r="Q167" s="1"/>
  <c r="W12" i="22" s="1"/>
  <c r="H18" i="6"/>
  <c r="H37"/>
  <c r="H103" s="1"/>
  <c r="H172" s="1"/>
  <c r="N17" i="22" s="1"/>
  <c r="H67" i="6"/>
  <c r="H133" s="1"/>
  <c r="H202" s="1"/>
  <c r="N47" i="22" s="1"/>
  <c r="H61" i="6"/>
  <c r="H127" s="1"/>
  <c r="H196" s="1"/>
  <c r="N41" i="22" s="1"/>
  <c r="H64" i="6"/>
  <c r="H130" s="1"/>
  <c r="H199" s="1"/>
  <c r="N44" i="22" s="1"/>
  <c r="H62" i="6"/>
  <c r="H128" s="1"/>
  <c r="H197" s="1"/>
  <c r="N42" i="22" s="1"/>
  <c r="H52" i="6"/>
  <c r="H118" s="1"/>
  <c r="H187" s="1"/>
  <c r="N32" i="22" s="1"/>
  <c r="H60" i="6"/>
  <c r="H126" s="1"/>
  <c r="H195" s="1"/>
  <c r="N40" i="22" s="1"/>
  <c r="H72" i="6"/>
  <c r="H138" s="1"/>
  <c r="H207" s="1"/>
  <c r="N52" i="22" s="1"/>
  <c r="H59" i="6"/>
  <c r="H125" s="1"/>
  <c r="H194" s="1"/>
  <c r="N39" i="22" s="1"/>
  <c r="H51" i="6"/>
  <c r="H117" s="1"/>
  <c r="H186" s="1"/>
  <c r="N31" i="22" s="1"/>
  <c r="H74" i="6"/>
  <c r="H140" s="1"/>
  <c r="H209" s="1"/>
  <c r="N54" i="22" s="1"/>
  <c r="H66" i="6"/>
  <c r="H132" s="1"/>
  <c r="H201" s="1"/>
  <c r="N46" i="22" s="1"/>
  <c r="H48" i="6"/>
  <c r="H114" s="1"/>
  <c r="H183" s="1"/>
  <c r="N28" i="22" s="1"/>
  <c r="H75" i="6"/>
  <c r="H141" s="1"/>
  <c r="H210" s="1"/>
  <c r="N55" i="22" s="1"/>
  <c r="H45" i="6"/>
  <c r="H111" s="1"/>
  <c r="H180" s="1"/>
  <c r="N25" i="22" s="1"/>
  <c r="H73" i="6"/>
  <c r="H139" s="1"/>
  <c r="H208" s="1"/>
  <c r="N53" i="22" s="1"/>
  <c r="H82" i="6"/>
  <c r="H148" s="1"/>
  <c r="H217" s="1"/>
  <c r="N62" i="22" s="1"/>
  <c r="H58" i="6"/>
  <c r="H124" s="1"/>
  <c r="H193" s="1"/>
  <c r="N38" i="22" s="1"/>
  <c r="H55" i="6"/>
  <c r="H121" s="1"/>
  <c r="H190" s="1"/>
  <c r="N35" i="22" s="1"/>
  <c r="H81" i="6"/>
  <c r="H147" s="1"/>
  <c r="H216" s="1"/>
  <c r="N61" i="22" s="1"/>
  <c r="H47" i="6"/>
  <c r="H113" s="1"/>
  <c r="H182" s="1"/>
  <c r="N27" i="22" s="1"/>
  <c r="H35" i="6"/>
  <c r="H101" s="1"/>
  <c r="H170" s="1"/>
  <c r="N15" i="22" s="1"/>
  <c r="H38" i="6"/>
  <c r="H104" s="1"/>
  <c r="H173" s="1"/>
  <c r="N18" i="22" s="1"/>
  <c r="H29" i="6"/>
  <c r="H95" s="1"/>
  <c r="H164" s="1"/>
  <c r="N9" i="22" s="1"/>
  <c r="H76" i="6"/>
  <c r="H142" s="1"/>
  <c r="H211" s="1"/>
  <c r="N56" i="22" s="1"/>
  <c r="H40" i="6"/>
  <c r="H106" s="1"/>
  <c r="H175" s="1"/>
  <c r="N20" i="22" s="1"/>
  <c r="H43" i="6"/>
  <c r="H109" s="1"/>
  <c r="H178" s="1"/>
  <c r="N23" i="22" s="1"/>
  <c r="H80" i="6"/>
  <c r="H146" s="1"/>
  <c r="H215" s="1"/>
  <c r="N60" i="22" s="1"/>
  <c r="H39" i="6"/>
  <c r="H105" s="1"/>
  <c r="H174" s="1"/>
  <c r="N19" i="22" s="1"/>
  <c r="H56" i="6"/>
  <c r="H122" s="1"/>
  <c r="H191" s="1"/>
  <c r="N36" i="22" s="1"/>
  <c r="H30" i="6"/>
  <c r="H96" s="1"/>
  <c r="H165" s="1"/>
  <c r="N10" i="22" s="1"/>
  <c r="H79" i="6"/>
  <c r="H145" s="1"/>
  <c r="H214" s="1"/>
  <c r="N59" i="22" s="1"/>
  <c r="H49" i="6"/>
  <c r="H115" s="1"/>
  <c r="H184" s="1"/>
  <c r="N29" i="22" s="1"/>
  <c r="H33" i="6"/>
  <c r="H99" s="1"/>
  <c r="H168" s="1"/>
  <c r="N13" i="22" s="1"/>
  <c r="H65" i="6"/>
  <c r="H131" s="1"/>
  <c r="H200" s="1"/>
  <c r="N45" i="22" s="1"/>
  <c r="H31" i="6"/>
  <c r="H97" s="1"/>
  <c r="H166" s="1"/>
  <c r="N11" i="22" s="1"/>
  <c r="H68" i="6"/>
  <c r="H134" s="1"/>
  <c r="H203" s="1"/>
  <c r="N48" i="22" s="1"/>
  <c r="H27" i="6"/>
  <c r="H93" s="1"/>
  <c r="H162" s="1"/>
  <c r="N7" i="22" s="1"/>
  <c r="H44" i="6"/>
  <c r="H110" s="1"/>
  <c r="H179" s="1"/>
  <c r="N24" i="22" s="1"/>
  <c r="H41" i="6"/>
  <c r="H107" s="1"/>
  <c r="H176" s="1"/>
  <c r="N21" i="22" s="1"/>
  <c r="H25" i="6"/>
  <c r="H91" s="1"/>
  <c r="H160" s="1"/>
  <c r="N5" i="22" s="1"/>
  <c r="H28" i="6"/>
  <c r="H94" s="1"/>
  <c r="H163" s="1"/>
  <c r="N8" i="22" s="1"/>
  <c r="H50" i="6"/>
  <c r="H116" s="1"/>
  <c r="H185" s="1"/>
  <c r="N30" i="22" s="1"/>
  <c r="H34" i="6"/>
  <c r="H100" s="1"/>
  <c r="H169" s="1"/>
  <c r="N14" i="22" s="1"/>
  <c r="H32" i="6"/>
  <c r="H98" s="1"/>
  <c r="H167" s="1"/>
  <c r="N12" i="22" s="1"/>
  <c r="H70" i="6"/>
  <c r="H136" s="1"/>
  <c r="H205" s="1"/>
  <c r="N50" i="22" s="1"/>
  <c r="H63" i="6"/>
  <c r="H129" s="1"/>
  <c r="H198" s="1"/>
  <c r="N43" i="22" s="1"/>
  <c r="H26" i="6"/>
  <c r="H92" s="1"/>
  <c r="H161" s="1"/>
  <c r="N6" i="22" s="1"/>
  <c r="H23" i="6"/>
  <c r="H71"/>
  <c r="H137" s="1"/>
  <c r="H206" s="1"/>
  <c r="N51" i="22" s="1"/>
  <c r="H57" i="6"/>
  <c r="H123" s="1"/>
  <c r="H192" s="1"/>
  <c r="N37" i="22" s="1"/>
  <c r="H54" i="6"/>
  <c r="H120" s="1"/>
  <c r="H189" s="1"/>
  <c r="N34" i="22" s="1"/>
  <c r="H24" i="6"/>
  <c r="H90" s="1"/>
  <c r="H159" s="1"/>
  <c r="N4" i="22" s="1"/>
  <c r="H42" i="6"/>
  <c r="H108" s="1"/>
  <c r="H177" s="1"/>
  <c r="N22" i="22" s="1"/>
  <c r="H36" i="6"/>
  <c r="H102" s="1"/>
  <c r="H171" s="1"/>
  <c r="N16" i="22" s="1"/>
  <c r="H46" i="6"/>
  <c r="H112" s="1"/>
  <c r="H181" s="1"/>
  <c r="N26" i="22" s="1"/>
  <c r="H78" i="6"/>
  <c r="H144" s="1"/>
  <c r="H213" s="1"/>
  <c r="N58" i="22" s="1"/>
  <c r="H53" i="6"/>
  <c r="H119" s="1"/>
  <c r="H188" s="1"/>
  <c r="N33" i="22" s="1"/>
  <c r="H69" i="6"/>
  <c r="H135" s="1"/>
  <c r="H204" s="1"/>
  <c r="N49" i="22" s="1"/>
  <c r="H77" i="6"/>
  <c r="H143" s="1"/>
  <c r="H212" s="1"/>
  <c r="N57" i="22" s="1"/>
  <c r="P18" i="6"/>
  <c r="P62"/>
  <c r="P128" s="1"/>
  <c r="P197" s="1"/>
  <c r="V42" i="22" s="1"/>
  <c r="P72" i="6"/>
  <c r="P138" s="1"/>
  <c r="P207" s="1"/>
  <c r="V52" i="22" s="1"/>
  <c r="P35" i="6"/>
  <c r="P101" s="1"/>
  <c r="P170" s="1"/>
  <c r="V15" i="22" s="1"/>
  <c r="P47" i="6"/>
  <c r="P113" s="1"/>
  <c r="P182" s="1"/>
  <c r="V27" i="22" s="1"/>
  <c r="P64" i="6"/>
  <c r="P130" s="1"/>
  <c r="P199" s="1"/>
  <c r="V44" i="22" s="1"/>
  <c r="P73" i="6"/>
  <c r="P139" s="1"/>
  <c r="P208" s="1"/>
  <c r="V53" i="22" s="1"/>
  <c r="P38" i="6"/>
  <c r="P104" s="1"/>
  <c r="P173" s="1"/>
  <c r="V18" i="22" s="1"/>
  <c r="P29" i="6"/>
  <c r="P95" s="1"/>
  <c r="P164" s="1"/>
  <c r="V9" i="22" s="1"/>
  <c r="P58" i="6"/>
  <c r="P124" s="1"/>
  <c r="P193" s="1"/>
  <c r="V38" i="22" s="1"/>
  <c r="P55" i="6"/>
  <c r="P121" s="1"/>
  <c r="P190" s="1"/>
  <c r="V35" i="22" s="1"/>
  <c r="P37" i="6"/>
  <c r="P103" s="1"/>
  <c r="P172" s="1"/>
  <c r="V17" i="22" s="1"/>
  <c r="P52" i="6"/>
  <c r="P118" s="1"/>
  <c r="P187" s="1"/>
  <c r="V32" i="22" s="1"/>
  <c r="P60" i="6"/>
  <c r="P126" s="1"/>
  <c r="P195" s="1"/>
  <c r="V40" i="22" s="1"/>
  <c r="P82" i="6"/>
  <c r="P148" s="1"/>
  <c r="P217" s="1"/>
  <c r="V62" i="22" s="1"/>
  <c r="P67" i="6"/>
  <c r="P133" s="1"/>
  <c r="P202" s="1"/>
  <c r="V47" i="22" s="1"/>
  <c r="P74" i="6"/>
  <c r="P140" s="1"/>
  <c r="P209" s="1"/>
  <c r="V54" i="22" s="1"/>
  <c r="P66" i="6"/>
  <c r="P132" s="1"/>
  <c r="P201" s="1"/>
  <c r="V46" i="22" s="1"/>
  <c r="P75" i="6"/>
  <c r="P141" s="1"/>
  <c r="P210" s="1"/>
  <c r="V55" i="22" s="1"/>
  <c r="P45" i="6"/>
  <c r="P111" s="1"/>
  <c r="P180" s="1"/>
  <c r="V25" i="22" s="1"/>
  <c r="P59" i="6"/>
  <c r="P125" s="1"/>
  <c r="P194" s="1"/>
  <c r="V39" i="22" s="1"/>
  <c r="P51" i="6"/>
  <c r="P117" s="1"/>
  <c r="P186" s="1"/>
  <c r="V31" i="22" s="1"/>
  <c r="P61" i="6"/>
  <c r="P127" s="1"/>
  <c r="P196" s="1"/>
  <c r="V41" i="22" s="1"/>
  <c r="P48" i="6"/>
  <c r="P114" s="1"/>
  <c r="P183" s="1"/>
  <c r="V28" i="22" s="1"/>
  <c r="P81" i="6"/>
  <c r="P147" s="1"/>
  <c r="P216" s="1"/>
  <c r="V61" i="22" s="1"/>
  <c r="P46" i="6"/>
  <c r="P112" s="1"/>
  <c r="P181" s="1"/>
  <c r="V26" i="22" s="1"/>
  <c r="P76" i="6"/>
  <c r="P142" s="1"/>
  <c r="P211" s="1"/>
  <c r="V56" i="22" s="1"/>
  <c r="P42" i="6"/>
  <c r="P108" s="1"/>
  <c r="P177" s="1"/>
  <c r="V22" i="22" s="1"/>
  <c r="P71" i="6"/>
  <c r="P137" s="1"/>
  <c r="P206" s="1"/>
  <c r="V51" i="22" s="1"/>
  <c r="P53" i="6"/>
  <c r="P119" s="1"/>
  <c r="P188" s="1"/>
  <c r="V33" i="22" s="1"/>
  <c r="P28" i="6"/>
  <c r="P94" s="1"/>
  <c r="P163" s="1"/>
  <c r="V8" i="22" s="1"/>
  <c r="P69" i="6"/>
  <c r="P135" s="1"/>
  <c r="P204" s="1"/>
  <c r="V49" i="22" s="1"/>
  <c r="P39" i="6"/>
  <c r="P105" s="1"/>
  <c r="P174" s="1"/>
  <c r="V19" i="22" s="1"/>
  <c r="P26" i="6"/>
  <c r="P92" s="1"/>
  <c r="P161" s="1"/>
  <c r="V6" i="22" s="1"/>
  <c r="P57" i="6"/>
  <c r="P123" s="1"/>
  <c r="P192" s="1"/>
  <c r="V37" i="22" s="1"/>
  <c r="P31" i="6"/>
  <c r="P97" s="1"/>
  <c r="P166" s="1"/>
  <c r="V11" i="22" s="1"/>
  <c r="P32" i="6"/>
  <c r="P98" s="1"/>
  <c r="P167" s="1"/>
  <c r="V12" i="22" s="1"/>
  <c r="P79" i="6"/>
  <c r="P145" s="1"/>
  <c r="P214" s="1"/>
  <c r="V59" i="22" s="1"/>
  <c r="P49" i="6"/>
  <c r="P115" s="1"/>
  <c r="P184" s="1"/>
  <c r="V29" i="22" s="1"/>
  <c r="P33" i="6"/>
  <c r="P99" s="1"/>
  <c r="P168" s="1"/>
  <c r="V13" i="22" s="1"/>
  <c r="P30" i="6"/>
  <c r="P96" s="1"/>
  <c r="P165" s="1"/>
  <c r="V10" i="22" s="1"/>
  <c r="P68" i="6"/>
  <c r="P134" s="1"/>
  <c r="P203" s="1"/>
  <c r="V48" i="22" s="1"/>
  <c r="P27" i="6"/>
  <c r="P93" s="1"/>
  <c r="P162" s="1"/>
  <c r="V7" i="22" s="1"/>
  <c r="P40" i="6"/>
  <c r="P106" s="1"/>
  <c r="P175" s="1"/>
  <c r="V20" i="22" s="1"/>
  <c r="P25" i="6"/>
  <c r="P91" s="1"/>
  <c r="P160" s="1"/>
  <c r="V5" i="22" s="1"/>
  <c r="P34" i="6"/>
  <c r="P100" s="1"/>
  <c r="P169" s="1"/>
  <c r="V14" i="22" s="1"/>
  <c r="P54" i="6"/>
  <c r="P120" s="1"/>
  <c r="P189" s="1"/>
  <c r="V34" i="22" s="1"/>
  <c r="P80" i="6"/>
  <c r="P146" s="1"/>
  <c r="P215" s="1"/>
  <c r="V60" i="22" s="1"/>
  <c r="P78" i="6"/>
  <c r="P144" s="1"/>
  <c r="P213" s="1"/>
  <c r="V58" i="22" s="1"/>
  <c r="P44" i="6"/>
  <c r="P110" s="1"/>
  <c r="P179" s="1"/>
  <c r="V24" i="22" s="1"/>
  <c r="P41" i="6"/>
  <c r="P107" s="1"/>
  <c r="P176" s="1"/>
  <c r="V21" i="22" s="1"/>
  <c r="P63" i="6"/>
  <c r="P129" s="1"/>
  <c r="P198" s="1"/>
  <c r="V43" i="22" s="1"/>
  <c r="P43" i="6"/>
  <c r="P109" s="1"/>
  <c r="P178" s="1"/>
  <c r="V23" i="22" s="1"/>
  <c r="P65" i="6"/>
  <c r="P131" s="1"/>
  <c r="P200" s="1"/>
  <c r="V45" i="22" s="1"/>
  <c r="P50" i="6"/>
  <c r="P116" s="1"/>
  <c r="P185" s="1"/>
  <c r="V30" i="22" s="1"/>
  <c r="P77" i="6"/>
  <c r="P143" s="1"/>
  <c r="P212" s="1"/>
  <c r="V57" i="22" s="1"/>
  <c r="P24" i="6"/>
  <c r="P90" s="1"/>
  <c r="P159" s="1"/>
  <c r="V4" i="22" s="1"/>
  <c r="P23" i="6"/>
  <c r="P36"/>
  <c r="P102" s="1"/>
  <c r="P171" s="1"/>
  <c r="V16" i="22" s="1"/>
  <c r="P70" i="6"/>
  <c r="P136" s="1"/>
  <c r="P205" s="1"/>
  <c r="V50" i="22" s="1"/>
  <c r="P56" i="6"/>
  <c r="P122" s="1"/>
  <c r="P191" s="1"/>
  <c r="V36" i="22" s="1"/>
  <c r="G18" i="6"/>
  <c r="G64"/>
  <c r="G130" s="1"/>
  <c r="G199" s="1"/>
  <c r="M44" i="22" s="1"/>
  <c r="G52" i="6"/>
  <c r="G118" s="1"/>
  <c r="G187" s="1"/>
  <c r="M32" i="22" s="1"/>
  <c r="G35" i="6"/>
  <c r="G101" s="1"/>
  <c r="G170" s="1"/>
  <c r="M15" i="22" s="1"/>
  <c r="G51" i="6"/>
  <c r="G117" s="1"/>
  <c r="G186" s="1"/>
  <c r="M31" i="22" s="1"/>
  <c r="G58" i="6"/>
  <c r="G124" s="1"/>
  <c r="G193" s="1"/>
  <c r="M38" i="22" s="1"/>
  <c r="G55" i="6"/>
  <c r="G121" s="1"/>
  <c r="G190" s="1"/>
  <c r="M35" i="22" s="1"/>
  <c r="G62" i="6"/>
  <c r="G128" s="1"/>
  <c r="G197" s="1"/>
  <c r="M42" i="22" s="1"/>
  <c r="G59" i="6"/>
  <c r="G125" s="1"/>
  <c r="G194" s="1"/>
  <c r="M39" i="22" s="1"/>
  <c r="G38" i="6"/>
  <c r="G104" s="1"/>
  <c r="G173" s="1"/>
  <c r="M18" i="22" s="1"/>
  <c r="G66" i="6"/>
  <c r="G132" s="1"/>
  <c r="G201" s="1"/>
  <c r="M46" i="22" s="1"/>
  <c r="G75" i="6"/>
  <c r="G141" s="1"/>
  <c r="G210" s="1"/>
  <c r="M55" i="22" s="1"/>
  <c r="G60" i="6"/>
  <c r="G126" s="1"/>
  <c r="G195" s="1"/>
  <c r="M40" i="22" s="1"/>
  <c r="G72" i="6"/>
  <c r="G138" s="1"/>
  <c r="G207" s="1"/>
  <c r="M52" i="22" s="1"/>
  <c r="G82" i="6"/>
  <c r="G148" s="1"/>
  <c r="G217" s="1"/>
  <c r="M62" i="22" s="1"/>
  <c r="G67" i="6"/>
  <c r="G133" s="1"/>
  <c r="G202" s="1"/>
  <c r="M47" i="22" s="1"/>
  <c r="G29" i="6"/>
  <c r="G95" s="1"/>
  <c r="G164" s="1"/>
  <c r="M9" i="22" s="1"/>
  <c r="G61" i="6"/>
  <c r="G127" s="1"/>
  <c r="G196" s="1"/>
  <c r="M41" i="22" s="1"/>
  <c r="G47" i="6"/>
  <c r="G113" s="1"/>
  <c r="G182" s="1"/>
  <c r="M27" i="22" s="1"/>
  <c r="G45" i="6"/>
  <c r="G111" s="1"/>
  <c r="G180" s="1"/>
  <c r="M25" i="22" s="1"/>
  <c r="G37" i="6"/>
  <c r="G103" s="1"/>
  <c r="G172" s="1"/>
  <c r="M17" i="22" s="1"/>
  <c r="G73" i="6"/>
  <c r="G139" s="1"/>
  <c r="G208" s="1"/>
  <c r="M53" i="22" s="1"/>
  <c r="G74" i="6"/>
  <c r="G140" s="1"/>
  <c r="G209" s="1"/>
  <c r="M54" i="22" s="1"/>
  <c r="G48" i="6"/>
  <c r="G114" s="1"/>
  <c r="G183" s="1"/>
  <c r="M28" i="22" s="1"/>
  <c r="G81" i="6"/>
  <c r="G147" s="1"/>
  <c r="G216" s="1"/>
  <c r="M61" i="22" s="1"/>
  <c r="G71" i="6"/>
  <c r="G137" s="1"/>
  <c r="G206" s="1"/>
  <c r="M51" i="22" s="1"/>
  <c r="G41" i="6"/>
  <c r="G107" s="1"/>
  <c r="G176" s="1"/>
  <c r="M21" i="22" s="1"/>
  <c r="G69" i="6"/>
  <c r="G135" s="1"/>
  <c r="G204" s="1"/>
  <c r="M49" i="22" s="1"/>
  <c r="G26" i="6"/>
  <c r="G92" s="1"/>
  <c r="G161" s="1"/>
  <c r="M6" i="22" s="1"/>
  <c r="G34" i="6"/>
  <c r="G100" s="1"/>
  <c r="G169" s="1"/>
  <c r="M14" i="22" s="1"/>
  <c r="G30" i="6"/>
  <c r="G96" s="1"/>
  <c r="G165" s="1"/>
  <c r="M10" i="22" s="1"/>
  <c r="G24" i="6"/>
  <c r="G90" s="1"/>
  <c r="G159" s="1"/>
  <c r="M4" i="22" s="1"/>
  <c r="G40" i="6"/>
  <c r="G106" s="1"/>
  <c r="G175" s="1"/>
  <c r="M20" i="22" s="1"/>
  <c r="G44" i="6"/>
  <c r="G110" s="1"/>
  <c r="G179" s="1"/>
  <c r="M24" i="22" s="1"/>
  <c r="G76" i="6"/>
  <c r="G142" s="1"/>
  <c r="G211" s="1"/>
  <c r="M56" i="22" s="1"/>
  <c r="G42" i="6"/>
  <c r="G108" s="1"/>
  <c r="G177" s="1"/>
  <c r="M22" i="22" s="1"/>
  <c r="G78" i="6"/>
  <c r="G144" s="1"/>
  <c r="G213" s="1"/>
  <c r="M58" i="22" s="1"/>
  <c r="G70" i="6"/>
  <c r="G136" s="1"/>
  <c r="G205" s="1"/>
  <c r="M50" i="22" s="1"/>
  <c r="G80" i="6"/>
  <c r="G146" s="1"/>
  <c r="G215" s="1"/>
  <c r="M60" i="22" s="1"/>
  <c r="G39" i="6"/>
  <c r="G105" s="1"/>
  <c r="G174" s="1"/>
  <c r="M19" i="22" s="1"/>
  <c r="G65" i="6"/>
  <c r="G131" s="1"/>
  <c r="G200" s="1"/>
  <c r="M45" i="22" s="1"/>
  <c r="G57" i="6"/>
  <c r="G123" s="1"/>
  <c r="G192" s="1"/>
  <c r="M37" i="22" s="1"/>
  <c r="G56" i="6"/>
  <c r="G122" s="1"/>
  <c r="G191" s="1"/>
  <c r="M36" i="22" s="1"/>
  <c r="G32" i="6"/>
  <c r="G98" s="1"/>
  <c r="G167" s="1"/>
  <c r="M12" i="22" s="1"/>
  <c r="G49" i="6"/>
  <c r="G115" s="1"/>
  <c r="G184" s="1"/>
  <c r="M29" i="22" s="1"/>
  <c r="G33" i="6"/>
  <c r="G99" s="1"/>
  <c r="G168" s="1"/>
  <c r="M13" i="22" s="1"/>
  <c r="G43" i="6"/>
  <c r="G109" s="1"/>
  <c r="G178" s="1"/>
  <c r="M23" i="22" s="1"/>
  <c r="G23" i="6"/>
  <c r="G27"/>
  <c r="G93" s="1"/>
  <c r="G162" s="1"/>
  <c r="M7" i="22" s="1"/>
  <c r="G36" i="6"/>
  <c r="G102" s="1"/>
  <c r="G171" s="1"/>
  <c r="M16" i="22" s="1"/>
  <c r="G25" i="6"/>
  <c r="G91" s="1"/>
  <c r="G160" s="1"/>
  <c r="M5" i="22" s="1"/>
  <c r="G28" i="6"/>
  <c r="G94" s="1"/>
  <c r="G163" s="1"/>
  <c r="M8" i="22" s="1"/>
  <c r="G31" i="6"/>
  <c r="G97" s="1"/>
  <c r="G166" s="1"/>
  <c r="M11" i="22" s="1"/>
  <c r="G50" i="6"/>
  <c r="G116" s="1"/>
  <c r="G185" s="1"/>
  <c r="M30" i="22" s="1"/>
  <c r="G77" i="6"/>
  <c r="G143" s="1"/>
  <c r="G212" s="1"/>
  <c r="M57" i="22" s="1"/>
  <c r="G54" i="6"/>
  <c r="G120" s="1"/>
  <c r="G189" s="1"/>
  <c r="M34" i="22" s="1"/>
  <c r="G53" i="6"/>
  <c r="G119" s="1"/>
  <c r="G188" s="1"/>
  <c r="M33" i="22" s="1"/>
  <c r="G63" i="6"/>
  <c r="G129" s="1"/>
  <c r="G198" s="1"/>
  <c r="M43" i="22" s="1"/>
  <c r="G79" i="6"/>
  <c r="G145" s="1"/>
  <c r="G214" s="1"/>
  <c r="M59" i="22" s="1"/>
  <c r="G68" i="6"/>
  <c r="G134" s="1"/>
  <c r="G203" s="1"/>
  <c r="M48" i="22" s="1"/>
  <c r="G46" i="6"/>
  <c r="G112" s="1"/>
  <c r="G181" s="1"/>
  <c r="M26" i="22" s="1"/>
  <c r="N18" i="6"/>
  <c r="N73"/>
  <c r="N139" s="1"/>
  <c r="N208" s="1"/>
  <c r="T53" i="22" s="1"/>
  <c r="N66" i="6"/>
  <c r="N132" s="1"/>
  <c r="N201" s="1"/>
  <c r="T46" i="22" s="1"/>
  <c r="N61" i="6"/>
  <c r="N127" s="1"/>
  <c r="N196" s="1"/>
  <c r="T41" i="22" s="1"/>
  <c r="N58" i="6"/>
  <c r="N124" s="1"/>
  <c r="N193" s="1"/>
  <c r="T38" i="22" s="1"/>
  <c r="N47" i="6"/>
  <c r="N113" s="1"/>
  <c r="N182" s="1"/>
  <c r="T27" i="22" s="1"/>
  <c r="N75" i="6"/>
  <c r="N141" s="1"/>
  <c r="N210" s="1"/>
  <c r="T55" i="22" s="1"/>
  <c r="N37" i="6"/>
  <c r="N103" s="1"/>
  <c r="N172" s="1"/>
  <c r="T17" i="22" s="1"/>
  <c r="N60" i="6"/>
  <c r="N126" s="1"/>
  <c r="N195" s="1"/>
  <c r="T40" i="22" s="1"/>
  <c r="N72" i="6"/>
  <c r="N138" s="1"/>
  <c r="N207" s="1"/>
  <c r="T52" i="22" s="1"/>
  <c r="N67" i="6"/>
  <c r="N133" s="1"/>
  <c r="N202" s="1"/>
  <c r="T47" i="22" s="1"/>
  <c r="N74" i="6"/>
  <c r="N140" s="1"/>
  <c r="N209" s="1"/>
  <c r="T54" i="22" s="1"/>
  <c r="N55" i="6"/>
  <c r="N121" s="1"/>
  <c r="N190" s="1"/>
  <c r="T35" i="22" s="1"/>
  <c r="N45" i="6"/>
  <c r="N111" s="1"/>
  <c r="N180" s="1"/>
  <c r="T25" i="22" s="1"/>
  <c r="N64" i="6"/>
  <c r="N130" s="1"/>
  <c r="N199" s="1"/>
  <c r="T44" i="22" s="1"/>
  <c r="N82" i="6"/>
  <c r="N148" s="1"/>
  <c r="N217" s="1"/>
  <c r="T62" i="22" s="1"/>
  <c r="N59" i="6"/>
  <c r="N125" s="1"/>
  <c r="N194" s="1"/>
  <c r="T39" i="22" s="1"/>
  <c r="N38" i="6"/>
  <c r="N104" s="1"/>
  <c r="N173" s="1"/>
  <c r="T18" i="22" s="1"/>
  <c r="N48" i="6"/>
  <c r="N114" s="1"/>
  <c r="N183" s="1"/>
  <c r="T28" i="22" s="1"/>
  <c r="N81" i="6"/>
  <c r="N147" s="1"/>
  <c r="N216" s="1"/>
  <c r="T61" i="22" s="1"/>
  <c r="N62" i="6"/>
  <c r="N128" s="1"/>
  <c r="N197" s="1"/>
  <c r="T42" i="22" s="1"/>
  <c r="N52" i="6"/>
  <c r="N118" s="1"/>
  <c r="N187" s="1"/>
  <c r="T32" i="22" s="1"/>
  <c r="N35" i="6"/>
  <c r="N101" s="1"/>
  <c r="N170" s="1"/>
  <c r="T15" i="22" s="1"/>
  <c r="N51" i="6"/>
  <c r="N117" s="1"/>
  <c r="N186" s="1"/>
  <c r="T31" i="22" s="1"/>
  <c r="N29" i="6"/>
  <c r="N95" s="1"/>
  <c r="N164" s="1"/>
  <c r="T9" i="22" s="1"/>
  <c r="N68" i="6"/>
  <c r="N134" s="1"/>
  <c r="N203" s="1"/>
  <c r="T48" i="22" s="1"/>
  <c r="N42" i="6"/>
  <c r="N108" s="1"/>
  <c r="N177" s="1"/>
  <c r="T22" i="22" s="1"/>
  <c r="N27" i="6"/>
  <c r="N93" s="1"/>
  <c r="N162" s="1"/>
  <c r="T7" i="22" s="1"/>
  <c r="N40" i="6"/>
  <c r="N106" s="1"/>
  <c r="N175" s="1"/>
  <c r="T20" i="22" s="1"/>
  <c r="N25" i="6"/>
  <c r="N91" s="1"/>
  <c r="N160" s="1"/>
  <c r="T5" i="22" s="1"/>
  <c r="N53" i="6"/>
  <c r="N119" s="1"/>
  <c r="N188" s="1"/>
  <c r="T33" i="22" s="1"/>
  <c r="N70" i="6"/>
  <c r="N136" s="1"/>
  <c r="N205" s="1"/>
  <c r="T50" i="22" s="1"/>
  <c r="N63" i="6"/>
  <c r="N129" s="1"/>
  <c r="N198" s="1"/>
  <c r="T43" i="22" s="1"/>
  <c r="N50" i="6"/>
  <c r="N116" s="1"/>
  <c r="N185" s="1"/>
  <c r="T30" i="22" s="1"/>
  <c r="N77" i="6"/>
  <c r="N143" s="1"/>
  <c r="N212" s="1"/>
  <c r="T57" i="22" s="1"/>
  <c r="N56" i="6"/>
  <c r="N122" s="1"/>
  <c r="N191" s="1"/>
  <c r="T36" i="22" s="1"/>
  <c r="N30" i="6"/>
  <c r="N96" s="1"/>
  <c r="N165" s="1"/>
  <c r="T10" i="22" s="1"/>
  <c r="N33" i="6"/>
  <c r="N99" s="1"/>
  <c r="N168" s="1"/>
  <c r="T13" i="22" s="1"/>
  <c r="N78" i="6"/>
  <c r="N144" s="1"/>
  <c r="N213" s="1"/>
  <c r="T58" i="22" s="1"/>
  <c r="N39" i="6"/>
  <c r="N105" s="1"/>
  <c r="N174" s="1"/>
  <c r="T19" i="22" s="1"/>
  <c r="N65" i="6"/>
  <c r="N131" s="1"/>
  <c r="N200" s="1"/>
  <c r="T45" i="22" s="1"/>
  <c r="N57" i="6"/>
  <c r="N123" s="1"/>
  <c r="N192" s="1"/>
  <c r="T37" i="22" s="1"/>
  <c r="N31" i="6"/>
  <c r="N97" s="1"/>
  <c r="N166" s="1"/>
  <c r="T11" i="22" s="1"/>
  <c r="N32" i="6"/>
  <c r="N98" s="1"/>
  <c r="N167" s="1"/>
  <c r="T12" i="22" s="1"/>
  <c r="N36" i="6"/>
  <c r="N102" s="1"/>
  <c r="N171" s="1"/>
  <c r="T16" i="22" s="1"/>
  <c r="N54" i="6"/>
  <c r="N120" s="1"/>
  <c r="N189" s="1"/>
  <c r="T34" i="22" s="1"/>
  <c r="N76" i="6"/>
  <c r="N142" s="1"/>
  <c r="N211" s="1"/>
  <c r="T56" i="22" s="1"/>
  <c r="N44" i="6"/>
  <c r="N110" s="1"/>
  <c r="N179" s="1"/>
  <c r="T24" i="22" s="1"/>
  <c r="N41" i="6"/>
  <c r="N107" s="1"/>
  <c r="N176" s="1"/>
  <c r="T21" i="22" s="1"/>
  <c r="N28" i="6"/>
  <c r="N94" s="1"/>
  <c r="N163" s="1"/>
  <c r="T8" i="22" s="1"/>
  <c r="N43" i="6"/>
  <c r="N109" s="1"/>
  <c r="N178" s="1"/>
  <c r="T23" i="22" s="1"/>
  <c r="N69" i="6"/>
  <c r="N135" s="1"/>
  <c r="N204" s="1"/>
  <c r="T49" i="22" s="1"/>
  <c r="N80" i="6"/>
  <c r="N146" s="1"/>
  <c r="N215" s="1"/>
  <c r="T60" i="22" s="1"/>
  <c r="N34" i="6"/>
  <c r="N100" s="1"/>
  <c r="N169" s="1"/>
  <c r="T14" i="22" s="1"/>
  <c r="N24" i="6"/>
  <c r="N90" s="1"/>
  <c r="N159" s="1"/>
  <c r="T4" i="22" s="1"/>
  <c r="N26" i="6"/>
  <c r="N92" s="1"/>
  <c r="N161" s="1"/>
  <c r="T6" i="22" s="1"/>
  <c r="N46" i="6"/>
  <c r="N112" s="1"/>
  <c r="N181" s="1"/>
  <c r="T26" i="22" s="1"/>
  <c r="N23" i="6"/>
  <c r="N71"/>
  <c r="N137" s="1"/>
  <c r="N206" s="1"/>
  <c r="T51" i="22" s="1"/>
  <c r="N79" i="6"/>
  <c r="N145" s="1"/>
  <c r="N214" s="1"/>
  <c r="T59" i="22" s="1"/>
  <c r="N49" i="6"/>
  <c r="N115" s="1"/>
  <c r="N184" s="1"/>
  <c r="T29" i="22" s="1"/>
  <c r="M18" i="6"/>
  <c r="M62"/>
  <c r="M128" s="1"/>
  <c r="M197" s="1"/>
  <c r="S42" i="22" s="1"/>
  <c r="M60" i="6"/>
  <c r="M126" s="1"/>
  <c r="M195" s="1"/>
  <c r="S40" i="22" s="1"/>
  <c r="M82" i="6"/>
  <c r="M148" s="1"/>
  <c r="M217" s="1"/>
  <c r="S62" i="22" s="1"/>
  <c r="M67" i="6"/>
  <c r="M133" s="1"/>
  <c r="M202" s="1"/>
  <c r="S47" i="22" s="1"/>
  <c r="M38" i="6"/>
  <c r="M104" s="1"/>
  <c r="M173" s="1"/>
  <c r="S18" i="22" s="1"/>
  <c r="M66" i="6"/>
  <c r="M132" s="1"/>
  <c r="M201" s="1"/>
  <c r="S46" i="22" s="1"/>
  <c r="M58" i="6"/>
  <c r="M124" s="1"/>
  <c r="M193" s="1"/>
  <c r="S38" i="22" s="1"/>
  <c r="M55" i="6"/>
  <c r="M121" s="1"/>
  <c r="M190" s="1"/>
  <c r="S35" i="22" s="1"/>
  <c r="M75" i="6"/>
  <c r="M141" s="1"/>
  <c r="M210" s="1"/>
  <c r="S55" i="22" s="1"/>
  <c r="M64" i="6"/>
  <c r="M130" s="1"/>
  <c r="M199" s="1"/>
  <c r="S44" i="22" s="1"/>
  <c r="M37" i="6"/>
  <c r="M103" s="1"/>
  <c r="M172" s="1"/>
  <c r="S17" i="22" s="1"/>
  <c r="M73" i="6"/>
  <c r="M139" s="1"/>
  <c r="M208" s="1"/>
  <c r="S53" i="22" s="1"/>
  <c r="M52" i="6"/>
  <c r="M118" s="1"/>
  <c r="M187" s="1"/>
  <c r="S32" i="22" s="1"/>
  <c r="M35" i="6"/>
  <c r="M101" s="1"/>
  <c r="M170" s="1"/>
  <c r="S15" i="22" s="1"/>
  <c r="M51" i="6"/>
  <c r="M117" s="1"/>
  <c r="M186" s="1"/>
  <c r="S31" i="22" s="1"/>
  <c r="M74" i="6"/>
  <c r="M140" s="1"/>
  <c r="M209" s="1"/>
  <c r="S54" i="22" s="1"/>
  <c r="M61" i="6"/>
  <c r="M127" s="1"/>
  <c r="M196" s="1"/>
  <c r="S41" i="22" s="1"/>
  <c r="M81" i="6"/>
  <c r="M147" s="1"/>
  <c r="M216" s="1"/>
  <c r="S61" i="22" s="1"/>
  <c r="M59" i="6"/>
  <c r="M125" s="1"/>
  <c r="M194" s="1"/>
  <c r="S39" i="22" s="1"/>
  <c r="M29" i="6"/>
  <c r="M95" s="1"/>
  <c r="M164" s="1"/>
  <c r="S9" i="22" s="1"/>
  <c r="M48" i="6"/>
  <c r="M114" s="1"/>
  <c r="M183" s="1"/>
  <c r="S28" i="22" s="1"/>
  <c r="M45" i="6"/>
  <c r="M111" s="1"/>
  <c r="M180" s="1"/>
  <c r="S25" i="22" s="1"/>
  <c r="M72" i="6"/>
  <c r="M138" s="1"/>
  <c r="M207" s="1"/>
  <c r="S52" i="22" s="1"/>
  <c r="M47" i="6"/>
  <c r="M113" s="1"/>
  <c r="M182" s="1"/>
  <c r="S27" i="22" s="1"/>
  <c r="M42" i="6"/>
  <c r="M108" s="1"/>
  <c r="M177" s="1"/>
  <c r="S22" i="22" s="1"/>
  <c r="M71" i="6"/>
  <c r="M137" s="1"/>
  <c r="M206" s="1"/>
  <c r="S51" i="22" s="1"/>
  <c r="M40" i="6"/>
  <c r="M106" s="1"/>
  <c r="M175" s="1"/>
  <c r="S20" i="22" s="1"/>
  <c r="M41" i="6"/>
  <c r="M107" s="1"/>
  <c r="M176" s="1"/>
  <c r="S21" i="22" s="1"/>
  <c r="M69" i="6"/>
  <c r="M135" s="1"/>
  <c r="M204" s="1"/>
  <c r="S49" i="22" s="1"/>
  <c r="M80" i="6"/>
  <c r="M146" s="1"/>
  <c r="M215" s="1"/>
  <c r="S60" i="22" s="1"/>
  <c r="M27" i="6"/>
  <c r="M93" s="1"/>
  <c r="M162" s="1"/>
  <c r="S7" i="22" s="1"/>
  <c r="M63" i="6"/>
  <c r="M129" s="1"/>
  <c r="M198" s="1"/>
  <c r="S43" i="22" s="1"/>
  <c r="M34" i="6"/>
  <c r="M100" s="1"/>
  <c r="M169" s="1"/>
  <c r="S14" i="22" s="1"/>
  <c r="M49" i="6"/>
  <c r="M115" s="1"/>
  <c r="M184" s="1"/>
  <c r="S29" i="22" s="1"/>
  <c r="M76" i="6"/>
  <c r="M142" s="1"/>
  <c r="M211" s="1"/>
  <c r="S56" i="22" s="1"/>
  <c r="M23" i="6"/>
  <c r="M44"/>
  <c r="M110" s="1"/>
  <c r="M179" s="1"/>
  <c r="S24" i="22" s="1"/>
  <c r="M70" i="6"/>
  <c r="M136" s="1"/>
  <c r="M205" s="1"/>
  <c r="S50" i="22" s="1"/>
  <c r="M28" i="6"/>
  <c r="M94" s="1"/>
  <c r="M163" s="1"/>
  <c r="S8" i="22" s="1"/>
  <c r="M26" i="6"/>
  <c r="M92" s="1"/>
  <c r="M161" s="1"/>
  <c r="S6" i="22" s="1"/>
  <c r="M56" i="6"/>
  <c r="M122" s="1"/>
  <c r="M191" s="1"/>
  <c r="S36" i="22" s="1"/>
  <c r="M24" i="6"/>
  <c r="M90" s="1"/>
  <c r="M159" s="1"/>
  <c r="S4" i="22" s="1"/>
  <c r="M31" i="6"/>
  <c r="M97" s="1"/>
  <c r="M166" s="1"/>
  <c r="S11" i="22" s="1"/>
  <c r="M46" i="6"/>
  <c r="M112" s="1"/>
  <c r="M181" s="1"/>
  <c r="S26" i="22" s="1"/>
  <c r="M36" i="6"/>
  <c r="M102" s="1"/>
  <c r="M171" s="1"/>
  <c r="S16" i="22" s="1"/>
  <c r="M25" i="6"/>
  <c r="M91" s="1"/>
  <c r="M160" s="1"/>
  <c r="S5" i="22" s="1"/>
  <c r="M53" i="6"/>
  <c r="M119" s="1"/>
  <c r="M188" s="1"/>
  <c r="S33" i="22" s="1"/>
  <c r="M43" i="6"/>
  <c r="M109" s="1"/>
  <c r="M178" s="1"/>
  <c r="S23" i="22" s="1"/>
  <c r="M39" i="6"/>
  <c r="M105" s="1"/>
  <c r="M174" s="1"/>
  <c r="S19" i="22" s="1"/>
  <c r="M50" i="6"/>
  <c r="M116" s="1"/>
  <c r="M185" s="1"/>
  <c r="S30" i="22" s="1"/>
  <c r="M77" i="6"/>
  <c r="M143" s="1"/>
  <c r="M212" s="1"/>
  <c r="S57" i="22" s="1"/>
  <c r="M32" i="6"/>
  <c r="M98" s="1"/>
  <c r="M167" s="1"/>
  <c r="S12" i="22" s="1"/>
  <c r="M79" i="6"/>
  <c r="M145" s="1"/>
  <c r="M214" s="1"/>
  <c r="S59" i="22" s="1"/>
  <c r="M78" i="6"/>
  <c r="M144" s="1"/>
  <c r="M213" s="1"/>
  <c r="S58" i="22" s="1"/>
  <c r="M65" i="6"/>
  <c r="M131" s="1"/>
  <c r="M200" s="1"/>
  <c r="S45" i="22" s="1"/>
  <c r="M30" i="6"/>
  <c r="M96" s="1"/>
  <c r="M165" s="1"/>
  <c r="S10" i="22" s="1"/>
  <c r="M54" i="6"/>
  <c r="M120" s="1"/>
  <c r="M189" s="1"/>
  <c r="S34" i="22" s="1"/>
  <c r="M33" i="6"/>
  <c r="M99" s="1"/>
  <c r="M168" s="1"/>
  <c r="S13" i="22" s="1"/>
  <c r="M68" i="6"/>
  <c r="M134" s="1"/>
  <c r="M203" s="1"/>
  <c r="S48" i="22" s="1"/>
  <c r="M57" i="6"/>
  <c r="M123" s="1"/>
  <c r="M192" s="1"/>
  <c r="S37" i="22" s="1"/>
  <c r="W18" i="6"/>
  <c r="W73"/>
  <c r="W139" s="1"/>
  <c r="W208" s="1"/>
  <c r="AC53" i="22" s="1"/>
  <c r="W62" i="6"/>
  <c r="W128" s="1"/>
  <c r="W197" s="1"/>
  <c r="AC42" i="22" s="1"/>
  <c r="W60" i="6"/>
  <c r="W126" s="1"/>
  <c r="W195" s="1"/>
  <c r="AC40" i="22" s="1"/>
  <c r="W51" i="6"/>
  <c r="W117" s="1"/>
  <c r="W186" s="1"/>
  <c r="AC31" i="22" s="1"/>
  <c r="W38" i="6"/>
  <c r="W104" s="1"/>
  <c r="W173" s="1"/>
  <c r="AC18" i="22" s="1"/>
  <c r="W61" i="6"/>
  <c r="W127" s="1"/>
  <c r="W196" s="1"/>
  <c r="AC41" i="22" s="1"/>
  <c r="W75" i="6"/>
  <c r="W141" s="1"/>
  <c r="W210" s="1"/>
  <c r="AC55" i="22" s="1"/>
  <c r="W64" i="6"/>
  <c r="W130" s="1"/>
  <c r="W199" s="1"/>
  <c r="AC44" i="22" s="1"/>
  <c r="W37" i="6"/>
  <c r="W103" s="1"/>
  <c r="W172" s="1"/>
  <c r="AC17" i="22" s="1"/>
  <c r="W72" i="6"/>
  <c r="W138" s="1"/>
  <c r="W207" s="1"/>
  <c r="AC52" i="22" s="1"/>
  <c r="W74" i="6"/>
  <c r="W140" s="1"/>
  <c r="W209" s="1"/>
  <c r="AC54" i="22" s="1"/>
  <c r="W29" i="6"/>
  <c r="W95" s="1"/>
  <c r="W164" s="1"/>
  <c r="AC9" i="22" s="1"/>
  <c r="W66" i="6"/>
  <c r="W132" s="1"/>
  <c r="W201" s="1"/>
  <c r="AC46" i="22" s="1"/>
  <c r="W58" i="6"/>
  <c r="W124" s="1"/>
  <c r="W193" s="1"/>
  <c r="AC38" i="22" s="1"/>
  <c r="W55" i="6"/>
  <c r="W121" s="1"/>
  <c r="W190" s="1"/>
  <c r="AC35" i="22" s="1"/>
  <c r="W47" i="6"/>
  <c r="W113" s="1"/>
  <c r="W182" s="1"/>
  <c r="AC27" i="22" s="1"/>
  <c r="W52" i="6"/>
  <c r="W118" s="1"/>
  <c r="W187" s="1"/>
  <c r="AC32" i="22" s="1"/>
  <c r="W48" i="6"/>
  <c r="W114" s="1"/>
  <c r="W183" s="1"/>
  <c r="AC28" i="22" s="1"/>
  <c r="W45" i="6"/>
  <c r="W111" s="1"/>
  <c r="W180" s="1"/>
  <c r="AC25" i="22" s="1"/>
  <c r="W35" i="6"/>
  <c r="W101" s="1"/>
  <c r="W170" s="1"/>
  <c r="AC15" i="22" s="1"/>
  <c r="W82" i="6"/>
  <c r="W148" s="1"/>
  <c r="W217" s="1"/>
  <c r="AC62" i="22" s="1"/>
  <c r="W59" i="6"/>
  <c r="W125" s="1"/>
  <c r="W194" s="1"/>
  <c r="AC39" i="22" s="1"/>
  <c r="W67" i="6"/>
  <c r="W133" s="1"/>
  <c r="W202" s="1"/>
  <c r="AC47" i="22" s="1"/>
  <c r="W81" i="6"/>
  <c r="W147" s="1"/>
  <c r="W216" s="1"/>
  <c r="AC61" i="22" s="1"/>
  <c r="W46" i="6"/>
  <c r="W112" s="1"/>
  <c r="W181" s="1"/>
  <c r="AC26" i="22" s="1"/>
  <c r="W36" i="6"/>
  <c r="W102" s="1"/>
  <c r="W171" s="1"/>
  <c r="AC16" i="22" s="1"/>
  <c r="W44" i="6"/>
  <c r="W110" s="1"/>
  <c r="W179" s="1"/>
  <c r="AC24" i="22" s="1"/>
  <c r="W25" i="6"/>
  <c r="W91" s="1"/>
  <c r="W160" s="1"/>
  <c r="AC5" i="22" s="1"/>
  <c r="W53" i="6"/>
  <c r="W119" s="1"/>
  <c r="W188" s="1"/>
  <c r="AC33" i="22" s="1"/>
  <c r="W43" i="6"/>
  <c r="W109" s="1"/>
  <c r="W178" s="1"/>
  <c r="AC23" i="22" s="1"/>
  <c r="W31" i="6"/>
  <c r="W97" s="1"/>
  <c r="W166" s="1"/>
  <c r="AC11" i="22" s="1"/>
  <c r="W32" i="6"/>
  <c r="W98" s="1"/>
  <c r="W167" s="1"/>
  <c r="AC12" i="22" s="1"/>
  <c r="W30" i="6"/>
  <c r="W96" s="1"/>
  <c r="W165" s="1"/>
  <c r="AC10" i="22" s="1"/>
  <c r="W24" i="6"/>
  <c r="W90" s="1"/>
  <c r="W159" s="1"/>
  <c r="AC4" i="22" s="1"/>
  <c r="W49" i="6"/>
  <c r="W115" s="1"/>
  <c r="W184" s="1"/>
  <c r="AC29" i="22" s="1"/>
  <c r="W26" i="6"/>
  <c r="W92" s="1"/>
  <c r="W161" s="1"/>
  <c r="AC6" i="22" s="1"/>
  <c r="W68" i="6"/>
  <c r="W134" s="1"/>
  <c r="W203" s="1"/>
  <c r="AC48" i="22" s="1"/>
  <c r="W23" i="6"/>
  <c r="W71"/>
  <c r="W137" s="1"/>
  <c r="W206" s="1"/>
  <c r="AC51" i="22" s="1"/>
  <c r="W28" i="6"/>
  <c r="W94" s="1"/>
  <c r="W163" s="1"/>
  <c r="AC8" i="22" s="1"/>
  <c r="W63" i="6"/>
  <c r="W129" s="1"/>
  <c r="W198" s="1"/>
  <c r="AC43" i="22" s="1"/>
  <c r="W80" i="6"/>
  <c r="W146" s="1"/>
  <c r="W215" s="1"/>
  <c r="AC60" i="22" s="1"/>
  <c r="W39" i="6"/>
  <c r="W105" s="1"/>
  <c r="W174" s="1"/>
  <c r="AC19" i="22" s="1"/>
  <c r="W50" i="6"/>
  <c r="W116" s="1"/>
  <c r="W185" s="1"/>
  <c r="AC30" i="22" s="1"/>
  <c r="W77" i="6"/>
  <c r="W143" s="1"/>
  <c r="W212" s="1"/>
  <c r="AC57" i="22" s="1"/>
  <c r="W76" i="6"/>
  <c r="W142" s="1"/>
  <c r="W211" s="1"/>
  <c r="AC56" i="22" s="1"/>
  <c r="W27" i="6"/>
  <c r="W93" s="1"/>
  <c r="W162" s="1"/>
  <c r="AC7" i="22" s="1"/>
  <c r="W40" i="6"/>
  <c r="W106" s="1"/>
  <c r="W175" s="1"/>
  <c r="AC20" i="22" s="1"/>
  <c r="W78" i="6"/>
  <c r="W144" s="1"/>
  <c r="W213" s="1"/>
  <c r="AC58" i="22" s="1"/>
  <c r="W41" i="6"/>
  <c r="W107" s="1"/>
  <c r="W176" s="1"/>
  <c r="AC21" i="22" s="1"/>
  <c r="W70" i="6"/>
  <c r="W136" s="1"/>
  <c r="W205" s="1"/>
  <c r="AC50" i="22" s="1"/>
  <c r="W57" i="6"/>
  <c r="W123" s="1"/>
  <c r="W192" s="1"/>
  <c r="AC37" i="22" s="1"/>
  <c r="W56" i="6"/>
  <c r="W122" s="1"/>
  <c r="W191" s="1"/>
  <c r="AC36" i="22" s="1"/>
  <c r="W34" i="6"/>
  <c r="W100" s="1"/>
  <c r="W169" s="1"/>
  <c r="AC14" i="22" s="1"/>
  <c r="W54" i="6"/>
  <c r="W120" s="1"/>
  <c r="W189" s="1"/>
  <c r="AC34" i="22" s="1"/>
  <c r="W79" i="6"/>
  <c r="W145" s="1"/>
  <c r="W214" s="1"/>
  <c r="AC59" i="22" s="1"/>
  <c r="W42" i="6"/>
  <c r="W108" s="1"/>
  <c r="W177" s="1"/>
  <c r="AC22" i="22" s="1"/>
  <c r="W69" i="6"/>
  <c r="W135" s="1"/>
  <c r="W204" s="1"/>
  <c r="AC49" i="22" s="1"/>
  <c r="W65" i="6"/>
  <c r="W131" s="1"/>
  <c r="W200" s="1"/>
  <c r="AC45" i="22" s="1"/>
  <c r="W33" i="6"/>
  <c r="W99" s="1"/>
  <c r="W168" s="1"/>
  <c r="AC13" i="22" s="1"/>
  <c r="E18" i="6"/>
  <c r="E37"/>
  <c r="E103" s="1"/>
  <c r="E172" s="1"/>
  <c r="E82"/>
  <c r="E148" s="1"/>
  <c r="E217" s="1"/>
  <c r="E74"/>
  <c r="E140" s="1"/>
  <c r="E209" s="1"/>
  <c r="E29"/>
  <c r="E95" s="1"/>
  <c r="E164" s="1"/>
  <c r="E55"/>
  <c r="E121" s="1"/>
  <c r="E190" s="1"/>
  <c r="E52"/>
  <c r="E118" s="1"/>
  <c r="E187" s="1"/>
  <c r="E60"/>
  <c r="E126" s="1"/>
  <c r="E195" s="1"/>
  <c r="E51"/>
  <c r="E117" s="1"/>
  <c r="E186" s="1"/>
  <c r="E67"/>
  <c r="E133" s="1"/>
  <c r="E202" s="1"/>
  <c r="E38"/>
  <c r="E104" s="1"/>
  <c r="E173" s="1"/>
  <c r="E61"/>
  <c r="E127" s="1"/>
  <c r="E196" s="1"/>
  <c r="E73"/>
  <c r="E139" s="1"/>
  <c r="E208" s="1"/>
  <c r="E72"/>
  <c r="E138" s="1"/>
  <c r="E207" s="1"/>
  <c r="E35"/>
  <c r="E101" s="1"/>
  <c r="E170" s="1"/>
  <c r="E59"/>
  <c r="E125" s="1"/>
  <c r="E194" s="1"/>
  <c r="E58"/>
  <c r="E124" s="1"/>
  <c r="E193" s="1"/>
  <c r="E48"/>
  <c r="E114" s="1"/>
  <c r="E183" s="1"/>
  <c r="E81"/>
  <c r="E147" s="1"/>
  <c r="E216" s="1"/>
  <c r="E75"/>
  <c r="E141" s="1"/>
  <c r="E210" s="1"/>
  <c r="E45"/>
  <c r="E111" s="1"/>
  <c r="E180" s="1"/>
  <c r="E64"/>
  <c r="E130" s="1"/>
  <c r="E199" s="1"/>
  <c r="E62"/>
  <c r="E128" s="1"/>
  <c r="E197" s="1"/>
  <c r="E66"/>
  <c r="E132" s="1"/>
  <c r="E201" s="1"/>
  <c r="E47"/>
  <c r="E113" s="1"/>
  <c r="E182" s="1"/>
  <c r="E68"/>
  <c r="E134" s="1"/>
  <c r="E203" s="1"/>
  <c r="E23"/>
  <c r="E42"/>
  <c r="E108" s="1"/>
  <c r="E177" s="1"/>
  <c r="E36"/>
  <c r="E102" s="1"/>
  <c r="E171" s="1"/>
  <c r="E50"/>
  <c r="E116" s="1"/>
  <c r="E185" s="1"/>
  <c r="E54"/>
  <c r="E120" s="1"/>
  <c r="E189" s="1"/>
  <c r="E28"/>
  <c r="E94" s="1"/>
  <c r="E163" s="1"/>
  <c r="E69"/>
  <c r="E135" s="1"/>
  <c r="E204" s="1"/>
  <c r="E56"/>
  <c r="E122" s="1"/>
  <c r="E191" s="1"/>
  <c r="E32"/>
  <c r="E98" s="1"/>
  <c r="E167" s="1"/>
  <c r="E44"/>
  <c r="E110" s="1"/>
  <c r="E179" s="1"/>
  <c r="E63"/>
  <c r="E129" s="1"/>
  <c r="E198" s="1"/>
  <c r="E43"/>
  <c r="E109" s="1"/>
  <c r="E178" s="1"/>
  <c r="E26"/>
  <c r="E92" s="1"/>
  <c r="E161" s="1"/>
  <c r="E34"/>
  <c r="E100" s="1"/>
  <c r="E169" s="1"/>
  <c r="E79"/>
  <c r="E145" s="1"/>
  <c r="E214" s="1"/>
  <c r="E24"/>
  <c r="E90" s="1"/>
  <c r="E159" s="1"/>
  <c r="E33"/>
  <c r="E99" s="1"/>
  <c r="E168" s="1"/>
  <c r="E25"/>
  <c r="E91" s="1"/>
  <c r="E160" s="1"/>
  <c r="E53"/>
  <c r="E119" s="1"/>
  <c r="E188" s="1"/>
  <c r="E27"/>
  <c r="E93" s="1"/>
  <c r="E162" s="1"/>
  <c r="E40"/>
  <c r="E106" s="1"/>
  <c r="E175" s="1"/>
  <c r="E78"/>
  <c r="E144" s="1"/>
  <c r="E213" s="1"/>
  <c r="E70"/>
  <c r="E136" s="1"/>
  <c r="E205" s="1"/>
  <c r="E39"/>
  <c r="E105" s="1"/>
  <c r="E174" s="1"/>
  <c r="E65"/>
  <c r="E131" s="1"/>
  <c r="E200" s="1"/>
  <c r="E57"/>
  <c r="E123" s="1"/>
  <c r="E192" s="1"/>
  <c r="E49"/>
  <c r="E115" s="1"/>
  <c r="E184" s="1"/>
  <c r="E46"/>
  <c r="E112" s="1"/>
  <c r="E181" s="1"/>
  <c r="E71"/>
  <c r="E137" s="1"/>
  <c r="E206" s="1"/>
  <c r="E80"/>
  <c r="E146" s="1"/>
  <c r="E215" s="1"/>
  <c r="E31"/>
  <c r="E97" s="1"/>
  <c r="E166" s="1"/>
  <c r="E76"/>
  <c r="E142" s="1"/>
  <c r="E211" s="1"/>
  <c r="E41"/>
  <c r="E107" s="1"/>
  <c r="E176" s="1"/>
  <c r="E77"/>
  <c r="E143" s="1"/>
  <c r="E212" s="1"/>
  <c r="E30"/>
  <c r="E96" s="1"/>
  <c r="E165" s="1"/>
  <c r="S18"/>
  <c r="S37"/>
  <c r="S103" s="1"/>
  <c r="S172" s="1"/>
  <c r="Y17" i="22" s="1"/>
  <c r="S59" i="6"/>
  <c r="S125" s="1"/>
  <c r="S194" s="1"/>
  <c r="Y39" i="22" s="1"/>
  <c r="S67" i="6"/>
  <c r="S133" s="1"/>
  <c r="S202" s="1"/>
  <c r="Y47" i="22" s="1"/>
  <c r="S74" i="6"/>
  <c r="S140" s="1"/>
  <c r="S209" s="1"/>
  <c r="Y54" i="22" s="1"/>
  <c r="S29" i="6"/>
  <c r="S95" s="1"/>
  <c r="S164" s="1"/>
  <c r="Y9" i="22" s="1"/>
  <c r="S64" i="6"/>
  <c r="S130" s="1"/>
  <c r="S199" s="1"/>
  <c r="Y44" i="22" s="1"/>
  <c r="S73" i="6"/>
  <c r="S139" s="1"/>
  <c r="S208" s="1"/>
  <c r="Y53" i="22" s="1"/>
  <c r="S35" i="6"/>
  <c r="S101" s="1"/>
  <c r="S170" s="1"/>
  <c r="Y15" i="22" s="1"/>
  <c r="S48" i="6"/>
  <c r="S114" s="1"/>
  <c r="S183" s="1"/>
  <c r="Y28" i="22" s="1"/>
  <c r="S81" i="6"/>
  <c r="S147" s="1"/>
  <c r="S216" s="1"/>
  <c r="Y61" i="22" s="1"/>
  <c r="S47" i="6"/>
  <c r="S113" s="1"/>
  <c r="S182" s="1"/>
  <c r="Y27" i="22" s="1"/>
  <c r="S45" i="6"/>
  <c r="S111" s="1"/>
  <c r="S180" s="1"/>
  <c r="Y25" i="22" s="1"/>
  <c r="S62" i="6"/>
  <c r="S128" s="1"/>
  <c r="S197" s="1"/>
  <c r="Y42" i="22" s="1"/>
  <c r="S52" i="6"/>
  <c r="S118" s="1"/>
  <c r="S187" s="1"/>
  <c r="Y32" i="22" s="1"/>
  <c r="S72" i="6"/>
  <c r="S138" s="1"/>
  <c r="S207" s="1"/>
  <c r="Y52" i="22" s="1"/>
  <c r="S51" i="6"/>
  <c r="S117" s="1"/>
  <c r="S186" s="1"/>
  <c r="Y31" i="22" s="1"/>
  <c r="S38" i="6"/>
  <c r="S104" s="1"/>
  <c r="S173" s="1"/>
  <c r="Y18" i="22" s="1"/>
  <c r="S61" i="6"/>
  <c r="S127" s="1"/>
  <c r="S196" s="1"/>
  <c r="Y41" i="22" s="1"/>
  <c r="S55" i="6"/>
  <c r="S121" s="1"/>
  <c r="S190" s="1"/>
  <c r="Y35" i="22" s="1"/>
  <c r="S60" i="6"/>
  <c r="S126" s="1"/>
  <c r="S195" s="1"/>
  <c r="Y40" i="22" s="1"/>
  <c r="S82" i="6"/>
  <c r="S148" s="1"/>
  <c r="S217" s="1"/>
  <c r="Y62" i="22" s="1"/>
  <c r="S66" i="6"/>
  <c r="S132" s="1"/>
  <c r="S201" s="1"/>
  <c r="Y46" i="22" s="1"/>
  <c r="S58" i="6"/>
  <c r="S124" s="1"/>
  <c r="S193" s="1"/>
  <c r="Y38" i="22" s="1"/>
  <c r="S75" i="6"/>
  <c r="S141" s="1"/>
  <c r="S210" s="1"/>
  <c r="Y55" i="22" s="1"/>
  <c r="S46" i="6"/>
  <c r="S112" s="1"/>
  <c r="S181" s="1"/>
  <c r="Y26" i="22" s="1"/>
  <c r="S76" i="6"/>
  <c r="S142" s="1"/>
  <c r="S211" s="1"/>
  <c r="Y56" i="22" s="1"/>
  <c r="S78" i="6"/>
  <c r="S144" s="1"/>
  <c r="S213" s="1"/>
  <c r="Y58" i="22" s="1"/>
  <c r="S25" i="6"/>
  <c r="S91" s="1"/>
  <c r="S160" s="1"/>
  <c r="Y5" i="22" s="1"/>
  <c r="S28" i="6"/>
  <c r="S94" s="1"/>
  <c r="S163" s="1"/>
  <c r="Y8" i="22" s="1"/>
  <c r="S43" i="6"/>
  <c r="S109" s="1"/>
  <c r="S178" s="1"/>
  <c r="Y23" i="22" s="1"/>
  <c r="S57" i="6"/>
  <c r="S123" s="1"/>
  <c r="S192" s="1"/>
  <c r="Y37" i="22" s="1"/>
  <c r="S77" i="6"/>
  <c r="S143" s="1"/>
  <c r="S212" s="1"/>
  <c r="Y57" i="22" s="1"/>
  <c r="S24" i="6"/>
  <c r="S90" s="1"/>
  <c r="S159" s="1"/>
  <c r="Y4" i="22" s="1"/>
  <c r="S41" i="6"/>
  <c r="S107" s="1"/>
  <c r="S176" s="1"/>
  <c r="Y21" i="22" s="1"/>
  <c r="S54" i="6"/>
  <c r="S120" s="1"/>
  <c r="S189" s="1"/>
  <c r="Y34" i="22" s="1"/>
  <c r="S68" i="6"/>
  <c r="S134" s="1"/>
  <c r="S203" s="1"/>
  <c r="Y48" i="22" s="1"/>
  <c r="S23" i="6"/>
  <c r="S27"/>
  <c r="S93" s="1"/>
  <c r="S162" s="1"/>
  <c r="Y7" i="22" s="1"/>
  <c r="S36" i="6"/>
  <c r="S102" s="1"/>
  <c r="S171" s="1"/>
  <c r="Y16" i="22" s="1"/>
  <c r="S70" i="6"/>
  <c r="S136" s="1"/>
  <c r="S205" s="1"/>
  <c r="Y50" i="22" s="1"/>
  <c r="S26" i="6"/>
  <c r="S92" s="1"/>
  <c r="S161" s="1"/>
  <c r="Y6" i="22" s="1"/>
  <c r="S31" i="6"/>
  <c r="S97" s="1"/>
  <c r="S166" s="1"/>
  <c r="Y11" i="22" s="1"/>
  <c r="S34" i="6"/>
  <c r="S100" s="1"/>
  <c r="S169" s="1"/>
  <c r="Y14" i="22" s="1"/>
  <c r="S33" i="6"/>
  <c r="S99" s="1"/>
  <c r="S168" s="1"/>
  <c r="Y13" i="22" s="1"/>
  <c r="S42" i="6"/>
  <c r="S108" s="1"/>
  <c r="S177" s="1"/>
  <c r="Y22" i="22" s="1"/>
  <c r="S44" i="6"/>
  <c r="S110" s="1"/>
  <c r="S179" s="1"/>
  <c r="Y24" i="22" s="1"/>
  <c r="S56" i="6"/>
  <c r="S122" s="1"/>
  <c r="S191" s="1"/>
  <c r="Y36" i="22" s="1"/>
  <c r="S49" i="6"/>
  <c r="S115" s="1"/>
  <c r="S184" s="1"/>
  <c r="Y29" i="22" s="1"/>
  <c r="S53" i="6"/>
  <c r="S119" s="1"/>
  <c r="S188" s="1"/>
  <c r="Y33" i="22" s="1"/>
  <c r="S63" i="6"/>
  <c r="S129" s="1"/>
  <c r="S198" s="1"/>
  <c r="Y43" i="22" s="1"/>
  <c r="S80" i="6"/>
  <c r="S146" s="1"/>
  <c r="S215" s="1"/>
  <c r="Y60" i="22" s="1"/>
  <c r="S65" i="6"/>
  <c r="S131" s="1"/>
  <c r="S200" s="1"/>
  <c r="Y45" i="22" s="1"/>
  <c r="S32" i="6"/>
  <c r="S98" s="1"/>
  <c r="S167" s="1"/>
  <c r="Y12" i="22" s="1"/>
  <c r="S30" i="6"/>
  <c r="S96" s="1"/>
  <c r="S165" s="1"/>
  <c r="Y10" i="22" s="1"/>
  <c r="S79" i="6"/>
  <c r="S145" s="1"/>
  <c r="S214" s="1"/>
  <c r="Y59" i="22" s="1"/>
  <c r="S69" i="6"/>
  <c r="S135" s="1"/>
  <c r="S204" s="1"/>
  <c r="Y49" i="22" s="1"/>
  <c r="S39" i="6"/>
  <c r="S105" s="1"/>
  <c r="S174" s="1"/>
  <c r="Y19" i="22" s="1"/>
  <c r="S71" i="6"/>
  <c r="S137" s="1"/>
  <c r="S206" s="1"/>
  <c r="Y51" i="22" s="1"/>
  <c r="S40" i="6"/>
  <c r="S106" s="1"/>
  <c r="S175" s="1"/>
  <c r="Y20" i="22" s="1"/>
  <c r="S50" i="6"/>
  <c r="S116" s="1"/>
  <c r="S185" s="1"/>
  <c r="Y30" i="22" s="1"/>
  <c r="V18" i="6"/>
  <c r="V64"/>
  <c r="V130" s="1"/>
  <c r="V199" s="1"/>
  <c r="AB44" i="22" s="1"/>
  <c r="V37" i="6"/>
  <c r="V103" s="1"/>
  <c r="V172" s="1"/>
  <c r="AB17" i="22" s="1"/>
  <c r="V62" i="6"/>
  <c r="V128" s="1"/>
  <c r="V197" s="1"/>
  <c r="AB42" i="22" s="1"/>
  <c r="V72" i="6"/>
  <c r="V138" s="1"/>
  <c r="V207" s="1"/>
  <c r="AB52" i="22" s="1"/>
  <c r="V38" i="6"/>
  <c r="V104" s="1"/>
  <c r="V173" s="1"/>
  <c r="AB18" i="22" s="1"/>
  <c r="V81" i="6"/>
  <c r="V147" s="1"/>
  <c r="V216" s="1"/>
  <c r="AB61" i="22" s="1"/>
  <c r="V52" i="6"/>
  <c r="V118" s="1"/>
  <c r="V187" s="1"/>
  <c r="AB32" i="22" s="1"/>
  <c r="V59" i="6"/>
  <c r="V125" s="1"/>
  <c r="V194" s="1"/>
  <c r="AB39" i="22" s="1"/>
  <c r="V67" i="6"/>
  <c r="V133" s="1"/>
  <c r="V202" s="1"/>
  <c r="AB47" i="22" s="1"/>
  <c r="V29" i="6"/>
  <c r="V95" s="1"/>
  <c r="V164" s="1"/>
  <c r="AB9" i="22" s="1"/>
  <c r="V58" i="6"/>
  <c r="V124" s="1"/>
  <c r="V193" s="1"/>
  <c r="AB38" i="22" s="1"/>
  <c r="V48" i="6"/>
  <c r="V114" s="1"/>
  <c r="V183" s="1"/>
  <c r="AB28" i="22" s="1"/>
  <c r="V73" i="6"/>
  <c r="V139" s="1"/>
  <c r="V208" s="1"/>
  <c r="AB53" i="22" s="1"/>
  <c r="V60" i="6"/>
  <c r="V126" s="1"/>
  <c r="V195" s="1"/>
  <c r="AB40" i="22" s="1"/>
  <c r="V47" i="6"/>
  <c r="V113" s="1"/>
  <c r="V182" s="1"/>
  <c r="AB27" i="22" s="1"/>
  <c r="V45" i="6"/>
  <c r="V111" s="1"/>
  <c r="V180" s="1"/>
  <c r="AB25" i="22" s="1"/>
  <c r="V35" i="6"/>
  <c r="V101" s="1"/>
  <c r="V170" s="1"/>
  <c r="AB15" i="22" s="1"/>
  <c r="V82" i="6"/>
  <c r="V148" s="1"/>
  <c r="V217" s="1"/>
  <c r="AB62" i="22" s="1"/>
  <c r="V51" i="6"/>
  <c r="V117" s="1"/>
  <c r="V186" s="1"/>
  <c r="AB31" i="22" s="1"/>
  <c r="V74" i="6"/>
  <c r="V140" s="1"/>
  <c r="V209" s="1"/>
  <c r="AB54" i="22" s="1"/>
  <c r="V66" i="6"/>
  <c r="V132" s="1"/>
  <c r="V201" s="1"/>
  <c r="AB46" i="22" s="1"/>
  <c r="V61" i="6"/>
  <c r="V127" s="1"/>
  <c r="V196" s="1"/>
  <c r="AB41" i="22" s="1"/>
  <c r="V55" i="6"/>
  <c r="V121" s="1"/>
  <c r="V190" s="1"/>
  <c r="AB35" i="22" s="1"/>
  <c r="V75" i="6"/>
  <c r="V141" s="1"/>
  <c r="V210" s="1"/>
  <c r="AB55" i="22" s="1"/>
  <c r="V76" i="6"/>
  <c r="V142" s="1"/>
  <c r="V211" s="1"/>
  <c r="AB56" i="22" s="1"/>
  <c r="V78" i="6"/>
  <c r="V144" s="1"/>
  <c r="V213" s="1"/>
  <c r="AB58" i="22" s="1"/>
  <c r="V44" i="6"/>
  <c r="V110" s="1"/>
  <c r="V179" s="1"/>
  <c r="AB24" i="22" s="1"/>
  <c r="V41" i="6"/>
  <c r="V107" s="1"/>
  <c r="V176" s="1"/>
  <c r="AB21" i="22" s="1"/>
  <c r="V53" i="6"/>
  <c r="V119" s="1"/>
  <c r="V188" s="1"/>
  <c r="AB33" i="22" s="1"/>
  <c r="V28" i="6"/>
  <c r="V94" s="1"/>
  <c r="V163" s="1"/>
  <c r="AB8" i="22" s="1"/>
  <c r="V63" i="6"/>
  <c r="V129" s="1"/>
  <c r="V198" s="1"/>
  <c r="AB43" i="22" s="1"/>
  <c r="V43" i="6"/>
  <c r="V109" s="1"/>
  <c r="V178" s="1"/>
  <c r="AB23" i="22" s="1"/>
  <c r="V39" i="6"/>
  <c r="V105" s="1"/>
  <c r="V174" s="1"/>
  <c r="AB19" i="22" s="1"/>
  <c r="V32" i="6"/>
  <c r="V98" s="1"/>
  <c r="V167" s="1"/>
  <c r="AB12" i="22" s="1"/>
  <c r="V36" i="6"/>
  <c r="V102" s="1"/>
  <c r="V171" s="1"/>
  <c r="AB16" i="22" s="1"/>
  <c r="V24" i="6"/>
  <c r="V90" s="1"/>
  <c r="V159" s="1"/>
  <c r="AB4" i="22" s="1"/>
  <c r="V46" i="6"/>
  <c r="V112" s="1"/>
  <c r="V181" s="1"/>
  <c r="AB26" i="22" s="1"/>
  <c r="V80" i="6"/>
  <c r="V146" s="1"/>
  <c r="V215" s="1"/>
  <c r="AB60" i="22" s="1"/>
  <c r="V57" i="6"/>
  <c r="V123" s="1"/>
  <c r="V192" s="1"/>
  <c r="AB37" i="22" s="1"/>
  <c r="V31" i="6"/>
  <c r="V97" s="1"/>
  <c r="V166" s="1"/>
  <c r="AB11" i="22" s="1"/>
  <c r="V50" i="6"/>
  <c r="V116" s="1"/>
  <c r="V185" s="1"/>
  <c r="AB30" i="22" s="1"/>
  <c r="V77" i="6"/>
  <c r="V143" s="1"/>
  <c r="V212" s="1"/>
  <c r="AB57" i="22" s="1"/>
  <c r="V56" i="6"/>
  <c r="V122" s="1"/>
  <c r="V191" s="1"/>
  <c r="AB36" i="22" s="1"/>
  <c r="V79" i="6"/>
  <c r="V145" s="1"/>
  <c r="V214" s="1"/>
  <c r="AB59" i="22" s="1"/>
  <c r="V27" i="6"/>
  <c r="V93" s="1"/>
  <c r="V162" s="1"/>
  <c r="AB7" i="22" s="1"/>
  <c r="V34" i="6"/>
  <c r="V100" s="1"/>
  <c r="V169" s="1"/>
  <c r="AB14" i="22" s="1"/>
  <c r="V54" i="6"/>
  <c r="V120" s="1"/>
  <c r="V189" s="1"/>
  <c r="AB34" i="22" s="1"/>
  <c r="V68" i="6"/>
  <c r="V134" s="1"/>
  <c r="V203" s="1"/>
  <c r="AB48" i="22" s="1"/>
  <c r="V23" i="6"/>
  <c r="V42"/>
  <c r="V108" s="1"/>
  <c r="V177" s="1"/>
  <c r="AB22" i="22" s="1"/>
  <c r="V40" i="6"/>
  <c r="V106" s="1"/>
  <c r="V175" s="1"/>
  <c r="AB20" i="22" s="1"/>
  <c r="V25" i="6"/>
  <c r="V91" s="1"/>
  <c r="V160" s="1"/>
  <c r="AB5" i="22" s="1"/>
  <c r="V69" i="6"/>
  <c r="V135" s="1"/>
  <c r="V204" s="1"/>
  <c r="AB49" i="22" s="1"/>
  <c r="V26" i="6"/>
  <c r="V92" s="1"/>
  <c r="V161" s="1"/>
  <c r="AB6" i="22" s="1"/>
  <c r="V30" i="6"/>
  <c r="V96" s="1"/>
  <c r="V165" s="1"/>
  <c r="AB10" i="22" s="1"/>
  <c r="V33" i="6"/>
  <c r="V99" s="1"/>
  <c r="V168" s="1"/>
  <c r="AB13" i="22" s="1"/>
  <c r="V71" i="6"/>
  <c r="V137" s="1"/>
  <c r="V206" s="1"/>
  <c r="AB51" i="22" s="1"/>
  <c r="V70" i="6"/>
  <c r="V136" s="1"/>
  <c r="V205" s="1"/>
  <c r="AB50" i="22" s="1"/>
  <c r="V65" i="6"/>
  <c r="V131" s="1"/>
  <c r="V200" s="1"/>
  <c r="AB45" i="22" s="1"/>
  <c r="V49" i="6"/>
  <c r="V115" s="1"/>
  <c r="V184" s="1"/>
  <c r="AB29" i="22" s="1"/>
  <c r="V89" i="6" l="1"/>
  <c r="V84"/>
  <c r="K10" i="22"/>
  <c r="K11"/>
  <c r="K29"/>
  <c r="K50"/>
  <c r="K33"/>
  <c r="K59"/>
  <c r="K43"/>
  <c r="K49"/>
  <c r="K16"/>
  <c r="K27"/>
  <c r="K25"/>
  <c r="K38"/>
  <c r="K53"/>
  <c r="K31"/>
  <c r="K9"/>
  <c r="J89" i="6"/>
  <c r="J84"/>
  <c r="F89"/>
  <c r="F84"/>
  <c r="T84"/>
  <c r="T89"/>
  <c r="Z44"/>
  <c r="Y179" s="1"/>
  <c r="AE24" i="22" s="1"/>
  <c r="X110" i="6"/>
  <c r="X179" s="1"/>
  <c r="AD24" i="22" s="1"/>
  <c r="Z43" i="6"/>
  <c r="Y178" s="1"/>
  <c r="AE23" i="22" s="1"/>
  <c r="X109" i="6"/>
  <c r="X178" s="1"/>
  <c r="AD23" i="22" s="1"/>
  <c r="X97" i="6"/>
  <c r="X166" s="1"/>
  <c r="AD11" i="22" s="1"/>
  <c r="Z31" i="6"/>
  <c r="Y166" s="1"/>
  <c r="AE11" i="22" s="1"/>
  <c r="Z36" i="6"/>
  <c r="Y171" s="1"/>
  <c r="AE16" i="22" s="1"/>
  <c r="X102" i="6"/>
  <c r="X171" s="1"/>
  <c r="AD16" i="22" s="1"/>
  <c r="X112" i="6"/>
  <c r="X181" s="1"/>
  <c r="AD26" i="22" s="1"/>
  <c r="Z46" i="6"/>
  <c r="Y181" s="1"/>
  <c r="AE26" i="22" s="1"/>
  <c r="X120" i="6"/>
  <c r="X189" s="1"/>
  <c r="AD34" i="22" s="1"/>
  <c r="Z54" i="6"/>
  <c r="Y189" s="1"/>
  <c r="AE34" i="22" s="1"/>
  <c r="X105" i="6"/>
  <c r="X174" s="1"/>
  <c r="AD19" i="22" s="1"/>
  <c r="Z39" i="6"/>
  <c r="Y174" s="1"/>
  <c r="AE19" i="22" s="1"/>
  <c r="X107" i="6"/>
  <c r="X176" s="1"/>
  <c r="AD21" i="22" s="1"/>
  <c r="Z41" i="6"/>
  <c r="Y176" s="1"/>
  <c r="AE21" i="22" s="1"/>
  <c r="X93" i="6"/>
  <c r="X162" s="1"/>
  <c r="AD7" i="22" s="1"/>
  <c r="Z27" i="6"/>
  <c r="Y162" s="1"/>
  <c r="AE7" i="22" s="1"/>
  <c r="X95" i="6"/>
  <c r="X164" s="1"/>
  <c r="AD9" i="22" s="1"/>
  <c r="Z29" i="6"/>
  <c r="Y164" s="1"/>
  <c r="AE9" i="22" s="1"/>
  <c r="Z73" i="6"/>
  <c r="Y208" s="1"/>
  <c r="AE53" i="22" s="1"/>
  <c r="X139" i="6"/>
  <c r="X208" s="1"/>
  <c r="AD53" i="22" s="1"/>
  <c r="Z51" i="6"/>
  <c r="Y186" s="1"/>
  <c r="AE31" i="22" s="1"/>
  <c r="X117" i="6"/>
  <c r="X186" s="1"/>
  <c r="AD31" i="22" s="1"/>
  <c r="X111" i="6"/>
  <c r="X180" s="1"/>
  <c r="AD25" i="22" s="1"/>
  <c r="Z45" i="6"/>
  <c r="Y180" s="1"/>
  <c r="AE25" i="22" s="1"/>
  <c r="X133" i="6"/>
  <c r="X202" s="1"/>
  <c r="AD47" i="22" s="1"/>
  <c r="Z67" i="6"/>
  <c r="Y202" s="1"/>
  <c r="AE47" i="22" s="1"/>
  <c r="Z52" i="6"/>
  <c r="Y187" s="1"/>
  <c r="AE32" i="22" s="1"/>
  <c r="X118" i="6"/>
  <c r="X187" s="1"/>
  <c r="AD32" i="22" s="1"/>
  <c r="O89" i="6"/>
  <c r="O84"/>
  <c r="K56" i="22"/>
  <c r="K26"/>
  <c r="K19"/>
  <c r="AA174" i="6"/>
  <c r="K7" i="22"/>
  <c r="K4"/>
  <c r="K23"/>
  <c r="K36"/>
  <c r="K30"/>
  <c r="K48"/>
  <c r="K44"/>
  <c r="K28"/>
  <c r="K52"/>
  <c r="K47"/>
  <c r="K35"/>
  <c r="K17"/>
  <c r="W89" i="6"/>
  <c r="W84"/>
  <c r="M89"/>
  <c r="M84"/>
  <c r="N89"/>
  <c r="N84"/>
  <c r="X129"/>
  <c r="X198" s="1"/>
  <c r="AD43" i="22" s="1"/>
  <c r="Z63" i="6"/>
  <c r="Y198" s="1"/>
  <c r="AE43" i="22" s="1"/>
  <c r="X143" i="6"/>
  <c r="X212" s="1"/>
  <c r="AD57" i="22" s="1"/>
  <c r="Z77" i="6"/>
  <c r="Y212" s="1"/>
  <c r="AE57" i="22" s="1"/>
  <c r="Z30" i="6"/>
  <c r="Y165" s="1"/>
  <c r="AE10" i="22" s="1"/>
  <c r="X96" i="6"/>
  <c r="X165" s="1"/>
  <c r="AD10" i="22" s="1"/>
  <c r="X144" i="6"/>
  <c r="X213" s="1"/>
  <c r="AD58" i="22" s="1"/>
  <c r="Z78" i="6"/>
  <c r="Y213" s="1"/>
  <c r="AE58" i="22" s="1"/>
  <c r="X142" i="6"/>
  <c r="X211" s="1"/>
  <c r="AD56" i="22" s="1"/>
  <c r="Z76" i="6"/>
  <c r="Y211" s="1"/>
  <c r="AE56" i="22" s="1"/>
  <c r="X145" i="6"/>
  <c r="X214" s="1"/>
  <c r="AD59" i="22" s="1"/>
  <c r="Z79" i="6"/>
  <c r="Y214" s="1"/>
  <c r="AE59" i="22" s="1"/>
  <c r="Z26" i="6"/>
  <c r="Y161" s="1"/>
  <c r="AE6" i="22" s="1"/>
  <c r="X92" i="6"/>
  <c r="X161" s="1"/>
  <c r="AD6" i="22" s="1"/>
  <c r="Z57" i="6"/>
  <c r="Y192" s="1"/>
  <c r="AE37" i="22" s="1"/>
  <c r="X123" i="6"/>
  <c r="X192" s="1"/>
  <c r="AD37" i="22" s="1"/>
  <c r="X136" i="6"/>
  <c r="X205" s="1"/>
  <c r="AD50" i="22" s="1"/>
  <c r="Z70" i="6"/>
  <c r="Y205" s="1"/>
  <c r="AE50" i="22" s="1"/>
  <c r="X127" i="6"/>
  <c r="X196" s="1"/>
  <c r="AD41" i="22" s="1"/>
  <c r="Z61" i="6"/>
  <c r="Y196" s="1"/>
  <c r="AE41" i="22" s="1"/>
  <c r="Z62" i="6"/>
  <c r="Y197" s="1"/>
  <c r="AE42" i="22" s="1"/>
  <c r="X128" i="6"/>
  <c r="X197" s="1"/>
  <c r="AD42" i="22" s="1"/>
  <c r="Z66" i="6"/>
  <c r="Y201" s="1"/>
  <c r="AE46" i="22" s="1"/>
  <c r="X132" i="6"/>
  <c r="X201" s="1"/>
  <c r="AD46" i="22" s="1"/>
  <c r="X103" i="6"/>
  <c r="X172" s="1"/>
  <c r="AD17" i="22" s="1"/>
  <c r="Z37" i="6"/>
  <c r="Y172" s="1"/>
  <c r="AE17" i="22" s="1"/>
  <c r="X124" i="6"/>
  <c r="X193" s="1"/>
  <c r="AD38" i="22" s="1"/>
  <c r="Z58" i="6"/>
  <c r="Y193" s="1"/>
  <c r="AE38" i="22" s="1"/>
  <c r="X126" i="6"/>
  <c r="X195" s="1"/>
  <c r="AD40" i="22" s="1"/>
  <c r="Z60" i="6"/>
  <c r="Y195" s="1"/>
  <c r="AE40" i="22" s="1"/>
  <c r="K84" i="6"/>
  <c r="K89"/>
  <c r="S89"/>
  <c r="S84"/>
  <c r="K21" i="22"/>
  <c r="AA176" i="6"/>
  <c r="K51" i="22"/>
  <c r="K45"/>
  <c r="K20"/>
  <c r="K13"/>
  <c r="K6"/>
  <c r="AA161" i="6"/>
  <c r="K12" i="22"/>
  <c r="AA189" i="6"/>
  <c r="K34" i="22"/>
  <c r="E89" i="6"/>
  <c r="E84"/>
  <c r="K42" i="22"/>
  <c r="K61"/>
  <c r="K15"/>
  <c r="K18"/>
  <c r="K32"/>
  <c r="K62"/>
  <c r="G89" i="6"/>
  <c r="G84"/>
  <c r="H89"/>
  <c r="H84"/>
  <c r="I89"/>
  <c r="I84"/>
  <c r="Z32"/>
  <c r="Y167" s="1"/>
  <c r="AE12" i="22" s="1"/>
  <c r="X98" i="6"/>
  <c r="X167" s="1"/>
  <c r="AD12" i="22" s="1"/>
  <c r="Z68" i="6"/>
  <c r="Y203" s="1"/>
  <c r="AE48" i="22" s="1"/>
  <c r="X134" i="6"/>
  <c r="X203" s="1"/>
  <c r="AD48" i="22" s="1"/>
  <c r="Z49" i="6"/>
  <c r="Y184" s="1"/>
  <c r="AE29" i="22" s="1"/>
  <c r="X115" i="6"/>
  <c r="X184" s="1"/>
  <c r="AD29" i="22" s="1"/>
  <c r="X119" i="6"/>
  <c r="X188" s="1"/>
  <c r="AD33" i="22" s="1"/>
  <c r="Z53" i="6"/>
  <c r="Y188" s="1"/>
  <c r="AE33" i="22" s="1"/>
  <c r="X89" i="6"/>
  <c r="Z23"/>
  <c r="X84"/>
  <c r="Z24"/>
  <c r="Y159" s="1"/>
  <c r="AE4" i="22" s="1"/>
  <c r="X90" i="6"/>
  <c r="X159" s="1"/>
  <c r="AD4" i="22" s="1"/>
  <c r="Z65" i="6"/>
  <c r="Y200" s="1"/>
  <c r="AE45" i="22" s="1"/>
  <c r="X131" i="6"/>
  <c r="X200" s="1"/>
  <c r="AD45" i="22" s="1"/>
  <c r="X91" i="6"/>
  <c r="X160" s="1"/>
  <c r="AD5" i="22" s="1"/>
  <c r="Z25" i="6"/>
  <c r="Y160" s="1"/>
  <c r="AE5" i="22" s="1"/>
  <c r="X122" i="6"/>
  <c r="X191" s="1"/>
  <c r="AD36" i="22" s="1"/>
  <c r="Z56" i="6"/>
  <c r="Y191" s="1"/>
  <c r="AE36" i="22" s="1"/>
  <c r="Z48" i="6"/>
  <c r="Y183" s="1"/>
  <c r="AE28" i="22" s="1"/>
  <c r="X114" i="6"/>
  <c r="X183" s="1"/>
  <c r="AD28" i="22" s="1"/>
  <c r="Z38" i="6"/>
  <c r="Y173" s="1"/>
  <c r="AE18" i="22" s="1"/>
  <c r="X104" i="6"/>
  <c r="X173" s="1"/>
  <c r="AD18" i="22" s="1"/>
  <c r="Z81" i="6"/>
  <c r="Y216" s="1"/>
  <c r="AE61" i="22" s="1"/>
  <c r="X147" i="6"/>
  <c r="X216" s="1"/>
  <c r="AD61" i="22" s="1"/>
  <c r="Z72" i="6"/>
  <c r="Y207" s="1"/>
  <c r="AE52" i="22" s="1"/>
  <c r="X138" i="6"/>
  <c r="X207" s="1"/>
  <c r="AD52" i="22" s="1"/>
  <c r="X121" i="6"/>
  <c r="X190" s="1"/>
  <c r="AD35" i="22" s="1"/>
  <c r="Z55" i="6"/>
  <c r="Y190" s="1"/>
  <c r="AE35" i="22" s="1"/>
  <c r="X148" i="6"/>
  <c r="X217" s="1"/>
  <c r="AD62" i="22" s="1"/>
  <c r="Z82" i="6"/>
  <c r="Y217" s="1"/>
  <c r="AE62" i="22" s="1"/>
  <c r="L89" i="6"/>
  <c r="L84"/>
  <c r="R89"/>
  <c r="R84"/>
  <c r="AA212"/>
  <c r="K57" i="22"/>
  <c r="K60"/>
  <c r="K37"/>
  <c r="AA213" i="6"/>
  <c r="K58" i="22"/>
  <c r="K5"/>
  <c r="K14"/>
  <c r="K24"/>
  <c r="K8"/>
  <c r="K22"/>
  <c r="K46"/>
  <c r="K55"/>
  <c r="K39"/>
  <c r="K41"/>
  <c r="AA196" i="6"/>
  <c r="K40" i="22"/>
  <c r="K54"/>
  <c r="P89" i="6"/>
  <c r="P84"/>
  <c r="Q84"/>
  <c r="Q89"/>
  <c r="Z40"/>
  <c r="Y175" s="1"/>
  <c r="AE20" i="22" s="1"/>
  <c r="X106" i="6"/>
  <c r="X175" s="1"/>
  <c r="AD20" i="22" s="1"/>
  <c r="X94" i="6"/>
  <c r="X163" s="1"/>
  <c r="AD8" i="22" s="1"/>
  <c r="Z28" i="6"/>
  <c r="Y163" s="1"/>
  <c r="AE8" i="22" s="1"/>
  <c r="Z80" i="6"/>
  <c r="Y215" s="1"/>
  <c r="AE60" i="22" s="1"/>
  <c r="X146" i="6"/>
  <c r="X215" s="1"/>
  <c r="AD60" i="22" s="1"/>
  <c r="Z42" i="6"/>
  <c r="Y177" s="1"/>
  <c r="AE22" i="22" s="1"/>
  <c r="X108" i="6"/>
  <c r="X177" s="1"/>
  <c r="AD22" i="22" s="1"/>
  <c r="X99" i="6"/>
  <c r="X168" s="1"/>
  <c r="AD13" i="22" s="1"/>
  <c r="Z33" i="6"/>
  <c r="Y168" s="1"/>
  <c r="AE13" i="22" s="1"/>
  <c r="Z50" i="6"/>
  <c r="Y185" s="1"/>
  <c r="AE30" i="22" s="1"/>
  <c r="X116" i="6"/>
  <c r="X185" s="1"/>
  <c r="AD30" i="22" s="1"/>
  <c r="X135" i="6"/>
  <c r="X204" s="1"/>
  <c r="AD49" i="22" s="1"/>
  <c r="Z69" i="6"/>
  <c r="Y204" s="1"/>
  <c r="AE49" i="22" s="1"/>
  <c r="Z34" i="6"/>
  <c r="Y169" s="1"/>
  <c r="AE14" i="22" s="1"/>
  <c r="X100" i="6"/>
  <c r="X169" s="1"/>
  <c r="AD14" i="22" s="1"/>
  <c r="X137" i="6"/>
  <c r="X206" s="1"/>
  <c r="AD51" i="22" s="1"/>
  <c r="Z71" i="6"/>
  <c r="Y206" s="1"/>
  <c r="AE51" i="22" s="1"/>
  <c r="Z74" i="6"/>
  <c r="Y209" s="1"/>
  <c r="AE54" i="22" s="1"/>
  <c r="X140" i="6"/>
  <c r="X209" s="1"/>
  <c r="AD54" i="22" s="1"/>
  <c r="Z75" i="6"/>
  <c r="Y210" s="1"/>
  <c r="AE55" i="22" s="1"/>
  <c r="X141" i="6"/>
  <c r="X210" s="1"/>
  <c r="AD55" i="22" s="1"/>
  <c r="X101" i="6"/>
  <c r="X170" s="1"/>
  <c r="AD15" i="22" s="1"/>
  <c r="Z35" i="6"/>
  <c r="Y170" s="1"/>
  <c r="AE15" i="22" s="1"/>
  <c r="Z47" i="6"/>
  <c r="Y182" s="1"/>
  <c r="AE27" i="22" s="1"/>
  <c r="X113" i="6"/>
  <c r="X182" s="1"/>
  <c r="AD27" i="22" s="1"/>
  <c r="X125" i="6"/>
  <c r="X194" s="1"/>
  <c r="AD39" i="22" s="1"/>
  <c r="Z59" i="6"/>
  <c r="Y194" s="1"/>
  <c r="AE39" i="22" s="1"/>
  <c r="X130" i="6"/>
  <c r="X199" s="1"/>
  <c r="AD44" i="22" s="1"/>
  <c r="Z64" i="6"/>
  <c r="Y199" s="1"/>
  <c r="AE44" i="22" s="1"/>
  <c r="U89" i="6"/>
  <c r="U84"/>
  <c r="AA162" l="1"/>
  <c r="AA181"/>
  <c r="AA202"/>
  <c r="AA178"/>
  <c r="AA197"/>
  <c r="AA160"/>
  <c r="AA163"/>
  <c r="AA179"/>
  <c r="AA192"/>
  <c r="AA187"/>
  <c r="AA201"/>
  <c r="AA195"/>
  <c r="Q150"/>
  <c r="Q158"/>
  <c r="X150"/>
  <c r="X158"/>
  <c r="H158"/>
  <c r="H150"/>
  <c r="E158"/>
  <c r="E150"/>
  <c r="N150"/>
  <c r="N158"/>
  <c r="W150"/>
  <c r="W158"/>
  <c r="O158"/>
  <c r="O150"/>
  <c r="J158"/>
  <c r="J150"/>
  <c r="V150"/>
  <c r="V158"/>
  <c r="AA209"/>
  <c r="AA210"/>
  <c r="AA177"/>
  <c r="AA190"/>
  <c r="AA193"/>
  <c r="AA166"/>
  <c r="P158"/>
  <c r="P150"/>
  <c r="R158"/>
  <c r="R150"/>
  <c r="Y158"/>
  <c r="Y23"/>
  <c r="K150"/>
  <c r="K158"/>
  <c r="T150"/>
  <c r="T158"/>
  <c r="AA217"/>
  <c r="AA173"/>
  <c r="AA216"/>
  <c r="Z84"/>
  <c r="AA167"/>
  <c r="AA168"/>
  <c r="AA200"/>
  <c r="AA207"/>
  <c r="AA199"/>
  <c r="AA185"/>
  <c r="AA186"/>
  <c r="AA182"/>
  <c r="AA204"/>
  <c r="AA214"/>
  <c r="AA205"/>
  <c r="I150"/>
  <c r="I158"/>
  <c r="G150"/>
  <c r="G158"/>
  <c r="S150"/>
  <c r="S158"/>
  <c r="M158"/>
  <c r="M150"/>
  <c r="F150"/>
  <c r="F158"/>
  <c r="AA194"/>
  <c r="AA169"/>
  <c r="AA215"/>
  <c r="AA172"/>
  <c r="AA180"/>
  <c r="U150"/>
  <c r="U158"/>
  <c r="L158"/>
  <c r="L150"/>
  <c r="AA170"/>
  <c r="AA175"/>
  <c r="AA206"/>
  <c r="AA183"/>
  <c r="AA203"/>
  <c r="AA191"/>
  <c r="AA159"/>
  <c r="AA211"/>
  <c r="AA164"/>
  <c r="AA208"/>
  <c r="AA171"/>
  <c r="AA198"/>
  <c r="AA188"/>
  <c r="AA184"/>
  <c r="AA165"/>
  <c r="G241" l="1"/>
  <c r="G255"/>
  <c r="G240"/>
  <c r="G235"/>
  <c r="G253"/>
  <c r="G228"/>
  <c r="G237"/>
  <c r="G243"/>
  <c r="G231"/>
  <c r="G254"/>
  <c r="G219"/>
  <c r="G244"/>
  <c r="G281" s="1"/>
  <c r="G236"/>
  <c r="G273" s="1"/>
  <c r="G257"/>
  <c r="G230"/>
  <c r="G234"/>
  <c r="M3" i="22"/>
  <c r="G251" i="6"/>
  <c r="G256"/>
  <c r="G248"/>
  <c r="G232"/>
  <c r="G269" s="1"/>
  <c r="G249"/>
  <c r="G247"/>
  <c r="G233"/>
  <c r="G258"/>
  <c r="G242"/>
  <c r="G245"/>
  <c r="G282" s="1"/>
  <c r="G227"/>
  <c r="G264" s="1"/>
  <c r="G239"/>
  <c r="G229"/>
  <c r="G266" s="1"/>
  <c r="G246"/>
  <c r="G283" s="1"/>
  <c r="G238"/>
  <c r="G250"/>
  <c r="G252"/>
  <c r="G289" s="1"/>
  <c r="Y249"/>
  <c r="Y229"/>
  <c r="Y252"/>
  <c r="Y243"/>
  <c r="Y227"/>
  <c r="Y264" s="1"/>
  <c r="Y257"/>
  <c r="Y231"/>
  <c r="Y234"/>
  <c r="Y250"/>
  <c r="Y287" s="1"/>
  <c r="Y258"/>
  <c r="Y295" s="1"/>
  <c r="Y236"/>
  <c r="Y219"/>
  <c r="Y237"/>
  <c r="Y245"/>
  <c r="Y244"/>
  <c r="Y240"/>
  <c r="Y233"/>
  <c r="Y238"/>
  <c r="Y230"/>
  <c r="Y267" s="1"/>
  <c r="Y248"/>
  <c r="Y239"/>
  <c r="Y247"/>
  <c r="Y254"/>
  <c r="Y228"/>
  <c r="Y232"/>
  <c r="Y253"/>
  <c r="Y255"/>
  <c r="Y292" s="1"/>
  <c r="Y256"/>
  <c r="Y241"/>
  <c r="AE3" i="22"/>
  <c r="Y251" i="6"/>
  <c r="Y242"/>
  <c r="Y246"/>
  <c r="Y235"/>
  <c r="P239"/>
  <c r="P249"/>
  <c r="P255"/>
  <c r="P248"/>
  <c r="P234"/>
  <c r="P247"/>
  <c r="P229"/>
  <c r="P254"/>
  <c r="P233"/>
  <c r="P236"/>
  <c r="P252"/>
  <c r="P256"/>
  <c r="P250"/>
  <c r="P241"/>
  <c r="P245"/>
  <c r="P237"/>
  <c r="P227"/>
  <c r="P264" s="1"/>
  <c r="P251"/>
  <c r="P228"/>
  <c r="P232"/>
  <c r="P235"/>
  <c r="P272" s="1"/>
  <c r="P257"/>
  <c r="P253"/>
  <c r="P290" s="1"/>
  <c r="P219"/>
  <c r="P231"/>
  <c r="V3" i="22"/>
  <c r="P258" i="6"/>
  <c r="P240"/>
  <c r="P243"/>
  <c r="P230"/>
  <c r="P242"/>
  <c r="P238"/>
  <c r="P275" s="1"/>
  <c r="P244"/>
  <c r="P281" s="1"/>
  <c r="P246"/>
  <c r="O229"/>
  <c r="O246"/>
  <c r="O248"/>
  <c r="O251"/>
  <c r="O255"/>
  <c r="O252"/>
  <c r="O253"/>
  <c r="O290" s="1"/>
  <c r="O244"/>
  <c r="O258"/>
  <c r="O239"/>
  <c r="O230"/>
  <c r="O238"/>
  <c r="O235"/>
  <c r="U3" i="22"/>
  <c r="O219" i="6"/>
  <c r="O243"/>
  <c r="O227"/>
  <c r="O264" s="1"/>
  <c r="O242"/>
  <c r="O256"/>
  <c r="O254"/>
  <c r="O237"/>
  <c r="O236"/>
  <c r="O234"/>
  <c r="O249"/>
  <c r="O233"/>
  <c r="O250"/>
  <c r="O228"/>
  <c r="O231"/>
  <c r="O232"/>
  <c r="O241"/>
  <c r="O247"/>
  <c r="O284" s="1"/>
  <c r="O240"/>
  <c r="O257"/>
  <c r="O245"/>
  <c r="H245"/>
  <c r="H252"/>
  <c r="H241"/>
  <c r="H239"/>
  <c r="H231"/>
  <c r="H247"/>
  <c r="H228"/>
  <c r="H254"/>
  <c r="H258"/>
  <c r="H238"/>
  <c r="H233"/>
  <c r="H243"/>
  <c r="H255"/>
  <c r="H236"/>
  <c r="H248"/>
  <c r="H257"/>
  <c r="H237"/>
  <c r="H230"/>
  <c r="N3" i="22"/>
  <c r="H234" i="6"/>
  <c r="H251"/>
  <c r="H232"/>
  <c r="H249"/>
  <c r="H286" s="1"/>
  <c r="H250"/>
  <c r="H227"/>
  <c r="H264" s="1"/>
  <c r="H219"/>
  <c r="H240"/>
  <c r="H229"/>
  <c r="H235"/>
  <c r="H253"/>
  <c r="H290" s="1"/>
  <c r="H256"/>
  <c r="H246"/>
  <c r="H244"/>
  <c r="H281" s="1"/>
  <c r="H242"/>
  <c r="U257"/>
  <c r="U234"/>
  <c r="AA3" i="22"/>
  <c r="U229" i="6"/>
  <c r="U237"/>
  <c r="U227"/>
  <c r="U264" s="1"/>
  <c r="U233"/>
  <c r="U258"/>
  <c r="U230"/>
  <c r="U255"/>
  <c r="U245"/>
  <c r="U254"/>
  <c r="U249"/>
  <c r="U231"/>
  <c r="U248"/>
  <c r="U241"/>
  <c r="U242"/>
  <c r="U243"/>
  <c r="U244"/>
  <c r="U240"/>
  <c r="U228"/>
  <c r="U251"/>
  <c r="U236"/>
  <c r="U219"/>
  <c r="U239"/>
  <c r="U253"/>
  <c r="U256"/>
  <c r="U293" s="1"/>
  <c r="U235"/>
  <c r="U252"/>
  <c r="U247"/>
  <c r="U246"/>
  <c r="U283" s="1"/>
  <c r="U232"/>
  <c r="U238"/>
  <c r="U275" s="1"/>
  <c r="U250"/>
  <c r="T240"/>
  <c r="T250"/>
  <c r="T242"/>
  <c r="T249"/>
  <c r="T258"/>
  <c r="Z3" i="22"/>
  <c r="T230" i="6"/>
  <c r="T247"/>
  <c r="T253"/>
  <c r="T231"/>
  <c r="T254"/>
  <c r="T236"/>
  <c r="T252"/>
  <c r="T251"/>
  <c r="T288" s="1"/>
  <c r="T229"/>
  <c r="T219"/>
  <c r="T235"/>
  <c r="T244"/>
  <c r="T245"/>
  <c r="T227"/>
  <c r="T264" s="1"/>
  <c r="T257"/>
  <c r="T232"/>
  <c r="T269" s="1"/>
  <c r="T233"/>
  <c r="T243"/>
  <c r="T239"/>
  <c r="T238"/>
  <c r="T241"/>
  <c r="T228"/>
  <c r="T265" s="1"/>
  <c r="T255"/>
  <c r="T256"/>
  <c r="T248"/>
  <c r="T234"/>
  <c r="T237"/>
  <c r="T274" s="1"/>
  <c r="T246"/>
  <c r="V258"/>
  <c r="V229"/>
  <c r="V247"/>
  <c r="V234"/>
  <c r="AB3" i="22"/>
  <c r="V237" i="6"/>
  <c r="V228"/>
  <c r="V244"/>
  <c r="V239"/>
  <c r="V254"/>
  <c r="V236"/>
  <c r="V255"/>
  <c r="V243"/>
  <c r="V257"/>
  <c r="V246"/>
  <c r="V219"/>
  <c r="V256"/>
  <c r="V232"/>
  <c r="V227"/>
  <c r="V264" s="1"/>
  <c r="V242"/>
  <c r="V233"/>
  <c r="V235"/>
  <c r="V238"/>
  <c r="V275" s="1"/>
  <c r="V249"/>
  <c r="V252"/>
  <c r="V253"/>
  <c r="V241"/>
  <c r="V245"/>
  <c r="V282" s="1"/>
  <c r="V231"/>
  <c r="V230"/>
  <c r="V267" s="1"/>
  <c r="V251"/>
  <c r="V288" s="1"/>
  <c r="V248"/>
  <c r="V240"/>
  <c r="V277" s="1"/>
  <c r="V250"/>
  <c r="N242"/>
  <c r="N234"/>
  <c r="N228"/>
  <c r="N250"/>
  <c r="N247"/>
  <c r="N256"/>
  <c r="T3" i="22"/>
  <c r="N235" i="6"/>
  <c r="N251"/>
  <c r="N288" s="1"/>
  <c r="N219"/>
  <c r="N246"/>
  <c r="N233"/>
  <c r="N232"/>
  <c r="N248"/>
  <c r="N253"/>
  <c r="N245"/>
  <c r="N227"/>
  <c r="N264" s="1"/>
  <c r="N254"/>
  <c r="N244"/>
  <c r="N236"/>
  <c r="N273" s="1"/>
  <c r="N231"/>
  <c r="N241"/>
  <c r="N239"/>
  <c r="N238"/>
  <c r="N237"/>
  <c r="N274" s="1"/>
  <c r="N230"/>
  <c r="N240"/>
  <c r="N277" s="1"/>
  <c r="N243"/>
  <c r="N249"/>
  <c r="N258"/>
  <c r="N229"/>
  <c r="N266" s="1"/>
  <c r="N252"/>
  <c r="N255"/>
  <c r="N257"/>
  <c r="N294" s="1"/>
  <c r="Q252"/>
  <c r="Q244"/>
  <c r="Q232"/>
  <c r="Q248"/>
  <c r="Q242"/>
  <c r="Q254"/>
  <c r="Q255"/>
  <c r="W3" i="22"/>
  <c r="Q245" i="6"/>
  <c r="Q230"/>
  <c r="Q243"/>
  <c r="Q253"/>
  <c r="Q250"/>
  <c r="Q219"/>
  <c r="Q239"/>
  <c r="Q227"/>
  <c r="Q264" s="1"/>
  <c r="Q251"/>
  <c r="Q288" s="1"/>
  <c r="Q233"/>
  <c r="Q249"/>
  <c r="Q228"/>
  <c r="Q237"/>
  <c r="Q236"/>
  <c r="Q240"/>
  <c r="Q277" s="1"/>
  <c r="Q231"/>
  <c r="Q258"/>
  <c r="Q234"/>
  <c r="Q271" s="1"/>
  <c r="Q246"/>
  <c r="Q229"/>
  <c r="Q266" s="1"/>
  <c r="Q235"/>
  <c r="Q256"/>
  <c r="Q241"/>
  <c r="Q278" s="1"/>
  <c r="Q247"/>
  <c r="Q238"/>
  <c r="Q275" s="1"/>
  <c r="Q257"/>
  <c r="Q294" s="1"/>
  <c r="L256"/>
  <c r="L252"/>
  <c r="L251"/>
  <c r="L235"/>
  <c r="L244"/>
  <c r="L246"/>
  <c r="L228"/>
  <c r="L237"/>
  <c r="L257"/>
  <c r="L294" s="1"/>
  <c r="L254"/>
  <c r="L238"/>
  <c r="L239"/>
  <c r="L249"/>
  <c r="L245"/>
  <c r="L255"/>
  <c r="L236"/>
  <c r="L273" s="1"/>
  <c r="L258"/>
  <c r="L295" s="1"/>
  <c r="L248"/>
  <c r="L227"/>
  <c r="L264" s="1"/>
  <c r="L231"/>
  <c r="L233"/>
  <c r="L240"/>
  <c r="L241"/>
  <c r="L243"/>
  <c r="L219"/>
  <c r="L229"/>
  <c r="L253"/>
  <c r="R3" i="22"/>
  <c r="L232" i="6"/>
  <c r="L269" s="1"/>
  <c r="L247"/>
  <c r="L284" s="1"/>
  <c r="L250"/>
  <c r="L242"/>
  <c r="L234"/>
  <c r="L271" s="1"/>
  <c r="L230"/>
  <c r="L267" s="1"/>
  <c r="F254"/>
  <c r="L3" i="22"/>
  <c r="F232" i="6"/>
  <c r="F249"/>
  <c r="F238"/>
  <c r="F239"/>
  <c r="F219"/>
  <c r="F231"/>
  <c r="F247"/>
  <c r="F241"/>
  <c r="F237"/>
  <c r="F255"/>
  <c r="F250"/>
  <c r="F228"/>
  <c r="F256"/>
  <c r="F246"/>
  <c r="F240"/>
  <c r="F277" s="1"/>
  <c r="F235"/>
  <c r="F257"/>
  <c r="F294" s="1"/>
  <c r="F230"/>
  <c r="F234"/>
  <c r="F251"/>
  <c r="F248"/>
  <c r="F253"/>
  <c r="F229"/>
  <c r="F242"/>
  <c r="F243"/>
  <c r="F245"/>
  <c r="F258"/>
  <c r="F236"/>
  <c r="F273" s="1"/>
  <c r="F227"/>
  <c r="F264" s="1"/>
  <c r="F252"/>
  <c r="F244"/>
  <c r="F233"/>
  <c r="S232"/>
  <c r="S228"/>
  <c r="S257"/>
  <c r="S258"/>
  <c r="S247"/>
  <c r="S246"/>
  <c r="S255"/>
  <c r="Y3" i="22"/>
  <c r="S244" i="6"/>
  <c r="S239"/>
  <c r="S242"/>
  <c r="S219"/>
  <c r="S236"/>
  <c r="S227"/>
  <c r="S264" s="1"/>
  <c r="S253"/>
  <c r="S243"/>
  <c r="S254"/>
  <c r="S251"/>
  <c r="S231"/>
  <c r="S235"/>
  <c r="S229"/>
  <c r="S240"/>
  <c r="S277" s="1"/>
  <c r="S230"/>
  <c r="S245"/>
  <c r="S241"/>
  <c r="S249"/>
  <c r="S256"/>
  <c r="S293" s="1"/>
  <c r="S234"/>
  <c r="S238"/>
  <c r="S237"/>
  <c r="S233"/>
  <c r="S250"/>
  <c r="S248"/>
  <c r="S285" s="1"/>
  <c r="S252"/>
  <c r="S289" s="1"/>
  <c r="I230"/>
  <c r="I243"/>
  <c r="I246"/>
  <c r="I248"/>
  <c r="I257"/>
  <c r="I249"/>
  <c r="I233"/>
  <c r="I231"/>
  <c r="I228"/>
  <c r="I247"/>
  <c r="I255"/>
  <c r="I250"/>
  <c r="I258"/>
  <c r="I295" s="1"/>
  <c r="I236"/>
  <c r="O3" i="22"/>
  <c r="I238" i="6"/>
  <c r="I239"/>
  <c r="I245"/>
  <c r="I252"/>
  <c r="I232"/>
  <c r="I269" s="1"/>
  <c r="I227"/>
  <c r="I264" s="1"/>
  <c r="I244"/>
  <c r="I281" s="1"/>
  <c r="I242"/>
  <c r="I240"/>
  <c r="I235"/>
  <c r="I253"/>
  <c r="I241"/>
  <c r="I254"/>
  <c r="I256"/>
  <c r="I251"/>
  <c r="I229"/>
  <c r="I219"/>
  <c r="I237"/>
  <c r="I234"/>
  <c r="R247"/>
  <c r="X3" i="22"/>
  <c r="R246" i="6"/>
  <c r="R234"/>
  <c r="R227"/>
  <c r="R264" s="1"/>
  <c r="R231"/>
  <c r="R245"/>
  <c r="R252"/>
  <c r="R232"/>
  <c r="R228"/>
  <c r="R243"/>
  <c r="R257"/>
  <c r="R239"/>
  <c r="R244"/>
  <c r="R251"/>
  <c r="R254"/>
  <c r="R258"/>
  <c r="R230"/>
  <c r="R236"/>
  <c r="R249"/>
  <c r="R241"/>
  <c r="R250"/>
  <c r="R219"/>
  <c r="R235"/>
  <c r="R272" s="1"/>
  <c r="R248"/>
  <c r="R285" s="1"/>
  <c r="R253"/>
  <c r="R240"/>
  <c r="R233"/>
  <c r="R255"/>
  <c r="R237"/>
  <c r="R256"/>
  <c r="R238"/>
  <c r="R242"/>
  <c r="R279" s="1"/>
  <c r="R229"/>
  <c r="R266" s="1"/>
  <c r="J250"/>
  <c r="J256"/>
  <c r="J237"/>
  <c r="J244"/>
  <c r="J245"/>
  <c r="J254"/>
  <c r="J238"/>
  <c r="J275" s="1"/>
  <c r="J219"/>
  <c r="J258"/>
  <c r="P3" i="22"/>
  <c r="J230" i="6"/>
  <c r="J255"/>
  <c r="J243"/>
  <c r="J232"/>
  <c r="J233"/>
  <c r="J252"/>
  <c r="J242"/>
  <c r="J253"/>
  <c r="J227"/>
  <c r="J264" s="1"/>
  <c r="J251"/>
  <c r="J231"/>
  <c r="J240"/>
  <c r="J248"/>
  <c r="J241"/>
  <c r="J257"/>
  <c r="J249"/>
  <c r="J236"/>
  <c r="J229"/>
  <c r="J239"/>
  <c r="J247"/>
  <c r="J235"/>
  <c r="J246"/>
  <c r="J234"/>
  <c r="J228"/>
  <c r="E219"/>
  <c r="E255"/>
  <c r="E251"/>
  <c r="E244"/>
  <c r="E235"/>
  <c r="E228"/>
  <c r="E248"/>
  <c r="E241"/>
  <c r="E243"/>
  <c r="E250"/>
  <c r="E245"/>
  <c r="E253"/>
  <c r="K3" i="22"/>
  <c r="E227" i="6"/>
  <c r="E264" s="1"/>
  <c r="E236"/>
  <c r="E233"/>
  <c r="E229"/>
  <c r="E237"/>
  <c r="E242"/>
  <c r="E249"/>
  <c r="E238"/>
  <c r="E230"/>
  <c r="E254"/>
  <c r="E246"/>
  <c r="E256"/>
  <c r="E240"/>
  <c r="E258"/>
  <c r="E234"/>
  <c r="E271" s="1"/>
  <c r="AA158"/>
  <c r="E231"/>
  <c r="E268" s="1"/>
  <c r="E239"/>
  <c r="E257"/>
  <c r="E252"/>
  <c r="E247"/>
  <c r="E232"/>
  <c r="M244"/>
  <c r="M257"/>
  <c r="M227"/>
  <c r="M264" s="1"/>
  <c r="M232"/>
  <c r="M248"/>
  <c r="M249"/>
  <c r="M240"/>
  <c r="M250"/>
  <c r="M245"/>
  <c r="M282" s="1"/>
  <c r="M219"/>
  <c r="M253"/>
  <c r="M246"/>
  <c r="M229"/>
  <c r="M251"/>
  <c r="M233"/>
  <c r="M228"/>
  <c r="M237"/>
  <c r="M231"/>
  <c r="M241"/>
  <c r="M278" s="1"/>
  <c r="M243"/>
  <c r="M230"/>
  <c r="M267" s="1"/>
  <c r="M234"/>
  <c r="M247"/>
  <c r="M235"/>
  <c r="M252"/>
  <c r="M242"/>
  <c r="M239"/>
  <c r="M256"/>
  <c r="S3" i="22"/>
  <c r="M236" i="6"/>
  <c r="M238"/>
  <c r="M258"/>
  <c r="M254"/>
  <c r="M255"/>
  <c r="K251"/>
  <c r="K229"/>
  <c r="K219"/>
  <c r="K256"/>
  <c r="K244"/>
  <c r="K230"/>
  <c r="K267" s="1"/>
  <c r="K228"/>
  <c r="K232"/>
  <c r="K252"/>
  <c r="K289" s="1"/>
  <c r="K253"/>
  <c r="K235"/>
  <c r="K249"/>
  <c r="K241"/>
  <c r="K248"/>
  <c r="K257"/>
  <c r="K254"/>
  <c r="K258"/>
  <c r="K247"/>
  <c r="K240"/>
  <c r="K231"/>
  <c r="Q3" i="22"/>
  <c r="K234" i="6"/>
  <c r="K233"/>
  <c r="K246"/>
  <c r="K245"/>
  <c r="K282" s="1"/>
  <c r="K237"/>
  <c r="K239"/>
  <c r="K255"/>
  <c r="K292" s="1"/>
  <c r="K236"/>
  <c r="K242"/>
  <c r="K238"/>
  <c r="K243"/>
  <c r="K227"/>
  <c r="K264" s="1"/>
  <c r="K250"/>
  <c r="AC3" i="22"/>
  <c r="W230" i="6"/>
  <c r="W237"/>
  <c r="W245"/>
  <c r="W255"/>
  <c r="W234"/>
  <c r="W239"/>
  <c r="W252"/>
  <c r="W246"/>
  <c r="W244"/>
  <c r="W253"/>
  <c r="W242"/>
  <c r="W258"/>
  <c r="W240"/>
  <c r="W228"/>
  <c r="W256"/>
  <c r="W247"/>
  <c r="W284" s="1"/>
  <c r="W241"/>
  <c r="W278" s="1"/>
  <c r="W243"/>
  <c r="W231"/>
  <c r="W254"/>
  <c r="W251"/>
  <c r="W236"/>
  <c r="W235"/>
  <c r="W227"/>
  <c r="W264" s="1"/>
  <c r="W229"/>
  <c r="W238"/>
  <c r="W275" s="1"/>
  <c r="W248"/>
  <c r="W233"/>
  <c r="W219"/>
  <c r="W232"/>
  <c r="W257"/>
  <c r="W294" s="1"/>
  <c r="W250"/>
  <c r="W249"/>
  <c r="X250"/>
  <c r="X253"/>
  <c r="X235"/>
  <c r="X231"/>
  <c r="X240"/>
  <c r="X227"/>
  <c r="X264" s="1"/>
  <c r="X245"/>
  <c r="X232"/>
  <c r="X269" s="1"/>
  <c r="AD3" i="22"/>
  <c r="X252" i="6"/>
  <c r="X244"/>
  <c r="X257"/>
  <c r="X243"/>
  <c r="X238"/>
  <c r="X247"/>
  <c r="X248"/>
  <c r="X241"/>
  <c r="X278" s="1"/>
  <c r="X246"/>
  <c r="X242"/>
  <c r="X228"/>
  <c r="X234"/>
  <c r="X233"/>
  <c r="X239"/>
  <c r="X219"/>
  <c r="X229"/>
  <c r="X249"/>
  <c r="X256"/>
  <c r="X254"/>
  <c r="X236"/>
  <c r="X251"/>
  <c r="X255"/>
  <c r="X230"/>
  <c r="X237"/>
  <c r="X258"/>
  <c r="AA150"/>
  <c r="Q272" l="1"/>
  <c r="T285"/>
  <c r="U265"/>
  <c r="H277"/>
  <c r="O274"/>
  <c r="Y283"/>
  <c r="Y276"/>
  <c r="X274"/>
  <c r="X295"/>
  <c r="X286"/>
  <c r="X270"/>
  <c r="K287"/>
  <c r="L281"/>
  <c r="Q292"/>
  <c r="H272"/>
  <c r="H292"/>
  <c r="L275"/>
  <c r="Q274"/>
  <c r="V273"/>
  <c r="T272"/>
  <c r="Q295"/>
  <c r="Q282"/>
  <c r="F279"/>
  <c r="X294"/>
  <c r="W288"/>
  <c r="J270"/>
  <c r="R292"/>
  <c r="R295"/>
  <c r="I283"/>
  <c r="S281"/>
  <c r="F274"/>
  <c r="X285"/>
  <c r="W271"/>
  <c r="M292"/>
  <c r="M268"/>
  <c r="M286"/>
  <c r="E272"/>
  <c r="J285"/>
  <c r="R276"/>
  <c r="I289"/>
  <c r="S273"/>
  <c r="F280"/>
  <c r="X273"/>
  <c r="K273"/>
  <c r="K295"/>
  <c r="M275"/>
  <c r="J278"/>
  <c r="R290"/>
  <c r="I291"/>
  <c r="I287"/>
  <c r="I285"/>
  <c r="S288"/>
  <c r="S283"/>
  <c r="F289"/>
  <c r="L266"/>
  <c r="L277"/>
  <c r="Q268"/>
  <c r="Q290"/>
  <c r="N291"/>
  <c r="V292"/>
  <c r="T283"/>
  <c r="T268"/>
  <c r="U269"/>
  <c r="U272"/>
  <c r="U277"/>
  <c r="U295"/>
  <c r="H279"/>
  <c r="H269"/>
  <c r="O277"/>
  <c r="O286"/>
  <c r="O280"/>
  <c r="P283"/>
  <c r="P267"/>
  <c r="P294"/>
  <c r="P288"/>
  <c r="P286"/>
  <c r="Y279"/>
  <c r="Y293"/>
  <c r="Y265"/>
  <c r="Y285"/>
  <c r="G279"/>
  <c r="G286"/>
  <c r="G294"/>
  <c r="G291"/>
  <c r="X283"/>
  <c r="W285"/>
  <c r="W293"/>
  <c r="K271"/>
  <c r="K266"/>
  <c r="M295"/>
  <c r="M272"/>
  <c r="M283"/>
  <c r="E276"/>
  <c r="E295"/>
  <c r="E291"/>
  <c r="E279"/>
  <c r="E273"/>
  <c r="E282"/>
  <c r="J271"/>
  <c r="J276"/>
  <c r="J294"/>
  <c r="J287"/>
  <c r="R273"/>
  <c r="I274"/>
  <c r="I272"/>
  <c r="S270"/>
  <c r="F266"/>
  <c r="F271"/>
  <c r="N276"/>
  <c r="P265"/>
  <c r="Y269"/>
  <c r="Y274"/>
  <c r="H283"/>
  <c r="P277"/>
  <c r="Y290"/>
  <c r="G270"/>
  <c r="X288"/>
  <c r="K279"/>
  <c r="K290"/>
  <c r="E269"/>
  <c r="E288"/>
  <c r="J282"/>
  <c r="F284"/>
  <c r="L290"/>
  <c r="L278"/>
  <c r="V293"/>
  <c r="Y278"/>
  <c r="X267"/>
  <c r="X291"/>
  <c r="X265"/>
  <c r="W286"/>
  <c r="W266"/>
  <c r="W277"/>
  <c r="W281"/>
  <c r="K280"/>
  <c r="K283"/>
  <c r="K268"/>
  <c r="K291"/>
  <c r="M273"/>
  <c r="M279"/>
  <c r="M271"/>
  <c r="M288"/>
  <c r="E289"/>
  <c r="E293"/>
  <c r="E275"/>
  <c r="E266"/>
  <c r="J272"/>
  <c r="J267"/>
  <c r="R278"/>
  <c r="R269"/>
  <c r="R284"/>
  <c r="I266"/>
  <c r="I278"/>
  <c r="I292"/>
  <c r="I270"/>
  <c r="S275"/>
  <c r="S278"/>
  <c r="S266"/>
  <c r="S291"/>
  <c r="S284"/>
  <c r="S269"/>
  <c r="F285"/>
  <c r="F293"/>
  <c r="F269"/>
  <c r="L286"/>
  <c r="L293"/>
  <c r="Q283"/>
  <c r="Q286"/>
  <c r="Q276"/>
  <c r="Q280"/>
  <c r="Q269"/>
  <c r="N292"/>
  <c r="N286"/>
  <c r="N268"/>
  <c r="N284"/>
  <c r="N279"/>
  <c r="V278"/>
  <c r="V283"/>
  <c r="T292"/>
  <c r="T276"/>
  <c r="T294"/>
  <c r="T289"/>
  <c r="U273"/>
  <c r="U281"/>
  <c r="H288"/>
  <c r="H274"/>
  <c r="H295"/>
  <c r="H268"/>
  <c r="O265"/>
  <c r="O271"/>
  <c r="O293"/>
  <c r="O267"/>
  <c r="P280"/>
  <c r="P268"/>
  <c r="P287"/>
  <c r="Y288"/>
  <c r="Y281"/>
  <c r="G287"/>
  <c r="G295"/>
  <c r="G268"/>
  <c r="G278"/>
  <c r="Q265"/>
  <c r="X275"/>
  <c r="K274"/>
  <c r="M265"/>
  <c r="E285"/>
  <c r="J279"/>
  <c r="R288"/>
  <c r="R282"/>
  <c r="I276"/>
  <c r="S290"/>
  <c r="F287"/>
  <c r="L292"/>
  <c r="P279"/>
  <c r="G293"/>
  <c r="X279"/>
  <c r="X281"/>
  <c r="W270"/>
  <c r="W291"/>
  <c r="M291"/>
  <c r="J284"/>
  <c r="J290"/>
  <c r="R275"/>
  <c r="I288"/>
  <c r="N272"/>
  <c r="V287"/>
  <c r="V290"/>
  <c r="V272"/>
  <c r="V294"/>
  <c r="T271"/>
  <c r="T280"/>
  <c r="U287"/>
  <c r="U290"/>
  <c r="U280"/>
  <c r="U268"/>
  <c r="H266"/>
  <c r="H287"/>
  <c r="H271"/>
  <c r="O282"/>
  <c r="O273"/>
  <c r="P274"/>
  <c r="P293"/>
  <c r="Y272"/>
  <c r="Y275"/>
  <c r="G275"/>
  <c r="G285"/>
  <c r="AA221"/>
  <c r="B219"/>
  <c r="C10"/>
  <c r="AA219"/>
  <c r="E221"/>
  <c r="F221" s="1"/>
  <c r="G221" s="1"/>
  <c r="H221" s="1"/>
  <c r="I221" s="1"/>
  <c r="J221" s="1"/>
  <c r="K221" s="1"/>
  <c r="L221" s="1"/>
  <c r="M221" s="1"/>
  <c r="N221" s="1"/>
  <c r="O221" s="1"/>
  <c r="P221" s="1"/>
  <c r="Q221" s="1"/>
  <c r="R221" s="1"/>
  <c r="S221" s="1"/>
  <c r="T221" s="1"/>
  <c r="U221" s="1"/>
  <c r="V221" s="1"/>
  <c r="W221" s="1"/>
  <c r="X221" s="1"/>
  <c r="X268"/>
  <c r="W267"/>
  <c r="K286"/>
  <c r="K269"/>
  <c r="K293"/>
  <c r="M294"/>
  <c r="E280"/>
  <c r="J273"/>
  <c r="J274"/>
  <c r="I279"/>
  <c r="L270"/>
  <c r="N269"/>
  <c r="V265"/>
  <c r="V284"/>
  <c r="T290"/>
  <c r="T295"/>
  <c r="T277"/>
  <c r="U285"/>
  <c r="U282"/>
  <c r="U270"/>
  <c r="H282"/>
  <c r="O285"/>
  <c r="P270"/>
  <c r="P271"/>
  <c r="P276"/>
  <c r="Y291"/>
  <c r="Y273"/>
  <c r="Y268"/>
  <c r="Y289"/>
  <c r="G276"/>
  <c r="G290"/>
  <c r="X266"/>
  <c r="X271"/>
  <c r="X280"/>
  <c r="X277"/>
  <c r="X287"/>
  <c r="W269"/>
  <c r="W273"/>
  <c r="W280"/>
  <c r="W265"/>
  <c r="W290"/>
  <c r="W276"/>
  <c r="W274"/>
  <c r="K278"/>
  <c r="K281"/>
  <c r="K288"/>
  <c r="M276"/>
  <c r="M284"/>
  <c r="M270"/>
  <c r="M290"/>
  <c r="M277"/>
  <c r="E284"/>
  <c r="E277"/>
  <c r="E267"/>
  <c r="E274"/>
  <c r="E287"/>
  <c r="E265"/>
  <c r="E292"/>
  <c r="J283"/>
  <c r="J266"/>
  <c r="J288"/>
  <c r="J289"/>
  <c r="J292"/>
  <c r="J281"/>
  <c r="R274"/>
  <c r="R287"/>
  <c r="R267"/>
  <c r="R281"/>
  <c r="R265"/>
  <c r="R268"/>
  <c r="I277"/>
  <c r="I275"/>
  <c r="I268"/>
  <c r="S274"/>
  <c r="S286"/>
  <c r="S276"/>
  <c r="S265"/>
  <c r="F282"/>
  <c r="F290"/>
  <c r="F267"/>
  <c r="F283"/>
  <c r="F292"/>
  <c r="F268"/>
  <c r="F286"/>
  <c r="L285"/>
  <c r="L282"/>
  <c r="L291"/>
  <c r="L283"/>
  <c r="L289"/>
  <c r="Q284"/>
  <c r="Q285"/>
  <c r="N295"/>
  <c r="N267"/>
  <c r="N278"/>
  <c r="N285"/>
  <c r="N293"/>
  <c r="N271"/>
  <c r="V285"/>
  <c r="V286"/>
  <c r="V279"/>
  <c r="V281"/>
  <c r="V271"/>
  <c r="T293"/>
  <c r="T275"/>
  <c r="T281"/>
  <c r="T287"/>
  <c r="U278"/>
  <c r="U291"/>
  <c r="U266"/>
  <c r="H267"/>
  <c r="H273"/>
  <c r="H275"/>
  <c r="H284"/>
  <c r="H289"/>
  <c r="O268"/>
  <c r="O291"/>
  <c r="O275"/>
  <c r="O281"/>
  <c r="O288"/>
  <c r="P278"/>
  <c r="P273"/>
  <c r="P284"/>
  <c r="Y277"/>
  <c r="Y271"/>
  <c r="Y280"/>
  <c r="G288"/>
  <c r="G265"/>
  <c r="G292"/>
  <c r="X289"/>
  <c r="X290"/>
  <c r="W272"/>
  <c r="W268"/>
  <c r="W279"/>
  <c r="W289"/>
  <c r="W282"/>
  <c r="K284"/>
  <c r="K285"/>
  <c r="M293"/>
  <c r="M280"/>
  <c r="M287"/>
  <c r="M269"/>
  <c r="J268"/>
  <c r="J280"/>
  <c r="J295"/>
  <c r="R293"/>
  <c r="R277"/>
  <c r="R280"/>
  <c r="R283"/>
  <c r="I293"/>
  <c r="I265"/>
  <c r="I294"/>
  <c r="I267"/>
  <c r="S267"/>
  <c r="S268"/>
  <c r="S279"/>
  <c r="S292"/>
  <c r="S294"/>
  <c r="F281"/>
  <c r="F295"/>
  <c r="F275"/>
  <c r="F291"/>
  <c r="L287"/>
  <c r="L265"/>
  <c r="L288"/>
  <c r="Q287"/>
  <c r="Q279"/>
  <c r="Q289"/>
  <c r="N281"/>
  <c r="N290"/>
  <c r="N283"/>
  <c r="N265"/>
  <c r="V268"/>
  <c r="V289"/>
  <c r="V270"/>
  <c r="V280"/>
  <c r="V276"/>
  <c r="V295"/>
  <c r="T278"/>
  <c r="T270"/>
  <c r="T282"/>
  <c r="T266"/>
  <c r="T291"/>
  <c r="T267"/>
  <c r="T279"/>
  <c r="U289"/>
  <c r="U276"/>
  <c r="U279"/>
  <c r="U286"/>
  <c r="U267"/>
  <c r="U274"/>
  <c r="U294"/>
  <c r="H293"/>
  <c r="H285"/>
  <c r="H270"/>
  <c r="H265"/>
  <c r="H278"/>
  <c r="O294"/>
  <c r="O269"/>
  <c r="O270"/>
  <c r="O272"/>
  <c r="O295"/>
  <c r="O292"/>
  <c r="O266"/>
  <c r="P295"/>
  <c r="P282"/>
  <c r="P289"/>
  <c r="P266"/>
  <c r="P292"/>
  <c r="Y270"/>
  <c r="Y286"/>
  <c r="G284"/>
  <c r="G267"/>
  <c r="G274"/>
  <c r="G277"/>
  <c r="X292"/>
  <c r="X293"/>
  <c r="X276"/>
  <c r="X284"/>
  <c r="X282"/>
  <c r="X272"/>
  <c r="W287"/>
  <c r="W295"/>
  <c r="W283"/>
  <c r="W292"/>
  <c r="K275"/>
  <c r="K276"/>
  <c r="K270"/>
  <c r="K277"/>
  <c r="K294"/>
  <c r="K272"/>
  <c r="K265"/>
  <c r="M289"/>
  <c r="M274"/>
  <c r="M266"/>
  <c r="M285"/>
  <c r="M281"/>
  <c r="E294"/>
  <c r="E283"/>
  <c r="E286"/>
  <c r="E270"/>
  <c r="E290"/>
  <c r="E278"/>
  <c r="E281"/>
  <c r="J265"/>
  <c r="J286"/>
  <c r="J277"/>
  <c r="J269"/>
  <c r="J291"/>
  <c r="J293"/>
  <c r="R270"/>
  <c r="R286"/>
  <c r="R291"/>
  <c r="R294"/>
  <c r="R289"/>
  <c r="R271"/>
  <c r="I271"/>
  <c r="I290"/>
  <c r="I282"/>
  <c r="I273"/>
  <c r="I284"/>
  <c r="I286"/>
  <c r="I280"/>
  <c r="S287"/>
  <c r="S271"/>
  <c r="S282"/>
  <c r="S272"/>
  <c r="S280"/>
  <c r="S295"/>
  <c r="F270"/>
  <c r="F288"/>
  <c r="F272"/>
  <c r="F265"/>
  <c r="F278"/>
  <c r="F276"/>
  <c r="L279"/>
  <c r="L280"/>
  <c r="L268"/>
  <c r="L276"/>
  <c r="L274"/>
  <c r="L272"/>
  <c r="Q293"/>
  <c r="Q273"/>
  <c r="Q270"/>
  <c r="Q267"/>
  <c r="Q291"/>
  <c r="Q281"/>
  <c r="N289"/>
  <c r="N280"/>
  <c r="N275"/>
  <c r="N282"/>
  <c r="N270"/>
  <c r="N287"/>
  <c r="V269"/>
  <c r="V291"/>
  <c r="V274"/>
  <c r="V266"/>
  <c r="T273"/>
  <c r="T284"/>
  <c r="T286"/>
  <c r="U284"/>
  <c r="U288"/>
  <c r="U292"/>
  <c r="U271"/>
  <c r="H294"/>
  <c r="H280"/>
  <c r="H291"/>
  <c r="H276"/>
  <c r="O278"/>
  <c r="O287"/>
  <c r="O279"/>
  <c r="O276"/>
  <c r="O289"/>
  <c r="O283"/>
  <c r="P269"/>
  <c r="P291"/>
  <c r="P285"/>
  <c r="Y284"/>
  <c r="Y282"/>
  <c r="Y294"/>
  <c r="Y266"/>
  <c r="G271"/>
  <c r="G280"/>
  <c r="G272"/>
  <c r="Y298" l="1"/>
  <c r="M297"/>
  <c r="U297"/>
  <c r="K297"/>
  <c r="P297"/>
  <c r="I297"/>
  <c r="J297"/>
  <c r="E297"/>
  <c r="E298" s="1"/>
  <c r="W297"/>
  <c r="G297"/>
  <c r="V297"/>
  <c r="R297"/>
  <c r="N297"/>
  <c r="X297"/>
  <c r="O297"/>
  <c r="H297"/>
  <c r="S297"/>
  <c r="Q297"/>
  <c r="L297"/>
  <c r="F297"/>
  <c r="F298" s="1"/>
  <c r="T297"/>
  <c r="G298" l="1"/>
  <c r="H298" s="1"/>
  <c r="I298" s="1"/>
  <c r="J298" s="1"/>
  <c r="K298" s="1"/>
  <c r="L298" s="1"/>
  <c r="M298" s="1"/>
  <c r="N298" s="1"/>
  <c r="O298" s="1"/>
  <c r="P298" s="1"/>
  <c r="Q298" s="1"/>
  <c r="R298" s="1"/>
  <c r="S298" s="1"/>
  <c r="T298" s="1"/>
  <c r="U298" s="1"/>
  <c r="V298" s="1"/>
  <c r="W298" s="1"/>
  <c r="X298" s="1"/>
</calcChain>
</file>

<file path=xl/comments1.xml><?xml version="1.0" encoding="utf-8"?>
<comments xmlns="http://schemas.openxmlformats.org/spreadsheetml/2006/main">
  <authors>
    <author>Tina Jayaweera</author>
  </authors>
  <commentList>
    <comment ref="B22" authorId="0">
      <text>
        <r>
          <rPr>
            <b/>
            <sz val="9"/>
            <color indexed="81"/>
            <rFont val="Tahoma"/>
            <family val="2"/>
          </rPr>
          <t>Tina Jayaweera:</t>
        </r>
        <r>
          <rPr>
            <sz val="9"/>
            <color indexed="81"/>
            <rFont val="Tahoma"/>
            <family val="2"/>
          </rPr>
          <t xml:space="preserve">
Accounts for portion of region served by HVAC system type</t>
        </r>
      </text>
    </comment>
  </commentList>
</comments>
</file>

<file path=xl/comments2.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154"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54"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54"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54"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279"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279"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279"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279"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3.xml><?xml version="1.0" encoding="utf-8"?>
<comments xmlns="http://schemas.openxmlformats.org/spreadsheetml/2006/main">
  <authors>
    <author xml:space="preserve"> </author>
  </authors>
  <commentList>
    <comment ref="N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5" authorId="0">
      <text>
        <r>
          <rPr>
            <b/>
            <sz val="8"/>
            <color indexed="81"/>
            <rFont val="Tahoma"/>
            <family val="2"/>
          </rPr>
          <t xml:space="preserve"> :ProCost</t>
        </r>
        <r>
          <rPr>
            <sz val="8"/>
            <color indexed="81"/>
            <rFont val="Tahoma"/>
            <family val="2"/>
          </rPr>
          <t xml:space="preserve">
Physical life of the measure in years.  Must be &gt;=1.</t>
        </r>
      </text>
    </comment>
    <comment ref="J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5" authorId="0">
      <text>
        <r>
          <rPr>
            <b/>
            <sz val="8"/>
            <color indexed="81"/>
            <rFont val="Tahoma"/>
            <family val="2"/>
          </rPr>
          <t xml:space="preserve"> :</t>
        </r>
        <r>
          <rPr>
            <sz val="8"/>
            <color indexed="81"/>
            <rFont val="Tahoma"/>
            <family val="2"/>
          </rPr>
          <t xml:space="preserve">
Annual gas savings, or increases, in therms.</t>
        </r>
      </text>
    </comment>
    <comment ref="U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280"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280"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281"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281"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281"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281" authorId="0">
      <text>
        <r>
          <rPr>
            <b/>
            <sz val="8"/>
            <color indexed="81"/>
            <rFont val="Tahoma"/>
            <family val="2"/>
          </rPr>
          <t xml:space="preserve"> :ProCost</t>
        </r>
        <r>
          <rPr>
            <sz val="8"/>
            <color indexed="81"/>
            <rFont val="Tahoma"/>
            <family val="2"/>
          </rPr>
          <t xml:space="preserve">
Physical life of the measure in years.  Must be &gt;=1.</t>
        </r>
      </text>
    </comment>
    <comment ref="J281"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281"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281"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281"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281"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281"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281"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281"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281"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281"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281" authorId="0">
      <text>
        <r>
          <rPr>
            <b/>
            <sz val="8"/>
            <color indexed="81"/>
            <rFont val="Tahoma"/>
            <family val="2"/>
          </rPr>
          <t xml:space="preserve"> :</t>
        </r>
        <r>
          <rPr>
            <sz val="8"/>
            <color indexed="81"/>
            <rFont val="Tahoma"/>
            <family val="2"/>
          </rPr>
          <t xml:space="preserve">
Annual gas savings, or increases, in therms.</t>
        </r>
      </text>
    </comment>
    <comment ref="U281"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4.xml><?xml version="1.0" encoding="utf-8"?>
<comments xmlns="http://schemas.openxmlformats.org/spreadsheetml/2006/main">
  <authors>
    <author xml:space="preserve"> </author>
  </authors>
  <commentList>
    <comment ref="J3"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3"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4"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4"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4"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4" authorId="0">
      <text>
        <r>
          <rPr>
            <b/>
            <sz val="8"/>
            <color indexed="81"/>
            <rFont val="Tahoma"/>
            <family val="2"/>
          </rPr>
          <t xml:space="preserve"> :ProCost</t>
        </r>
        <r>
          <rPr>
            <sz val="8"/>
            <color indexed="81"/>
            <rFont val="Tahoma"/>
            <family val="2"/>
          </rPr>
          <t xml:space="preserve">
Physical life of the measure in years.  Must be &gt;=1.</t>
        </r>
      </text>
    </comment>
    <comment ref="F4"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4"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4"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4"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4"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4"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4"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4"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4"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4" authorId="0">
      <text>
        <r>
          <rPr>
            <b/>
            <sz val="8"/>
            <color indexed="81"/>
            <rFont val="Tahoma"/>
            <family val="2"/>
          </rPr>
          <t xml:space="preserve"> :</t>
        </r>
        <r>
          <rPr>
            <sz val="8"/>
            <color indexed="81"/>
            <rFont val="Tahoma"/>
            <family val="2"/>
          </rPr>
          <t xml:space="preserve">
Annual gas savings, or increases, in therms.</t>
        </r>
      </text>
    </comment>
    <comment ref="Q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5.xml><?xml version="1.0" encoding="utf-8"?>
<comments xmlns="http://schemas.openxmlformats.org/spreadsheetml/2006/main">
  <authors>
    <author xml:space="preserve"> </author>
  </authors>
  <commentList>
    <comment ref="J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 authorId="0">
      <text>
        <r>
          <rPr>
            <b/>
            <sz val="8"/>
            <color indexed="81"/>
            <rFont val="Tahoma"/>
            <family val="2"/>
          </rPr>
          <t xml:space="preserve"> :ProCost</t>
        </r>
        <r>
          <rPr>
            <sz val="8"/>
            <color indexed="81"/>
            <rFont val="Tahoma"/>
            <family val="2"/>
          </rPr>
          <t xml:space="preserve">
Physical life of the measure in years.  Must be &gt;=1.</t>
        </r>
      </text>
    </comment>
    <comment ref="F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 authorId="0">
      <text>
        <r>
          <rPr>
            <b/>
            <sz val="8"/>
            <color indexed="81"/>
            <rFont val="Tahoma"/>
            <family val="2"/>
          </rPr>
          <t xml:space="preserve"> :</t>
        </r>
        <r>
          <rPr>
            <sz val="8"/>
            <color indexed="81"/>
            <rFont val="Tahoma"/>
            <family val="2"/>
          </rPr>
          <t xml:space="preserve">
Annual gas savings, or increases, in therms.</t>
        </r>
      </text>
    </comment>
    <comment ref="Q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6.xml><?xml version="1.0" encoding="utf-8"?>
<comments xmlns="http://schemas.openxmlformats.org/spreadsheetml/2006/main">
  <authors>
    <author>Hadley</author>
  </authors>
  <commentList>
    <comment ref="C3" authorId="0">
      <text>
        <r>
          <rPr>
            <b/>
            <sz val="9"/>
            <color indexed="81"/>
            <rFont val="Tahoma"/>
            <family val="2"/>
          </rPr>
          <t>Hadley:</t>
        </r>
        <r>
          <rPr>
            <sz val="9"/>
            <color indexed="81"/>
            <rFont val="Tahoma"/>
            <family val="2"/>
          </rPr>
          <t xml:space="preserve">
Measure spec: Below R-5 nominal.</t>
        </r>
      </text>
    </comment>
    <comment ref="C4" authorId="0">
      <text>
        <r>
          <rPr>
            <b/>
            <sz val="9"/>
            <color indexed="81"/>
            <rFont val="Tahoma"/>
            <family val="2"/>
          </rPr>
          <t>Hadley:</t>
        </r>
        <r>
          <rPr>
            <sz val="9"/>
            <color indexed="81"/>
            <rFont val="Tahoma"/>
            <family val="2"/>
          </rPr>
          <t xml:space="preserve">
measure spec: between R5 and R11 nominal.</t>
        </r>
      </text>
    </comment>
    <comment ref="C5" authorId="0">
      <text>
        <r>
          <rPr>
            <b/>
            <sz val="9"/>
            <color indexed="81"/>
            <rFont val="Tahoma"/>
            <family val="2"/>
          </rPr>
          <t>Hadley:</t>
        </r>
        <r>
          <rPr>
            <sz val="9"/>
            <color indexed="81"/>
            <rFont val="Tahoma"/>
            <family val="2"/>
          </rPr>
          <t xml:space="preserve">
Measure Spec: Between R11 and R19 nominal.</t>
        </r>
      </text>
    </comment>
    <comment ref="C6" authorId="0">
      <text>
        <r>
          <rPr>
            <b/>
            <sz val="9"/>
            <color indexed="81"/>
            <rFont val="Tahoma"/>
            <family val="2"/>
          </rPr>
          <t>Hadley:</t>
        </r>
        <r>
          <rPr>
            <sz val="9"/>
            <color indexed="81"/>
            <rFont val="Tahoma"/>
            <family val="2"/>
          </rPr>
          <t xml:space="preserve">
Measure Spec: Between R19 and R30.</t>
        </r>
      </text>
    </comment>
    <comment ref="D8" authorId="0">
      <text>
        <r>
          <rPr>
            <b/>
            <sz val="9"/>
            <color indexed="81"/>
            <rFont val="Tahoma"/>
            <family val="2"/>
          </rPr>
          <t>Hadley:</t>
        </r>
        <r>
          <rPr>
            <sz val="9"/>
            <color indexed="81"/>
            <rFont val="Tahoma"/>
            <family val="2"/>
          </rPr>
          <t xml:space="preserve">
Round down so all uninsulated, or very nearly uninsulated houses are included.</t>
        </r>
      </text>
    </comment>
    <comment ref="C10" authorId="0">
      <text>
        <r>
          <rPr>
            <b/>
            <sz val="9"/>
            <color indexed="81"/>
            <rFont val="Tahoma"/>
            <family val="2"/>
          </rPr>
          <t>Hadley:</t>
        </r>
        <r>
          <rPr>
            <sz val="9"/>
            <color indexed="81"/>
            <rFont val="Tahoma"/>
            <family val="2"/>
          </rPr>
          <t xml:space="preserve">
Measure Spec: Below R-11 nominal.</t>
        </r>
      </text>
    </comment>
    <comment ref="C11" authorId="0">
      <text>
        <r>
          <rPr>
            <b/>
            <sz val="9"/>
            <color indexed="81"/>
            <rFont val="Tahoma"/>
            <family val="2"/>
          </rPr>
          <t>Hadley:</t>
        </r>
        <r>
          <rPr>
            <sz val="9"/>
            <color indexed="81"/>
            <rFont val="Tahoma"/>
            <family val="2"/>
          </rPr>
          <t xml:space="preserve">
Measure Spec: Between R11 and R19 nominal.</t>
        </r>
      </text>
    </comment>
    <comment ref="AP99" authorId="0">
      <text>
        <r>
          <rPr>
            <b/>
            <sz val="9"/>
            <color indexed="81"/>
            <rFont val="Tahoma"/>
            <family val="2"/>
          </rPr>
          <t>Hadley:</t>
        </r>
        <r>
          <rPr>
            <sz val="9"/>
            <color indexed="81"/>
            <rFont val="Tahoma"/>
            <family val="2"/>
          </rPr>
          <t xml:space="preserve">
It's the baseline characteristic scenarios that matter.  Since infiltration measrues apply to all characteristiic scenario's, and since window current practice upgrades do, too, they'll have the same Actual/LMI ratio.</t>
        </r>
      </text>
    </comment>
    <comment ref="G721" authorId="0">
      <text>
        <r>
          <rPr>
            <b/>
            <sz val="9"/>
            <color indexed="81"/>
            <rFont val="Tahoma"/>
            <family val="2"/>
          </rPr>
          <t>Hadley:</t>
        </r>
        <r>
          <rPr>
            <sz val="9"/>
            <color indexed="81"/>
            <rFont val="Tahoma"/>
            <family val="2"/>
          </rPr>
          <t xml:space="preserve">
Some RBSA houses were not included (multiple foundation types).  The effect of omitting these houses from the analysis is expected to be negligible.</t>
        </r>
      </text>
    </comment>
  </commentList>
</comments>
</file>

<file path=xl/comments7.xml><?xml version="1.0" encoding="utf-8"?>
<comments xmlns="http://schemas.openxmlformats.org/spreadsheetml/2006/main">
  <authors>
    <author>Tina Jayaweera</author>
  </authors>
  <commentList>
    <comment ref="G630" authorId="0">
      <text>
        <r>
          <rPr>
            <b/>
            <sz val="9"/>
            <color indexed="81"/>
            <rFont val="Tahoma"/>
            <family val="2"/>
          </rPr>
          <t>Tina Jayaweera:</t>
        </r>
        <r>
          <rPr>
            <sz val="9"/>
            <color indexed="81"/>
            <rFont val="Tahoma"/>
            <family val="2"/>
          </rPr>
          <t xml:space="preserve">
deleted, was 15180</t>
        </r>
      </text>
    </comment>
  </commentList>
</comments>
</file>

<file path=xl/sharedStrings.xml><?xml version="1.0" encoding="utf-8"?>
<sst xmlns="http://schemas.openxmlformats.org/spreadsheetml/2006/main" count="32493" uniqueCount="1626">
  <si>
    <t>Data Set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</si>
  <si>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</si>
  <si>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</si>
  <si>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</si>
  <si>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</si>
  <si>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</si>
  <si>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</si>
  <si>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</si>
  <si>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</si>
  <si>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</si>
  <si>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</si>
  <si>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</si>
  <si>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</si>
  <si>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</si>
  <si>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</si>
  <si>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</si>
  <si>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</si>
  <si>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</si>
  <si>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</si>
  <si>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</si>
  <si>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Concatenate</t>
  </si>
  <si>
    <t>Measure  Index</t>
  </si>
  <si>
    <t>ResWX</t>
  </si>
  <si>
    <t>Segment</t>
  </si>
  <si>
    <t>Vintage</t>
  </si>
  <si>
    <t>Single Family</t>
  </si>
  <si>
    <t>FloorSqft</t>
  </si>
  <si>
    <t>WindowSqft</t>
  </si>
  <si>
    <t>AtticSqft</t>
  </si>
  <si>
    <t>Measure Index Name</t>
  </si>
  <si>
    <t>Shaped Savings Results; By Category and sorted by TRC BC ratio</t>
  </si>
  <si>
    <t>Category</t>
  </si>
  <si>
    <t>Measure</t>
  </si>
  <si>
    <t>Busbar Savings</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</si>
  <si>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</si>
  <si>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</si>
  <si>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</si>
  <si>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</si>
  <si>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</si>
  <si>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</si>
  <si>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</si>
  <si>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Net Levelized Cost (Net of All Benefits) in mills/kWh</t>
  </si>
  <si>
    <t>TRC B/C Ratio</t>
  </si>
  <si>
    <t>Net Electric &amp; Gas System CO2 Avoided (Lifetime Tons)</t>
  </si>
  <si>
    <t>Jan</t>
  </si>
  <si>
    <t>Feb</t>
  </si>
  <si>
    <t>Mar</t>
  </si>
  <si>
    <t>Apr</t>
  </si>
  <si>
    <t>May</t>
  </si>
  <si>
    <t>Jun</t>
  </si>
  <si>
    <t>Jul</t>
  </si>
  <si>
    <t>Aug</t>
  </si>
  <si>
    <t>Sep</t>
  </si>
  <si>
    <t>Oct</t>
  </si>
  <si>
    <t>Nov</t>
  </si>
  <si>
    <t>Dec</t>
  </si>
  <si>
    <t>Floor</t>
  </si>
  <si>
    <t>Attic</t>
  </si>
  <si>
    <t>Window</t>
  </si>
  <si>
    <t>Infiltration</t>
  </si>
  <si>
    <t>HZ1</t>
  </si>
  <si>
    <t>HZ2</t>
  </si>
  <si>
    <t>HZ3</t>
  </si>
  <si>
    <t>Wall</t>
  </si>
  <si>
    <t>Wallsqft</t>
  </si>
  <si>
    <t/>
  </si>
  <si>
    <t>HomeSqft</t>
  </si>
  <si>
    <t>Single Family Weatherization - Insulate Attic - R0 to R38 - Heating Zone 1 (Electric FAF)</t>
  </si>
  <si>
    <t>ATTIC R0 - R38</t>
  </si>
  <si>
    <t>ResSpHtFAFZ1</t>
  </si>
  <si>
    <t>Single Family Weatherization - Insulate Attic - R0 to R49 - Heating Zone 1 (Electric FAF)</t>
  </si>
  <si>
    <t>ATTIC R0 - R49</t>
  </si>
  <si>
    <t>Single Family Weatherization - Insulate Attic - R11 to R38 - Heating Zone 1 (Electric FAF)</t>
  </si>
  <si>
    <t>ATTIC R11 - R38</t>
  </si>
  <si>
    <t>Single Family Weatherization - Insulate Attic - R11 to R49 - Heating Zone 1 (Electric FAF)</t>
  </si>
  <si>
    <t>ATTIC R11 - R49</t>
  </si>
  <si>
    <t>Single Family Weatherization - Insulate Attic - R19 to R38 - Heating Zone 1 (Electric FAF)</t>
  </si>
  <si>
    <t>ATTIC R19 - R38</t>
  </si>
  <si>
    <t>Single Family Weatherization - Insulate Attic - R19 to R49 - Heating Zone 1 (Electric FAF)</t>
  </si>
  <si>
    <t>ATTIC R19 - R49</t>
  </si>
  <si>
    <t>Single Family Weatherization - Insulate Attic - R30 to R49 - Heating Zone 1 (Electric FAF)</t>
  </si>
  <si>
    <t>ATTIC R30 - R49</t>
  </si>
  <si>
    <t>Single Family Weatherization - Insulate Attic - R38 to R49 - Heating Zone 1 (Electric FAF)</t>
  </si>
  <si>
    <t>ATTIC R38 - R49</t>
  </si>
  <si>
    <t>Single Family Weatherization - Insulate Wall - R0 to R11 - Heating Zone 1 (Electric FAF)</t>
  </si>
  <si>
    <t>WALL R0 - R11</t>
  </si>
  <si>
    <t>Single Family Weatherization - Insulate Floor - R0 to R19 - Heating Zone 1 (Electric FAF)</t>
  </si>
  <si>
    <t>FLOOR R0 - R19</t>
  </si>
  <si>
    <t>Single Family Weatherization - Insulate Floor - R0 to R25 - Heating Zone 1 (Electric FAF)</t>
  </si>
  <si>
    <t>FLOOR R0 - R25</t>
  </si>
  <si>
    <t>Single Family Weatherization - Insulate Floor - R0 to R30 - Heating Zone 1 (Electric FAF)</t>
  </si>
  <si>
    <t>FLOOR R0 - R30</t>
  </si>
  <si>
    <t>Windows - Single Pane to Class 30 - Heating Zone 1 (Electric FAF)</t>
  </si>
  <si>
    <t>WINDOW CL30 Prime Window Replacement of Single Pane Base</t>
  </si>
  <si>
    <t>Windows - Double Pane to Class 30 - Heating Zone 1 (Electric FAF)</t>
  </si>
  <si>
    <t>WINDOW CL30 Prime Window Replacement of Double Pane Base</t>
  </si>
  <si>
    <t>Windows - Class 35 to Class 30 - Heating Zone 1 (Electric FAF)</t>
  </si>
  <si>
    <t>WINDOW CL35 to CL30 Upgrade</t>
  </si>
  <si>
    <t>Windows - Single Pane to Class 22 - Heating Zone 1 (Electric FAF)</t>
  </si>
  <si>
    <t>WINDOW CL22 Prime Window Replacement of Single Pane Base</t>
  </si>
  <si>
    <t>Windows - Double Pane to Class 22 - Heating Zone 1 (Electric FAF)</t>
  </si>
  <si>
    <t>WINDOW CL22 Prime Window Replacement of Double Pane Base</t>
  </si>
  <si>
    <t>Windows - Class 35 to Class 22 - Heating Zone 1 (Electric FAF)</t>
  </si>
  <si>
    <t>WINDOW CL35 to CL22 Upgrade</t>
  </si>
  <si>
    <t>Infiltration Reduction - CFM50 reduction - Heating Zone 1 (Electric FAF)</t>
  </si>
  <si>
    <t>Single Family Weatherization - Insulate Attic - R0 to R38 - Heating Zone 2 (Electric FAF)</t>
  </si>
  <si>
    <t>ResSpHtFAFZ2</t>
  </si>
  <si>
    <t>Single Family Weatherization - Insulate Attic - R0 to R49 - Heating Zone 2 (Electric FAF)</t>
  </si>
  <si>
    <t>Single Family Weatherization - Insulate Attic - R11 to R38 - Heating Zone 2 (Electric FAF)</t>
  </si>
  <si>
    <t>Single Family Weatherization - Insulate Attic - R11 to R49 - Heating Zone 2 (Electric FAF)</t>
  </si>
  <si>
    <t>Single Family Weatherization - Insulate Attic - R19 to R38 - Heating Zone 2 (Electric FAF)</t>
  </si>
  <si>
    <t>Single Family Weatherization - Insulate Attic - R19 to R49 - Heating Zone 2 (Electric FAF)</t>
  </si>
  <si>
    <t>Single Family Weatherization - Insulate Attic - R30 to R49 - Heating Zone 2 (Electric FAF)</t>
  </si>
  <si>
    <t>Single Family Weatherization - Insulate Attic - R38 to R49 - Heating Zone 2 (Electric FAF)</t>
  </si>
  <si>
    <t>Single Family Weatherization - Insulate Wall - R0 to R11 - Heating Zone 2 (Electric FAF)</t>
  </si>
  <si>
    <t>Single Family Weatherization - Insulate Floor - R0 to R19 - Heating Zone 2 (Electric FAF)</t>
  </si>
  <si>
    <t>Single Family Weatherization - Insulate Floor - R0 to R25 - Heating Zone 2 (Electric FAF)</t>
  </si>
  <si>
    <t>Single Family Weatherization - Insulate Floor - R0 to R30 - Heating Zone 2 (Electric FAF)</t>
  </si>
  <si>
    <t>Windows - Single Pane to Class 30 - Heating Zone 2 (Electric FAF)</t>
  </si>
  <si>
    <t>Windows - Double Pane to Class 30 - Heating Zone 2 (Electric FAF)</t>
  </si>
  <si>
    <t>Windows - Class 35 to Class 30 - Heating Zone 2 (Electric FAF)</t>
  </si>
  <si>
    <t>Windows - Single Pane to Class 22 - Heating Zone 2 (Electric FAF)</t>
  </si>
  <si>
    <t>Windows - Double Pane to Class 22 - Heating Zone 2 (Electric FAF)</t>
  </si>
  <si>
    <t>Windows - Class 35 to Class 22 - Heating Zone 2 (Electric FAF)</t>
  </si>
  <si>
    <t>Infiltration Reduction - CFM50 reduction - Heating Zone 2 (Electric FAF)</t>
  </si>
  <si>
    <t>Single Family Weatherization - Insulate Attic - R0 to R38 - Heating Zone 3 (Electric FAF)</t>
  </si>
  <si>
    <t>ResSpHtFAFZ3</t>
  </si>
  <si>
    <t>Single Family Weatherization - Insulate Attic - R0 to R49 - Heating Zone 3 (Electric FAF)</t>
  </si>
  <si>
    <t>Single Family Weatherization - Insulate Attic - R11 to R38 - Heating Zone 3 (Electric FAF)</t>
  </si>
  <si>
    <t>Single Family Weatherization - Insulate Attic - R11 to R49 - Heating Zone 3 (Electric FAF)</t>
  </si>
  <si>
    <t>Single Family Weatherization - Insulate Attic - R19 to R38 - Heating Zone 3 (Electric FAF)</t>
  </si>
  <si>
    <t>Single Family Weatherization - Insulate Attic - R19 to R49 - Heating Zone 3 (Electric FAF)</t>
  </si>
  <si>
    <t>Single Family Weatherization - Insulate Attic - R30 to R49 - Heating Zone 3 (Electric FAF)</t>
  </si>
  <si>
    <t>Single Family Weatherization - Insulate Attic - R38 to R49 - Heating Zone 3 (Electric FAF)</t>
  </si>
  <si>
    <t>Single Family Weatherization - Insulate Wall - R0 to R11 - Heating Zone 3 (Electric FAF)</t>
  </si>
  <si>
    <t>Single Family Weatherization - Insulate Floor - R0 to R19 - Heating Zone 3 (Electric FAF)</t>
  </si>
  <si>
    <t>Single Family Weatherization - Insulate Floor - R0 to R25 - Heating Zone 3 (Electric FAF)</t>
  </si>
  <si>
    <t>Single Family Weatherization - Insulate Floor - R0 to R30 - Heating Zone 3 (Electric FAF)</t>
  </si>
  <si>
    <t>Windows - Single Pane to Class 30 - Heating Zone 3 (Electric FAF)</t>
  </si>
  <si>
    <t>Windows - Double Pane to Class 30 - Heating Zone 3 (Electric FAF)</t>
  </si>
  <si>
    <t>Windows - Class 35 to Class 30 - Heating Zone 3 (Electric FAF)</t>
  </si>
  <si>
    <t>Windows - Single Pane to Class 22 - Heating Zone 3 (Electric FAF)</t>
  </si>
  <si>
    <t>Windows - Double Pane to Class 22 - Heating Zone 3 (Electric FAF)</t>
  </si>
  <si>
    <t>Windows - Class 35 to Class 22 - Heating Zone 3 (Electric FAF)</t>
  </si>
  <si>
    <t>Infiltration Reduction - CFM50 reduction - Heating Zone 3 (Electric FAF)</t>
  </si>
  <si>
    <t>ResSpHtBBZ1</t>
  </si>
  <si>
    <t>ResSpHtBBZ2</t>
  </si>
  <si>
    <t>ResSpHtBBZ3</t>
  </si>
  <si>
    <t>Single Family Weatherization - Insulate Attic - R0 to R38 - Heating Zone 1 (Heat Pump)</t>
  </si>
  <si>
    <t>ResSpHtHPZ1</t>
  </si>
  <si>
    <t>Single Family Weatherization - Insulate Attic - R0 to R49 - Heating Zone 1 (Heat Pump)</t>
  </si>
  <si>
    <t>Single Family Weatherization - Insulate Attic - R11 to R38 - Heating Zone 1 (Heat Pump)</t>
  </si>
  <si>
    <t>Single Family Weatherization - Insulate Attic - R11 to R49 - Heating Zone 1 (Heat Pump)</t>
  </si>
  <si>
    <t>Single Family Weatherization - Insulate Attic - R19 to R38 - Heating Zone 1 (Heat Pump)</t>
  </si>
  <si>
    <t>Single Family Weatherization - Insulate Attic - R19 to R49 - Heating Zone 1 (Heat Pump)</t>
  </si>
  <si>
    <t>Single Family Weatherization - Insulate Attic - R30 to R49 - Heating Zone 1 (Heat Pump)</t>
  </si>
  <si>
    <t>Single Family Weatherization - Insulate Attic - R38 to R49 - Heating Zone 1 (Heat Pump)</t>
  </si>
  <si>
    <t>Single Family Weatherization - Insulate Wall - R0 to R11 - Heating Zone 1 (Heat Pump)</t>
  </si>
  <si>
    <t>Single Family Weatherization - Insulate Floor - R0 to R19 - Heating Zone 1 (Heat Pump)</t>
  </si>
  <si>
    <t>Single Family Weatherization - Insulate Floor - R0 to R25 - Heating Zone 1 (Heat Pump)</t>
  </si>
  <si>
    <t>Single Family Weatherization - Insulate Floor - R0 to R30 - Heating Zone 1 (Heat Pump)</t>
  </si>
  <si>
    <t>Windows - Single Pane to Class 30 - Heating Zone 1 (Heat Pump)</t>
  </si>
  <si>
    <t>Windows - Double Pane to Class 30 - Heating Zone 1 (Heat Pump)</t>
  </si>
  <si>
    <t>Windows - Class 35 to Class 30 - Heating Zone 1 (Heat Pump)</t>
  </si>
  <si>
    <t>Windows - Single Pane to Class 22 - Heating Zone 1 (Heat Pump)</t>
  </si>
  <si>
    <t>Windows - Double Pane to Class 22 - Heating Zone 1 (Heat Pump)</t>
  </si>
  <si>
    <t>Windows - Class 35 to Class 22 - Heating Zone 1 (Heat Pump)</t>
  </si>
  <si>
    <t>Infiltration Reduction - CFM50 reduction - Heating Zone 1 (Heat Pump)</t>
  </si>
  <si>
    <t>Single Family Weatherization - Insulate Attic - R0 to R38 - Heating Zone 2 (Heat Pump)</t>
  </si>
  <si>
    <t>ResSpHtHPZ2</t>
  </si>
  <si>
    <t>Single Family Weatherization - Insulate Attic - R0 to R49 - Heating Zone 2 (Heat Pump)</t>
  </si>
  <si>
    <t>Single Family Weatherization - Insulate Attic - R11 to R38 - Heating Zone 2 (Heat Pump)</t>
  </si>
  <si>
    <t>Single Family Weatherization - Insulate Attic - R11 to R49 - Heating Zone 2 (Heat Pump)</t>
  </si>
  <si>
    <t>Single Family Weatherization - Insulate Attic - R19 to R38 - Heating Zone 2 (Heat Pump)</t>
  </si>
  <si>
    <t>Single Family Weatherization - Insulate Attic - R19 to R49 - Heating Zone 2 (Heat Pump)</t>
  </si>
  <si>
    <t>Single Family Weatherization - Insulate Attic - R30 to R49 - Heating Zone 2 (Heat Pump)</t>
  </si>
  <si>
    <t>Single Family Weatherization - Insulate Attic - R38 to R49 - Heating Zone 2 (Heat Pump)</t>
  </si>
  <si>
    <t>Single Family Weatherization - Insulate Wall - R0 to R11 - Heating Zone 2 (Heat Pump)</t>
  </si>
  <si>
    <t>Single Family Weatherization - Insulate Floor - R0 to R19 - Heating Zone 2 (Heat Pump)</t>
  </si>
  <si>
    <t>Single Family Weatherization - Insulate Floor - R0 to R25 - Heating Zone 2 (Heat Pump)</t>
  </si>
  <si>
    <t>Single Family Weatherization - Insulate Floor - R0 to R30 - Heating Zone 2 (Heat Pump)</t>
  </si>
  <si>
    <t>Windows - Single Pane to Class 30 - Heating Zone 2 (Heat Pump)</t>
  </si>
  <si>
    <t>Windows - Double Pane to Class 30 - Heating Zone 2 (Heat Pump)</t>
  </si>
  <si>
    <t>Windows - Class 35 to Class 30 - Heating Zone 2 (Heat Pump)</t>
  </si>
  <si>
    <t>Windows - Single Pane to Class 22 - Heating Zone 2 (Heat Pump)</t>
  </si>
  <si>
    <t>Windows - Double Pane to Class 22 - Heating Zone 2 (Heat Pump)</t>
  </si>
  <si>
    <t>Windows - Class 35 to Class 22 - Heating Zone 2 (Heat Pump)</t>
  </si>
  <si>
    <t>Infiltration Reduction - CFM50 reduction - Heating Zone 2 (Heat Pump)</t>
  </si>
  <si>
    <t>Single Family Weatherization - Insulate Attic - R0 to R38 - Heating Zone 3 (Heat Pump)</t>
  </si>
  <si>
    <t>ResSpHtHPZ3</t>
  </si>
  <si>
    <t>Single Family Weatherization - Insulate Attic - R0 to R49 - Heating Zone 3 (Heat Pump)</t>
  </si>
  <si>
    <t>Single Family Weatherization - Insulate Attic - R11 to R38 - Heating Zone 3 (Heat Pump)</t>
  </si>
  <si>
    <t>Single Family Weatherization - Insulate Attic - R11 to R49 - Heating Zone 3 (Heat Pump)</t>
  </si>
  <si>
    <t>Single Family Weatherization - Insulate Attic - R19 to R38 - Heating Zone 3 (Heat Pump)</t>
  </si>
  <si>
    <t>Single Family Weatherization - Insulate Attic - R19 to R49 - Heating Zone 3 (Heat Pump)</t>
  </si>
  <si>
    <t>Single Family Weatherization - Insulate Attic - R30 to R49 - Heating Zone 3 (Heat Pump)</t>
  </si>
  <si>
    <t>Single Family Weatherization - Insulate Attic - R38 to R49 - Heating Zone 3 (Heat Pump)</t>
  </si>
  <si>
    <t>Single Family Weatherization - Insulate Wall - R0 to R11 - Heating Zone 3 (Heat Pump)</t>
  </si>
  <si>
    <t>Single Family Weatherization - Insulate Floor - R0 to R19 - Heating Zone 3 (Heat Pump)</t>
  </si>
  <si>
    <t>Single Family Weatherization - Insulate Floor - R0 to R25 - Heating Zone 3 (Heat Pump)</t>
  </si>
  <si>
    <t>Single Family Weatherization - Insulate Floor - R0 to R30 - Heating Zone 3 (Heat Pump)</t>
  </si>
  <si>
    <t>Windows - Single Pane to Class 30 - Heating Zone 3 (Heat Pump)</t>
  </si>
  <si>
    <t>Windows - Double Pane to Class 30 - Heating Zone 3 (Heat Pump)</t>
  </si>
  <si>
    <t>Windows - Class 35 to Class 30 - Heating Zone 3 (Heat Pump)</t>
  </si>
  <si>
    <t>Windows - Single Pane to Class 22 - Heating Zone 3 (Heat Pump)</t>
  </si>
  <si>
    <t>Windows - Double Pane to Class 22 - Heating Zone 3 (Heat Pump)</t>
  </si>
  <si>
    <t>Windows - Class 35 to Class 22 - Heating Zone 3 (Heat Pump)</t>
  </si>
  <si>
    <t>Infiltration Reduction - CFM50 reduction - Heating Zone 3 (Heat Pump)</t>
  </si>
  <si>
    <t>ATTIC R0 - R38 (cooling savings)</t>
  </si>
  <si>
    <t>ResCACPNW</t>
  </si>
  <si>
    <t>ATTIC R0 - R49 (cooling savings)</t>
  </si>
  <si>
    <t>ATTIC R11 - R38 (cooling savings)</t>
  </si>
  <si>
    <t>ATTIC R11 - R49 (cooling savings)</t>
  </si>
  <si>
    <t>ATTIC R19 - R38 (cooling savings)</t>
  </si>
  <si>
    <t>ATTIC R19 - R49 (cooling savings)</t>
  </si>
  <si>
    <t>ATTIC R30 - R49 (cooling savings)</t>
  </si>
  <si>
    <t>ATTIC R38 - R49 (cooling savings)</t>
  </si>
  <si>
    <t>WALL R0 - R11 (cooling savings)</t>
  </si>
  <si>
    <t>FLOOR R0 - R19 (cooling savings)</t>
  </si>
  <si>
    <t>FLOOR R0 - R25 (cooling savings)</t>
  </si>
  <si>
    <t>FLOOR R0 - R30 (cooling savings)</t>
  </si>
  <si>
    <t>WINDOW CL30 Prime Window Replacement of Single Pane Base (cooling savings)</t>
  </si>
  <si>
    <t>WINDOW CL30 Prime Window Replacement of Double Pane Base (cooling savings)</t>
  </si>
  <si>
    <t>WINDOW CL35 to CL30 Upgrade (cooling savings)</t>
  </si>
  <si>
    <t>WINDOW CL22 Prime Window Replacement of Single Pane Base (cooling savings)</t>
  </si>
  <si>
    <t>WINDOW CL22 Prime Window Replacement of Double Pane Base (cooling savings)</t>
  </si>
  <si>
    <t>WINDOW CL35 to CL22 Upgrade (cooling savings)</t>
  </si>
  <si>
    <t>Electric FAF</t>
  </si>
  <si>
    <t>Electric Zonal</t>
  </si>
  <si>
    <t>Heat Pump</t>
  </si>
  <si>
    <t>Apply per Home saturations to adjust savings &amp; cost</t>
  </si>
  <si>
    <t>Methodology</t>
  </si>
  <si>
    <t>Retrofit</t>
  </si>
  <si>
    <t>Retro</t>
  </si>
  <si>
    <t>Measure Bundle</t>
  </si>
  <si>
    <t>Report Year</t>
  </si>
  <si>
    <t>Multifamily - Low Rise</t>
  </si>
  <si>
    <t>Multifamily - High Rise</t>
  </si>
  <si>
    <t>Manufactured</t>
  </si>
  <si>
    <t>REG_TOTAL_STOCK_# HOMES</t>
  </si>
  <si>
    <t>Total Regional Stock</t>
  </si>
  <si>
    <t>Applicability</t>
  </si>
  <si>
    <t>Achievability =&gt;</t>
  </si>
  <si>
    <t>Homes Treated Max</t>
  </si>
  <si>
    <t>SUPPLY CURVE SAVINGS BY BUNDLE</t>
  </si>
  <si>
    <t>kWh per home</t>
  </si>
  <si>
    <t>lvlcost</t>
  </si>
  <si>
    <t>segment</t>
  </si>
  <si>
    <t>measure</t>
  </si>
  <si>
    <t>RECOMBINE MEASURE BUNDLES INTO SUPPLY CURVE CUMULATIVE</t>
  </si>
  <si>
    <t>Block 1: &lt;= 0 mills/kWh</t>
  </si>
  <si>
    <t>&gt;=-9999</t>
  </si>
  <si>
    <t>&lt;=0</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</si>
  <si>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</si>
  <si>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</si>
  <si>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</si>
  <si>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</si>
  <si>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</si>
  <si>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</si>
  <si>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</si>
  <si>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</si>
  <si>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</si>
  <si>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</si>
  <si>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</si>
  <si>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</si>
  <si>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</si>
  <si>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</si>
  <si>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</si>
  <si>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</si>
  <si>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</si>
  <si>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</si>
  <si>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</si>
  <si>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</si>
  <si>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</si>
  <si>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</si>
  <si>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</si>
  <si>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</si>
  <si>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</si>
  <si>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</si>
  <si>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</si>
  <si>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</si>
  <si>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</si>
  <si>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</si>
  <si>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</si>
  <si>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</si>
  <si>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</si>
  <si>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</si>
  <si>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</si>
  <si>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</si>
  <si>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</si>
  <si>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</si>
  <si>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</si>
  <si>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</si>
  <si>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</si>
  <si>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</si>
  <si>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</si>
  <si>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</si>
  <si>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</si>
  <si>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</si>
  <si>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</si>
  <si>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</si>
  <si>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</si>
  <si>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</si>
  <si>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</si>
  <si>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</si>
  <si>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</si>
  <si>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</si>
  <si>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</si>
  <si>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</si>
  <si>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</si>
  <si>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</si>
  <si>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</si>
  <si>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&gt;200</t>
  </si>
  <si>
    <t>&lt;=9999</t>
  </si>
  <si>
    <t>RECOMBINE MEASURE BUNDLES INTO SUPPLY CURVE INCREMENTAL</t>
  </si>
  <si>
    <t>siteid</t>
  </si>
  <si>
    <t>state</t>
  </si>
  <si>
    <t>svy_wt</t>
  </si>
  <si>
    <t>WA</t>
  </si>
  <si>
    <t>OR</t>
  </si>
  <si>
    <t>ID</t>
  </si>
  <si>
    <t>MT</t>
  </si>
  <si>
    <t>Component</t>
  </si>
  <si>
    <t>Label</t>
  </si>
  <si>
    <t>Min U</t>
  </si>
  <si>
    <t>Max U</t>
  </si>
  <si>
    <t>max R</t>
  </si>
  <si>
    <t>min R</t>
  </si>
  <si>
    <t>Full Measure Package</t>
  </si>
  <si>
    <t>R0</t>
  </si>
  <si>
    <t>n/a</t>
  </si>
  <si>
    <t>R38</t>
  </si>
  <si>
    <t>Full Efficiency</t>
  </si>
  <si>
    <t>Maximum Efficiency Starting Point</t>
  </si>
  <si>
    <t>R11</t>
  </si>
  <si>
    <t>R19</t>
  </si>
  <si>
    <t>R30</t>
  </si>
  <si>
    <t>R19, R25, or R30</t>
  </si>
  <si>
    <t>Windows</t>
  </si>
  <si>
    <t>Double</t>
  </si>
  <si>
    <t>Duct Tightness</t>
  </si>
  <si>
    <t>PTCS</t>
  </si>
  <si>
    <t>Existing</t>
  </si>
  <si>
    <t>Duct Insulation</t>
  </si>
  <si>
    <t>R8</t>
  </si>
  <si>
    <t>R2</t>
  </si>
  <si>
    <t>R25</t>
  </si>
  <si>
    <t>Air Sealing</t>
  </si>
  <si>
    <t>0.35 ACHn</t>
  </si>
  <si>
    <t>Htg System</t>
  </si>
  <si>
    <t>9.0HSPF</t>
  </si>
  <si>
    <t>FAF</t>
  </si>
  <si>
    <t>Better</t>
  </si>
  <si>
    <t>DHP</t>
  </si>
  <si>
    <t>Zonal</t>
  </si>
  <si>
    <t>Single</t>
  </si>
  <si>
    <t>existing</t>
  </si>
  <si>
    <t>Single-pane</t>
  </si>
  <si>
    <t>Double-pane Metal</t>
  </si>
  <si>
    <t>Full</t>
  </si>
  <si>
    <t>Double-pane Wood/Vinyl</t>
  </si>
  <si>
    <t>IDnumber</t>
  </si>
  <si>
    <t>Heating system Type</t>
  </si>
  <si>
    <t>Weighting</t>
  </si>
  <si>
    <t>Count</t>
  </si>
  <si>
    <t>u30</t>
  </si>
  <si>
    <t>Heat Pump Upgrade</t>
  </si>
  <si>
    <t>8.5HSPF</t>
  </si>
  <si>
    <t>HP Conversion</t>
  </si>
  <si>
    <t>9.0 HSPF</t>
  </si>
  <si>
    <t>HP CC&amp;S</t>
  </si>
  <si>
    <t>Std. Practice</t>
  </si>
  <si>
    <t>Pivot to get list of unique full measure packages</t>
  </si>
  <si>
    <t>FMPnumber</t>
  </si>
  <si>
    <t>Heating System</t>
  </si>
  <si>
    <t>Code</t>
  </si>
  <si>
    <t>CS Count</t>
  </si>
  <si>
    <t>Basement</t>
  </si>
  <si>
    <t>0.35ACHn</t>
  </si>
  <si>
    <t>Slab</t>
  </si>
  <si>
    <t>each heating zone</t>
  </si>
  <si>
    <t>each prototype</t>
  </si>
  <si>
    <t>baseline for each CS</t>
  </si>
  <si>
    <t>full package for each CS</t>
  </si>
  <si>
    <t>full package w/htg system conversion for each eligible CS</t>
  </si>
  <si>
    <t>baseline lmi for each measure for each eligible char.scenario</t>
  </si>
  <si>
    <t>F</t>
  </si>
  <si>
    <t>use R0-R38</t>
  </si>
  <si>
    <t>Use R11-R38</t>
  </si>
  <si>
    <t>Use R19-R38</t>
  </si>
  <si>
    <t>Use R0-R25</t>
  </si>
  <si>
    <t>Use Infiltration</t>
  </si>
  <si>
    <t>Use Single to u30</t>
  </si>
  <si>
    <t>Use Double to u30</t>
  </si>
  <si>
    <t>New Run (other workbook)</t>
  </si>
  <si>
    <t>(other workbook)</t>
  </si>
  <si>
    <t>Use duct tightness</t>
  </si>
  <si>
    <t>Mnumber</t>
  </si>
  <si>
    <t>Optional or Full Measure Package</t>
  </si>
  <si>
    <t>O</t>
  </si>
  <si>
    <t>Ending Point</t>
  </si>
  <si>
    <t>R49</t>
  </si>
  <si>
    <t>u22</t>
  </si>
  <si>
    <t>Starting Point</t>
  </si>
  <si>
    <t>u35</t>
  </si>
  <si>
    <t>cfm50 reduction</t>
  </si>
  <si>
    <t>StandardPractice</t>
  </si>
  <si>
    <t>eff-case</t>
  </si>
  <si>
    <t>FMP</t>
  </si>
  <si>
    <t>Attic_R49</t>
  </si>
  <si>
    <t>Attic_R38</t>
  </si>
  <si>
    <t>Floor_R19</t>
  </si>
  <si>
    <t>Floor_R30</t>
  </si>
  <si>
    <t>Windo_u22</t>
  </si>
  <si>
    <t>Dinsu_R8</t>
  </si>
  <si>
    <t>base-case</t>
  </si>
  <si>
    <t>Attic_R00</t>
  </si>
  <si>
    <t>Attic_R11</t>
  </si>
  <si>
    <t>Attic_R19</t>
  </si>
  <si>
    <t>Attic_R30</t>
  </si>
  <si>
    <t>Walls_R00</t>
  </si>
  <si>
    <t>Floor_R00</t>
  </si>
  <si>
    <t>Windo_Sgl</t>
  </si>
  <si>
    <t>Windo_Dbl</t>
  </si>
  <si>
    <t>Windo_u35</t>
  </si>
  <si>
    <t>infil_Std</t>
  </si>
  <si>
    <t>HPupg_8.5</t>
  </si>
  <si>
    <t>HPcnv_res</t>
  </si>
  <si>
    <t>HPcnv_FAF</t>
  </si>
  <si>
    <t>HPcnv_Znl</t>
  </si>
  <si>
    <t>HPccs_std</t>
  </si>
  <si>
    <t>Ducts_std</t>
  </si>
  <si>
    <t>Pivot to get list of unique characteristic scenario's (zonal and FAF only)</t>
  </si>
  <si>
    <t>Characteristic Scenario-specific Full Measure Package</t>
  </si>
  <si>
    <t>Number of Full Measure Package Measures</t>
  </si>
  <si>
    <t>CSnumber</t>
  </si>
  <si>
    <t>Code2</t>
  </si>
  <si>
    <t>Number</t>
  </si>
  <si>
    <t>Weight</t>
  </si>
  <si>
    <t>Weight%</t>
  </si>
  <si>
    <t>Attic:R0-R38</t>
  </si>
  <si>
    <t>Attic:R0-R49</t>
  </si>
  <si>
    <t>Attic:R11-R38</t>
  </si>
  <si>
    <t>Attic:R11-R49</t>
  </si>
  <si>
    <t>Attic:R19-R38</t>
  </si>
  <si>
    <t>Attic:R19-R49</t>
  </si>
  <si>
    <t>Attic:R30-R38</t>
  </si>
  <si>
    <t>Attic:R30-R49</t>
  </si>
  <si>
    <t>Attic:R38-R49</t>
  </si>
  <si>
    <t>Wall:R0-R11</t>
  </si>
  <si>
    <t>Floor:R0-R19</t>
  </si>
  <si>
    <t>Floor:R0-R25</t>
  </si>
  <si>
    <t>Floor:R0-R30</t>
  </si>
  <si>
    <t>Window:Single-u30</t>
  </si>
  <si>
    <t>Window:Double-u30</t>
  </si>
  <si>
    <t>Window:u35-u30</t>
  </si>
  <si>
    <t>Window:Single-u22</t>
  </si>
  <si>
    <t>Window:Double-u22</t>
  </si>
  <si>
    <t>Window:u35-u22</t>
  </si>
  <si>
    <t>Infiltration:cfm50 reduction</t>
  </si>
  <si>
    <t>Heat Pump:8.5HSPF-9.0HSPF</t>
  </si>
  <si>
    <t>Heat Pump:Zonal-8.5HSPF</t>
  </si>
  <si>
    <t>Heat Pump:FAF-8.5HSPF</t>
  </si>
  <si>
    <t>Heat Pump:Zonal-DHP</t>
  </si>
  <si>
    <t>Heat Pump:FAF-DHP</t>
  </si>
  <si>
    <t>HP CC&amp;S:StandardPractice-PTCS</t>
  </si>
  <si>
    <t>DuctInsulation:R0-R8</t>
  </si>
  <si>
    <t>DuctTightness:StandardPractice-PTCS</t>
  </si>
  <si>
    <t>1001Electric ZonalR0R0R0Single</t>
  </si>
  <si>
    <t>Electric ZonalR0R0R0Single</t>
  </si>
  <si>
    <t>1002Electric ZonalR0R0R0Double</t>
  </si>
  <si>
    <t>Electric ZonalR0R0R0Double</t>
  </si>
  <si>
    <t>1003Electric ZonalR0R0R0Better</t>
  </si>
  <si>
    <t>Electric ZonalR0R0R0Better</t>
  </si>
  <si>
    <t>1006Electric ZonalR0R0R19Better</t>
  </si>
  <si>
    <t>Electric ZonalR0R0R19Better</t>
  </si>
  <si>
    <t>1011Electric ZonalR0R11R0Double</t>
  </si>
  <si>
    <t>Electric ZonalR0R11R0Double</t>
  </si>
  <si>
    <t>1012Electric ZonalR0R11R0Better</t>
  </si>
  <si>
    <t>Electric ZonalR0R11R0Better</t>
  </si>
  <si>
    <t>1017Electric ZonalR0R11BetterDouble</t>
  </si>
  <si>
    <t>Electric ZonalR0R11BetterDouble</t>
  </si>
  <si>
    <t>1019Electric ZonalR11R0R0Single</t>
  </si>
  <si>
    <t>Electric ZonalR11R0R0Single</t>
  </si>
  <si>
    <t>1021Electric ZonalR11R0R0Better</t>
  </si>
  <si>
    <t>Electric ZonalR11R0R0Better</t>
  </si>
  <si>
    <t>1029Electric ZonalR11R11R0Double</t>
  </si>
  <si>
    <t>Electric ZonalR11R11R0Double</t>
  </si>
  <si>
    <t>1030Electric ZonalR11R11R0Better</t>
  </si>
  <si>
    <t>Electric ZonalR11R11R0Better</t>
  </si>
  <si>
    <t>1033Electric ZonalR11R11R19Better</t>
  </si>
  <si>
    <t>Electric ZonalR11R11R19Better</t>
  </si>
  <si>
    <t>1035Electric ZonalR11R11BetterDouble</t>
  </si>
  <si>
    <t>Electric ZonalR11R11BetterDouble</t>
  </si>
  <si>
    <t>1036Electric ZonalR11R11BetterBetter</t>
  </si>
  <si>
    <t>Electric ZonalR11R11BetterBetter</t>
  </si>
  <si>
    <t>1038Electric ZonalR19R0R0Double</t>
  </si>
  <si>
    <t>Electric ZonalR19R0R0Double</t>
  </si>
  <si>
    <t>1039Electric ZonalR19R0R0Better</t>
  </si>
  <si>
    <t>Electric ZonalR19R0R0Better</t>
  </si>
  <si>
    <t>1042Electric ZonalR19R0R19Better</t>
  </si>
  <si>
    <t>Electric ZonalR19R0R19Better</t>
  </si>
  <si>
    <t>1047Electric ZonalR19R11R0Double</t>
  </si>
  <si>
    <t>Electric ZonalR19R11R0Double</t>
  </si>
  <si>
    <t>1048Electric ZonalR19R11R0Better</t>
  </si>
  <si>
    <t>Electric ZonalR19R11R0Better</t>
  </si>
  <si>
    <t>1050Electric ZonalR19R11R19Double</t>
  </si>
  <si>
    <t>Electric ZonalR19R11R19Double</t>
  </si>
  <si>
    <t>1051Electric ZonalR19R11R19Better</t>
  </si>
  <si>
    <t>Electric ZonalR19R11R19Better</t>
  </si>
  <si>
    <t>1053Electric ZonalR19R11BetterDouble</t>
  </si>
  <si>
    <t>Electric ZonalR19R11BetterDouble</t>
  </si>
  <si>
    <t>1054Electric ZonalR19R11BetterBetter</t>
  </si>
  <si>
    <t>Electric ZonalR19R11BetterBetter</t>
  </si>
  <si>
    <t>1063Electric ZonalR30R0BetterBetter</t>
  </si>
  <si>
    <t>Electric ZonalR30R0BetterBetter</t>
  </si>
  <si>
    <t>1065Electric ZonalR30R11R0Double</t>
  </si>
  <si>
    <t>Electric ZonalR30R11R0Double</t>
  </si>
  <si>
    <t>1066Electric ZonalR30R11R0Better</t>
  </si>
  <si>
    <t>Electric ZonalR30R11R0Better</t>
  </si>
  <si>
    <t>1067Electric ZonalR30R11R19Single</t>
  </si>
  <si>
    <t>Electric ZonalR30R11R19Single</t>
  </si>
  <si>
    <t>1069Electric ZonalR30R11R19Better</t>
  </si>
  <si>
    <t>Electric ZonalR30R11R19Better</t>
  </si>
  <si>
    <t>1070Electric ZonalR30R11BetterSingle</t>
  </si>
  <si>
    <t>Electric ZonalR30R11BetterSingle</t>
  </si>
  <si>
    <t>1071Electric ZonalR30R11BetterDouble</t>
  </si>
  <si>
    <t>Electric ZonalR30R11BetterDouble</t>
  </si>
  <si>
    <t>1072Electric ZonalR30R11BetterBetter</t>
  </si>
  <si>
    <t>Electric ZonalR30R11BetterBetter</t>
  </si>
  <si>
    <t>1074Electric ZonalR38R0R0Double</t>
  </si>
  <si>
    <t>Electric ZonalR38R0R0Double</t>
  </si>
  <si>
    <t>1075Electric ZonalR38R0R0Better</t>
  </si>
  <si>
    <t>Electric ZonalR38R0R0Better</t>
  </si>
  <si>
    <t>1081Electric ZonalR38R0BetterBetter</t>
  </si>
  <si>
    <t>Electric ZonalR38R0BetterBetter</t>
  </si>
  <si>
    <t>1082Electric ZonalR38R11R0Single</t>
  </si>
  <si>
    <t>Electric ZonalR38R11R0Single</t>
  </si>
  <si>
    <t>1083Electric ZonalR38R11R0Double</t>
  </si>
  <si>
    <t>Electric ZonalR38R11R0Double</t>
  </si>
  <si>
    <t>1084Electric ZonalR38R11R0Better</t>
  </si>
  <si>
    <t>Electric ZonalR38R11R0Better</t>
  </si>
  <si>
    <t>1086Electric ZonalR38R11R19Double</t>
  </si>
  <si>
    <t>Electric ZonalR38R11R19Double</t>
  </si>
  <si>
    <t>1087Electric ZonalR38R11R19Better</t>
  </si>
  <si>
    <t>Electric ZonalR38R11R19Better</t>
  </si>
  <si>
    <t>1089Electric ZonalR38R11BetterDouble</t>
  </si>
  <si>
    <t>Electric ZonalR38R11BetterDouble</t>
  </si>
  <si>
    <t>1090Electric ZonalR38R11BetterBetter</t>
  </si>
  <si>
    <t>Electric ZonalR38R11BetterBetter</t>
  </si>
  <si>
    <t>1093Electric FAFR0R0R0Better</t>
  </si>
  <si>
    <t>Electric FAFR0R0R0Better</t>
  </si>
  <si>
    <t>1102Electric FAFR0R11R0Better</t>
  </si>
  <si>
    <t>Electric FAFR0R11R0Better</t>
  </si>
  <si>
    <t>1105Electric FAFR0R11R19Better</t>
  </si>
  <si>
    <t>Electric FAFR0R11R19Better</t>
  </si>
  <si>
    <t>1108Electric FAFR0R11BetterBetter</t>
  </si>
  <si>
    <t>Electric FAFR0R11BetterBetter</t>
  </si>
  <si>
    <t>1117Electric FAFR11R0BetterBetter</t>
  </si>
  <si>
    <t>Electric FAFR11R0BetterBetter</t>
  </si>
  <si>
    <t>1119Electric FAFR11R11R0Double</t>
  </si>
  <si>
    <t>Electric FAFR11R11R0Double</t>
  </si>
  <si>
    <t>1123Electric FAFR11R11R19Better</t>
  </si>
  <si>
    <t>Electric FAFR11R11R19Better</t>
  </si>
  <si>
    <t>1137Electric FAFR19R11R0Double</t>
  </si>
  <si>
    <t>Electric FAFR19R11R0Double</t>
  </si>
  <si>
    <t>1138Electric FAFR19R11R0Better</t>
  </si>
  <si>
    <t>Electric FAFR19R11R0Better</t>
  </si>
  <si>
    <t>1140Electric FAFR19R11R19Double</t>
  </si>
  <si>
    <t>Electric FAFR19R11R19Double</t>
  </si>
  <si>
    <t>1141Electric FAFR19R11R19Better</t>
  </si>
  <si>
    <t>Electric FAFR19R11R19Better</t>
  </si>
  <si>
    <t>1144Electric FAFR19R11BetterBetter</t>
  </si>
  <si>
    <t>Electric FAFR19R11BetterBetter</t>
  </si>
  <si>
    <t>1156Electric FAFR30R11R0Better</t>
  </si>
  <si>
    <t>Electric FAFR30R11R0Better</t>
  </si>
  <si>
    <t>1159Electric FAFR30R11R19Better</t>
  </si>
  <si>
    <t>Electric FAFR30R11R19Better</t>
  </si>
  <si>
    <t>1161Electric FAFR30R11BetterDouble</t>
  </si>
  <si>
    <t>Electric FAFR30R11BetterDouble</t>
  </si>
  <si>
    <t>1162Electric FAFR30R11BetterBetter</t>
  </si>
  <si>
    <t>Electric FAFR30R11BetterBetter</t>
  </si>
  <si>
    <t>1171Electric FAFR38R0BetterBetter</t>
  </si>
  <si>
    <t>Electric FAFR38R0BetterBetter</t>
  </si>
  <si>
    <t>1172Electric FAFR38R11R0Single</t>
  </si>
  <si>
    <t>Electric FAFR38R11R0Single</t>
  </si>
  <si>
    <t>1174Electric FAFR38R11R0Better</t>
  </si>
  <si>
    <t>Electric FAFR38R11R0Better</t>
  </si>
  <si>
    <t>1177Electric FAFR38R11R19Better</t>
  </si>
  <si>
    <t>Electric FAFR38R11R19Better</t>
  </si>
  <si>
    <t>1178Electric FAFR38R11BetterSingle</t>
  </si>
  <si>
    <t>Electric FAFR38R11BetterSingle</t>
  </si>
  <si>
    <t>1180Electric FAFR38R11BetterBetter</t>
  </si>
  <si>
    <t>Electric FAFR38R11BetterBetter</t>
  </si>
  <si>
    <t>1273Electric ZonalR0R0BasementBetter</t>
  </si>
  <si>
    <t>Electric ZonalR0R0BasementBetter</t>
  </si>
  <si>
    <t>1276Electric ZonalR0R11BasementBetter</t>
  </si>
  <si>
    <t>Electric ZonalR0R11BasementBetter</t>
  </si>
  <si>
    <t>1281Electric ZonalR11R11BasementDouble</t>
  </si>
  <si>
    <t>Electric ZonalR11R11BasementDouble</t>
  </si>
  <si>
    <t>1282Electric ZonalR11R11BasementBetter</t>
  </si>
  <si>
    <t>Electric ZonalR11R11BasementBetter</t>
  </si>
  <si>
    <t>1288Electric ZonalR19R11BasementBetter</t>
  </si>
  <si>
    <t>Electric ZonalR19R11BasementBetter</t>
  </si>
  <si>
    <t>1289Electric ZonalR30R0BasementSingle</t>
  </si>
  <si>
    <t>Electric ZonalR30R0BasementSingle</t>
  </si>
  <si>
    <t>1293Electric ZonalR30R11BasementDouble</t>
  </si>
  <si>
    <t>Electric ZonalR30R11BasementDouble</t>
  </si>
  <si>
    <t>1294Electric ZonalR30R11BasementBetter</t>
  </si>
  <si>
    <t>Electric ZonalR30R11BasementBetter</t>
  </si>
  <si>
    <t>1297Electric ZonalR38R0BasementBetter</t>
  </si>
  <si>
    <t>Electric ZonalR38R0BasementBetter</t>
  </si>
  <si>
    <t>1299Electric ZonalR38R11BasementDouble</t>
  </si>
  <si>
    <t>Electric ZonalR38R11BasementDouble</t>
  </si>
  <si>
    <t>1300Electric ZonalR38R11BasementBetter</t>
  </si>
  <si>
    <t>Electric ZonalR38R11BasementBetter</t>
  </si>
  <si>
    <t>1306Electric FAFR0R11BasementBetter</t>
  </si>
  <si>
    <t>Electric FAFR0R11BasementBetter</t>
  </si>
  <si>
    <t>1312Electric FAFR11R11BasementBetter</t>
  </si>
  <si>
    <t>Electric FAFR11R11BasementBetter</t>
  </si>
  <si>
    <t>1314Electric FAFR19R0BasementDouble</t>
  </si>
  <si>
    <t>Electric FAFR19R0BasementDouble</t>
  </si>
  <si>
    <t>1317Electric FAFR19R11BasementDouble</t>
  </si>
  <si>
    <t>Electric FAFR19R11BasementDouble</t>
  </si>
  <si>
    <t>1318Electric FAFR19R11BasementBetter</t>
  </si>
  <si>
    <t>Electric FAFR19R11BasementBetter</t>
  </si>
  <si>
    <t>1323Electric FAFR30R11BasementDouble</t>
  </si>
  <si>
    <t>Electric FAFR30R11BasementDouble</t>
  </si>
  <si>
    <t>1324Electric FAFR30R11BasementBetter</t>
  </si>
  <si>
    <t>Electric FAFR30R11BasementBetter</t>
  </si>
  <si>
    <t>1329Electric FAFR38R11BasementDouble</t>
  </si>
  <si>
    <t>Electric FAFR38R11BasementDouble</t>
  </si>
  <si>
    <t>1330Electric FAFR38R11BasementBetter</t>
  </si>
  <si>
    <t>Electric FAFR38R11BasementBetter</t>
  </si>
  <si>
    <t>1371Electric ZonalR11R11SlabDouble</t>
  </si>
  <si>
    <t>Electric ZonalR11R11SlabDouble</t>
  </si>
  <si>
    <t>1372Electric ZonalR11R11SlabBetter</t>
  </si>
  <si>
    <t>Electric ZonalR11R11SlabBetter</t>
  </si>
  <si>
    <t>1375Electric ZonalR19R0SlabBetter</t>
  </si>
  <si>
    <t>Electric ZonalR19R0SlabBetter</t>
  </si>
  <si>
    <t>1377Electric ZonalR19R11SlabDouble</t>
  </si>
  <si>
    <t>Electric ZonalR19R11SlabDouble</t>
  </si>
  <si>
    <t>1378Electric ZonalR19R11SlabBetter</t>
  </si>
  <si>
    <t>Electric ZonalR19R11SlabBetter</t>
  </si>
  <si>
    <t>1383Electric ZonalR30R11SlabDouble</t>
  </si>
  <si>
    <t>Electric ZonalR30R11SlabDouble</t>
  </si>
  <si>
    <t>1384Electric ZonalR30R11SlabBetter</t>
  </si>
  <si>
    <t>Electric ZonalR30R11SlabBetter</t>
  </si>
  <si>
    <t>1390Electric ZonalR38R11SlabBetter</t>
  </si>
  <si>
    <t>Electric ZonalR38R11SlabBetter</t>
  </si>
  <si>
    <t>1408Electric FAFR19R11SlabBetter</t>
  </si>
  <si>
    <t>Electric FAFR19R11SlabBetter</t>
  </si>
  <si>
    <t>1413Electric FAFR30R11SlabDouble</t>
  </si>
  <si>
    <t>Electric FAFR30R11SlabDouble</t>
  </si>
  <si>
    <t>1419Electric FAFR38R11SlabDouble</t>
  </si>
  <si>
    <t>Electric FAFR38R11SlabDouble</t>
  </si>
  <si>
    <t>1420Electric FAFR38R11SlabBetter</t>
  </si>
  <si>
    <t>Electric FAFR38R11SlabBetter</t>
  </si>
  <si>
    <t>Average Component u-value</t>
  </si>
  <si>
    <t>Average House Square Footage</t>
  </si>
  <si>
    <t>Number of Houses in Region</t>
  </si>
  <si>
    <t>Heating system</t>
  </si>
  <si>
    <t>Foundation Type</t>
  </si>
  <si>
    <t>All Houses</t>
  </si>
  <si>
    <t>Crawlspace</t>
  </si>
  <si>
    <t>Prototype</t>
  </si>
  <si>
    <t>Crawlspace Only</t>
  </si>
  <si>
    <t>1344c</t>
  </si>
  <si>
    <t>1344s</t>
  </si>
  <si>
    <t>2200c</t>
  </si>
  <si>
    <t>2200s</t>
  </si>
  <si>
    <t>2688b</t>
  </si>
  <si>
    <t>ignore</t>
  </si>
  <si>
    <t>FLAG</t>
  </si>
  <si>
    <t>keep</t>
  </si>
  <si>
    <t>Source: RBSA.  Analysis in SFCalibrationSEEM94_v10.xlsm.  See 'DataAssembly' tab, row 32 for headings.  Filtered for FAF, Zonal, and Heat Pump "Primary Heating System Assignment"</t>
  </si>
  <si>
    <t>Source: RBSA database.</t>
  </si>
  <si>
    <t>Site</t>
  </si>
  <si>
    <t>Primary Heating System Assignment</t>
  </si>
  <si>
    <t>SEEM FoundationType</t>
  </si>
  <si>
    <t>Square Footage</t>
  </si>
  <si>
    <t>Ceiling u</t>
  </si>
  <si>
    <t>Window u</t>
  </si>
  <si>
    <t>Wall u</t>
  </si>
  <si>
    <t>Floor u</t>
  </si>
  <si>
    <t>Ignore</t>
  </si>
  <si>
    <t>From SEEMruns_SingleFamilyExistingHVACandWeatherization_all_rev2.xlsm</t>
  </si>
  <si>
    <t>AtticInsLvl</t>
  </si>
  <si>
    <t>AtticInsCond</t>
  </si>
  <si>
    <t>ecosdatabaserecordsid</t>
  </si>
  <si>
    <t>atticceiling_it</t>
  </si>
  <si>
    <t>AtticArea</t>
  </si>
  <si>
    <t>AtticEstImprovement</t>
  </si>
  <si>
    <t>AtticInsType</t>
  </si>
  <si>
    <t>GeneralNotes</t>
  </si>
  <si>
    <t>u_atticceil</t>
  </si>
  <si>
    <t>R1-R10</t>
  </si>
  <si>
    <t>Blown Cellulose</t>
  </si>
  <si>
    <t>Batt Mineral Wool</t>
  </si>
  <si>
    <t>Blown Rock Wool</t>
  </si>
  <si>
    <t>Batt Fiberglass</t>
  </si>
  <si>
    <t>R11-R15</t>
  </si>
  <si>
    <t>Mixed</t>
  </si>
  <si>
    <t>R16-R20</t>
  </si>
  <si>
    <t>Other</t>
  </si>
  <si>
    <t>Blown FB</t>
  </si>
  <si>
    <t>R21-25</t>
  </si>
  <si>
    <t>R26-R30</t>
  </si>
  <si>
    <t>attic not accessible. Level and type estimated based on age of home</t>
  </si>
  <si>
    <t>R31-R40</t>
  </si>
  <si>
    <t>R41-R50</t>
  </si>
  <si>
    <t>R50+</t>
  </si>
  <si>
    <t>attic insulation detail not provided in survey</t>
  </si>
  <si>
    <t>LOW PITCH ROOF NO ACESS</t>
  </si>
  <si>
    <t>There was no attic access that I could find so attic insulation is unknown. Homeowner thinks its insulated but unsure how much</t>
  </si>
  <si>
    <t xml:space="preserve">unable to access crawl or attic space because tenant rents. Could not estimate insulation level for the same reason, tenant is uncertain of age of housing units. Rents from housing authority in Helena. </t>
  </si>
  <si>
    <t>RENTER SAYS THERE IS NO ACCESS</t>
  </si>
  <si>
    <t>no attic access</t>
  </si>
  <si>
    <t xml:space="preserve">no attic access, </t>
  </si>
  <si>
    <t>no access</t>
  </si>
  <si>
    <t>surveyor originally entered na</t>
  </si>
  <si>
    <t>no access , old home , probably not insulated</t>
  </si>
  <si>
    <t>No information</t>
  </si>
  <si>
    <t>no access to attic</t>
  </si>
  <si>
    <t>no insulation in the entire home.</t>
  </si>
  <si>
    <t>open beam ceilings  1950's w/ metal roof little if any insu lation</t>
  </si>
  <si>
    <t>no access to crawl</t>
  </si>
  <si>
    <t xml:space="preserve">could insulate the ceiling , old slatted wood floor </t>
  </si>
  <si>
    <t xml:space="preserve">This house is not conducive to insulating without completely reworking all the exterior surfaces , built like a train tressel ,boards against the wind </t>
  </si>
  <si>
    <t xml:space="preserve">access , not insulated , could blow in </t>
  </si>
  <si>
    <t>no access to this attic</t>
  </si>
  <si>
    <t xml:space="preserve">no access to area. vaulted ceiling, very cold    </t>
  </si>
  <si>
    <t xml:space="preserve">2" wood fibers existing insulation, Recently added insulation in DIY project right before revisit happened.  Current insulation level is R31-40 </t>
  </si>
  <si>
    <t>2-3" OF SILVAWOOL IN ATTIC</t>
  </si>
  <si>
    <t>converted garage ceiling</t>
  </si>
  <si>
    <t>FLAT ROOF NO ACESS OWNER INSULATED ADDITION BUT SAYS LITTLE INSULATION IN EXISTING HOME</t>
  </si>
  <si>
    <t>homeowner says he sealed up access because of vermiculite insulation</t>
  </si>
  <si>
    <t>2x8</t>
  </si>
  <si>
    <t>3" of  vermiculite</t>
  </si>
  <si>
    <t>heavy trafgic in attic plus abandoned duck system w vents in ceiling not sealed off</t>
  </si>
  <si>
    <t xml:space="preserve">BLOWN CELLUOSE IN SOFFETS, PROBABLY BATTS ABOVE UPSTAIRS ROOMS, IMPROVEMENT ONLY POSSIBLE IN SOFFET </t>
  </si>
  <si>
    <t>Some of attic is under plywood for storage purposes. ~1/3-1/2 of attic has potential for improved insulation.</t>
  </si>
  <si>
    <t>Roof replaced in 2001, not sure whether insulation was changed.</t>
  </si>
  <si>
    <t>this is estimated-o access to attic located. possible location is in converted garage/apt which was accessible at the beginning of the survey</t>
  </si>
  <si>
    <t>Knee walls were accessible</t>
  </si>
  <si>
    <t>Last insulated in mid-80s</t>
  </si>
  <si>
    <t>not visible. Est. R11, assuming 70s/80s retrofit.</t>
  </si>
  <si>
    <t>62+100+310+71. Alot of hidden behind knee wallls sometimes used as storage.</t>
  </si>
  <si>
    <t>I was unable to access the attic to view any of the duct conditions.  I suspect that it isn't well insulated above the ceiling.</t>
  </si>
  <si>
    <t xml:space="preserve">2x6 floor , insulaton in vermiculite </t>
  </si>
  <si>
    <t>not accessible or viewable, estimated.</t>
  </si>
  <si>
    <t xml:space="preserve">garage has no attic , open truss </t>
  </si>
  <si>
    <t>above attic area</t>
  </si>
  <si>
    <t xml:space="preserve">2x6 floor , insulation is vermiculite </t>
  </si>
  <si>
    <t>R-11 Batts</t>
  </si>
  <si>
    <t>Homeowner has insulated and remodeled attic space using R13 batt and R8 rigid foam board</t>
  </si>
  <si>
    <t>condition and insulation level based on client observations, couldn't get into attic because the client didn't want me to take apart their closet organization system that was built in.</t>
  </si>
  <si>
    <t>4-6" some mounding</t>
  </si>
  <si>
    <t>High possibility of asbestos insulation. I did not even open the acess. Home owner did the original insulating so I am just taking his word for it.</t>
  </si>
  <si>
    <t>The attic over the slab additon is R38 insulation.  The attic over the crawl area is R25.</t>
  </si>
  <si>
    <t>lumpy - level average</t>
  </si>
  <si>
    <t>access through the kids bedroom closet , both floor R21 and knee wall R11 insulated , but not vault</t>
  </si>
  <si>
    <t>garage ceiling uninsulated</t>
  </si>
  <si>
    <t>based on participant response</t>
  </si>
  <si>
    <t>per participant.</t>
  </si>
  <si>
    <t>blown Fiberglass/rockwool</t>
  </si>
  <si>
    <t>batt fiberglass and blown fiberglass on top.</t>
  </si>
  <si>
    <t>resident reported 1' depth of vermiculite asbestos (3% tremolite) covered with fiberglass batts (unknown R value)    I did not inspect the attic</t>
  </si>
  <si>
    <t>homeowner installed over addiiton</t>
  </si>
  <si>
    <t>8" fiberglass and 1" foam board</t>
  </si>
  <si>
    <t>couple inches old wood like stuff  under 10" blown in fiberglass</t>
  </si>
  <si>
    <t>Insulation upgrades within last three years</t>
  </si>
  <si>
    <t>24 inch blown and 5in blown split evenly. they made a storage area and maybe moved sime insulation into theother area.</t>
  </si>
  <si>
    <t>12" blow in</t>
  </si>
  <si>
    <t xml:space="preserve">6" blown fiberglass , very little mounding  , 3" base of  cellulose </t>
  </si>
  <si>
    <t>No access, built to 1981 code, R-30 estimate</t>
  </si>
  <si>
    <t>Tin roof with 6" rigid foam installed over existing roof in addition to the blown in ceiling insulation.</t>
  </si>
  <si>
    <t>Batt (other)</t>
  </si>
  <si>
    <t>batts but not nicely laid "r-38"</t>
  </si>
  <si>
    <t>Sketch shows non-vaulted area as being 625 sq ft but does not provide other details, added missing ceiling area of 625, left other parameters unk</t>
  </si>
  <si>
    <t>no attic access in whole house</t>
  </si>
  <si>
    <t>mixed 3" blown rock wool and R30 fiberglass bats</t>
  </si>
  <si>
    <t>FLAT CEILING IN ONUS ROOM</t>
  </si>
  <si>
    <t>The flat attic and kneewalls rakes were insulated to R38 in 1991.  The sloped portions of the attic (cathedral) are not insulated.  This information was taken from a previous homeowner's records since the kneewalls and attic were not accessible</t>
  </si>
  <si>
    <t>MAJORITY OF HOME HAS 8' CEILINGS, WHILE THE LIVING ROOM HAS A 14' VAULT   ATTIC ACCESS IS IN CLOSET AND BLOCKED BY BUILT IN SHELVING.</t>
  </si>
  <si>
    <t>Numbers based on Washington State code and homeowner information.  The attic was not accessible although I did locate a small hole in the garage that I could see into enough to get a pretty good educated guess to verify the above information.</t>
  </si>
  <si>
    <t>476</t>
  </si>
  <si>
    <t>Attic not accessible.</t>
  </si>
  <si>
    <t>blown r 38.</t>
  </si>
  <si>
    <t>about 5-8 ft compressed by boxes that were being stored in the attic</t>
  </si>
  <si>
    <t>patch of batt laid on top of blown fiberglass</t>
  </si>
  <si>
    <t>Area was achieved by subtracting the upstair's square footage from the main floor's square footage.  The attic consisted of two knee walls.</t>
  </si>
  <si>
    <t>2nd floor</t>
  </si>
  <si>
    <t>Blown fiberglass over R11 batt throughout entire attic</t>
  </si>
  <si>
    <t>Batt over blown fb</t>
  </si>
  <si>
    <t>10 inches of fiberglass batt and 1.5-2 inches of blown in with remnants of vermiculite, not enough to affect R value.</t>
  </si>
  <si>
    <t>addition</t>
  </si>
  <si>
    <t>addition in 2006, R-38</t>
  </si>
  <si>
    <t>R38-40 Including garage ceiling</t>
  </si>
  <si>
    <t>INCLUDES ROOF OVER GARAGE, CODE 2007</t>
  </si>
  <si>
    <t>18" blown in fiberglass</t>
  </si>
  <si>
    <t>attic cavity *completely* full of blown fiberglass. Estimated R55-60 averaged over roof line.</t>
  </si>
  <si>
    <t>Sfatticceiling Table from RBSA</t>
  </si>
  <si>
    <t>Row Labels</t>
  </si>
  <si>
    <t>Grand Total</t>
  </si>
  <si>
    <t>Column Labels</t>
  </si>
  <si>
    <t>(blank)</t>
  </si>
  <si>
    <t>Sum of Weight</t>
  </si>
  <si>
    <t>Primary_Secondary</t>
  </si>
  <si>
    <t>windowArea</t>
  </si>
  <si>
    <t>storms_present</t>
  </si>
  <si>
    <t>typeClass</t>
  </si>
  <si>
    <t>u_window</t>
  </si>
  <si>
    <t>type</t>
  </si>
  <si>
    <t>windowtype_it</t>
  </si>
  <si>
    <t>Primary</t>
  </si>
  <si>
    <t>no</t>
  </si>
  <si>
    <t>Wood-Vinyl-Fiberglass:Double:low-e</t>
  </si>
  <si>
    <t>Wood-Vinyl-Fiberglass:Double</t>
  </si>
  <si>
    <t>yes</t>
  </si>
  <si>
    <t>Metal:Double</t>
  </si>
  <si>
    <t>Wood-Vinyl-Fiberglass:Single</t>
  </si>
  <si>
    <t>Metal:Double:low-e</t>
  </si>
  <si>
    <t>Metal:Single</t>
  </si>
  <si>
    <t>Wood-Vinyl-Fiberglass:Single:low-e</t>
  </si>
  <si>
    <t>Wood-Vinyl-Fiberglass:Triple:low-e</t>
  </si>
  <si>
    <t>Wood-Vinyl-Fiberglass:Triple</t>
  </si>
  <si>
    <t>Metal:Triple</t>
  </si>
  <si>
    <t>Metal:Single:low-e</t>
  </si>
  <si>
    <t>Secondary</t>
  </si>
  <si>
    <t>Average of u_window</t>
  </si>
  <si>
    <t>HVAC</t>
  </si>
  <si>
    <t>Apply Weighting by heating zone</t>
  </si>
  <si>
    <t>Region</t>
  </si>
  <si>
    <t>ATTIC R0 - R38_Electric FAF</t>
  </si>
  <si>
    <t>ATTIC R0 - R49_Electric FAF</t>
  </si>
  <si>
    <t>ATTIC R11 - R38_Electric FAF</t>
  </si>
  <si>
    <t>ATTIC R11 - R49_Electric FAF</t>
  </si>
  <si>
    <t>ATTIC R19 - R38_Electric FAF</t>
  </si>
  <si>
    <t>ATTIC R19 - R49_Electric FAF</t>
  </si>
  <si>
    <t>WALL R0 - R11_Electric FAF</t>
  </si>
  <si>
    <t>FLOOR R0 - R19_Electric FAF</t>
  </si>
  <si>
    <t>FLOOR R0 - R25_Electric FAF</t>
  </si>
  <si>
    <t>FLOOR R0 - R30_Electric FAF</t>
  </si>
  <si>
    <t>WINDOW CL30 Prime Window Replacement of Single Pane Base_Electric FAF</t>
  </si>
  <si>
    <t>WINDOW CL30 Prime Window Replacement of Double Pane Base_Electric FAF</t>
  </si>
  <si>
    <t>WINDOW CL22 Prime Window Replacement of Single Pane Base_Electric FAF</t>
  </si>
  <si>
    <t>WINDOW CL22 Prime Window Replacement of Double Pane Base_Electric FAF</t>
  </si>
  <si>
    <t>ATTIC R0 - R38_Electric Zonal</t>
  </si>
  <si>
    <t>ATTIC R0 - R49_Electric Zonal</t>
  </si>
  <si>
    <t>ATTIC R11 - R38_Electric Zonal</t>
  </si>
  <si>
    <t>ATTIC R11 - R49_Electric Zonal</t>
  </si>
  <si>
    <t>ATTIC R19 - R38_Electric Zonal</t>
  </si>
  <si>
    <t>ATTIC R19 - R49_Electric Zonal</t>
  </si>
  <si>
    <t>WALL R0 - R11_Electric Zonal</t>
  </si>
  <si>
    <t>FLOOR R0 - R19_Electric Zonal</t>
  </si>
  <si>
    <t>FLOOR R0 - R25_Electric Zonal</t>
  </si>
  <si>
    <t>FLOOR R0 - R30_Electric Zonal</t>
  </si>
  <si>
    <t>WINDOW CL30 Prime Window Replacement of Single Pane Base_Electric Zonal</t>
  </si>
  <si>
    <t>WINDOW CL30 Prime Window Replacement of Double Pane Base_Electric Zonal</t>
  </si>
  <si>
    <t>WINDOW CL22 Prime Window Replacement of Single Pane Base_Electric Zonal</t>
  </si>
  <si>
    <t>WINDOW CL22 Prime Window Replacement of Double Pane Base_Electric Zonal</t>
  </si>
  <si>
    <t>ATTIC R0 - R38_Heat Pump</t>
  </si>
  <si>
    <t>ATTIC R0 - R49_Heat Pump</t>
  </si>
  <si>
    <t>ATTIC R11 - R38_Heat Pump</t>
  </si>
  <si>
    <t>ATTIC R11 - R49_Heat Pump</t>
  </si>
  <si>
    <t>ATTIC R19 - R38_Heat Pump</t>
  </si>
  <si>
    <t>ATTIC R19 - R49_Heat Pump</t>
  </si>
  <si>
    <t>WALL R0 - R11_Heat Pump</t>
  </si>
  <si>
    <t>FLOOR R0 - R19_Heat Pump</t>
  </si>
  <si>
    <t>FLOOR R0 - R25_Heat Pump</t>
  </si>
  <si>
    <t>FLOOR R0 - R30_Heat Pump</t>
  </si>
  <si>
    <t>WINDOW CL30 Prime Window Replacement of Single Pane Base_Heat Pump</t>
  </si>
  <si>
    <t>WINDOW CL30 Prime Window Replacement of Double Pane Base_Heat Pump</t>
  </si>
  <si>
    <t>WINDOW CL22 Prime Window Replacement of Single Pane Base_Heat Pump</t>
  </si>
  <si>
    <t>WINDOW CL22 Prime Window Replacement of Double Pane Base_Heat Pump</t>
  </si>
  <si>
    <t>ATTIC R0 - R38_DHP</t>
  </si>
  <si>
    <t>ATTIC R0 - R49_DHP</t>
  </si>
  <si>
    <t>ATTIC R11 - R38_DHP</t>
  </si>
  <si>
    <t>ATTIC R11 - R49_DHP</t>
  </si>
  <si>
    <t>ATTIC R19 - R38_DHP</t>
  </si>
  <si>
    <t>ATTIC R19 - R49_DHP</t>
  </si>
  <si>
    <t>WALL R0 - R11_DHP</t>
  </si>
  <si>
    <t>FLOOR R0 - R19_DHP</t>
  </si>
  <si>
    <t>FLOOR R0 - R25_DHP</t>
  </si>
  <si>
    <t>FLOOR R0 - R30_DHP</t>
  </si>
  <si>
    <t>WINDOW CL30 Prime Window Replacement of Single Pane Base_DHP</t>
  </si>
  <si>
    <t>WINDOW CL30 Prime Window Replacement of Double Pane Base_DHP</t>
  </si>
  <si>
    <t>WINDOW CL22 Prime Window Replacement of Single Pane Base_DHP</t>
  </si>
  <si>
    <t>WINDOW CL22 Prime Window Replacement of Double Pane Base_DHP</t>
  </si>
  <si>
    <t>CFM50 Infiltration Reduction (cooling savings)</t>
  </si>
  <si>
    <t>CFM50 Infiltration Reduction_Electric FAF</t>
  </si>
  <si>
    <t>CFM50 Infiltration Reduction_Electric Zonal</t>
  </si>
  <si>
    <t>CFM50 Infiltration Reduction_Heat Pump</t>
  </si>
  <si>
    <t>CFM50 Infiltration Reduction_DHP</t>
  </si>
  <si>
    <t>R38max</t>
  </si>
  <si>
    <t>R49max</t>
  </si>
  <si>
    <t>Values</t>
  </si>
  <si>
    <t>CL22</t>
  </si>
  <si>
    <t>CL35</t>
  </si>
  <si>
    <t>Metal</t>
  </si>
  <si>
    <t>Wood-Vinyl-Fiberglass</t>
  </si>
  <si>
    <t>StdFloorInsulation</t>
  </si>
  <si>
    <t>StdFloorInsulationCondition</t>
  </si>
  <si>
    <t>CrawlWallInsulated</t>
  </si>
  <si>
    <t>CrawlWallInsLevel</t>
  </si>
  <si>
    <t>CrawlVentsPresent</t>
  </si>
  <si>
    <t>CrawlVentsBlocked</t>
  </si>
  <si>
    <t>crawl_it</t>
  </si>
  <si>
    <t>CrawlArea</t>
  </si>
  <si>
    <t>CrawlFraming</t>
  </si>
  <si>
    <t>CrawlJoistSize</t>
  </si>
  <si>
    <t>CrawlMoreInsulation</t>
  </si>
  <si>
    <t>CrawlWallInsType</t>
  </si>
  <si>
    <t>StdFloorInsulationType</t>
  </si>
  <si>
    <t>u_crawlfloor</t>
  </si>
  <si>
    <t>u_crawlwall</t>
  </si>
  <si>
    <t>R0-R3</t>
  </si>
  <si>
    <t>Post and beam</t>
  </si>
  <si>
    <t>False</t>
  </si>
  <si>
    <t>R1-R3</t>
  </si>
  <si>
    <t>R12-R20</t>
  </si>
  <si>
    <t>2x6</t>
  </si>
  <si>
    <t>True</t>
  </si>
  <si>
    <t>Fiberglass - Stapled</t>
  </si>
  <si>
    <t>Joist</t>
  </si>
  <si>
    <t>Fiberglass - Tied, stays</t>
  </si>
  <si>
    <t>2x10</t>
  </si>
  <si>
    <t>R16-R22</t>
  </si>
  <si>
    <t>R23-R27</t>
  </si>
  <si>
    <t>2x12</t>
  </si>
  <si>
    <t>R28-R35</t>
  </si>
  <si>
    <t>R38+</t>
  </si>
  <si>
    <t>R21-R30</t>
  </si>
  <si>
    <t>R4-R10</t>
  </si>
  <si>
    <t xml:space="preserve">no access to crawl , see walk around notes </t>
  </si>
  <si>
    <t xml:space="preserve">this is the extension , no access so unk insulation ,I would imagine it is insulated since the homeowner says the hardwood floors are not cold in the room </t>
  </si>
  <si>
    <t xml:space="preserve">Surveyor negelcted to capture entire home footprint. Based on photos, it is anticpated that a crawlspace was missed. Insulation levels and other details are unknown.  </t>
  </si>
  <si>
    <t>Unable to access crawl sufficiently to characterize</t>
  </si>
  <si>
    <t xml:space="preserve">no access to crawl space , maybe under low deck but renter did not know. I used a vent to visually spot fiberglass insulation but could not determine R rating or floor framing </t>
  </si>
  <si>
    <t>None</t>
  </si>
  <si>
    <t>R3-R11</t>
  </si>
  <si>
    <t>Possible validation error under basement floor area actual figures were: Square ft. is 435, linear ft. is 88. Also in the crawl space there was no floor insulation yet it is still requiring a type and condition</t>
  </si>
  <si>
    <t>Spray Foam</t>
  </si>
  <si>
    <t>R31+</t>
  </si>
  <si>
    <t>innaccessible</t>
  </si>
  <si>
    <t>220 square feet, slab / crawl space has partial broken up concrete walls around it separating it from the dirt ground below house joists (crawls space2)</t>
  </si>
  <si>
    <t>this crawl is open to basement and only separated by a low masonry wall</t>
  </si>
  <si>
    <t>Rigid</t>
  </si>
  <si>
    <t>could not locate crawl. TJIS visible through foundation vents. no insulation visible. INfo enetered is typical of this era</t>
  </si>
  <si>
    <t>IBSULATION FALLING DOWN UNFACED FIBERGLASS BATT INSUL</t>
  </si>
  <si>
    <t>r25 wall</t>
  </si>
  <si>
    <t>not directly accessible, photo through vent revealed no visible insulation. Discussion with home owner seems to affirm little or no prior rennovation history to the crawl.</t>
  </si>
  <si>
    <t>636 ft2 make up dirt with joists suppporting the house. No access, less than 1 foot between joists and dirt.</t>
  </si>
  <si>
    <t>50% FALLNG DOWN</t>
  </si>
  <si>
    <t>floor joists 2x4</t>
  </si>
  <si>
    <t>crawl wall insulation was done poorly ids give it 30%</t>
  </si>
  <si>
    <t>this is actually a small home that was moved to the site and attached to the existing home</t>
  </si>
  <si>
    <t>2x4 joist</t>
  </si>
  <si>
    <t>Could not get under the house because the particle board was so old and wet that if we tried to remove it, it would have broken.  Made the decision to not damage the house.</t>
  </si>
  <si>
    <t>NO ACCESS TO CRAWL  SOME RIGID FOAM ON EXT WALS AND HORIZONTALKY</t>
  </si>
  <si>
    <t>Blow-in Batt</t>
  </si>
  <si>
    <t>outside crawlspace wal is insulated. shared crawlspace wall in NOT</t>
  </si>
  <si>
    <t>could not access crawl</t>
  </si>
  <si>
    <t>tore up r19 missing sections.</t>
  </si>
  <si>
    <t>FLOOR INS. IS SOME OLD FOAM BOARD BEST CASE IS R 6 PER INCH. 2 INCHES OF BOARD. PROBABLY NOT R 6 THO</t>
  </si>
  <si>
    <t>this crawl has framed walls adn is the former porch foundation</t>
  </si>
  <si>
    <t>R15 batts</t>
  </si>
  <si>
    <t>10 inch space 6 inch fg hgh and low with compression and voids- my gift of 75% could be generous</t>
  </si>
  <si>
    <t>R-19 batts, quite loose and hanging in spots</t>
  </si>
  <si>
    <t>I did not have access to crawlspace due to a tarp and plywood naile across opening under front porch , I asked the  son of the participant for a description  , he was under the home recently , I estimate 2x6 or 2x8 with 75% R 19 batts stapled ,</t>
  </si>
  <si>
    <t>Numbers based on Washington State code and homeowner information.  Access to crawl space is in the closet of one of the rooms that I wasn't allowed into.</t>
  </si>
  <si>
    <t>INSULATION NOT TIGHT TO FLOOR 4 INCH GAP BTWEEN FLOOR AND INSULATION</t>
  </si>
  <si>
    <t>crawl is under addition has no connection to basement.</t>
  </si>
  <si>
    <t>this is a raised open to the basement crawl, no vents but the exterior door to the basement is left open all the time   joist are real 2x10 , very old    Added sq ft from what was previously entered as basement. No heated slab or insulation</t>
  </si>
  <si>
    <t>R19 batt</t>
  </si>
  <si>
    <t>very small addition off main house</t>
  </si>
  <si>
    <t>6 1/2 " batts , one row was hanging near the vapor line inlet for the heat pump</t>
  </si>
  <si>
    <t>r30</t>
  </si>
  <si>
    <t>CRAWLSPACE HATCH SEALED COULD NOT OPEN</t>
  </si>
  <si>
    <t>includes sf under addition</t>
  </si>
  <si>
    <t>708 sq ft floor above 75% insulated</t>
  </si>
  <si>
    <t>Addition built 2006 , not sure on code for crawl wall but  there is insulation R30 batt</t>
  </si>
  <si>
    <t>joist are TGI</t>
  </si>
  <si>
    <t>no vent visible.</t>
  </si>
  <si>
    <t>crawl storage area had R9 bats in ceiling. Crawl has a concrete floor that was added by the homeowner to create a storage area. Its 4.66 ft high</t>
  </si>
  <si>
    <t>weight</t>
  </si>
  <si>
    <t xml:space="preserve"> Total</t>
  </si>
  <si>
    <t>2x10 Total</t>
  </si>
  <si>
    <t>2x12 Total</t>
  </si>
  <si>
    <t>2x6 Total</t>
  </si>
  <si>
    <t>2x8 Total</t>
  </si>
  <si>
    <t>Sum of weight</t>
  </si>
  <si>
    <t>at least 2x8, false to R30</t>
  </si>
  <si>
    <t>at least 2x10 True to R30</t>
  </si>
  <si>
    <t>='[7P Forecasts D1.xlsx]Res Forecast (Base Case)'!$D$5</t>
  </si>
  <si>
    <t># HOMES</t>
  </si>
  <si>
    <t>BD_FlowA</t>
  </si>
  <si>
    <t>BD_HousePressureA</t>
  </si>
  <si>
    <t>BD_FlowB</t>
  </si>
  <si>
    <t>BD_HousePressureB</t>
  </si>
  <si>
    <t>flowexponent</t>
  </si>
  <si>
    <t>flowcoefficient</t>
  </si>
  <si>
    <t>Q50</t>
  </si>
  <si>
    <t>ELA</t>
  </si>
  <si>
    <t>Qinf</t>
  </si>
  <si>
    <t>floorarea</t>
  </si>
  <si>
    <t>volume</t>
  </si>
  <si>
    <t>buildingheight</t>
  </si>
  <si>
    <t>BD_Notes</t>
  </si>
  <si>
    <t>WSF</t>
  </si>
  <si>
    <t>home was hard to depressurize , maxed out the fan for 50pa, inspected for leaks and found an open hole in wall hidden in a closet ,</t>
  </si>
  <si>
    <t>Air draft coming from funace closet made it difficult to pressurize.</t>
  </si>
  <si>
    <t>The home is pretty tight and efficient.  Not sure why/what causes the flow exponent to be out of range.</t>
  </si>
  <si>
    <t>The numbers were read directly from the manometer.</t>
  </si>
  <si>
    <t>pressurized home due to open hearth fireplace</t>
  </si>
  <si>
    <t>Large volume home, unable to depressurize past -33 Pa</t>
  </si>
  <si>
    <t>used ring 1 for both pressures</t>
  </si>
  <si>
    <t>used ring 1 for both test pressures</t>
  </si>
  <si>
    <t>used ring 1 for tests</t>
  </si>
  <si>
    <t>fireplace ,would not hit 50pa</t>
  </si>
  <si>
    <t>Very large old and leaky.</t>
  </si>
  <si>
    <t>used ring 1 for -50pa   used ring 2 for -25pa</t>
  </si>
  <si>
    <t>could not reac -50</t>
  </si>
  <si>
    <t>used ring 1, open hearth fireplace not blocked it was cleaned of ash</t>
  </si>
  <si>
    <t>All electric baseboard heat.  No Ducts/air handler.</t>
  </si>
  <si>
    <t>2 open hearth fireplaces and an open furnace area</t>
  </si>
  <si>
    <t>used ring 1 on both tests</t>
  </si>
  <si>
    <t>End unit of 3, condo.</t>
  </si>
  <si>
    <t>used ring 1 for -50pa  used ring 1 for -25pa</t>
  </si>
  <si>
    <t>House has a finished attached garage, with the garage door still in place, probably high leakage from that. very high for a house of this size.</t>
  </si>
  <si>
    <t>several leaky areas upstairs that were going to make it diffulcult to depressurize</t>
  </si>
  <si>
    <t>no test asbestos</t>
  </si>
  <si>
    <t>Main home tested (single floor). There is a lower laundy facility on the lower floor completely seperated from the main home that was not tested.</t>
  </si>
  <si>
    <t>The high leakage was most likely due to the poor duct system</t>
  </si>
  <si>
    <t>50Pa: ring A 25Pa: Ring B</t>
  </si>
  <si>
    <t>house was 4500 sq ft, built in 1902 and had single pane windows with 2x4 framing. it was leaky...</t>
  </si>
  <si>
    <t>used ring 1 on both pressures</t>
  </si>
  <si>
    <t>windy day , used time avg   ring 1 for 50 and ring 2 for 25pa test</t>
  </si>
  <si>
    <t>could not depressurize to 50pa. Participant noted crawl is used as return plenum. Several potential leaks including interior wall open and cat door to garage.</t>
  </si>
  <si>
    <t>very large home , no rings used</t>
  </si>
  <si>
    <t>really ran the fan high to pressurize home , 2 open hearth fireplaces , older metal frame windows  so pretty leaky</t>
  </si>
  <si>
    <t>open for -50pa A ring for -25pa  ONE SUPPLY REGISTER FOUND UNCOVERED FOR TEST, MAY SKEW RESULTS</t>
  </si>
  <si>
    <t>No ducts or furnace for true flow and static tests. Bathroom fan had heater coils surrounding the fan. Skipped to prevent melting</t>
  </si>
  <si>
    <t>house was big, 2 fireplaces, many skylights and a remodel could be reason for high nuimber</t>
  </si>
  <si>
    <t>Homeowner is remodeling.  No ducts; only two gas fireplaces.  They intend to heat the upstairs remodel with underfloor heating coils.</t>
  </si>
  <si>
    <t>PERFORMED IN PRESSURIZATION MODE, AUTHORIZED BY BOB DAVIS.  Peformed due to wood stove present.</t>
  </si>
  <si>
    <t>not able to depressurize to -50/25.</t>
  </si>
  <si>
    <t>very leaky basement, several visible cracks and gaps in basement windows</t>
  </si>
  <si>
    <t>one back upstairs bedroom closed because of sleeping kid. Less than 10% of sq footage of home,</t>
  </si>
  <si>
    <t>B ring used exclusively</t>
  </si>
  <si>
    <t>several fireplaces , and doors poorly weatherstripped so hard to reach pressure , furnace closet open to crawl , other heavy leak points</t>
  </si>
  <si>
    <t>for main home only. Access to basement in garage, no way to test it with home at same time.</t>
  </si>
  <si>
    <t>Included finished half story attic space (heated with baseboard). considered living space.</t>
  </si>
  <si>
    <t>outside make-up air damper present on return side, left open for blower door test</t>
  </si>
  <si>
    <t>Ezxterior patio has been modified to be part of the living space and is poor;y insulated and sealed.  Window shaker AC unit is still installed with mornings in the 20s.</t>
  </si>
  <si>
    <t>Duct work all exposed and within thermal envelope of home.</t>
  </si>
  <si>
    <t>Very leaky window shaker unit in place.  My power animal is Bob Davis.</t>
  </si>
  <si>
    <t>Manifuacture home that was completely remodeled and addedx onto.</t>
  </si>
  <si>
    <t>Home has 95%+ of duct work inside conditioned space.  One supply run goes runs into conditioned crawl that runs about 12 feet.</t>
  </si>
  <si>
    <t>pressurization test, vermiculite in attic.</t>
  </si>
  <si>
    <t>there is a combustion air vent in the floor and in the ceiling so the crawl is completely connected to the home, this could be a cause of the high blower door number</t>
  </si>
  <si>
    <t>The wind was blowing on and off but I ran the test twice and got around the same numbers.</t>
  </si>
  <si>
    <t>window ac unit in place. removed in the winter time. highest point of leakage</t>
  </si>
  <si>
    <t>Windy Day</t>
  </si>
  <si>
    <t>Home had old fireplace that is no longer in place, but the vent is still in place and open to outside, which explains higher flows. The owner said that he is planning to take out the vent and re-roof the home in October.</t>
  </si>
  <si>
    <t>All ducts inside thermal envelope of home.</t>
  </si>
  <si>
    <t>All ductwork inside thermal envelope of home</t>
  </si>
  <si>
    <t>abandoned ductwork in attic including old AC in attic is probable a large leakage point.</t>
  </si>
  <si>
    <t>6272</t>
  </si>
  <si>
    <t>Home was very tight but was ventilated with HRV</t>
  </si>
  <si>
    <t>For this site, the duct blast was done for training purposes. The oil furnace the homeowner had, had not been used in a year and a half.</t>
  </si>
  <si>
    <t>This site only had time to test the return and supply side together. Did not have time pressurize only one side.</t>
  </si>
  <si>
    <t>Large home.</t>
  </si>
  <si>
    <t>Based ono the age and construction quality I agree with these high numbers.</t>
  </si>
  <si>
    <t>leaks like a ......</t>
  </si>
  <si>
    <t>Home has all ductwork within thermal envelope of home.</t>
  </si>
  <si>
    <t>pressurization test only due to vermiculite in home.</t>
  </si>
  <si>
    <t>Home is a duplex with common wall in garage</t>
  </si>
  <si>
    <t>House has no ducts.</t>
  </si>
  <si>
    <t>This was an extremely leaky house and my # are correct</t>
  </si>
  <si>
    <t>used ring 1 both tests</t>
  </si>
  <si>
    <t>OPEN fan</t>
  </si>
  <si>
    <t>house is over 120 years old  and has been added on too. all windows are singkle pane</t>
  </si>
  <si>
    <t>10/7/11 Vulrich: Test completed 10/05/11 by Sean Williamson, who uploaded it to the wrong site ID. Virginia Ulrich mapped data over to correct site ID.</t>
  </si>
  <si>
    <t>Pellet stove only.  No exhaust fan in the home.</t>
  </si>
  <si>
    <t>8 PA baseline adjustment for wind and attic ceiling fan connected to living space in 4 story building may have affected results.  These numbers were run acouple times with similar results.</t>
  </si>
  <si>
    <t>VERY WINDY....STEADY WIND.. ALMOST IMPOSSIBLE TO GET CONSISTENT NUMBER</t>
  </si>
  <si>
    <t>open fan and old home w/addition. Joint of original home and addition, I presume it is where there is leakage. windows and doors in original home leaky as well.</t>
  </si>
  <si>
    <t>HOUSE IS VERY LEAKY. DO IT YOURSELF ADDITION ADDED ON TO A MOBILE FRAME. UNABLE TO DEPRESSURIZE TO 50</t>
  </si>
  <si>
    <t>The home is partially open due to the incomplete addition remodel. Visible attic connections, untaped sheetrock and untrimmed door and shower stalls not in place are leading to additional leakage</t>
  </si>
  <si>
    <t>No central air system so duct blaster and true flow not needed</t>
  </si>
  <si>
    <t>an attic hatch does not seal well , also holes in walls and unfinished widow seats,  see pictures . extremely leaky</t>
  </si>
  <si>
    <t>Not sure why this test did not get an acceptable flow exponent, I had no problem reaching the required pressures ?  There was a bit a wind but nothing to strong.</t>
  </si>
  <si>
    <t>Floor has been stray foamed</t>
  </si>
  <si>
    <t>vermiculite 5" in attic therefore only able to do a pressurization test</t>
  </si>
  <si>
    <t>Interior trim not finished.  Bruce was with us on this test. Literally no leakage to the out doors from the duct system.</t>
  </si>
  <si>
    <t>Home did not have a central forced air system</t>
  </si>
  <si>
    <t>used open fan for both readings large home with high ceilings</t>
  </si>
  <si>
    <t>Did not have a fan control for blower door. Used the duct blast fan and taped opening around fan open spacing.   Northwestern Energy conducted an energy audit on December 15, 2010. The blower door test numbers they came up with were: A target r</t>
  </si>
  <si>
    <t>upper unit of a fourplex-no access to attic space above</t>
  </si>
  <si>
    <t>2 window ac units in place</t>
  </si>
  <si>
    <t>Primary source (read: only) source of heating is a wood stove in the living room..No exhaust fan in the house.</t>
  </si>
  <si>
    <t>Wood stove and electric zonal backup for heating.</t>
  </si>
  <si>
    <t>Heated by zonal electric.  No furnace or ducts to do a DB or TF test.</t>
  </si>
  <si>
    <t>Pressurization test done due to wood stove was burning and I did not want to pull in smoke into the home.</t>
  </si>
  <si>
    <t>Furnace was located in the attic in an area that was unaccessible for performing the TF or DB tests</t>
  </si>
  <si>
    <t>Vermiculite in attic. pressurization test only.</t>
  </si>
  <si>
    <t>Home is heated by zonal elecrtic only.  No furnace or duct system exists for DB or TF test.</t>
  </si>
  <si>
    <t>Pressurization test due to vermiculite in attic. Open ring.</t>
  </si>
  <si>
    <t>Bruce was an absolute pain, all he did was hold us up all day!</t>
  </si>
  <si>
    <t>4000 sq ft house...</t>
  </si>
  <si>
    <t>open fan</t>
  </si>
  <si>
    <t>Old Victorian style home, Very leaky.</t>
  </si>
  <si>
    <t>Pressurization test only b/c vermiculite present in house.</t>
  </si>
  <si>
    <t>used open fan for -50pa  ring 1 for -25pa   one window in bath shone daylight at frame</t>
  </si>
  <si>
    <t>Weights</t>
  </si>
  <si>
    <t>ACH50</t>
  </si>
  <si>
    <t>ACH622</t>
  </si>
  <si>
    <t>eledtrical baseboard heat , only test performed</t>
  </si>
  <si>
    <t>both done with open ring config,tried ring 1 but couldn't get up tp 25pa with it</t>
  </si>
  <si>
    <t>Pressurize home dyue to large fireplace opening coverded by a grate, also fairly windy and I would get strong spikes in pressure so I time avg. to 5 and took the reading when closest to desired pressure</t>
  </si>
  <si>
    <t>large home, open hearth fireplace , hard to pressurize</t>
  </si>
  <si>
    <t>CLOSE AS I COULD GET, TRIED MULTIPLE TIMES VERY LEAKY FOR SIZE</t>
  </si>
  <si>
    <t>used  open ring on both pressures   large old home , could not reach -50pa</t>
  </si>
  <si>
    <t>open fireplace ,leaky wood windows</t>
  </si>
  <si>
    <t>did not perform test because of old asbestos wrapped pipes in basement and crawl, informed owner</t>
  </si>
  <si>
    <t>4800 sq ft home , with 4 fireplaces , covered yet hard to depressurize</t>
  </si>
  <si>
    <t>This house used only radiant floor heating.  A fireplace exists, but mostly for nice romantic evenings.</t>
  </si>
  <si>
    <t>All sheet metal duct work, exposed in basement all ducts inside thermal envelope.</t>
  </si>
  <si>
    <t>Very old home , late 1800's</t>
  </si>
  <si>
    <t>This home's garage was converted into an apartment where everything was hooked up to the same system.  It created access and draft issues all over.  Attic and crawl space access hatches were sealed shut, so numbers regarding duct work in those</t>
  </si>
  <si>
    <t>Weight * Inf readh</t>
  </si>
  <si>
    <t>Have &gt;7 ACH50</t>
  </si>
  <si>
    <t>ACH50bundles (7 as cutoff)</t>
  </si>
  <si>
    <t>balance</t>
  </si>
  <si>
    <t>Portion of region</t>
  </si>
  <si>
    <t>Space</t>
  </si>
  <si>
    <t>HZ</t>
  </si>
  <si>
    <t>CONCATENATE</t>
  </si>
  <si>
    <t>Item</t>
  </si>
  <si>
    <t>Methods &amp; Sources</t>
  </si>
  <si>
    <t>Note</t>
  </si>
  <si>
    <t>Measures Described</t>
  </si>
  <si>
    <t>Energy Savings Calculation Basis</t>
  </si>
  <si>
    <t>Applicable Stock</t>
  </si>
  <si>
    <t>Baseline Saturation</t>
  </si>
  <si>
    <t>Permutations</t>
  </si>
  <si>
    <t>Costs</t>
  </si>
  <si>
    <t>Measure Life</t>
  </si>
  <si>
    <t>Savings Shape</t>
  </si>
  <si>
    <t>Description</t>
  </si>
  <si>
    <t>Notes</t>
  </si>
  <si>
    <t xml:space="preserve">Date Done </t>
  </si>
  <si>
    <t>Result</t>
  </si>
  <si>
    <t>Review 6P workbooks</t>
  </si>
  <si>
    <t>Get BPA Achievments data</t>
  </si>
  <si>
    <t>From 6 going on 7 project</t>
  </si>
  <si>
    <t>Update forecasts</t>
  </si>
  <si>
    <t>Linked to units file</t>
  </si>
  <si>
    <t>Update saturations</t>
  </si>
  <si>
    <t>Update savings</t>
  </si>
  <si>
    <t>Update costs</t>
  </si>
  <si>
    <t>savingsYear</t>
  </si>
  <si>
    <t>Sector</t>
  </si>
  <si>
    <t>EndUse</t>
  </si>
  <si>
    <t>MeasureCategory</t>
  </si>
  <si>
    <t>MeasureIndex</t>
  </si>
  <si>
    <t>savingsType</t>
  </si>
  <si>
    <t>AchievedKWhBusbar</t>
  </si>
  <si>
    <t>AchievedaMWBusbar</t>
  </si>
  <si>
    <t>Residential</t>
  </si>
  <si>
    <t>Envelope Retro</t>
  </si>
  <si>
    <t>Single Family Weatherization</t>
  </si>
  <si>
    <t>lost opportunity</t>
  </si>
  <si>
    <t>retrofit</t>
  </si>
  <si>
    <t>From 6 going on 7 workbook</t>
  </si>
  <si>
    <t>2012 only</t>
  </si>
  <si>
    <t>Original Measure Name</t>
  </si>
  <si>
    <t>Subcategory</t>
  </si>
  <si>
    <t>Technology, Measure or Practice</t>
  </si>
  <si>
    <t>Cost</t>
  </si>
  <si>
    <t>Units</t>
  </si>
  <si>
    <t>Insulation</t>
  </si>
  <si>
    <t>$/ sf</t>
  </si>
  <si>
    <t>Single Family Weatherization - Insulate Attic - R30 to R38 - Heating Zone 1 (Electric FAF)</t>
  </si>
  <si>
    <t>ATTIC R30 - R38</t>
  </si>
  <si>
    <t>Single Family Weatherization - Insulate Floor - R19 to R30 - Heating Zone 1 (Electric FAF)</t>
  </si>
  <si>
    <t>FLOOR R19 - R30</t>
  </si>
  <si>
    <t>Prime Window or Patio Door Replacement</t>
  </si>
  <si>
    <t>Window: Single - u30</t>
  </si>
  <si>
    <t>Window: Double - u30</t>
  </si>
  <si>
    <t>Window: u35 - u30</t>
  </si>
  <si>
    <t>Window: Single - u22</t>
  </si>
  <si>
    <t>Window: Double - u22</t>
  </si>
  <si>
    <t>Window: u35 - u22</t>
  </si>
  <si>
    <t>Infiltration Control</t>
  </si>
  <si>
    <t xml:space="preserve">CFM50 Infiltration Reduction </t>
  </si>
  <si>
    <t>Infiltration cost calculations</t>
  </si>
  <si>
    <t>Existing costs (previous workbook) in $ per 0.1 ACHn per sf</t>
  </si>
  <si>
    <t>Converting this cost to $ per 1 ACH50 per sf</t>
  </si>
  <si>
    <t>(ACH50) = (ACHn)*20</t>
  </si>
  <si>
    <t>Area of the house</t>
  </si>
  <si>
    <t>square feet</t>
  </si>
  <si>
    <t>Prototype (house size)</t>
  </si>
  <si>
    <t>Wx, etc.</t>
  </si>
  <si>
    <t>Height (SEEM Template)</t>
  </si>
  <si>
    <t>Average Weighted Height per Floor</t>
  </si>
  <si>
    <t>House Volume</t>
  </si>
  <si>
    <t>cu. Feet</t>
  </si>
  <si>
    <t>$ per Air Change per Minute at 50 Pa per sf</t>
  </si>
  <si>
    <t>$ per CFM50 Reduction</t>
  </si>
  <si>
    <t xml:space="preserve"> - Weighted Volume</t>
  </si>
  <si>
    <t xml:space="preserve"> - Weighted Height</t>
  </si>
  <si>
    <t>Attic Insulation Cost Calculations</t>
  </si>
  <si>
    <t>Standard Information Workbook fixed and incremental insulation cost:</t>
  </si>
  <si>
    <t>Location</t>
  </si>
  <si>
    <t>Constant</t>
  </si>
  <si>
    <t>Slope</t>
  </si>
  <si>
    <t>(these are in 2012 $values)</t>
  </si>
  <si>
    <t>2012 to 2006 Deflator</t>
  </si>
  <si>
    <t>Heating System Type</t>
  </si>
  <si>
    <t>Heating Zone</t>
  </si>
  <si>
    <t>Heating Savings (kWh/yr)</t>
  </si>
  <si>
    <t>Cooling Savings (kWh/yr)</t>
  </si>
  <si>
    <t>Heating Load Shape</t>
  </si>
  <si>
    <t>Non Electric Savings (kWh/yr)</t>
  </si>
  <si>
    <t>Non Electric Savings ($/yr)</t>
  </si>
  <si>
    <t>Zonal or DHP1</t>
  </si>
  <si>
    <t>Zonal or DHP</t>
  </si>
  <si>
    <t>Residential Space Heating - Baseboard Heating Zone 1</t>
  </si>
  <si>
    <t>Heating Zone 1</t>
  </si>
  <si>
    <t>Zonal or DHP2</t>
  </si>
  <si>
    <t>Residential Space Heating - Baseboard Heating Zone 2</t>
  </si>
  <si>
    <t>Zonal or DHP3</t>
  </si>
  <si>
    <t>Residential Space Heating - Baseboard Heating Zone 3</t>
  </si>
  <si>
    <t>Electric FAF1</t>
  </si>
  <si>
    <t>Residential Space Heating - Forced Air Furnace Heating Zone 1</t>
  </si>
  <si>
    <t>Electric FAF2</t>
  </si>
  <si>
    <t>Residential Space Heating - Forced Air Furnace Heating Zone 2</t>
  </si>
  <si>
    <t>Electric FAF3</t>
  </si>
  <si>
    <t>Residential Space Heating - Forced Air Furnace Heating Zone 3</t>
  </si>
  <si>
    <t>Heat Pump1</t>
  </si>
  <si>
    <t>Residential Space Heating - Heat Pump Heating Zone 1</t>
  </si>
  <si>
    <t>Heat Pump2</t>
  </si>
  <si>
    <t>Residential Space Heating - Heat Pump Heating Zone 2</t>
  </si>
  <si>
    <t>Heat Pump3</t>
  </si>
  <si>
    <t>Residential Space Heating - Heat Pump Heating Zone 3</t>
  </si>
  <si>
    <t>Floor:R19-R30</t>
  </si>
  <si>
    <t>Residential Central Air Conditioning Regional Average</t>
  </si>
  <si>
    <t>Heating Zone 2</t>
  </si>
  <si>
    <t>Single Family Weatherization - Insulate Attic - R30 to R38 - Heating Zone 2 (Electric FAF)</t>
  </si>
  <si>
    <t>Single Family Weatherization - Insulate Floor - R19 to R30 - Heating Zone 2 (Electric FAF)</t>
  </si>
  <si>
    <t>Heating Zone 3</t>
  </si>
  <si>
    <t>Single Family Weatherization - Insulate Attic - R30 to R38 - Heating Zone 3 (Electric FAF)</t>
  </si>
  <si>
    <t>Single Family Weatherization - Insulate Floor - R19 to R30 - Heating Zone 3 (Electric FAF)</t>
  </si>
  <si>
    <t>Single Family Weatherization - Insulate Attic - R0 to R38 - Heating Zone 1 (Zonal or DHP)</t>
  </si>
  <si>
    <t>Single Family Weatherization - Insulate Attic - R0 to R49 - Heating Zone 1 (Zonal or DHP)</t>
  </si>
  <si>
    <t>Single Family Weatherization - Insulate Attic - R11 to R38 - Heating Zone 1 (Zonal or DHP)</t>
  </si>
  <si>
    <t>Single Family Weatherization - Insulate Attic - R11 to R49 - Heating Zone 1 (Zonal or DHP)</t>
  </si>
  <si>
    <t>Single Family Weatherization - Insulate Attic - R19 to R38 - Heating Zone 1 (Zonal or DHP)</t>
  </si>
  <si>
    <t>Single Family Weatherization - Insulate Attic - R19 to R49 - Heating Zone 1 (Zonal or DHP)</t>
  </si>
  <si>
    <t>Single Family Weatherization - Insulate Attic - R30 to R38 - Heating Zone 1 (Zonal or DHP)</t>
  </si>
  <si>
    <t>Single Family Weatherization - Insulate Attic - R30 to R49 - Heating Zone 1 (Zonal or DHP)</t>
  </si>
  <si>
    <t>Single Family Weatherization - Insulate Attic - R38 to R49 - Heating Zone 1 (Zonal or DHP)</t>
  </si>
  <si>
    <t>Single Family Weatherization - Insulate Wall - R0 to R11 - Heating Zone 1 (Zonal or DHP)</t>
  </si>
  <si>
    <t>Single Family Weatherization - Insulate Floor - R0 to R19 - Heating Zone 1 (Zonal or DHP)</t>
  </si>
  <si>
    <t>Single Family Weatherization - Insulate Floor - R0 to R25 - Heating Zone 1 (Zonal or DHP)</t>
  </si>
  <si>
    <t>Single Family Weatherization - Insulate Floor - R0 to R30 - Heating Zone 1 (Zonal or DHP)</t>
  </si>
  <si>
    <t>Single Family Weatherization - Insulate Floor - R19 to R30 - Heating Zone 1 (Zonal or DHP)</t>
  </si>
  <si>
    <t>Windows - Single Pane to Class 30 - Heating Zone 1 (Zonal or DHP)</t>
  </si>
  <si>
    <t>Windows - Double Pane to Class 30 - Heating Zone 1 (Zonal or DHP)</t>
  </si>
  <si>
    <t>Windows - Class 35 to Class 30 - Heating Zone 1 (Zonal or DHP)</t>
  </si>
  <si>
    <t>Windows - Single Pane to Class 22 - Heating Zone 1 (Zonal or DHP)</t>
  </si>
  <si>
    <t>Windows - Double Pane to Class 22 - Heating Zone 1 (Zonal or DHP)</t>
  </si>
  <si>
    <t>Windows - Class 35 to Class 22 - Heating Zone 1 (Zonal or DHP)</t>
  </si>
  <si>
    <t>Infiltration Reduction - CFM50 reduction - Heating Zone 1 (Zonal or DHP)</t>
  </si>
  <si>
    <t>Single Family Weatherization - Insulate Attic - R0 to R38 - Heating Zone 2 (Zonal or DHP)</t>
  </si>
  <si>
    <t>Single Family Weatherization - Insulate Attic - R0 to R49 - Heating Zone 2 (Zonal or DHP)</t>
  </si>
  <si>
    <t>Single Family Weatherization - Insulate Attic - R11 to R38 - Heating Zone 2 (Zonal or DHP)</t>
  </si>
  <si>
    <t>Single Family Weatherization - Insulate Attic - R11 to R49 - Heating Zone 2 (Zonal or DHP)</t>
  </si>
  <si>
    <t>Single Family Weatherization - Insulate Attic - R19 to R38 - Heating Zone 2 (Zonal or DHP)</t>
  </si>
  <si>
    <t>Single Family Weatherization - Insulate Attic - R19 to R49 - Heating Zone 2 (Zonal or DHP)</t>
  </si>
  <si>
    <t>Single Family Weatherization - Insulate Attic - R30 to R38 - Heating Zone 2 (Zonal or DHP)</t>
  </si>
  <si>
    <t>Single Family Weatherization - Insulate Attic - R30 to R49 - Heating Zone 2 (Zonal or DHP)</t>
  </si>
  <si>
    <t>Single Family Weatherization - Insulate Attic - R38 to R49 - Heating Zone 2 (Zonal or DHP)</t>
  </si>
  <si>
    <t>Single Family Weatherization - Insulate Wall - R0 to R11 - Heating Zone 2 (Zonal or DHP)</t>
  </si>
  <si>
    <t>Single Family Weatherization - Insulate Floor - R0 to R19 - Heating Zone 2 (Zonal or DHP)</t>
  </si>
  <si>
    <t>Single Family Weatherization - Insulate Floor - R0 to R25 - Heating Zone 2 (Zonal or DHP)</t>
  </si>
  <si>
    <t>Single Family Weatherization - Insulate Floor - R0 to R30 - Heating Zone 2 (Zonal or DHP)</t>
  </si>
  <si>
    <t>Single Family Weatherization - Insulate Floor - R19 to R30 - Heating Zone 2 (Zonal or DHP)</t>
  </si>
  <si>
    <t>Windows - Single Pane to Class 30 - Heating Zone 2 (Zonal or DHP)</t>
  </si>
  <si>
    <t>Windows - Double Pane to Class 30 - Heating Zone 2 (Zonal or DHP)</t>
  </si>
  <si>
    <t>Windows - Class 35 to Class 30 - Heating Zone 2 (Zonal or DHP)</t>
  </si>
  <si>
    <t>Windows - Single Pane to Class 22 - Heating Zone 2 (Zonal or DHP)</t>
  </si>
  <si>
    <t>Windows - Double Pane to Class 22 - Heating Zone 2 (Zonal or DHP)</t>
  </si>
  <si>
    <t>Windows - Class 35 to Class 22 - Heating Zone 2 (Zonal or DHP)</t>
  </si>
  <si>
    <t>Infiltration Reduction - CFM50 reduction - Heating Zone 2 (Zonal or DHP)</t>
  </si>
  <si>
    <t>Single Family Weatherization - Insulate Attic - R0 to R38 - Heating Zone 3 (Zonal or DHP)</t>
  </si>
  <si>
    <t>Single Family Weatherization - Insulate Attic - R0 to R49 - Heating Zone 3 (Zonal or DHP)</t>
  </si>
  <si>
    <t>Single Family Weatherization - Insulate Attic - R11 to R38 - Heating Zone 3 (Zonal or DHP)</t>
  </si>
  <si>
    <t>Single Family Weatherization - Insulate Attic - R11 to R49 - Heating Zone 3 (Zonal or DHP)</t>
  </si>
  <si>
    <t>Single Family Weatherization - Insulate Attic - R19 to R38 - Heating Zone 3 (Zonal or DHP)</t>
  </si>
  <si>
    <t>Single Family Weatherization - Insulate Attic - R19 to R49 - Heating Zone 3 (Zonal or DHP)</t>
  </si>
  <si>
    <t>Single Family Weatherization - Insulate Attic - R30 to R38 - Heating Zone 3 (Zonal or DHP)</t>
  </si>
  <si>
    <t>Single Family Weatherization - Insulate Attic - R30 to R49 - Heating Zone 3 (Zonal or DHP)</t>
  </si>
  <si>
    <t>Single Family Weatherization - Insulate Attic - R38 to R49 - Heating Zone 3 (Zonal or DHP)</t>
  </si>
  <si>
    <t>Single Family Weatherization - Insulate Wall - R0 to R11 - Heating Zone 3 (Zonal or DHP)</t>
  </si>
  <si>
    <t>Single Family Weatherization - Insulate Floor - R0 to R19 - Heating Zone 3 (Zonal or DHP)</t>
  </si>
  <si>
    <t>Single Family Weatherization - Insulate Floor - R0 to R25 - Heating Zone 3 (Zonal or DHP)</t>
  </si>
  <si>
    <t>Single Family Weatherization - Insulate Floor - R0 to R30 - Heating Zone 3 (Zonal or DHP)</t>
  </si>
  <si>
    <t>Single Family Weatherization - Insulate Floor - R19 to R30 - Heating Zone 3 (Zonal or DHP)</t>
  </si>
  <si>
    <t>Windows - Single Pane to Class 30 - Heating Zone 3 (Zonal or DHP)</t>
  </si>
  <si>
    <t>Windows - Double Pane to Class 30 - Heating Zone 3 (Zonal or DHP)</t>
  </si>
  <si>
    <t>Windows - Class 35 to Class 30 - Heating Zone 3 (Zonal or DHP)</t>
  </si>
  <si>
    <t>Windows - Single Pane to Class 22 - Heating Zone 3 (Zonal or DHP)</t>
  </si>
  <si>
    <t>Windows - Double Pane to Class 22 - Heating Zone 3 (Zonal or DHP)</t>
  </si>
  <si>
    <t>Windows - Class 35 to Class 22 - Heating Zone 3 (Zonal or DHP)</t>
  </si>
  <si>
    <t>Infiltration Reduction - CFM50 reduction - Heating Zone 3 (Zonal or DHP)</t>
  </si>
  <si>
    <t>Single Family Weatherization - Insulate Attic - R30 to R38 - Heating Zone 1 (Heat Pump)</t>
  </si>
  <si>
    <t>Single Family Weatherization - Insulate Floor - R19 to R30 - Heating Zone 1 (Heat Pump)</t>
  </si>
  <si>
    <t>Single Family Weatherization - Insulate Attic - R30 to R38 - Heating Zone 2 (Heat Pump)</t>
  </si>
  <si>
    <t>Single Family Weatherization - Insulate Floor - R19 to R30 - Heating Zone 2 (Heat Pump)</t>
  </si>
  <si>
    <t>Single Family Weatherization - Insulate Attic - R30 to R38 - Heating Zone 3 (Heat Pump)</t>
  </si>
  <si>
    <t>Single Family Weatherization - Insulate Floor - R19 to R30 - Heating Zone 3 (Heat Pump)</t>
  </si>
  <si>
    <t>Residential Weatherization - Single Family</t>
  </si>
  <si>
    <t>ATTIC R30 - R38 (cooling savings)</t>
  </si>
  <si>
    <t>FLOOR R19 - R30 (cooling savings)</t>
  </si>
  <si>
    <t>Measure:</t>
  </si>
  <si>
    <t>7P Updates</t>
  </si>
  <si>
    <t>Baseline HVAC Loads</t>
  </si>
  <si>
    <t>Achievability Ramp Rate</t>
  </si>
  <si>
    <t>Attic, floor, wall Insulation, window, and infiltration improvements</t>
  </si>
  <si>
    <t>SEEM models</t>
  </si>
  <si>
    <t>RBSA based on existing levels of insulation (grouped)</t>
  </si>
  <si>
    <t>ETO database</t>
  </si>
  <si>
    <t>RTF assumptions</t>
  </si>
  <si>
    <t>Wx programs have had long duration</t>
  </si>
  <si>
    <t>6P used 15yr retro</t>
  </si>
  <si>
    <t>Updated model, now calibrated</t>
  </si>
  <si>
    <t>Somewhat new increments based on RTF work</t>
  </si>
  <si>
    <t>ResSFWx_v3</t>
  </si>
  <si>
    <t>SEEM models, RTF</t>
  </si>
  <si>
    <t>Various pre/post R/U/CFM50 values</t>
  </si>
  <si>
    <t>Retro or LO</t>
  </si>
  <si>
    <t>Early Retrofit Parameters</t>
  </si>
  <si>
    <t>R or L</t>
  </si>
  <si>
    <t>Savings 2
(kWh)</t>
  </si>
  <si>
    <t>Remaining
Life (yrs)</t>
  </si>
  <si>
    <t>Salvage Value ($)</t>
  </si>
  <si>
    <t>R</t>
  </si>
  <si>
    <t xml:space="preserve">NB: most housing units have more than one heat source and we have limited knowledge of the different sources' relative shares of heat load.  Because of this, and because SEEM takes a single heat source as input, our calibration work assigns a primary heat source based on RBSA equipment data.  This assignment ignores the occupant's statements about what's primary and what's secondary and simply lists all the operable heating equipment at each site and picks the one that seems most likely to be the main one (for example, if a home has a heat pump and baseboards, we designate as a heat pump house.)  </t>
  </si>
  <si>
    <t>In 2012, there were</t>
  </si>
  <si>
    <t>kWh</t>
  </si>
  <si>
    <t>kWh/unit</t>
  </si>
  <si>
    <t>approx</t>
  </si>
  <si>
    <t>this equates to approx</t>
  </si>
  <si>
    <t>approx decrease in saturation of Zonal in region (RBSA had 802k DHP units)</t>
  </si>
  <si>
    <t>accounting for DHP accomplishments</t>
  </si>
  <si>
    <t>Zonal/DHP</t>
  </si>
  <si>
    <t>R-All-HVAC-ER-All-All-E</t>
  </si>
  <si>
    <t>R-All-HVAC-RAC-All-All-E</t>
  </si>
  <si>
    <t>CFM50 Infiltration Reduction</t>
  </si>
  <si>
    <t>MAX</t>
  </si>
  <si>
    <t>aMW</t>
  </si>
  <si>
    <t>Heating zone</t>
  </si>
  <si>
    <t>Zones 2 and 3 combined</t>
  </si>
  <si>
    <t>ALL zones combined</t>
  </si>
  <si>
    <t>"p"  
Percent of homes that are program-eligible</t>
  </si>
  <si>
    <t>Accounting for % of homes that are program eligible</t>
  </si>
  <si>
    <t>TRC Net Levelized Cost (Net of All Benefits)</t>
  </si>
  <si>
    <t>All homes with applicable baseline, rather than pre-80 vintage cohort</t>
  </si>
  <si>
    <t>pre-80 codes</t>
  </si>
  <si>
    <t>HVAC Elec Resistance space heat - ELCAP</t>
  </si>
  <si>
    <t>new GLS shape, need to review against 6P</t>
  </si>
  <si>
    <t>insulation at 45 years, windows 25 yrs, infiltration 15 yrs</t>
  </si>
  <si>
    <t>Block 22: 200-210 mills/kWh</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</si>
  <si>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</si>
  <si>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</si>
  <si>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</si>
  <si>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</si>
  <si>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</si>
  <si>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</si>
  <si>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</si>
  <si>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</si>
  <si>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</si>
  <si>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</si>
  <si>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</si>
  <si>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</si>
  <si>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</si>
  <si>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</si>
  <si>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</si>
  <si>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</si>
  <si>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</si>
  <si>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</si>
  <si>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</si>
  <si>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</si>
  <si>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</si>
  <si>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</si>
  <si>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</si>
  <si>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</si>
  <si>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</si>
  <si>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</si>
  <si>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</si>
  <si>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</si>
  <si>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 300 mills/kWh</t>
  </si>
  <si>
    <t>&gt;300</t>
  </si>
  <si>
    <t>Total per Year (aMW)</t>
  </si>
  <si>
    <t>Total Cumulative (aMW)</t>
  </si>
  <si>
    <t>Savings Allocation by Category and Month for Segments 1</t>
  </si>
  <si>
    <t>Savings Allocation by Category and Month for Segments 2</t>
  </si>
  <si>
    <t>Wholesale KW</t>
  </si>
  <si>
    <t>Existing single-family homes, electrically heated</t>
  </si>
  <si>
    <t>Block 2: 0-10 mills/kWh</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</si>
  <si>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</si>
  <si>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</si>
  <si>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</si>
  <si>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</si>
  <si>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</si>
  <si>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</si>
  <si>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</si>
  <si>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</si>
  <si>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</si>
  <si>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</si>
  <si>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</si>
  <si>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</si>
  <si>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</si>
  <si>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</si>
  <si>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</si>
  <si>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</si>
  <si>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</si>
  <si>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</si>
  <si>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</si>
  <si>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</si>
  <si>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</si>
  <si>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</si>
  <si>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</si>
  <si>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</si>
  <si>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</si>
  <si>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</si>
  <si>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</si>
  <si>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</si>
  <si>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</si>
  <si>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</si>
  <si>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</si>
  <si>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</si>
  <si>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</si>
  <si>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</si>
  <si>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</si>
  <si>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</si>
  <si>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</si>
  <si>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</si>
  <si>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</si>
  <si>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</si>
  <si>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</si>
  <si>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</si>
  <si>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</si>
  <si>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</si>
  <si>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</si>
  <si>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</si>
  <si>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</si>
  <si>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</si>
  <si>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</si>
  <si>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</si>
  <si>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</si>
  <si>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</si>
  <si>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</si>
  <si>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</si>
  <si>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</si>
  <si>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</si>
  <si>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</si>
  <si>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</si>
  <si>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</si>
  <si>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</si>
  <si>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</si>
  <si>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</si>
  <si>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</si>
  <si>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</si>
  <si>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</si>
  <si>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</si>
  <si>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</si>
  <si>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</si>
  <si>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</si>
  <si>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</si>
  <si>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</si>
  <si>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</si>
  <si>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</si>
  <si>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</si>
  <si>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</si>
  <si>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</si>
  <si>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</si>
  <si>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</si>
  <si>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</si>
  <si>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</si>
  <si>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</si>
  <si>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</si>
  <si>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</si>
  <si>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</si>
  <si>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</si>
  <si>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</si>
  <si>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</si>
  <si>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</si>
  <si>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</si>
  <si>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</si>
  <si>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</si>
  <si>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</si>
  <si>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</si>
  <si>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</si>
  <si>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</si>
  <si>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</si>
  <si>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</si>
  <si>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</si>
  <si>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</si>
  <si>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</si>
  <si>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</si>
  <si>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</si>
  <si>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</si>
  <si>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</si>
  <si>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</si>
  <si>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</si>
  <si>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</si>
  <si>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</si>
  <si>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</si>
  <si>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Total</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</si>
  <si>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</si>
  <si>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</si>
  <si>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</si>
  <si>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</si>
  <si>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</si>
  <si>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</si>
  <si>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</si>
  <si>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</si>
  <si>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</si>
  <si>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</si>
  <si>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</si>
  <si>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</si>
  <si>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</si>
  <si>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</si>
  <si>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</si>
  <si>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</si>
  <si>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</si>
  <si>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</si>
  <si>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</si>
  <si>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</si>
  <si>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</si>
  <si>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</si>
  <si>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</si>
  <si>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</si>
  <si>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</si>
  <si>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</si>
  <si>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</si>
  <si>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</si>
  <si>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</si>
  <si>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</si>
  <si>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</si>
  <si>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</si>
  <si>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</si>
  <si>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</si>
  <si>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</si>
  <si>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</si>
  <si>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</si>
  <si>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</si>
  <si>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</si>
  <si>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</si>
  <si>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</si>
  <si>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</si>
  <si>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</si>
  <si>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</si>
  <si>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</si>
  <si>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</si>
  <si>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</si>
  <si>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</si>
  <si>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</si>
  <si>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</si>
  <si>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</si>
  <si>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</si>
  <si>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</si>
  <si>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</si>
  <si>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</si>
  <si>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</si>
  <si>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</si>
  <si>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</si>
  <si>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</si>
  <si>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</si>
  <si>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</si>
  <si>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</si>
  <si>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</si>
  <si>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</si>
  <si>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Savings Allocation by Cost Bin and Month for Segments 1</t>
  </si>
  <si>
    <t>Savings Allocation by Cost Bin and Month for Segments 2</t>
  </si>
  <si>
    <t>Totals Basis</t>
  </si>
  <si>
    <t>Busbar Electric Savings in kWh</t>
  </si>
  <si>
    <t>Measures with B/C &gt; 1.00</t>
  </si>
  <si>
    <t>Categories with B/C &gt; 1.00</t>
  </si>
  <si>
    <t>Supply Curve Results:  By TRC Net Levelized Cost - Net of Benefits</t>
  </si>
  <si>
    <t>Block 2: &lt;= 10 mills/kWh</t>
  </si>
  <si>
    <t>Block 22: &gt; 200 mills/kWh</t>
  </si>
  <si>
    <t>Remove R30+ baseline from Attic, Remove Window CL35 -&gt; XX permutation</t>
  </si>
  <si>
    <t>Retro12Med</t>
  </si>
  <si>
    <t>Ramp Rate</t>
  </si>
  <si>
    <t>Resource Type</t>
  </si>
  <si>
    <t>Measure Category</t>
  </si>
  <si>
    <t>End Use</t>
  </si>
  <si>
    <t>kW per unit</t>
  </si>
  <si>
    <t>kWh per unit</t>
  </si>
  <si>
    <t>End Use:</t>
  </si>
  <si>
    <t>don't have significant load shapes from RBSA to use</t>
  </si>
  <si>
    <t>Equipment share estimates by Zone</t>
  </si>
  <si>
    <t>approx increase in saturation of DHP in region from RBSA assumption (RBSA had 54k DHP units)</t>
  </si>
  <si>
    <t>Based on RTF: permanent electric heat, no disqualifying equipment</t>
  </si>
  <si>
    <t>RBSA Site weight (survey weight)</t>
  </si>
  <si>
    <t>From Raw RBSA data</t>
  </si>
  <si>
    <t>$/ CFM50</t>
  </si>
  <si>
    <t>CFM 50 Reduction</t>
  </si>
  <si>
    <t>From RBSA table:</t>
  </si>
  <si>
    <t>SFwindow</t>
  </si>
  <si>
    <t>SFflcrawl</t>
  </si>
  <si>
    <t>From RBSA:</t>
  </si>
  <si>
    <t>SFblowerdoor</t>
  </si>
  <si>
    <t>aMW in DHP regional first-year savings (6 going on 7)</t>
  </si>
  <si>
    <t>approx # of units installed in 2012</t>
  </si>
  <si>
    <t>Total Max Potential (aMW)</t>
  </si>
  <si>
    <t>Monday, 23 March , 2015 at 3:08 PM</t>
  </si>
  <si>
    <t>Q:\SeventhPlan\Conservation Analysis\Global EE Inputs\MC Files\MC_AND_LOADSHAPE_v3.0_24segment-7P-D9 - NewSegValues.xlsx</t>
  </si>
  <si>
    <t>ResSFWx_v3_1</t>
  </si>
  <si>
    <t xml:space="preserve">Data from ='\\nas2\Q\SeventhPlan\Conservation Analysis\Res\Res Wx\[ResSFWx_v3_1.xlsm]Measure_InputOutput'! </t>
  </si>
</sst>
</file>

<file path=xl/styles.xml><?xml version="1.0" encoding="utf-8"?>
<styleSheet xmlns="http://schemas.openxmlformats.org/spreadsheetml/2006/main">
  <numFmts count="20">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0.0%"/>
    <numFmt numFmtId="169" formatCode="_(* #,##0.0_);_(* \(#,##0.0\);_(* &quot;-&quot;?_);_(@_)"/>
    <numFmt numFmtId="170" formatCode="m/d/\ h:mm"/>
    <numFmt numFmtId="171" formatCode="00000"/>
    <numFmt numFmtId="172" formatCode="_(* #,##0_);_(* \(#,##0\);_(* &quot;-&quot;??_);_(@_)"/>
    <numFmt numFmtId="173" formatCode="mmm\-yyyy"/>
    <numFmt numFmtId="174" formatCode="#,##0.0"/>
    <numFmt numFmtId="175" formatCode="_(&quot;$&quot;* #,##0.000_);_(&quot;$&quot;* \(#,##0.000\);_(&quot;$&quot;* &quot;-&quot;??_);_(@_)"/>
    <numFmt numFmtId="176" formatCode="&quot;$&quot;#,##0.0000_);[Red]\(&quot;$&quot;#,##0.0000\)"/>
    <numFmt numFmtId="177" formatCode="0.0;[Red]\-0.0"/>
    <numFmt numFmtId="178" formatCode="\ "/>
  </numFmts>
  <fonts count="77">
    <font>
      <sz val="10"/>
      <color theme="1"/>
      <name val="Arial"/>
      <family val="2"/>
    </font>
    <font>
      <sz val="11"/>
      <color theme="1"/>
      <name val="Calibri"/>
      <family val="2"/>
      <scheme val="minor"/>
    </font>
    <font>
      <sz val="12"/>
      <name val="Arial"/>
      <family val="2"/>
    </font>
    <font>
      <b/>
      <i/>
      <sz val="10"/>
      <name val="Arial"/>
      <family val="2"/>
    </font>
    <font>
      <sz val="1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b/>
      <sz val="8"/>
      <color indexed="81"/>
      <name val="Tahoma"/>
      <family val="2"/>
    </font>
    <font>
      <sz val="8"/>
      <color indexed="81"/>
      <name val="Tahoma"/>
      <family val="2"/>
    </font>
    <font>
      <b/>
      <sz val="10"/>
      <color rgb="FFFF0000"/>
      <name val="Arial"/>
      <family val="2"/>
    </font>
    <font>
      <sz val="10"/>
      <color indexed="9"/>
      <name val="Arial"/>
      <family val="2"/>
    </font>
    <font>
      <sz val="10"/>
      <color indexed="10"/>
      <name val="Arial"/>
      <family val="2"/>
    </font>
    <font>
      <sz val="10"/>
      <color theme="1"/>
      <name val="Arial"/>
      <family val="2"/>
    </font>
    <font>
      <sz val="12"/>
      <name val="Times New Roman"/>
      <family val="1"/>
    </font>
    <font>
      <b/>
      <sz val="12"/>
      <name val="Times New Roman"/>
      <family val="1"/>
    </font>
    <font>
      <u/>
      <sz val="9"/>
      <color theme="1"/>
      <name val="Arial"/>
      <family val="2"/>
    </font>
    <font>
      <sz val="11"/>
      <color theme="1"/>
      <name val="Calibri"/>
      <family val="2"/>
      <scheme val="minor"/>
    </font>
    <font>
      <u/>
      <sz val="11"/>
      <color theme="1"/>
      <name val="Calibri"/>
      <family val="2"/>
      <scheme val="minor"/>
    </font>
    <font>
      <b/>
      <sz val="11"/>
      <color theme="1"/>
      <name val="Calibri"/>
      <family val="2"/>
      <scheme val="minor"/>
    </font>
    <font>
      <sz val="11"/>
      <color indexed="8"/>
      <name val="Calibri"/>
      <family val="2"/>
    </font>
    <font>
      <sz val="11"/>
      <color rgb="FFFF0000"/>
      <name val="Calibri"/>
      <family val="2"/>
      <scheme val="minor"/>
    </font>
    <font>
      <b/>
      <u/>
      <sz val="11"/>
      <color theme="1"/>
      <name val="Calibri"/>
      <family val="2"/>
      <scheme val="minor"/>
    </font>
    <font>
      <sz val="9"/>
      <color theme="1"/>
      <name val="Consolas"/>
      <family val="3"/>
    </font>
    <font>
      <b/>
      <u/>
      <sz val="9"/>
      <color rgb="FF0070C0"/>
      <name val="Consolas"/>
      <family val="3"/>
    </font>
    <font>
      <sz val="9"/>
      <color rgb="FF0070C0"/>
      <name val="Consolas"/>
      <family val="3"/>
    </font>
    <font>
      <b/>
      <u/>
      <sz val="11"/>
      <color indexed="8"/>
      <name val="Calibri"/>
      <family val="2"/>
    </font>
    <font>
      <sz val="11"/>
      <color theme="0" tint="-0.249977111117893"/>
      <name val="Calibri"/>
      <family val="2"/>
      <scheme val="minor"/>
    </font>
    <font>
      <b/>
      <sz val="9"/>
      <color indexed="81"/>
      <name val="Tahoma"/>
      <family val="2"/>
    </font>
    <font>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1"/>
      <color indexed="56"/>
      <name val="Calibri"/>
      <family val="2"/>
    </font>
    <font>
      <u/>
      <sz val="11"/>
      <color theme="10"/>
      <name val="Calibri"/>
      <family val="2"/>
    </font>
    <font>
      <sz val="11"/>
      <color indexed="62"/>
      <name val="Calibri"/>
      <family val="2"/>
    </font>
    <font>
      <sz val="9"/>
      <name val="Consolas"/>
      <family val="3"/>
    </font>
    <font>
      <sz val="11"/>
      <color indexed="52"/>
      <name val="Calibri"/>
      <family val="2"/>
    </font>
    <font>
      <sz val="11"/>
      <color indexed="60"/>
      <name val="Calibri"/>
      <family val="2"/>
    </font>
    <font>
      <sz val="9"/>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sz val="10"/>
      <name val="Times New Roman"/>
      <family val="1"/>
    </font>
    <font>
      <b/>
      <sz val="10"/>
      <color indexed="8"/>
      <name val="Arial"/>
      <family val="2"/>
    </font>
    <font>
      <b/>
      <sz val="15"/>
      <color indexed="62"/>
      <name val="Calibri"/>
      <family val="2"/>
    </font>
    <font>
      <b/>
      <sz val="13"/>
      <color indexed="62"/>
      <name val="Calibri"/>
      <family val="2"/>
    </font>
    <font>
      <b/>
      <sz val="11"/>
      <color indexed="62"/>
      <name val="Calibri"/>
      <family val="2"/>
    </font>
    <font>
      <u/>
      <sz val="7"/>
      <color indexed="12"/>
      <name val="Arial"/>
      <family val="2"/>
    </font>
    <font>
      <u/>
      <sz val="10"/>
      <color indexed="12"/>
      <name val="Times New Roman"/>
      <family val="1"/>
    </font>
    <font>
      <u/>
      <sz val="10"/>
      <color theme="10"/>
      <name val="Arial"/>
      <family val="2"/>
    </font>
    <font>
      <u/>
      <sz val="11"/>
      <color theme="10"/>
      <name val="Calibri"/>
      <family val="2"/>
      <scheme val="minor"/>
    </font>
    <font>
      <sz val="9"/>
      <name val="Arial"/>
      <family val="2"/>
    </font>
    <font>
      <sz val="12"/>
      <name val="Helv"/>
    </font>
    <font>
      <sz val="10"/>
      <name val="Helv"/>
    </font>
    <font>
      <sz val="10"/>
      <name val="Helv"/>
      <charset val="204"/>
    </font>
    <font>
      <b/>
      <sz val="18"/>
      <color indexed="62"/>
      <name val="Cambria"/>
      <family val="2"/>
    </font>
    <font>
      <sz val="10"/>
      <name val="굴림"/>
      <family val="3"/>
      <charset val="129"/>
    </font>
    <font>
      <b/>
      <sz val="11"/>
      <color theme="0"/>
      <name val="Calibri"/>
      <family val="2"/>
      <scheme val="minor"/>
    </font>
    <font>
      <sz val="10"/>
      <name val="Arial"/>
      <family val="2"/>
    </font>
    <font>
      <u/>
      <sz val="10"/>
      <color indexed="12"/>
      <name val="Arial"/>
      <family val="2"/>
    </font>
    <font>
      <sz val="8"/>
      <name val="Arial"/>
      <family val="2"/>
    </font>
    <font>
      <b/>
      <sz val="8"/>
      <name val="Arial"/>
      <family val="2"/>
    </font>
    <font>
      <u/>
      <sz val="8"/>
      <name val="Arial"/>
      <family val="2"/>
    </font>
    <font>
      <sz val="8"/>
      <color indexed="8"/>
      <name val="Arial"/>
      <family val="2"/>
    </font>
    <font>
      <b/>
      <sz val="14"/>
      <color theme="1"/>
      <name val="Calibri"/>
      <family val="2"/>
      <scheme val="minor"/>
    </font>
    <font>
      <b/>
      <sz val="11"/>
      <name val="Calibri"/>
      <family val="2"/>
      <scheme val="minor"/>
    </font>
    <font>
      <sz val="11"/>
      <name val="Calibri"/>
      <family val="2"/>
      <scheme val="minor"/>
    </font>
    <font>
      <sz val="16"/>
      <color theme="1"/>
      <name val="Calibri"/>
      <family val="2"/>
      <scheme val="minor"/>
    </font>
  </fonts>
  <fills count="86">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rgb="FFFFFF00"/>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79998168889431442"/>
        <bgColor indexed="64"/>
      </patternFill>
    </fill>
    <fill>
      <patternFill patternType="solid">
        <fgColor indexed="22"/>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theme="6"/>
        <bgColor indexed="64"/>
      </patternFill>
    </fill>
    <fill>
      <patternFill patternType="solid">
        <fgColor indexed="43"/>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43"/>
        <bgColor indexed="64"/>
      </patternFill>
    </fill>
    <fill>
      <patternFill patternType="solid">
        <fgColor indexed="9"/>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26"/>
      </patternFill>
    </fill>
    <fill>
      <patternFill patternType="solid">
        <fgColor theme="4"/>
        <bgColor theme="4"/>
      </patternFill>
    </fill>
    <fill>
      <patternFill patternType="solid">
        <fgColor theme="4" tint="0.79998168889431442"/>
        <bgColor theme="4" tint="0.79998168889431442"/>
      </patternFill>
    </fill>
    <fill>
      <patternFill patternType="solid">
        <fgColor indexed="45"/>
        <bgColor indexed="64"/>
      </patternFill>
    </fill>
    <fill>
      <patternFill patternType="solid">
        <fgColor theme="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indexed="60"/>
        <bgColor indexed="64"/>
      </patternFill>
    </fill>
    <fill>
      <patternFill patternType="solid">
        <fgColor indexed="31"/>
        <bgColor indexed="64"/>
      </patternFill>
    </fill>
  </fills>
  <borders count="66">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8"/>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style="thin">
        <color theme="0"/>
      </left>
      <right style="thin">
        <color theme="0"/>
      </right>
      <top style="thin">
        <color theme="0"/>
      </top>
      <bottom style="thin">
        <color theme="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392">
    <xf numFmtId="0" fontId="0" fillId="0" borderId="0"/>
    <xf numFmtId="0" fontId="2" fillId="0" borderId="0"/>
    <xf numFmtId="0" fontId="4" fillId="0" borderId="0"/>
    <xf numFmtId="0" fontId="4" fillId="0" borderId="0"/>
    <xf numFmtId="9" fontId="15" fillId="0" borderId="0" applyFont="0" applyFill="0" applyBorder="0" applyAlignment="0" applyProtection="0"/>
    <xf numFmtId="0" fontId="4" fillId="0" borderId="0"/>
    <xf numFmtId="0" fontId="4" fillId="0" borderId="0">
      <alignment readingOrder="1"/>
    </xf>
    <xf numFmtId="9" fontId="4" fillId="0" borderId="0" applyFont="0" applyFill="0" applyBorder="0" applyAlignment="0" applyProtection="0"/>
    <xf numFmtId="0" fontId="4" fillId="8" borderId="0" applyNumberFormat="0" applyAlignment="0">
      <alignment horizontal="right"/>
    </xf>
    <xf numFmtId="0" fontId="4" fillId="9" borderId="0" applyNumberFormat="0" applyAlignment="0"/>
    <xf numFmtId="170" fontId="16" fillId="0" borderId="0"/>
    <xf numFmtId="0" fontId="17" fillId="0" borderId="0">
      <alignment horizontal="center" wrapText="1"/>
    </xf>
    <xf numFmtId="0" fontId="19" fillId="0" borderId="0"/>
    <xf numFmtId="0" fontId="8" fillId="0" borderId="0"/>
    <xf numFmtId="0" fontId="25" fillId="0" borderId="0" applyAlignment="0"/>
    <xf numFmtId="9" fontId="25" fillId="0" borderId="0" applyFont="0" applyFill="0" applyBorder="0" applyAlignment="0" applyProtection="0"/>
    <xf numFmtId="43" fontId="25" fillId="0" borderId="0" applyFont="0" applyFill="0" applyBorder="0" applyAlignment="0" applyProtection="0"/>
    <xf numFmtId="0" fontId="22" fillId="28" borderId="0" applyNumberFormat="0" applyBorder="0" applyAlignment="0" applyProtection="0"/>
    <xf numFmtId="0" fontId="19" fillId="13" borderId="0" applyNumberFormat="0" applyBorder="0" applyAlignment="0" applyProtection="0"/>
    <xf numFmtId="0" fontId="22" fillId="29" borderId="0" applyNumberFormat="0" applyBorder="0" applyAlignment="0" applyProtection="0"/>
    <xf numFmtId="0" fontId="19" fillId="15" borderId="0" applyNumberFormat="0" applyBorder="0" applyAlignment="0" applyProtection="0"/>
    <xf numFmtId="0" fontId="22" fillId="30" borderId="0" applyNumberFormat="0" applyBorder="0" applyAlignment="0" applyProtection="0"/>
    <xf numFmtId="0" fontId="19" fillId="17" borderId="0" applyNumberFormat="0" applyBorder="0" applyAlignment="0" applyProtection="0"/>
    <xf numFmtId="0" fontId="22" fillId="31" borderId="0" applyNumberFormat="0" applyBorder="0" applyAlignment="0" applyProtection="0"/>
    <xf numFmtId="0" fontId="19" fillId="19" borderId="0" applyNumberFormat="0" applyBorder="0" applyAlignment="0" applyProtection="0"/>
    <xf numFmtId="0" fontId="22" fillId="32" borderId="0" applyNumberFormat="0" applyBorder="0" applyAlignment="0" applyProtection="0"/>
    <xf numFmtId="0" fontId="19" fillId="21" borderId="0" applyNumberFormat="0" applyBorder="0" applyAlignment="0" applyProtection="0"/>
    <xf numFmtId="0" fontId="22" fillId="33" borderId="0" applyNumberFormat="0" applyBorder="0" applyAlignment="0" applyProtection="0"/>
    <xf numFmtId="0" fontId="19" fillId="23" borderId="0" applyNumberFormat="0" applyBorder="0" applyAlignment="0" applyProtection="0"/>
    <xf numFmtId="0" fontId="22" fillId="34" borderId="0" applyNumberFormat="0" applyBorder="0" applyAlignment="0" applyProtection="0"/>
    <xf numFmtId="0" fontId="19" fillId="14" borderId="0" applyNumberFormat="0" applyBorder="0" applyAlignment="0" applyProtection="0"/>
    <xf numFmtId="0" fontId="22" fillId="35" borderId="0" applyNumberFormat="0" applyBorder="0" applyAlignment="0" applyProtection="0"/>
    <xf numFmtId="0" fontId="19" fillId="16" borderId="0" applyNumberFormat="0" applyBorder="0" applyAlignment="0" applyProtection="0"/>
    <xf numFmtId="0" fontId="22" fillId="36" borderId="0" applyNumberFormat="0" applyBorder="0" applyAlignment="0" applyProtection="0"/>
    <xf numFmtId="0" fontId="19" fillId="18" borderId="0" applyNumberFormat="0" applyBorder="0" applyAlignment="0" applyProtection="0"/>
    <xf numFmtId="0" fontId="22" fillId="31" borderId="0" applyNumberFormat="0" applyBorder="0" applyAlignment="0" applyProtection="0"/>
    <xf numFmtId="0" fontId="19" fillId="20" borderId="0" applyNumberFormat="0" applyBorder="0" applyAlignment="0" applyProtection="0"/>
    <xf numFmtId="0" fontId="22" fillId="34" borderId="0" applyNumberFormat="0" applyBorder="0" applyAlignment="0" applyProtection="0"/>
    <xf numFmtId="0" fontId="19" fillId="22" borderId="0" applyNumberFormat="0" applyBorder="0" applyAlignment="0" applyProtection="0"/>
    <xf numFmtId="0" fontId="22" fillId="37" borderId="0" applyNumberFormat="0" applyBorder="0" applyAlignment="0" applyProtection="0"/>
    <xf numFmtId="0" fontId="19" fillId="24"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5" borderId="0" applyNumberFormat="0" applyBorder="0" applyAlignment="0" applyProtection="0"/>
    <xf numFmtId="0" fontId="33" fillId="29" borderId="0" applyNumberFormat="0" applyBorder="0" applyAlignment="0" applyProtection="0"/>
    <xf numFmtId="0" fontId="34" fillId="46" borderId="36" applyNumberFormat="0" applyAlignment="0" applyProtection="0"/>
    <xf numFmtId="0" fontId="35" fillId="47" borderId="37" applyNumberFormat="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4" fontId="4" fillId="0" borderId="0" applyFont="0" applyFill="0" applyBorder="0" applyAlignment="0" applyProtection="0"/>
    <xf numFmtId="0" fontId="36" fillId="0" borderId="0" applyNumberFormat="0" applyFill="0" applyBorder="0" applyAlignment="0" applyProtection="0"/>
    <xf numFmtId="0" fontId="37" fillId="30" borderId="0" applyNumberFormat="0" applyBorder="0" applyAlignment="0" applyProtection="0"/>
    <xf numFmtId="0" fontId="38" fillId="0" borderId="38" applyNumberFormat="0" applyFill="0" applyAlignment="0" applyProtection="0"/>
    <xf numFmtId="0" fontId="5" fillId="48" borderId="5">
      <alignment horizontal="left"/>
    </xf>
    <xf numFmtId="0" fontId="39" fillId="0" borderId="3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33" borderId="36" applyNumberFormat="0" applyAlignment="0" applyProtection="0"/>
    <xf numFmtId="0" fontId="42" fillId="49" borderId="40" applyNumberFormat="0" applyProtection="0">
      <alignment horizontal="center"/>
    </xf>
    <xf numFmtId="0" fontId="43" fillId="0" borderId="41" applyNumberFormat="0" applyFill="0" applyAlignment="0" applyProtection="0"/>
    <xf numFmtId="0" fontId="44" fillId="50" borderId="0" applyNumberFormat="0" applyBorder="0" applyAlignment="0" applyProtection="0"/>
    <xf numFmtId="0" fontId="19" fillId="0" borderId="0"/>
    <xf numFmtId="0" fontId="4" fillId="0" borderId="0"/>
    <xf numFmtId="0" fontId="45" fillId="0" borderId="0"/>
    <xf numFmtId="0" fontId="45" fillId="0" borderId="0"/>
    <xf numFmtId="0" fontId="45" fillId="0" borderId="0"/>
    <xf numFmtId="0" fontId="19" fillId="0" borderId="0"/>
    <xf numFmtId="0" fontId="19" fillId="0" borderId="0"/>
    <xf numFmtId="0" fontId="19"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12" borderId="15" applyNumberFormat="0" applyFont="0" applyAlignment="0" applyProtection="0"/>
    <xf numFmtId="0" fontId="19" fillId="12" borderId="15" applyNumberFormat="0" applyFont="0" applyAlignment="0" applyProtection="0"/>
    <xf numFmtId="0" fontId="46" fillId="46" borderId="42" applyNumberFormat="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7" fillId="0" borderId="0" applyNumberFormat="0" applyFill="0" applyBorder="0" applyAlignment="0" applyProtection="0"/>
    <xf numFmtId="0" fontId="48" fillId="0" borderId="43" applyNumberFormat="0" applyFill="0" applyAlignment="0" applyProtection="0"/>
    <xf numFmtId="0" fontId="49" fillId="0" borderId="0" applyNumberFormat="0" applyFill="0" applyBorder="0" applyAlignment="0" applyProtection="0"/>
    <xf numFmtId="0" fontId="4" fillId="0" borderId="0"/>
    <xf numFmtId="0" fontId="4" fillId="0" borderId="0"/>
    <xf numFmtId="0" fontId="50" fillId="0" borderId="0"/>
    <xf numFmtId="0" fontId="4" fillId="0" borderId="0">
      <alignment readingOrder="1"/>
    </xf>
    <xf numFmtId="0" fontId="4" fillId="0" borderId="0">
      <alignment readingOrder="1"/>
    </xf>
    <xf numFmtId="0" fontId="22" fillId="58" borderId="0" applyNumberFormat="0" applyBorder="0" applyAlignment="0" applyProtection="0"/>
    <xf numFmtId="0" fontId="22" fillId="29" borderId="0" applyNumberFormat="0" applyBorder="0" applyAlignment="0" applyProtection="0"/>
    <xf numFmtId="0" fontId="22" fillId="58" borderId="0" applyNumberFormat="0" applyBorder="0" applyAlignment="0" applyProtection="0"/>
    <xf numFmtId="0" fontId="22" fillId="4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46" borderId="0" applyNumberFormat="0" applyBorder="0" applyAlignment="0" applyProtection="0"/>
    <xf numFmtId="0" fontId="22" fillId="33"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29" borderId="0" applyNumberFormat="0" applyBorder="0" applyAlignment="0" applyProtection="0"/>
    <xf numFmtId="0" fontId="32" fillId="5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0"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3" fillId="61"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3" fillId="63" borderId="0" applyNumberFormat="0" applyBorder="0" applyAlignment="0" applyProtection="0"/>
    <xf numFmtId="0" fontId="32" fillId="43"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13" fillId="65" borderId="0" applyNumberFormat="0" applyBorder="0" applyAlignment="0" applyProtection="0"/>
    <xf numFmtId="0" fontId="32" fillId="29" borderId="0" applyNumberFormat="0" applyBorder="0" applyAlignment="0" applyProtection="0"/>
    <xf numFmtId="0" fontId="32" fillId="44"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13" fillId="67"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8" fillId="69" borderId="0" applyNumberFormat="0" applyBorder="0" applyAlignment="0" applyProtection="0"/>
    <xf numFmtId="0" fontId="8" fillId="60" borderId="0" applyNumberFormat="0" applyBorder="0" applyAlignment="0" applyProtection="0"/>
    <xf numFmtId="0" fontId="13" fillId="70" borderId="0" applyNumberFormat="0" applyBorder="0" applyAlignment="0" applyProtection="0"/>
    <xf numFmtId="0" fontId="32" fillId="4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3" fillId="73" borderId="0" applyNumberFormat="0" applyBorder="0" applyAlignment="0" applyProtection="0"/>
    <xf numFmtId="0" fontId="32" fillId="45" borderId="0" applyNumberFormat="0" applyBorder="0" applyAlignment="0" applyProtection="0"/>
    <xf numFmtId="0" fontId="33" fillId="31" borderId="0" applyNumberFormat="0" applyBorder="0" applyAlignment="0" applyProtection="0"/>
    <xf numFmtId="0" fontId="33" fillId="29" borderId="0" applyNumberFormat="0" applyBorder="0" applyAlignment="0" applyProtection="0"/>
    <xf numFmtId="0" fontId="34" fillId="58" borderId="36" applyNumberFormat="0" applyAlignment="0" applyProtection="0"/>
    <xf numFmtId="0" fontId="34" fillId="58" borderId="36" applyNumberFormat="0" applyAlignment="0" applyProtection="0"/>
    <xf numFmtId="0" fontId="35" fillId="47" borderId="37" applyNumberFormat="0" applyAlignment="0" applyProtection="0"/>
    <xf numFmtId="41" fontId="5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52" fillId="74" borderId="0" applyNumberFormat="0" applyBorder="0" applyAlignment="0" applyProtection="0"/>
    <xf numFmtId="0" fontId="52" fillId="75" borderId="0" applyNumberFormat="0" applyBorder="0" applyAlignment="0" applyProtection="0"/>
    <xf numFmtId="0" fontId="52" fillId="76" borderId="0" applyNumberFormat="0" applyBorder="0" applyAlignment="0" applyProtection="0"/>
    <xf numFmtId="0" fontId="36" fillId="0" borderId="0" applyNumberFormat="0" applyFill="0" applyBorder="0" applyAlignment="0" applyProtection="0"/>
    <xf numFmtId="0" fontId="37" fillId="30" borderId="0" applyNumberFormat="0" applyBorder="0" applyAlignment="0" applyProtection="0"/>
    <xf numFmtId="0" fontId="53" fillId="0" borderId="44" applyNumberFormat="0" applyFill="0" applyAlignment="0" applyProtection="0"/>
    <xf numFmtId="0" fontId="53" fillId="0" borderId="44" applyNumberFormat="0" applyFill="0" applyAlignment="0" applyProtection="0"/>
    <xf numFmtId="0" fontId="54" fillId="0" borderId="45"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3" fillId="0" borderId="41" applyNumberFormat="0" applyFill="0" applyAlignment="0" applyProtection="0"/>
    <xf numFmtId="0" fontId="44" fillId="50" borderId="0" applyNumberFormat="0" applyBorder="0" applyAlignment="0" applyProtection="0"/>
    <xf numFmtId="0" fontId="22" fillId="0" borderId="0"/>
    <xf numFmtId="0" fontId="4" fillId="0" borderId="0"/>
    <xf numFmtId="0" fontId="22" fillId="0" borderId="0"/>
    <xf numFmtId="0" fontId="22" fillId="0" borderId="0"/>
    <xf numFmtId="0" fontId="4" fillId="0" borderId="0"/>
    <xf numFmtId="0" fontId="4" fillId="0" borderId="0">
      <alignment readingOrder="1"/>
    </xf>
    <xf numFmtId="0" fontId="19" fillId="0" borderId="0"/>
    <xf numFmtId="0" fontId="19" fillId="0" borderId="0"/>
    <xf numFmtId="0" fontId="19" fillId="0" borderId="0"/>
    <xf numFmtId="0" fontId="15"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alignment readingOrder="1"/>
    </xf>
    <xf numFmtId="0" fontId="19" fillId="0" borderId="0"/>
    <xf numFmtId="0" fontId="4" fillId="0" borderId="0"/>
    <xf numFmtId="0" fontId="4" fillId="0" borderId="0"/>
    <xf numFmtId="0" fontId="4" fillId="0" borderId="0"/>
    <xf numFmtId="0" fontId="4" fillId="0" borderId="0">
      <alignment readingOrder="1"/>
    </xf>
    <xf numFmtId="0" fontId="19" fillId="0" borderId="0"/>
    <xf numFmtId="0" fontId="19" fillId="0" borderId="0"/>
    <xf numFmtId="0" fontId="19" fillId="0" borderId="0"/>
    <xf numFmtId="0" fontId="19" fillId="0" borderId="0"/>
    <xf numFmtId="0" fontId="4" fillId="0" borderId="0">
      <alignment readingOrder="1"/>
    </xf>
    <xf numFmtId="0" fontId="19" fillId="0" borderId="0"/>
    <xf numFmtId="0" fontId="19" fillId="0" borderId="0"/>
    <xf numFmtId="0" fontId="4" fillId="0" borderId="0">
      <alignment readingOrder="1"/>
    </xf>
    <xf numFmtId="0" fontId="19" fillId="0" borderId="0"/>
    <xf numFmtId="0" fontId="19" fillId="0" borderId="0"/>
    <xf numFmtId="0" fontId="4"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0" fillId="0" borderId="0"/>
    <xf numFmtId="0" fontId="61" fillId="0" borderId="0"/>
    <xf numFmtId="0" fontId="61" fillId="0" borderId="0"/>
    <xf numFmtId="0" fontId="61" fillId="0" borderId="0"/>
    <xf numFmtId="0" fontId="4" fillId="0" borderId="0"/>
    <xf numFmtId="0" fontId="4" fillId="0" borderId="0"/>
    <xf numFmtId="0" fontId="4" fillId="0" borderId="0"/>
    <xf numFmtId="0" fontId="61" fillId="0" borderId="0"/>
    <xf numFmtId="0" fontId="61" fillId="0" borderId="0"/>
    <xf numFmtId="0" fontId="61"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xf numFmtId="0" fontId="2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9" fillId="0" borderId="0"/>
    <xf numFmtId="0" fontId="4" fillId="0" borderId="0" applyNumberFormat="0" applyFill="0" applyBorder="0" applyAlignment="0" applyProtection="0"/>
    <xf numFmtId="0" fontId="19" fillId="0" borderId="0"/>
    <xf numFmtId="0" fontId="19" fillId="0" borderId="0"/>
    <xf numFmtId="0" fontId="51" fillId="0" borderId="0"/>
    <xf numFmtId="0" fontId="19" fillId="0" borderId="0"/>
    <xf numFmtId="0" fontId="19" fillId="0" borderId="0"/>
    <xf numFmtId="0" fontId="4" fillId="0" borderId="0">
      <alignment readingOrder="1"/>
    </xf>
    <xf numFmtId="0" fontId="19" fillId="0" borderId="0"/>
    <xf numFmtId="0" fontId="19" fillId="0" borderId="0"/>
    <xf numFmtId="0" fontId="19" fillId="0" borderId="0"/>
    <xf numFmtId="0" fontId="19" fillId="0" borderId="0"/>
    <xf numFmtId="0" fontId="1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 fillId="0" borderId="0"/>
    <xf numFmtId="0" fontId="19" fillId="0" borderId="0"/>
    <xf numFmtId="0" fontId="19" fillId="0" borderId="0"/>
    <xf numFmtId="0" fontId="4" fillId="0" borderId="0"/>
    <xf numFmtId="0" fontId="22" fillId="0" borderId="0"/>
    <xf numFmtId="0" fontId="19" fillId="0" borderId="0"/>
    <xf numFmtId="0" fontId="22" fillId="0" borderId="0"/>
    <xf numFmtId="0" fontId="22" fillId="0" borderId="0"/>
    <xf numFmtId="0" fontId="22" fillId="0" borderId="0"/>
    <xf numFmtId="0" fontId="4" fillId="0" borderId="0">
      <alignment readingOrder="1"/>
    </xf>
    <xf numFmtId="0" fontId="4" fillId="0" borderId="0">
      <alignment readingOrder="1"/>
    </xf>
    <xf numFmtId="0" fontId="4" fillId="0" borderId="0">
      <alignment readingOrder="1"/>
    </xf>
    <xf numFmtId="0" fontId="4" fillId="0" borderId="0"/>
    <xf numFmtId="0" fontId="22" fillId="77" borderId="47" applyNumberFormat="0" applyFont="0" applyAlignment="0" applyProtection="0"/>
    <xf numFmtId="0" fontId="46" fillId="58" borderId="42" applyNumberFormat="0" applyAlignment="0" applyProtection="0"/>
    <xf numFmtId="0" fontId="46" fillId="58" borderId="4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7" fillId="0" borderId="0" applyNumberFormat="0" applyFill="0" applyBorder="0" applyAlignment="0" applyProtection="0"/>
    <xf numFmtId="0" fontId="62" fillId="0" borderId="0"/>
    <xf numFmtId="0" fontId="63" fillId="0" borderId="0"/>
    <xf numFmtId="173" fontId="4" fillId="0" borderId="0" applyFill="0" applyBorder="0" applyAlignment="0" applyProtection="0">
      <alignment wrapText="1"/>
    </xf>
    <xf numFmtId="0" fontId="64" fillId="0" borderId="0" applyNumberFormat="0" applyFill="0" applyBorder="0" applyAlignment="0" applyProtection="0"/>
    <xf numFmtId="0" fontId="64" fillId="0" borderId="0" applyNumberFormat="0" applyFill="0" applyBorder="0" applyAlignment="0" applyProtection="0"/>
    <xf numFmtId="0" fontId="48" fillId="0" borderId="48" applyNumberFormat="0" applyFill="0" applyAlignment="0" applyProtection="0"/>
    <xf numFmtId="0" fontId="46" fillId="0" borderId="48" applyNumberFormat="0" applyFill="0" applyAlignment="0" applyProtection="0"/>
    <xf numFmtId="0" fontId="49" fillId="0" borderId="0" applyNumberFormat="0" applyFill="0" applyBorder="0" applyAlignment="0" applyProtection="0"/>
    <xf numFmtId="0" fontId="65" fillId="0" borderId="0">
      <alignment vertical="center"/>
    </xf>
    <xf numFmtId="0" fontId="67" fillId="0" borderId="0">
      <alignment readingOrder="1"/>
    </xf>
    <xf numFmtId="43" fontId="4" fillId="0" borderId="0" applyFont="0" applyFill="0" applyBorder="0" applyAlignment="0" applyProtection="0"/>
    <xf numFmtId="0" fontId="68" fillId="0" borderId="0" applyNumberFormat="0" applyFill="0" applyBorder="0" applyAlignment="0" applyProtection="0">
      <alignment vertical="top"/>
      <protection locked="0"/>
    </xf>
    <xf numFmtId="0" fontId="4" fillId="0" borderId="0"/>
    <xf numFmtId="9" fontId="22" fillId="0" borderId="0" applyFont="0" applyFill="0" applyBorder="0" applyAlignment="0" applyProtection="0"/>
    <xf numFmtId="0" fontId="1" fillId="0" borderId="0"/>
    <xf numFmtId="0" fontId="22" fillId="0" borderId="0"/>
    <xf numFmtId="0" fontId="22" fillId="0" borderId="0"/>
    <xf numFmtId="0" fontId="22" fillId="0" borderId="0"/>
    <xf numFmtId="0" fontId="22" fillId="0" borderId="0"/>
    <xf numFmtId="43" fontId="4" fillId="0" borderId="0" applyFont="0" applyFill="0" applyBorder="0" applyAlignment="0" applyProtection="0"/>
    <xf numFmtId="0" fontId="50" fillId="0" borderId="0"/>
    <xf numFmtId="43" fontId="4" fillId="0" borderId="0" applyFont="0" applyFill="0" applyBorder="0" applyAlignment="0" applyProtection="0"/>
    <xf numFmtId="0" fontId="1" fillId="0" borderId="0"/>
    <xf numFmtId="0" fontId="22" fillId="77" borderId="47"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2" fillId="0" borderId="0"/>
    <xf numFmtId="43" fontId="15" fillId="0" borderId="0" applyFont="0" applyFill="0" applyBorder="0" applyAlignment="0" applyProtection="0"/>
  </cellStyleXfs>
  <cellXfs count="438">
    <xf numFmtId="0" fontId="0" fillId="0" borderId="0" xfId="0"/>
    <xf numFmtId="0" fontId="3" fillId="0" borderId="0" xfId="1" applyFont="1"/>
    <xf numFmtId="0" fontId="4" fillId="0" borderId="0" xfId="1" applyFont="1"/>
    <xf numFmtId="5" fontId="4" fillId="0" borderId="0" xfId="1" applyNumberFormat="1" applyFont="1"/>
    <xf numFmtId="164" fontId="4" fillId="0" borderId="0" xfId="1" applyNumberFormat="1" applyFont="1"/>
    <xf numFmtId="0" fontId="4" fillId="0" borderId="0" xfId="1" applyFont="1" applyFill="1"/>
    <xf numFmtId="165" fontId="4" fillId="0" borderId="0" xfId="1" applyNumberFormat="1" applyFont="1"/>
    <xf numFmtId="0" fontId="4" fillId="0" borderId="0" xfId="2"/>
    <xf numFmtId="0" fontId="3" fillId="0" borderId="0" xfId="1" applyFont="1" applyAlignment="1">
      <alignment horizontal="left"/>
    </xf>
    <xf numFmtId="166" fontId="4" fillId="0" borderId="0" xfId="2" applyNumberFormat="1" applyAlignment="1">
      <alignment horizontal="center" readingOrder="1"/>
    </xf>
    <xf numFmtId="167" fontId="4" fillId="0" borderId="0" xfId="2" applyNumberFormat="1" applyAlignment="1">
      <alignment horizontal="center" readingOrder="1"/>
    </xf>
    <xf numFmtId="0" fontId="4" fillId="0" borderId="0" xfId="1" applyFont="1" applyAlignment="1">
      <alignment horizontal="center"/>
    </xf>
    <xf numFmtId="0" fontId="5" fillId="2" borderId="1" xfId="1" applyFont="1" applyFill="1" applyBorder="1" applyAlignment="1">
      <alignment horizontal="centerContinuous"/>
    </xf>
    <xf numFmtId="0" fontId="6" fillId="2" borderId="1" xfId="1" applyFont="1" applyFill="1" applyBorder="1" applyAlignment="1">
      <alignment horizontal="centerContinuous"/>
    </xf>
    <xf numFmtId="0" fontId="6" fillId="2" borderId="2" xfId="1" applyFont="1" applyFill="1" applyBorder="1" applyAlignment="1">
      <alignment horizontal="centerContinuous"/>
    </xf>
    <xf numFmtId="0" fontId="7" fillId="2" borderId="3" xfId="1" applyFont="1" applyFill="1" applyBorder="1" applyAlignment="1">
      <alignment horizontal="centerContinuous"/>
    </xf>
    <xf numFmtId="0" fontId="5" fillId="0" borderId="0" xfId="1" applyFont="1" applyFill="1" applyBorder="1" applyAlignment="1">
      <alignment horizontal="centerContinuous"/>
    </xf>
    <xf numFmtId="0" fontId="6" fillId="0" borderId="0" xfId="1" applyFont="1" applyFill="1" applyBorder="1" applyAlignment="1">
      <alignment horizontal="centerContinuous"/>
    </xf>
    <xf numFmtId="0" fontId="7" fillId="0" borderId="0" xfId="1" applyFont="1" applyFill="1" applyBorder="1" applyAlignment="1">
      <alignment horizontal="centerContinuous"/>
    </xf>
    <xf numFmtId="0" fontId="8" fillId="0" borderId="0" xfId="1" applyFont="1" applyFill="1" applyBorder="1" applyAlignment="1">
      <alignment horizontal="centerContinuous"/>
    </xf>
    <xf numFmtId="0" fontId="4" fillId="0" borderId="0" xfId="1" applyFont="1" applyFill="1" applyBorder="1"/>
    <xf numFmtId="0" fontId="8" fillId="5" borderId="7" xfId="1" applyFont="1" applyFill="1" applyBorder="1" applyAlignment="1">
      <alignment horizontal="center" wrapText="1"/>
    </xf>
    <xf numFmtId="0" fontId="8" fillId="5" borderId="8" xfId="1" applyFont="1" applyFill="1" applyBorder="1" applyAlignment="1">
      <alignment horizontal="center" wrapText="1"/>
    </xf>
    <xf numFmtId="0" fontId="8" fillId="5" borderId="9" xfId="1" applyFont="1" applyFill="1" applyBorder="1" applyAlignment="1">
      <alignment horizontal="center" wrapText="1"/>
    </xf>
    <xf numFmtId="0" fontId="8" fillId="5" borderId="9" xfId="2" applyFont="1" applyFill="1" applyBorder="1" applyAlignment="1">
      <alignment horizontal="center" wrapText="1"/>
    </xf>
    <xf numFmtId="0" fontId="8" fillId="0" borderId="0" xfId="1" applyFont="1" applyFill="1" applyBorder="1" applyAlignment="1">
      <alignment horizontal="center" wrapText="1"/>
    </xf>
    <xf numFmtId="0" fontId="0" fillId="6" borderId="0" xfId="0" applyFill="1"/>
    <xf numFmtId="0" fontId="0" fillId="0" borderId="0" xfId="0">
      <alignment readingOrder="1"/>
    </xf>
    <xf numFmtId="0" fontId="7" fillId="2" borderId="10" xfId="1" applyFont="1" applyFill="1" applyBorder="1" applyAlignment="1">
      <alignment horizontal="centerContinuous"/>
    </xf>
    <xf numFmtId="0" fontId="8" fillId="5" borderId="6" xfId="1" applyFont="1" applyFill="1" applyBorder="1" applyAlignment="1">
      <alignment horizontal="center" wrapText="1"/>
    </xf>
    <xf numFmtId="0" fontId="8" fillId="5" borderId="6" xfId="0" applyFont="1" applyFill="1" applyBorder="1" applyAlignment="1">
      <alignment horizontal="center" wrapText="1"/>
    </xf>
    <xf numFmtId="1" fontId="0" fillId="0" borderId="0" xfId="0" applyNumberFormat="1"/>
    <xf numFmtId="0" fontId="12" fillId="0" borderId="0" xfId="3" applyFont="1"/>
    <xf numFmtId="164" fontId="12" fillId="0" borderId="0" xfId="1" applyNumberFormat="1" applyFont="1"/>
    <xf numFmtId="166" fontId="0" fillId="0" borderId="0" xfId="0" applyNumberFormat="1" applyAlignment="1">
      <alignment horizontal="center" readingOrder="1"/>
    </xf>
    <xf numFmtId="167" fontId="0" fillId="0" borderId="0" xfId="0" applyNumberFormat="1" applyAlignment="1">
      <alignment horizontal="center" readingOrder="1"/>
    </xf>
    <xf numFmtId="0" fontId="13" fillId="7" borderId="4" xfId="0" applyFont="1" applyFill="1" applyBorder="1" applyAlignment="1">
      <alignment horizontal="left" readingOrder="1"/>
    </xf>
    <xf numFmtId="0" fontId="13" fillId="7" borderId="3" xfId="0" applyFont="1" applyFill="1" applyBorder="1" applyAlignment="1">
      <alignment horizontal="center" wrapText="1" readingOrder="1"/>
    </xf>
    <xf numFmtId="164" fontId="0" fillId="0" borderId="0" xfId="0" applyNumberFormat="1">
      <alignment readingOrder="1"/>
    </xf>
    <xf numFmtId="0" fontId="8" fillId="8" borderId="6" xfId="0" applyFont="1" applyFill="1" applyBorder="1" applyAlignment="1">
      <alignment horizontal="center" wrapText="1" readingOrder="1"/>
    </xf>
    <xf numFmtId="0" fontId="8" fillId="8" borderId="3" xfId="0" applyFont="1" applyFill="1" applyBorder="1" applyAlignment="1">
      <alignment horizontal="center" wrapText="1" readingOrder="1"/>
    </xf>
    <xf numFmtId="164" fontId="8" fillId="8" borderId="3" xfId="0" applyNumberFormat="1" applyFont="1" applyFill="1" applyBorder="1" applyAlignment="1">
      <alignment horizontal="center" wrapText="1" readingOrder="1"/>
    </xf>
    <xf numFmtId="164" fontId="8" fillId="8" borderId="12" xfId="0" applyNumberFormat="1" applyFont="1" applyFill="1" applyBorder="1" applyAlignment="1">
      <alignment horizontal="centerContinuous" wrapText="1" readingOrder="1"/>
    </xf>
    <xf numFmtId="164" fontId="8" fillId="8" borderId="13" xfId="0" applyNumberFormat="1" applyFont="1" applyFill="1" applyBorder="1" applyAlignment="1">
      <alignment horizontal="centerContinuous" wrapText="1" readingOrder="1"/>
    </xf>
    <xf numFmtId="164" fontId="8" fillId="8" borderId="14" xfId="0" applyNumberFormat="1" applyFont="1" applyFill="1" applyBorder="1" applyAlignment="1">
      <alignment horizontal="centerContinuous" wrapText="1" readingOrder="1"/>
    </xf>
    <xf numFmtId="0" fontId="8" fillId="9" borderId="6" xfId="0" applyFont="1" applyFill="1" applyBorder="1" applyAlignment="1">
      <alignment horizontal="center" wrapText="1" readingOrder="1"/>
    </xf>
    <xf numFmtId="0" fontId="8" fillId="9" borderId="3" xfId="0" applyFont="1" applyFill="1" applyBorder="1" applyAlignment="1">
      <alignment horizontal="center" wrapText="1" readingOrder="1"/>
    </xf>
    <xf numFmtId="164" fontId="8" fillId="9" borderId="3" xfId="0" applyNumberFormat="1" applyFont="1" applyFill="1" applyBorder="1" applyAlignment="1">
      <alignment horizontal="center" wrapText="1" readingOrder="1"/>
    </xf>
    <xf numFmtId="1" fontId="0" fillId="0" borderId="0" xfId="0" applyNumberFormat="1">
      <alignment readingOrder="1"/>
    </xf>
    <xf numFmtId="164" fontId="7" fillId="0" borderId="0" xfId="0" applyNumberFormat="1" applyFont="1">
      <alignment readingOrder="1"/>
    </xf>
    <xf numFmtId="164" fontId="14" fillId="0" borderId="0" xfId="0" applyNumberFormat="1" applyFont="1">
      <alignment readingOrder="1"/>
    </xf>
    <xf numFmtId="9" fontId="0" fillId="0" borderId="0" xfId="0" applyNumberFormat="1"/>
    <xf numFmtId="9" fontId="0" fillId="0" borderId="0" xfId="4" applyFont="1"/>
    <xf numFmtId="1" fontId="4" fillId="0" borderId="0" xfId="5" applyNumberFormat="1" applyFont="1" applyBorder="1" applyAlignment="1">
      <alignment wrapText="1"/>
    </xf>
    <xf numFmtId="1" fontId="4" fillId="10" borderId="0" xfId="5" applyNumberFormat="1" applyFont="1" applyFill="1" applyBorder="1" applyAlignment="1">
      <alignment wrapText="1"/>
    </xf>
    <xf numFmtId="1" fontId="4" fillId="0" borderId="0" xfId="5" applyNumberFormat="1" applyFont="1" applyFill="1" applyBorder="1" applyAlignment="1">
      <alignment wrapText="1"/>
    </xf>
    <xf numFmtId="0" fontId="9" fillId="0" borderId="0" xfId="6" applyFont="1">
      <alignment readingOrder="1"/>
    </xf>
    <xf numFmtId="0" fontId="4" fillId="0" borderId="0" xfId="6">
      <alignment readingOrder="1"/>
    </xf>
    <xf numFmtId="49" fontId="4" fillId="0" borderId="0" xfId="6" applyNumberFormat="1">
      <alignment readingOrder="1"/>
    </xf>
    <xf numFmtId="0" fontId="4" fillId="0" borderId="0" xfId="6"/>
    <xf numFmtId="1" fontId="4" fillId="0" borderId="0" xfId="6" applyNumberFormat="1">
      <alignment readingOrder="1"/>
    </xf>
    <xf numFmtId="164" fontId="4" fillId="0" borderId="0" xfId="6" applyNumberFormat="1">
      <alignment readingOrder="1"/>
    </xf>
    <xf numFmtId="164" fontId="4" fillId="0" borderId="0" xfId="6" applyNumberFormat="1" applyAlignment="1">
      <alignment horizontal="center" readingOrder="1"/>
    </xf>
    <xf numFmtId="0" fontId="4" fillId="0" borderId="0" xfId="6" applyAlignment="1">
      <alignment horizontal="center" readingOrder="1"/>
    </xf>
    <xf numFmtId="0" fontId="4" fillId="0" borderId="0" xfId="6" applyFill="1" applyAlignment="1">
      <alignment horizontal="center" readingOrder="1"/>
    </xf>
    <xf numFmtId="169" fontId="4" fillId="0" borderId="0" xfId="6" applyNumberFormat="1">
      <alignment readingOrder="1"/>
    </xf>
    <xf numFmtId="0" fontId="18" fillId="0" borderId="0" xfId="0" applyFont="1" applyAlignment="1">
      <alignment wrapText="1"/>
    </xf>
    <xf numFmtId="0" fontId="0" fillId="0" borderId="0" xfId="0" applyFont="1"/>
    <xf numFmtId="0" fontId="20" fillId="0" borderId="0" xfId="12" applyFont="1"/>
    <xf numFmtId="0" fontId="20" fillId="0" borderId="0" xfId="12" applyFont="1" applyAlignment="1">
      <alignment horizontal="center"/>
    </xf>
    <xf numFmtId="0" fontId="19" fillId="0" borderId="0" xfId="12"/>
    <xf numFmtId="0" fontId="21" fillId="0" borderId="0" xfId="12" applyFont="1" applyAlignment="1">
      <alignment horizontal="left"/>
    </xf>
    <xf numFmtId="0" fontId="19" fillId="0" borderId="0" xfId="12" applyAlignment="1">
      <alignment horizontal="left"/>
    </xf>
    <xf numFmtId="2" fontId="19" fillId="0" borderId="0" xfId="12" applyNumberFormat="1" applyAlignment="1">
      <alignment horizontal="center"/>
    </xf>
    <xf numFmtId="0" fontId="19" fillId="0" borderId="0" xfId="12" applyAlignment="1">
      <alignment horizontal="center"/>
    </xf>
    <xf numFmtId="164" fontId="19" fillId="0" borderId="0" xfId="12" applyNumberFormat="1" applyAlignment="1">
      <alignment horizontal="center"/>
    </xf>
    <xf numFmtId="0" fontId="20" fillId="0" borderId="0" xfId="12" applyFont="1" applyAlignment="1">
      <alignment horizontal="left"/>
    </xf>
    <xf numFmtId="0" fontId="19" fillId="0" borderId="0" xfId="12" applyFont="1" applyAlignment="1">
      <alignment horizontal="center"/>
    </xf>
    <xf numFmtId="2" fontId="19" fillId="0" borderId="0" xfId="12" applyNumberFormat="1" applyFont="1" applyAlignment="1">
      <alignment horizontal="center"/>
    </xf>
    <xf numFmtId="0" fontId="19" fillId="0" borderId="0" xfId="12" applyFont="1"/>
    <xf numFmtId="1" fontId="19" fillId="0" borderId="0" xfId="12" applyNumberFormat="1"/>
    <xf numFmtId="0" fontId="19" fillId="0" borderId="0" xfId="12" applyAlignment="1"/>
    <xf numFmtId="0" fontId="19" fillId="0" borderId="0" xfId="12" applyFill="1" applyAlignment="1"/>
    <xf numFmtId="0" fontId="19" fillId="0" borderId="0" xfId="12" applyFill="1"/>
    <xf numFmtId="0" fontId="19" fillId="0" borderId="0" xfId="12" applyFill="1" applyAlignment="1">
      <alignment wrapText="1"/>
    </xf>
    <xf numFmtId="0" fontId="19" fillId="0" borderId="19" xfId="12" applyFont="1" applyFill="1" applyBorder="1" applyAlignment="1">
      <alignment horizontal="center" wrapText="1"/>
    </xf>
    <xf numFmtId="0" fontId="22" fillId="0" borderId="2" xfId="13" applyFont="1" applyFill="1" applyBorder="1" applyAlignment="1">
      <alignment horizontal="center" wrapText="1"/>
    </xf>
    <xf numFmtId="0" fontId="22" fillId="0" borderId="20" xfId="13" applyFont="1" applyFill="1" applyBorder="1" applyAlignment="1">
      <alignment horizontal="center" wrapText="1"/>
    </xf>
    <xf numFmtId="0" fontId="19" fillId="0" borderId="21" xfId="12" applyFill="1" applyBorder="1" applyAlignment="1"/>
    <xf numFmtId="0" fontId="19" fillId="0" borderId="22" xfId="12" applyFont="1" applyFill="1" applyBorder="1"/>
    <xf numFmtId="0" fontId="19" fillId="0" borderId="23" xfId="12" applyFont="1" applyFill="1" applyBorder="1"/>
    <xf numFmtId="0" fontId="19" fillId="0" borderId="21" xfId="12" applyFill="1" applyBorder="1"/>
    <xf numFmtId="0" fontId="22" fillId="0" borderId="22" xfId="13" applyFont="1" applyFill="1" applyBorder="1" applyAlignment="1">
      <alignment wrapText="1"/>
    </xf>
    <xf numFmtId="0" fontId="22" fillId="0" borderId="24" xfId="13" applyFont="1" applyFill="1" applyBorder="1" applyAlignment="1">
      <alignment wrapText="1"/>
    </xf>
    <xf numFmtId="0" fontId="19" fillId="0" borderId="22" xfId="12" applyFill="1" applyBorder="1"/>
    <xf numFmtId="0" fontId="19" fillId="0" borderId="24" xfId="12" applyFill="1" applyBorder="1"/>
    <xf numFmtId="0" fontId="19" fillId="0" borderId="25" xfId="12" applyFill="1" applyBorder="1" applyAlignment="1"/>
    <xf numFmtId="0" fontId="19" fillId="0" borderId="6" xfId="12" applyFont="1" applyFill="1" applyBorder="1"/>
    <xf numFmtId="0" fontId="19" fillId="0" borderId="4" xfId="12" applyFont="1" applyFill="1" applyBorder="1"/>
    <xf numFmtId="0" fontId="19" fillId="0" borderId="25" xfId="12" applyFill="1" applyBorder="1"/>
    <xf numFmtId="0" fontId="22" fillId="0" borderId="6" xfId="13" applyFont="1" applyFill="1" applyBorder="1" applyAlignment="1">
      <alignment wrapText="1"/>
    </xf>
    <xf numFmtId="0" fontId="22" fillId="0" borderId="26" xfId="13" applyFont="1" applyFill="1" applyBorder="1" applyAlignment="1">
      <alignment wrapText="1"/>
    </xf>
    <xf numFmtId="0" fontId="19" fillId="0" borderId="6" xfId="12" applyFill="1" applyBorder="1"/>
    <xf numFmtId="0" fontId="19" fillId="0" borderId="26" xfId="12" applyFill="1" applyBorder="1"/>
    <xf numFmtId="0" fontId="21" fillId="0" borderId="0" xfId="12" applyFont="1"/>
    <xf numFmtId="0" fontId="19" fillId="0" borderId="4" xfId="12" applyFill="1" applyBorder="1"/>
    <xf numFmtId="0" fontId="19" fillId="0" borderId="25" xfId="12" applyFont="1" applyFill="1" applyBorder="1"/>
    <xf numFmtId="0" fontId="19" fillId="0" borderId="25" xfId="12" applyFont="1" applyFill="1" applyBorder="1" applyAlignment="1"/>
    <xf numFmtId="0" fontId="19" fillId="0" borderId="26" xfId="12" applyFont="1" applyFill="1" applyBorder="1"/>
    <xf numFmtId="0" fontId="19" fillId="0" borderId="27" xfId="12" applyFill="1" applyBorder="1"/>
    <xf numFmtId="0" fontId="19" fillId="0" borderId="28" xfId="12" applyFont="1" applyFill="1" applyBorder="1"/>
    <xf numFmtId="0" fontId="19" fillId="0" borderId="29" xfId="12" applyFont="1" applyFill="1" applyBorder="1"/>
    <xf numFmtId="0" fontId="19" fillId="0" borderId="28" xfId="12" applyFill="1" applyBorder="1"/>
    <xf numFmtId="0" fontId="19" fillId="0" borderId="30" xfId="12" applyFill="1" applyBorder="1"/>
    <xf numFmtId="0" fontId="19" fillId="0" borderId="27" xfId="12" applyFont="1" applyFill="1" applyBorder="1"/>
    <xf numFmtId="0" fontId="19" fillId="0" borderId="30" xfId="12" applyFont="1" applyFill="1" applyBorder="1"/>
    <xf numFmtId="0" fontId="19" fillId="25" borderId="0" xfId="12" applyFill="1"/>
    <xf numFmtId="0" fontId="19" fillId="25" borderId="0" xfId="12" applyFill="1" applyAlignment="1"/>
    <xf numFmtId="0" fontId="23" fillId="0" borderId="0" xfId="12" applyFont="1"/>
    <xf numFmtId="0" fontId="24" fillId="0" borderId="0" xfId="12" applyFont="1" applyAlignment="1">
      <alignment horizontal="center"/>
    </xf>
    <xf numFmtId="0" fontId="26" fillId="0" borderId="0" xfId="14" applyFont="1"/>
    <xf numFmtId="0" fontId="25" fillId="0" borderId="0" xfId="14"/>
    <xf numFmtId="0" fontId="24" fillId="0" borderId="0" xfId="12" applyFont="1"/>
    <xf numFmtId="0" fontId="24" fillId="0" borderId="0" xfId="12" applyFont="1" applyAlignment="1"/>
    <xf numFmtId="0" fontId="27" fillId="0" borderId="0" xfId="14" applyFont="1"/>
    <xf numFmtId="0" fontId="22" fillId="0" borderId="0" xfId="13" applyFont="1" applyFill="1" applyBorder="1" applyAlignment="1">
      <alignment horizontal="center"/>
    </xf>
    <xf numFmtId="0" fontId="19" fillId="25" borderId="0" xfId="12" applyFill="1" applyAlignment="1">
      <alignment wrapText="1"/>
    </xf>
    <xf numFmtId="0" fontId="22" fillId="25" borderId="0" xfId="13" applyFont="1" applyFill="1" applyBorder="1" applyAlignment="1">
      <alignment horizontal="right" wrapText="1"/>
    </xf>
    <xf numFmtId="171" fontId="22" fillId="25" borderId="0" xfId="13" applyNumberFormat="1" applyFont="1" applyFill="1" applyBorder="1" applyAlignment="1">
      <alignment horizontal="right" wrapText="1"/>
    </xf>
    <xf numFmtId="0" fontId="22" fillId="25" borderId="0" xfId="13" applyFont="1" applyFill="1" applyBorder="1" applyAlignment="1">
      <alignment wrapText="1"/>
    </xf>
    <xf numFmtId="0" fontId="19" fillId="0" borderId="0" xfId="12" applyBorder="1"/>
    <xf numFmtId="0" fontId="19" fillId="0" borderId="0" xfId="12" applyBorder="1" applyAlignment="1">
      <alignment horizontal="left"/>
    </xf>
    <xf numFmtId="0" fontId="22" fillId="0" borderId="0" xfId="13" applyFont="1" applyFill="1" applyBorder="1" applyAlignment="1">
      <alignment horizontal="right" wrapText="1"/>
    </xf>
    <xf numFmtId="171" fontId="22" fillId="0" borderId="0" xfId="13" applyNumberFormat="1" applyFont="1" applyFill="1" applyBorder="1" applyAlignment="1">
      <alignment horizontal="right" wrapText="1"/>
    </xf>
    <xf numFmtId="0" fontId="22" fillId="0" borderId="0" xfId="13" applyFont="1" applyFill="1" applyBorder="1" applyAlignment="1">
      <alignment wrapText="1"/>
    </xf>
    <xf numFmtId="0" fontId="25" fillId="0" borderId="0" xfId="14" applyAlignment="1">
      <alignment horizontal="center" vertical="center"/>
    </xf>
    <xf numFmtId="0" fontId="20" fillId="0" borderId="0" xfId="12" applyFont="1" applyBorder="1" applyAlignment="1">
      <alignment horizontal="left"/>
    </xf>
    <xf numFmtId="0" fontId="19" fillId="0" borderId="0" xfId="12" applyFont="1" applyBorder="1"/>
    <xf numFmtId="0" fontId="19" fillId="0" borderId="0" xfId="12" applyFont="1" applyAlignment="1"/>
    <xf numFmtId="0" fontId="19" fillId="0" borderId="0" xfId="12" applyFont="1" applyFill="1"/>
    <xf numFmtId="0" fontId="22" fillId="25" borderId="0" xfId="13" applyFont="1" applyFill="1" applyBorder="1" applyAlignment="1"/>
    <xf numFmtId="0" fontId="19" fillId="25" borderId="0" xfId="12" applyFont="1" applyFill="1"/>
    <xf numFmtId="0" fontId="19" fillId="0" borderId="0" xfId="12" applyFont="1" applyBorder="1" applyAlignment="1">
      <alignment horizontal="left"/>
    </xf>
    <xf numFmtId="0" fontId="22" fillId="0" borderId="0" xfId="13" applyFont="1" applyFill="1" applyBorder="1" applyAlignment="1">
      <alignment horizontal="center" wrapText="1"/>
    </xf>
    <xf numFmtId="171" fontId="22" fillId="0" borderId="0" xfId="13" applyNumberFormat="1" applyFont="1" applyFill="1" applyBorder="1" applyAlignment="1">
      <alignment horizontal="center" wrapText="1"/>
    </xf>
    <xf numFmtId="0" fontId="19" fillId="26" borderId="0" xfId="12" applyFill="1" applyAlignment="1">
      <alignment horizontal="center"/>
    </xf>
    <xf numFmtId="0" fontId="22" fillId="0" borderId="0" xfId="13" applyFont="1" applyFill="1" applyBorder="1" applyAlignment="1"/>
    <xf numFmtId="0" fontId="22" fillId="0" borderId="0" xfId="13" applyFont="1" applyFill="1" applyBorder="1" applyAlignment="1">
      <alignment horizontal="right"/>
    </xf>
    <xf numFmtId="171" fontId="22" fillId="0" borderId="0" xfId="13" applyNumberFormat="1" applyFont="1" applyFill="1" applyBorder="1" applyAlignment="1">
      <alignment horizontal="right"/>
    </xf>
    <xf numFmtId="0" fontId="19" fillId="0" borderId="1" xfId="12" applyBorder="1"/>
    <xf numFmtId="0" fontId="19" fillId="0" borderId="11" xfId="12" applyBorder="1"/>
    <xf numFmtId="0" fontId="19" fillId="0" borderId="10" xfId="12" applyBorder="1"/>
    <xf numFmtId="0" fontId="19" fillId="0" borderId="31" xfId="12" applyBorder="1"/>
    <xf numFmtId="0" fontId="19" fillId="0" borderId="32" xfId="12" applyBorder="1"/>
    <xf numFmtId="0" fontId="19" fillId="0" borderId="33" xfId="12" applyBorder="1"/>
    <xf numFmtId="0" fontId="19" fillId="0" borderId="7" xfId="12" applyBorder="1"/>
    <xf numFmtId="0" fontId="19" fillId="0" borderId="34" xfId="12" applyBorder="1"/>
    <xf numFmtId="0" fontId="19" fillId="0" borderId="11" xfId="12" applyBorder="1" applyAlignment="1">
      <alignment horizontal="left"/>
    </xf>
    <xf numFmtId="9" fontId="19" fillId="0" borderId="2" xfId="15" applyFont="1" applyBorder="1"/>
    <xf numFmtId="43" fontId="19" fillId="0" borderId="10" xfId="16" applyFont="1" applyBorder="1" applyAlignment="1">
      <alignment horizontal="center"/>
    </xf>
    <xf numFmtId="9" fontId="19" fillId="0" borderId="8" xfId="15" applyFont="1" applyBorder="1"/>
    <xf numFmtId="43" fontId="19" fillId="0" borderId="34" xfId="16" applyFont="1" applyBorder="1" applyAlignment="1">
      <alignment horizontal="center"/>
    </xf>
    <xf numFmtId="0" fontId="22" fillId="0" borderId="32" xfId="13" applyFont="1" applyFill="1" applyBorder="1" applyAlignment="1">
      <alignment horizontal="left"/>
    </xf>
    <xf numFmtId="9" fontId="19" fillId="0" borderId="9" xfId="15" applyFont="1" applyBorder="1"/>
    <xf numFmtId="43" fontId="19" fillId="0" borderId="33" xfId="16" applyFont="1" applyBorder="1" applyAlignment="1">
      <alignment horizontal="center"/>
    </xf>
    <xf numFmtId="43" fontId="19" fillId="0" borderId="0" xfId="12" applyNumberFormat="1"/>
    <xf numFmtId="0" fontId="22" fillId="0" borderId="0" xfId="13" applyFont="1" applyFill="1" applyBorder="1" applyAlignment="1">
      <alignment horizontal="left"/>
    </xf>
    <xf numFmtId="0" fontId="28" fillId="0" borderId="0" xfId="13" applyFont="1" applyFill="1" applyBorder="1" applyAlignment="1">
      <alignment horizontal="left"/>
    </xf>
    <xf numFmtId="0" fontId="28" fillId="0" borderId="0" xfId="13" applyFont="1" applyFill="1" applyBorder="1" applyAlignment="1"/>
    <xf numFmtId="168" fontId="22" fillId="0" borderId="0" xfId="15" applyNumberFormat="1" applyFont="1" applyFill="1" applyBorder="1" applyAlignment="1">
      <alignment wrapText="1"/>
    </xf>
    <xf numFmtId="0" fontId="22" fillId="0" borderId="0" xfId="13" applyFont="1" applyFill="1" applyBorder="1" applyAlignment="1">
      <alignment horizontal="left" wrapText="1"/>
    </xf>
    <xf numFmtId="0" fontId="19" fillId="11" borderId="6" xfId="12" applyFill="1" applyBorder="1" applyAlignment="1">
      <alignment horizontal="center"/>
    </xf>
    <xf numFmtId="0" fontId="19" fillId="0" borderId="6" xfId="12" applyBorder="1"/>
    <xf numFmtId="1" fontId="19" fillId="0" borderId="6" xfId="12" applyNumberFormat="1" applyBorder="1" applyAlignment="1">
      <alignment horizontal="center"/>
    </xf>
    <xf numFmtId="172" fontId="19" fillId="0" borderId="6" xfId="16" applyNumberFormat="1" applyFont="1" applyBorder="1" applyAlignment="1">
      <alignment horizontal="center"/>
    </xf>
    <xf numFmtId="172" fontId="19" fillId="0" borderId="0" xfId="12" applyNumberFormat="1" applyAlignment="1">
      <alignment horizontal="center"/>
    </xf>
    <xf numFmtId="0" fontId="29" fillId="0" borderId="0" xfId="12" applyFont="1" applyAlignment="1">
      <alignment horizontal="center"/>
    </xf>
    <xf numFmtId="0" fontId="19" fillId="0" borderId="11" xfId="12" applyBorder="1" applyAlignment="1">
      <alignment horizontal="center"/>
    </xf>
    <xf numFmtId="9" fontId="19" fillId="0" borderId="11" xfId="15" applyFont="1" applyBorder="1" applyAlignment="1">
      <alignment horizontal="center"/>
    </xf>
    <xf numFmtId="9" fontId="19" fillId="0" borderId="10" xfId="15" applyFont="1" applyBorder="1" applyAlignment="1">
      <alignment horizontal="center"/>
    </xf>
    <xf numFmtId="172" fontId="19" fillId="0" borderId="0" xfId="16" applyNumberFormat="1" applyFont="1" applyAlignment="1">
      <alignment horizontal="center"/>
    </xf>
    <xf numFmtId="0" fontId="19" fillId="0" borderId="0" xfId="12" applyBorder="1" applyAlignment="1">
      <alignment horizontal="center"/>
    </xf>
    <xf numFmtId="9" fontId="19" fillId="0" borderId="0" xfId="15" applyFont="1" applyBorder="1" applyAlignment="1">
      <alignment horizontal="center"/>
    </xf>
    <xf numFmtId="9" fontId="19" fillId="0" borderId="34" xfId="15" applyFont="1" applyBorder="1" applyAlignment="1">
      <alignment horizontal="center"/>
    </xf>
    <xf numFmtId="0" fontId="19" fillId="0" borderId="32" xfId="12" applyBorder="1" applyAlignment="1">
      <alignment horizontal="center"/>
    </xf>
    <xf numFmtId="9" fontId="19" fillId="0" borderId="32" xfId="15" applyFont="1" applyBorder="1" applyAlignment="1">
      <alignment horizontal="center"/>
    </xf>
    <xf numFmtId="9" fontId="19" fillId="0" borderId="33" xfId="15" applyFont="1" applyBorder="1" applyAlignment="1">
      <alignment horizontal="center"/>
    </xf>
    <xf numFmtId="0" fontId="19" fillId="0" borderId="0" xfId="12" applyAlignment="1">
      <alignment horizontal="right"/>
    </xf>
    <xf numFmtId="0" fontId="19" fillId="0" borderId="0" xfId="12" applyAlignment="1">
      <alignment horizontal="center" wrapText="1"/>
    </xf>
    <xf numFmtId="0" fontId="22" fillId="27" borderId="35" xfId="13" applyFont="1" applyFill="1" applyBorder="1" applyAlignment="1">
      <alignment horizontal="center"/>
    </xf>
    <xf numFmtId="1" fontId="19" fillId="0" borderId="0" xfId="12" applyNumberFormat="1" applyAlignment="1">
      <alignment horizontal="center"/>
    </xf>
    <xf numFmtId="0" fontId="19" fillId="6" borderId="0" xfId="12" applyFill="1"/>
    <xf numFmtId="0" fontId="4" fillId="0" borderId="0" xfId="74"/>
    <xf numFmtId="0" fontId="4" fillId="6" borderId="0" xfId="74" applyFill="1"/>
    <xf numFmtId="0" fontId="0" fillId="0" borderId="0" xfId="0" pivotButton="1"/>
    <xf numFmtId="0" fontId="0" fillId="0" borderId="0" xfId="0" applyAlignment="1">
      <alignment horizontal="left"/>
    </xf>
    <xf numFmtId="0" fontId="0" fillId="0" borderId="0" xfId="0" applyNumberFormat="1"/>
    <xf numFmtId="2" fontId="0" fillId="0" borderId="0" xfId="0" applyNumberFormat="1"/>
    <xf numFmtId="9" fontId="4" fillId="0" borderId="0" xfId="4" applyFont="1"/>
    <xf numFmtId="9" fontId="4" fillId="0" borderId="0" xfId="74" applyNumberFormat="1"/>
    <xf numFmtId="0" fontId="0" fillId="52" borderId="0" xfId="0" applyFill="1">
      <alignment readingOrder="1"/>
    </xf>
    <xf numFmtId="0" fontId="0" fillId="0" borderId="0" xfId="0" quotePrefix="1" applyFill="1">
      <alignment readingOrder="1"/>
    </xf>
    <xf numFmtId="0" fontId="21" fillId="53" borderId="6" xfId="0" applyFont="1" applyFill="1" applyBorder="1"/>
    <xf numFmtId="0" fontId="21" fillId="54" borderId="1" xfId="0" applyFont="1" applyFill="1" applyBorder="1"/>
    <xf numFmtId="0" fontId="21" fillId="54" borderId="11" xfId="0" applyFont="1" applyFill="1" applyBorder="1"/>
    <xf numFmtId="0" fontId="21" fillId="54" borderId="10" xfId="0" applyFont="1" applyFill="1" applyBorder="1"/>
    <xf numFmtId="0" fontId="21" fillId="54" borderId="31" xfId="0" applyFont="1" applyFill="1" applyBorder="1"/>
    <xf numFmtId="0" fontId="21" fillId="54" borderId="32" xfId="0" applyFont="1" applyFill="1" applyBorder="1"/>
    <xf numFmtId="0" fontId="21" fillId="54" borderId="33" xfId="0" applyFont="1" applyFill="1" applyBorder="1"/>
    <xf numFmtId="0" fontId="21" fillId="54" borderId="6" xfId="0" applyFont="1" applyFill="1" applyBorder="1"/>
    <xf numFmtId="9" fontId="21" fillId="54" borderId="6" xfId="7" applyFont="1" applyFill="1" applyBorder="1"/>
    <xf numFmtId="1" fontId="0" fillId="55" borderId="0" xfId="0" applyNumberFormat="1" applyFill="1" applyAlignment="1">
      <alignment horizontal="center" readingOrder="1"/>
    </xf>
    <xf numFmtId="9" fontId="4" fillId="55" borderId="0" xfId="7" applyFill="1" applyAlignment="1">
      <alignment horizontal="center" readingOrder="1"/>
    </xf>
    <xf numFmtId="164" fontId="0" fillId="56" borderId="0" xfId="0" applyNumberFormat="1" applyFill="1" applyAlignment="1">
      <alignment horizontal="center" readingOrder="1"/>
    </xf>
    <xf numFmtId="0" fontId="21" fillId="55" borderId="6" xfId="0" applyFont="1" applyFill="1" applyBorder="1"/>
    <xf numFmtId="164" fontId="21" fillId="55" borderId="6" xfId="0" applyNumberFormat="1" applyFont="1" applyFill="1" applyBorder="1"/>
    <xf numFmtId="0" fontId="50" fillId="0" borderId="0" xfId="104"/>
    <xf numFmtId="9" fontId="50" fillId="0" borderId="0" xfId="4" applyFont="1"/>
    <xf numFmtId="168" fontId="4" fillId="55" borderId="0" xfId="7" applyNumberFormat="1" applyFill="1" applyAlignment="1">
      <alignment horizontal="center" readingOrder="1"/>
    </xf>
    <xf numFmtId="0" fontId="4" fillId="0" borderId="0" xfId="106">
      <alignment readingOrder="1"/>
    </xf>
    <xf numFmtId="0" fontId="9" fillId="0" borderId="0" xfId="338" applyFont="1"/>
    <xf numFmtId="0" fontId="4" fillId="0" borderId="0" xfId="338"/>
    <xf numFmtId="0" fontId="9" fillId="54" borderId="0" xfId="338" applyFont="1" applyFill="1"/>
    <xf numFmtId="0" fontId="4" fillId="0" borderId="0" xfId="106" applyFont="1">
      <alignment readingOrder="1"/>
    </xf>
    <xf numFmtId="17" fontId="4" fillId="0" borderId="0" xfId="106" applyNumberFormat="1">
      <alignment readingOrder="1"/>
    </xf>
    <xf numFmtId="14" fontId="4" fillId="0" borderId="0" xfId="106" applyNumberFormat="1">
      <alignment readingOrder="1"/>
    </xf>
    <xf numFmtId="0" fontId="66" fillId="78" borderId="49" xfId="0" applyFont="1" applyFill="1" applyBorder="1"/>
    <xf numFmtId="0" fontId="66" fillId="78" borderId="50" xfId="0" applyFont="1" applyFill="1" applyBorder="1"/>
    <xf numFmtId="0" fontId="0" fillId="79" borderId="49" xfId="0" applyFont="1" applyFill="1" applyBorder="1"/>
    <xf numFmtId="0" fontId="0" fillId="79" borderId="50" xfId="0" applyFont="1" applyFill="1" applyBorder="1"/>
    <xf numFmtId="3" fontId="0" fillId="79" borderId="50" xfId="0" applyNumberFormat="1" applyFont="1" applyFill="1" applyBorder="1"/>
    <xf numFmtId="4" fontId="0" fillId="79" borderId="50" xfId="0" applyNumberFormat="1" applyFont="1" applyFill="1" applyBorder="1"/>
    <xf numFmtId="0" fontId="0" fillId="0" borderId="51" xfId="0" applyFont="1" applyBorder="1"/>
    <xf numFmtId="0" fontId="0" fillId="0" borderId="52" xfId="0" applyFont="1" applyBorder="1"/>
    <xf numFmtId="3" fontId="0" fillId="0" borderId="52" xfId="0" applyNumberFormat="1" applyFont="1" applyBorder="1"/>
    <xf numFmtId="4" fontId="0" fillId="0" borderId="52" xfId="0" applyNumberFormat="1" applyFont="1" applyBorder="1"/>
    <xf numFmtId="0" fontId="0" fillId="79" borderId="51" xfId="0" applyFont="1" applyFill="1" applyBorder="1"/>
    <xf numFmtId="0" fontId="0" fillId="79" borderId="52" xfId="0" applyFont="1" applyFill="1" applyBorder="1"/>
    <xf numFmtId="3" fontId="0" fillId="79" borderId="52" xfId="0" applyNumberFormat="1" applyFont="1" applyFill="1" applyBorder="1"/>
    <xf numFmtId="4" fontId="0" fillId="79" borderId="52" xfId="0" applyNumberFormat="1" applyFont="1" applyFill="1" applyBorder="1"/>
    <xf numFmtId="3" fontId="0" fillId="0" borderId="0" xfId="0" applyNumberFormat="1"/>
    <xf numFmtId="174" fontId="0" fillId="0" borderId="0" xfId="0" applyNumberFormat="1"/>
    <xf numFmtId="0" fontId="67" fillId="0" borderId="0" xfId="370">
      <alignment readingOrder="1"/>
    </xf>
    <xf numFmtId="0" fontId="4" fillId="0" borderId="0" xfId="370" applyFont="1">
      <alignment readingOrder="1"/>
    </xf>
    <xf numFmtId="0" fontId="69" fillId="0" borderId="6" xfId="5" applyFont="1" applyFill="1" applyBorder="1" applyAlignment="1">
      <alignment wrapText="1"/>
    </xf>
    <xf numFmtId="0" fontId="69" fillId="0" borderId="0" xfId="370" applyFont="1">
      <alignment readingOrder="1"/>
    </xf>
    <xf numFmtId="1" fontId="69" fillId="0" borderId="6" xfId="5" applyNumberFormat="1" applyFont="1" applyBorder="1" applyAlignment="1"/>
    <xf numFmtId="0" fontId="69" fillId="0" borderId="6" xfId="5" applyFont="1" applyBorder="1" applyAlignment="1"/>
    <xf numFmtId="171" fontId="69" fillId="0" borderId="22" xfId="330" applyNumberFormat="1" applyFont="1" applyBorder="1" applyAlignment="1">
      <alignment horizontal="left"/>
    </xf>
    <xf numFmtId="0" fontId="69" fillId="0" borderId="8" xfId="5" applyFont="1" applyFill="1" applyBorder="1" applyAlignment="1"/>
    <xf numFmtId="0" fontId="69" fillId="0" borderId="6" xfId="5" applyFont="1" applyFill="1" applyBorder="1" applyAlignment="1"/>
    <xf numFmtId="0" fontId="70" fillId="57" borderId="55" xfId="5" applyFont="1" applyFill="1" applyBorder="1" applyAlignment="1">
      <alignment horizontal="left"/>
    </xf>
    <xf numFmtId="0" fontId="70" fillId="57" borderId="54" xfId="373" applyFont="1" applyFill="1" applyBorder="1" applyAlignment="1">
      <alignment horizontal="left"/>
    </xf>
    <xf numFmtId="0" fontId="70" fillId="57" borderId="53" xfId="5" applyFont="1" applyFill="1" applyBorder="1" applyAlignment="1">
      <alignment horizontal="left"/>
    </xf>
    <xf numFmtId="44" fontId="67" fillId="0" borderId="0" xfId="61" applyFont="1">
      <alignment readingOrder="1"/>
    </xf>
    <xf numFmtId="44" fontId="69" fillId="0" borderId="0" xfId="370" applyNumberFormat="1" applyFont="1">
      <alignment readingOrder="1"/>
    </xf>
    <xf numFmtId="44" fontId="69" fillId="0" borderId="0" xfId="61" applyFont="1">
      <alignment readingOrder="1"/>
    </xf>
    <xf numFmtId="0" fontId="70" fillId="57" borderId="0" xfId="5" applyFont="1" applyFill="1" applyBorder="1" applyAlignment="1">
      <alignment horizontal="left"/>
    </xf>
    <xf numFmtId="0" fontId="69" fillId="0" borderId="0" xfId="5" applyFont="1" applyFill="1" applyBorder="1" applyAlignment="1"/>
    <xf numFmtId="0" fontId="69" fillId="0" borderId="0" xfId="370" applyFont="1" applyBorder="1">
      <alignment readingOrder="1"/>
    </xf>
    <xf numFmtId="0" fontId="69" fillId="0" borderId="0" xfId="370" applyFont="1" applyBorder="1" applyAlignment="1">
      <alignment wrapText="1" readingOrder="1"/>
    </xf>
    <xf numFmtId="44" fontId="69" fillId="0" borderId="0" xfId="5" applyNumberFormat="1" applyFont="1" applyFill="1" applyBorder="1" applyAlignment="1"/>
    <xf numFmtId="44" fontId="69" fillId="0" borderId="0" xfId="370" applyNumberFormat="1" applyFont="1" applyBorder="1">
      <alignment readingOrder="1"/>
    </xf>
    <xf numFmtId="0" fontId="71" fillId="0" borderId="0" xfId="5" applyFont="1" applyFill="1" applyBorder="1" applyAlignment="1"/>
    <xf numFmtId="8" fontId="67" fillId="0" borderId="0" xfId="370" applyNumberFormat="1">
      <alignment readingOrder="1"/>
    </xf>
    <xf numFmtId="0" fontId="22" fillId="0" borderId="0" xfId="330">
      <alignment readingOrder="1"/>
    </xf>
    <xf numFmtId="0" fontId="72" fillId="0" borderId="0" xfId="330" applyFont="1">
      <alignment readingOrder="1"/>
    </xf>
    <xf numFmtId="0" fontId="72" fillId="80" borderId="21" xfId="330" applyFont="1" applyFill="1" applyBorder="1"/>
    <xf numFmtId="0" fontId="72" fillId="80" borderId="24" xfId="330" applyFont="1" applyFill="1" applyBorder="1" applyAlignment="1">
      <alignment horizontal="center"/>
    </xf>
    <xf numFmtId="0" fontId="72" fillId="0" borderId="0" xfId="330" applyFont="1"/>
    <xf numFmtId="0" fontId="72" fillId="0" borderId="25" xfId="330" applyFont="1" applyBorder="1" applyAlignment="1">
      <alignment horizontal="center"/>
    </xf>
    <xf numFmtId="43" fontId="67" fillId="0" borderId="0" xfId="371" applyFont="1">
      <alignment readingOrder="1"/>
    </xf>
    <xf numFmtId="43" fontId="67" fillId="0" borderId="0" xfId="370" applyNumberFormat="1">
      <alignment readingOrder="1"/>
    </xf>
    <xf numFmtId="0" fontId="67" fillId="6" borderId="0" xfId="370" applyFill="1">
      <alignment readingOrder="1"/>
    </xf>
    <xf numFmtId="175" fontId="4" fillId="0" borderId="0" xfId="61" applyNumberFormat="1" applyFont="1">
      <alignment readingOrder="1"/>
    </xf>
    <xf numFmtId="175" fontId="69" fillId="0" borderId="0" xfId="370" applyNumberFormat="1" applyFont="1">
      <alignment readingOrder="1"/>
    </xf>
    <xf numFmtId="0" fontId="67" fillId="0" borderId="6" xfId="370" applyBorder="1">
      <alignment readingOrder="1"/>
    </xf>
    <xf numFmtId="0" fontId="9" fillId="0" borderId="6" xfId="370" applyFont="1" applyBorder="1">
      <alignment readingOrder="1"/>
    </xf>
    <xf numFmtId="43" fontId="67" fillId="0" borderId="6" xfId="371" applyFont="1" applyBorder="1">
      <alignment readingOrder="1"/>
    </xf>
    <xf numFmtId="0" fontId="4" fillId="0" borderId="0" xfId="370" applyFont="1" applyAlignment="1">
      <alignment readingOrder="1"/>
    </xf>
    <xf numFmtId="0" fontId="69" fillId="0" borderId="0" xfId="5" applyFont="1" applyBorder="1" applyAlignment="1"/>
    <xf numFmtId="176" fontId="67" fillId="0" borderId="0" xfId="370" applyNumberFormat="1">
      <alignment readingOrder="1"/>
    </xf>
    <xf numFmtId="9" fontId="72" fillId="0" borderId="25" xfId="330" applyNumberFormat="1" applyFont="1" applyBorder="1" applyAlignment="1">
      <alignment horizontal="center"/>
    </xf>
    <xf numFmtId="0" fontId="67" fillId="0" borderId="0" xfId="370">
      <alignment readingOrder="1"/>
    </xf>
    <xf numFmtId="0" fontId="4" fillId="0" borderId="0" xfId="370" applyFont="1">
      <alignment readingOrder="1"/>
    </xf>
    <xf numFmtId="0" fontId="69" fillId="0" borderId="6" xfId="5" applyFont="1" applyFill="1" applyBorder="1" applyAlignment="1">
      <alignment wrapText="1"/>
    </xf>
    <xf numFmtId="1" fontId="69" fillId="0" borderId="6" xfId="5" applyNumberFormat="1" applyFont="1" applyBorder="1" applyAlignment="1"/>
    <xf numFmtId="0" fontId="69" fillId="0" borderId="6" xfId="5" applyFont="1" applyBorder="1" applyAlignment="1"/>
    <xf numFmtId="0" fontId="69" fillId="0" borderId="8" xfId="5" applyFont="1" applyFill="1" applyBorder="1" applyAlignment="1"/>
    <xf numFmtId="0" fontId="69" fillId="0" borderId="6" xfId="5" applyFont="1" applyFill="1" applyBorder="1" applyAlignment="1"/>
    <xf numFmtId="0" fontId="70" fillId="57" borderId="55" xfId="5" applyFont="1" applyFill="1" applyBorder="1" applyAlignment="1">
      <alignment horizontal="left"/>
    </xf>
    <xf numFmtId="0" fontId="70" fillId="57" borderId="53" xfId="5" applyFont="1" applyFill="1" applyBorder="1" applyAlignment="1">
      <alignment horizontal="left"/>
    </xf>
    <xf numFmtId="0" fontId="69" fillId="0" borderId="6" xfId="370" applyFont="1" applyBorder="1" applyAlignment="1"/>
    <xf numFmtId="2" fontId="67" fillId="6" borderId="6" xfId="370" applyNumberFormat="1" applyFill="1" applyBorder="1">
      <alignment readingOrder="1"/>
    </xf>
    <xf numFmtId="0" fontId="67" fillId="0" borderId="6" xfId="370" applyBorder="1"/>
    <xf numFmtId="0" fontId="67" fillId="25" borderId="0" xfId="370" applyFill="1">
      <alignment readingOrder="1"/>
    </xf>
    <xf numFmtId="0" fontId="67" fillId="0" borderId="0" xfId="370" applyFill="1">
      <alignment readingOrder="1"/>
    </xf>
    <xf numFmtId="0" fontId="70" fillId="57" borderId="53" xfId="5" applyFont="1" applyFill="1" applyBorder="1" applyAlignment="1">
      <alignment horizontal="center"/>
    </xf>
    <xf numFmtId="2" fontId="67" fillId="0" borderId="0" xfId="370" applyNumberFormat="1" applyAlignment="1">
      <alignment horizontal="center"/>
    </xf>
    <xf numFmtId="44" fontId="67" fillId="0" borderId="0" xfId="61" applyFont="1" applyAlignment="1">
      <alignment readingOrder="1"/>
    </xf>
    <xf numFmtId="0" fontId="67" fillId="0" borderId="0" xfId="370">
      <alignment readingOrder="1"/>
    </xf>
    <xf numFmtId="0" fontId="4" fillId="0" borderId="0" xfId="370" applyFont="1" applyBorder="1">
      <alignment readingOrder="1"/>
    </xf>
    <xf numFmtId="1" fontId="67" fillId="0" borderId="0" xfId="370" applyNumberFormat="1">
      <alignment readingOrder="1"/>
    </xf>
    <xf numFmtId="0" fontId="4" fillId="0" borderId="0" xfId="370" applyFont="1" applyAlignment="1">
      <alignment horizontal="center" readingOrder="1"/>
    </xf>
    <xf numFmtId="44" fontId="67" fillId="0" borderId="0" xfId="61" applyFont="1">
      <alignment readingOrder="1"/>
    </xf>
    <xf numFmtId="1" fontId="4" fillId="0" borderId="0" xfId="5" applyNumberFormat="1" applyFont="1" applyBorder="1" applyAlignment="1">
      <alignment wrapText="1"/>
    </xf>
    <xf numFmtId="2" fontId="4" fillId="0" borderId="0" xfId="5" applyNumberFormat="1" applyFont="1" applyBorder="1" applyAlignment="1">
      <alignment wrapText="1"/>
    </xf>
    <xf numFmtId="1" fontId="4" fillId="10" borderId="0" xfId="5" applyNumberFormat="1" applyFont="1" applyFill="1" applyBorder="1" applyAlignment="1">
      <alignment wrapText="1"/>
    </xf>
    <xf numFmtId="2" fontId="4" fillId="10" borderId="0" xfId="5" applyNumberFormat="1" applyFont="1" applyFill="1" applyBorder="1" applyAlignment="1">
      <alignment wrapText="1"/>
    </xf>
    <xf numFmtId="1" fontId="67" fillId="10" borderId="0" xfId="370" applyNumberFormat="1" applyFill="1">
      <alignment readingOrder="1"/>
    </xf>
    <xf numFmtId="44" fontId="67" fillId="10" borderId="0" xfId="61" applyFont="1" applyFill="1">
      <alignment readingOrder="1"/>
    </xf>
    <xf numFmtId="0" fontId="67" fillId="10" borderId="0" xfId="370" applyFill="1">
      <alignment readingOrder="1"/>
    </xf>
    <xf numFmtId="0" fontId="4" fillId="10" borderId="0" xfId="370" applyFont="1" applyFill="1" applyBorder="1">
      <alignment readingOrder="1"/>
    </xf>
    <xf numFmtId="0" fontId="1" fillId="0" borderId="0" xfId="256" applyFont="1"/>
    <xf numFmtId="0" fontId="73" fillId="51" borderId="56" xfId="256" applyFont="1" applyFill="1" applyBorder="1"/>
    <xf numFmtId="0" fontId="73" fillId="51" borderId="57" xfId="256" applyFont="1" applyFill="1" applyBorder="1"/>
    <xf numFmtId="0" fontId="73" fillId="51" borderId="14" xfId="256" applyFont="1" applyFill="1" applyBorder="1"/>
    <xf numFmtId="0" fontId="74" fillId="54" borderId="9" xfId="105" applyFont="1" applyFill="1" applyBorder="1" applyAlignment="1">
      <alignment horizontal="left" vertical="center" wrapText="1"/>
    </xf>
    <xf numFmtId="0" fontId="74" fillId="54" borderId="6" xfId="105" applyFont="1" applyFill="1" applyBorder="1" applyAlignment="1">
      <alignment horizontal="left" vertical="center" wrapText="1"/>
    </xf>
    <xf numFmtId="0" fontId="75" fillId="0" borderId="6" xfId="105" applyNumberFormat="1" applyFont="1" applyFill="1" applyBorder="1" applyAlignment="1">
      <alignment horizontal="left" vertical="center" wrapText="1"/>
    </xf>
    <xf numFmtId="0" fontId="75" fillId="0" borderId="6" xfId="105" applyFont="1" applyFill="1" applyBorder="1" applyAlignment="1">
      <alignment horizontal="left" vertical="center" wrapText="1"/>
    </xf>
    <xf numFmtId="0" fontId="1" fillId="0" borderId="6" xfId="105" applyFont="1" applyFill="1" applyBorder="1" applyAlignment="1">
      <alignment horizontal="left" vertical="center" wrapText="1"/>
    </xf>
    <xf numFmtId="0" fontId="75" fillId="0" borderId="6" xfId="105" applyFont="1" applyBorder="1" applyAlignment="1">
      <alignment horizontal="left" vertical="center" wrapText="1" readingOrder="1"/>
    </xf>
    <xf numFmtId="0" fontId="75" fillId="0" borderId="6" xfId="105" applyFont="1" applyBorder="1" applyAlignment="1">
      <alignment vertical="center" wrapText="1" readingOrder="1"/>
    </xf>
    <xf numFmtId="0" fontId="75" fillId="0" borderId="6" xfId="105" applyFont="1" applyBorder="1" applyAlignment="1">
      <alignment wrapText="1" readingOrder="1"/>
    </xf>
    <xf numFmtId="0" fontId="75" fillId="0" borderId="6" xfId="105" applyNumberFormat="1" applyFont="1" applyBorder="1" applyAlignment="1">
      <alignment vertical="center" wrapText="1" readingOrder="1"/>
    </xf>
    <xf numFmtId="2" fontId="4" fillId="0" borderId="0" xfId="390" applyNumberFormat="1" applyFont="1"/>
    <xf numFmtId="0" fontId="6" fillId="81" borderId="3" xfId="1" applyFont="1" applyFill="1" applyBorder="1" applyAlignment="1">
      <alignment horizontal="center"/>
    </xf>
    <xf numFmtId="0" fontId="8" fillId="83" borderId="3" xfId="1" applyFont="1" applyFill="1" applyBorder="1" applyAlignment="1">
      <alignment horizontal="center" wrapText="1"/>
    </xf>
    <xf numFmtId="0" fontId="8" fillId="83" borderId="6" xfId="1" applyFont="1" applyFill="1" applyBorder="1" applyAlignment="1">
      <alignment horizontal="center" wrapText="1"/>
    </xf>
    <xf numFmtId="0" fontId="0" fillId="0" borderId="0" xfId="0" applyAlignment="1">
      <alignment wrapText="1"/>
    </xf>
    <xf numFmtId="172" fontId="0" fillId="0" borderId="0" xfId="391" applyNumberFormat="1" applyFont="1"/>
    <xf numFmtId="9" fontId="0" fillId="6" borderId="0" xfId="4" applyNumberFormat="1" applyFont="1" applyFill="1"/>
    <xf numFmtId="0" fontId="9" fillId="0" borderId="0" xfId="0" applyFont="1">
      <alignment readingOrder="1"/>
    </xf>
    <xf numFmtId="9" fontId="9" fillId="0" borderId="0" xfId="0" applyNumberFormat="1" applyFont="1">
      <alignment readingOrder="1"/>
    </xf>
    <xf numFmtId="1" fontId="9" fillId="0" borderId="0" xfId="0" applyNumberFormat="1" applyFont="1">
      <alignment readingOrder="1"/>
    </xf>
    <xf numFmtId="0" fontId="21" fillId="0" borderId="58" xfId="89" applyFont="1" applyBorder="1" applyAlignment="1">
      <alignment horizontal="center"/>
    </xf>
    <xf numFmtId="0" fontId="1" fillId="0" borderId="59" xfId="89" applyFont="1" applyBorder="1" applyAlignment="1">
      <alignment horizontal="center"/>
    </xf>
    <xf numFmtId="0" fontId="1" fillId="0" borderId="53" xfId="89" applyFont="1" applyBorder="1" applyAlignment="1">
      <alignment horizontal="center"/>
    </xf>
    <xf numFmtId="0" fontId="1" fillId="0" borderId="0" xfId="89" applyFont="1" applyBorder="1" applyAlignment="1">
      <alignment horizontal="center"/>
    </xf>
    <xf numFmtId="0" fontId="1" fillId="0" borderId="62" xfId="89" applyFont="1" applyBorder="1" applyAlignment="1">
      <alignment horizontal="center"/>
    </xf>
    <xf numFmtId="0" fontId="1" fillId="0" borderId="32" xfId="89" applyFont="1" applyBorder="1" applyAlignment="1">
      <alignment horizontal="center"/>
    </xf>
    <xf numFmtId="0" fontId="1" fillId="0" borderId="60" xfId="89" applyFont="1" applyBorder="1"/>
    <xf numFmtId="0" fontId="21" fillId="0" borderId="61" xfId="89" applyFont="1" applyBorder="1" applyAlignment="1">
      <alignment horizontal="right"/>
    </xf>
    <xf numFmtId="0" fontId="1" fillId="0" borderId="0" xfId="89" applyFont="1"/>
    <xf numFmtId="0" fontId="21" fillId="0" borderId="0" xfId="89" applyFont="1" applyBorder="1" applyAlignment="1">
      <alignment horizontal="right"/>
    </xf>
    <xf numFmtId="0" fontId="0" fillId="0" borderId="0" xfId="0" applyFill="1" applyAlignment="1">
      <alignment horizontal="center" readingOrder="1"/>
    </xf>
    <xf numFmtId="0" fontId="13" fillId="84" borderId="4" xfId="0" applyFont="1" applyFill="1" applyBorder="1" applyAlignment="1">
      <alignment horizontal="left" wrapText="1" readingOrder="1"/>
    </xf>
    <xf numFmtId="0" fontId="13" fillId="84" borderId="3" xfId="0" applyFont="1" applyFill="1" applyBorder="1" applyAlignment="1">
      <alignment horizontal="center" wrapText="1" readingOrder="1"/>
    </xf>
    <xf numFmtId="0" fontId="13" fillId="7" borderId="5" xfId="0" applyFont="1" applyFill="1" applyBorder="1" applyAlignment="1">
      <alignment horizontal="center" wrapText="1" readingOrder="1"/>
    </xf>
    <xf numFmtId="0" fontId="0" fillId="0" borderId="58" xfId="0" applyBorder="1">
      <alignment readingOrder="1"/>
    </xf>
    <xf numFmtId="0" fontId="0" fillId="0" borderId="59" xfId="0" applyBorder="1">
      <alignment readingOrder="1"/>
    </xf>
    <xf numFmtId="0" fontId="0" fillId="0" borderId="63" xfId="0" applyBorder="1">
      <alignment readingOrder="1"/>
    </xf>
    <xf numFmtId="0" fontId="0" fillId="0" borderId="53" xfId="0" applyBorder="1">
      <alignment readingOrder="1"/>
    </xf>
    <xf numFmtId="0" fontId="0" fillId="0" borderId="0" xfId="0" applyBorder="1">
      <alignment readingOrder="1"/>
    </xf>
    <xf numFmtId="0" fontId="0" fillId="0" borderId="64" xfId="0" applyBorder="1">
      <alignment readingOrder="1"/>
    </xf>
    <xf numFmtId="0" fontId="0" fillId="0" borderId="60" xfId="0" applyBorder="1">
      <alignment readingOrder="1"/>
    </xf>
    <xf numFmtId="0" fontId="0" fillId="0" borderId="61" xfId="0" applyBorder="1">
      <alignment readingOrder="1"/>
    </xf>
    <xf numFmtId="0" fontId="0" fillId="0" borderId="65" xfId="0" applyBorder="1">
      <alignment readingOrder="1"/>
    </xf>
    <xf numFmtId="0" fontId="8" fillId="85" borderId="56" xfId="0" applyFont="1" applyFill="1" applyBorder="1" applyAlignment="1">
      <alignment horizontal="centerContinuous" wrapText="1" readingOrder="1"/>
    </xf>
    <xf numFmtId="0" fontId="8" fillId="85" borderId="14" xfId="0" applyFont="1" applyFill="1" applyBorder="1" applyAlignment="1">
      <alignment horizontal="centerContinuous" wrapText="1" readingOrder="1"/>
    </xf>
    <xf numFmtId="164" fontId="8" fillId="85" borderId="56" xfId="0" applyNumberFormat="1" applyFont="1" applyFill="1" applyBorder="1" applyAlignment="1">
      <alignment horizontal="centerContinuous" wrapText="1" readingOrder="1"/>
    </xf>
    <xf numFmtId="164" fontId="8" fillId="85" borderId="57" xfId="0" applyNumberFormat="1" applyFont="1" applyFill="1" applyBorder="1" applyAlignment="1">
      <alignment horizontal="centerContinuous" wrapText="1" readingOrder="1"/>
    </xf>
    <xf numFmtId="164" fontId="8" fillId="85" borderId="14" xfId="0" applyNumberFormat="1" applyFont="1" applyFill="1" applyBorder="1" applyAlignment="1">
      <alignment horizontal="centerContinuous" wrapText="1" readingOrder="1"/>
    </xf>
    <xf numFmtId="164" fontId="8" fillId="85" borderId="5" xfId="0" applyNumberFormat="1" applyFont="1" applyFill="1" applyBorder="1" applyAlignment="1">
      <alignment horizontal="center" wrapText="1" readingOrder="1"/>
    </xf>
    <xf numFmtId="177" fontId="8" fillId="9" borderId="3" xfId="0" applyNumberFormat="1" applyFont="1" applyFill="1" applyBorder="1" applyAlignment="1">
      <alignment horizontal="center" wrapText="1" readingOrder="1"/>
    </xf>
    <xf numFmtId="0" fontId="8" fillId="8" borderId="56" xfId="0" applyFont="1" applyFill="1" applyBorder="1" applyAlignment="1">
      <alignment horizontal="centerContinuous" wrapText="1" readingOrder="1"/>
    </xf>
    <xf numFmtId="0" fontId="8" fillId="8" borderId="57" xfId="0" applyFont="1" applyFill="1" applyBorder="1" applyAlignment="1">
      <alignment horizontal="centerContinuous" wrapText="1" readingOrder="1"/>
    </xf>
    <xf numFmtId="164" fontId="8" fillId="8" borderId="57" xfId="0" applyNumberFormat="1" applyFont="1" applyFill="1" applyBorder="1" applyAlignment="1">
      <alignment horizontal="centerContinuous" wrapText="1" readingOrder="1"/>
    </xf>
    <xf numFmtId="164" fontId="8" fillId="8" borderId="5" xfId="0" applyNumberFormat="1" applyFont="1" applyFill="1" applyBorder="1" applyAlignment="1">
      <alignment horizontal="center" wrapText="1" readingOrder="1"/>
    </xf>
    <xf numFmtId="164" fontId="8" fillId="8" borderId="56" xfId="0" applyNumberFormat="1" applyFont="1" applyFill="1" applyBorder="1" applyAlignment="1">
      <alignment horizontal="centerContinuous" wrapText="1" readingOrder="1"/>
    </xf>
    <xf numFmtId="164" fontId="9" fillId="0" borderId="0" xfId="0" applyNumberFormat="1" applyFont="1">
      <alignment readingOrder="1"/>
    </xf>
    <xf numFmtId="178" fontId="9" fillId="0" borderId="0" xfId="0" applyNumberFormat="1" applyFont="1">
      <alignment readingOrder="1"/>
    </xf>
    <xf numFmtId="178" fontId="0" fillId="0" borderId="0" xfId="0" applyNumberFormat="1">
      <alignment readingOrder="1"/>
    </xf>
    <xf numFmtId="178" fontId="14" fillId="0" borderId="0" xfId="0" applyNumberFormat="1" applyFont="1">
      <alignment readingOrder="1"/>
    </xf>
    <xf numFmtId="0" fontId="0" fillId="0" borderId="0" xfId="0" applyFill="1"/>
    <xf numFmtId="0" fontId="21" fillId="54" borderId="6" xfId="106" applyFont="1" applyFill="1" applyBorder="1"/>
    <xf numFmtId="0" fontId="21" fillId="54" borderId="1" xfId="106" applyFont="1" applyFill="1" applyBorder="1"/>
    <xf numFmtId="0" fontId="21" fillId="54" borderId="11" xfId="106" applyFont="1" applyFill="1" applyBorder="1"/>
    <xf numFmtId="0" fontId="21" fillId="54" borderId="10" xfId="106" applyFont="1" applyFill="1" applyBorder="1"/>
    <xf numFmtId="164" fontId="8" fillId="8" borderId="12" xfId="106" applyNumberFormat="1" applyFont="1" applyFill="1" applyBorder="1" applyAlignment="1">
      <alignment horizontal="centerContinuous" wrapText="1" readingOrder="1"/>
    </xf>
    <xf numFmtId="164" fontId="8" fillId="8" borderId="13" xfId="106" applyNumberFormat="1" applyFont="1" applyFill="1" applyBorder="1" applyAlignment="1">
      <alignment horizontal="centerContinuous" wrapText="1" readingOrder="1"/>
    </xf>
    <xf numFmtId="164" fontId="8" fillId="8" borderId="14" xfId="106" applyNumberFormat="1" applyFont="1" applyFill="1" applyBorder="1" applyAlignment="1">
      <alignment horizontal="centerContinuous" wrapText="1" readingOrder="1"/>
    </xf>
    <xf numFmtId="164" fontId="8" fillId="8" borderId="3" xfId="106" applyNumberFormat="1" applyFont="1" applyFill="1" applyBorder="1" applyAlignment="1">
      <alignment horizontal="center" wrapText="1" readingOrder="1"/>
    </xf>
    <xf numFmtId="0" fontId="4" fillId="0" borderId="0" xfId="106"/>
    <xf numFmtId="0" fontId="21" fillId="54" borderId="31" xfId="106" applyFont="1" applyFill="1" applyBorder="1"/>
    <xf numFmtId="0" fontId="21" fillId="54" borderId="32" xfId="106" applyFont="1" applyFill="1" applyBorder="1"/>
    <xf numFmtId="0" fontId="21" fillId="54" borderId="33" xfId="106" applyFont="1" applyFill="1" applyBorder="1"/>
    <xf numFmtId="164" fontId="8" fillId="9" borderId="3" xfId="106" applyNumberFormat="1" applyFont="1" applyFill="1" applyBorder="1" applyAlignment="1">
      <alignment horizontal="center" wrapText="1" readingOrder="1"/>
    </xf>
    <xf numFmtId="0" fontId="21" fillId="53" borderId="6" xfId="106" applyFont="1" applyFill="1" applyBorder="1"/>
    <xf numFmtId="2" fontId="4" fillId="83" borderId="0" xfId="106" applyNumberFormat="1" applyFill="1" applyAlignment="1">
      <alignment horizontal="center" readingOrder="1"/>
    </xf>
    <xf numFmtId="1" fontId="4" fillId="83" borderId="0" xfId="106" applyNumberFormat="1" applyFill="1" applyAlignment="1">
      <alignment horizontal="center" readingOrder="1"/>
    </xf>
    <xf numFmtId="164" fontId="4" fillId="0" borderId="0" xfId="106" applyNumberFormat="1">
      <alignment readingOrder="1"/>
    </xf>
    <xf numFmtId="43" fontId="0" fillId="83" borderId="0" xfId="386" applyFont="1" applyFill="1" applyAlignment="1">
      <alignment horizontal="center" readingOrder="1"/>
    </xf>
    <xf numFmtId="1" fontId="4" fillId="0" borderId="0" xfId="106" applyNumberFormat="1">
      <alignment readingOrder="1"/>
    </xf>
    <xf numFmtId="1" fontId="4" fillId="0" borderId="0" xfId="106" applyNumberFormat="1"/>
    <xf numFmtId="0" fontId="0" fillId="54" borderId="0" xfId="0" applyFill="1">
      <alignment readingOrder="1"/>
    </xf>
    <xf numFmtId="0" fontId="0" fillId="54" borderId="0" xfId="0" applyFill="1" applyAlignment="1">
      <alignment vertical="center" wrapText="1" readingOrder="1"/>
    </xf>
    <xf numFmtId="9" fontId="4" fillId="0" borderId="0" xfId="4" applyFont="1">
      <alignment readingOrder="1"/>
    </xf>
    <xf numFmtId="164" fontId="0" fillId="52" borderId="0" xfId="0" applyNumberFormat="1" applyFill="1">
      <alignment readingOrder="1"/>
    </xf>
    <xf numFmtId="0" fontId="0" fillId="51" borderId="0" xfId="0" applyFill="1" applyAlignment="1">
      <alignment horizontal="left" vertical="center" readingOrder="1"/>
    </xf>
    <xf numFmtId="0" fontId="8" fillId="3" borderId="1" xfId="1" applyFont="1" applyFill="1" applyBorder="1" applyAlignment="1">
      <alignment horizontal="center"/>
    </xf>
    <xf numFmtId="0" fontId="8" fillId="3" borderId="11" xfId="1" applyFont="1" applyFill="1" applyBorder="1" applyAlignment="1">
      <alignment horizontal="center"/>
    </xf>
    <xf numFmtId="0" fontId="8" fillId="3" borderId="10" xfId="1" applyFont="1" applyFill="1" applyBorder="1" applyAlignment="1">
      <alignment horizontal="center"/>
    </xf>
    <xf numFmtId="0" fontId="5" fillId="4" borderId="2" xfId="0" applyFont="1" applyFill="1" applyBorder="1" applyAlignment="1">
      <alignment horizontal="center"/>
    </xf>
    <xf numFmtId="0" fontId="9" fillId="0" borderId="2" xfId="0" applyFont="1" applyBorder="1" applyAlignment="1">
      <alignment horizontal="center"/>
    </xf>
    <xf numFmtId="0" fontId="9" fillId="82" borderId="6" xfId="1" applyFont="1" applyFill="1" applyBorder="1" applyAlignment="1">
      <alignment horizontal="center"/>
    </xf>
    <xf numFmtId="0" fontId="76" fillId="0" borderId="58" xfId="89" applyFont="1" applyBorder="1" applyAlignment="1">
      <alignment horizontal="center" vertical="center" wrapText="1"/>
    </xf>
    <xf numFmtId="0" fontId="76" fillId="0" borderId="63" xfId="89" applyFont="1" applyBorder="1" applyAlignment="1">
      <alignment horizontal="center" vertical="center" wrapText="1"/>
    </xf>
    <xf numFmtId="0" fontId="76" fillId="0" borderId="60" xfId="89" applyFont="1" applyBorder="1" applyAlignment="1">
      <alignment horizontal="center" vertical="center" wrapText="1"/>
    </xf>
    <xf numFmtId="0" fontId="76" fillId="0" borderId="65" xfId="89" applyFont="1" applyBorder="1" applyAlignment="1">
      <alignment horizontal="center" vertical="center" wrapText="1"/>
    </xf>
    <xf numFmtId="0" fontId="8" fillId="3" borderId="4" xfId="1" applyFont="1" applyFill="1" applyBorder="1" applyAlignment="1">
      <alignment horizontal="center"/>
    </xf>
    <xf numFmtId="0" fontId="8" fillId="3" borderId="5" xfId="1" applyFont="1" applyFill="1" applyBorder="1" applyAlignment="1">
      <alignment horizontal="center"/>
    </xf>
    <xf numFmtId="0" fontId="8" fillId="3" borderId="3" xfId="1" applyFont="1" applyFill="1" applyBorder="1" applyAlignment="1">
      <alignment horizontal="center"/>
    </xf>
    <xf numFmtId="0" fontId="5" fillId="4" borderId="6" xfId="2" applyFont="1" applyFill="1" applyBorder="1" applyAlignment="1">
      <alignment horizontal="center"/>
    </xf>
    <xf numFmtId="0" fontId="9" fillId="0" borderId="6" xfId="2" applyFont="1" applyBorder="1" applyAlignment="1">
      <alignment horizontal="center"/>
    </xf>
    <xf numFmtId="0" fontId="19" fillId="0" borderId="1" xfId="12" applyBorder="1" applyAlignment="1">
      <alignment horizontal="center" vertical="center"/>
    </xf>
    <xf numFmtId="0" fontId="19" fillId="0" borderId="7" xfId="12" applyBorder="1" applyAlignment="1">
      <alignment horizontal="center" vertical="center"/>
    </xf>
    <xf numFmtId="0" fontId="19" fillId="0" borderId="31" xfId="12" applyBorder="1" applyAlignment="1">
      <alignment horizontal="center" vertical="center"/>
    </xf>
    <xf numFmtId="0" fontId="19" fillId="10" borderId="0" xfId="12" applyFill="1" applyAlignment="1">
      <alignment horizontal="left" wrapText="1"/>
    </xf>
    <xf numFmtId="0" fontId="19" fillId="0" borderId="0" xfId="12" applyAlignment="1">
      <alignment horizontal="center" vertical="center"/>
    </xf>
    <xf numFmtId="0" fontId="19" fillId="0" borderId="32" xfId="12" applyBorder="1" applyAlignment="1">
      <alignment horizontal="center" vertical="center"/>
    </xf>
    <xf numFmtId="0" fontId="19" fillId="0" borderId="0" xfId="12" applyAlignment="1">
      <alignment horizontal="center"/>
    </xf>
    <xf numFmtId="0" fontId="19" fillId="0" borderId="1" xfId="12" applyBorder="1" applyAlignment="1">
      <alignment horizontal="center" vertical="center" wrapText="1"/>
    </xf>
    <xf numFmtId="0" fontId="19" fillId="0" borderId="7" xfId="12" applyBorder="1" applyAlignment="1">
      <alignment horizontal="center" vertical="center" wrapText="1"/>
    </xf>
    <xf numFmtId="0" fontId="19" fillId="0" borderId="31" xfId="12" applyBorder="1" applyAlignment="1">
      <alignment horizontal="center" vertical="center" wrapText="1"/>
    </xf>
    <xf numFmtId="0" fontId="21" fillId="11" borderId="4" xfId="12" applyFont="1" applyFill="1" applyBorder="1" applyAlignment="1">
      <alignment horizontal="center"/>
    </xf>
    <xf numFmtId="0" fontId="21" fillId="11" borderId="5" xfId="12" applyFont="1" applyFill="1" applyBorder="1" applyAlignment="1">
      <alignment horizontal="center"/>
    </xf>
    <xf numFmtId="0" fontId="21" fillId="11" borderId="3" xfId="12" applyFont="1" applyFill="1" applyBorder="1" applyAlignment="1">
      <alignment horizontal="center"/>
    </xf>
    <xf numFmtId="0" fontId="19" fillId="11" borderId="2" xfId="12" applyFill="1" applyBorder="1" applyAlignment="1">
      <alignment horizontal="left" vertical="center"/>
    </xf>
    <xf numFmtId="0" fontId="19" fillId="11" borderId="9" xfId="12" applyFill="1" applyBorder="1" applyAlignment="1">
      <alignment horizontal="left" vertical="center"/>
    </xf>
    <xf numFmtId="0" fontId="19" fillId="11" borderId="4" xfId="12" applyFill="1" applyBorder="1" applyAlignment="1">
      <alignment horizontal="center"/>
    </xf>
    <xf numFmtId="0" fontId="19" fillId="11" borderId="5" xfId="12" applyFill="1" applyBorder="1" applyAlignment="1">
      <alignment horizontal="center"/>
    </xf>
    <xf numFmtId="0" fontId="19" fillId="11" borderId="3" xfId="12" applyFill="1" applyBorder="1" applyAlignment="1">
      <alignment horizontal="center"/>
    </xf>
    <xf numFmtId="0" fontId="19" fillId="0" borderId="16" xfId="12" applyFont="1" applyFill="1" applyBorder="1" applyAlignment="1">
      <alignment horizontal="center"/>
    </xf>
    <xf numFmtId="0" fontId="19" fillId="0" borderId="17" xfId="12" applyFont="1" applyFill="1" applyBorder="1" applyAlignment="1">
      <alignment horizontal="center"/>
    </xf>
    <xf numFmtId="0" fontId="19" fillId="0" borderId="18" xfId="12" applyFont="1" applyFill="1" applyBorder="1" applyAlignment="1">
      <alignment horizontal="center"/>
    </xf>
    <xf numFmtId="0" fontId="4" fillId="0" borderId="34" xfId="370" applyFont="1" applyBorder="1" applyAlignment="1">
      <alignment horizontal="left" wrapText="1" readingOrder="1"/>
    </xf>
  </cellXfs>
  <cellStyles count="392">
    <cellStyle name="20% - Accent1 2" xfId="17"/>
    <cellStyle name="20% - Accent1 2 2" xfId="107"/>
    <cellStyle name="20% - Accent1 3" xfId="18"/>
    <cellStyle name="20% - Accent2 2" xfId="19"/>
    <cellStyle name="20% - Accent2 3" xfId="20"/>
    <cellStyle name="20% - Accent3 2" xfId="21"/>
    <cellStyle name="20% - Accent3 2 2" xfId="108"/>
    <cellStyle name="20% - Accent3 3" xfId="22"/>
    <cellStyle name="20% - Accent4 2" xfId="23"/>
    <cellStyle name="20% - Accent4 2 2" xfId="109"/>
    <cellStyle name="20% - Accent4 3" xfId="24"/>
    <cellStyle name="20% - Accent5 2" xfId="25"/>
    <cellStyle name="20% - Accent5 3" xfId="26"/>
    <cellStyle name="20% - Accent6 2" xfId="27"/>
    <cellStyle name="20% - Accent6 3" xfId="28"/>
    <cellStyle name="40% - Accent1 2" xfId="29"/>
    <cellStyle name="40% - Accent1 2 2" xfId="110"/>
    <cellStyle name="40% - Accent1 3" xfId="30"/>
    <cellStyle name="40% - Accent2 2" xfId="31"/>
    <cellStyle name="40% - Accent2 2 2" xfId="111"/>
    <cellStyle name="40% - Accent2 3" xfId="32"/>
    <cellStyle name="40% - Accent3 2" xfId="33"/>
    <cellStyle name="40% - Accent3 2 2" xfId="112"/>
    <cellStyle name="40% - Accent3 3" xfId="34"/>
    <cellStyle name="40% - Accent4 2" xfId="35"/>
    <cellStyle name="40% - Accent4 2 2" xfId="113"/>
    <cellStyle name="40% - Accent4 3" xfId="36"/>
    <cellStyle name="40% - Accent5 2" xfId="37"/>
    <cellStyle name="40% - Accent5 3" xfId="38"/>
    <cellStyle name="40% - Accent6 2" xfId="39"/>
    <cellStyle name="40% - Accent6 2 2" xfId="114"/>
    <cellStyle name="40% - Accent6 3" xfId="40"/>
    <cellStyle name="60% - Accent1 2" xfId="41"/>
    <cellStyle name="60% - Accent1 2 2" xfId="115"/>
    <cellStyle name="60% - Accent1 3" xfId="116"/>
    <cellStyle name="60% - Accent2 2" xfId="42"/>
    <cellStyle name="60% - Accent2 2 2" xfId="117"/>
    <cellStyle name="60% - Accent2 3" xfId="118"/>
    <cellStyle name="60% - Accent3 2" xfId="43"/>
    <cellStyle name="60% - Accent3 2 2" xfId="119"/>
    <cellStyle name="60% - Accent3 3" xfId="120"/>
    <cellStyle name="60% - Accent4 2" xfId="44"/>
    <cellStyle name="60% - Accent4 2 2" xfId="121"/>
    <cellStyle name="60% - Accent4 3" xfId="122"/>
    <cellStyle name="60% - Accent5 2" xfId="45"/>
    <cellStyle name="60% - Accent5 3" xfId="123"/>
    <cellStyle name="60% - Accent6 2" xfId="46"/>
    <cellStyle name="60% - Accent6 2 2" xfId="124"/>
    <cellStyle name="60% - Accent6 3" xfId="125"/>
    <cellStyle name="Accent1 - 20%" xfId="126"/>
    <cellStyle name="Accent1 - 40%" xfId="127"/>
    <cellStyle name="Accent1 - 60%" xfId="128"/>
    <cellStyle name="Accent1 2" xfId="47"/>
    <cellStyle name="Accent1 2 2" xfId="129"/>
    <cellStyle name="Accent1 3" xfId="130"/>
    <cellStyle name="Accent2 - 20%" xfId="131"/>
    <cellStyle name="Accent2 - 40%" xfId="132"/>
    <cellStyle name="Accent2 - 60%" xfId="133"/>
    <cellStyle name="Accent2 2" xfId="48"/>
    <cellStyle name="Accent2 3" xfId="134"/>
    <cellStyle name="Accent3 - 20%" xfId="135"/>
    <cellStyle name="Accent3 - 40%" xfId="136"/>
    <cellStyle name="Accent3 - 60%" xfId="137"/>
    <cellStyle name="Accent3 2" xfId="49"/>
    <cellStyle name="Accent3 2 2" xfId="138"/>
    <cellStyle name="Accent3 3" xfId="139"/>
    <cellStyle name="Accent4 - 20%" xfId="140"/>
    <cellStyle name="Accent4 - 40%" xfId="141"/>
    <cellStyle name="Accent4 - 60%" xfId="142"/>
    <cellStyle name="Accent4 2" xfId="50"/>
    <cellStyle name="Accent4 2 2" xfId="143"/>
    <cellStyle name="Accent4 3" xfId="144"/>
    <cellStyle name="Accent5 - 20%" xfId="145"/>
    <cellStyle name="Accent5 - 40%" xfId="146"/>
    <cellStyle name="Accent5 - 60%" xfId="147"/>
    <cellStyle name="Accent5 2" xfId="51"/>
    <cellStyle name="Accent5 3" xfId="148"/>
    <cellStyle name="Accent6 - 20%" xfId="149"/>
    <cellStyle name="Accent6 - 40%" xfId="150"/>
    <cellStyle name="Accent6 - 60%" xfId="151"/>
    <cellStyle name="Accent6 2" xfId="52"/>
    <cellStyle name="Accent6 3" xfId="152"/>
    <cellStyle name="Bad 2" xfId="53"/>
    <cellStyle name="Bad 2 2" xfId="153"/>
    <cellStyle name="Bad 3" xfId="154"/>
    <cellStyle name="Calculation 2" xfId="54"/>
    <cellStyle name="Calculation 2 2" xfId="155"/>
    <cellStyle name="Calculation 3" xfId="156"/>
    <cellStyle name="Check Cell 2" xfId="55"/>
    <cellStyle name="Check Cell 3" xfId="157"/>
    <cellStyle name="Comma" xfId="391" builtinId="3"/>
    <cellStyle name="Comma [0] 2" xfId="158"/>
    <cellStyle name="Comma 10" xfId="386"/>
    <cellStyle name="Comma 11" xfId="380"/>
    <cellStyle name="Comma 2" xfId="16"/>
    <cellStyle name="Comma 2 2" xfId="56"/>
    <cellStyle name="Comma 2 2 2" xfId="159"/>
    <cellStyle name="Comma 2 2 3" xfId="160"/>
    <cellStyle name="Comma 2 3" xfId="57"/>
    <cellStyle name="Comma 2 3 2" xfId="382"/>
    <cellStyle name="Comma 2 4" xfId="58"/>
    <cellStyle name="Comma 2 5" xfId="59"/>
    <cellStyle name="Comma 3" xfId="60"/>
    <cellStyle name="Comma 3 2" xfId="161"/>
    <cellStyle name="Comma 3 2 2" xfId="162"/>
    <cellStyle name="Comma 3 2 3" xfId="163"/>
    <cellStyle name="Comma 3 3" xfId="164"/>
    <cellStyle name="Comma 3 3 2" xfId="165"/>
    <cellStyle name="Comma 3 3 3" xfId="166"/>
    <cellStyle name="Comma 3 3 4" xfId="167"/>
    <cellStyle name="Comma 3 4" xfId="168"/>
    <cellStyle name="Comma 4" xfId="169"/>
    <cellStyle name="Comma 4 2" xfId="170"/>
    <cellStyle name="Comma 4 2 2" xfId="171"/>
    <cellStyle name="Comma 4 3" xfId="172"/>
    <cellStyle name="Comma 5" xfId="173"/>
    <cellStyle name="Comma 5 2" xfId="174"/>
    <cellStyle name="Comma 5 3" xfId="175"/>
    <cellStyle name="Comma 6" xfId="176"/>
    <cellStyle name="Comma 7" xfId="177"/>
    <cellStyle name="Comma 8" xfId="178"/>
    <cellStyle name="Comma 9" xfId="371"/>
    <cellStyle name="Currency 2" xfId="61"/>
    <cellStyle name="Currency 2 2" xfId="179"/>
    <cellStyle name="Currency 2 2 2" xfId="180"/>
    <cellStyle name="Currency 2 2 3" xfId="181"/>
    <cellStyle name="Currency 2 3" xfId="182"/>
    <cellStyle name="Currency 2 4" xfId="183"/>
    <cellStyle name="Currency 2 5" xfId="184"/>
    <cellStyle name="Currency 3" xfId="185"/>
    <cellStyle name="Currency 3 2" xfId="186"/>
    <cellStyle name="Currency 3 2 2" xfId="187"/>
    <cellStyle name="Currency 3 2 3" xfId="188"/>
    <cellStyle name="Currency 3 3" xfId="189"/>
    <cellStyle name="Currency 3 4" xfId="190"/>
    <cellStyle name="Currency 4" xfId="191"/>
    <cellStyle name="Currency 5" xfId="192"/>
    <cellStyle name="Currency 5 2" xfId="193"/>
    <cellStyle name="Currency 5 2 2" xfId="194"/>
    <cellStyle name="Currency 5 3" xfId="195"/>
    <cellStyle name="Currency 6" xfId="196"/>
    <cellStyle name="Currency 6 2" xfId="197"/>
    <cellStyle name="Currency 7" xfId="198"/>
    <cellStyle name="Currency 7 2" xfId="199"/>
    <cellStyle name="Currency 8" xfId="200"/>
    <cellStyle name="Data Field" xfId="8"/>
    <cellStyle name="Data Field 2" xfId="201"/>
    <cellStyle name="Data Field 2 2" xfId="202"/>
    <cellStyle name="Data Field 2 3" xfId="203"/>
    <cellStyle name="Data Field 3" xfId="204"/>
    <cellStyle name="Data Field 4" xfId="205"/>
    <cellStyle name="Data Name" xfId="9"/>
    <cellStyle name="Date/Time" xfId="10"/>
    <cellStyle name="Emphasis 1" xfId="206"/>
    <cellStyle name="Emphasis 2" xfId="207"/>
    <cellStyle name="Emphasis 3" xfId="208"/>
    <cellStyle name="Explanatory Text 2" xfId="62"/>
    <cellStyle name="Explanatory Text 3" xfId="209"/>
    <cellStyle name="Good 2" xfId="63"/>
    <cellStyle name="Good 3" xfId="210"/>
    <cellStyle name="Heading" xfId="11"/>
    <cellStyle name="Heading 1 2" xfId="64"/>
    <cellStyle name="Heading 1 2 2" xfId="211"/>
    <cellStyle name="Heading 1 3" xfId="212"/>
    <cellStyle name="Heading 2 2" xfId="65"/>
    <cellStyle name="Heading 2 3" xfId="213"/>
    <cellStyle name="Heading 3 2" xfId="66"/>
    <cellStyle name="Heading 3 2 2" xfId="214"/>
    <cellStyle name="Heading 3 3" xfId="215"/>
    <cellStyle name="Heading 4 2" xfId="67"/>
    <cellStyle name="Heading 4 2 2" xfId="216"/>
    <cellStyle name="Heading 4 3" xfId="217"/>
    <cellStyle name="Hyperlink 2" xfId="68"/>
    <cellStyle name="Hyperlink 2 2" xfId="218"/>
    <cellStyle name="Hyperlink 2 2 2" xfId="219"/>
    <cellStyle name="Hyperlink 2 3" xfId="372"/>
    <cellStyle name="Hyperlink 2_ResWXMF_FY10v2_0" xfId="220"/>
    <cellStyle name="Hyperlink 3" xfId="221"/>
    <cellStyle name="Hyperlink 3 2" xfId="222"/>
    <cellStyle name="Hyperlink 3 2 2" xfId="223"/>
    <cellStyle name="Hyperlink 4" xfId="224"/>
    <cellStyle name="Hyperlink 5" xfId="225"/>
    <cellStyle name="Hyperlink 6" xfId="226"/>
    <cellStyle name="Hyperlink 7" xfId="227"/>
    <cellStyle name="Hyperlink 8" xfId="228"/>
    <cellStyle name="Input 2" xfId="69"/>
    <cellStyle name="Input 3" xfId="70"/>
    <cellStyle name="Linked Cell 2" xfId="71"/>
    <cellStyle name="Linked Cell 3" xfId="229"/>
    <cellStyle name="Neutral 2" xfId="72"/>
    <cellStyle name="Neutral 3" xfId="230"/>
    <cellStyle name="Normal" xfId="0" builtinId="0"/>
    <cellStyle name="Normal 10" xfId="231"/>
    <cellStyle name="Normal 10 2" xfId="232"/>
    <cellStyle name="Normal 11" xfId="233"/>
    <cellStyle name="Normal 12" xfId="234"/>
    <cellStyle name="Normal 13" xfId="106"/>
    <cellStyle name="Normal 13 2" xfId="235"/>
    <cellStyle name="Normal 13 3" xfId="236"/>
    <cellStyle name="Normal 14" xfId="237"/>
    <cellStyle name="Normal 14 2" xfId="238"/>
    <cellStyle name="Normal 14 2 2" xfId="239"/>
    <cellStyle name="Normal 14 3" xfId="240"/>
    <cellStyle name="Normal 14 4" xfId="241"/>
    <cellStyle name="Normal 14 5" xfId="387"/>
    <cellStyle name="Normal 15" xfId="242"/>
    <cellStyle name="Normal 15 2" xfId="243"/>
    <cellStyle name="Normal 15 3" xfId="244"/>
    <cellStyle name="Normal 15 4" xfId="245"/>
    <cellStyle name="Normal 15 5" xfId="388"/>
    <cellStyle name="Normal 16" xfId="246"/>
    <cellStyle name="Normal 16 2" xfId="247"/>
    <cellStyle name="Normal 16 3" xfId="248"/>
    <cellStyle name="Normal 16 4" xfId="389"/>
    <cellStyle name="Normal 17" xfId="249"/>
    <cellStyle name="Normal 17 2" xfId="250"/>
    <cellStyle name="Normal 18" xfId="251"/>
    <cellStyle name="Normal 19" xfId="252"/>
    <cellStyle name="Normal 2" xfId="6"/>
    <cellStyle name="Normal 2 2" xfId="73"/>
    <cellStyle name="Normal 2 2 2" xfId="74"/>
    <cellStyle name="Normal 2 2 2 2" xfId="253"/>
    <cellStyle name="Normal 2 2 2 3" xfId="254"/>
    <cellStyle name="Normal 2 2 3" xfId="75"/>
    <cellStyle name="Normal 2 2 3 2" xfId="255"/>
    <cellStyle name="Normal 2 2 3 3" xfId="256"/>
    <cellStyle name="Normal 2 2 4" xfId="76"/>
    <cellStyle name="Normal 2 2 5" xfId="77"/>
    <cellStyle name="Normal 2 2 6" xfId="78"/>
    <cellStyle name="Normal 2 3" xfId="79"/>
    <cellStyle name="Normal 2 3 2" xfId="80"/>
    <cellStyle name="Normal 2 3 2 2" xfId="257"/>
    <cellStyle name="Normal 2 3 2 2 2" xfId="258"/>
    <cellStyle name="Normal 2 3 2 3" xfId="377"/>
    <cellStyle name="Normal 2 3 3" xfId="259"/>
    <cellStyle name="Normal 2 3 3 2" xfId="260"/>
    <cellStyle name="Normal 2 3 4" xfId="376"/>
    <cellStyle name="Normal 2 4" xfId="81"/>
    <cellStyle name="Normal 2 4 2" xfId="82"/>
    <cellStyle name="Normal 2 4 2 2" xfId="261"/>
    <cellStyle name="Normal 2 4 2 3" xfId="262"/>
    <cellStyle name="Normal 2 4 2 4" xfId="263"/>
    <cellStyle name="Normal 2 4 3" xfId="264"/>
    <cellStyle name="Normal 2 5" xfId="83"/>
    <cellStyle name="Normal 2 5 2" xfId="378"/>
    <cellStyle name="Normal 2 6" xfId="84"/>
    <cellStyle name="Normal 2 6 2" xfId="265"/>
    <cellStyle name="Normal 2 6 2 2" xfId="266"/>
    <cellStyle name="Normal 2 6 2 3" xfId="267"/>
    <cellStyle name="Normal 2 6 3" xfId="268"/>
    <cellStyle name="Normal 2 6 3 2" xfId="269"/>
    <cellStyle name="Normal 2 6 4" xfId="270"/>
    <cellStyle name="Normal 2 6 4 2" xfId="271"/>
    <cellStyle name="Normal 2 6 5" xfId="272"/>
    <cellStyle name="Normal 2 6 6" xfId="273"/>
    <cellStyle name="Normal 2 7" xfId="85"/>
    <cellStyle name="Normal 2 7 2" xfId="274"/>
    <cellStyle name="Normal 2 7 2 2" xfId="275"/>
    <cellStyle name="Normal 2 7 3" xfId="276"/>
    <cellStyle name="Normal 2 8" xfId="86"/>
    <cellStyle name="Normal 2 9" xfId="277"/>
    <cellStyle name="Normal 20" xfId="278"/>
    <cellStyle name="Normal 21" xfId="279"/>
    <cellStyle name="Normal 22" xfId="280"/>
    <cellStyle name="Normal 23" xfId="281"/>
    <cellStyle name="Normal 24" xfId="282"/>
    <cellStyle name="Normal 25" xfId="283"/>
    <cellStyle name="Normal 26" xfId="284"/>
    <cellStyle name="Normal 27" xfId="285"/>
    <cellStyle name="Normal 28" xfId="286"/>
    <cellStyle name="Normal 29" xfId="287"/>
    <cellStyle name="Normal 3" xfId="14"/>
    <cellStyle name="Normal 3 2" xfId="288"/>
    <cellStyle name="Normal 3 2 2" xfId="289"/>
    <cellStyle name="Normal 3 2 3" xfId="290"/>
    <cellStyle name="Normal 3 3" xfId="291"/>
    <cellStyle name="Normal 3 3 2" xfId="292"/>
    <cellStyle name="Normal 3 3 2 2" xfId="293"/>
    <cellStyle name="Normal 3 4" xfId="294"/>
    <cellStyle name="Normal 3 66" xfId="295"/>
    <cellStyle name="Normal 30" xfId="296"/>
    <cellStyle name="Normal 31" xfId="297"/>
    <cellStyle name="Normal 32" xfId="298"/>
    <cellStyle name="Normal 33" xfId="299"/>
    <cellStyle name="Normal 34" xfId="300"/>
    <cellStyle name="Normal 35" xfId="301"/>
    <cellStyle name="Normal 36" xfId="302"/>
    <cellStyle name="Normal 37" xfId="303"/>
    <cellStyle name="Normal 38" xfId="304"/>
    <cellStyle name="Normal 39" xfId="305"/>
    <cellStyle name="Normal 4" xfId="87"/>
    <cellStyle name="Normal 4 2" xfId="88"/>
    <cellStyle name="Normal 4 2 2" xfId="379"/>
    <cellStyle name="Normal 4 3" xfId="306"/>
    <cellStyle name="Normal 4 3 2" xfId="307"/>
    <cellStyle name="Normal 4 3 2 2" xfId="308"/>
    <cellStyle name="Normal 4 3 2 3" xfId="309"/>
    <cellStyle name="Normal 4 3 3" xfId="310"/>
    <cellStyle name="Normal 4 3 4" xfId="383"/>
    <cellStyle name="Normal 4 4" xfId="311"/>
    <cellStyle name="Normal 4 4 2" xfId="312"/>
    <cellStyle name="Normal 4 4 3" xfId="313"/>
    <cellStyle name="Normal 4 5" xfId="314"/>
    <cellStyle name="Normal 4 5 2" xfId="315"/>
    <cellStyle name="Normal 4 5 3" xfId="316"/>
    <cellStyle name="Normal 4 6" xfId="317"/>
    <cellStyle name="Normal 4 7" xfId="318"/>
    <cellStyle name="Normal 4 8" xfId="375"/>
    <cellStyle name="Normal 40" xfId="319"/>
    <cellStyle name="Normal 41" xfId="320"/>
    <cellStyle name="Normal 42" xfId="321"/>
    <cellStyle name="Normal 43" xfId="322"/>
    <cellStyle name="Normal 44" xfId="323"/>
    <cellStyle name="Normal 45" xfId="324"/>
    <cellStyle name="Normal 46" xfId="325"/>
    <cellStyle name="Normal 47" xfId="326"/>
    <cellStyle name="Normal 48" xfId="327"/>
    <cellStyle name="Normal 48 2" xfId="328"/>
    <cellStyle name="Normal 49" xfId="329"/>
    <cellStyle name="Normal 5" xfId="89"/>
    <cellStyle name="Normal 5 2" xfId="330"/>
    <cellStyle name="Normal 50" xfId="331"/>
    <cellStyle name="Normal 51" xfId="370"/>
    <cellStyle name="Normal 6" xfId="12"/>
    <cellStyle name="Normal 6 2" xfId="90"/>
    <cellStyle name="Normal 6 3" xfId="91"/>
    <cellStyle name="Normal 6 4" xfId="92"/>
    <cellStyle name="Normal 6 5" xfId="381"/>
    <cellStyle name="Normal 7" xfId="104"/>
    <cellStyle name="Normal 7 2" xfId="332"/>
    <cellStyle name="Normal 8" xfId="333"/>
    <cellStyle name="Normal 8 2" xfId="334"/>
    <cellStyle name="Normal 9" xfId="335"/>
    <cellStyle name="Normal 9 2" xfId="336"/>
    <cellStyle name="Normal 9 3" xfId="337"/>
    <cellStyle name="Normal_CharacteristicScenarios" xfId="13"/>
    <cellStyle name="Normal_EStarWASHERResTiersFY07v1_3_postJan07" xfId="5"/>
    <cellStyle name="Normal_MTDUCT" xfId="1"/>
    <cellStyle name="Normal_MTRESAPPLPOT" xfId="390"/>
    <cellStyle name="Normal_PC-HVACCONTROLS-D2-6p-D3 2" xfId="338"/>
    <cellStyle name="Normal_PC-LPDPackage-6P-D14" xfId="105"/>
    <cellStyle name="Normal_ProCostFinAssumptions_Sector" xfId="3"/>
    <cellStyle name="Normal_PTCSFY07v1_3" xfId="373"/>
    <cellStyle name="Normal_ResWXSFsqfFY07v1_5" xfId="2"/>
    <cellStyle name="Note 2" xfId="93"/>
    <cellStyle name="Note 2 2" xfId="94"/>
    <cellStyle name="Note 2 3" xfId="384"/>
    <cellStyle name="Note 3" xfId="339"/>
    <cellStyle name="Output 2" xfId="95"/>
    <cellStyle name="Output 2 2" xfId="340"/>
    <cellStyle name="Output 3" xfId="341"/>
    <cellStyle name="Percent" xfId="4" builtinId="5"/>
    <cellStyle name="Percent 2" xfId="7"/>
    <cellStyle name="Percent 2 2" xfId="96"/>
    <cellStyle name="Percent 2 2 2" xfId="97"/>
    <cellStyle name="Percent 2 2 2 2" xfId="98"/>
    <cellStyle name="Percent 2 2 2 2 2" xfId="385"/>
    <cellStyle name="Percent 2 2 2 3" xfId="342"/>
    <cellStyle name="Percent 2 2 3" xfId="343"/>
    <cellStyle name="Percent 2 2 4" xfId="344"/>
    <cellStyle name="Percent 2 3" xfId="345"/>
    <cellStyle name="Percent 2 3 2" xfId="346"/>
    <cellStyle name="Percent 2 3 3" xfId="347"/>
    <cellStyle name="Percent 2 4" xfId="374"/>
    <cellStyle name="Percent 3" xfId="15"/>
    <cellStyle name="Percent 3 2" xfId="348"/>
    <cellStyle name="Percent 3 2 2" xfId="349"/>
    <cellStyle name="Percent 3 2 3" xfId="350"/>
    <cellStyle name="Percent 3 3" xfId="351"/>
    <cellStyle name="Percent 3 4" xfId="352"/>
    <cellStyle name="Percent 4" xfId="353"/>
    <cellStyle name="Percent 4 2" xfId="354"/>
    <cellStyle name="Percent 5" xfId="355"/>
    <cellStyle name="Percent 6" xfId="356"/>
    <cellStyle name="Percent 6 2" xfId="357"/>
    <cellStyle name="Percent 7" xfId="358"/>
    <cellStyle name="Percent 8" xfId="359"/>
    <cellStyle name="Sheet Title" xfId="360"/>
    <cellStyle name="Style 1" xfId="361"/>
    <cellStyle name="Style 1 2" xfId="362"/>
    <cellStyle name="Style 28" xfId="363"/>
    <cellStyle name="Title 2" xfId="99"/>
    <cellStyle name="Title 2 2" xfId="364"/>
    <cellStyle name="Title 3" xfId="365"/>
    <cellStyle name="Total 2" xfId="100"/>
    <cellStyle name="Total 2 2" xfId="366"/>
    <cellStyle name="Total 3" xfId="367"/>
    <cellStyle name="Warning Text 2" xfId="101"/>
    <cellStyle name="Warning Text 3" xfId="368"/>
    <cellStyle name="표준 2_WP-1 보고자료 (2009.06.03)" xfId="369"/>
    <cellStyle name="표준_ENERGY CONSUMP" xfId="102"/>
    <cellStyle name="常规_海外市场服务网站资料操作BOM" xfId="103"/>
  </cellStyles>
  <dxfs count="19">
    <dxf>
      <numFmt numFmtId="2" formatCode="0.00"/>
    </dxf>
    <dxf>
      <font>
        <color rgb="FF0070C0"/>
      </font>
    </dxf>
    <dxf>
      <font>
        <color rgb="FF0070C0"/>
      </font>
    </dxf>
    <dxf>
      <font>
        <u/>
      </font>
    </dxf>
    <dxf>
      <font>
        <u/>
      </font>
    </dxf>
    <dxf>
      <font>
        <u/>
      </font>
    </dxf>
    <dxf>
      <font>
        <u/>
      </font>
    </dxf>
    <dxf>
      <font>
        <u/>
      </font>
    </dxf>
    <dxf>
      <font>
        <u/>
      </font>
    </dxf>
    <dxf>
      <font>
        <u/>
      </font>
    </dxf>
    <dxf>
      <font>
        <u/>
      </font>
    </dxf>
    <dxf>
      <font>
        <b/>
      </font>
    </dxf>
    <dxf>
      <font>
        <b/>
      </font>
    </dxf>
    <dxf>
      <font>
        <b/>
      </font>
    </dxf>
    <dxf>
      <font>
        <b/>
      </font>
    </dxf>
    <dxf>
      <font>
        <b/>
      </font>
    </dxf>
    <dxf>
      <font>
        <b/>
      </font>
    </dxf>
    <dxf>
      <font>
        <b/>
      </font>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BSA%20Saturation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Low)"/>
      <sheetName val="Ind Forecast (Base Case)"/>
      <sheetName val="Ind Forecast (High)"/>
      <sheetName val="Ag Forecast (Low)"/>
      <sheetName val="Ag Forecast (Base Case)"/>
      <sheetName val="Ag Forecast (High)"/>
      <sheetName val="Pop Forecast (High)"/>
      <sheetName val="Pop Forecast (Base Case)"/>
      <sheetName val="Pop Forecast (Low)"/>
      <sheetName val="DEI (Base Case)"/>
      <sheetName val="Dairy Forecast (Base Case)"/>
      <sheetName val="Dairy Forecast (Low)"/>
      <sheetName val="Dairy Forecast (High)"/>
      <sheetName val="EV Forecast (Base Case)"/>
      <sheetName val="EV Forecast (Low)"/>
      <sheetName val="EV Forecast (High)"/>
      <sheetName val="DEI Forecast (Base Case)"/>
      <sheetName val="DEI Forecast (High)"/>
      <sheetName val="DEI Forecast (Low)"/>
      <sheetName val="DataCenter Forecast (Base Case)"/>
      <sheetName val="DataCenter Forecast (High)"/>
      <sheetName val="DataCenter Forecast (Low)"/>
      <sheetName val="Pop Forecast (High Case)"/>
      <sheetName val="Pop Forecast (Low Case)"/>
      <sheetName val="7P Forecasts D2"/>
    </sheetNames>
    <definedNames>
      <definedName name="rng_ForecastColumnLookup" refersTo="='Forecast Switchboard'!$H$21:$AE$21"/>
      <definedName name="rng_ForecastRowLookup" refersTo="='Forecast Switchboard'!$G$22:$G$502"/>
      <definedName name="switch_ForecastScenario" refersTo="='Forecast Switchboard'!$H$3"/>
      <definedName name="switch_ForecastState" refersTo="='Forecast Switchboard'!$H$4"/>
      <definedName name="tbl_Forecast" refersTo="='Forecast Switchboard'!$H$22:$AE$502"/>
    </definedNames>
    <sheetDataSet>
      <sheetData sheetId="0"/>
      <sheetData sheetId="1">
        <row r="3">
          <cell r="H3" t="str">
            <v>Base</v>
          </cell>
        </row>
        <row r="4">
          <cell r="H4" t="str">
            <v>Region</v>
          </cell>
        </row>
        <row r="21">
          <cell r="H21" t="str">
            <v>Sector</v>
          </cell>
          <cell r="I21" t="str">
            <v>Building/Industry Type</v>
          </cell>
          <cell r="J21" t="str">
            <v>Vintage / Subcategory</v>
          </cell>
          <cell r="K21" t="str">
            <v>Forecast Units</v>
          </cell>
          <cell r="L21">
            <v>2016</v>
          </cell>
          <cell r="M21">
            <v>2017</v>
          </cell>
          <cell r="N21">
            <v>2018</v>
          </cell>
          <cell r="O21">
            <v>2019</v>
          </cell>
          <cell r="P21">
            <v>2020</v>
          </cell>
          <cell r="Q21">
            <v>2021</v>
          </cell>
          <cell r="R21">
            <v>2022</v>
          </cell>
          <cell r="S21">
            <v>2023</v>
          </cell>
          <cell r="T21">
            <v>2024</v>
          </cell>
          <cell r="U21">
            <v>2025</v>
          </cell>
          <cell r="V21">
            <v>2026</v>
          </cell>
          <cell r="W21">
            <v>2027</v>
          </cell>
          <cell r="X21">
            <v>2028</v>
          </cell>
          <cell r="Y21">
            <v>2029</v>
          </cell>
          <cell r="Z21">
            <v>2030</v>
          </cell>
          <cell r="AA21">
            <v>2031</v>
          </cell>
          <cell r="AB21">
            <v>2032</v>
          </cell>
          <cell r="AC21">
            <v>2033</v>
          </cell>
          <cell r="AD21">
            <v>2034</v>
          </cell>
          <cell r="AE21">
            <v>2035</v>
          </cell>
        </row>
        <row r="22">
          <cell r="G22" t="str">
            <v>RegionSingle FamilyNew</v>
          </cell>
          <cell r="H22" t="str">
            <v>Res</v>
          </cell>
          <cell r="I22" t="str">
            <v>Single Family</v>
          </cell>
          <cell r="J22" t="str">
            <v>New</v>
          </cell>
          <cell r="K22" t="str">
            <v>Buildings</v>
          </cell>
          <cell r="L22">
            <v>62685.758999999998</v>
          </cell>
          <cell r="M22">
            <v>59961.781000000003</v>
          </cell>
          <cell r="N22">
            <v>56834.012000000002</v>
          </cell>
          <cell r="O22">
            <v>54985.192999999999</v>
          </cell>
          <cell r="P22">
            <v>53507.474000000002</v>
          </cell>
          <cell r="Q22">
            <v>50982.05</v>
          </cell>
          <cell r="R22">
            <v>49561.669000000002</v>
          </cell>
          <cell r="S22">
            <v>49324.517999999996</v>
          </cell>
          <cell r="T22">
            <v>48815.77</v>
          </cell>
          <cell r="U22">
            <v>49683.252</v>
          </cell>
          <cell r="V22">
            <v>50030.137000000002</v>
          </cell>
          <cell r="W22">
            <v>49387.762999999999</v>
          </cell>
          <cell r="X22">
            <v>48079.345999999998</v>
          </cell>
          <cell r="Y22">
            <v>48129.050999999999</v>
          </cell>
          <cell r="Z22">
            <v>48690.569000000003</v>
          </cell>
          <cell r="AA22">
            <v>48482.864000000001</v>
          </cell>
          <cell r="AB22">
            <v>46879.000999999997</v>
          </cell>
          <cell r="AC22">
            <v>46798.777999999998</v>
          </cell>
          <cell r="AD22">
            <v>46917.627</v>
          </cell>
          <cell r="AE22">
            <v>47236.144999999997</v>
          </cell>
        </row>
        <row r="23">
          <cell r="G23" t="str">
            <v>RegionMultifamily - Low RiseNew</v>
          </cell>
          <cell r="H23" t="str">
            <v>Res</v>
          </cell>
          <cell r="I23" t="str">
            <v>Multifamily - Low Rise</v>
          </cell>
          <cell r="J23" t="str">
            <v>New</v>
          </cell>
          <cell r="K23" t="str">
            <v>Buildings</v>
          </cell>
          <cell r="L23">
            <v>23280.347100904564</v>
          </cell>
          <cell r="M23">
            <v>23017.418106038647</v>
          </cell>
          <cell r="N23">
            <v>22811.60852767331</v>
          </cell>
          <cell r="O23">
            <v>22085.916378202593</v>
          </cell>
          <cell r="P23">
            <v>20817.853908138593</v>
          </cell>
          <cell r="Q23">
            <v>20070.279329962508</v>
          </cell>
          <cell r="R23">
            <v>19887.831284331631</v>
          </cell>
          <cell r="S23">
            <v>20257.583209811291</v>
          </cell>
          <cell r="T23">
            <v>20750.368029493613</v>
          </cell>
          <cell r="U23">
            <v>21314.334279744231</v>
          </cell>
          <cell r="V23">
            <v>21403.286239774712</v>
          </cell>
          <cell r="W23">
            <v>21409.137516518917</v>
          </cell>
          <cell r="X23">
            <v>21443.358292282628</v>
          </cell>
          <cell r="Y23">
            <v>21209.865626522758</v>
          </cell>
          <cell r="Z23">
            <v>20954.17798283829</v>
          </cell>
          <cell r="AA23">
            <v>20525.44023202754</v>
          </cell>
          <cell r="AB23">
            <v>20175.505597554071</v>
          </cell>
          <cell r="AC23">
            <v>19919.723927484571</v>
          </cell>
          <cell r="AD23">
            <v>19536.194066416414</v>
          </cell>
          <cell r="AE23">
            <v>19462.287131015248</v>
          </cell>
        </row>
        <row r="24">
          <cell r="G24" t="str">
            <v>RegionMultifamily - High RiseNew</v>
          </cell>
          <cell r="H24" t="str">
            <v>Res</v>
          </cell>
          <cell r="I24" t="str">
            <v>Multifamily - High Rise</v>
          </cell>
          <cell r="J24" t="str">
            <v>New</v>
          </cell>
          <cell r="K24" t="str">
            <v>Buildings</v>
          </cell>
          <cell r="L24">
            <v>5226.2387411561367</v>
          </cell>
          <cell r="M24">
            <v>5239.95312759432</v>
          </cell>
          <cell r="N24">
            <v>5271.2612760989568</v>
          </cell>
          <cell r="O24">
            <v>4985.883552972361</v>
          </cell>
          <cell r="P24">
            <v>4608.5912035798974</v>
          </cell>
          <cell r="Q24">
            <v>4509.6375960361838</v>
          </cell>
          <cell r="R24">
            <v>4481.760351096189</v>
          </cell>
          <cell r="S24">
            <v>4621.8312800578688</v>
          </cell>
          <cell r="T24">
            <v>4700.9782942419988</v>
          </cell>
          <cell r="U24">
            <v>4828.2391631488581</v>
          </cell>
          <cell r="V24">
            <v>4790.0249139778334</v>
          </cell>
          <cell r="W24">
            <v>4782.0649962402858</v>
          </cell>
          <cell r="X24">
            <v>4748.3908346265653</v>
          </cell>
          <cell r="Y24">
            <v>4733.4823682495089</v>
          </cell>
          <cell r="Z24">
            <v>4698.697177079107</v>
          </cell>
          <cell r="AA24">
            <v>4599.2987885998937</v>
          </cell>
          <cell r="AB24">
            <v>4526.3104216428001</v>
          </cell>
          <cell r="AC24">
            <v>4422.0600452822764</v>
          </cell>
          <cell r="AD24">
            <v>4405.182362066379</v>
          </cell>
          <cell r="AE24">
            <v>4385.1136986120664</v>
          </cell>
        </row>
        <row r="25">
          <cell r="G25" t="str">
            <v>RegionManufacturedNew</v>
          </cell>
          <cell r="H25" t="str">
            <v>Res</v>
          </cell>
          <cell r="I25" t="str">
            <v>Manufactured</v>
          </cell>
          <cell r="J25" t="str">
            <v>New</v>
          </cell>
          <cell r="K25" t="str">
            <v>Buildings</v>
          </cell>
          <cell r="L25">
            <v>1869.5754050925925</v>
          </cell>
          <cell r="M25">
            <v>1881.796305941358</v>
          </cell>
          <cell r="N25">
            <v>1949.1340235982509</v>
          </cell>
          <cell r="O25">
            <v>2021.1963608646258</v>
          </cell>
          <cell r="P25">
            <v>1959.5061710087307</v>
          </cell>
          <cell r="Q25">
            <v>1928.5764356212967</v>
          </cell>
          <cell r="R25">
            <v>1934.9641170211423</v>
          </cell>
          <cell r="S25">
            <v>1945.862235675901</v>
          </cell>
          <cell r="T25">
            <v>1956.539890631658</v>
          </cell>
          <cell r="U25">
            <v>1957.7742018038925</v>
          </cell>
          <cell r="V25">
            <v>1947.2038419604366</v>
          </cell>
          <cell r="W25">
            <v>1945.153453785721</v>
          </cell>
          <cell r="X25">
            <v>1947.9162901464586</v>
          </cell>
          <cell r="Y25">
            <v>1950.0749856673444</v>
          </cell>
          <cell r="Z25">
            <v>1950.7771106659191</v>
          </cell>
          <cell r="AA25">
            <v>1949.8166473382953</v>
          </cell>
          <cell r="AB25">
            <v>1948.4903882606959</v>
          </cell>
          <cell r="AC25">
            <v>1948.7048126440727</v>
          </cell>
          <cell r="AD25">
            <v>1949.296705787131</v>
          </cell>
          <cell r="AE25">
            <v>1949.5267750605763</v>
          </cell>
        </row>
        <row r="26">
          <cell r="G26" t="str">
            <v>RegionSingle FamilyExisting</v>
          </cell>
          <cell r="H26" t="str">
            <v>Res</v>
          </cell>
          <cell r="I26" t="str">
            <v>Single Family</v>
          </cell>
          <cell r="J26" t="str">
            <v>Existing</v>
          </cell>
          <cell r="K26" t="str">
            <v>Buildings</v>
          </cell>
          <cell r="L26">
            <v>4203528.2719999999</v>
          </cell>
          <cell r="M26">
            <v>4193982.9785983553</v>
          </cell>
          <cell r="N26">
            <v>4184459.3604704877</v>
          </cell>
          <cell r="O26">
            <v>4174957.36839659</v>
          </cell>
          <cell r="P26">
            <v>4165476.9532686244</v>
          </cell>
          <cell r="Q26">
            <v>4156018.0660900641</v>
          </cell>
          <cell r="R26">
            <v>4146580.6579756448</v>
          </cell>
          <cell r="S26">
            <v>4137164.6801511091</v>
          </cell>
          <cell r="T26">
            <v>4127770.0839529554</v>
          </cell>
          <cell r="U26">
            <v>4118396.8208281873</v>
          </cell>
          <cell r="V26">
            <v>4109044.8423340586</v>
          </cell>
          <cell r="W26">
            <v>4099714.1001378288</v>
          </cell>
          <cell r="X26">
            <v>4090404.5460165106</v>
          </cell>
          <cell r="Y26">
            <v>4081116.1318566194</v>
          </cell>
          <cell r="Z26">
            <v>4071848.8096539262</v>
          </cell>
          <cell r="AA26">
            <v>4062602.5315132081</v>
          </cell>
          <cell r="AB26">
            <v>4053377.2496480034</v>
          </cell>
          <cell r="AC26">
            <v>4044172.9163803621</v>
          </cell>
          <cell r="AD26">
            <v>4034989.4841406001</v>
          </cell>
          <cell r="AE26">
            <v>4025826.9054670548</v>
          </cell>
        </row>
        <row r="27">
          <cell r="G27" t="str">
            <v>RegionMultifamily - Low RiseExisting</v>
          </cell>
          <cell r="H27" t="str">
            <v>Res</v>
          </cell>
          <cell r="I27" t="str">
            <v>Multifamily - Low Rise</v>
          </cell>
          <cell r="J27" t="str">
            <v>Existing</v>
          </cell>
          <cell r="K27" t="str">
            <v>Buildings</v>
          </cell>
          <cell r="L27">
            <v>926243.25609262148</v>
          </cell>
          <cell r="M27">
            <v>924139.92640956037</v>
          </cell>
          <cell r="N27">
            <v>922041.3730050053</v>
          </cell>
          <cell r="O27">
            <v>919947.58503289847</v>
          </cell>
          <cell r="P27">
            <v>917858.55167181045</v>
          </cell>
          <cell r="Q27">
            <v>915774.26212488639</v>
          </cell>
          <cell r="R27">
            <v>913694.70561978838</v>
          </cell>
          <cell r="S27">
            <v>911619.87140864041</v>
          </cell>
          <cell r="T27">
            <v>909549.74876797362</v>
          </cell>
          <cell r="U27">
            <v>907484.32699866977</v>
          </cell>
          <cell r="V27">
            <v>905423.59542590659</v>
          </cell>
          <cell r="W27">
            <v>903367.54339910217</v>
          </cell>
          <cell r="X27">
            <v>901316.16029185988</v>
          </cell>
          <cell r="Y27">
            <v>899269.43550191447</v>
          </cell>
          <cell r="Z27">
            <v>897227.35845107585</v>
          </cell>
          <cell r="AA27">
            <v>895189.9185851753</v>
          </cell>
          <cell r="AB27">
            <v>893157.10537401051</v>
          </cell>
          <cell r="AC27">
            <v>891128.90831129183</v>
          </cell>
          <cell r="AD27">
            <v>889105.31691458682</v>
          </cell>
          <cell r="AE27">
            <v>887086.32072526717</v>
          </cell>
        </row>
        <row r="28">
          <cell r="G28" t="str">
            <v>RegionMultifamily - High RiseExisting</v>
          </cell>
          <cell r="H28" t="str">
            <v>Res</v>
          </cell>
          <cell r="I28" t="str">
            <v>Multifamily - High Rise</v>
          </cell>
          <cell r="J28" t="str">
            <v>Existing</v>
          </cell>
          <cell r="K28" t="str">
            <v>Buildings</v>
          </cell>
          <cell r="L28">
            <v>211180.07985625503</v>
          </cell>
          <cell r="M28">
            <v>210700.52836963299</v>
          </cell>
          <cell r="N28">
            <v>210222.06585706791</v>
          </cell>
          <cell r="O28">
            <v>209744.68984569819</v>
          </cell>
          <cell r="P28">
            <v>209268.39786827751</v>
          </cell>
          <cell r="Q28">
            <v>208793.18746316229</v>
          </cell>
          <cell r="R28">
            <v>208319.05617429892</v>
          </cell>
          <cell r="S28">
            <v>207846.00155121088</v>
          </cell>
          <cell r="T28">
            <v>207374.0211489865</v>
          </cell>
          <cell r="U28">
            <v>206903.11252826577</v>
          </cell>
          <cell r="V28">
            <v>206433.27325522827</v>
          </cell>
          <cell r="W28">
            <v>205964.50090158021</v>
          </cell>
          <cell r="X28">
            <v>205496.79304454199</v>
          </cell>
          <cell r="Y28">
            <v>205030.14726683579</v>
          </cell>
          <cell r="Z28">
            <v>204564.56115667295</v>
          </cell>
          <cell r="AA28">
            <v>204100.03230774152</v>
          </cell>
          <cell r="AB28">
            <v>203636.55831919383</v>
          </cell>
          <cell r="AC28">
            <v>203174.13679563423</v>
          </cell>
          <cell r="AD28">
            <v>202712.76534710638</v>
          </cell>
          <cell r="AE28">
            <v>202252.44158908122</v>
          </cell>
        </row>
        <row r="29">
          <cell r="G29" t="str">
            <v>RegionManufacturedExisting</v>
          </cell>
          <cell r="H29" t="str">
            <v>Res</v>
          </cell>
          <cell r="I29" t="str">
            <v>Manufactured</v>
          </cell>
          <cell r="J29" t="str">
            <v>Existing</v>
          </cell>
          <cell r="K29" t="str">
            <v>Buildings</v>
          </cell>
          <cell r="L29">
            <v>572006.3278356482</v>
          </cell>
          <cell r="M29">
            <v>565893.30394507048</v>
          </cell>
          <cell r="N29">
            <v>559845.60985814757</v>
          </cell>
          <cell r="O29">
            <v>553862.54739615123</v>
          </cell>
          <cell r="P29">
            <v>547943.42584177968</v>
          </cell>
          <cell r="Q29">
            <v>542087.56185941794</v>
          </cell>
          <cell r="R29">
            <v>536294.27941624937</v>
          </cell>
          <cell r="S29">
            <v>530562.90970421082</v>
          </cell>
          <cell r="T29">
            <v>524892.79106278194</v>
          </cell>
          <cell r="U29">
            <v>519283.26890259917</v>
          </cell>
          <cell r="V29">
            <v>513733.69562988722</v>
          </cell>
          <cell r="W29">
            <v>508243.4305716962</v>
          </cell>
          <cell r="X29">
            <v>502811.8399019395</v>
          </cell>
          <cell r="Y29">
            <v>497438.2965682213</v>
          </cell>
          <cell r="Z29">
            <v>492122.18021944637</v>
          </cell>
          <cell r="AA29">
            <v>486862.87713420321</v>
          </cell>
          <cell r="AB29">
            <v>481659.78014991269</v>
          </cell>
          <cell r="AC29">
            <v>476512.28859273402</v>
          </cell>
          <cell r="AD29">
            <v>471419.80820821953</v>
          </cell>
          <cell r="AE29">
            <v>466381.75109271082</v>
          </cell>
        </row>
        <row r="30">
          <cell r="G30" t="str">
            <v>RegionLarge OffNew</v>
          </cell>
          <cell r="H30" t="str">
            <v>Com</v>
          </cell>
          <cell r="I30" t="str">
            <v>Large Off</v>
          </cell>
          <cell r="J30" t="str">
            <v>New</v>
          </cell>
          <cell r="K30" t="str">
            <v>Millions SqFt</v>
          </cell>
          <cell r="L30">
            <v>7.8066550111953834</v>
          </cell>
          <cell r="M30">
            <v>5.9496992573140863</v>
          </cell>
          <cell r="N30">
            <v>5.890903545908837</v>
          </cell>
          <cell r="O30">
            <v>6.8915688291332424</v>
          </cell>
          <cell r="P30">
            <v>6.6410191533148355</v>
          </cell>
          <cell r="Q30">
            <v>5.4382226791221893</v>
          </cell>
          <cell r="R30">
            <v>6.9236851515846078</v>
          </cell>
          <cell r="S30">
            <v>6.040566884985755</v>
          </cell>
          <cell r="T30">
            <v>5.8620040343764588</v>
          </cell>
          <cell r="U30">
            <v>6.6048352977963205</v>
          </cell>
          <cell r="V30">
            <v>6.6081856774849808</v>
          </cell>
          <cell r="W30">
            <v>7.2276230030590352</v>
          </cell>
          <cell r="X30">
            <v>7.9321378463678132</v>
          </cell>
          <cell r="Y30">
            <v>7.2590370336019197</v>
          </cell>
          <cell r="Z30">
            <v>7.9122271387396417</v>
          </cell>
          <cell r="AA30">
            <v>7.7623340380974311</v>
          </cell>
          <cell r="AB30">
            <v>7.6402299023279152</v>
          </cell>
          <cell r="AC30">
            <v>7.1724831299946894</v>
          </cell>
          <cell r="AD30">
            <v>7.0810470955732994</v>
          </cell>
          <cell r="AE30">
            <v>7.4281005850341701</v>
          </cell>
        </row>
        <row r="31">
          <cell r="G31" t="str">
            <v>RegionMedium OffNew</v>
          </cell>
          <cell r="H31" t="str">
            <v>Com</v>
          </cell>
          <cell r="I31" t="str">
            <v>Medium Off</v>
          </cell>
          <cell r="J31" t="str">
            <v>New</v>
          </cell>
          <cell r="K31" t="str">
            <v>Millions SqFt</v>
          </cell>
          <cell r="L31">
            <v>6.3306892326899415</v>
          </cell>
          <cell r="M31">
            <v>4.6245517962703104</v>
          </cell>
          <cell r="N31">
            <v>4.6954401235311058</v>
          </cell>
          <cell r="O31">
            <v>5.5561738496820645</v>
          </cell>
          <cell r="P31">
            <v>5.2903315868283292</v>
          </cell>
          <cell r="Q31">
            <v>4.0954748538564614</v>
          </cell>
          <cell r="R31">
            <v>5.6166455086822502</v>
          </cell>
          <cell r="S31">
            <v>4.8928421056079552</v>
          </cell>
          <cell r="T31">
            <v>4.6489885594062974</v>
          </cell>
          <cell r="U31">
            <v>5.3600762751998365</v>
          </cell>
          <cell r="V31">
            <v>5.3451061612370649</v>
          </cell>
          <cell r="W31">
            <v>5.7169042762389006</v>
          </cell>
          <cell r="X31">
            <v>6.1644080859749115</v>
          </cell>
          <cell r="Y31">
            <v>5.8003829082546376</v>
          </cell>
          <cell r="Z31">
            <v>6.4331999103991837</v>
          </cell>
          <cell r="AA31">
            <v>6.1077443299386847</v>
          </cell>
          <cell r="AB31">
            <v>6.3133258324543373</v>
          </cell>
          <cell r="AC31">
            <v>5.5403053352108875</v>
          </cell>
          <cell r="AD31">
            <v>5.5266028757425794</v>
          </cell>
          <cell r="AE31">
            <v>5.9833355534459063</v>
          </cell>
        </row>
        <row r="32">
          <cell r="G32" t="str">
            <v>RegionSmall OffNew</v>
          </cell>
          <cell r="H32" t="str">
            <v>Com</v>
          </cell>
          <cell r="I32" t="str">
            <v>Small Off</v>
          </cell>
          <cell r="J32" t="str">
            <v>New</v>
          </cell>
          <cell r="K32" t="str">
            <v>Millions SqFt</v>
          </cell>
          <cell r="L32">
            <v>1.6621196768024407</v>
          </cell>
          <cell r="M32">
            <v>1.2170657423442173</v>
          </cell>
          <cell r="N32">
            <v>1.2444333527444498</v>
          </cell>
          <cell r="O32">
            <v>1.4586094503549032</v>
          </cell>
          <cell r="P32">
            <v>1.4004070058555529</v>
          </cell>
          <cell r="Q32">
            <v>1.0787722980410579</v>
          </cell>
          <cell r="R32">
            <v>1.4747976167420549</v>
          </cell>
          <cell r="S32">
            <v>1.2896357804774434</v>
          </cell>
          <cell r="T32">
            <v>1.2239291307589197</v>
          </cell>
          <cell r="U32">
            <v>1.4012443744673324</v>
          </cell>
          <cell r="V32">
            <v>1.3991315932028052</v>
          </cell>
          <cell r="W32">
            <v>1.4996248899933684</v>
          </cell>
          <cell r="X32">
            <v>1.6197763904689295</v>
          </cell>
          <cell r="Y32">
            <v>1.5187400891362097</v>
          </cell>
          <cell r="Z32">
            <v>1.6890757136254622</v>
          </cell>
          <cell r="AA32">
            <v>1.5972356158259797</v>
          </cell>
          <cell r="AB32">
            <v>1.640465747141107</v>
          </cell>
          <cell r="AC32">
            <v>1.4565955217811706</v>
          </cell>
          <cell r="AD32">
            <v>1.4531741906643101</v>
          </cell>
          <cell r="AE32">
            <v>1.5648660344158036</v>
          </cell>
        </row>
        <row r="33">
          <cell r="G33" t="str">
            <v>RegionXLarge RetNew</v>
          </cell>
          <cell r="H33" t="str">
            <v>Com</v>
          </cell>
          <cell r="I33" t="str">
            <v>XLarge Ret</v>
          </cell>
          <cell r="J33" t="str">
            <v>New</v>
          </cell>
          <cell r="K33" t="str">
            <v>Millions SqFt</v>
          </cell>
          <cell r="L33">
            <v>1.799418169017593</v>
          </cell>
          <cell r="M33">
            <v>1.485755176968429</v>
          </cell>
          <cell r="N33">
            <v>0.89794362681754358</v>
          </cell>
          <cell r="O33">
            <v>0.91201694404352718</v>
          </cell>
          <cell r="P33">
            <v>0.85125423267540556</v>
          </cell>
          <cell r="Q33">
            <v>0.73204497427617965</v>
          </cell>
          <cell r="R33">
            <v>0.73428349109996394</v>
          </cell>
          <cell r="S33">
            <v>0.71341173425108251</v>
          </cell>
          <cell r="T33">
            <v>0.89455902577447755</v>
          </cell>
          <cell r="U33">
            <v>1.032083805968905</v>
          </cell>
          <cell r="V33">
            <v>1.0963398187475875</v>
          </cell>
          <cell r="W33">
            <v>1.617287860192538</v>
          </cell>
          <cell r="X33">
            <v>1.8239074921539626</v>
          </cell>
          <cell r="Y33">
            <v>1.6267354909009817</v>
          </cell>
          <cell r="Z33">
            <v>1.5970323938843554</v>
          </cell>
          <cell r="AA33">
            <v>1.5393396581386409</v>
          </cell>
          <cell r="AB33">
            <v>1.2960530677092543</v>
          </cell>
          <cell r="AC33">
            <v>1.3176455108269955</v>
          </cell>
          <cell r="AD33">
            <v>1.2469979474733393</v>
          </cell>
          <cell r="AE33">
            <v>1.3540449607593745</v>
          </cell>
        </row>
        <row r="34">
          <cell r="G34" t="str">
            <v>RegionLarge RetNew</v>
          </cell>
          <cell r="H34" t="str">
            <v>Com</v>
          </cell>
          <cell r="I34" t="str">
            <v>Large Ret</v>
          </cell>
          <cell r="J34" t="str">
            <v>New</v>
          </cell>
          <cell r="K34" t="str">
            <v>Millions SqFt</v>
          </cell>
          <cell r="L34">
            <v>0.71960427219664069</v>
          </cell>
          <cell r="M34">
            <v>0.59647847099566831</v>
          </cell>
          <cell r="N34">
            <v>0.36611838042447359</v>
          </cell>
          <cell r="O34">
            <v>0.3731768350638246</v>
          </cell>
          <cell r="P34">
            <v>0.34504559304633386</v>
          </cell>
          <cell r="Q34">
            <v>0.2928623587115301</v>
          </cell>
          <cell r="R34">
            <v>0.29376294298921468</v>
          </cell>
          <cell r="S34">
            <v>0.28416308329236456</v>
          </cell>
          <cell r="T34">
            <v>0.36455471421578001</v>
          </cell>
          <cell r="U34">
            <v>0.42646627810709853</v>
          </cell>
          <cell r="V34">
            <v>0.44956380488737768</v>
          </cell>
          <cell r="W34">
            <v>0.65213839834683018</v>
          </cell>
          <cell r="X34">
            <v>0.73353807331773047</v>
          </cell>
          <cell r="Y34">
            <v>0.65560780242911365</v>
          </cell>
          <cell r="Z34">
            <v>0.64604928436358278</v>
          </cell>
          <cell r="AA34">
            <v>0.62178261445398098</v>
          </cell>
          <cell r="AB34">
            <v>0.52554853465709617</v>
          </cell>
          <cell r="AC34">
            <v>0.53266253778165396</v>
          </cell>
          <cell r="AD34">
            <v>0.50454130308386236</v>
          </cell>
          <cell r="AE34">
            <v>0.54553111610891503</v>
          </cell>
        </row>
        <row r="35">
          <cell r="G35" t="str">
            <v>RegionMedium RetNew</v>
          </cell>
          <cell r="H35" t="str">
            <v>Com</v>
          </cell>
          <cell r="I35" t="str">
            <v>Medium Ret</v>
          </cell>
          <cell r="J35" t="str">
            <v>New</v>
          </cell>
          <cell r="K35" t="str">
            <v>Millions SqFt</v>
          </cell>
          <cell r="L35">
            <v>2.7275899469990224</v>
          </cell>
          <cell r="M35">
            <v>2.2451802625726844</v>
          </cell>
          <cell r="N35">
            <v>1.3846551620328988</v>
          </cell>
          <cell r="O35">
            <v>1.414332931216091</v>
          </cell>
          <cell r="P35">
            <v>1.3048976182463843</v>
          </cell>
          <cell r="Q35">
            <v>1.1035456427042536</v>
          </cell>
          <cell r="R35">
            <v>1.0932193385059683</v>
          </cell>
          <cell r="S35">
            <v>1.0602010304011045</v>
          </cell>
          <cell r="T35">
            <v>1.3687417218066935</v>
          </cell>
          <cell r="U35">
            <v>1.6102119957699914</v>
          </cell>
          <cell r="V35">
            <v>1.7014476793012303</v>
          </cell>
          <cell r="W35">
            <v>2.4475448442766612</v>
          </cell>
          <cell r="X35">
            <v>2.7642584104961641</v>
          </cell>
          <cell r="Y35">
            <v>2.4645092385842489</v>
          </cell>
          <cell r="Z35">
            <v>2.435211674558635</v>
          </cell>
          <cell r="AA35">
            <v>2.3436666024455817</v>
          </cell>
          <cell r="AB35">
            <v>1.9970991421399598</v>
          </cell>
          <cell r="AC35">
            <v>2.0220850932468024</v>
          </cell>
          <cell r="AD35">
            <v>1.9074632582746243</v>
          </cell>
          <cell r="AE35">
            <v>2.0633846520749657</v>
          </cell>
        </row>
        <row r="36">
          <cell r="G36" t="str">
            <v>RegionSmall RetNew</v>
          </cell>
          <cell r="H36" t="str">
            <v>Com</v>
          </cell>
          <cell r="I36" t="str">
            <v>Small Ret</v>
          </cell>
          <cell r="J36" t="str">
            <v>New</v>
          </cell>
          <cell r="K36" t="str">
            <v>Millions SqFt</v>
          </cell>
          <cell r="L36">
            <v>0.86249938561661099</v>
          </cell>
          <cell r="M36">
            <v>0.71243811393533818</v>
          </cell>
          <cell r="N36">
            <v>0.43988135050703958</v>
          </cell>
          <cell r="O36">
            <v>0.44879648252082133</v>
          </cell>
          <cell r="P36">
            <v>0.41374173801952452</v>
          </cell>
          <cell r="Q36">
            <v>0.34301620014224921</v>
          </cell>
          <cell r="R36">
            <v>0.33946657261656726</v>
          </cell>
          <cell r="S36">
            <v>0.32965754978673117</v>
          </cell>
          <cell r="T36">
            <v>0.43689232903555525</v>
          </cell>
          <cell r="U36">
            <v>0.51886957722704219</v>
          </cell>
          <cell r="V36">
            <v>0.54817313334918127</v>
          </cell>
          <cell r="W36">
            <v>0.77969532117377649</v>
          </cell>
          <cell r="X36">
            <v>0.87858644381951334</v>
          </cell>
          <cell r="Y36">
            <v>0.78420074698109388</v>
          </cell>
          <cell r="Z36">
            <v>0.77728841592354081</v>
          </cell>
          <cell r="AA36">
            <v>0.74886674252534069</v>
          </cell>
          <cell r="AB36">
            <v>0.63964179951326661</v>
          </cell>
          <cell r="AC36">
            <v>0.64714740319049269</v>
          </cell>
          <cell r="AD36">
            <v>0.61166389038687663</v>
          </cell>
          <cell r="AE36">
            <v>0.66242443593788758</v>
          </cell>
        </row>
        <row r="37">
          <cell r="G37" t="str">
            <v>RegionSchool K-12New</v>
          </cell>
          <cell r="H37" t="str">
            <v>Com</v>
          </cell>
          <cell r="I37" t="str">
            <v>School K-12</v>
          </cell>
          <cell r="J37" t="str">
            <v>New</v>
          </cell>
          <cell r="K37" t="str">
            <v>Millions SqFt</v>
          </cell>
          <cell r="L37">
            <v>0.49337113702797691</v>
          </cell>
          <cell r="M37">
            <v>1.1029723159217257</v>
          </cell>
          <cell r="N37">
            <v>0.94992456965043459</v>
          </cell>
          <cell r="O37">
            <v>0.71720701164062661</v>
          </cell>
          <cell r="P37">
            <v>0.7442281187428561</v>
          </cell>
          <cell r="Q37">
            <v>0.85140099810585501</v>
          </cell>
          <cell r="R37">
            <v>0.99139466996200198</v>
          </cell>
          <cell r="S37">
            <v>1.5014629353162949</v>
          </cell>
          <cell r="T37">
            <v>1.8697826256608596</v>
          </cell>
          <cell r="U37">
            <v>1.6452707482432332</v>
          </cell>
          <cell r="V37">
            <v>1.6753181172445872</v>
          </cell>
          <cell r="W37">
            <v>1.7943041099264481</v>
          </cell>
          <cell r="X37">
            <v>1.8624299937819393</v>
          </cell>
          <cell r="Y37">
            <v>1.7489264522150836</v>
          </cell>
          <cell r="Z37">
            <v>1.7975598556031414</v>
          </cell>
          <cell r="AA37">
            <v>1.6195220459723754</v>
          </cell>
          <cell r="AB37">
            <v>1.8221433074925411</v>
          </cell>
          <cell r="AC37">
            <v>1.6336676691608698</v>
          </cell>
          <cell r="AD37">
            <v>1.7826242149357872</v>
          </cell>
          <cell r="AE37">
            <v>1.6891002859244486</v>
          </cell>
        </row>
        <row r="38">
          <cell r="G38" t="str">
            <v>RegionUniversityNew</v>
          </cell>
          <cell r="H38" t="str">
            <v>Com</v>
          </cell>
          <cell r="I38" t="str">
            <v>University</v>
          </cell>
          <cell r="J38" t="str">
            <v>New</v>
          </cell>
          <cell r="K38" t="str">
            <v>Millions SqFt</v>
          </cell>
          <cell r="L38">
            <v>0.2800209986196866</v>
          </cell>
          <cell r="M38">
            <v>0.29719871383536939</v>
          </cell>
          <cell r="N38">
            <v>0.58203115602335975</v>
          </cell>
          <cell r="O38">
            <v>0.83189457735737737</v>
          </cell>
          <cell r="P38">
            <v>0.66610454718876777</v>
          </cell>
          <cell r="Q38">
            <v>0.73648247778559484</v>
          </cell>
          <cell r="R38">
            <v>0.64334185638367225</v>
          </cell>
          <cell r="S38">
            <v>0.97289424291238524</v>
          </cell>
          <cell r="T38">
            <v>1.1820978013224126</v>
          </cell>
          <cell r="U38">
            <v>1.1785313924254113</v>
          </cell>
          <cell r="V38">
            <v>1.2952038876416079</v>
          </cell>
          <cell r="W38">
            <v>1.3229243736280945</v>
          </cell>
          <cell r="X38">
            <v>1.422909455419719</v>
          </cell>
          <cell r="Y38">
            <v>1.4430187909981058</v>
          </cell>
          <cell r="Z38">
            <v>1.2923971403480323</v>
          </cell>
          <cell r="AA38">
            <v>1.1785050733908478</v>
          </cell>
          <cell r="AB38">
            <v>1.3433889489273994</v>
          </cell>
          <cell r="AC38">
            <v>1.2265545990556588</v>
          </cell>
          <cell r="AD38">
            <v>1.2571458643971927</v>
          </cell>
          <cell r="AE38">
            <v>1.2979913333963795</v>
          </cell>
        </row>
        <row r="39">
          <cell r="G39" t="str">
            <v>RegionWarehouseNew</v>
          </cell>
          <cell r="H39" t="str">
            <v>Com</v>
          </cell>
          <cell r="I39" t="str">
            <v>Warehouse</v>
          </cell>
          <cell r="J39" t="str">
            <v>New</v>
          </cell>
          <cell r="K39" t="str">
            <v>Millions SqFt</v>
          </cell>
          <cell r="L39">
            <v>7.6586609772993617</v>
          </cell>
          <cell r="M39">
            <v>7.5774552212762423</v>
          </cell>
          <cell r="N39">
            <v>5.6453939930651131</v>
          </cell>
          <cell r="O39">
            <v>4.800793231843981</v>
          </cell>
          <cell r="P39">
            <v>3.5881391412601156</v>
          </cell>
          <cell r="Q39">
            <v>3.1529819033971824</v>
          </cell>
          <cell r="R39">
            <v>4.0691744688008198</v>
          </cell>
          <cell r="S39">
            <v>4.5400289951106014</v>
          </cell>
          <cell r="T39">
            <v>4.8555474587969272</v>
          </cell>
          <cell r="U39">
            <v>4.6966359797376018</v>
          </cell>
          <cell r="V39">
            <v>4.8557170740974245</v>
          </cell>
          <cell r="W39">
            <v>4.451750056135543</v>
          </cell>
          <cell r="X39">
            <v>3.8657972013430704</v>
          </cell>
          <cell r="Y39">
            <v>3.9817445148405937</v>
          </cell>
          <cell r="Z39">
            <v>3.9951806948216846</v>
          </cell>
          <cell r="AA39">
            <v>4.4738164673360306</v>
          </cell>
          <cell r="AB39">
            <v>4.2737219736102183</v>
          </cell>
          <cell r="AC39">
            <v>4.0870251812551333</v>
          </cell>
          <cell r="AD39">
            <v>4.137725578117939</v>
          </cell>
          <cell r="AE39">
            <v>3.6922064696454697</v>
          </cell>
        </row>
        <row r="40">
          <cell r="G40" t="str">
            <v>RegionSupermarketNew</v>
          </cell>
          <cell r="H40" t="str">
            <v>Com</v>
          </cell>
          <cell r="I40" t="str">
            <v>Supermarket</v>
          </cell>
          <cell r="J40" t="str">
            <v>New</v>
          </cell>
          <cell r="K40" t="str">
            <v>Millions SqFt</v>
          </cell>
          <cell r="L40">
            <v>0.38924897939746522</v>
          </cell>
          <cell r="M40">
            <v>0.34341311895347121</v>
          </cell>
          <cell r="N40">
            <v>0.29927348040561341</v>
          </cell>
          <cell r="O40">
            <v>0.29688874456634085</v>
          </cell>
          <cell r="P40">
            <v>0.29379933994281465</v>
          </cell>
          <cell r="Q40">
            <v>0.29041766271303127</v>
          </cell>
          <cell r="R40">
            <v>0.28614144770449462</v>
          </cell>
          <cell r="S40">
            <v>0.28163861967746157</v>
          </cell>
          <cell r="T40">
            <v>0.27688800876616482</v>
          </cell>
          <cell r="U40">
            <v>0.27357754310134663</v>
          </cell>
          <cell r="V40">
            <v>0.27063184585003941</v>
          </cell>
          <cell r="W40">
            <v>0.26801411864303953</v>
          </cell>
          <cell r="X40">
            <v>0.26660240614409092</v>
          </cell>
          <cell r="Y40">
            <v>0.25138198684402913</v>
          </cell>
          <cell r="Z40">
            <v>0.26455339135243683</v>
          </cell>
          <cell r="AA40">
            <v>0.26299167309250365</v>
          </cell>
          <cell r="AB40">
            <v>0.26140909607327911</v>
          </cell>
          <cell r="AC40">
            <v>0.25947687815142023</v>
          </cell>
          <cell r="AD40">
            <v>0.25750619496776178</v>
          </cell>
          <cell r="AE40">
            <v>0.25562560804995926</v>
          </cell>
        </row>
        <row r="41">
          <cell r="G41" t="str">
            <v>RegionMiniMartNew</v>
          </cell>
          <cell r="H41" t="str">
            <v>Com</v>
          </cell>
          <cell r="I41" t="str">
            <v>MiniMart</v>
          </cell>
          <cell r="J41" t="str">
            <v>New</v>
          </cell>
          <cell r="K41" t="str">
            <v>Millions SqFt</v>
          </cell>
          <cell r="L41">
            <v>0.19765540078516197</v>
          </cell>
          <cell r="M41">
            <v>0.18600542935034625</v>
          </cell>
          <cell r="N41">
            <v>9.5760802585072302E-2</v>
          </cell>
          <cell r="O41">
            <v>0.10062051473914659</v>
          </cell>
          <cell r="P41">
            <v>8.5646792534183808E-2</v>
          </cell>
          <cell r="Q41">
            <v>6.5415041923045286E-2</v>
          </cell>
          <cell r="R41">
            <v>5.7242996146950373E-2</v>
          </cell>
          <cell r="S41">
            <v>5.5087150941189433E-2</v>
          </cell>
          <cell r="T41">
            <v>7.3916214299540497E-2</v>
          </cell>
          <cell r="U41">
            <v>9.2056169088318471E-2</v>
          </cell>
          <cell r="V41">
            <v>0.10393709432109566</v>
          </cell>
          <cell r="W41">
            <v>0.15172170448022598</v>
          </cell>
          <cell r="X41">
            <v>0.15706997726929292</v>
          </cell>
          <cell r="Y41">
            <v>0.14510580631504899</v>
          </cell>
          <cell r="Z41">
            <v>0.15272706829792246</v>
          </cell>
          <cell r="AA41">
            <v>0.14104647748606622</v>
          </cell>
          <cell r="AB41">
            <v>0.11700741064540764</v>
          </cell>
          <cell r="AC41">
            <v>0.1200067315077773</v>
          </cell>
          <cell r="AD41">
            <v>0.11457442878633581</v>
          </cell>
          <cell r="AE41">
            <v>0.1211768182439132</v>
          </cell>
        </row>
        <row r="42">
          <cell r="G42" t="str">
            <v>RegionRestaurantNew</v>
          </cell>
          <cell r="H42" t="str">
            <v>Com</v>
          </cell>
          <cell r="I42" t="str">
            <v>Restaurant</v>
          </cell>
          <cell r="J42" t="str">
            <v>New</v>
          </cell>
          <cell r="K42" t="str">
            <v>Millions SqFt</v>
          </cell>
          <cell r="L42">
            <v>0.46894871790011039</v>
          </cell>
          <cell r="M42">
            <v>0.47387410836125871</v>
          </cell>
          <cell r="N42">
            <v>0.45144590813821411</v>
          </cell>
          <cell r="O42">
            <v>0.4505136151455652</v>
          </cell>
          <cell r="P42">
            <v>0.44778046039172248</v>
          </cell>
          <cell r="Q42">
            <v>0.44523396067124349</v>
          </cell>
          <cell r="R42">
            <v>0.44273536313864043</v>
          </cell>
          <cell r="S42">
            <v>0.4399078135546039</v>
          </cell>
          <cell r="T42">
            <v>0.43708606600163591</v>
          </cell>
          <cell r="U42">
            <v>0.43513915585550955</v>
          </cell>
          <cell r="V42">
            <v>0.43580404899906589</v>
          </cell>
          <cell r="W42">
            <v>0.59161866303702282</v>
          </cell>
          <cell r="X42">
            <v>0.66467702134516005</v>
          </cell>
          <cell r="Y42">
            <v>0.65353995366480533</v>
          </cell>
          <cell r="Z42">
            <v>0.676060915960916</v>
          </cell>
          <cell r="AA42">
            <v>0.70559825286541389</v>
          </cell>
          <cell r="AB42">
            <v>0.63206878506691044</v>
          </cell>
          <cell r="AC42">
            <v>0.63726309269471215</v>
          </cell>
          <cell r="AD42">
            <v>0.5828366650853003</v>
          </cell>
          <cell r="AE42">
            <v>0.63928201324113043</v>
          </cell>
        </row>
        <row r="43">
          <cell r="G43" t="str">
            <v>RegionLodgingNew</v>
          </cell>
          <cell r="H43" t="str">
            <v>Com</v>
          </cell>
          <cell r="I43" t="str">
            <v>Lodging</v>
          </cell>
          <cell r="J43" t="str">
            <v>New</v>
          </cell>
          <cell r="K43" t="str">
            <v>Millions SqFt</v>
          </cell>
          <cell r="L43">
            <v>1.0326774321313152</v>
          </cell>
          <cell r="M43">
            <v>1.0158776160943388</v>
          </cell>
          <cell r="N43">
            <v>0.74304915446037911</v>
          </cell>
          <cell r="O43">
            <v>0.76054102414226543</v>
          </cell>
          <cell r="P43">
            <v>0.65616402459427536</v>
          </cell>
          <cell r="Q43">
            <v>0.62755023267601961</v>
          </cell>
          <cell r="R43">
            <v>0.61023293273354484</v>
          </cell>
          <cell r="S43">
            <v>0.60571699788717037</v>
          </cell>
          <cell r="T43">
            <v>0.65097903457434547</v>
          </cell>
          <cell r="U43">
            <v>0.69319811486407867</v>
          </cell>
          <cell r="V43">
            <v>0.78843795894088464</v>
          </cell>
          <cell r="W43">
            <v>1.3645659476947984</v>
          </cell>
          <cell r="X43">
            <v>1.6032227373726178</v>
          </cell>
          <cell r="Y43">
            <v>1.6412696995684901</v>
          </cell>
          <cell r="Z43">
            <v>1.670283030615213</v>
          </cell>
          <cell r="AA43">
            <v>1.755661848186447</v>
          </cell>
          <cell r="AB43">
            <v>1.4871375295645746</v>
          </cell>
          <cell r="AC43">
            <v>1.4400033906080374</v>
          </cell>
          <cell r="AD43">
            <v>1.3499648074414823</v>
          </cell>
          <cell r="AE43">
            <v>1.4487057151095009</v>
          </cell>
        </row>
        <row r="44">
          <cell r="G44" t="str">
            <v>RegionHospitalNew</v>
          </cell>
          <cell r="H44" t="str">
            <v>Com</v>
          </cell>
          <cell r="I44" t="str">
            <v>Hospital</v>
          </cell>
          <cell r="J44" t="str">
            <v>New</v>
          </cell>
          <cell r="K44" t="str">
            <v>Millions SqFt</v>
          </cell>
          <cell r="L44">
            <v>4.1336070304911159</v>
          </cell>
          <cell r="M44">
            <v>3.5601449453189118</v>
          </cell>
          <cell r="N44">
            <v>3.2007770264658664</v>
          </cell>
          <cell r="O44">
            <v>2.6531465767673241</v>
          </cell>
          <cell r="P44">
            <v>1.8730082465149496</v>
          </cell>
          <cell r="Q44">
            <v>1.6467285324389391</v>
          </cell>
          <cell r="R44">
            <v>1.5196240263467067</v>
          </cell>
          <cell r="S44">
            <v>1.3328145698119136</v>
          </cell>
          <cell r="T44">
            <v>1.3372342578617185</v>
          </cell>
          <cell r="U44">
            <v>1.4086686461757902</v>
          </cell>
          <cell r="V44">
            <v>1.6725933548501446</v>
          </cell>
          <cell r="W44">
            <v>2.0158466086985318</v>
          </cell>
          <cell r="X44">
            <v>2.3033709594417431</v>
          </cell>
          <cell r="Y44">
            <v>2.063930246052466</v>
          </cell>
          <cell r="Z44">
            <v>1.9880083370090949</v>
          </cell>
          <cell r="AA44">
            <v>1.9342270452860566</v>
          </cell>
          <cell r="AB44">
            <v>1.774507966199161</v>
          </cell>
          <cell r="AC44">
            <v>1.6723841845019074</v>
          </cell>
          <cell r="AD44">
            <v>1.5414284807799123</v>
          </cell>
          <cell r="AE44">
            <v>1.5563040522680198</v>
          </cell>
        </row>
        <row r="45">
          <cell r="G45" t="str">
            <v>RegionResidential CareNew</v>
          </cell>
          <cell r="H45" t="str">
            <v>Com</v>
          </cell>
          <cell r="I45" t="str">
            <v>Residential Care</v>
          </cell>
          <cell r="J45" t="str">
            <v>New</v>
          </cell>
          <cell r="K45" t="str">
            <v>Millions SqFt</v>
          </cell>
          <cell r="L45">
            <v>4.5029406937179912</v>
          </cell>
          <cell r="M45">
            <v>4.0786070344439063</v>
          </cell>
          <cell r="N45">
            <v>3.5919834720533679</v>
          </cell>
          <cell r="O45">
            <v>3.0400934926407626</v>
          </cell>
          <cell r="P45">
            <v>2.3018670718031324</v>
          </cell>
          <cell r="Q45">
            <v>2.1321468422073435</v>
          </cell>
          <cell r="R45">
            <v>1.9771504564110642</v>
          </cell>
          <cell r="S45">
            <v>1.8096072137015302</v>
          </cell>
          <cell r="T45">
            <v>1.9023478055732992</v>
          </cell>
          <cell r="U45">
            <v>2.0129777404511922</v>
          </cell>
          <cell r="V45">
            <v>2.304026079874093</v>
          </cell>
          <cell r="W45">
            <v>2.7992417645016405</v>
          </cell>
          <cell r="X45">
            <v>3.0682339807477179</v>
          </cell>
          <cell r="Y45">
            <v>2.7441690138981158</v>
          </cell>
          <cell r="Z45">
            <v>2.8046561391012603</v>
          </cell>
          <cell r="AA45">
            <v>2.7282838662201567</v>
          </cell>
          <cell r="AB45">
            <v>2.4959637785038216</v>
          </cell>
          <cell r="AC45">
            <v>2.4392052334479857</v>
          </cell>
          <cell r="AD45">
            <v>2.3386950979959957</v>
          </cell>
          <cell r="AE45">
            <v>2.3103955399373803</v>
          </cell>
        </row>
        <row r="46">
          <cell r="G46" t="str">
            <v>RegionAssemblyNew</v>
          </cell>
          <cell r="H46" t="str">
            <v>Com</v>
          </cell>
          <cell r="I46" t="str">
            <v>Assembly</v>
          </cell>
          <cell r="J46" t="str">
            <v>New</v>
          </cell>
          <cell r="K46" t="str">
            <v>Millions SqFt</v>
          </cell>
          <cell r="L46">
            <v>3.1854829351393543</v>
          </cell>
          <cell r="M46">
            <v>3.1699057451518957</v>
          </cell>
          <cell r="N46">
            <v>2.2628528186826316</v>
          </cell>
          <cell r="O46">
            <v>2.6023617076700645</v>
          </cell>
          <cell r="P46">
            <v>2.2919684786454506</v>
          </cell>
          <cell r="Q46">
            <v>2.1556450092355899</v>
          </cell>
          <cell r="R46">
            <v>1.4820394508668711</v>
          </cell>
          <cell r="S46">
            <v>1.5603361472368396</v>
          </cell>
          <cell r="T46">
            <v>2.3546097038898557</v>
          </cell>
          <cell r="U46">
            <v>3.2740386396924066</v>
          </cell>
          <cell r="V46">
            <v>3.6241751874536021</v>
          </cell>
          <cell r="W46">
            <v>4.4420137300219826</v>
          </cell>
          <cell r="X46">
            <v>5.8224273473135861</v>
          </cell>
          <cell r="Y46">
            <v>6.4604400946422142</v>
          </cell>
          <cell r="Z46">
            <v>6.9014803298142597</v>
          </cell>
          <cell r="AA46">
            <v>6.748515751490312</v>
          </cell>
          <cell r="AB46">
            <v>6.4364694734288266</v>
          </cell>
          <cell r="AC46">
            <v>6.3053235195290611</v>
          </cell>
          <cell r="AD46">
            <v>6.2236620394663484</v>
          </cell>
          <cell r="AE46">
            <v>6.0386522880717726</v>
          </cell>
        </row>
        <row r="47">
          <cell r="G47" t="str">
            <v>RegionOtherNew</v>
          </cell>
          <cell r="H47" t="str">
            <v>Com</v>
          </cell>
          <cell r="I47" t="str">
            <v>Other</v>
          </cell>
          <cell r="J47" t="str">
            <v>New</v>
          </cell>
          <cell r="K47" t="str">
            <v>Millions SqFt</v>
          </cell>
          <cell r="L47">
            <v>12.863107129152304</v>
          </cell>
          <cell r="M47">
            <v>10.7220378193485</v>
          </cell>
          <cell r="N47">
            <v>10.142128438066296</v>
          </cell>
          <cell r="O47">
            <v>9.4611923499879236</v>
          </cell>
          <cell r="P47">
            <v>7.3638556881373223</v>
          </cell>
          <cell r="Q47">
            <v>8.1591439254269407</v>
          </cell>
          <cell r="R47">
            <v>7.9603673258815011</v>
          </cell>
          <cell r="S47">
            <v>8.6026166911432824</v>
          </cell>
          <cell r="T47">
            <v>9.3207800366095146</v>
          </cell>
          <cell r="U47">
            <v>9.0572786632714859</v>
          </cell>
          <cell r="V47">
            <v>10.184423730877143</v>
          </cell>
          <cell r="W47">
            <v>10.787657533789663</v>
          </cell>
          <cell r="X47">
            <v>11.005378574708409</v>
          </cell>
          <cell r="Y47">
            <v>10.267063981307951</v>
          </cell>
          <cell r="Z47">
            <v>11.027475862918971</v>
          </cell>
          <cell r="AA47">
            <v>9.9609233822623686</v>
          </cell>
          <cell r="AB47">
            <v>10.340047869658916</v>
          </cell>
          <cell r="AC47">
            <v>9.8383849729989699</v>
          </cell>
          <cell r="AD47">
            <v>9.3282989614436094</v>
          </cell>
          <cell r="AE47">
            <v>9.0355729282982153</v>
          </cell>
        </row>
        <row r="48">
          <cell r="G48" t="str">
            <v>RegionLarge OffStock 2016</v>
          </cell>
          <cell r="H48" t="str">
            <v>Com</v>
          </cell>
          <cell r="I48" t="str">
            <v>Large Off</v>
          </cell>
          <cell r="J48" t="str">
            <v>Stock 2016</v>
          </cell>
          <cell r="K48" t="str">
            <v>Millions SqFt</v>
          </cell>
          <cell r="L48">
            <v>380.08828477966154</v>
          </cell>
          <cell r="M48">
            <v>378.94801992532251</v>
          </cell>
          <cell r="N48">
            <v>377.81117586554655</v>
          </cell>
          <cell r="O48">
            <v>376.67774233794995</v>
          </cell>
          <cell r="P48">
            <v>375.54770911093607</v>
          </cell>
          <cell r="Q48">
            <v>374.42106598360328</v>
          </cell>
          <cell r="R48">
            <v>373.29780278565244</v>
          </cell>
          <cell r="S48">
            <v>372.17790937729552</v>
          </cell>
          <cell r="T48">
            <v>371.06137564916361</v>
          </cell>
          <cell r="U48">
            <v>369.94819152221612</v>
          </cell>
          <cell r="V48">
            <v>368.83834694764948</v>
          </cell>
          <cell r="W48">
            <v>367.73183190680658</v>
          </cell>
          <cell r="X48">
            <v>366.62863641108612</v>
          </cell>
          <cell r="Y48">
            <v>365.52875050185287</v>
          </cell>
          <cell r="Z48">
            <v>364.43216425034728</v>
          </cell>
          <cell r="AA48">
            <v>363.33886775759629</v>
          </cell>
          <cell r="AB48">
            <v>362.24885115432346</v>
          </cell>
          <cell r="AC48">
            <v>361.16210460086046</v>
          </cell>
          <cell r="AD48">
            <v>360.07861828705791</v>
          </cell>
          <cell r="AE48">
            <v>358.99838243219671</v>
          </cell>
        </row>
        <row r="49">
          <cell r="G49" t="str">
            <v>RegionMedium OffStock 2016</v>
          </cell>
          <cell r="H49" t="str">
            <v>Com</v>
          </cell>
          <cell r="I49" t="str">
            <v>Medium Off</v>
          </cell>
          <cell r="J49" t="str">
            <v>Stock 2016</v>
          </cell>
          <cell r="K49" t="str">
            <v>Millions SqFt</v>
          </cell>
          <cell r="L49">
            <v>190.73687138333023</v>
          </cell>
          <cell r="M49">
            <v>190.16466076918024</v>
          </cell>
          <cell r="N49">
            <v>189.59416678687271</v>
          </cell>
          <cell r="O49">
            <v>189.02538428651209</v>
          </cell>
          <cell r="P49">
            <v>188.45830813365254</v>
          </cell>
          <cell r="Q49">
            <v>187.89293320925157</v>
          </cell>
          <cell r="R49">
            <v>187.32925440962381</v>
          </cell>
          <cell r="S49">
            <v>186.76726664639497</v>
          </cell>
          <cell r="T49">
            <v>186.20696484645578</v>
          </cell>
          <cell r="U49">
            <v>185.64834395191642</v>
          </cell>
          <cell r="V49">
            <v>185.09139892006067</v>
          </cell>
          <cell r="W49">
            <v>184.5361247233005</v>
          </cell>
          <cell r="X49">
            <v>183.98251634913058</v>
          </cell>
          <cell r="Y49">
            <v>183.43056880008319</v>
          </cell>
          <cell r="Z49">
            <v>182.88027709368296</v>
          </cell>
          <cell r="AA49">
            <v>182.33163626240187</v>
          </cell>
          <cell r="AB49">
            <v>181.78464135361469</v>
          </cell>
          <cell r="AC49">
            <v>181.23928742955383</v>
          </cell>
          <cell r="AD49">
            <v>180.69556956726515</v>
          </cell>
          <cell r="AE49">
            <v>180.15348285856339</v>
          </cell>
        </row>
        <row r="50">
          <cell r="G50" t="str">
            <v>RegionSmall OffStock 2016</v>
          </cell>
          <cell r="H50" t="str">
            <v>Com</v>
          </cell>
          <cell r="I50" t="str">
            <v>Small Off</v>
          </cell>
          <cell r="J50" t="str">
            <v>Stock 2016</v>
          </cell>
          <cell r="K50" t="str">
            <v>Millions SqFt</v>
          </cell>
          <cell r="L50">
            <v>184.0913556049378</v>
          </cell>
          <cell r="M50">
            <v>183.53908153812301</v>
          </cell>
          <cell r="N50">
            <v>182.98846429350866</v>
          </cell>
          <cell r="O50">
            <v>182.43949890062811</v>
          </cell>
          <cell r="P50">
            <v>181.89218040392623</v>
          </cell>
          <cell r="Q50">
            <v>181.34650386271446</v>
          </cell>
          <cell r="R50">
            <v>180.80246435112633</v>
          </cell>
          <cell r="S50">
            <v>180.26005695807294</v>
          </cell>
          <cell r="T50">
            <v>179.71927678719871</v>
          </cell>
          <cell r="U50">
            <v>179.18011895683713</v>
          </cell>
          <cell r="V50">
            <v>178.64257859996661</v>
          </cell>
          <cell r="W50">
            <v>178.10665086416668</v>
          </cell>
          <cell r="X50">
            <v>177.57233091157423</v>
          </cell>
          <cell r="Y50">
            <v>177.03961391883951</v>
          </cell>
          <cell r="Z50">
            <v>176.50849507708296</v>
          </cell>
          <cell r="AA50">
            <v>175.97896959185172</v>
          </cell>
          <cell r="AB50">
            <v>175.45103268307616</v>
          </cell>
          <cell r="AC50">
            <v>174.92467958502692</v>
          </cell>
          <cell r="AD50">
            <v>174.39990554627184</v>
          </cell>
          <cell r="AE50">
            <v>173.87670582963304</v>
          </cell>
        </row>
        <row r="51">
          <cell r="G51" t="str">
            <v>RegionXLarge RetStock 2016</v>
          </cell>
          <cell r="H51" t="str">
            <v>Com</v>
          </cell>
          <cell r="I51" t="str">
            <v>XLarge Ret</v>
          </cell>
          <cell r="J51" t="str">
            <v>Stock 2016</v>
          </cell>
          <cell r="K51" t="str">
            <v>Millions SqFt</v>
          </cell>
          <cell r="L51">
            <v>138.35734062238015</v>
          </cell>
          <cell r="M51">
            <v>137.7208968555172</v>
          </cell>
          <cell r="N51">
            <v>137.08738072998179</v>
          </cell>
          <cell r="O51">
            <v>136.45677877862389</v>
          </cell>
          <cell r="P51">
            <v>135.8290775962422</v>
          </cell>
          <cell r="Q51">
            <v>135.20426383929947</v>
          </cell>
          <cell r="R51">
            <v>134.5823242256387</v>
          </cell>
          <cell r="S51">
            <v>133.96324553420075</v>
          </cell>
          <cell r="T51">
            <v>133.34701460474344</v>
          </cell>
          <cell r="U51">
            <v>132.73361833756161</v>
          </cell>
          <cell r="V51">
            <v>132.12304369320884</v>
          </cell>
          <cell r="W51">
            <v>131.51527769222005</v>
          </cell>
          <cell r="X51">
            <v>130.91030741483584</v>
          </cell>
          <cell r="Y51">
            <v>130.3081200007276</v>
          </cell>
          <cell r="Z51">
            <v>129.70870264872423</v>
          </cell>
          <cell r="AA51">
            <v>129.11204261654012</v>
          </cell>
          <cell r="AB51">
            <v>128.51812722050403</v>
          </cell>
          <cell r="AC51">
            <v>127.92694383528971</v>
          </cell>
          <cell r="AD51">
            <v>127.33847989364737</v>
          </cell>
          <cell r="AE51">
            <v>126.75272288613657</v>
          </cell>
        </row>
        <row r="52">
          <cell r="G52" t="str">
            <v>RegionLarge RetStock 2016</v>
          </cell>
          <cell r="H52" t="str">
            <v>Com</v>
          </cell>
          <cell r="I52" t="str">
            <v>Large Ret</v>
          </cell>
          <cell r="J52" t="str">
            <v>Stock 2016</v>
          </cell>
          <cell r="K52" t="str">
            <v>Millions SqFt</v>
          </cell>
          <cell r="L52">
            <v>208.9574509880029</v>
          </cell>
          <cell r="M52">
            <v>207.99624671345808</v>
          </cell>
          <cell r="N52">
            <v>207.03946397857615</v>
          </cell>
          <cell r="O52">
            <v>206.0870824442747</v>
          </cell>
          <cell r="P52">
            <v>205.13908186503102</v>
          </cell>
          <cell r="Q52">
            <v>204.1954420884519</v>
          </cell>
          <cell r="R52">
            <v>203.25614305484498</v>
          </cell>
          <cell r="S52">
            <v>202.32116479679266</v>
          </cell>
          <cell r="T52">
            <v>201.3904874387274</v>
          </cell>
          <cell r="U52">
            <v>200.46409119650929</v>
          </cell>
          <cell r="V52">
            <v>199.54195637700533</v>
          </cell>
          <cell r="W52">
            <v>198.62406337767112</v>
          </cell>
          <cell r="X52">
            <v>197.71039268613379</v>
          </cell>
          <cell r="Y52">
            <v>196.8009248797776</v>
          </cell>
          <cell r="Z52">
            <v>195.8956406253306</v>
          </cell>
          <cell r="AA52">
            <v>194.99452067845405</v>
          </cell>
          <cell r="AB52">
            <v>194.09754588333314</v>
          </cell>
          <cell r="AC52">
            <v>193.20469717226982</v>
          </cell>
          <cell r="AD52">
            <v>192.31595556527733</v>
          </cell>
          <cell r="AE52">
            <v>191.43130216967708</v>
          </cell>
        </row>
        <row r="53">
          <cell r="G53" t="str">
            <v>RegionMedium RetStock 2016</v>
          </cell>
          <cell r="H53" t="str">
            <v>Com</v>
          </cell>
          <cell r="I53" t="str">
            <v>Medium Ret</v>
          </cell>
          <cell r="J53" t="str">
            <v>Stock 2016</v>
          </cell>
          <cell r="K53" t="str">
            <v>Millions SqFt</v>
          </cell>
          <cell r="L53">
            <v>97.115689913224898</v>
          </cell>
          <cell r="M53">
            <v>96.668957739624062</v>
          </cell>
          <cell r="N53">
            <v>96.224280534021787</v>
          </cell>
          <cell r="O53">
            <v>95.781648843565293</v>
          </cell>
          <cell r="P53">
            <v>95.34105325888487</v>
          </cell>
          <cell r="Q53">
            <v>94.902484413894001</v>
          </cell>
          <cell r="R53">
            <v>94.465932985590086</v>
          </cell>
          <cell r="S53">
            <v>94.031389693856369</v>
          </cell>
          <cell r="T53">
            <v>93.598845301264618</v>
          </cell>
          <cell r="U53">
            <v>93.168290612878806</v>
          </cell>
          <cell r="V53">
            <v>92.739716476059556</v>
          </cell>
          <cell r="W53">
            <v>92.313113780269674</v>
          </cell>
          <cell r="X53">
            <v>91.888473456880433</v>
          </cell>
          <cell r="Y53">
            <v>91.465786478978771</v>
          </cell>
          <cell r="Z53">
            <v>91.045043861175472</v>
          </cell>
          <cell r="AA53">
            <v>90.626236659414062</v>
          </cell>
          <cell r="AB53">
            <v>90.209355970780734</v>
          </cell>
          <cell r="AC53">
            <v>89.794392933315152</v>
          </cell>
          <cell r="AD53">
            <v>89.381338725821905</v>
          </cell>
          <cell r="AE53">
            <v>88.97018456768312</v>
          </cell>
        </row>
        <row r="54">
          <cell r="G54" t="str">
            <v>RegionSmall RetStock 2016</v>
          </cell>
          <cell r="H54" t="str">
            <v>Com</v>
          </cell>
          <cell r="I54" t="str">
            <v>Small Ret</v>
          </cell>
          <cell r="J54" t="str">
            <v>Stock 2016</v>
          </cell>
          <cell r="K54" t="str">
            <v>Millions SqFt</v>
          </cell>
          <cell r="L54">
            <v>109.47966092768364</v>
          </cell>
          <cell r="M54">
            <v>108.97605448741629</v>
          </cell>
          <cell r="N54">
            <v>108.47476463677417</v>
          </cell>
          <cell r="O54">
            <v>107.975780719445</v>
          </cell>
          <cell r="P54">
            <v>107.47909212813555</v>
          </cell>
          <cell r="Q54">
            <v>106.98468830434612</v>
          </cell>
          <cell r="R54">
            <v>106.49255873814613</v>
          </cell>
          <cell r="S54">
            <v>106.00269296795065</v>
          </cell>
          <cell r="T54">
            <v>105.51508058029808</v>
          </cell>
          <cell r="U54">
            <v>105.0297112096287</v>
          </cell>
          <cell r="V54">
            <v>104.54657453806439</v>
          </cell>
          <cell r="W54">
            <v>104.0656602951893</v>
          </cell>
          <cell r="X54">
            <v>103.58695825783141</v>
          </cell>
          <cell r="Y54">
            <v>103.11045824984539</v>
          </cell>
          <cell r="Z54">
            <v>102.6361501418961</v>
          </cell>
          <cell r="AA54">
            <v>102.16402385124337</v>
          </cell>
          <cell r="AB54">
            <v>101.69406934152764</v>
          </cell>
          <cell r="AC54">
            <v>101.2262766225566</v>
          </cell>
          <cell r="AD54">
            <v>100.76063575009285</v>
          </cell>
          <cell r="AE54">
            <v>100.29713682564241</v>
          </cell>
        </row>
        <row r="55">
          <cell r="G55" t="str">
            <v>RegionSchool K-12Stock 2016</v>
          </cell>
          <cell r="H55" t="str">
            <v>Com</v>
          </cell>
          <cell r="I55" t="str">
            <v>School K-12</v>
          </cell>
          <cell r="J55" t="str">
            <v>Stock 2016</v>
          </cell>
          <cell r="K55" t="str">
            <v>Millions SqFt</v>
          </cell>
          <cell r="L55">
            <v>241.11763975818661</v>
          </cell>
          <cell r="M55">
            <v>240.12905743517803</v>
          </cell>
          <cell r="N55">
            <v>239.14452829969383</v>
          </cell>
          <cell r="O55">
            <v>238.16403573366509</v>
          </cell>
          <cell r="P55">
            <v>237.18756318715711</v>
          </cell>
          <cell r="Q55">
            <v>236.21509417808971</v>
          </cell>
          <cell r="R55">
            <v>235.24661229195956</v>
          </cell>
          <cell r="S55">
            <v>234.28210118156252</v>
          </cell>
          <cell r="T55">
            <v>233.32154456671807</v>
          </cell>
          <cell r="U55">
            <v>232.36492623399457</v>
          </cell>
          <cell r="V55">
            <v>231.41223003643518</v>
          </cell>
          <cell r="W55">
            <v>230.46343989328579</v>
          </cell>
          <cell r="X55">
            <v>229.51853978972335</v>
          </cell>
          <cell r="Y55">
            <v>228.57751377658545</v>
          </cell>
          <cell r="Z55">
            <v>227.64034597010144</v>
          </cell>
          <cell r="AA55">
            <v>226.70702055162403</v>
          </cell>
          <cell r="AB55">
            <v>225.77752176736234</v>
          </cell>
          <cell r="AC55">
            <v>224.85183392811618</v>
          </cell>
          <cell r="AD55">
            <v>223.92994140901092</v>
          </cell>
          <cell r="AE55">
            <v>223.01182864923393</v>
          </cell>
        </row>
        <row r="56">
          <cell r="G56" t="str">
            <v>RegionUniversityStock 2016</v>
          </cell>
          <cell r="H56" t="str">
            <v>Com</v>
          </cell>
          <cell r="I56" t="str">
            <v>University</v>
          </cell>
          <cell r="J56" t="str">
            <v>Stock 2016</v>
          </cell>
          <cell r="K56" t="str">
            <v>Millions SqFt</v>
          </cell>
          <cell r="L56">
            <v>122.15340627232256</v>
          </cell>
          <cell r="M56">
            <v>121.65257730660603</v>
          </cell>
          <cell r="N56">
            <v>121.15380173964894</v>
          </cell>
          <cell r="O56">
            <v>120.65707115251638</v>
          </cell>
          <cell r="P56">
            <v>120.16237716079107</v>
          </cell>
          <cell r="Q56">
            <v>119.66971141443182</v>
          </cell>
          <cell r="R56">
            <v>119.17906559763266</v>
          </cell>
          <cell r="S56">
            <v>118.69043142868237</v>
          </cell>
          <cell r="T56">
            <v>118.20380065982476</v>
          </cell>
          <cell r="U56">
            <v>117.71916507711948</v>
          </cell>
          <cell r="V56">
            <v>117.23651650030328</v>
          </cell>
          <cell r="W56">
            <v>116.75584678265207</v>
          </cell>
          <cell r="X56">
            <v>116.27714781084319</v>
          </cell>
          <cell r="Y56">
            <v>115.80041150481873</v>
          </cell>
          <cell r="Z56">
            <v>115.32562981764897</v>
          </cell>
          <cell r="AA56">
            <v>114.8527947353966</v>
          </cell>
          <cell r="AB56">
            <v>114.38189827698147</v>
          </cell>
          <cell r="AC56">
            <v>113.91293249404585</v>
          </cell>
          <cell r="AD56">
            <v>113.44588947082025</v>
          </cell>
          <cell r="AE56">
            <v>112.98076132398991</v>
          </cell>
        </row>
        <row r="57">
          <cell r="G57" t="str">
            <v>RegionWarehouseStock 2016</v>
          </cell>
          <cell r="H57" t="str">
            <v>Com</v>
          </cell>
          <cell r="I57" t="str">
            <v>Warehouse</v>
          </cell>
          <cell r="J57" t="str">
            <v>Stock 2016</v>
          </cell>
          <cell r="K57" t="str">
            <v>Millions SqFt</v>
          </cell>
          <cell r="L57">
            <v>448.69829599576161</v>
          </cell>
          <cell r="M57">
            <v>447.03811230057732</v>
          </cell>
          <cell r="N57">
            <v>445.3840712850652</v>
          </cell>
          <cell r="O57">
            <v>443.73615022131042</v>
          </cell>
          <cell r="P57">
            <v>442.09432646549152</v>
          </cell>
          <cell r="Q57">
            <v>440.45857745756916</v>
          </cell>
          <cell r="R57">
            <v>438.82888072097626</v>
          </cell>
          <cell r="S57">
            <v>437.2052138623086</v>
          </cell>
          <cell r="T57">
            <v>435.58755457101802</v>
          </cell>
          <cell r="U57">
            <v>433.97588061910528</v>
          </cell>
          <cell r="V57">
            <v>432.37016986081449</v>
          </cell>
          <cell r="W57">
            <v>430.77040023232951</v>
          </cell>
          <cell r="X57">
            <v>429.17654975146979</v>
          </cell>
          <cell r="Y57">
            <v>427.58859651738936</v>
          </cell>
          <cell r="Z57">
            <v>426.00651871027503</v>
          </cell>
          <cell r="AA57">
            <v>424.43029459104702</v>
          </cell>
          <cell r="AB57">
            <v>422.85990250106011</v>
          </cell>
          <cell r="AC57">
            <v>421.2953208618062</v>
          </cell>
          <cell r="AD57">
            <v>419.73652817461749</v>
          </cell>
          <cell r="AE57">
            <v>418.18350302037135</v>
          </cell>
        </row>
        <row r="58">
          <cell r="G58" t="str">
            <v>RegionSupermarketStock 2016</v>
          </cell>
          <cell r="H58" t="str">
            <v>Com</v>
          </cell>
          <cell r="I58" t="str">
            <v>Supermarket</v>
          </cell>
          <cell r="J58" t="str">
            <v>Stock 2016</v>
          </cell>
          <cell r="K58" t="str">
            <v>Millions SqFt</v>
          </cell>
          <cell r="L58">
            <v>53.720939527021244</v>
          </cell>
          <cell r="M58">
            <v>53.237451071278059</v>
          </cell>
          <cell r="N58">
            <v>52.758314011636557</v>
          </cell>
          <cell r="O58">
            <v>52.283489185531828</v>
          </cell>
          <cell r="P58">
            <v>51.812937782862043</v>
          </cell>
          <cell r="Q58">
            <v>51.346621342816277</v>
          </cell>
          <cell r="R58">
            <v>50.884501750730934</v>
          </cell>
          <cell r="S58">
            <v>50.426541234974358</v>
          </cell>
          <cell r="T58">
            <v>49.97270236385959</v>
          </cell>
          <cell r="U58">
            <v>49.522948042584851</v>
          </cell>
          <cell r="V58">
            <v>49.077241510201581</v>
          </cell>
          <cell r="W58">
            <v>48.635546336609778</v>
          </cell>
          <cell r="X58">
            <v>48.197826419580288</v>
          </cell>
          <cell r="Y58">
            <v>47.76404598180406</v>
          </cell>
          <cell r="Z58">
            <v>47.33416956796782</v>
          </cell>
          <cell r="AA58">
            <v>46.908162041856116</v>
          </cell>
          <cell r="AB58">
            <v>46.485988583479411</v>
          </cell>
          <cell r="AC58">
            <v>46.067614686228097</v>
          </cell>
          <cell r="AD58">
            <v>45.653006154052044</v>
          </cell>
          <cell r="AE58">
            <v>45.242129098665572</v>
          </cell>
        </row>
        <row r="59">
          <cell r="G59" t="str">
            <v>RegionMiniMartStock 2016</v>
          </cell>
          <cell r="H59" t="str">
            <v>Com</v>
          </cell>
          <cell r="I59" t="str">
            <v>MiniMart</v>
          </cell>
          <cell r="J59" t="str">
            <v>Stock 2016</v>
          </cell>
          <cell r="K59" t="str">
            <v>Millions SqFt</v>
          </cell>
          <cell r="L59">
            <v>22.491017060912501</v>
          </cell>
          <cell r="M59">
            <v>22.384859460384995</v>
          </cell>
          <cell r="N59">
            <v>22.279202923731983</v>
          </cell>
          <cell r="O59">
            <v>22.174045085931969</v>
          </cell>
          <cell r="P59">
            <v>22.069383593126368</v>
          </cell>
          <cell r="Q59">
            <v>21.965216102566814</v>
          </cell>
          <cell r="R59">
            <v>21.8615402825627</v>
          </cell>
          <cell r="S59">
            <v>21.758353812429004</v>
          </cell>
          <cell r="T59">
            <v>21.655654382434342</v>
          </cell>
          <cell r="U59">
            <v>21.553439693749251</v>
          </cell>
          <cell r="V59">
            <v>21.451707458394754</v>
          </cell>
          <cell r="W59">
            <v>21.350455399191134</v>
          </cell>
          <cell r="X59">
            <v>21.249681249706953</v>
          </cell>
          <cell r="Y59">
            <v>21.149382754208336</v>
          </cell>
          <cell r="Z59">
            <v>21.049557667608472</v>
          </cell>
          <cell r="AA59">
            <v>20.950203755417366</v>
          </cell>
          <cell r="AB59">
            <v>20.851318793691796</v>
          </cell>
          <cell r="AC59">
            <v>20.75290056898557</v>
          </cell>
          <cell r="AD59">
            <v>20.654946878299963</v>
          </cell>
          <cell r="AE59">
            <v>20.557455529034385</v>
          </cell>
        </row>
        <row r="60">
          <cell r="G60" t="str">
            <v>RegionRestaurantStock 2016</v>
          </cell>
          <cell r="H60" t="str">
            <v>Com</v>
          </cell>
          <cell r="I60" t="str">
            <v>Restaurant</v>
          </cell>
          <cell r="J60" t="str">
            <v>Stock 2016</v>
          </cell>
          <cell r="K60" t="str">
            <v>Millions SqFt</v>
          </cell>
          <cell r="L60">
            <v>51.550857208753726</v>
          </cell>
          <cell r="M60">
            <v>51.307537162728408</v>
          </cell>
          <cell r="N60">
            <v>51.065365587320336</v>
          </cell>
          <cell r="O60">
            <v>50.824337061748189</v>
          </cell>
          <cell r="P60">
            <v>50.584446190816735</v>
          </cell>
          <cell r="Q60">
            <v>50.345687604796083</v>
          </cell>
          <cell r="R60">
            <v>50.108055959301453</v>
          </cell>
          <cell r="S60">
            <v>49.871545935173543</v>
          </cell>
          <cell r="T60">
            <v>49.636152238359529</v>
          </cell>
          <cell r="U60">
            <v>49.40186959979448</v>
          </cell>
          <cell r="V60">
            <v>49.168692775283453</v>
          </cell>
          <cell r="W60">
            <v>48.936616545384119</v>
          </cell>
          <cell r="X60">
            <v>48.705635715289908</v>
          </cell>
          <cell r="Y60">
            <v>48.475745114713739</v>
          </cell>
          <cell r="Z60">
            <v>48.246939597772297</v>
          </cell>
          <cell r="AA60">
            <v>48.019214042870807</v>
          </cell>
          <cell r="AB60">
            <v>47.792563352588466</v>
          </cell>
          <cell r="AC60">
            <v>47.56698245356425</v>
          </cell>
          <cell r="AD60">
            <v>47.342466296383435</v>
          </cell>
          <cell r="AE60">
            <v>47.119009855464505</v>
          </cell>
        </row>
        <row r="61">
          <cell r="G61" t="str">
            <v>RegionLodgingStock 2016</v>
          </cell>
          <cell r="H61" t="str">
            <v>Com</v>
          </cell>
          <cell r="I61" t="str">
            <v>Lodging</v>
          </cell>
          <cell r="J61" t="str">
            <v>Stock 2016</v>
          </cell>
          <cell r="K61" t="str">
            <v>Millions SqFt</v>
          </cell>
          <cell r="L61">
            <v>170.15189589049527</v>
          </cell>
          <cell r="M61">
            <v>169.74353134035809</v>
          </cell>
          <cell r="N61">
            <v>169.33614686514122</v>
          </cell>
          <cell r="O61">
            <v>168.92974011266489</v>
          </cell>
          <cell r="P61">
            <v>168.52430873639449</v>
          </cell>
          <cell r="Q61">
            <v>168.11985039542716</v>
          </cell>
          <cell r="R61">
            <v>167.71636275447813</v>
          </cell>
          <cell r="S61">
            <v>167.31384348386743</v>
          </cell>
          <cell r="T61">
            <v>166.91229025950614</v>
          </cell>
          <cell r="U61">
            <v>166.51170076288332</v>
          </cell>
          <cell r="V61">
            <v>166.11207268105238</v>
          </cell>
          <cell r="W61">
            <v>165.7134037066179</v>
          </cell>
          <cell r="X61">
            <v>165.31569153772202</v>
          </cell>
          <cell r="Y61">
            <v>164.91893387803151</v>
          </cell>
          <cell r="Z61">
            <v>164.52312843672422</v>
          </cell>
          <cell r="AA61">
            <v>164.12827292847609</v>
          </cell>
          <cell r="AB61">
            <v>163.73436507344778</v>
          </cell>
          <cell r="AC61">
            <v>163.3414025972715</v>
          </cell>
          <cell r="AD61">
            <v>162.94938323103807</v>
          </cell>
          <cell r="AE61">
            <v>162.55830471128357</v>
          </cell>
        </row>
        <row r="62">
          <cell r="G62" t="str">
            <v>RegionHospitalStock 2016</v>
          </cell>
          <cell r="H62" t="str">
            <v>Com</v>
          </cell>
          <cell r="I62" t="str">
            <v>Hospital</v>
          </cell>
          <cell r="J62" t="str">
            <v>Stock 2016</v>
          </cell>
          <cell r="K62" t="str">
            <v>Millions SqFt</v>
          </cell>
          <cell r="L62">
            <v>105.02947953487826</v>
          </cell>
          <cell r="M62">
            <v>104.80891762785501</v>
          </cell>
          <cell r="N62">
            <v>104.58881890083651</v>
          </cell>
          <cell r="O62">
            <v>104.36918238114475</v>
          </cell>
          <cell r="P62">
            <v>104.15000709814436</v>
          </cell>
          <cell r="Q62">
            <v>103.93129208323826</v>
          </cell>
          <cell r="R62">
            <v>103.71303636986346</v>
          </cell>
          <cell r="S62">
            <v>103.49523899348674</v>
          </cell>
          <cell r="T62">
            <v>103.27789899160042</v>
          </cell>
          <cell r="U62">
            <v>103.06101540371807</v>
          </cell>
          <cell r="V62">
            <v>102.84458727137024</v>
          </cell>
          <cell r="W62">
            <v>102.62861363810038</v>
          </cell>
          <cell r="X62">
            <v>102.41309354946036</v>
          </cell>
          <cell r="Y62">
            <v>102.19802605300649</v>
          </cell>
          <cell r="Z62">
            <v>101.98341019829519</v>
          </cell>
          <cell r="AA62">
            <v>101.76924503687877</v>
          </cell>
          <cell r="AB62">
            <v>101.55552962230132</v>
          </cell>
          <cell r="AC62">
            <v>101.3422630100945</v>
          </cell>
          <cell r="AD62">
            <v>101.1294442577733</v>
          </cell>
          <cell r="AE62">
            <v>100.91707242483197</v>
          </cell>
        </row>
        <row r="63">
          <cell r="G63" t="str">
            <v>RegionResidential CareStock 2016</v>
          </cell>
          <cell r="H63" t="str">
            <v>Com</v>
          </cell>
          <cell r="I63" t="str">
            <v>Residential Care</v>
          </cell>
          <cell r="J63" t="str">
            <v>Stock 2016</v>
          </cell>
          <cell r="K63" t="str">
            <v>Millions SqFt</v>
          </cell>
          <cell r="L63">
            <v>128.74820917277606</v>
          </cell>
          <cell r="M63">
            <v>128.43921347076139</v>
          </cell>
          <cell r="N63">
            <v>128.1309593584316</v>
          </cell>
          <cell r="O63">
            <v>127.82344505597135</v>
          </cell>
          <cell r="P63">
            <v>127.51666878783702</v>
          </cell>
          <cell r="Q63">
            <v>127.21062878274621</v>
          </cell>
          <cell r="R63">
            <v>126.90532327366765</v>
          </cell>
          <cell r="S63">
            <v>126.60075049781085</v>
          </cell>
          <cell r="T63">
            <v>126.29690869661611</v>
          </cell>
          <cell r="U63">
            <v>125.99379611574425</v>
          </cell>
          <cell r="V63">
            <v>125.69141100506647</v>
          </cell>
          <cell r="W63">
            <v>125.3897516186543</v>
          </cell>
          <cell r="X63">
            <v>125.08881621476955</v>
          </cell>
          <cell r="Y63">
            <v>124.78860305585408</v>
          </cell>
          <cell r="Z63">
            <v>124.48911040852005</v>
          </cell>
          <cell r="AA63">
            <v>124.1903365435396</v>
          </cell>
          <cell r="AB63">
            <v>123.8922797358351</v>
          </cell>
          <cell r="AC63">
            <v>123.59493826446912</v>
          </cell>
          <cell r="AD63">
            <v>123.29831041263438</v>
          </cell>
          <cell r="AE63">
            <v>123.00239446764408</v>
          </cell>
        </row>
        <row r="64">
          <cell r="G64" t="str">
            <v>RegionAssemblyStock 2016</v>
          </cell>
          <cell r="H64" t="str">
            <v>Com</v>
          </cell>
          <cell r="I64" t="str">
            <v>Assembly</v>
          </cell>
          <cell r="J64" t="str">
            <v>Stock 2016</v>
          </cell>
          <cell r="K64" t="str">
            <v>Millions SqFt</v>
          </cell>
          <cell r="L64">
            <v>375.90224900649127</v>
          </cell>
          <cell r="M64">
            <v>374.21570091594884</v>
          </cell>
          <cell r="N64">
            <v>372.53671980450594</v>
          </cell>
          <cell r="O64">
            <v>370.86527172164978</v>
          </cell>
          <cell r="P64">
            <v>369.20132286919198</v>
          </cell>
          <cell r="Q64">
            <v>367.54483960058553</v>
          </cell>
          <cell r="R64">
            <v>365.89578842024423</v>
          </cell>
          <cell r="S64">
            <v>364.25413598286536</v>
          </cell>
          <cell r="T64">
            <v>362.6198490927556</v>
          </cell>
          <cell r="U64">
            <v>360.99289470315949</v>
          </cell>
          <cell r="V64">
            <v>359.37323991559134</v>
          </cell>
          <cell r="W64">
            <v>357.76085197917007</v>
          </cell>
          <cell r="X64">
            <v>356.15569828995689</v>
          </cell>
          <cell r="Y64">
            <v>354.55774639029596</v>
          </cell>
          <cell r="Z64">
            <v>352.96696396815821</v>
          </cell>
          <cell r="AA64">
            <v>351.38331885648773</v>
          </cell>
          <cell r="AB64">
            <v>349.80677903255156</v>
          </cell>
          <cell r="AC64">
            <v>348.23731261729228</v>
          </cell>
          <cell r="AD64">
            <v>346.67488787468267</v>
          </cell>
          <cell r="AE64">
            <v>345.11947321108494</v>
          </cell>
        </row>
        <row r="65">
          <cell r="G65" t="str">
            <v>RegionOtherStock 2016</v>
          </cell>
          <cell r="H65" t="str">
            <v>Com</v>
          </cell>
          <cell r="I65" t="str">
            <v>Other</v>
          </cell>
          <cell r="J65" t="str">
            <v>Stock 2016</v>
          </cell>
          <cell r="K65" t="str">
            <v>Millions SqFt</v>
          </cell>
          <cell r="L65">
            <v>342.64988330108076</v>
          </cell>
          <cell r="M65">
            <v>339.56603435137106</v>
          </cell>
          <cell r="N65">
            <v>336.50994004220871</v>
          </cell>
          <cell r="O65">
            <v>333.48135058182885</v>
          </cell>
          <cell r="P65">
            <v>330.48001842659238</v>
          </cell>
          <cell r="Q65">
            <v>327.50569826075304</v>
          </cell>
          <cell r="R65">
            <v>324.55814697640625</v>
          </cell>
          <cell r="S65">
            <v>321.63712365361863</v>
          </cell>
          <cell r="T65">
            <v>318.7423895407361</v>
          </cell>
          <cell r="U65">
            <v>315.87370803486942</v>
          </cell>
          <cell r="V65">
            <v>313.03084466255564</v>
          </cell>
          <cell r="W65">
            <v>310.21356706059254</v>
          </cell>
          <cell r="X65">
            <v>307.42164495704725</v>
          </cell>
          <cell r="Y65">
            <v>304.65485015243382</v>
          </cell>
          <cell r="Z65">
            <v>301.9129565010619</v>
          </cell>
          <cell r="AA65">
            <v>299.19573989255235</v>
          </cell>
          <cell r="AB65">
            <v>296.50297823351934</v>
          </cell>
          <cell r="AC65">
            <v>293.83445142941764</v>
          </cell>
          <cell r="AD65">
            <v>291.18994136655289</v>
          </cell>
          <cell r="AE65">
            <v>288.5692318942539</v>
          </cell>
        </row>
        <row r="66">
          <cell r="G66" t="str">
            <v>RegionIdahoStock</v>
          </cell>
          <cell r="H66" t="str">
            <v>Ag</v>
          </cell>
          <cell r="I66" t="str">
            <v>Idaho</v>
          </cell>
          <cell r="J66" t="str">
            <v>Stock</v>
          </cell>
          <cell r="K66" t="str">
            <v>% Growth</v>
          </cell>
          <cell r="L66">
            <v>0</v>
          </cell>
          <cell r="M66">
            <v>1.2504100211369894E-4</v>
          </cell>
          <cell r="N66">
            <v>1.7375879514796466E-4</v>
          </cell>
          <cell r="O66">
            <v>6.1210927779177624E-4</v>
          </cell>
          <cell r="P66">
            <v>8.8127487458086599E-4</v>
          </cell>
          <cell r="Q66">
            <v>1.1201972174019578E-3</v>
          </cell>
          <cell r="R66">
            <v>1.2717867360821197E-3</v>
          </cell>
          <cell r="S66">
            <v>1.4404642508513471E-3</v>
          </cell>
          <cell r="T66">
            <v>1.5874396385228723E-3</v>
          </cell>
          <cell r="U66">
            <v>1.7204636459112381E-3</v>
          </cell>
          <cell r="V66">
            <v>1.8289050040785739E-3</v>
          </cell>
          <cell r="W66">
            <v>1.9377539743383628E-3</v>
          </cell>
          <cell r="X66">
            <v>2.0316119038316116E-3</v>
          </cell>
          <cell r="Y66">
            <v>2.128079506222659E-3</v>
          </cell>
          <cell r="Z66">
            <v>2.2126572758413075E-3</v>
          </cell>
          <cell r="AA66">
            <v>2.2578225416429688E-3</v>
          </cell>
          <cell r="AB66">
            <v>2.3464540176612314E-3</v>
          </cell>
          <cell r="AC66">
            <v>2.414467009038601E-3</v>
          </cell>
          <cell r="AD66">
            <v>2.4848313911262653E-3</v>
          </cell>
          <cell r="AE66">
            <v>2.5344116000376449E-3</v>
          </cell>
        </row>
        <row r="67">
          <cell r="G67" t="str">
            <v>RegionMontanaStock</v>
          </cell>
          <cell r="H67" t="str">
            <v>Ag</v>
          </cell>
          <cell r="I67" t="str">
            <v>Montana</v>
          </cell>
          <cell r="J67" t="str">
            <v>Stock</v>
          </cell>
          <cell r="K67" t="str">
            <v>% Growth</v>
          </cell>
          <cell r="L67">
            <v>0</v>
          </cell>
          <cell r="M67">
            <v>1.0848242299839954E-2</v>
          </cell>
          <cell r="N67">
            <v>1.059267655252486E-2</v>
          </cell>
          <cell r="O67">
            <v>1.0752312089181865E-2</v>
          </cell>
          <cell r="P67">
            <v>1.075849831916186E-2</v>
          </cell>
          <cell r="Q67">
            <v>7.6567396067742733E-3</v>
          </cell>
          <cell r="R67">
            <v>7.6532068711881581E-3</v>
          </cell>
          <cell r="S67">
            <v>7.9235679867256659E-3</v>
          </cell>
          <cell r="T67">
            <v>8.1459053842477987E-3</v>
          </cell>
          <cell r="U67">
            <v>8.331284422267278E-3</v>
          </cell>
          <cell r="V67">
            <v>8.47135846405455E-3</v>
          </cell>
          <cell r="W67">
            <v>8.5938864965773454E-3</v>
          </cell>
          <cell r="X67">
            <v>8.6866032784890905E-3</v>
          </cell>
          <cell r="Y67">
            <v>8.7680800681235963E-3</v>
          </cell>
          <cell r="Z67">
            <v>8.8271867856936984E-3</v>
          </cell>
          <cell r="AA67">
            <v>8.8355566433926322E-3</v>
          </cell>
          <cell r="AB67">
            <v>8.8812025924713319E-3</v>
          </cell>
          <cell r="AC67">
            <v>8.8979055290069331E-3</v>
          </cell>
          <cell r="AD67">
            <v>8.9118787925779024E-3</v>
          </cell>
          <cell r="AE67">
            <v>8.9015256915168112E-3</v>
          </cell>
        </row>
        <row r="68">
          <cell r="G68" t="str">
            <v>RegionOregonStock</v>
          </cell>
          <cell r="H68" t="str">
            <v>Ag</v>
          </cell>
          <cell r="I68" t="str">
            <v>Oregon</v>
          </cell>
          <cell r="J68" t="str">
            <v>Stock</v>
          </cell>
          <cell r="K68" t="str">
            <v>% Growth</v>
          </cell>
          <cell r="L68">
            <v>0</v>
          </cell>
          <cell r="M68">
            <v>1.0110842680911804E-2</v>
          </cell>
          <cell r="N68">
            <v>1.0059217505089263E-2</v>
          </cell>
          <cell r="O68">
            <v>1.1176866051223918E-2</v>
          </cell>
          <cell r="P68">
            <v>1.9803102619340613E-2</v>
          </cell>
          <cell r="Q68">
            <v>1.2078828157499845E-2</v>
          </cell>
          <cell r="R68">
            <v>1.2074917420983849E-2</v>
          </cell>
          <cell r="S68">
            <v>1.2823009061012478E-2</v>
          </cell>
          <cell r="T68">
            <v>1.2064646132519813E-2</v>
          </cell>
          <cell r="U68">
            <v>2.1359830411811859E-2</v>
          </cell>
          <cell r="V68">
            <v>1.1864279678250279E-2</v>
          </cell>
          <cell r="W68">
            <v>1.1811806122028052E-2</v>
          </cell>
          <cell r="X68">
            <v>1.1060463245174785E-2</v>
          </cell>
          <cell r="Y68">
            <v>1.1689201211084101E-2</v>
          </cell>
          <cell r="Z68">
            <v>1.9623204602959039E-2</v>
          </cell>
          <cell r="AA68">
            <v>1.2054155221857031E-2</v>
          </cell>
          <cell r="AB68">
            <v>1.2615728823653952E-2</v>
          </cell>
          <cell r="AC68">
            <v>1.2496481187089379E-2</v>
          </cell>
          <cell r="AD68">
            <v>1.1753415892541448E-2</v>
          </cell>
          <cell r="AE68">
            <v>2.0946064887122692E-2</v>
          </cell>
        </row>
        <row r="69">
          <cell r="G69" t="str">
            <v>RegionWashingtonStock</v>
          </cell>
          <cell r="H69" t="str">
            <v>Ag</v>
          </cell>
          <cell r="I69" t="str">
            <v>Washington</v>
          </cell>
          <cell r="J69" t="str">
            <v>Stock</v>
          </cell>
          <cell r="K69" t="str">
            <v>% Growth</v>
          </cell>
          <cell r="L69">
            <v>0</v>
          </cell>
          <cell r="M69">
            <v>1.0662122206220235E-2</v>
          </cell>
          <cell r="N69">
            <v>1.0931258902780325E-2</v>
          </cell>
          <cell r="O69">
            <v>1.1173761515183053E-2</v>
          </cell>
          <cell r="P69">
            <v>1.811439906784525E-2</v>
          </cell>
          <cell r="Q69">
            <v>1.2399989211989764E-2</v>
          </cell>
          <cell r="R69">
            <v>1.1939862954954953E-2</v>
          </cell>
          <cell r="S69">
            <v>1.2288284859874222E-2</v>
          </cell>
          <cell r="T69">
            <v>1.1842226253476947E-2</v>
          </cell>
          <cell r="U69">
            <v>1.9682157833762929E-2</v>
          </cell>
          <cell r="V69">
            <v>1.1592234987503456E-2</v>
          </cell>
          <cell r="W69">
            <v>1.1147844023716795E-2</v>
          </cell>
          <cell r="X69">
            <v>1.1425985017752077E-2</v>
          </cell>
          <cell r="Y69">
            <v>1.0985810035676221E-2</v>
          </cell>
          <cell r="Z69">
            <v>1.7930228386922677E-2</v>
          </cell>
          <cell r="AA69">
            <v>1.1736355426763144E-2</v>
          </cell>
          <cell r="AB69">
            <v>1.1982095590114178E-2</v>
          </cell>
          <cell r="AC69">
            <v>1.1862624139313738E-2</v>
          </cell>
          <cell r="AD69">
            <v>1.1418033334772959E-2</v>
          </cell>
          <cell r="AE69">
            <v>1.8838157687553127E-2</v>
          </cell>
        </row>
        <row r="70">
          <cell r="G70" t="str">
            <v>RegionIdahoDairyStock</v>
          </cell>
          <cell r="H70" t="str">
            <v>Dairy</v>
          </cell>
          <cell r="I70" t="str">
            <v>IdahoDairy</v>
          </cell>
          <cell r="J70" t="str">
            <v>Stock</v>
          </cell>
          <cell r="K70" t="str">
            <v>1000lbs</v>
          </cell>
          <cell r="L70">
            <v>13629.012110609969</v>
          </cell>
          <cell r="M70">
            <v>13842.907114251881</v>
          </cell>
          <cell r="N70">
            <v>14023.216425344392</v>
          </cell>
          <cell r="O70">
            <v>14266.319353967396</v>
          </cell>
          <cell r="P70">
            <v>14513.683501515552</v>
          </cell>
          <cell r="Q70">
            <v>14784.738793280194</v>
          </cell>
          <cell r="R70">
            <v>15048.82150982591</v>
          </cell>
          <cell r="S70">
            <v>15351.081667959821</v>
          </cell>
          <cell r="T70">
            <v>15676.70161423125</v>
          </cell>
          <cell r="U70">
            <v>16022.910400199034</v>
          </cell>
          <cell r="V70">
            <v>16435.334001552066</v>
          </cell>
          <cell r="W70">
            <v>16796.9270935268</v>
          </cell>
          <cell r="X70">
            <v>17186.008838626629</v>
          </cell>
          <cell r="Y70">
            <v>17509.663776252026</v>
          </cell>
          <cell r="Z70">
            <v>17849.045518001847</v>
          </cell>
          <cell r="AA70">
            <v>18205.116228437721</v>
          </cell>
          <cell r="AB70">
            <v>18533.843580326749</v>
          </cell>
          <cell r="AC70">
            <v>18839.457555909743</v>
          </cell>
          <cell r="AD70">
            <v>19186.22471079613</v>
          </cell>
          <cell r="AE70">
            <v>19422.392838095242</v>
          </cell>
        </row>
        <row r="71">
          <cell r="G71" t="str">
            <v>RegionMontanaDairyStock</v>
          </cell>
          <cell r="H71" t="str">
            <v>Dairy</v>
          </cell>
          <cell r="I71" t="str">
            <v>MontanaDairy</v>
          </cell>
          <cell r="J71" t="str">
            <v>Stock</v>
          </cell>
          <cell r="K71" t="str">
            <v>1000lbs</v>
          </cell>
          <cell r="L71">
            <v>90.74529582059904</v>
          </cell>
          <cell r="M71">
            <v>90.898327903457215</v>
          </cell>
          <cell r="N71">
            <v>90.899562515809663</v>
          </cell>
          <cell r="O71">
            <v>91.013237267303055</v>
          </cell>
          <cell r="P71">
            <v>90.967755259326395</v>
          </cell>
          <cell r="Q71">
            <v>90.924506050749457</v>
          </cell>
          <cell r="R71">
            <v>91.025748037140048</v>
          </cell>
          <cell r="S71">
            <v>91.099301040678228</v>
          </cell>
          <cell r="T71">
            <v>90.915023147811965</v>
          </cell>
          <cell r="U71">
            <v>90.903023153329187</v>
          </cell>
          <cell r="V71">
            <v>90.903850245090197</v>
          </cell>
          <cell r="W71">
            <v>90.425722269176404</v>
          </cell>
          <cell r="X71">
            <v>90.371471553755299</v>
          </cell>
          <cell r="Y71">
            <v>90.264014484201496</v>
          </cell>
          <cell r="Z71">
            <v>90.097051493259059</v>
          </cell>
          <cell r="AA71">
            <v>89.896800203896433</v>
          </cell>
          <cell r="AB71">
            <v>89.896456479218287</v>
          </cell>
          <cell r="AC71">
            <v>89.606519803497406</v>
          </cell>
          <cell r="AD71">
            <v>89.325294250105614</v>
          </cell>
          <cell r="AE71">
            <v>89.328380794090677</v>
          </cell>
        </row>
        <row r="72">
          <cell r="G72" t="str">
            <v>RegionOregonDairyStock</v>
          </cell>
          <cell r="H72" t="str">
            <v>Dairy</v>
          </cell>
          <cell r="I72" t="str">
            <v>OregonDairy</v>
          </cell>
          <cell r="J72" t="str">
            <v>Stock</v>
          </cell>
          <cell r="K72" t="str">
            <v>1000lbs</v>
          </cell>
          <cell r="L72">
            <v>2744.180551622544</v>
          </cell>
          <cell r="M72">
            <v>2781.3253166710429</v>
          </cell>
          <cell r="N72">
            <v>2817.8028576592669</v>
          </cell>
          <cell r="O72">
            <v>2852.4466796581391</v>
          </cell>
          <cell r="P72">
            <v>2887.2703785501863</v>
          </cell>
          <cell r="Q72">
            <v>2923.2055190854799</v>
          </cell>
          <cell r="R72">
            <v>2963.8717110873577</v>
          </cell>
          <cell r="S72">
            <v>3007.9285968792492</v>
          </cell>
          <cell r="T72">
            <v>3054.4586648127197</v>
          </cell>
          <cell r="U72">
            <v>3103.2723514737127</v>
          </cell>
          <cell r="V72">
            <v>3155.2926430989965</v>
          </cell>
          <cell r="W72">
            <v>3205.2179835947745</v>
          </cell>
          <cell r="X72">
            <v>3255.0785902298294</v>
          </cell>
          <cell r="Y72">
            <v>3304.2085620815005</v>
          </cell>
          <cell r="Z72">
            <v>3359.7128554945239</v>
          </cell>
          <cell r="AA72">
            <v>3405.0605171911329</v>
          </cell>
          <cell r="AB72">
            <v>3454.1652559274162</v>
          </cell>
          <cell r="AC72">
            <v>3509.2005551615157</v>
          </cell>
          <cell r="AD72">
            <v>3557.2266817524842</v>
          </cell>
          <cell r="AE72">
            <v>3610.3576666465606</v>
          </cell>
        </row>
        <row r="73">
          <cell r="G73" t="str">
            <v>RegionWashingtonDairyStock</v>
          </cell>
          <cell r="H73" t="str">
            <v>Dairy</v>
          </cell>
          <cell r="I73" t="str">
            <v>WashingtonDairy</v>
          </cell>
          <cell r="J73" t="str">
            <v>Stock</v>
          </cell>
          <cell r="K73" t="str">
            <v>1000lbs</v>
          </cell>
          <cell r="L73">
            <v>6417.4166624736044</v>
          </cell>
          <cell r="M73">
            <v>6527.6845985495966</v>
          </cell>
          <cell r="N73">
            <v>6648.0748527559354</v>
          </cell>
          <cell r="O73">
            <v>6750.5768396680051</v>
          </cell>
          <cell r="P73">
            <v>6858.9947023924851</v>
          </cell>
          <cell r="Q73">
            <v>6950.9448303929594</v>
          </cell>
          <cell r="R73">
            <v>7066.5055116132971</v>
          </cell>
          <cell r="S73">
            <v>7154.1963866384513</v>
          </cell>
          <cell r="T73">
            <v>7260.5595150379595</v>
          </cell>
          <cell r="U73">
            <v>7382.1828771063319</v>
          </cell>
          <cell r="V73">
            <v>7515.612457778011</v>
          </cell>
          <cell r="W73">
            <v>7658.3815592644387</v>
          </cell>
          <cell r="X73">
            <v>7790.6041619373518</v>
          </cell>
          <cell r="Y73">
            <v>7925.9535611829233</v>
          </cell>
          <cell r="Z73">
            <v>8056.1594585167277</v>
          </cell>
          <cell r="AA73">
            <v>8212.3413257643278</v>
          </cell>
          <cell r="AB73">
            <v>8359.6360208598271</v>
          </cell>
          <cell r="AC73">
            <v>8487.3604780857568</v>
          </cell>
          <cell r="AD73">
            <v>8647.4216609802097</v>
          </cell>
          <cell r="AE73">
            <v>8766.8632794861296</v>
          </cell>
        </row>
        <row r="74">
          <cell r="G74" t="str">
            <v>RegionMechanical PulpStock</v>
          </cell>
          <cell r="H74" t="str">
            <v>Ind</v>
          </cell>
          <cell r="I74" t="str">
            <v>Mechanical Pulp</v>
          </cell>
          <cell r="J74" t="str">
            <v>Stock</v>
          </cell>
          <cell r="K74" t="str">
            <v>Consumption (MWh)</v>
          </cell>
          <cell r="L74">
            <v>3758422.9515033378</v>
          </cell>
          <cell r="M74">
            <v>3846371.717457301</v>
          </cell>
          <cell r="N74">
            <v>3968374.1915052147</v>
          </cell>
          <cell r="O74">
            <v>4090510.3824295267</v>
          </cell>
          <cell r="P74">
            <v>4250302.9154343279</v>
          </cell>
          <cell r="Q74">
            <v>4334033.2977658212</v>
          </cell>
          <cell r="R74">
            <v>4456327.439187984</v>
          </cell>
          <cell r="S74">
            <v>4578789.2711511394</v>
          </cell>
          <cell r="T74">
            <v>4701360.1942719091</v>
          </cell>
          <cell r="U74">
            <v>4824313.8733196864</v>
          </cell>
          <cell r="V74">
            <v>4947352.2681518989</v>
          </cell>
          <cell r="W74">
            <v>5070668.4941239785</v>
          </cell>
          <cell r="X74">
            <v>5241393.4127492504</v>
          </cell>
          <cell r="Y74">
            <v>5317320.3001071345</v>
          </cell>
          <cell r="Z74">
            <v>5440661.5619043242</v>
          </cell>
          <cell r="AA74">
            <v>5564018.2642552005</v>
          </cell>
          <cell r="AB74">
            <v>5739586.1964683067</v>
          </cell>
          <cell r="AC74">
            <v>5811280.9684790904</v>
          </cell>
          <cell r="AD74">
            <v>5935246.9976805374</v>
          </cell>
          <cell r="AE74">
            <v>6059032.0232603503</v>
          </cell>
        </row>
        <row r="75">
          <cell r="G75" t="str">
            <v>RegionKraft PulpStock</v>
          </cell>
          <cell r="H75" t="str">
            <v>Ind</v>
          </cell>
          <cell r="I75" t="str">
            <v>Kraft Pulp</v>
          </cell>
          <cell r="J75" t="str">
            <v>Stock</v>
          </cell>
          <cell r="K75" t="str">
            <v>Consumption (MWh)</v>
          </cell>
          <cell r="L75">
            <v>2773481.4382196674</v>
          </cell>
          <cell r="M75">
            <v>2819427.5750914654</v>
          </cell>
          <cell r="N75">
            <v>2890507.7097985409</v>
          </cell>
          <cell r="O75">
            <v>2962071.1114584161</v>
          </cell>
          <cell r="P75">
            <v>3059997.7868964532</v>
          </cell>
          <cell r="Q75">
            <v>3103655.7832492976</v>
          </cell>
          <cell r="R75">
            <v>3174966.0896720556</v>
          </cell>
          <cell r="S75">
            <v>3246510.2403896889</v>
          </cell>
          <cell r="T75">
            <v>3318080.388651574</v>
          </cell>
          <cell r="U75">
            <v>3389982.4618547466</v>
          </cell>
          <cell r="V75">
            <v>3462131.4738810235</v>
          </cell>
          <cell r="W75">
            <v>3534707.6510694856</v>
          </cell>
          <cell r="X75">
            <v>3640109.6347631621</v>
          </cell>
          <cell r="Y75">
            <v>3679903.4172538687</v>
          </cell>
          <cell r="Z75">
            <v>3752596.4740436999</v>
          </cell>
          <cell r="AA75">
            <v>3825294.7476344355</v>
          </cell>
          <cell r="AB75">
            <v>3934104.1351328893</v>
          </cell>
          <cell r="AC75">
            <v>3971456.2759534372</v>
          </cell>
          <cell r="AD75">
            <v>4044721.9040998006</v>
          </cell>
          <cell r="AE75">
            <v>4117951.8072271077</v>
          </cell>
        </row>
        <row r="76">
          <cell r="G76" t="str">
            <v>RegionPaperStock</v>
          </cell>
          <cell r="H76" t="str">
            <v>Ind</v>
          </cell>
          <cell r="I76" t="str">
            <v>Paper</v>
          </cell>
          <cell r="J76" t="str">
            <v>Stock</v>
          </cell>
          <cell r="K76" t="str">
            <v>Consumption (MWh)</v>
          </cell>
          <cell r="L76">
            <v>909695.70566164097</v>
          </cell>
          <cell r="M76">
            <v>929841.98736761883</v>
          </cell>
          <cell r="N76">
            <v>958296.9900283548</v>
          </cell>
          <cell r="O76">
            <v>986772.46541472664</v>
          </cell>
          <cell r="P76">
            <v>1024503.2482359634</v>
          </cell>
          <cell r="Q76">
            <v>1043814.269249864</v>
          </cell>
          <cell r="R76">
            <v>1072416.0473229263</v>
          </cell>
          <cell r="S76">
            <v>1101138.6289797227</v>
          </cell>
          <cell r="T76">
            <v>1129827.4252453854</v>
          </cell>
          <cell r="U76">
            <v>1158615.4096222189</v>
          </cell>
          <cell r="V76">
            <v>1187381.7412163604</v>
          </cell>
          <cell r="W76">
            <v>1216221.7351596826</v>
          </cell>
          <cell r="X76">
            <v>1256359.4314945252</v>
          </cell>
          <cell r="Y76">
            <v>1273754.7023949234</v>
          </cell>
          <cell r="Z76">
            <v>1302557.2241510332</v>
          </cell>
          <cell r="AA76">
            <v>1331330.2770174742</v>
          </cell>
          <cell r="AB76">
            <v>1372605.4069409962</v>
          </cell>
          <cell r="AC76">
            <v>1388979.5459728481</v>
          </cell>
          <cell r="AD76">
            <v>1417876.2653212347</v>
          </cell>
          <cell r="AE76">
            <v>1446660.9687985121</v>
          </cell>
        </row>
        <row r="77">
          <cell r="G77" t="str">
            <v>RegionFoundriesStock</v>
          </cell>
          <cell r="H77" t="str">
            <v>Ind</v>
          </cell>
          <cell r="I77" t="str">
            <v>Foundries</v>
          </cell>
          <cell r="J77" t="str">
            <v>Stock</v>
          </cell>
          <cell r="K77" t="str">
            <v>Consumption (MWh)</v>
          </cell>
          <cell r="L77">
            <v>2911780.7125423807</v>
          </cell>
          <cell r="M77">
            <v>2836711.9420544878</v>
          </cell>
          <cell r="N77">
            <v>2789583.7208478679</v>
          </cell>
          <cell r="O77">
            <v>2744161.1652043322</v>
          </cell>
          <cell r="P77">
            <v>2724138.9595719618</v>
          </cell>
          <cell r="Q77">
            <v>2657920.4757749322</v>
          </cell>
          <cell r="R77">
            <v>2617304.9227809869</v>
          </cell>
          <cell r="S77">
            <v>2577672.8738681655</v>
          </cell>
          <cell r="T77">
            <v>2539470.2769998731</v>
          </cell>
          <cell r="U77">
            <v>2502370.6800410077</v>
          </cell>
          <cell r="V77">
            <v>2466328.7382904179</v>
          </cell>
          <cell r="W77">
            <v>2431145.5854122876</v>
          </cell>
          <cell r="X77">
            <v>2419072.5388772879</v>
          </cell>
          <cell r="Y77">
            <v>2363410.6682392037</v>
          </cell>
          <cell r="Z77">
            <v>2330315.4302864787</v>
          </cell>
          <cell r="AA77">
            <v>2297818.1106687617</v>
          </cell>
          <cell r="AB77">
            <v>2286770.7986101452</v>
          </cell>
          <cell r="AC77">
            <v>2234701.6262630955</v>
          </cell>
          <cell r="AD77">
            <v>2204017.8086585626</v>
          </cell>
          <cell r="AE77">
            <v>2173546.4494459317</v>
          </cell>
        </row>
        <row r="78">
          <cell r="G78" t="str">
            <v>RegionFrozen FoodStock</v>
          </cell>
          <cell r="H78" t="str">
            <v>Ind</v>
          </cell>
          <cell r="I78" t="str">
            <v>Frozen Food</v>
          </cell>
          <cell r="J78" t="str">
            <v>Stock</v>
          </cell>
          <cell r="K78" t="str">
            <v>Consumption (MWh)</v>
          </cell>
          <cell r="L78">
            <v>1237117.9151862806</v>
          </cell>
          <cell r="M78">
            <v>1256265.8697824469</v>
          </cell>
          <cell r="N78">
            <v>1286638.141562406</v>
          </cell>
          <cell r="O78">
            <v>1317026.0249685342</v>
          </cell>
          <cell r="P78">
            <v>1359372.6119707115</v>
          </cell>
          <cell r="Q78">
            <v>1377450.5956346455</v>
          </cell>
          <cell r="R78">
            <v>1407752.7747509496</v>
          </cell>
          <cell r="S78">
            <v>1438031.0417962291</v>
          </cell>
          <cell r="T78">
            <v>1468359.9477337729</v>
          </cell>
          <cell r="U78">
            <v>1498806.1175902041</v>
          </cell>
          <cell r="V78">
            <v>1529247.5005361729</v>
          </cell>
          <cell r="W78">
            <v>1559755.0254088808</v>
          </cell>
          <cell r="X78">
            <v>1604695.7181381483</v>
          </cell>
          <cell r="Y78">
            <v>1620685.0488578391</v>
          </cell>
          <cell r="Z78">
            <v>1651120.4927678995</v>
          </cell>
          <cell r="AA78">
            <v>1681526.4060613776</v>
          </cell>
          <cell r="AB78">
            <v>1727706.9650814079</v>
          </cell>
          <cell r="AC78">
            <v>1742468.2976748645</v>
          </cell>
          <cell r="AD78">
            <v>1772999.536528415</v>
          </cell>
          <cell r="AE78">
            <v>1803423.3883706611</v>
          </cell>
        </row>
        <row r="79">
          <cell r="G79" t="str">
            <v>RegionOther FoodStock</v>
          </cell>
          <cell r="H79" t="str">
            <v>Ind</v>
          </cell>
          <cell r="I79" t="str">
            <v>Other Food</v>
          </cell>
          <cell r="J79" t="str">
            <v>Stock</v>
          </cell>
          <cell r="K79" t="str">
            <v>Consumption (MWh)</v>
          </cell>
          <cell r="L79">
            <v>2189215.7914933185</v>
          </cell>
          <cell r="M79">
            <v>2225714.4170001475</v>
          </cell>
          <cell r="N79">
            <v>2281801.3842795906</v>
          </cell>
          <cell r="O79">
            <v>2337878.4662610777</v>
          </cell>
          <cell r="P79">
            <v>2414859.5617400161</v>
          </cell>
          <cell r="Q79">
            <v>2449639.2617126312</v>
          </cell>
          <cell r="R79">
            <v>2505916.452109566</v>
          </cell>
          <cell r="S79">
            <v>2561919.8701418121</v>
          </cell>
          <cell r="T79">
            <v>2618248.9470964097</v>
          </cell>
          <cell r="U79">
            <v>2674706.0878431001</v>
          </cell>
          <cell r="V79">
            <v>2731406.8457201738</v>
          </cell>
          <cell r="W79">
            <v>2788145.294466868</v>
          </cell>
          <cell r="X79">
            <v>2870921.2322274465</v>
          </cell>
          <cell r="Y79">
            <v>2901825.3565548556</v>
          </cell>
          <cell r="Z79">
            <v>2958750.6188529818</v>
          </cell>
          <cell r="AA79">
            <v>3015584.6219987967</v>
          </cell>
          <cell r="AB79">
            <v>3100853.4167639203</v>
          </cell>
          <cell r="AC79">
            <v>3129759.8328607553</v>
          </cell>
          <cell r="AD79">
            <v>3187110.5829028329</v>
          </cell>
          <cell r="AE79">
            <v>3244229.8759716363</v>
          </cell>
        </row>
        <row r="80">
          <cell r="G80" t="str">
            <v>RegionWood - LumberStock</v>
          </cell>
          <cell r="H80" t="str">
            <v>Ind</v>
          </cell>
          <cell r="I80" t="str">
            <v>Wood - Lumber</v>
          </cell>
          <cell r="J80" t="str">
            <v>Stock</v>
          </cell>
          <cell r="K80" t="str">
            <v>Consumption (MWh)</v>
          </cell>
          <cell r="L80">
            <v>1161963.8217505382</v>
          </cell>
          <cell r="M80">
            <v>1117769.5487595289</v>
          </cell>
          <cell r="N80">
            <v>1084874.9921310821</v>
          </cell>
          <cell r="O80">
            <v>1052791.9192047431</v>
          </cell>
          <cell r="P80">
            <v>1030397.4491679214</v>
          </cell>
          <cell r="Q80">
            <v>990879.29279742646</v>
          </cell>
          <cell r="R80">
            <v>961065.17490868072</v>
          </cell>
          <cell r="S80">
            <v>931730.64036078285</v>
          </cell>
          <cell r="T80">
            <v>903080.08419384609</v>
          </cell>
          <cell r="U80">
            <v>874945.75211344392</v>
          </cell>
          <cell r="V80">
            <v>847310.7915088681</v>
          </cell>
          <cell r="W80">
            <v>820119.00687699113</v>
          </cell>
          <cell r="X80">
            <v>800618.32318729174</v>
          </cell>
          <cell r="Y80">
            <v>766954.27095195896</v>
          </cell>
          <cell r="Z80">
            <v>740908.22274123156</v>
          </cell>
          <cell r="AA80">
            <v>715106.45172531332</v>
          </cell>
          <cell r="AB80">
            <v>696028.08762583928</v>
          </cell>
          <cell r="AC80">
            <v>664509.97671853204</v>
          </cell>
          <cell r="AD80">
            <v>639621.04956848687</v>
          </cell>
          <cell r="AE80">
            <v>614946.99745740264</v>
          </cell>
        </row>
        <row r="81">
          <cell r="G81" t="str">
            <v>RegionWood - PanelStock</v>
          </cell>
          <cell r="H81" t="str">
            <v>Ind</v>
          </cell>
          <cell r="I81" t="str">
            <v>Wood - Panel</v>
          </cell>
          <cell r="J81" t="str">
            <v>Stock</v>
          </cell>
          <cell r="K81" t="str">
            <v>Consumption (MWh)</v>
          </cell>
          <cell r="L81">
            <v>551950.18982134352</v>
          </cell>
          <cell r="M81">
            <v>528731.18450453493</v>
          </cell>
          <cell r="N81">
            <v>510838.63702842174</v>
          </cell>
          <cell r="O81">
            <v>493229.56048375246</v>
          </cell>
          <cell r="P81">
            <v>480200.65450609016</v>
          </cell>
          <cell r="Q81">
            <v>458869.67437759304</v>
          </cell>
          <cell r="R81">
            <v>442034.77624590963</v>
          </cell>
          <cell r="S81">
            <v>425381.84725157876</v>
          </cell>
          <cell r="T81">
            <v>408945.79607863171</v>
          </cell>
          <cell r="U81">
            <v>392669.02882158436</v>
          </cell>
          <cell r="V81">
            <v>376527.17230508296</v>
          </cell>
          <cell r="W81">
            <v>360540.83558473963</v>
          </cell>
          <cell r="X81">
            <v>347793.23494737077</v>
          </cell>
          <cell r="Y81">
            <v>328864.0423583783</v>
          </cell>
          <cell r="Z81">
            <v>313174.70380282239</v>
          </cell>
          <cell r="AA81">
            <v>297578.74522290094</v>
          </cell>
          <cell r="AB81">
            <v>284693.91308797692</v>
          </cell>
          <cell r="AC81">
            <v>266695.50893493497</v>
          </cell>
          <cell r="AD81">
            <v>251377.16659093063</v>
          </cell>
          <cell r="AE81">
            <v>236121.41095945257</v>
          </cell>
        </row>
        <row r="82">
          <cell r="G82" t="str">
            <v>RegionWood - OtherStock</v>
          </cell>
          <cell r="H82" t="str">
            <v>Ind</v>
          </cell>
          <cell r="I82" t="str">
            <v>Wood - Other</v>
          </cell>
          <cell r="J82" t="str">
            <v>Stock</v>
          </cell>
          <cell r="K82" t="str">
            <v>Consumption (MWh)</v>
          </cell>
          <cell r="L82">
            <v>870727.85506649863</v>
          </cell>
          <cell r="M82">
            <v>839735.03037413268</v>
          </cell>
          <cell r="N82">
            <v>817265.57122340729</v>
          </cell>
          <cell r="O82">
            <v>795421.70406258584</v>
          </cell>
          <cell r="P82">
            <v>780923.07506947254</v>
          </cell>
          <cell r="Q82">
            <v>753146.51005964773</v>
          </cell>
          <cell r="R82">
            <v>732820.97518292943</v>
          </cell>
          <cell r="S82">
            <v>712886.70561548509</v>
          </cell>
          <cell r="T82">
            <v>693400.22734523669</v>
          </cell>
          <cell r="U82">
            <v>674308.65124034672</v>
          </cell>
          <cell r="V82">
            <v>655534.95057322702</v>
          </cell>
          <cell r="W82">
            <v>637111.60144566628</v>
          </cell>
          <cell r="X82">
            <v>624630.92244216194</v>
          </cell>
          <cell r="Y82">
            <v>601103.42928001995</v>
          </cell>
          <cell r="Z82">
            <v>583449.38612394244</v>
          </cell>
          <cell r="AA82">
            <v>565997.72271073016</v>
          </cell>
          <cell r="AB82">
            <v>553823.1943250458</v>
          </cell>
          <cell r="AC82">
            <v>531773.35758124199</v>
          </cell>
          <cell r="AD82">
            <v>514944.55152005563</v>
          </cell>
          <cell r="AE82">
            <v>498286.13824063755</v>
          </cell>
        </row>
        <row r="83">
          <cell r="G83" t="str">
            <v>RegionSugarStock</v>
          </cell>
          <cell r="H83" t="str">
            <v>Ind</v>
          </cell>
          <cell r="I83" t="str">
            <v>Sugar</v>
          </cell>
          <cell r="J83" t="str">
            <v>Stock</v>
          </cell>
          <cell r="K83" t="str">
            <v>Consumption (MWh)</v>
          </cell>
          <cell r="L83">
            <v>475136.72478012781</v>
          </cell>
          <cell r="M83">
            <v>478944.05758966133</v>
          </cell>
          <cell r="N83">
            <v>486819.48116772674</v>
          </cell>
          <cell r="O83">
            <v>494591.38634116278</v>
          </cell>
          <cell r="P83">
            <v>506508.14130214165</v>
          </cell>
          <cell r="Q83">
            <v>510023.29432266601</v>
          </cell>
          <cell r="R83">
            <v>517787.90058012598</v>
          </cell>
          <cell r="S83">
            <v>525332.27094640187</v>
          </cell>
          <cell r="T83">
            <v>532962.59651115292</v>
          </cell>
          <cell r="U83">
            <v>540559.14188859914</v>
          </cell>
          <cell r="V83">
            <v>548264.64271890977</v>
          </cell>
          <cell r="W83">
            <v>555867.220442908</v>
          </cell>
          <cell r="X83">
            <v>568632.32789277437</v>
          </cell>
          <cell r="Y83">
            <v>571112.91942260799</v>
          </cell>
          <cell r="Z83">
            <v>578836.54771749349</v>
          </cell>
          <cell r="AA83">
            <v>586399.91803551139</v>
          </cell>
          <cell r="AB83">
            <v>599561.512214605</v>
          </cell>
          <cell r="AC83">
            <v>601661.01637638209</v>
          </cell>
          <cell r="AD83">
            <v>609371.99258243595</v>
          </cell>
          <cell r="AE83">
            <v>616906.35518594901</v>
          </cell>
        </row>
        <row r="84">
          <cell r="G84" t="str">
            <v>RegionHi Tech - Chip FabStock</v>
          </cell>
          <cell r="H84" t="str">
            <v>Ind</v>
          </cell>
          <cell r="I84" t="str">
            <v>Hi Tech - Chip Fab</v>
          </cell>
          <cell r="J84" t="str">
            <v>Stock</v>
          </cell>
          <cell r="K84" t="str">
            <v>Consumption (MWh)</v>
          </cell>
          <cell r="L84">
            <v>441794.88875823218</v>
          </cell>
          <cell r="M84">
            <v>432626.39847364998</v>
          </cell>
          <cell r="N84">
            <v>427242.98054352769</v>
          </cell>
          <cell r="O84">
            <v>422213.82213962206</v>
          </cell>
          <cell r="P84">
            <v>421920.64066734893</v>
          </cell>
          <cell r="Q84">
            <v>413709.06623231358</v>
          </cell>
          <cell r="R84">
            <v>410212.7518948018</v>
          </cell>
          <cell r="S84">
            <v>406355.09832970693</v>
          </cell>
          <cell r="T84">
            <v>403296.23418868397</v>
          </cell>
          <cell r="U84">
            <v>399924.4240136806</v>
          </cell>
          <cell r="V84">
            <v>397295.90252843429</v>
          </cell>
          <cell r="W84">
            <v>394316.89382121537</v>
          </cell>
          <cell r="X84">
            <v>395623.44895442144</v>
          </cell>
          <cell r="Y84">
            <v>389392.69605832879</v>
          </cell>
          <cell r="Z84">
            <v>386892.14662184619</v>
          </cell>
          <cell r="AA84">
            <v>385025.31464219192</v>
          </cell>
          <cell r="AB84">
            <v>386311.31539104413</v>
          </cell>
          <cell r="AC84">
            <v>381213.1101798673</v>
          </cell>
          <cell r="AD84">
            <v>379233.88825255015</v>
          </cell>
          <cell r="AE84">
            <v>377804.18623239076</v>
          </cell>
        </row>
        <row r="85">
          <cell r="G85" t="str">
            <v>RegionHi Tech - SiliconStock</v>
          </cell>
          <cell r="H85" t="str">
            <v>Ind</v>
          </cell>
          <cell r="I85" t="str">
            <v>Hi Tech - Silicon</v>
          </cell>
          <cell r="J85" t="str">
            <v>Stock</v>
          </cell>
          <cell r="K85" t="str">
            <v>Consumption (MWh)</v>
          </cell>
          <cell r="L85">
            <v>226900.615461001</v>
          </cell>
          <cell r="M85">
            <v>224036.45332402681</v>
          </cell>
          <cell r="N85">
            <v>223197.60670939417</v>
          </cell>
          <cell r="O85">
            <v>222435.67348639047</v>
          </cell>
          <cell r="P85">
            <v>223898.4301459378</v>
          </cell>
          <cell r="Q85">
            <v>221368.38696638378</v>
          </cell>
          <cell r="R85">
            <v>221129.95798393188</v>
          </cell>
          <cell r="S85">
            <v>220786.11584318019</v>
          </cell>
          <cell r="T85">
            <v>220661.22741685802</v>
          </cell>
          <cell r="U85">
            <v>220514.6104276102</v>
          </cell>
          <cell r="V85">
            <v>220566.57724116242</v>
          </cell>
          <cell r="W85">
            <v>220582.85570889112</v>
          </cell>
          <cell r="X85">
            <v>222786.93799954746</v>
          </cell>
          <cell r="Y85">
            <v>220925.37261965938</v>
          </cell>
          <cell r="Z85">
            <v>221135.24104542725</v>
          </cell>
          <cell r="AA85">
            <v>221470.75488217658</v>
          </cell>
          <cell r="AB85">
            <v>223814.68962733069</v>
          </cell>
          <cell r="AC85">
            <v>222220.65723257174</v>
          </cell>
          <cell r="AD85">
            <v>222629.30420924808</v>
          </cell>
          <cell r="AE85">
            <v>223146.84657001842</v>
          </cell>
        </row>
        <row r="86">
          <cell r="G86" t="str">
            <v>RegionMetal FabStock</v>
          </cell>
          <cell r="H86" t="str">
            <v>Ind</v>
          </cell>
          <cell r="I86" t="str">
            <v>Metal Fab</v>
          </cell>
          <cell r="J86" t="str">
            <v>Stock</v>
          </cell>
          <cell r="K86" t="str">
            <v>Consumption (MWh)</v>
          </cell>
          <cell r="L86">
            <v>909892.68701188185</v>
          </cell>
          <cell r="M86">
            <v>891825.25809582323</v>
          </cell>
          <cell r="N86">
            <v>882508.80442902481</v>
          </cell>
          <cell r="O86">
            <v>873727.53576770169</v>
          </cell>
          <cell r="P86">
            <v>873074.20336348354</v>
          </cell>
          <cell r="Q86">
            <v>857353.78829031112</v>
          </cell>
          <cell r="R86">
            <v>849920.96028251934</v>
          </cell>
          <cell r="S86">
            <v>842747.12140389089</v>
          </cell>
          <cell r="T86">
            <v>835992.11174095876</v>
          </cell>
          <cell r="U86">
            <v>829585.10375461576</v>
          </cell>
          <cell r="V86">
            <v>823489.91083828453</v>
          </cell>
          <cell r="W86">
            <v>817657.03435069101</v>
          </cell>
          <cell r="X86">
            <v>819465.35455238761</v>
          </cell>
          <cell r="Y86">
            <v>806647.75437978934</v>
          </cell>
          <cell r="Z86">
            <v>801457.62846863491</v>
          </cell>
          <cell r="AA86">
            <v>796415.70090358355</v>
          </cell>
          <cell r="AB86">
            <v>798860.24754177267</v>
          </cell>
          <cell r="AC86">
            <v>786961.84080937004</v>
          </cell>
          <cell r="AD86">
            <v>782499.53998716734</v>
          </cell>
          <cell r="AE86">
            <v>778123.72130174015</v>
          </cell>
        </row>
        <row r="87">
          <cell r="G87" t="str">
            <v>RegionTransportation, EquipStock</v>
          </cell>
          <cell r="H87" t="str">
            <v>Ind</v>
          </cell>
          <cell r="I87" t="str">
            <v>Transportation, Equip</v>
          </cell>
          <cell r="J87" t="str">
            <v>Stock</v>
          </cell>
          <cell r="K87" t="str">
            <v>Consumption (MWh)</v>
          </cell>
          <cell r="L87">
            <v>1804273.4320914866</v>
          </cell>
          <cell r="M87">
            <v>1764444.7092744687</v>
          </cell>
          <cell r="N87">
            <v>1742380.5060862801</v>
          </cell>
          <cell r="O87">
            <v>1721734.2919262978</v>
          </cell>
          <cell r="P87">
            <v>1717290.0100661237</v>
          </cell>
          <cell r="Q87">
            <v>1684212.3577429946</v>
          </cell>
          <cell r="R87">
            <v>1667572.9872876552</v>
          </cell>
          <cell r="S87">
            <v>1651915.7655637239</v>
          </cell>
          <cell r="T87">
            <v>1637404.0605393937</v>
          </cell>
          <cell r="U87">
            <v>1624039.8539685637</v>
          </cell>
          <cell r="V87">
            <v>1611571.7582730576</v>
          </cell>
          <cell r="W87">
            <v>1599938.1807304013</v>
          </cell>
          <cell r="X87">
            <v>1603782.6234504275</v>
          </cell>
          <cell r="Y87">
            <v>1579189.4507664458</v>
          </cell>
          <cell r="Z87">
            <v>1569848.0280781442</v>
          </cell>
          <cell r="AA87">
            <v>1560977.4194455137</v>
          </cell>
          <cell r="AB87">
            <v>1566945.462049291</v>
          </cell>
          <cell r="AC87">
            <v>1545218.7396206472</v>
          </cell>
          <cell r="AD87">
            <v>1538099.8647244556</v>
          </cell>
          <cell r="AE87">
            <v>1531589.7574381533</v>
          </cell>
        </row>
        <row r="88">
          <cell r="G88" t="str">
            <v>RegionRefineryStock</v>
          </cell>
          <cell r="H88" t="str">
            <v>Ind</v>
          </cell>
          <cell r="I88" t="str">
            <v>Refinery</v>
          </cell>
          <cell r="J88" t="str">
            <v>Stock</v>
          </cell>
          <cell r="K88" t="str">
            <v>Consumption (MWh)</v>
          </cell>
          <cell r="L88">
            <v>1881024.91962965</v>
          </cell>
          <cell r="M88">
            <v>1909117.5467978129</v>
          </cell>
          <cell r="N88">
            <v>1951995.6132668965</v>
          </cell>
          <cell r="O88">
            <v>1997111.8831124087</v>
          </cell>
          <cell r="P88">
            <v>2057483.6301056999</v>
          </cell>
          <cell r="Q88">
            <v>2084336.8416466711</v>
          </cell>
          <cell r="R88">
            <v>2127809.677560756</v>
          </cell>
          <cell r="S88">
            <v>2172413.8365607024</v>
          </cell>
          <cell r="T88">
            <v>2215960.2386478884</v>
          </cell>
          <cell r="U88">
            <v>2261195.6605773838</v>
          </cell>
          <cell r="V88">
            <v>2305708.6406222372</v>
          </cell>
          <cell r="W88">
            <v>2351421.030442731</v>
          </cell>
          <cell r="X88">
            <v>2417809.3733545281</v>
          </cell>
          <cell r="Y88">
            <v>2441973.3932293397</v>
          </cell>
          <cell r="Z88">
            <v>2486737.3300964865</v>
          </cell>
          <cell r="AA88">
            <v>2532907.6529900534</v>
          </cell>
          <cell r="AB88">
            <v>2601624.7146502738</v>
          </cell>
          <cell r="AC88">
            <v>2625012.9439967307</v>
          </cell>
          <cell r="AD88">
            <v>2670463.7864335729</v>
          </cell>
          <cell r="AE88">
            <v>2717337.6347862268</v>
          </cell>
        </row>
        <row r="89">
          <cell r="G89" t="str">
            <v>RegionCold StorageStock</v>
          </cell>
          <cell r="H89" t="str">
            <v>Ind</v>
          </cell>
          <cell r="I89" t="str">
            <v>Cold Storage</v>
          </cell>
          <cell r="J89" t="str">
            <v>Stock</v>
          </cell>
          <cell r="K89" t="str">
            <v>Consumption (MWh)</v>
          </cell>
          <cell r="L89">
            <v>78154.236827670538</v>
          </cell>
          <cell r="M89">
            <v>79453.458629044515</v>
          </cell>
          <cell r="N89">
            <v>81462.364882615439</v>
          </cell>
          <cell r="O89">
            <v>83477.500671992908</v>
          </cell>
          <cell r="P89">
            <v>86245.581369176958</v>
          </cell>
          <cell r="Q89">
            <v>87478.747599680457</v>
          </cell>
          <cell r="R89">
            <v>89494.311122657688</v>
          </cell>
          <cell r="S89">
            <v>91509.020390414968</v>
          </cell>
          <cell r="T89">
            <v>93532.504764969955</v>
          </cell>
          <cell r="U89">
            <v>95564.382084683428</v>
          </cell>
          <cell r="V89">
            <v>97600.983939128768</v>
          </cell>
          <cell r="W89">
            <v>99644.634467322845</v>
          </cell>
          <cell r="X89">
            <v>102618.3524040958</v>
          </cell>
          <cell r="Y89">
            <v>103741.81616097505</v>
          </cell>
          <cell r="Z89">
            <v>105788.43696882724</v>
          </cell>
          <cell r="AA89">
            <v>107838.05913011087</v>
          </cell>
          <cell r="AB89">
            <v>110898.73263363529</v>
          </cell>
          <cell r="AC89">
            <v>111951.72686476028</v>
          </cell>
          <cell r="AD89">
            <v>114014.96377503965</v>
          </cell>
          <cell r="AE89">
            <v>116079.01640209509</v>
          </cell>
        </row>
        <row r="90">
          <cell r="G90" t="str">
            <v>RegionFruit StorageStock</v>
          </cell>
          <cell r="H90" t="str">
            <v>Ind</v>
          </cell>
          <cell r="I90" t="str">
            <v>Fruit Storage</v>
          </cell>
          <cell r="J90" t="str">
            <v>Stock</v>
          </cell>
          <cell r="K90" t="str">
            <v>Consumption (MWh)</v>
          </cell>
          <cell r="L90">
            <v>199395.43790713095</v>
          </cell>
          <cell r="M90">
            <v>204115.10690708214</v>
          </cell>
          <cell r="N90">
            <v>210634.84781997796</v>
          </cell>
          <cell r="O90">
            <v>217141.49063609194</v>
          </cell>
          <cell r="P90">
            <v>225683.75101923331</v>
          </cell>
          <cell r="Q90">
            <v>230234.36323329096</v>
          </cell>
          <cell r="R90">
            <v>236796.95219371072</v>
          </cell>
          <cell r="S90">
            <v>243349.21918638356</v>
          </cell>
          <cell r="T90">
            <v>249921.80671927828</v>
          </cell>
          <cell r="U90">
            <v>256506.98239189648</v>
          </cell>
          <cell r="V90">
            <v>263096.35269472009</v>
          </cell>
          <cell r="W90">
            <v>269693.66215315415</v>
          </cell>
          <cell r="X90">
            <v>278797.26062516763</v>
          </cell>
          <cell r="Y90">
            <v>282842.82237701409</v>
          </cell>
          <cell r="Z90">
            <v>289419.35664982459</v>
          </cell>
          <cell r="AA90">
            <v>295994.31165490975</v>
          </cell>
          <cell r="AB90">
            <v>305366.03036291245</v>
          </cell>
          <cell r="AC90">
            <v>309179.84460456396</v>
          </cell>
          <cell r="AD90">
            <v>315794.71629056305</v>
          </cell>
          <cell r="AE90">
            <v>322364.98084319307</v>
          </cell>
        </row>
        <row r="91">
          <cell r="G91" t="str">
            <v>RegionChemicalStock</v>
          </cell>
          <cell r="H91" t="str">
            <v>Ind</v>
          </cell>
          <cell r="I91" t="str">
            <v>Chemical</v>
          </cell>
          <cell r="J91" t="str">
            <v>Stock</v>
          </cell>
          <cell r="K91" t="str">
            <v>Consumption (MWh)</v>
          </cell>
          <cell r="L91">
            <v>3305004.1605836996</v>
          </cell>
          <cell r="M91">
            <v>3443789.6934345411</v>
          </cell>
          <cell r="N91">
            <v>3609021.9884613133</v>
          </cell>
          <cell r="O91">
            <v>3771046.7677251906</v>
          </cell>
          <cell r="P91">
            <v>3927253.9609524435</v>
          </cell>
          <cell r="Q91">
            <v>4037395.7085911199</v>
          </cell>
          <cell r="R91">
            <v>4188643.2636367837</v>
          </cell>
          <cell r="S91">
            <v>4340984.9755713558</v>
          </cell>
          <cell r="T91">
            <v>4493975.9194887662</v>
          </cell>
          <cell r="U91">
            <v>4646018.0745007796</v>
          </cell>
          <cell r="V91">
            <v>4797371.3042631764</v>
          </cell>
          <cell r="W91">
            <v>4947813.7264089147</v>
          </cell>
          <cell r="X91">
            <v>5144107.7969676936</v>
          </cell>
          <cell r="Y91">
            <v>5246402.7802377427</v>
          </cell>
          <cell r="Z91">
            <v>5394857.0622515492</v>
          </cell>
          <cell r="AA91">
            <v>5541714.6108995685</v>
          </cell>
          <cell r="AB91">
            <v>5740442.2061493713</v>
          </cell>
          <cell r="AC91">
            <v>5833788.3063517585</v>
          </cell>
          <cell r="AD91">
            <v>5979638.453419812</v>
          </cell>
          <cell r="AE91">
            <v>6123880.4660364473</v>
          </cell>
        </row>
        <row r="92">
          <cell r="G92" t="str">
            <v>RegionMisc ManfStock</v>
          </cell>
          <cell r="H92" t="str">
            <v>Ind</v>
          </cell>
          <cell r="I92" t="str">
            <v>Misc Manf</v>
          </cell>
          <cell r="J92" t="str">
            <v>Stock</v>
          </cell>
          <cell r="K92" t="str">
            <v>Consumption (MWh)</v>
          </cell>
          <cell r="L92">
            <v>4209556.472488177</v>
          </cell>
          <cell r="M92">
            <v>4334633.1165770665</v>
          </cell>
          <cell r="N92">
            <v>4496807.6122477548</v>
          </cell>
          <cell r="O92">
            <v>4658950.5636732625</v>
          </cell>
          <cell r="P92">
            <v>4833902.8390341504</v>
          </cell>
          <cell r="Q92">
            <v>4939547.3871582579</v>
          </cell>
          <cell r="R92">
            <v>5095859.5790590979</v>
          </cell>
          <cell r="S92">
            <v>5254063.1713875132</v>
          </cell>
          <cell r="T92">
            <v>5413802.5084346561</v>
          </cell>
          <cell r="U92">
            <v>5573463.6928148605</v>
          </cell>
          <cell r="V92">
            <v>5733797.7617043415</v>
          </cell>
          <cell r="W92">
            <v>5893374.3310838528</v>
          </cell>
          <cell r="X92">
            <v>6108755.4059702102</v>
          </cell>
          <cell r="Y92">
            <v>6213044.4648437528</v>
          </cell>
          <cell r="Z92">
            <v>6372313.332896472</v>
          </cell>
          <cell r="AA92">
            <v>6531884.2745853113</v>
          </cell>
          <cell r="AB92">
            <v>6752077.3183153793</v>
          </cell>
          <cell r="AC92">
            <v>6850327.3548128605</v>
          </cell>
          <cell r="AD92">
            <v>7009692.065473482</v>
          </cell>
          <cell r="AE92">
            <v>7168736.8179728845</v>
          </cell>
        </row>
        <row r="93">
          <cell r="G93" t="str">
            <v>RegionEVStock</v>
          </cell>
          <cell r="H93" t="str">
            <v>EV</v>
          </cell>
          <cell r="I93" t="str">
            <v>EV</v>
          </cell>
          <cell r="J93" t="str">
            <v>Stock</v>
          </cell>
          <cell r="K93" t="str">
            <v>1000 Cars</v>
          </cell>
          <cell r="L93">
            <v>60.183986956923889</v>
          </cell>
          <cell r="M93">
            <v>91.985039267783762</v>
          </cell>
          <cell r="N93">
            <v>131.71899349682545</v>
          </cell>
          <cell r="O93">
            <v>179.31931215654896</v>
          </cell>
          <cell r="P93">
            <v>234.46894197990883</v>
          </cell>
          <cell r="Q93">
            <v>296.9378027583823</v>
          </cell>
          <cell r="R93">
            <v>366.00059330503768</v>
          </cell>
          <cell r="S93">
            <v>441.25939468635204</v>
          </cell>
          <cell r="T93">
            <v>522.62506581198477</v>
          </cell>
          <cell r="U93">
            <v>610.52396116716261</v>
          </cell>
          <cell r="V93">
            <v>705.01906985870437</v>
          </cell>
          <cell r="W93">
            <v>801.72374571842784</v>
          </cell>
          <cell r="X93">
            <v>899.84995621451503</v>
          </cell>
          <cell r="Y93">
            <v>998.49290967026104</v>
          </cell>
          <cell r="Z93">
            <v>1096.4275699987345</v>
          </cell>
          <cell r="AA93">
            <v>1187.7661760902763</v>
          </cell>
          <cell r="AB93">
            <v>1272.9815546454543</v>
          </cell>
          <cell r="AC93">
            <v>1351.8588013409089</v>
          </cell>
          <cell r="AD93">
            <v>1433.0587465545455</v>
          </cell>
          <cell r="AE93">
            <v>1500.0488473772725</v>
          </cell>
        </row>
        <row r="94">
          <cell r="G94" t="str">
            <v>RegionPopStock</v>
          </cell>
          <cell r="H94" t="str">
            <v>Pop</v>
          </cell>
          <cell r="I94" t="str">
            <v>Pop</v>
          </cell>
          <cell r="J94" t="str">
            <v>Stock</v>
          </cell>
          <cell r="K94" t="str">
            <v># of people</v>
          </cell>
          <cell r="L94">
            <v>13520.68111</v>
          </cell>
          <cell r="M94">
            <v>13661.840299999998</v>
          </cell>
          <cell r="N94">
            <v>13803.691440000001</v>
          </cell>
          <cell r="O94">
            <v>13944.276469999999</v>
          </cell>
          <cell r="P94">
            <v>14082.801340000002</v>
          </cell>
          <cell r="Q94">
            <v>14218.715590000002</v>
          </cell>
          <cell r="R94">
            <v>14351.918940000001</v>
          </cell>
          <cell r="S94">
            <v>14482.437540000003</v>
          </cell>
          <cell r="T94">
            <v>14610.4211</v>
          </cell>
          <cell r="U94">
            <v>14736.24631</v>
          </cell>
          <cell r="V94">
            <v>14860.320880000001</v>
          </cell>
          <cell r="W94">
            <v>14983.078860000001</v>
          </cell>
          <cell r="X94">
            <v>15104.70127</v>
          </cell>
          <cell r="Y94">
            <v>15225.195700000002</v>
          </cell>
          <cell r="Z94">
            <v>15344.62486</v>
          </cell>
          <cell r="AA94">
            <v>15463.089019999998</v>
          </cell>
          <cell r="AB94">
            <v>15580.68845</v>
          </cell>
          <cell r="AC94">
            <v>15697.50913</v>
          </cell>
          <cell r="AD94">
            <v>15813.626329999999</v>
          </cell>
          <cell r="AE94">
            <v>15929.254489999999</v>
          </cell>
        </row>
        <row r="95">
          <cell r="G95" t="str">
            <v>RegionDataCenterStock</v>
          </cell>
          <cell r="H95" t="str">
            <v>DataCenter</v>
          </cell>
          <cell r="I95" t="str">
            <v>DataCenter</v>
          </cell>
          <cell r="J95" t="str">
            <v>Stock</v>
          </cell>
          <cell r="K95" t="str">
            <v>Consumption (aMW)</v>
          </cell>
          <cell r="L95">
            <v>381.60143269415096</v>
          </cell>
          <cell r="M95">
            <v>404.69885906229592</v>
          </cell>
          <cell r="N95">
            <v>421.46039895133885</v>
          </cell>
          <cell r="O95">
            <v>419.64642143844253</v>
          </cell>
          <cell r="P95">
            <v>423.66562864853898</v>
          </cell>
          <cell r="Q95">
            <v>432.76092390952061</v>
          </cell>
          <cell r="R95">
            <v>446.31531189522576</v>
          </cell>
          <cell r="S95">
            <v>450.98222620533323</v>
          </cell>
          <cell r="T95">
            <v>459.05126073815245</v>
          </cell>
          <cell r="U95">
            <v>470.19601765719887</v>
          </cell>
          <cell r="V95">
            <v>484.16208251533135</v>
          </cell>
          <cell r="W95">
            <v>494.21069266812788</v>
          </cell>
          <cell r="X95">
            <v>506.64189476780371</v>
          </cell>
          <cell r="Y95">
            <v>521.35392484293436</v>
          </cell>
          <cell r="Z95">
            <v>538.28523642117</v>
          </cell>
          <cell r="AA95">
            <v>554.01935267425768</v>
          </cell>
          <cell r="AB95">
            <v>571.88182312772415</v>
          </cell>
          <cell r="AC95">
            <v>591.90212163156946</v>
          </cell>
          <cell r="AD95">
            <v>614.13634434495953</v>
          </cell>
          <cell r="AE95">
            <v>636.87438282107769</v>
          </cell>
        </row>
        <row r="96">
          <cell r="G96" t="str">
            <v>RegionTotalLoadStock</v>
          </cell>
          <cell r="H96" t="str">
            <v>DEI</v>
          </cell>
          <cell r="I96" t="str">
            <v>TotalLoad</v>
          </cell>
          <cell r="J96" t="str">
            <v>Stock</v>
          </cell>
          <cell r="K96" t="str">
            <v>Consumption (aMW)</v>
          </cell>
          <cell r="L96">
            <v>21071.66</v>
          </cell>
          <cell r="M96">
            <v>21195.54</v>
          </cell>
          <cell r="N96">
            <v>21410</v>
          </cell>
          <cell r="O96">
            <v>21551.43</v>
          </cell>
          <cell r="P96">
            <v>21679.64</v>
          </cell>
          <cell r="Q96">
            <v>21827.78</v>
          </cell>
          <cell r="R96">
            <v>21990.98</v>
          </cell>
          <cell r="S96">
            <v>22168.240000000002</v>
          </cell>
          <cell r="T96">
            <v>22361.75</v>
          </cell>
          <cell r="U96">
            <v>22575.51</v>
          </cell>
          <cell r="V96">
            <v>22799.94</v>
          </cell>
          <cell r="W96">
            <v>23044.44</v>
          </cell>
          <cell r="X96">
            <v>23305.64</v>
          </cell>
          <cell r="Y96">
            <v>23567.14</v>
          </cell>
          <cell r="Z96">
            <v>23843.91</v>
          </cell>
          <cell r="AA96">
            <v>24084.7</v>
          </cell>
          <cell r="AB96">
            <v>24359.31</v>
          </cell>
          <cell r="AC96">
            <v>24636.46</v>
          </cell>
          <cell r="AD96">
            <v>24918.69</v>
          </cell>
          <cell r="AE96">
            <v>25207.16</v>
          </cell>
        </row>
        <row r="97">
          <cell r="G97"/>
          <cell r="H97"/>
          <cell r="I97"/>
          <cell r="J97"/>
          <cell r="K97"/>
          <cell r="L97"/>
          <cell r="M97"/>
          <cell r="N97"/>
          <cell r="O97"/>
          <cell r="P97"/>
          <cell r="Q97"/>
          <cell r="R97"/>
          <cell r="S97"/>
          <cell r="T97"/>
          <cell r="U97"/>
          <cell r="V97"/>
          <cell r="W97"/>
          <cell r="X97"/>
          <cell r="Y97"/>
          <cell r="Z97"/>
          <cell r="AA97"/>
          <cell r="AB97"/>
          <cell r="AC97"/>
          <cell r="AD97"/>
          <cell r="AE97"/>
        </row>
        <row r="98">
          <cell r="G98"/>
          <cell r="H98"/>
          <cell r="I98"/>
          <cell r="J98"/>
          <cell r="K98"/>
          <cell r="L98"/>
          <cell r="M98"/>
          <cell r="N98"/>
          <cell r="O98"/>
          <cell r="P98"/>
          <cell r="Q98"/>
          <cell r="R98"/>
          <cell r="S98"/>
          <cell r="T98"/>
          <cell r="U98"/>
          <cell r="V98"/>
          <cell r="W98"/>
          <cell r="X98"/>
          <cell r="Y98"/>
          <cell r="Z98"/>
          <cell r="AA98"/>
          <cell r="AB98"/>
          <cell r="AC98"/>
          <cell r="AD98"/>
          <cell r="AE98"/>
        </row>
        <row r="99">
          <cell r="G99"/>
          <cell r="H99"/>
          <cell r="I99"/>
          <cell r="J99"/>
          <cell r="K99"/>
          <cell r="L99"/>
          <cell r="M99"/>
          <cell r="N99"/>
          <cell r="O99"/>
          <cell r="P99"/>
          <cell r="Q99"/>
          <cell r="R99"/>
          <cell r="S99"/>
          <cell r="T99"/>
          <cell r="U99"/>
          <cell r="V99"/>
          <cell r="W99"/>
          <cell r="X99"/>
          <cell r="Y99"/>
          <cell r="Z99"/>
          <cell r="AA99"/>
          <cell r="AB99"/>
          <cell r="AC99"/>
          <cell r="AD99"/>
          <cell r="AE99"/>
        </row>
        <row r="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row>
        <row r="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row>
        <row r="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row>
        <row r="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row>
        <row r="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row>
        <row r="105">
          <cell r="G105"/>
          <cell r="H105"/>
          <cell r="I105"/>
          <cell r="J105"/>
          <cell r="K105"/>
          <cell r="L105"/>
          <cell r="M105"/>
          <cell r="N105"/>
          <cell r="O105"/>
          <cell r="P105"/>
          <cell r="Q105"/>
          <cell r="R105"/>
          <cell r="S105"/>
          <cell r="T105"/>
          <cell r="U105"/>
          <cell r="V105"/>
          <cell r="W105"/>
          <cell r="X105"/>
          <cell r="Y105"/>
          <cell r="Z105"/>
          <cell r="AA105"/>
          <cell r="AB105"/>
          <cell r="AC105"/>
          <cell r="AD105"/>
          <cell r="AE105"/>
        </row>
        <row r="106">
          <cell r="G106"/>
          <cell r="H106"/>
          <cell r="I106"/>
          <cell r="J106"/>
          <cell r="K106"/>
          <cell r="L106"/>
          <cell r="M106"/>
          <cell r="N106"/>
          <cell r="O106"/>
          <cell r="P106"/>
          <cell r="Q106"/>
          <cell r="R106"/>
          <cell r="S106"/>
          <cell r="T106"/>
          <cell r="U106"/>
          <cell r="V106"/>
          <cell r="W106"/>
          <cell r="X106"/>
          <cell r="Y106"/>
          <cell r="Z106"/>
          <cell r="AA106"/>
          <cell r="AB106"/>
          <cell r="AC106"/>
          <cell r="AD106"/>
          <cell r="AE106"/>
        </row>
        <row r="107">
          <cell r="G107"/>
          <cell r="H107"/>
          <cell r="I107"/>
          <cell r="J107"/>
          <cell r="K107"/>
          <cell r="L107"/>
          <cell r="M107"/>
          <cell r="N107"/>
          <cell r="O107"/>
          <cell r="P107"/>
          <cell r="Q107"/>
          <cell r="R107"/>
          <cell r="S107"/>
          <cell r="T107"/>
          <cell r="U107"/>
          <cell r="V107"/>
          <cell r="W107"/>
          <cell r="X107"/>
          <cell r="Y107"/>
          <cell r="Z107"/>
          <cell r="AA107"/>
          <cell r="AB107"/>
          <cell r="AC107"/>
          <cell r="AD107"/>
          <cell r="AE107"/>
        </row>
        <row r="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row>
        <row r="109">
          <cell r="G109"/>
          <cell r="H109"/>
          <cell r="I109"/>
          <cell r="J109"/>
          <cell r="K109"/>
          <cell r="L109"/>
          <cell r="M109"/>
          <cell r="N109"/>
          <cell r="O109"/>
          <cell r="P109"/>
          <cell r="Q109"/>
          <cell r="R109"/>
          <cell r="S109"/>
          <cell r="T109"/>
          <cell r="U109"/>
          <cell r="V109"/>
          <cell r="W109"/>
          <cell r="X109"/>
          <cell r="Y109"/>
          <cell r="Z109"/>
          <cell r="AA109"/>
          <cell r="AB109"/>
          <cell r="AC109"/>
          <cell r="AD109"/>
          <cell r="AE109"/>
        </row>
        <row r="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row>
        <row r="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row>
        <row r="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row>
        <row r="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row>
        <row r="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row>
        <row r="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row>
        <row r="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row>
        <row r="117">
          <cell r="G117"/>
          <cell r="H117"/>
          <cell r="I117"/>
          <cell r="J117"/>
          <cell r="K117"/>
          <cell r="L117"/>
          <cell r="M117"/>
          <cell r="N117"/>
          <cell r="O117"/>
          <cell r="P117"/>
          <cell r="Q117"/>
          <cell r="R117"/>
          <cell r="S117"/>
          <cell r="T117"/>
          <cell r="U117"/>
          <cell r="V117"/>
          <cell r="W117"/>
          <cell r="X117"/>
          <cell r="Y117"/>
          <cell r="Z117"/>
          <cell r="AA117"/>
          <cell r="AB117"/>
          <cell r="AC117"/>
          <cell r="AD117"/>
          <cell r="AE117"/>
        </row>
        <row r="118">
          <cell r="G118"/>
          <cell r="H118"/>
          <cell r="I118"/>
          <cell r="J118"/>
          <cell r="K118"/>
          <cell r="L118"/>
          <cell r="M118"/>
          <cell r="N118"/>
          <cell r="O118"/>
          <cell r="P118"/>
          <cell r="Q118"/>
          <cell r="R118"/>
          <cell r="S118"/>
          <cell r="T118"/>
          <cell r="U118"/>
          <cell r="V118"/>
          <cell r="W118"/>
          <cell r="X118"/>
          <cell r="Y118"/>
          <cell r="Z118"/>
          <cell r="AA118"/>
          <cell r="AB118"/>
          <cell r="AC118"/>
          <cell r="AD118"/>
          <cell r="AE118"/>
        </row>
        <row r="119">
          <cell r="G119"/>
          <cell r="H119"/>
          <cell r="I119"/>
          <cell r="J119"/>
          <cell r="K119"/>
          <cell r="L119"/>
          <cell r="M119"/>
          <cell r="N119"/>
          <cell r="O119"/>
          <cell r="P119"/>
          <cell r="Q119"/>
          <cell r="R119"/>
          <cell r="S119"/>
          <cell r="T119"/>
          <cell r="U119"/>
          <cell r="V119"/>
          <cell r="W119"/>
          <cell r="X119"/>
          <cell r="Y119"/>
          <cell r="Z119"/>
          <cell r="AA119"/>
          <cell r="AB119"/>
          <cell r="AC119"/>
          <cell r="AD119"/>
          <cell r="AE119"/>
        </row>
        <row r="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row>
        <row r="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row>
        <row r="122">
          <cell r="G122"/>
          <cell r="H122"/>
          <cell r="I122"/>
          <cell r="J122"/>
          <cell r="K122"/>
          <cell r="L122"/>
          <cell r="M122"/>
          <cell r="N122"/>
          <cell r="O122"/>
          <cell r="P122"/>
          <cell r="Q122"/>
          <cell r="R122"/>
          <cell r="S122"/>
          <cell r="T122"/>
          <cell r="U122"/>
          <cell r="V122"/>
          <cell r="W122"/>
          <cell r="X122"/>
          <cell r="Y122"/>
          <cell r="Z122"/>
          <cell r="AA122"/>
          <cell r="AB122"/>
          <cell r="AC122"/>
          <cell r="AD122"/>
          <cell r="AE122"/>
        </row>
        <row r="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row>
        <row r="124">
          <cell r="G124"/>
          <cell r="H124"/>
          <cell r="I124"/>
          <cell r="J124"/>
          <cell r="K124"/>
          <cell r="L124"/>
          <cell r="M124"/>
          <cell r="N124"/>
          <cell r="O124"/>
          <cell r="P124"/>
          <cell r="Q124"/>
          <cell r="R124"/>
          <cell r="S124"/>
          <cell r="T124"/>
          <cell r="U124"/>
          <cell r="V124"/>
          <cell r="W124"/>
          <cell r="X124"/>
          <cell r="Y124"/>
          <cell r="Z124"/>
          <cell r="AA124"/>
          <cell r="AB124"/>
          <cell r="AC124"/>
          <cell r="AD124"/>
          <cell r="AE124"/>
        </row>
        <row r="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row>
        <row r="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row>
        <row r="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row>
        <row r="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row>
        <row r="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row>
        <row r="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row>
        <row r="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row>
        <row r="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row>
        <row r="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row>
        <row r="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row>
        <row r="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row>
        <row r="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row>
        <row r="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row>
        <row r="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row>
        <row r="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row>
        <row r="140">
          <cell r="G140"/>
          <cell r="H140"/>
          <cell r="I140"/>
          <cell r="J140"/>
          <cell r="K140"/>
          <cell r="L140"/>
          <cell r="M140"/>
          <cell r="N140"/>
          <cell r="O140"/>
          <cell r="P140"/>
          <cell r="Q140"/>
          <cell r="R140"/>
          <cell r="S140"/>
          <cell r="T140"/>
          <cell r="U140"/>
          <cell r="V140"/>
          <cell r="W140"/>
          <cell r="X140"/>
          <cell r="Y140"/>
          <cell r="Z140"/>
          <cell r="AA140"/>
          <cell r="AB140"/>
          <cell r="AC140"/>
          <cell r="AD140"/>
          <cell r="AE140"/>
        </row>
        <row r="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row>
        <row r="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row>
        <row r="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row>
        <row r="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row>
        <row r="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row>
        <row r="146">
          <cell r="G146"/>
          <cell r="H146"/>
          <cell r="I146"/>
          <cell r="J146"/>
          <cell r="K146"/>
          <cell r="L146"/>
          <cell r="M146"/>
          <cell r="N146"/>
          <cell r="O146"/>
          <cell r="P146"/>
          <cell r="Q146"/>
          <cell r="R146"/>
          <cell r="S146"/>
          <cell r="T146"/>
          <cell r="U146"/>
          <cell r="V146"/>
          <cell r="W146"/>
          <cell r="X146"/>
          <cell r="Y146"/>
          <cell r="Z146"/>
          <cell r="AA146"/>
          <cell r="AB146"/>
          <cell r="AC146"/>
          <cell r="AD146"/>
          <cell r="AE146"/>
        </row>
        <row r="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row>
        <row r="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row>
        <row r="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row>
        <row r="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row>
        <row r="151">
          <cell r="G151"/>
          <cell r="H151"/>
          <cell r="I151"/>
          <cell r="J151"/>
          <cell r="K151"/>
          <cell r="L151"/>
          <cell r="M151"/>
          <cell r="N151"/>
          <cell r="O151"/>
          <cell r="P151"/>
          <cell r="Q151"/>
          <cell r="R151"/>
          <cell r="S151"/>
          <cell r="T151"/>
          <cell r="U151"/>
          <cell r="V151"/>
          <cell r="W151"/>
          <cell r="X151"/>
          <cell r="Y151"/>
          <cell r="Z151"/>
          <cell r="AA151"/>
          <cell r="AB151"/>
          <cell r="AC151"/>
          <cell r="AD151"/>
          <cell r="AE151"/>
        </row>
        <row r="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row>
        <row r="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row>
        <row r="154">
          <cell r="G154"/>
          <cell r="H154"/>
          <cell r="I154"/>
          <cell r="J154"/>
          <cell r="K154"/>
          <cell r="L154"/>
          <cell r="M154"/>
          <cell r="N154"/>
          <cell r="O154"/>
          <cell r="P154"/>
          <cell r="Q154"/>
          <cell r="R154"/>
          <cell r="S154"/>
          <cell r="T154"/>
          <cell r="U154"/>
          <cell r="V154"/>
          <cell r="W154"/>
          <cell r="X154"/>
          <cell r="Y154"/>
          <cell r="Z154"/>
          <cell r="AA154"/>
          <cell r="AB154"/>
          <cell r="AC154"/>
          <cell r="AD154"/>
          <cell r="AE154"/>
        </row>
        <row r="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row>
        <row r="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row>
        <row r="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row>
        <row r="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row>
        <row r="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row>
        <row r="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row>
        <row r="161">
          <cell r="G161"/>
          <cell r="H161"/>
          <cell r="I161"/>
          <cell r="J161"/>
          <cell r="K161"/>
          <cell r="L161"/>
          <cell r="M161"/>
          <cell r="N161"/>
          <cell r="O161"/>
          <cell r="P161"/>
          <cell r="Q161"/>
          <cell r="R161"/>
          <cell r="S161"/>
          <cell r="T161"/>
          <cell r="U161"/>
          <cell r="V161"/>
          <cell r="W161"/>
          <cell r="X161"/>
          <cell r="Y161"/>
          <cell r="Z161"/>
          <cell r="AA161"/>
          <cell r="AB161"/>
          <cell r="AC161"/>
          <cell r="AD161"/>
          <cell r="AE161"/>
        </row>
        <row r="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row>
        <row r="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row>
        <row r="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row>
        <row r="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row>
        <row r="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row>
        <row r="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row>
        <row r="168">
          <cell r="G168"/>
          <cell r="H168"/>
          <cell r="I168"/>
          <cell r="J168"/>
          <cell r="K168"/>
          <cell r="L168"/>
          <cell r="M168"/>
          <cell r="N168"/>
          <cell r="O168"/>
          <cell r="P168"/>
          <cell r="Q168"/>
          <cell r="R168"/>
          <cell r="S168"/>
          <cell r="T168"/>
          <cell r="U168"/>
          <cell r="V168"/>
          <cell r="W168"/>
          <cell r="X168"/>
          <cell r="Y168"/>
          <cell r="Z168"/>
          <cell r="AA168"/>
          <cell r="AB168"/>
          <cell r="AC168"/>
          <cell r="AD168"/>
          <cell r="AE168"/>
        </row>
        <row r="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row>
        <row r="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row>
        <row r="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row>
        <row r="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row>
        <row r="173">
          <cell r="G173"/>
          <cell r="H173"/>
          <cell r="I173"/>
          <cell r="J173"/>
          <cell r="K173"/>
          <cell r="L173"/>
          <cell r="M173"/>
          <cell r="N173"/>
          <cell r="O173"/>
          <cell r="P173"/>
          <cell r="Q173"/>
          <cell r="R173"/>
          <cell r="S173"/>
          <cell r="T173"/>
          <cell r="U173"/>
          <cell r="V173"/>
          <cell r="W173"/>
          <cell r="X173"/>
          <cell r="Y173"/>
          <cell r="Z173"/>
          <cell r="AA173"/>
          <cell r="AB173"/>
          <cell r="AC173"/>
          <cell r="AD173"/>
          <cell r="AE173"/>
        </row>
        <row r="174">
          <cell r="G174"/>
          <cell r="H174"/>
          <cell r="I174"/>
          <cell r="J174"/>
          <cell r="K174"/>
          <cell r="L174"/>
          <cell r="M174"/>
          <cell r="N174"/>
          <cell r="O174"/>
          <cell r="P174"/>
          <cell r="Q174"/>
          <cell r="R174"/>
          <cell r="S174"/>
          <cell r="T174"/>
          <cell r="U174"/>
          <cell r="V174"/>
          <cell r="W174"/>
          <cell r="X174"/>
          <cell r="Y174"/>
          <cell r="Z174"/>
          <cell r="AA174"/>
          <cell r="AB174"/>
          <cell r="AC174"/>
          <cell r="AD174"/>
          <cell r="AE174"/>
        </row>
        <row r="175">
          <cell r="G175"/>
          <cell r="H175"/>
          <cell r="I175"/>
          <cell r="J175"/>
          <cell r="K175"/>
          <cell r="L175"/>
          <cell r="M175"/>
          <cell r="N175"/>
          <cell r="O175"/>
          <cell r="P175"/>
          <cell r="Q175"/>
          <cell r="R175"/>
          <cell r="S175"/>
          <cell r="T175"/>
          <cell r="U175"/>
          <cell r="V175"/>
          <cell r="W175"/>
          <cell r="X175"/>
          <cell r="Y175"/>
          <cell r="Z175"/>
          <cell r="AA175"/>
          <cell r="AB175"/>
          <cell r="AC175"/>
          <cell r="AD175"/>
          <cell r="AE175"/>
        </row>
        <row r="176">
          <cell r="G176"/>
          <cell r="H176"/>
          <cell r="I176"/>
          <cell r="J176"/>
          <cell r="K176"/>
          <cell r="L176"/>
          <cell r="M176"/>
          <cell r="N176"/>
          <cell r="O176"/>
          <cell r="P176"/>
          <cell r="Q176"/>
          <cell r="R176"/>
          <cell r="S176"/>
          <cell r="T176"/>
          <cell r="U176"/>
          <cell r="V176"/>
          <cell r="W176"/>
          <cell r="X176"/>
          <cell r="Y176"/>
          <cell r="Z176"/>
          <cell r="AA176"/>
          <cell r="AB176"/>
          <cell r="AC176"/>
          <cell r="AD176"/>
          <cell r="AE176"/>
        </row>
        <row r="177">
          <cell r="G177"/>
          <cell r="H177"/>
          <cell r="I177"/>
          <cell r="J177"/>
          <cell r="K177"/>
          <cell r="L177"/>
          <cell r="M177"/>
          <cell r="N177"/>
          <cell r="O177"/>
          <cell r="P177"/>
          <cell r="Q177"/>
          <cell r="R177"/>
          <cell r="S177"/>
          <cell r="T177"/>
          <cell r="U177"/>
          <cell r="V177"/>
          <cell r="W177"/>
          <cell r="X177"/>
          <cell r="Y177"/>
          <cell r="Z177"/>
          <cell r="AA177"/>
          <cell r="AB177"/>
          <cell r="AC177"/>
          <cell r="AD177"/>
          <cell r="AE177"/>
        </row>
        <row r="178">
          <cell r="G178"/>
          <cell r="H178"/>
          <cell r="I178"/>
          <cell r="J178"/>
          <cell r="K178"/>
          <cell r="L178"/>
          <cell r="M178"/>
          <cell r="N178"/>
          <cell r="O178"/>
          <cell r="P178"/>
          <cell r="Q178"/>
          <cell r="R178"/>
          <cell r="S178"/>
          <cell r="T178"/>
          <cell r="U178"/>
          <cell r="V178"/>
          <cell r="W178"/>
          <cell r="X178"/>
          <cell r="Y178"/>
          <cell r="Z178"/>
          <cell r="AA178"/>
          <cell r="AB178"/>
          <cell r="AC178"/>
          <cell r="AD178"/>
          <cell r="AE178"/>
        </row>
        <row r="179">
          <cell r="G179"/>
          <cell r="H179"/>
          <cell r="I179"/>
          <cell r="J179"/>
          <cell r="K179"/>
          <cell r="L179"/>
          <cell r="M179"/>
          <cell r="N179"/>
          <cell r="O179"/>
          <cell r="P179"/>
          <cell r="Q179"/>
          <cell r="R179"/>
          <cell r="S179"/>
          <cell r="T179"/>
          <cell r="U179"/>
          <cell r="V179"/>
          <cell r="W179"/>
          <cell r="X179"/>
          <cell r="Y179"/>
          <cell r="Z179"/>
          <cell r="AA179"/>
          <cell r="AB179"/>
          <cell r="AC179"/>
          <cell r="AD179"/>
          <cell r="AE179"/>
        </row>
        <row r="180">
          <cell r="G180"/>
          <cell r="H180"/>
          <cell r="I180"/>
          <cell r="J180"/>
          <cell r="K180"/>
          <cell r="L180"/>
          <cell r="M180"/>
          <cell r="N180"/>
          <cell r="O180"/>
          <cell r="P180"/>
          <cell r="Q180"/>
          <cell r="R180"/>
          <cell r="S180"/>
          <cell r="T180"/>
          <cell r="U180"/>
          <cell r="V180"/>
          <cell r="W180"/>
          <cell r="X180"/>
          <cell r="Y180"/>
          <cell r="Z180"/>
          <cell r="AA180"/>
          <cell r="AB180"/>
          <cell r="AC180"/>
          <cell r="AD180"/>
          <cell r="AE180"/>
        </row>
        <row r="181">
          <cell r="G181"/>
          <cell r="H181"/>
          <cell r="I181"/>
          <cell r="J181"/>
          <cell r="K181"/>
          <cell r="L181"/>
          <cell r="M181"/>
          <cell r="N181"/>
          <cell r="O181"/>
          <cell r="P181"/>
          <cell r="Q181"/>
          <cell r="R181"/>
          <cell r="S181"/>
          <cell r="T181"/>
          <cell r="U181"/>
          <cell r="V181"/>
          <cell r="W181"/>
          <cell r="X181"/>
          <cell r="Y181"/>
          <cell r="Z181"/>
          <cell r="AA181"/>
          <cell r="AB181"/>
          <cell r="AC181"/>
          <cell r="AD181"/>
          <cell r="AE181"/>
        </row>
        <row r="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row>
        <row r="183">
          <cell r="G183"/>
          <cell r="H183"/>
          <cell r="I183"/>
          <cell r="J183"/>
          <cell r="K183"/>
          <cell r="L183"/>
          <cell r="M183"/>
          <cell r="N183"/>
          <cell r="O183"/>
          <cell r="P183"/>
          <cell r="Q183"/>
          <cell r="R183"/>
          <cell r="S183"/>
          <cell r="T183"/>
          <cell r="U183"/>
          <cell r="V183"/>
          <cell r="W183"/>
          <cell r="X183"/>
          <cell r="Y183"/>
          <cell r="Z183"/>
          <cell r="AA183"/>
          <cell r="AB183"/>
          <cell r="AC183"/>
          <cell r="AD183"/>
          <cell r="AE183"/>
        </row>
        <row r="184">
          <cell r="G184"/>
          <cell r="H184"/>
          <cell r="I184"/>
          <cell r="J184"/>
          <cell r="K184"/>
          <cell r="L184"/>
          <cell r="M184"/>
          <cell r="N184"/>
          <cell r="O184"/>
          <cell r="P184"/>
          <cell r="Q184"/>
          <cell r="R184"/>
          <cell r="S184"/>
          <cell r="T184"/>
          <cell r="U184"/>
          <cell r="V184"/>
          <cell r="W184"/>
          <cell r="X184"/>
          <cell r="Y184"/>
          <cell r="Z184"/>
          <cell r="AA184"/>
          <cell r="AB184"/>
          <cell r="AC184"/>
          <cell r="AD184"/>
          <cell r="AE184"/>
        </row>
        <row r="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row>
        <row r="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row>
        <row r="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row>
        <row r="188">
          <cell r="G188"/>
          <cell r="H188"/>
          <cell r="I188"/>
          <cell r="J188"/>
          <cell r="K188"/>
          <cell r="L188"/>
          <cell r="M188"/>
          <cell r="N188"/>
          <cell r="O188"/>
          <cell r="P188"/>
          <cell r="Q188"/>
          <cell r="R188"/>
          <cell r="S188"/>
          <cell r="T188"/>
          <cell r="U188"/>
          <cell r="V188"/>
          <cell r="W188"/>
          <cell r="X188"/>
          <cell r="Y188"/>
          <cell r="Z188"/>
          <cell r="AA188"/>
          <cell r="AB188"/>
          <cell r="AC188"/>
          <cell r="AD188"/>
          <cell r="AE188"/>
        </row>
        <row r="189">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row>
        <row r="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row>
        <row r="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row>
        <row r="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row>
        <row r="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row>
        <row r="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row>
        <row r="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row>
        <row r="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row>
        <row r="197">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row>
        <row r="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row>
        <row r="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row>
        <row r="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row>
        <row r="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row>
        <row r="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row>
        <row r="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row>
        <row r="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row>
        <row r="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row>
        <row r="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row>
        <row r="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row>
        <row r="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row>
        <row r="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row>
        <row r="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row>
        <row r="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row>
        <row r="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row>
        <row r="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row>
        <row r="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row>
        <row r="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row>
        <row r="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row>
        <row r="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row>
        <row r="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row>
        <row r="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row>
        <row r="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row>
        <row r="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row>
        <row r="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row>
        <row r="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row>
        <row r="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row>
        <row r="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row>
        <row r="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row>
        <row r="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row>
        <row r="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row>
        <row r="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row>
        <row r="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row>
        <row r="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row>
        <row r="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row>
        <row r="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row>
        <row r="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row>
        <row r="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row>
        <row r="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row>
        <row r="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row>
        <row r="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row>
        <row r="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row>
        <row r="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row>
        <row r="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row>
        <row r="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row>
        <row r="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row>
        <row r="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row>
        <row r="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row>
        <row r="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row>
        <row r="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row>
        <row r="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row>
        <row r="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row>
        <row r="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row>
        <row r="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row>
        <row r="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row>
        <row r="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row>
        <row r="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row>
        <row r="255">
          <cell r="G255"/>
          <cell r="H255"/>
          <cell r="I255"/>
          <cell r="J255"/>
          <cell r="K255"/>
          <cell r="L255"/>
          <cell r="M255"/>
          <cell r="N255"/>
          <cell r="O255"/>
          <cell r="P255"/>
          <cell r="Q255"/>
          <cell r="R255"/>
          <cell r="S255"/>
          <cell r="T255"/>
          <cell r="U255"/>
          <cell r="V255"/>
          <cell r="W255"/>
          <cell r="X255"/>
          <cell r="Y255"/>
          <cell r="Z255"/>
          <cell r="AA255"/>
          <cell r="AB255"/>
          <cell r="AC255"/>
          <cell r="AD255"/>
          <cell r="AE255"/>
        </row>
        <row r="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row>
        <row r="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row>
        <row r="258">
          <cell r="G258"/>
          <cell r="H258"/>
          <cell r="I258"/>
          <cell r="J258"/>
          <cell r="K258"/>
          <cell r="L258"/>
          <cell r="M258"/>
          <cell r="N258"/>
          <cell r="O258"/>
          <cell r="P258"/>
          <cell r="Q258"/>
          <cell r="R258"/>
          <cell r="S258"/>
          <cell r="T258"/>
          <cell r="U258"/>
          <cell r="V258"/>
          <cell r="W258"/>
          <cell r="X258"/>
          <cell r="Y258"/>
          <cell r="Z258"/>
          <cell r="AA258"/>
          <cell r="AB258"/>
          <cell r="AC258"/>
          <cell r="AD258"/>
          <cell r="AE258"/>
        </row>
        <row r="259">
          <cell r="G259"/>
          <cell r="H259"/>
          <cell r="I259"/>
          <cell r="J259"/>
          <cell r="K259"/>
          <cell r="L259"/>
          <cell r="M259"/>
          <cell r="N259"/>
          <cell r="O259"/>
          <cell r="P259"/>
          <cell r="Q259"/>
          <cell r="R259"/>
          <cell r="S259"/>
          <cell r="T259"/>
          <cell r="U259"/>
          <cell r="V259"/>
          <cell r="W259"/>
          <cell r="X259"/>
          <cell r="Y259"/>
          <cell r="Z259"/>
          <cell r="AA259"/>
          <cell r="AB259"/>
          <cell r="AC259"/>
          <cell r="AD259"/>
          <cell r="AE259"/>
        </row>
        <row r="260">
          <cell r="G260"/>
          <cell r="H260"/>
          <cell r="I260"/>
          <cell r="J260"/>
          <cell r="K260"/>
          <cell r="L260"/>
          <cell r="M260"/>
          <cell r="N260"/>
          <cell r="O260"/>
          <cell r="P260"/>
          <cell r="Q260"/>
          <cell r="R260"/>
          <cell r="S260"/>
          <cell r="T260"/>
          <cell r="U260"/>
          <cell r="V260"/>
          <cell r="W260"/>
          <cell r="X260"/>
          <cell r="Y260"/>
          <cell r="Z260"/>
          <cell r="AA260"/>
          <cell r="AB260"/>
          <cell r="AC260"/>
          <cell r="AD260"/>
          <cell r="AE260"/>
        </row>
        <row r="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row>
        <row r="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row>
        <row r="263">
          <cell r="G263"/>
          <cell r="H263"/>
          <cell r="I263"/>
          <cell r="J263"/>
          <cell r="K263"/>
          <cell r="L263"/>
          <cell r="M263"/>
          <cell r="N263"/>
          <cell r="O263"/>
          <cell r="P263"/>
          <cell r="Q263"/>
          <cell r="R263"/>
          <cell r="S263"/>
          <cell r="T263"/>
          <cell r="U263"/>
          <cell r="V263"/>
          <cell r="W263"/>
          <cell r="X263"/>
          <cell r="Y263"/>
          <cell r="Z263"/>
          <cell r="AA263"/>
          <cell r="AB263"/>
          <cell r="AC263"/>
          <cell r="AD263"/>
          <cell r="AE263"/>
        </row>
        <row r="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row>
        <row r="265">
          <cell r="G265"/>
          <cell r="H265"/>
          <cell r="I265"/>
          <cell r="J265"/>
          <cell r="K265"/>
          <cell r="L265"/>
          <cell r="M265"/>
          <cell r="N265"/>
          <cell r="O265"/>
          <cell r="P265"/>
          <cell r="Q265"/>
          <cell r="R265"/>
          <cell r="S265"/>
          <cell r="T265"/>
          <cell r="U265"/>
          <cell r="V265"/>
          <cell r="W265"/>
          <cell r="X265"/>
          <cell r="Y265"/>
          <cell r="Z265"/>
          <cell r="AA265"/>
          <cell r="AB265"/>
          <cell r="AC265"/>
          <cell r="AD265"/>
          <cell r="AE265"/>
        </row>
        <row r="266">
          <cell r="G266"/>
          <cell r="H266"/>
          <cell r="I266"/>
          <cell r="J266"/>
          <cell r="K266"/>
          <cell r="L266"/>
          <cell r="M266"/>
          <cell r="N266"/>
          <cell r="O266"/>
          <cell r="P266"/>
          <cell r="Q266"/>
          <cell r="R266"/>
          <cell r="S266"/>
          <cell r="T266"/>
          <cell r="U266"/>
          <cell r="V266"/>
          <cell r="W266"/>
          <cell r="X266"/>
          <cell r="Y266"/>
          <cell r="Z266"/>
          <cell r="AA266"/>
          <cell r="AB266"/>
          <cell r="AC266"/>
          <cell r="AD266"/>
          <cell r="AE266"/>
        </row>
        <row r="267">
          <cell r="G267"/>
          <cell r="H267"/>
          <cell r="I267"/>
          <cell r="J267"/>
          <cell r="K267"/>
          <cell r="L267"/>
          <cell r="M267"/>
          <cell r="N267"/>
          <cell r="O267"/>
          <cell r="P267"/>
          <cell r="Q267"/>
          <cell r="R267"/>
          <cell r="S267"/>
          <cell r="T267"/>
          <cell r="U267"/>
          <cell r="V267"/>
          <cell r="W267"/>
          <cell r="X267"/>
          <cell r="Y267"/>
          <cell r="Z267"/>
          <cell r="AA267"/>
          <cell r="AB267"/>
          <cell r="AC267"/>
          <cell r="AD267"/>
          <cell r="AE267"/>
        </row>
        <row r="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row>
        <row r="269">
          <cell r="G269"/>
          <cell r="H269"/>
          <cell r="I269"/>
          <cell r="J269"/>
          <cell r="K269"/>
          <cell r="L269"/>
          <cell r="M269"/>
          <cell r="N269"/>
          <cell r="O269"/>
          <cell r="P269"/>
          <cell r="Q269"/>
          <cell r="R269"/>
          <cell r="S269"/>
          <cell r="T269"/>
          <cell r="U269"/>
          <cell r="V269"/>
          <cell r="W269"/>
          <cell r="X269"/>
          <cell r="Y269"/>
          <cell r="Z269"/>
          <cell r="AA269"/>
          <cell r="AB269"/>
          <cell r="AC269"/>
          <cell r="AD269"/>
          <cell r="AE269"/>
        </row>
        <row r="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row>
        <row r="271">
          <cell r="G271"/>
          <cell r="H271"/>
          <cell r="I271"/>
          <cell r="J271"/>
          <cell r="K271"/>
          <cell r="L271"/>
          <cell r="M271"/>
          <cell r="N271"/>
          <cell r="O271"/>
          <cell r="P271"/>
          <cell r="Q271"/>
          <cell r="R271"/>
          <cell r="S271"/>
          <cell r="T271"/>
          <cell r="U271"/>
          <cell r="V271"/>
          <cell r="W271"/>
          <cell r="X271"/>
          <cell r="Y271"/>
          <cell r="Z271"/>
          <cell r="AA271"/>
          <cell r="AB271"/>
          <cell r="AC271"/>
          <cell r="AD271"/>
          <cell r="AE271"/>
        </row>
        <row r="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row>
        <row r="273">
          <cell r="G273"/>
          <cell r="H273"/>
          <cell r="I273"/>
          <cell r="J273"/>
          <cell r="K273"/>
          <cell r="L273"/>
          <cell r="M273"/>
          <cell r="N273"/>
          <cell r="O273"/>
          <cell r="P273"/>
          <cell r="Q273"/>
          <cell r="R273"/>
          <cell r="S273"/>
          <cell r="T273"/>
          <cell r="U273"/>
          <cell r="V273"/>
          <cell r="W273"/>
          <cell r="X273"/>
          <cell r="Y273"/>
          <cell r="Z273"/>
          <cell r="AA273"/>
          <cell r="AB273"/>
          <cell r="AC273"/>
          <cell r="AD273"/>
          <cell r="AE273"/>
        </row>
        <row r="274">
          <cell r="G274"/>
          <cell r="H274"/>
          <cell r="I274"/>
          <cell r="J274"/>
          <cell r="K274"/>
          <cell r="L274"/>
          <cell r="M274"/>
          <cell r="N274"/>
          <cell r="O274"/>
          <cell r="P274"/>
          <cell r="Q274"/>
          <cell r="R274"/>
          <cell r="S274"/>
          <cell r="T274"/>
          <cell r="U274"/>
          <cell r="V274"/>
          <cell r="W274"/>
          <cell r="X274"/>
          <cell r="Y274"/>
          <cell r="Z274"/>
          <cell r="AA274"/>
          <cell r="AB274"/>
          <cell r="AC274"/>
          <cell r="AD274"/>
          <cell r="AE274"/>
        </row>
        <row r="275">
          <cell r="G275"/>
          <cell r="H275"/>
          <cell r="I275"/>
          <cell r="J275"/>
          <cell r="K275"/>
          <cell r="L275"/>
          <cell r="M275"/>
          <cell r="N275"/>
          <cell r="O275"/>
          <cell r="P275"/>
          <cell r="Q275"/>
          <cell r="R275"/>
          <cell r="S275"/>
          <cell r="T275"/>
          <cell r="U275"/>
          <cell r="V275"/>
          <cell r="W275"/>
          <cell r="X275"/>
          <cell r="Y275"/>
          <cell r="Z275"/>
          <cell r="AA275"/>
          <cell r="AB275"/>
          <cell r="AC275"/>
          <cell r="AD275"/>
          <cell r="AE275"/>
        </row>
        <row r="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row>
        <row r="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row>
        <row r="278">
          <cell r="G278"/>
          <cell r="H278"/>
          <cell r="I278"/>
          <cell r="J278"/>
          <cell r="K278"/>
          <cell r="L278"/>
          <cell r="M278"/>
          <cell r="N278"/>
          <cell r="O278"/>
          <cell r="P278"/>
          <cell r="Q278"/>
          <cell r="R278"/>
          <cell r="S278"/>
          <cell r="T278"/>
          <cell r="U278"/>
          <cell r="V278"/>
          <cell r="W278"/>
          <cell r="X278"/>
          <cell r="Y278"/>
          <cell r="Z278"/>
          <cell r="AA278"/>
          <cell r="AB278"/>
          <cell r="AC278"/>
          <cell r="AD278"/>
          <cell r="AE278"/>
        </row>
        <row r="279">
          <cell r="G279"/>
          <cell r="H279"/>
          <cell r="I279"/>
          <cell r="J279"/>
          <cell r="K279"/>
          <cell r="L279"/>
          <cell r="M279"/>
          <cell r="N279"/>
          <cell r="O279"/>
          <cell r="P279"/>
          <cell r="Q279"/>
          <cell r="R279"/>
          <cell r="S279"/>
          <cell r="T279"/>
          <cell r="U279"/>
          <cell r="V279"/>
          <cell r="W279"/>
          <cell r="X279"/>
          <cell r="Y279"/>
          <cell r="Z279"/>
          <cell r="AA279"/>
          <cell r="AB279"/>
          <cell r="AC279"/>
          <cell r="AD279"/>
          <cell r="AE279"/>
        </row>
        <row r="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row>
        <row r="281">
          <cell r="G281"/>
          <cell r="H281"/>
          <cell r="I281"/>
          <cell r="J281"/>
          <cell r="K281"/>
          <cell r="L281"/>
          <cell r="M281"/>
          <cell r="N281"/>
          <cell r="O281"/>
          <cell r="P281"/>
          <cell r="Q281"/>
          <cell r="R281"/>
          <cell r="S281"/>
          <cell r="T281"/>
          <cell r="U281"/>
          <cell r="V281"/>
          <cell r="W281"/>
          <cell r="X281"/>
          <cell r="Y281"/>
          <cell r="Z281"/>
          <cell r="AA281"/>
          <cell r="AB281"/>
          <cell r="AC281"/>
          <cell r="AD281"/>
          <cell r="AE281"/>
        </row>
        <row r="282">
          <cell r="G282"/>
          <cell r="H282"/>
          <cell r="I282"/>
          <cell r="J282"/>
          <cell r="K282"/>
          <cell r="L282"/>
          <cell r="M282"/>
          <cell r="N282"/>
          <cell r="O282"/>
          <cell r="P282"/>
          <cell r="Q282"/>
          <cell r="R282"/>
          <cell r="S282"/>
          <cell r="T282"/>
          <cell r="U282"/>
          <cell r="V282"/>
          <cell r="W282"/>
          <cell r="X282"/>
          <cell r="Y282"/>
          <cell r="Z282"/>
          <cell r="AA282"/>
          <cell r="AB282"/>
          <cell r="AC282"/>
          <cell r="AD282"/>
          <cell r="AE282"/>
        </row>
        <row r="283">
          <cell r="G283"/>
          <cell r="H283"/>
          <cell r="I283"/>
          <cell r="J283"/>
          <cell r="K283"/>
          <cell r="L283"/>
          <cell r="M283"/>
          <cell r="N283"/>
          <cell r="O283"/>
          <cell r="P283"/>
          <cell r="Q283"/>
          <cell r="R283"/>
          <cell r="S283"/>
          <cell r="T283"/>
          <cell r="U283"/>
          <cell r="V283"/>
          <cell r="W283"/>
          <cell r="X283"/>
          <cell r="Y283"/>
          <cell r="Z283"/>
          <cell r="AA283"/>
          <cell r="AB283"/>
          <cell r="AC283"/>
          <cell r="AD283"/>
          <cell r="AE283"/>
        </row>
        <row r="284">
          <cell r="G284"/>
          <cell r="H284"/>
          <cell r="I284"/>
          <cell r="J284"/>
          <cell r="K284"/>
          <cell r="L284"/>
          <cell r="M284"/>
          <cell r="N284"/>
          <cell r="O284"/>
          <cell r="P284"/>
          <cell r="Q284"/>
          <cell r="R284"/>
          <cell r="S284"/>
          <cell r="T284"/>
          <cell r="U284"/>
          <cell r="V284"/>
          <cell r="W284"/>
          <cell r="X284"/>
          <cell r="Y284"/>
          <cell r="Z284"/>
          <cell r="AA284"/>
          <cell r="AB284"/>
          <cell r="AC284"/>
          <cell r="AD284"/>
          <cell r="AE284"/>
        </row>
        <row r="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row>
        <row r="286">
          <cell r="G286"/>
          <cell r="H286"/>
          <cell r="I286"/>
          <cell r="J286"/>
          <cell r="K286"/>
          <cell r="L286"/>
          <cell r="M286"/>
          <cell r="N286"/>
          <cell r="O286"/>
          <cell r="P286"/>
          <cell r="Q286"/>
          <cell r="R286"/>
          <cell r="S286"/>
          <cell r="T286"/>
          <cell r="U286"/>
          <cell r="V286"/>
          <cell r="W286"/>
          <cell r="X286"/>
          <cell r="Y286"/>
          <cell r="Z286"/>
          <cell r="AA286"/>
          <cell r="AB286"/>
          <cell r="AC286"/>
          <cell r="AD286"/>
          <cell r="AE286"/>
        </row>
        <row r="287">
          <cell r="G287"/>
          <cell r="H287"/>
          <cell r="I287"/>
          <cell r="J287"/>
          <cell r="K287"/>
          <cell r="L287"/>
          <cell r="M287"/>
          <cell r="N287"/>
          <cell r="O287"/>
          <cell r="P287"/>
          <cell r="Q287"/>
          <cell r="R287"/>
          <cell r="S287"/>
          <cell r="T287"/>
          <cell r="U287"/>
          <cell r="V287"/>
          <cell r="W287"/>
          <cell r="X287"/>
          <cell r="Y287"/>
          <cell r="Z287"/>
          <cell r="AA287"/>
          <cell r="AB287"/>
          <cell r="AC287"/>
          <cell r="AD287"/>
          <cell r="AE287"/>
        </row>
        <row r="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row>
        <row r="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row>
        <row r="290">
          <cell r="G290"/>
          <cell r="H290"/>
          <cell r="I290"/>
          <cell r="J290"/>
          <cell r="K290"/>
          <cell r="L290"/>
          <cell r="M290"/>
          <cell r="N290"/>
          <cell r="O290"/>
          <cell r="P290"/>
          <cell r="Q290"/>
          <cell r="R290"/>
          <cell r="S290"/>
          <cell r="T290"/>
          <cell r="U290"/>
          <cell r="V290"/>
          <cell r="W290"/>
          <cell r="X290"/>
          <cell r="Y290"/>
          <cell r="Z290"/>
          <cell r="AA290"/>
          <cell r="AB290"/>
          <cell r="AC290"/>
          <cell r="AD290"/>
          <cell r="AE290"/>
        </row>
        <row r="291">
          <cell r="G291"/>
          <cell r="H291"/>
          <cell r="I291"/>
          <cell r="J291"/>
          <cell r="K291"/>
          <cell r="L291"/>
          <cell r="M291"/>
          <cell r="N291"/>
          <cell r="O291"/>
          <cell r="P291"/>
          <cell r="Q291"/>
          <cell r="R291"/>
          <cell r="S291"/>
          <cell r="T291"/>
          <cell r="U291"/>
          <cell r="V291"/>
          <cell r="W291"/>
          <cell r="X291"/>
          <cell r="Y291"/>
          <cell r="Z291"/>
          <cell r="AA291"/>
          <cell r="AB291"/>
          <cell r="AC291"/>
          <cell r="AD291"/>
          <cell r="AE291"/>
        </row>
        <row r="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row>
        <row r="293">
          <cell r="G293"/>
          <cell r="H293"/>
          <cell r="I293"/>
          <cell r="J293"/>
          <cell r="K293"/>
          <cell r="L293"/>
          <cell r="M293"/>
          <cell r="N293"/>
          <cell r="O293"/>
          <cell r="P293"/>
          <cell r="Q293"/>
          <cell r="R293"/>
          <cell r="S293"/>
          <cell r="T293"/>
          <cell r="U293"/>
          <cell r="V293"/>
          <cell r="W293"/>
          <cell r="X293"/>
          <cell r="Y293"/>
          <cell r="Z293"/>
          <cell r="AA293"/>
          <cell r="AB293"/>
          <cell r="AC293"/>
          <cell r="AD293"/>
          <cell r="AE293"/>
        </row>
        <row r="294">
          <cell r="G294"/>
          <cell r="H294"/>
          <cell r="I294"/>
          <cell r="J294"/>
          <cell r="K294"/>
          <cell r="L294"/>
          <cell r="M294"/>
          <cell r="N294"/>
          <cell r="O294"/>
          <cell r="P294"/>
          <cell r="Q294"/>
          <cell r="R294"/>
          <cell r="S294"/>
          <cell r="T294"/>
          <cell r="U294"/>
          <cell r="V294"/>
          <cell r="W294"/>
          <cell r="X294"/>
          <cell r="Y294"/>
          <cell r="Z294"/>
          <cell r="AA294"/>
          <cell r="AB294"/>
          <cell r="AC294"/>
          <cell r="AD294"/>
          <cell r="AE294"/>
        </row>
        <row r="295">
          <cell r="G295"/>
          <cell r="H295"/>
          <cell r="I295"/>
          <cell r="J295"/>
          <cell r="K295"/>
          <cell r="L295"/>
          <cell r="M295"/>
          <cell r="N295"/>
          <cell r="O295"/>
          <cell r="P295"/>
          <cell r="Q295"/>
          <cell r="R295"/>
          <cell r="S295"/>
          <cell r="T295"/>
          <cell r="U295"/>
          <cell r="V295"/>
          <cell r="W295"/>
          <cell r="X295"/>
          <cell r="Y295"/>
          <cell r="Z295"/>
          <cell r="AA295"/>
          <cell r="AB295"/>
          <cell r="AC295"/>
          <cell r="AD295"/>
          <cell r="AE295"/>
        </row>
        <row r="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row>
        <row r="297">
          <cell r="G297"/>
          <cell r="H297"/>
          <cell r="I297"/>
          <cell r="J297"/>
          <cell r="K297"/>
          <cell r="L297"/>
          <cell r="M297"/>
          <cell r="N297"/>
          <cell r="O297"/>
          <cell r="P297"/>
          <cell r="Q297"/>
          <cell r="R297"/>
          <cell r="S297"/>
          <cell r="T297"/>
          <cell r="U297"/>
          <cell r="V297"/>
          <cell r="W297"/>
          <cell r="X297"/>
          <cell r="Y297"/>
          <cell r="Z297"/>
          <cell r="AA297"/>
          <cell r="AB297"/>
          <cell r="AC297"/>
          <cell r="AD297"/>
          <cell r="AE297"/>
        </row>
        <row r="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row>
        <row r="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row>
        <row r="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row>
        <row r="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row>
        <row r="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row>
        <row r="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row>
        <row r="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row>
        <row r="305">
          <cell r="G305"/>
          <cell r="H305"/>
          <cell r="I305"/>
          <cell r="J305"/>
          <cell r="K305"/>
          <cell r="L305"/>
          <cell r="M305"/>
          <cell r="N305"/>
          <cell r="O305"/>
          <cell r="P305"/>
          <cell r="Q305"/>
          <cell r="R305"/>
          <cell r="S305"/>
          <cell r="T305"/>
          <cell r="U305"/>
          <cell r="V305"/>
          <cell r="W305"/>
          <cell r="X305"/>
          <cell r="Y305"/>
          <cell r="Z305"/>
          <cell r="AA305"/>
          <cell r="AB305"/>
          <cell r="AC305"/>
          <cell r="AD305"/>
          <cell r="AE305"/>
        </row>
        <row r="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row>
        <row r="307">
          <cell r="G307"/>
          <cell r="H307"/>
          <cell r="I307"/>
          <cell r="J307"/>
          <cell r="K307"/>
          <cell r="L307"/>
          <cell r="M307"/>
          <cell r="N307"/>
          <cell r="O307"/>
          <cell r="P307"/>
          <cell r="Q307"/>
          <cell r="R307"/>
          <cell r="S307"/>
          <cell r="T307"/>
          <cell r="U307"/>
          <cell r="V307"/>
          <cell r="W307"/>
          <cell r="X307"/>
          <cell r="Y307"/>
          <cell r="Z307"/>
          <cell r="AA307"/>
          <cell r="AB307"/>
          <cell r="AC307"/>
          <cell r="AD307"/>
          <cell r="AE307"/>
        </row>
        <row r="308">
          <cell r="G308"/>
          <cell r="H308"/>
          <cell r="I308"/>
          <cell r="J308"/>
          <cell r="K308"/>
          <cell r="L308"/>
          <cell r="M308"/>
          <cell r="N308"/>
          <cell r="O308"/>
          <cell r="P308"/>
          <cell r="Q308"/>
          <cell r="R308"/>
          <cell r="S308"/>
          <cell r="T308"/>
          <cell r="U308"/>
          <cell r="V308"/>
          <cell r="W308"/>
          <cell r="X308"/>
          <cell r="Y308"/>
          <cell r="Z308"/>
          <cell r="AA308"/>
          <cell r="AB308"/>
          <cell r="AC308"/>
          <cell r="AD308"/>
          <cell r="AE308"/>
        </row>
        <row r="309">
          <cell r="G309"/>
          <cell r="H309"/>
          <cell r="I309"/>
          <cell r="J309"/>
          <cell r="K309"/>
          <cell r="L309"/>
          <cell r="M309"/>
          <cell r="N309"/>
          <cell r="O309"/>
          <cell r="P309"/>
          <cell r="Q309"/>
          <cell r="R309"/>
          <cell r="S309"/>
          <cell r="T309"/>
          <cell r="U309"/>
          <cell r="V309"/>
          <cell r="W309"/>
          <cell r="X309"/>
          <cell r="Y309"/>
          <cell r="Z309"/>
          <cell r="AA309"/>
          <cell r="AB309"/>
          <cell r="AC309"/>
          <cell r="AD309"/>
          <cell r="AE309"/>
        </row>
        <row r="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row>
        <row r="311">
          <cell r="G311"/>
          <cell r="H311"/>
          <cell r="I311"/>
          <cell r="J311"/>
          <cell r="K311"/>
          <cell r="L311"/>
          <cell r="M311"/>
          <cell r="N311"/>
          <cell r="O311"/>
          <cell r="P311"/>
          <cell r="Q311"/>
          <cell r="R311"/>
          <cell r="S311"/>
          <cell r="T311"/>
          <cell r="U311"/>
          <cell r="V311"/>
          <cell r="W311"/>
          <cell r="X311"/>
          <cell r="Y311"/>
          <cell r="Z311"/>
          <cell r="AA311"/>
          <cell r="AB311"/>
          <cell r="AC311"/>
          <cell r="AD311"/>
          <cell r="AE311"/>
        </row>
        <row r="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row>
        <row r="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row>
        <row r="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row>
        <row r="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row>
        <row r="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row>
        <row r="317">
          <cell r="G317"/>
          <cell r="H317"/>
          <cell r="I317"/>
          <cell r="J317"/>
          <cell r="K317"/>
          <cell r="L317"/>
          <cell r="M317"/>
          <cell r="N317"/>
          <cell r="O317"/>
          <cell r="P317"/>
          <cell r="Q317"/>
          <cell r="R317"/>
          <cell r="S317"/>
          <cell r="T317"/>
          <cell r="U317"/>
          <cell r="V317"/>
          <cell r="W317"/>
          <cell r="X317"/>
          <cell r="Y317"/>
          <cell r="Z317"/>
          <cell r="AA317"/>
          <cell r="AB317"/>
          <cell r="AC317"/>
          <cell r="AD317"/>
          <cell r="AE317"/>
        </row>
        <row r="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row>
        <row r="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row>
        <row r="320">
          <cell r="G320"/>
          <cell r="H320"/>
          <cell r="I320"/>
          <cell r="J320"/>
          <cell r="K320"/>
          <cell r="L320"/>
          <cell r="M320"/>
          <cell r="N320"/>
          <cell r="O320"/>
          <cell r="P320"/>
          <cell r="Q320"/>
          <cell r="R320"/>
          <cell r="S320"/>
          <cell r="T320"/>
          <cell r="U320"/>
          <cell r="V320"/>
          <cell r="W320"/>
          <cell r="X320"/>
          <cell r="Y320"/>
          <cell r="Z320"/>
          <cell r="AA320"/>
          <cell r="AB320"/>
          <cell r="AC320"/>
          <cell r="AD320"/>
          <cell r="AE320"/>
        </row>
        <row r="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row>
        <row r="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row>
        <row r="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row>
        <row r="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row>
        <row r="325">
          <cell r="G325"/>
          <cell r="H325"/>
          <cell r="I325"/>
          <cell r="J325"/>
          <cell r="K325"/>
          <cell r="L325"/>
          <cell r="M325"/>
          <cell r="N325"/>
          <cell r="O325"/>
          <cell r="P325"/>
          <cell r="Q325"/>
          <cell r="R325"/>
          <cell r="S325"/>
          <cell r="T325"/>
          <cell r="U325"/>
          <cell r="V325"/>
          <cell r="W325"/>
          <cell r="X325"/>
          <cell r="Y325"/>
          <cell r="Z325"/>
          <cell r="AA325"/>
          <cell r="AB325"/>
          <cell r="AC325"/>
          <cell r="AD325"/>
          <cell r="AE325"/>
        </row>
        <row r="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row>
        <row r="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row>
        <row r="328">
          <cell r="G328"/>
          <cell r="H328"/>
          <cell r="I328"/>
          <cell r="J328"/>
          <cell r="K328"/>
          <cell r="L328"/>
          <cell r="M328"/>
          <cell r="N328"/>
          <cell r="O328"/>
          <cell r="P328"/>
          <cell r="Q328"/>
          <cell r="R328"/>
          <cell r="S328"/>
          <cell r="T328"/>
          <cell r="U328"/>
          <cell r="V328"/>
          <cell r="W328"/>
          <cell r="X328"/>
          <cell r="Y328"/>
          <cell r="Z328"/>
          <cell r="AA328"/>
          <cell r="AB328"/>
          <cell r="AC328"/>
          <cell r="AD328"/>
          <cell r="AE328"/>
        </row>
        <row r="329">
          <cell r="G329"/>
          <cell r="H329"/>
          <cell r="I329"/>
          <cell r="J329"/>
          <cell r="K329"/>
          <cell r="L329"/>
          <cell r="M329"/>
          <cell r="N329"/>
          <cell r="O329"/>
          <cell r="P329"/>
          <cell r="Q329"/>
          <cell r="R329"/>
          <cell r="S329"/>
          <cell r="T329"/>
          <cell r="U329"/>
          <cell r="V329"/>
          <cell r="W329"/>
          <cell r="X329"/>
          <cell r="Y329"/>
          <cell r="Z329"/>
          <cell r="AA329"/>
          <cell r="AB329"/>
          <cell r="AC329"/>
          <cell r="AD329"/>
          <cell r="AE329"/>
        </row>
        <row r="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row>
        <row r="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row>
        <row r="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row>
        <row r="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row>
        <row r="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row>
        <row r="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row>
        <row r="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row>
        <row r="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row>
        <row r="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row>
        <row r="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row>
        <row r="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row>
        <row r="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row>
        <row r="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row>
        <row r="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row>
        <row r="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row>
        <row r="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row>
        <row r="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row>
        <row r="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row>
        <row r="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row>
        <row r="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row>
        <row r="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row>
        <row r="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row>
        <row r="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row>
        <row r="353">
          <cell r="G353"/>
          <cell r="H353"/>
          <cell r="I353"/>
          <cell r="J353"/>
          <cell r="K353"/>
          <cell r="L353"/>
          <cell r="M353"/>
          <cell r="N353"/>
          <cell r="O353"/>
          <cell r="P353"/>
          <cell r="Q353"/>
          <cell r="R353"/>
          <cell r="S353"/>
          <cell r="T353"/>
          <cell r="U353"/>
          <cell r="V353"/>
          <cell r="W353"/>
          <cell r="X353"/>
          <cell r="Y353"/>
          <cell r="Z353"/>
          <cell r="AA353"/>
          <cell r="AB353"/>
          <cell r="AC353"/>
          <cell r="AD353"/>
          <cell r="AE353"/>
        </row>
        <row r="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row>
        <row r="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row>
        <row r="356">
          <cell r="G356"/>
          <cell r="H356"/>
          <cell r="I356"/>
          <cell r="J356"/>
          <cell r="K356"/>
          <cell r="L356"/>
          <cell r="M356"/>
          <cell r="N356"/>
          <cell r="O356"/>
          <cell r="P356"/>
          <cell r="Q356"/>
          <cell r="R356"/>
          <cell r="S356"/>
          <cell r="T356"/>
          <cell r="U356"/>
          <cell r="V356"/>
          <cell r="W356"/>
          <cell r="X356"/>
          <cell r="Y356"/>
          <cell r="Z356"/>
          <cell r="AA356"/>
          <cell r="AB356"/>
          <cell r="AC356"/>
          <cell r="AD356"/>
          <cell r="AE356"/>
        </row>
        <row r="357">
          <cell r="G357"/>
          <cell r="H357"/>
          <cell r="I357"/>
          <cell r="J357"/>
          <cell r="K357"/>
          <cell r="L357"/>
          <cell r="M357"/>
          <cell r="N357"/>
          <cell r="O357"/>
          <cell r="P357"/>
          <cell r="Q357"/>
          <cell r="R357"/>
          <cell r="S357"/>
          <cell r="T357"/>
          <cell r="U357"/>
          <cell r="V357"/>
          <cell r="W357"/>
          <cell r="X357"/>
          <cell r="Y357"/>
          <cell r="Z357"/>
          <cell r="AA357"/>
          <cell r="AB357"/>
          <cell r="AC357"/>
          <cell r="AD357"/>
          <cell r="AE357"/>
        </row>
        <row r="358">
          <cell r="G358"/>
          <cell r="H358"/>
          <cell r="I358"/>
          <cell r="J358"/>
          <cell r="K358"/>
          <cell r="L358"/>
          <cell r="M358"/>
          <cell r="N358"/>
          <cell r="O358"/>
          <cell r="P358"/>
          <cell r="Q358"/>
          <cell r="R358"/>
          <cell r="S358"/>
          <cell r="T358"/>
          <cell r="U358"/>
          <cell r="V358"/>
          <cell r="W358"/>
          <cell r="X358"/>
          <cell r="Y358"/>
          <cell r="Z358"/>
          <cell r="AA358"/>
          <cell r="AB358"/>
          <cell r="AC358"/>
          <cell r="AD358"/>
          <cell r="AE358"/>
        </row>
        <row r="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row>
        <row r="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row>
        <row r="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row>
        <row r="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row>
        <row r="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row>
        <row r="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row>
        <row r="365">
          <cell r="G365"/>
          <cell r="H365"/>
          <cell r="I365"/>
          <cell r="J365"/>
          <cell r="K365"/>
          <cell r="L365"/>
          <cell r="M365"/>
          <cell r="N365"/>
          <cell r="O365"/>
          <cell r="P365"/>
          <cell r="Q365"/>
          <cell r="R365"/>
          <cell r="S365"/>
          <cell r="T365"/>
          <cell r="U365"/>
          <cell r="V365"/>
          <cell r="W365"/>
          <cell r="X365"/>
          <cell r="Y365"/>
          <cell r="Z365"/>
          <cell r="AA365"/>
          <cell r="AB365"/>
          <cell r="AC365"/>
          <cell r="AD365"/>
          <cell r="AE365"/>
        </row>
        <row r="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row>
        <row r="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row>
        <row r="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row>
        <row r="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row>
        <row r="370">
          <cell r="G370"/>
          <cell r="H370"/>
          <cell r="I370"/>
          <cell r="J370"/>
          <cell r="K370"/>
          <cell r="L370"/>
          <cell r="M370"/>
          <cell r="N370"/>
          <cell r="O370"/>
          <cell r="P370"/>
          <cell r="Q370"/>
          <cell r="R370"/>
          <cell r="S370"/>
          <cell r="T370"/>
          <cell r="U370"/>
          <cell r="V370"/>
          <cell r="W370"/>
          <cell r="X370"/>
          <cell r="Y370"/>
          <cell r="Z370"/>
          <cell r="AA370"/>
          <cell r="AB370"/>
          <cell r="AC370"/>
          <cell r="AD370"/>
          <cell r="AE370"/>
        </row>
        <row r="371">
          <cell r="G371"/>
          <cell r="H371"/>
          <cell r="I371"/>
          <cell r="J371"/>
          <cell r="K371"/>
          <cell r="L371"/>
          <cell r="M371"/>
          <cell r="N371"/>
          <cell r="O371"/>
          <cell r="P371"/>
          <cell r="Q371"/>
          <cell r="R371"/>
          <cell r="S371"/>
          <cell r="T371"/>
          <cell r="U371"/>
          <cell r="V371"/>
          <cell r="W371"/>
          <cell r="X371"/>
          <cell r="Y371"/>
          <cell r="Z371"/>
          <cell r="AA371"/>
          <cell r="AB371"/>
          <cell r="AC371"/>
          <cell r="AD371"/>
          <cell r="AE371"/>
        </row>
        <row r="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row>
        <row r="373">
          <cell r="G373"/>
          <cell r="H373"/>
          <cell r="I373"/>
          <cell r="J373"/>
          <cell r="K373"/>
          <cell r="L373"/>
          <cell r="M373"/>
          <cell r="N373"/>
          <cell r="O373"/>
          <cell r="P373"/>
          <cell r="Q373"/>
          <cell r="R373"/>
          <cell r="S373"/>
          <cell r="T373"/>
          <cell r="U373"/>
          <cell r="V373"/>
          <cell r="W373"/>
          <cell r="X373"/>
          <cell r="Y373"/>
          <cell r="Z373"/>
          <cell r="AA373"/>
          <cell r="AB373"/>
          <cell r="AC373"/>
          <cell r="AD373"/>
          <cell r="AE373"/>
        </row>
        <row r="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row>
        <row r="375">
          <cell r="G375"/>
          <cell r="H375"/>
          <cell r="I375"/>
          <cell r="J375"/>
          <cell r="K375"/>
          <cell r="L375"/>
          <cell r="M375"/>
          <cell r="N375"/>
          <cell r="O375"/>
          <cell r="P375"/>
          <cell r="Q375"/>
          <cell r="R375"/>
          <cell r="S375"/>
          <cell r="T375"/>
          <cell r="U375"/>
          <cell r="V375"/>
          <cell r="W375"/>
          <cell r="X375"/>
          <cell r="Y375"/>
          <cell r="Z375"/>
          <cell r="AA375"/>
          <cell r="AB375"/>
          <cell r="AC375"/>
          <cell r="AD375"/>
          <cell r="AE375"/>
        </row>
        <row r="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row>
        <row r="377">
          <cell r="G377"/>
          <cell r="H377"/>
          <cell r="I377"/>
          <cell r="J377"/>
          <cell r="K377"/>
          <cell r="L377"/>
          <cell r="M377"/>
          <cell r="N377"/>
          <cell r="O377"/>
          <cell r="P377"/>
          <cell r="Q377"/>
          <cell r="R377"/>
          <cell r="S377"/>
          <cell r="T377"/>
          <cell r="U377"/>
          <cell r="V377"/>
          <cell r="W377"/>
          <cell r="X377"/>
          <cell r="Y377"/>
          <cell r="Z377"/>
          <cell r="AA377"/>
          <cell r="AB377"/>
          <cell r="AC377"/>
          <cell r="AD377"/>
          <cell r="AE377"/>
        </row>
        <row r="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row>
        <row r="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row>
        <row r="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row>
        <row r="381">
          <cell r="G381"/>
          <cell r="H381"/>
          <cell r="I381"/>
          <cell r="J381"/>
          <cell r="K381"/>
          <cell r="L381"/>
          <cell r="M381"/>
          <cell r="N381"/>
          <cell r="O381"/>
          <cell r="P381"/>
          <cell r="Q381"/>
          <cell r="R381"/>
          <cell r="S381"/>
          <cell r="T381"/>
          <cell r="U381"/>
          <cell r="V381"/>
          <cell r="W381"/>
          <cell r="X381"/>
          <cell r="Y381"/>
          <cell r="Z381"/>
          <cell r="AA381"/>
          <cell r="AB381"/>
          <cell r="AC381"/>
          <cell r="AD381"/>
          <cell r="AE381"/>
        </row>
        <row r="382">
          <cell r="G382"/>
          <cell r="H382"/>
          <cell r="I382"/>
          <cell r="J382"/>
          <cell r="K382"/>
          <cell r="L382"/>
          <cell r="M382"/>
          <cell r="N382"/>
          <cell r="O382"/>
          <cell r="P382"/>
          <cell r="Q382"/>
          <cell r="R382"/>
          <cell r="S382"/>
          <cell r="T382"/>
          <cell r="U382"/>
          <cell r="V382"/>
          <cell r="W382"/>
          <cell r="X382"/>
          <cell r="Y382"/>
          <cell r="Z382"/>
          <cell r="AA382"/>
          <cell r="AB382"/>
          <cell r="AC382"/>
          <cell r="AD382"/>
          <cell r="AE382"/>
        </row>
        <row r="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row>
        <row r="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row>
        <row r="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row>
        <row r="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row>
        <row r="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row>
        <row r="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row>
        <row r="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row>
        <row r="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row>
        <row r="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row>
        <row r="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row>
        <row r="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row>
        <row r="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row>
        <row r="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row>
        <row r="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row>
        <row r="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row>
        <row r="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row>
        <row r="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row>
        <row r="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row>
        <row r="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row>
        <row r="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row>
        <row r="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row>
        <row r="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row>
        <row r="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row>
        <row r="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row>
        <row r="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row>
        <row r="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row>
        <row r="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row>
        <row r="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row>
        <row r="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row>
        <row r="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row>
        <row r="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row>
        <row r="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row>
        <row r="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row>
        <row r="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row>
        <row r="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row>
        <row r="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row>
        <row r="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row>
        <row r="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row>
        <row r="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row>
        <row r="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row>
        <row r="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row>
        <row r="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row>
        <row r="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row>
        <row r="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row>
        <row r="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row>
        <row r="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row>
        <row r="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row>
        <row r="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row>
        <row r="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row>
        <row r="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row>
        <row r="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row>
        <row r="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row>
        <row r="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row>
        <row r="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row>
        <row r="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row>
        <row r="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row>
        <row r="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row>
        <row r="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row>
        <row r="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row>
        <row r="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row>
        <row r="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row>
        <row r="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row>
        <row r="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row>
        <row r="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row>
        <row r="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row>
        <row r="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row>
        <row r="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row>
        <row r="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row>
        <row r="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row>
        <row r="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row>
        <row r="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row>
        <row r="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row>
        <row r="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row>
        <row r="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row>
        <row r="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row>
        <row r="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row>
        <row r="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row>
        <row r="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row>
        <row r="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row>
        <row r="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row>
        <row r="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row>
        <row r="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row>
        <row r="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row>
        <row r="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row>
        <row r="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row>
        <row r="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row>
        <row r="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row>
        <row r="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row>
        <row r="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row>
        <row r="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row>
        <row r="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row>
        <row r="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row>
        <row r="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row>
        <row r="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row>
        <row r="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row>
        <row r="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row>
        <row r="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row>
        <row r="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row>
        <row r="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row>
        <row r="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row>
        <row r="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row>
        <row r="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row>
        <row r="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row>
        <row r="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row>
        <row r="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row>
        <row r="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row>
        <row r="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row>
        <row r="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row>
        <row r="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row>
        <row r="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row>
        <row r="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row>
        <row r="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row>
        <row r="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row>
        <row r="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row>
        <row r="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row>
        <row r="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row>
        <row r="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row>
        <row r="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row>
        <row r="501">
          <cell r="G501"/>
          <cell r="H501"/>
          <cell r="I501"/>
          <cell r="J501"/>
          <cell r="K501"/>
          <cell r="L501"/>
          <cell r="M501"/>
          <cell r="N501"/>
          <cell r="O501"/>
          <cell r="P501"/>
          <cell r="Q501"/>
          <cell r="R501"/>
          <cell r="S501"/>
          <cell r="T501"/>
          <cell r="U501"/>
          <cell r="V501"/>
          <cell r="W501"/>
          <cell r="X501"/>
          <cell r="Y501"/>
          <cell r="Z501"/>
          <cell r="AA501"/>
          <cell r="AB501"/>
          <cell r="AC501"/>
          <cell r="AD501"/>
          <cell r="AE501"/>
        </row>
      </sheetData>
      <sheetData sheetId="2"/>
      <sheetData sheetId="3"/>
      <sheetData sheetId="4">
        <row r="14">
          <cell r="C14" t="str">
            <v>OR_Single Family</v>
          </cell>
          <cell r="D14" t="str">
            <v>Single Family</v>
          </cell>
          <cell r="E14" t="str">
            <v>New</v>
          </cell>
          <cell r="F14">
            <v>6704</v>
          </cell>
          <cell r="G14">
            <v>6968</v>
          </cell>
          <cell r="H14">
            <v>8205</v>
          </cell>
          <cell r="I14">
            <v>9300</v>
          </cell>
          <cell r="J14">
            <v>11414</v>
          </cell>
          <cell r="K14">
            <v>13600</v>
          </cell>
          <cell r="L14">
            <v>12406</v>
          </cell>
          <cell r="M14">
            <v>14907</v>
          </cell>
          <cell r="N14">
            <v>16765</v>
          </cell>
          <cell r="O14">
            <v>17498</v>
          </cell>
          <cell r="P14">
            <v>16395</v>
          </cell>
          <cell r="Q14">
            <v>18008</v>
          </cell>
          <cell r="R14">
            <v>16935</v>
          </cell>
          <cell r="S14">
            <v>17518</v>
          </cell>
          <cell r="T14">
            <v>16687</v>
          </cell>
          <cell r="U14">
            <v>15476</v>
          </cell>
          <cell r="V14">
            <v>15963</v>
          </cell>
          <cell r="W14">
            <v>17418</v>
          </cell>
          <cell r="X14">
            <v>18681</v>
          </cell>
          <cell r="Y14">
            <v>20556</v>
          </cell>
          <cell r="Z14">
            <v>23352</v>
          </cell>
          <cell r="AA14">
            <v>20383</v>
          </cell>
          <cell r="AB14">
            <v>15397</v>
          </cell>
          <cell r="AC14">
            <v>8164.9999999999991</v>
          </cell>
          <cell r="AD14">
            <v>5328</v>
          </cell>
          <cell r="AE14">
            <v>5305</v>
          </cell>
          <cell r="AF14">
            <v>5050</v>
          </cell>
          <cell r="AG14">
            <v>6513</v>
          </cell>
          <cell r="AH14">
            <v>8720</v>
          </cell>
          <cell r="AI14">
            <v>11272</v>
          </cell>
          <cell r="AJ14">
            <v>15952</v>
          </cell>
          <cell r="AK14">
            <v>17272</v>
          </cell>
          <cell r="AL14">
            <v>16727</v>
          </cell>
          <cell r="AM14">
            <v>16202.000000000002</v>
          </cell>
          <cell r="AN14">
            <v>15889</v>
          </cell>
          <cell r="AO14">
            <v>15686</v>
          </cell>
          <cell r="AP14">
            <v>15088</v>
          </cell>
          <cell r="AQ14">
            <v>14772</v>
          </cell>
          <cell r="AR14">
            <v>14734</v>
          </cell>
          <cell r="AS14">
            <v>14757</v>
          </cell>
          <cell r="AT14">
            <v>15342</v>
          </cell>
          <cell r="AU14">
            <v>15526</v>
          </cell>
          <cell r="AV14">
            <v>15254</v>
          </cell>
          <cell r="AW14">
            <v>14608</v>
          </cell>
          <cell r="AX14">
            <v>14523</v>
          </cell>
          <cell r="AY14">
            <v>14775</v>
          </cell>
          <cell r="AZ14">
            <v>14714</v>
          </cell>
          <cell r="BA14">
            <v>14158</v>
          </cell>
          <cell r="BB14">
            <v>14093</v>
          </cell>
          <cell r="BC14">
            <v>14173</v>
          </cell>
          <cell r="BD14">
            <v>14330</v>
          </cell>
        </row>
        <row r="15">
          <cell r="C15" t="str">
            <v>OR_Multi Family</v>
          </cell>
          <cell r="D15" t="str">
            <v>Multifamily - Low Rise</v>
          </cell>
          <cell r="E15" t="str">
            <v>New</v>
          </cell>
          <cell r="F15">
            <v>3772.8448706752683</v>
          </cell>
          <cell r="G15">
            <v>2941.0349178883071</v>
          </cell>
          <cell r="H15">
            <v>3202.3298129108261</v>
          </cell>
          <cell r="I15">
            <v>2714.899092549962</v>
          </cell>
          <cell r="J15">
            <v>8896.7022428480705</v>
          </cell>
          <cell r="K15">
            <v>8252.2238816719419</v>
          </cell>
          <cell r="L15">
            <v>3301.122737123248</v>
          </cell>
          <cell r="M15">
            <v>2811.4691158519631</v>
          </cell>
          <cell r="N15">
            <v>2637.894836250196</v>
          </cell>
          <cell r="O15">
            <v>4819.5855773579242</v>
          </cell>
          <cell r="P15">
            <v>6713.3146314455371</v>
          </cell>
          <cell r="Q15">
            <v>8721.3694621543327</v>
          </cell>
          <cell r="R15">
            <v>7555.8808889387019</v>
          </cell>
          <cell r="S15">
            <v>6573.1222265963652</v>
          </cell>
          <cell r="T15">
            <v>4692.7024347114893</v>
          </cell>
          <cell r="U15">
            <v>2354.7720492520393</v>
          </cell>
          <cell r="V15">
            <v>2899.5066232946756</v>
          </cell>
          <cell r="W15">
            <v>2562.0870522389155</v>
          </cell>
          <cell r="X15">
            <v>3686.8568040688797</v>
          </cell>
          <cell r="Y15">
            <v>3834.8880826444029</v>
          </cell>
          <cell r="Z15">
            <v>3263.6700424474207</v>
          </cell>
          <cell r="AA15">
            <v>4388.1347752705051</v>
          </cell>
          <cell r="AB15">
            <v>2959.161886968971</v>
          </cell>
          <cell r="AC15">
            <v>2360.9550283740805</v>
          </cell>
          <cell r="AD15">
            <v>671.9841739580163</v>
          </cell>
          <cell r="AE15">
            <v>66.596429394015331</v>
          </cell>
          <cell r="AF15">
            <v>949.87426015052506</v>
          </cell>
          <cell r="AG15">
            <v>2297.5049440684579</v>
          </cell>
          <cell r="AH15">
            <v>4512.1309043270476</v>
          </cell>
          <cell r="AI15">
            <v>4834.4211617459714</v>
          </cell>
          <cell r="AJ15">
            <v>6816.6588407441923</v>
          </cell>
          <cell r="AK15">
            <v>7232.862016530873</v>
          </cell>
          <cell r="AL15">
            <v>7009.2519401018944</v>
          </cell>
          <cell r="AM15">
            <v>7026.167603814305</v>
          </cell>
          <cell r="AN15">
            <v>7441.1769135052737</v>
          </cell>
          <cell r="AO15">
            <v>7431.377897912399</v>
          </cell>
          <cell r="AP15">
            <v>6971.963329889757</v>
          </cell>
          <cell r="AQ15">
            <v>6761.3209416287918</v>
          </cell>
          <cell r="AR15">
            <v>6554.7240085809162</v>
          </cell>
          <cell r="AS15">
            <v>6621.6730773670097</v>
          </cell>
          <cell r="AT15">
            <v>6557.8368230103088</v>
          </cell>
          <cell r="AU15">
            <v>6522.0493084879608</v>
          </cell>
          <cell r="AV15">
            <v>6282.365298704045</v>
          </cell>
          <cell r="AW15">
            <v>6009.1462390877323</v>
          </cell>
          <cell r="AX15">
            <v>5504.874605946914</v>
          </cell>
          <cell r="AY15">
            <v>5132.8554374960586</v>
          </cell>
          <cell r="AZ15">
            <v>4866.3598178070824</v>
          </cell>
          <cell r="BA15">
            <v>4605.8340776656614</v>
          </cell>
          <cell r="BB15">
            <v>4391.1894980251245</v>
          </cell>
          <cell r="BC15">
            <v>3931.255214930798</v>
          </cell>
          <cell r="BD15">
            <v>3779.4583907174715</v>
          </cell>
        </row>
        <row r="16">
          <cell r="C16" t="str">
            <v>OR</v>
          </cell>
          <cell r="D16" t="str">
            <v>Multifamily - High Rise</v>
          </cell>
          <cell r="E16" t="str">
            <v>New</v>
          </cell>
          <cell r="F16">
            <v>468.15512932473166</v>
          </cell>
          <cell r="G16">
            <v>512.96508211169294</v>
          </cell>
          <cell r="H16">
            <v>567.67018708917408</v>
          </cell>
          <cell r="I16">
            <v>1440.100907450038</v>
          </cell>
          <cell r="J16">
            <v>1235.2977571519298</v>
          </cell>
          <cell r="K16">
            <v>508.77611832805769</v>
          </cell>
          <cell r="L16">
            <v>504.87726287675196</v>
          </cell>
          <cell r="M16">
            <v>979.53088414803699</v>
          </cell>
          <cell r="N16">
            <v>1373.1051637498038</v>
          </cell>
          <cell r="O16">
            <v>1730.4144226420756</v>
          </cell>
          <cell r="P16">
            <v>2043.6853685544634</v>
          </cell>
          <cell r="Q16">
            <v>1875.6305378456677</v>
          </cell>
          <cell r="R16">
            <v>1705.1191110612986</v>
          </cell>
          <cell r="S16">
            <v>1382.877773403635</v>
          </cell>
          <cell r="T16">
            <v>1045.2975652885109</v>
          </cell>
          <cell r="U16">
            <v>1145.2279507479607</v>
          </cell>
          <cell r="V16">
            <v>1138.4933767053251</v>
          </cell>
          <cell r="W16">
            <v>1344.9129477610845</v>
          </cell>
          <cell r="X16">
            <v>1380.1431959311205</v>
          </cell>
          <cell r="Y16">
            <v>1332.1119173555971</v>
          </cell>
          <cell r="Z16">
            <v>1508.3299575525793</v>
          </cell>
          <cell r="AA16">
            <v>1311.8652247294947</v>
          </cell>
          <cell r="AB16">
            <v>1171.838113031029</v>
          </cell>
          <cell r="AC16">
            <v>876.04497162591952</v>
          </cell>
          <cell r="AD16">
            <v>822.0158260419837</v>
          </cell>
          <cell r="AE16">
            <v>1092.4035706059847</v>
          </cell>
          <cell r="AF16">
            <v>1676.1257398494749</v>
          </cell>
          <cell r="AG16">
            <v>1050.4950559315419</v>
          </cell>
          <cell r="AH16">
            <v>1179.8690956729522</v>
          </cell>
          <cell r="AI16">
            <v>1558.5788382540286</v>
          </cell>
          <cell r="AJ16">
            <v>1628.3411592558075</v>
          </cell>
          <cell r="AK16">
            <v>1590.137983469127</v>
          </cell>
          <cell r="AL16">
            <v>1606.7480598981056</v>
          </cell>
          <cell r="AM16">
            <v>1679.8323961856952</v>
          </cell>
          <cell r="AN16">
            <v>1660.8230864947266</v>
          </cell>
          <cell r="AO16">
            <v>1567.6221020876008</v>
          </cell>
          <cell r="AP16">
            <v>1522.0366701102428</v>
          </cell>
          <cell r="AQ16">
            <v>1485.6790583712077</v>
          </cell>
          <cell r="AR16">
            <v>1495.2759914190849</v>
          </cell>
          <cell r="AS16">
            <v>1480.3269226329903</v>
          </cell>
          <cell r="AT16">
            <v>1463.1631769896919</v>
          </cell>
          <cell r="AU16">
            <v>1405.9506915120394</v>
          </cell>
          <cell r="AV16">
            <v>1335.6347012959552</v>
          </cell>
          <cell r="AW16">
            <v>1227.8537609122679</v>
          </cell>
          <cell r="AX16">
            <v>1148.1253940530855</v>
          </cell>
          <cell r="AY16">
            <v>1088.1445625039419</v>
          </cell>
          <cell r="AZ16">
            <v>1029.6401821929173</v>
          </cell>
          <cell r="BA16">
            <v>973.16592233433857</v>
          </cell>
          <cell r="BB16">
            <v>881.81050197487571</v>
          </cell>
          <cell r="BC16">
            <v>846.74478506920184</v>
          </cell>
          <cell r="BD16">
            <v>808.54160928252838</v>
          </cell>
        </row>
        <row r="17">
          <cell r="C17" t="str">
            <v>OR_Other Family</v>
          </cell>
          <cell r="D17" t="str">
            <v>Manufactured</v>
          </cell>
          <cell r="E17" t="str">
            <v>New</v>
          </cell>
          <cell r="F17">
            <v>2370</v>
          </cell>
          <cell r="G17">
            <v>2297</v>
          </cell>
          <cell r="H17">
            <v>2910</v>
          </cell>
          <cell r="I17">
            <v>3852</v>
          </cell>
          <cell r="J17">
            <v>4387</v>
          </cell>
          <cell r="K17">
            <v>4905</v>
          </cell>
          <cell r="L17">
            <v>4720</v>
          </cell>
          <cell r="M17">
            <v>5103</v>
          </cell>
          <cell r="N17">
            <v>6454</v>
          </cell>
          <cell r="O17">
            <v>7597</v>
          </cell>
          <cell r="P17">
            <v>7450</v>
          </cell>
          <cell r="Q17">
            <v>6484</v>
          </cell>
          <cell r="R17">
            <v>6567</v>
          </cell>
          <cell r="S17">
            <v>6223</v>
          </cell>
          <cell r="T17">
            <v>5202</v>
          </cell>
          <cell r="U17">
            <v>3199</v>
          </cell>
          <cell r="V17">
            <v>2392</v>
          </cell>
          <cell r="W17">
            <v>2517</v>
          </cell>
          <cell r="X17">
            <v>2415</v>
          </cell>
          <cell r="Y17">
            <v>2492</v>
          </cell>
          <cell r="Z17">
            <v>2495</v>
          </cell>
          <cell r="AA17">
            <v>2230</v>
          </cell>
          <cell r="AB17">
            <v>1772</v>
          </cell>
          <cell r="AC17">
            <v>1278</v>
          </cell>
          <cell r="AD17">
            <v>717</v>
          </cell>
          <cell r="AE17">
            <v>647</v>
          </cell>
          <cell r="AF17">
            <v>445</v>
          </cell>
          <cell r="AG17">
            <v>473</v>
          </cell>
          <cell r="AH17">
            <v>888.66666666666663</v>
          </cell>
          <cell r="AI17">
            <v>741.44444444444446</v>
          </cell>
          <cell r="AJ17">
            <v>652.01851851851848</v>
          </cell>
          <cell r="AK17">
            <v>641.18827160493822</v>
          </cell>
          <cell r="AL17">
            <v>640.21965020576124</v>
          </cell>
          <cell r="AM17">
            <v>672.75625857338821</v>
          </cell>
          <cell r="AN17">
            <v>706.04896833561952</v>
          </cell>
          <cell r="AO17">
            <v>675.61268528044502</v>
          </cell>
          <cell r="AP17">
            <v>664.64072541977851</v>
          </cell>
          <cell r="AQ17">
            <v>666.74442656998838</v>
          </cell>
          <cell r="AR17">
            <v>671.00378573083015</v>
          </cell>
          <cell r="AS17">
            <v>676.1344749850083</v>
          </cell>
          <cell r="AT17">
            <v>676.69751105361161</v>
          </cell>
          <cell r="AU17">
            <v>671.80560150661029</v>
          </cell>
          <cell r="AV17">
            <v>671.17108754430456</v>
          </cell>
          <cell r="AW17">
            <v>672.25948123172554</v>
          </cell>
          <cell r="AX17">
            <v>673.17865700868174</v>
          </cell>
          <cell r="AY17">
            <v>673.54113555499043</v>
          </cell>
          <cell r="AZ17">
            <v>673.10891231665403</v>
          </cell>
          <cell r="BA17">
            <v>672.51081252716119</v>
          </cell>
          <cell r="BB17">
            <v>672.62834769725293</v>
          </cell>
          <cell r="BC17">
            <v>672.87122438941094</v>
          </cell>
          <cell r="BD17">
            <v>672.97318158235862</v>
          </cell>
        </row>
        <row r="18">
          <cell r="C18" t="str">
            <v>OR_Single Family</v>
          </cell>
          <cell r="D18" t="str">
            <v>Single Family</v>
          </cell>
          <cell r="E18" t="str">
            <v>Existing</v>
          </cell>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v>1281442</v>
          </cell>
          <cell r="AL18">
            <v>1278532.125467059</v>
          </cell>
          <cell r="AM18">
            <v>1275628.858622798</v>
          </cell>
          <cell r="AN18">
            <v>1272732.1844626011</v>
          </cell>
          <cell r="AO18">
            <v>1269842.0880159247</v>
          </cell>
          <cell r="AP18">
            <v>1266958.5543462196</v>
          </cell>
          <cell r="AQ18">
            <v>1264081.5685508549</v>
          </cell>
          <cell r="AR18">
            <v>1261211.1157610398</v>
          </cell>
          <cell r="AS18">
            <v>1258347.1811417476</v>
          </cell>
          <cell r="AT18">
            <v>1255489.7498916385</v>
          </cell>
          <cell r="AU18">
            <v>1252638.8072429833</v>
          </cell>
          <cell r="AV18">
            <v>1249794.338461587</v>
          </cell>
          <cell r="AW18">
            <v>1246956.3288467131</v>
          </cell>
          <cell r="AX18">
            <v>1244124.763731007</v>
          </cell>
          <cell r="AY18">
            <v>1241299.6284804204</v>
          </cell>
          <cell r="AZ18">
            <v>1238480.9084941361</v>
          </cell>
          <cell r="BA18">
            <v>1235668.5892044916</v>
          </cell>
          <cell r="BB18">
            <v>1232862.6560769046</v>
          </cell>
          <cell r="BC18">
            <v>1230063.0946097979</v>
          </cell>
          <cell r="BD18">
            <v>1227269.890334524</v>
          </cell>
        </row>
        <row r="19">
          <cell r="C19" t="str">
            <v>OR_Multi Family</v>
          </cell>
          <cell r="D19" t="str">
            <v>Multifamily - Low Rise</v>
          </cell>
          <cell r="E19" t="str">
            <v>Existing</v>
          </cell>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v>277837.92835758231</v>
          </cell>
          <cell r="AL19">
            <v>277207.00904135435</v>
          </cell>
          <cell r="AM19">
            <v>276577.52242794685</v>
          </cell>
          <cell r="AN19">
            <v>275949.46526395273</v>
          </cell>
          <cell r="AO19">
            <v>275322.83430335281</v>
          </cell>
          <cell r="AP19">
            <v>274697.62630749901</v>
          </cell>
          <cell r="AQ19">
            <v>274073.83804509765</v>
          </cell>
          <cell r="AR19">
            <v>273451.46629219269</v>
          </cell>
          <cell r="AS19">
            <v>272830.50783214916</v>
          </cell>
          <cell r="AT19">
            <v>272210.95945563645</v>
          </cell>
          <cell r="AU19">
            <v>271592.81796061178</v>
          </cell>
          <cell r="AV19">
            <v>270976.08015230362</v>
          </cell>
          <cell r="AW19">
            <v>270360.74284319516</v>
          </cell>
          <cell r="AX19">
            <v>269746.80285300786</v>
          </cell>
          <cell r="AY19">
            <v>269134.25700868503</v>
          </cell>
          <cell r="AZ19">
            <v>268523.10214437544</v>
          </cell>
          <cell r="BA19">
            <v>267913.33510141686</v>
          </cell>
          <cell r="BB19">
            <v>267304.95272831985</v>
          </cell>
          <cell r="BC19">
            <v>266697.95188075147</v>
          </cell>
          <cell r="BD19">
            <v>266092.32942151889</v>
          </cell>
        </row>
        <row r="20">
          <cell r="D20" t="str">
            <v>Multifamily - High Rise</v>
          </cell>
          <cell r="E20" t="str">
            <v>Existing</v>
          </cell>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v>63346.033033662934</v>
          </cell>
          <cell r="AL20">
            <v>63202.185733607068</v>
          </cell>
          <cell r="AM20">
            <v>63058.665084562206</v>
          </cell>
          <cell r="AN20">
            <v>62915.470344763409</v>
          </cell>
          <cell r="AO20">
            <v>62772.600774130158</v>
          </cell>
          <cell r="AP20">
            <v>62630.05563426252</v>
          </cell>
          <cell r="AQ20">
            <v>62487.834188437337</v>
          </cell>
          <cell r="AR20">
            <v>62345.935701604409</v>
          </cell>
          <cell r="AS20">
            <v>62204.359440382708</v>
          </cell>
          <cell r="AT20">
            <v>62063.104673056572</v>
          </cell>
          <cell r="AU20">
            <v>61922.17066957194</v>
          </cell>
          <cell r="AV20">
            <v>61781.556701532572</v>
          </cell>
          <cell r="AW20">
            <v>61641.262042196271</v>
          </cell>
          <cell r="AX20">
            <v>61501.28596647115</v>
          </cell>
          <cell r="AY20">
            <v>61361.627750911874</v>
          </cell>
          <cell r="AZ20">
            <v>61222.286673715913</v>
          </cell>
          <cell r="BA20">
            <v>61083.262014719818</v>
          </cell>
          <cell r="BB20">
            <v>60944.55305539551</v>
          </cell>
          <cell r="BC20">
            <v>60806.159078846555</v>
          </cell>
          <cell r="BD20">
            <v>60668.079369804451</v>
          </cell>
        </row>
        <row r="21">
          <cell r="C21" t="str">
            <v>OR_Other Family</v>
          </cell>
          <cell r="D21" t="str">
            <v>Manufactured</v>
          </cell>
          <cell r="E21" t="str">
            <v>Existing</v>
          </cell>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v>202413.31790123455</v>
          </cell>
          <cell r="AL21">
            <v>200250.12950997456</v>
          </cell>
          <cell r="AM21">
            <v>198110.05908380006</v>
          </cell>
          <cell r="AN21">
            <v>195992.85956133081</v>
          </cell>
          <cell r="AO21">
            <v>193898.28652152821</v>
          </cell>
          <cell r="AP21">
            <v>191826.09815547793</v>
          </cell>
          <cell r="AQ21">
            <v>189776.05523847431</v>
          </cell>
          <cell r="AR21">
            <v>187747.92110240282</v>
          </cell>
          <cell r="AS21">
            <v>185741.46160841791</v>
          </cell>
          <cell r="AT21">
            <v>183756.44511991271</v>
          </cell>
          <cell r="AU21">
            <v>181792.64247577763</v>
          </cell>
          <cell r="AV21">
            <v>179849.82696394474</v>
          </cell>
          <cell r="AW21">
            <v>177927.77429521491</v>
          </cell>
          <cell r="AX21">
            <v>176026.26257736469</v>
          </cell>
          <cell r="AY21">
            <v>174145.07228952978</v>
          </cell>
          <cell r="AZ21">
            <v>172283.98625686244</v>
          </cell>
          <cell r="BA21">
            <v>170442.78962545953</v>
          </cell>
          <cell r="BB21">
            <v>168621.26983755868</v>
          </cell>
          <cell r="BC21">
            <v>166819.21660699949</v>
          </cell>
          <cell r="BD21">
            <v>165036.42189494686</v>
          </cell>
        </row>
        <row r="22">
          <cell r="BD22"/>
        </row>
        <row r="23">
          <cell r="D23" t="str">
            <v>WASHINGTON</v>
          </cell>
          <cell r="E23"/>
          <cell r="F23"/>
          <cell r="G23"/>
          <cell r="BD23"/>
        </row>
        <row r="24">
          <cell r="C24" t="str">
            <v>WA_Single Family</v>
          </cell>
          <cell r="D24" t="str">
            <v>Single Family</v>
          </cell>
          <cell r="E24" t="str">
            <v>New</v>
          </cell>
          <cell r="F24">
            <v>17836</v>
          </cell>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cell r="AF24">
            <v>13829</v>
          </cell>
          <cell r="AG24">
            <v>16887</v>
          </cell>
          <cell r="AH24">
            <v>18274</v>
          </cell>
          <cell r="AI24">
            <v>24247</v>
          </cell>
          <cell r="AJ24">
            <v>30852</v>
          </cell>
          <cell r="AK24">
            <v>33055</v>
          </cell>
          <cell r="AL24">
            <v>31044</v>
          </cell>
          <cell r="AM24">
            <v>28849</v>
          </cell>
          <cell r="AN24">
            <v>27415</v>
          </cell>
          <cell r="AO24">
            <v>26216</v>
          </cell>
          <cell r="AP24">
            <v>24554</v>
          </cell>
          <cell r="AQ24">
            <v>23488</v>
          </cell>
          <cell r="AR24">
            <v>23152</v>
          </cell>
          <cell r="AS24">
            <v>22514</v>
          </cell>
          <cell r="AT24">
            <v>22375</v>
          </cell>
          <cell r="AU24">
            <v>22305</v>
          </cell>
          <cell r="AV24">
            <v>21816</v>
          </cell>
          <cell r="AW24">
            <v>21213</v>
          </cell>
          <cell r="AX24">
            <v>21215</v>
          </cell>
          <cell r="AY24">
            <v>21402</v>
          </cell>
          <cell r="AZ24">
            <v>21237</v>
          </cell>
          <cell r="BA24">
            <v>20416</v>
          </cell>
          <cell r="BB24">
            <v>20299</v>
          </cell>
          <cell r="BC24">
            <v>20303</v>
          </cell>
          <cell r="BD24">
            <v>20372</v>
          </cell>
        </row>
        <row r="25">
          <cell r="C25" t="str">
            <v>WA_Multi Family</v>
          </cell>
          <cell r="D25" t="str">
            <v>Multifamily - Low Rise</v>
          </cell>
          <cell r="E25" t="str">
            <v>New</v>
          </cell>
          <cell r="F25">
            <v>15061.883667534441</v>
          </cell>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cell r="AF25">
            <v>5265.721927064159</v>
          </cell>
          <cell r="AG25">
            <v>8692.3033155335615</v>
          </cell>
          <cell r="AH25">
            <v>12312.39973222512</v>
          </cell>
          <cell r="AI25">
            <v>11883.279860328872</v>
          </cell>
          <cell r="AJ25">
            <v>13265.608797275603</v>
          </cell>
          <cell r="AK25">
            <v>13028.433829152391</v>
          </cell>
          <cell r="AL25">
            <v>13080.239965534132</v>
          </cell>
          <cell r="AM25">
            <v>12923.202614626804</v>
          </cell>
          <cell r="AN25">
            <v>11912.982955180836</v>
          </cell>
          <cell r="AO25">
            <v>10886.573878115541</v>
          </cell>
          <cell r="AP25">
            <v>10714.966051350757</v>
          </cell>
          <cell r="AQ25">
            <v>10719.822876636612</v>
          </cell>
          <cell r="AR25">
            <v>11250.835774550411</v>
          </cell>
          <cell r="AS25">
            <v>11653.142802390561</v>
          </cell>
          <cell r="AT25">
            <v>12252.151254305772</v>
          </cell>
          <cell r="AU25">
            <v>12363.048764997984</v>
          </cell>
          <cell r="AV25">
            <v>12613.98473809777</v>
          </cell>
          <cell r="AW25">
            <v>12900.537429959741</v>
          </cell>
          <cell r="AX25">
            <v>13132.046101915988</v>
          </cell>
          <cell r="AY25">
            <v>13215.421602655624</v>
          </cell>
          <cell r="AZ25">
            <v>13014.672824175932</v>
          </cell>
          <cell r="BA25">
            <v>12900.537429959741</v>
          </cell>
          <cell r="BB25">
            <v>12809.067220410498</v>
          </cell>
          <cell r="BC25">
            <v>12840.636584768163</v>
          </cell>
          <cell r="BD25">
            <v>12863.301769435224</v>
          </cell>
        </row>
        <row r="26">
          <cell r="C26" t="str">
            <v>WA</v>
          </cell>
          <cell r="D26" t="str">
            <v>Multifamily - High Rise</v>
          </cell>
          <cell r="E26" t="str">
            <v>New</v>
          </cell>
          <cell r="F26">
            <v>926.11633246555948</v>
          </cell>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cell r="AF26">
            <v>1217.2780729358408</v>
          </cell>
          <cell r="AG26">
            <v>806.69668446643777</v>
          </cell>
          <cell r="AH26">
            <v>792.60026777487974</v>
          </cell>
          <cell r="AI26">
            <v>992.72013967112821</v>
          </cell>
          <cell r="AJ26">
            <v>3024.5103613152296</v>
          </cell>
          <cell r="AK26">
            <v>2970.4353347186084</v>
          </cell>
          <cell r="AL26">
            <v>2982.246944623661</v>
          </cell>
          <cell r="AM26">
            <v>2946.4430020989594</v>
          </cell>
          <cell r="AN26">
            <v>2716.1166089502017</v>
          </cell>
          <cell r="AO26">
            <v>2482.099087706139</v>
          </cell>
          <cell r="AP26">
            <v>2442.9731298956272</v>
          </cell>
          <cell r="AQ26">
            <v>2444.0804683242377</v>
          </cell>
          <cell r="AR26">
            <v>2565.1494698511356</v>
          </cell>
          <cell r="AS26">
            <v>2656.874003020107</v>
          </cell>
          <cell r="AT26">
            <v>2793.4457425474475</v>
          </cell>
          <cell r="AU26">
            <v>2818.729970000426</v>
          </cell>
          <cell r="AV26">
            <v>2875.9424554781176</v>
          </cell>
          <cell r="AW26">
            <v>2941.2754227654787</v>
          </cell>
          <cell r="AX26">
            <v>2994.0585545287277</v>
          </cell>
          <cell r="AY26">
            <v>3013.0678642196926</v>
          </cell>
          <cell r="AZ26">
            <v>2967.2978758375662</v>
          </cell>
          <cell r="BA26">
            <v>2941.2754227654787</v>
          </cell>
          <cell r="BB26">
            <v>2920.4205490268364</v>
          </cell>
          <cell r="BC26">
            <v>2927.6182488127561</v>
          </cell>
          <cell r="BD26">
            <v>2932.7858281462154</v>
          </cell>
        </row>
        <row r="27">
          <cell r="C27" t="str">
            <v>WA_Other Family</v>
          </cell>
          <cell r="D27" t="str">
            <v>Manufactured</v>
          </cell>
          <cell r="E27" t="str">
            <v>New</v>
          </cell>
          <cell r="F27">
            <v>5597</v>
          </cell>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cell r="AF27">
            <v>563</v>
          </cell>
          <cell r="AG27">
            <v>560</v>
          </cell>
          <cell r="AH27">
            <v>1057.8333333333333</v>
          </cell>
          <cell r="AI27">
            <v>890.30555555555554</v>
          </cell>
          <cell r="AJ27">
            <v>768.52314814814815</v>
          </cell>
          <cell r="AK27">
            <v>753.44367283950612</v>
          </cell>
          <cell r="AL27">
            <v>765.51761831275724</v>
          </cell>
          <cell r="AM27">
            <v>799.27055469821664</v>
          </cell>
          <cell r="AN27">
            <v>839.14898048125281</v>
          </cell>
          <cell r="AO27">
            <v>802.70158833923949</v>
          </cell>
          <cell r="AP27">
            <v>788.10092713652</v>
          </cell>
          <cell r="AQ27">
            <v>791.36389030124872</v>
          </cell>
          <cell r="AR27">
            <v>797.68392654487252</v>
          </cell>
          <cell r="AS27">
            <v>803.04497791689175</v>
          </cell>
          <cell r="AT27">
            <v>803.6740484533376</v>
          </cell>
          <cell r="AU27">
            <v>797.76155978201825</v>
          </cell>
          <cell r="AV27">
            <v>796.93822168914812</v>
          </cell>
          <cell r="AW27">
            <v>798.41110411458612</v>
          </cell>
          <cell r="AX27">
            <v>799.58563975014238</v>
          </cell>
          <cell r="AY27">
            <v>799.90259195102078</v>
          </cell>
          <cell r="AZ27">
            <v>799.37886095670899</v>
          </cell>
          <cell r="BA27">
            <v>798.6629963739374</v>
          </cell>
          <cell r="BB27">
            <v>798.81323580592414</v>
          </cell>
          <cell r="BC27">
            <v>799.12573815872008</v>
          </cell>
          <cell r="BD27">
            <v>799.24484383274228</v>
          </cell>
        </row>
        <row r="28">
          <cell r="C28" t="str">
            <v>WA_Single Family</v>
          </cell>
          <cell r="D28" t="str">
            <v>Single Family</v>
          </cell>
          <cell r="E28" t="str">
            <v>Existing</v>
          </cell>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v>2177155</v>
          </cell>
          <cell r="AL28">
            <v>2172211.1571348798</v>
          </cell>
          <cell r="AM28">
            <v>2167278.5406556972</v>
          </cell>
          <cell r="AN28">
            <v>2162357.1250697845</v>
          </cell>
          <cell r="AO28">
            <v>2157446.8849423626</v>
          </cell>
          <cell r="AP28">
            <v>2152547.7948964094</v>
          </cell>
          <cell r="AQ28">
            <v>2147659.8296125284</v>
          </cell>
          <cell r="AR28">
            <v>2142782.9638288179</v>
          </cell>
          <cell r="AS28">
            <v>2137917.1723407404</v>
          </cell>
          <cell r="AT28">
            <v>2133062.4300009925</v>
          </cell>
          <cell r="AU28">
            <v>2128218.7117193746</v>
          </cell>
          <cell r="AV28">
            <v>2123385.9924626616</v>
          </cell>
          <cell r="AW28">
            <v>2118564.2472544736</v>
          </cell>
          <cell r="AX28">
            <v>2113753.4511751467</v>
          </cell>
          <cell r="AY28">
            <v>2108953.5793616036</v>
          </cell>
          <cell r="AZ28">
            <v>2104164.6070072255</v>
          </cell>
          <cell r="BA28">
            <v>2099386.5093617244</v>
          </cell>
          <cell r="BB28">
            <v>2094619.2617310151</v>
          </cell>
          <cell r="BC28">
            <v>2089862.8394770864</v>
          </cell>
          <cell r="BD28">
            <v>2085117.2180178757</v>
          </cell>
        </row>
        <row r="29">
          <cell r="C29" t="str">
            <v>WA_Multi Family</v>
          </cell>
          <cell r="D29" t="str">
            <v>Multifamily - Low Rise</v>
          </cell>
          <cell r="E29" t="str">
            <v>Existing</v>
          </cell>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v>558037.0832749434</v>
          </cell>
          <cell r="AL29">
            <v>556769.88272716023</v>
          </cell>
          <cell r="AM29">
            <v>555505.55976095074</v>
          </cell>
          <cell r="AN29">
            <v>554244.10784185154</v>
          </cell>
          <cell r="AO29">
            <v>552985.52045023767</v>
          </cell>
          <cell r="AP29">
            <v>551729.79108128918</v>
          </cell>
          <cell r="AQ29">
            <v>550476.91324495722</v>
          </cell>
          <cell r="AR29">
            <v>549226.88046593068</v>
          </cell>
          <cell r="AS29">
            <v>547979.68628360284</v>
          </cell>
          <cell r="AT29">
            <v>546735.3242520378</v>
          </cell>
          <cell r="AU29">
            <v>545493.78793993709</v>
          </cell>
          <cell r="AV29">
            <v>544255.07093060669</v>
          </cell>
          <cell r="AW29">
            <v>543019.16682192357</v>
          </cell>
          <cell r="AX29">
            <v>541786.06922630291</v>
          </cell>
          <cell r="AY29">
            <v>540555.77177066484</v>
          </cell>
          <cell r="AZ29">
            <v>539328.26809640159</v>
          </cell>
          <cell r="BA29">
            <v>538103.55185934459</v>
          </cell>
          <cell r="BB29">
            <v>536881.6167297319</v>
          </cell>
          <cell r="BC29">
            <v>535662.45639217517</v>
          </cell>
          <cell r="BD29">
            <v>534446.06454562722</v>
          </cell>
        </row>
        <row r="30">
          <cell r="D30" t="str">
            <v>Multifamily - High Rise</v>
          </cell>
          <cell r="E30" t="str">
            <v>Existing</v>
          </cell>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v>127230.41710003006</v>
          </cell>
          <cell r="AL30">
            <v>126941.50000280481</v>
          </cell>
          <cell r="AM30">
            <v>126653.23898366978</v>
          </cell>
          <cell r="AN30">
            <v>126365.63255279115</v>
          </cell>
          <cell r="AO30">
            <v>126078.67922371827</v>
          </cell>
          <cell r="AP30">
            <v>125792.3775133759</v>
          </cell>
          <cell r="AQ30">
            <v>125506.72594205666</v>
          </cell>
          <cell r="AR30">
            <v>125221.72303341323</v>
          </cell>
          <cell r="AS30">
            <v>124937.36731445088</v>
          </cell>
          <cell r="AT30">
            <v>124653.65731551975</v>
          </cell>
          <cell r="AU30">
            <v>124370.5915703073</v>
          </cell>
          <cell r="AV30">
            <v>124088.1686158307</v>
          </cell>
          <cell r="AW30">
            <v>123806.3869924293</v>
          </cell>
          <cell r="AX30">
            <v>123525.24524375708</v>
          </cell>
          <cell r="AY30">
            <v>123244.74191677509</v>
          </cell>
          <cell r="AZ30">
            <v>122964.875561744</v>
          </cell>
          <cell r="BA30">
            <v>122685.64473221656</v>
          </cell>
          <cell r="BB30">
            <v>122407.04798503013</v>
          </cell>
          <cell r="BC30">
            <v>122129.08388029925</v>
          </cell>
          <cell r="BD30">
            <v>121851.75098140814</v>
          </cell>
        </row>
        <row r="31">
          <cell r="C31" t="str">
            <v>WA_Other Family</v>
          </cell>
          <cell r="D31" t="str">
            <v>Manufactured</v>
          </cell>
          <cell r="E31" t="str">
            <v>Existing</v>
          </cell>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v>244055.10570987655</v>
          </cell>
          <cell r="AL31">
            <v>241446.89209541003</v>
          </cell>
          <cell r="AM31">
            <v>238866.55242457156</v>
          </cell>
          <cell r="AN31">
            <v>236313.78880890249</v>
          </cell>
          <cell r="AO31">
            <v>233788.30654347411</v>
          </cell>
          <cell r="AP31">
            <v>231289.81407286532</v>
          </cell>
          <cell r="AQ31">
            <v>228818.02295750388</v>
          </cell>
          <cell r="AR31">
            <v>226372.64784036731</v>
          </cell>
          <cell r="AS31">
            <v>223953.40641403978</v>
          </cell>
          <cell r="AT31">
            <v>221560.01938812103</v>
          </cell>
          <cell r="AU31">
            <v>219192.21045698351</v>
          </cell>
          <cell r="AV31">
            <v>216849.70626787416</v>
          </cell>
          <cell r="AW31">
            <v>214532.23638935713</v>
          </cell>
          <cell r="AX31">
            <v>212239.53328009363</v>
          </cell>
          <cell r="AY31">
            <v>209971.33225795557</v>
          </cell>
          <cell r="AZ31">
            <v>207727.37146946916</v>
          </cell>
          <cell r="BA31">
            <v>205507.39185958516</v>
          </cell>
          <cell r="BB31">
            <v>203311.13714177214</v>
          </cell>
          <cell r="BC31">
            <v>201138.35376842934</v>
          </cell>
          <cell r="BD31">
            <v>198988.79090161584</v>
          </cell>
        </row>
        <row r="32">
          <cell r="BD32"/>
        </row>
        <row r="33">
          <cell r="D33" t="str">
            <v>IDAHO</v>
          </cell>
          <cell r="E33"/>
          <cell r="F33"/>
          <cell r="G33"/>
          <cell r="BD33"/>
        </row>
        <row r="34">
          <cell r="C34" t="str">
            <v>ID_Single Family</v>
          </cell>
          <cell r="D34" t="str">
            <v>Single Family</v>
          </cell>
          <cell r="E34" t="str">
            <v>New</v>
          </cell>
          <cell r="F34">
            <v>3059</v>
          </cell>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cell r="AF34">
            <v>3258</v>
          </cell>
          <cell r="AG34">
            <v>5091</v>
          </cell>
          <cell r="AH34">
            <v>7002</v>
          </cell>
          <cell r="AI34">
            <v>7509</v>
          </cell>
          <cell r="AJ34">
            <v>9778</v>
          </cell>
          <cell r="AK34">
            <v>10507</v>
          </cell>
          <cell r="AL34">
            <v>10382</v>
          </cell>
          <cell r="AM34">
            <v>10055</v>
          </cell>
          <cell r="AN34">
            <v>10071</v>
          </cell>
          <cell r="AO34">
            <v>10039</v>
          </cell>
          <cell r="AP34">
            <v>9821</v>
          </cell>
          <cell r="AQ34">
            <v>9813</v>
          </cell>
          <cell r="AR34">
            <v>9958</v>
          </cell>
          <cell r="AS34">
            <v>10085</v>
          </cell>
          <cell r="AT34">
            <v>10505</v>
          </cell>
          <cell r="AU34">
            <v>10749</v>
          </cell>
          <cell r="AV34">
            <v>10878</v>
          </cell>
          <cell r="AW34">
            <v>10846</v>
          </cell>
          <cell r="AX34">
            <v>10975</v>
          </cell>
          <cell r="AY34">
            <v>11099</v>
          </cell>
          <cell r="AZ34">
            <v>11121</v>
          </cell>
          <cell r="BA34">
            <v>10926</v>
          </cell>
          <cell r="BB34">
            <v>11030</v>
          </cell>
          <cell r="BC34">
            <v>11073</v>
          </cell>
          <cell r="BD34">
            <v>11167</v>
          </cell>
        </row>
        <row r="35">
          <cell r="C35" t="str">
            <v>ID_Multi Family</v>
          </cell>
          <cell r="D35" t="str">
            <v>Multifamily - Low Rise</v>
          </cell>
          <cell r="E35" t="str">
            <v>New</v>
          </cell>
          <cell r="F35">
            <v>945.31021109984124</v>
          </cell>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cell r="AF35">
            <v>511.5577769900774</v>
          </cell>
          <cell r="AG35">
            <v>753.64796270668967</v>
          </cell>
          <cell r="AH35">
            <v>1498.8895230864375</v>
          </cell>
          <cell r="AI35">
            <v>1723.6804258697659</v>
          </cell>
          <cell r="AJ35">
            <v>2047.1518579637404</v>
          </cell>
          <cell r="AK35">
            <v>2037.4382073921424</v>
          </cell>
          <cell r="AL35">
            <v>2026.9150859395779</v>
          </cell>
          <cell r="AM35">
            <v>2022.8677315347454</v>
          </cell>
          <cell r="AN35">
            <v>1909.5418081994781</v>
          </cell>
          <cell r="AO35">
            <v>1724.9824473391584</v>
          </cell>
          <cell r="AP35">
            <v>1653.7490098141207</v>
          </cell>
          <cell r="AQ35">
            <v>1669.9384274334507</v>
          </cell>
          <cell r="AR35">
            <v>1698.2699082672639</v>
          </cell>
          <cell r="AS35">
            <v>1706.3646170769289</v>
          </cell>
          <cell r="AT35">
            <v>1733.8866270297899</v>
          </cell>
          <cell r="AU35">
            <v>1733.0771561488234</v>
          </cell>
          <cell r="AV35">
            <v>1759.7896952207038</v>
          </cell>
          <cell r="AW35">
            <v>1788.1211760545311</v>
          </cell>
          <cell r="AX35">
            <v>1819.6905404122106</v>
          </cell>
          <cell r="AY35">
            <v>1830.2136618647751</v>
          </cell>
          <cell r="AZ35">
            <v>1848.8314921269903</v>
          </cell>
          <cell r="BA35">
            <v>1873.925089436952</v>
          </cell>
          <cell r="BB35">
            <v>1904.6849829136791</v>
          </cell>
          <cell r="BC35">
            <v>1945.9679978429422</v>
          </cell>
          <cell r="BD35">
            <v>1994.5362507009463</v>
          </cell>
        </row>
        <row r="36">
          <cell r="C36" t="str">
            <v>ID</v>
          </cell>
          <cell r="D36" t="str">
            <v>Multifamily - High Rise</v>
          </cell>
          <cell r="E36" t="str">
            <v>New</v>
          </cell>
          <cell r="F36">
            <v>60.689788900158746</v>
          </cell>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cell r="AF36">
            <v>121.44222300992257</v>
          </cell>
          <cell r="AG36">
            <v>99.352037293310332</v>
          </cell>
          <cell r="AH36">
            <v>115.11047691356247</v>
          </cell>
          <cell r="AI36">
            <v>146.31957413023412</v>
          </cell>
          <cell r="AJ36">
            <v>466.74314765475788</v>
          </cell>
          <cell r="AK36">
            <v>464.52847079755878</v>
          </cell>
          <cell r="AL36">
            <v>462.12923753559477</v>
          </cell>
          <cell r="AM36">
            <v>461.20645551175875</v>
          </cell>
          <cell r="AN36">
            <v>435.3685588444369</v>
          </cell>
          <cell r="AO36">
            <v>393.28969855764842</v>
          </cell>
          <cell r="AP36">
            <v>377.04873493818434</v>
          </cell>
          <cell r="AQ36">
            <v>380.7398630335195</v>
          </cell>
          <cell r="AR36">
            <v>387.1993372003484</v>
          </cell>
          <cell r="AS36">
            <v>389.04490124801771</v>
          </cell>
          <cell r="AT36">
            <v>395.31981901007907</v>
          </cell>
          <cell r="AU36">
            <v>395.13526260531506</v>
          </cell>
          <cell r="AV36">
            <v>401.22562396261065</v>
          </cell>
          <cell r="AW36">
            <v>407.6850981294449</v>
          </cell>
          <cell r="AX36">
            <v>414.88279791534046</v>
          </cell>
          <cell r="AY36">
            <v>417.28203117730709</v>
          </cell>
          <cell r="AZ36">
            <v>421.52682848694133</v>
          </cell>
          <cell r="BA36">
            <v>427.24807703470356</v>
          </cell>
          <cell r="BB36">
            <v>434.26122041583335</v>
          </cell>
          <cell r="BC36">
            <v>443.67359705893341</v>
          </cell>
          <cell r="BD36">
            <v>454.74698134493076</v>
          </cell>
        </row>
        <row r="37">
          <cell r="C37" t="str">
            <v>ID_Other Family</v>
          </cell>
          <cell r="D37" t="str">
            <v>Manufactured</v>
          </cell>
          <cell r="E37" t="str">
            <v>New</v>
          </cell>
          <cell r="F37">
            <v>1200</v>
          </cell>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cell r="AF37">
            <v>264</v>
          </cell>
          <cell r="AG37">
            <v>217</v>
          </cell>
          <cell r="AH37">
            <v>268.84999999999997</v>
          </cell>
          <cell r="AI37">
            <v>305.30833333333334</v>
          </cell>
          <cell r="AJ37">
            <v>268.5263888888889</v>
          </cell>
          <cell r="AK37">
            <v>267.78078703703704</v>
          </cell>
          <cell r="AL37">
            <v>265.24425154320988</v>
          </cell>
          <cell r="AM37">
            <v>265.45162680041153</v>
          </cell>
          <cell r="AN37">
            <v>273.52689793381347</v>
          </cell>
          <cell r="AO37">
            <v>274.30638092278235</v>
          </cell>
          <cell r="AP37">
            <v>269.13938885435721</v>
          </cell>
          <cell r="AQ37">
            <v>269.2415555152686</v>
          </cell>
          <cell r="AR37">
            <v>269.48501692830718</v>
          </cell>
          <cell r="AS37">
            <v>270.19181115915677</v>
          </cell>
          <cell r="AT37">
            <v>270.9818418856143</v>
          </cell>
          <cell r="AU37">
            <v>270.55766587758109</v>
          </cell>
          <cell r="AV37">
            <v>269.93288003671415</v>
          </cell>
          <cell r="AW37">
            <v>270.06512856710702</v>
          </cell>
          <cell r="AX37">
            <v>270.2023907424134</v>
          </cell>
          <cell r="AY37">
            <v>270.32195304476443</v>
          </cell>
          <cell r="AZ37">
            <v>270.34364335903234</v>
          </cell>
          <cell r="BA37">
            <v>270.23727693793541</v>
          </cell>
          <cell r="BB37">
            <v>270.18387878132779</v>
          </cell>
          <cell r="BC37">
            <v>270.22571190543005</v>
          </cell>
          <cell r="BD37">
            <v>270.25247579515059</v>
          </cell>
        </row>
        <row r="38">
          <cell r="C38" t="str">
            <v>ID_Single Family</v>
          </cell>
          <cell r="D38" t="str">
            <v>Single Family</v>
          </cell>
          <cell r="E38" t="str">
            <v>Existing</v>
          </cell>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v>560451</v>
          </cell>
          <cell r="AL38">
            <v>559178.33834862499</v>
          </cell>
          <cell r="AM38">
            <v>557908.56663353147</v>
          </cell>
          <cell r="AN38">
            <v>556641.67829230614</v>
          </cell>
          <cell r="AO38">
            <v>555377.66677743755</v>
          </cell>
          <cell r="AP38">
            <v>554116.52555628214</v>
          </cell>
          <cell r="AQ38">
            <v>552858.24811103067</v>
          </cell>
          <cell r="AR38">
            <v>551602.82793867437</v>
          </cell>
          <cell r="AS38">
            <v>550350.25855097128</v>
          </cell>
          <cell r="AT38">
            <v>549100.5334744131</v>
          </cell>
          <cell r="AU38">
            <v>547853.64625019114</v>
          </cell>
          <cell r="AV38">
            <v>546609.59043416334</v>
          </cell>
          <cell r="AW38">
            <v>545368.35959682101</v>
          </cell>
          <cell r="AX38">
            <v>544129.94732325536</v>
          </cell>
          <cell r="AY38">
            <v>542894.34721312439</v>
          </cell>
          <cell r="AZ38">
            <v>541661.55288062</v>
          </cell>
          <cell r="BA38">
            <v>540431.55795443489</v>
          </cell>
          <cell r="BB38">
            <v>539204.35607772938</v>
          </cell>
          <cell r="BC38">
            <v>537979.94090809906</v>
          </cell>
          <cell r="BD38">
            <v>536758.30611754162</v>
          </cell>
        </row>
        <row r="39">
          <cell r="C39" t="str">
            <v>ID_Multi Family</v>
          </cell>
          <cell r="D39" t="str">
            <v>Multifamily - Low Rise</v>
          </cell>
          <cell r="E39" t="str">
            <v>Existing</v>
          </cell>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v>62297.688470046371</v>
          </cell>
          <cell r="AL39">
            <v>62156.22176949741</v>
          </cell>
          <cell r="AM39">
            <v>62015.076314051694</v>
          </cell>
          <cell r="AN39">
            <v>61874.251374220112</v>
          </cell>
          <cell r="AO39">
            <v>61733.746222170106</v>
          </cell>
          <cell r="AP39">
            <v>61593.560131721882</v>
          </cell>
          <cell r="AQ39">
            <v>61453.692378344676</v>
          </cell>
          <cell r="AR39">
            <v>61314.142239152992</v>
          </cell>
          <cell r="AS39">
            <v>61174.908992902885</v>
          </cell>
          <cell r="AT39">
            <v>61035.991919988213</v>
          </cell>
          <cell r="AU39">
            <v>60897.390302436943</v>
          </cell>
          <cell r="AV39">
            <v>60759.103423907414</v>
          </cell>
          <cell r="AW39">
            <v>60621.130569684647</v>
          </cell>
          <cell r="AX39">
            <v>60483.471026676656</v>
          </cell>
          <cell r="AY39">
            <v>60346.124083410752</v>
          </cell>
          <cell r="AZ39">
            <v>60209.089030029871</v>
          </cell>
          <cell r="BA39">
            <v>60072.365158288914</v>
          </cell>
          <cell r="BB39">
            <v>59935.951761551063</v>
          </cell>
          <cell r="BC39">
            <v>59799.848134784159</v>
          </cell>
          <cell r="BD39">
            <v>59664.053574557031</v>
          </cell>
        </row>
        <row r="40">
          <cell r="D40" t="str">
            <v>Multifamily - High Rise</v>
          </cell>
          <cell r="E40" t="str">
            <v>Existing</v>
          </cell>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v>14203.645467243141</v>
          </cell>
          <cell r="AL40">
            <v>14171.391576137949</v>
          </cell>
          <cell r="AM40">
            <v>14139.210927743146</v>
          </cell>
          <cell r="AN40">
            <v>14107.103355737881</v>
          </cell>
          <cell r="AO40">
            <v>14075.068694178986</v>
          </cell>
          <cell r="AP40">
            <v>14043.106777500123</v>
          </cell>
          <cell r="AQ40">
            <v>14011.21744051092</v>
          </cell>
          <cell r="AR40">
            <v>13979.400518396127</v>
          </cell>
          <cell r="AS40">
            <v>13947.655846714757</v>
          </cell>
          <cell r="AT40">
            <v>13915.983261399238</v>
          </cell>
          <cell r="AU40">
            <v>13884.382598754568</v>
          </cell>
          <cell r="AV40">
            <v>13852.853695457465</v>
          </cell>
          <cell r="AW40">
            <v>13821.396388555522</v>
          </cell>
          <cell r="AX40">
            <v>13790.010515466372</v>
          </cell>
          <cell r="AY40">
            <v>13758.695913976841</v>
          </cell>
          <cell r="AZ40">
            <v>13727.45242224211</v>
          </cell>
          <cell r="BA40">
            <v>13696.279878784881</v>
          </cell>
          <cell r="BB40">
            <v>13665.178122494543</v>
          </cell>
          <cell r="BC40">
            <v>13634.146992626336</v>
          </cell>
          <cell r="BD40">
            <v>13603.186328800522</v>
          </cell>
        </row>
        <row r="41">
          <cell r="C41" t="str">
            <v>ID_Other Family</v>
          </cell>
          <cell r="D41" t="str">
            <v>Manufactured</v>
          </cell>
          <cell r="E41" t="str">
            <v>Existing</v>
          </cell>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v>84820.465509259258</v>
          </cell>
          <cell r="AL41">
            <v>83913.990341353419</v>
          </cell>
          <cell r="AM41">
            <v>83017.202661309115</v>
          </cell>
          <cell r="AN41">
            <v>82129.998939074561</v>
          </cell>
          <cell r="AO41">
            <v>81252.276751022233</v>
          </cell>
          <cell r="AP41">
            <v>80383.934768124556</v>
          </cell>
          <cell r="AQ41">
            <v>79524.872744255888</v>
          </cell>
          <cell r="AR41">
            <v>78674.991504619567</v>
          </cell>
          <cell r="AS41">
            <v>77834.19293429864</v>
          </cell>
          <cell r="AT41">
            <v>77002.379966928973</v>
          </cell>
          <cell r="AU41">
            <v>76179.456573493328</v>
          </cell>
          <cell r="AV41">
            <v>75365.32775123528</v>
          </cell>
          <cell r="AW41">
            <v>74559.899512691583</v>
          </cell>
          <cell r="AX41">
            <v>73763.07887484174</v>
          </cell>
          <cell r="AY41">
            <v>72974.773848373516</v>
          </cell>
          <cell r="AZ41">
            <v>72194.893427063245</v>
          </cell>
          <cell r="BA41">
            <v>71423.347577269524</v>
          </cell>
          <cell r="BB41">
            <v>70660.047227539253</v>
          </cell>
          <cell r="BC41">
            <v>69904.90425832475</v>
          </cell>
          <cell r="BD41">
            <v>69157.831491810764</v>
          </cell>
        </row>
        <row r="42">
          <cell r="BD42"/>
        </row>
        <row r="43">
          <cell r="D43" t="str">
            <v>MONTANA</v>
          </cell>
          <cell r="E43">
            <v>0.56999999999999995</v>
          </cell>
          <cell r="F43" t="str">
            <v>Western MT portion of state</v>
          </cell>
          <cell r="G43"/>
          <cell r="BD43"/>
        </row>
        <row r="44">
          <cell r="C44" t="str">
            <v>MT_Single Family</v>
          </cell>
          <cell r="D44" t="str">
            <v>Single Family</v>
          </cell>
          <cell r="E44" t="str">
            <v>New</v>
          </cell>
          <cell r="F44">
            <v>1313</v>
          </cell>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cell r="AF44">
            <v>1527.5</v>
          </cell>
          <cell r="AG44">
            <v>2199.6</v>
          </cell>
          <cell r="AH44">
            <v>2615.6</v>
          </cell>
          <cell r="AI44">
            <v>2434.9</v>
          </cell>
          <cell r="AJ44">
            <v>3003</v>
          </cell>
          <cell r="AK44">
            <v>3248.7000000000003</v>
          </cell>
          <cell r="AL44">
            <v>3173.3</v>
          </cell>
          <cell r="AM44">
            <v>3031.6</v>
          </cell>
          <cell r="AN44">
            <v>2824.9</v>
          </cell>
          <cell r="AO44">
            <v>2748.2000000000003</v>
          </cell>
          <cell r="AP44">
            <v>2665</v>
          </cell>
          <cell r="AQ44">
            <v>2611.7000000000003</v>
          </cell>
          <cell r="AR44">
            <v>2597.4</v>
          </cell>
          <cell r="AS44">
            <v>2561</v>
          </cell>
          <cell r="AT44">
            <v>2563.6</v>
          </cell>
          <cell r="AU44">
            <v>2544.1</v>
          </cell>
          <cell r="AV44">
            <v>2525.9</v>
          </cell>
          <cell r="AW44">
            <v>2477.8000000000002</v>
          </cell>
          <cell r="AX44">
            <v>2484.3000000000002</v>
          </cell>
          <cell r="AY44">
            <v>2481.7000000000003</v>
          </cell>
          <cell r="AZ44">
            <v>2475.2000000000003</v>
          </cell>
          <cell r="BA44">
            <v>2419.3000000000002</v>
          </cell>
          <cell r="BB44">
            <v>2415.4</v>
          </cell>
          <cell r="BC44">
            <v>2401.1</v>
          </cell>
          <cell r="BD44">
            <v>2398.5</v>
          </cell>
        </row>
        <row r="45">
          <cell r="C45" t="str">
            <v>MT_Multi Family</v>
          </cell>
          <cell r="D45" t="str">
            <v>Multifamily - Low Rise</v>
          </cell>
          <cell r="E45" t="str">
            <v>New</v>
          </cell>
          <cell r="F45">
            <v>860.82519174945844</v>
          </cell>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cell r="AF45">
            <v>584.82600096441138</v>
          </cell>
          <cell r="AG45">
            <v>746.00336992138523</v>
          </cell>
          <cell r="AH45">
            <v>1413.6131024199028</v>
          </cell>
          <cell r="AI45">
            <v>1716.9789419190136</v>
          </cell>
          <cell r="AJ45">
            <v>1648.045460109282</v>
          </cell>
          <cell r="AK45">
            <v>1722.1281540862396</v>
          </cell>
          <cell r="AL45">
            <v>1580.7212534439332</v>
          </cell>
          <cell r="AM45">
            <v>1472.5799608727305</v>
          </cell>
          <cell r="AN45">
            <v>1442.4819321350953</v>
          </cell>
          <cell r="AO45">
            <v>1359.5082188973515</v>
          </cell>
          <cell r="AP45">
            <v>1280.00164720679</v>
          </cell>
          <cell r="AQ45">
            <v>1292.5421730399576</v>
          </cell>
          <cell r="AR45">
            <v>1322.3745937064909</v>
          </cell>
          <cell r="AS45">
            <v>1349.4518116826594</v>
          </cell>
          <cell r="AT45">
            <v>1351.6834656111594</v>
          </cell>
          <cell r="AU45">
            <v>1377.387737087626</v>
          </cell>
          <cell r="AV45">
            <v>1321.0487447305225</v>
          </cell>
          <cell r="AW45">
            <v>1307.9885038256584</v>
          </cell>
          <cell r="AX45">
            <v>1321.4989092063927</v>
          </cell>
          <cell r="AY45">
            <v>1360.8548786347953</v>
          </cell>
          <cell r="AZ45">
            <v>1395.7475402061953</v>
          </cell>
          <cell r="BA45">
            <v>1395.1035096345979</v>
          </cell>
          <cell r="BB45">
            <v>1429.4425019916998</v>
          </cell>
          <cell r="BC45">
            <v>1435.6741559201971</v>
          </cell>
          <cell r="BD45">
            <v>1447.3521406344007</v>
          </cell>
        </row>
        <row r="46">
          <cell r="C46" t="str">
            <v>MT</v>
          </cell>
          <cell r="D46" t="str">
            <v>Multifamily - High Rise</v>
          </cell>
          <cell r="E46" t="str">
            <v>New</v>
          </cell>
          <cell r="F46">
            <v>42.174808250541538</v>
          </cell>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cell r="AF46">
            <v>105.17399903558866</v>
          </cell>
          <cell r="AG46">
            <v>93.9966300786148</v>
          </cell>
          <cell r="AH46">
            <v>113.38689758009713</v>
          </cell>
          <cell r="AI46">
            <v>125.02105808098651</v>
          </cell>
          <cell r="AJ46">
            <v>382.95453989071814</v>
          </cell>
          <cell r="AK46">
            <v>352.8718459137603</v>
          </cell>
          <cell r="AL46">
            <v>331.27874655606695</v>
          </cell>
          <cell r="AM46">
            <v>322.42003912726955</v>
          </cell>
          <cell r="AN46">
            <v>304.51806786490465</v>
          </cell>
          <cell r="AO46">
            <v>290.49178110264859</v>
          </cell>
          <cell r="AP46">
            <v>293.99835279320996</v>
          </cell>
          <cell r="AQ46">
            <v>300.45782696004244</v>
          </cell>
          <cell r="AR46">
            <v>305.62540629350912</v>
          </cell>
          <cell r="AS46">
            <v>306.54818831734065</v>
          </cell>
          <cell r="AT46">
            <v>309.31653438884064</v>
          </cell>
          <cell r="AU46">
            <v>298.61226291237398</v>
          </cell>
          <cell r="AV46">
            <v>296.95125526947754</v>
          </cell>
          <cell r="AW46">
            <v>301.01149617434152</v>
          </cell>
          <cell r="AX46">
            <v>309.50109079360732</v>
          </cell>
          <cell r="AY46">
            <v>316.14512136520466</v>
          </cell>
          <cell r="AZ46">
            <v>317.25245979380469</v>
          </cell>
          <cell r="BA46">
            <v>323.89649036540203</v>
          </cell>
          <cell r="BB46">
            <v>325.55749800830023</v>
          </cell>
          <cell r="BC46">
            <v>328.32584407980289</v>
          </cell>
          <cell r="BD46">
            <v>331.6478593655994</v>
          </cell>
        </row>
        <row r="47">
          <cell r="C47" t="str">
            <v>MT_Other Family</v>
          </cell>
          <cell r="D47" t="str">
            <v>Manufactured</v>
          </cell>
          <cell r="E47" t="str">
            <v>New</v>
          </cell>
          <cell r="F47">
            <v>923</v>
          </cell>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cell r="AF47">
            <v>361</v>
          </cell>
          <cell r="AG47">
            <v>468</v>
          </cell>
          <cell r="AH47">
            <v>308.75</v>
          </cell>
          <cell r="AI47">
            <v>364.95833333333331</v>
          </cell>
          <cell r="AJ47">
            <v>352.95138888888891</v>
          </cell>
          <cell r="AK47">
            <v>363.44328703703701</v>
          </cell>
          <cell r="AL47">
            <v>369.85050154320987</v>
          </cell>
          <cell r="AM47">
            <v>371.32558513374482</v>
          </cell>
          <cell r="AN47">
            <v>355.2131826560356</v>
          </cell>
          <cell r="AO47">
            <v>362.95704643204158</v>
          </cell>
          <cell r="AP47">
            <v>362.62349861515963</v>
          </cell>
          <cell r="AQ47">
            <v>364.23551690287144</v>
          </cell>
          <cell r="AR47">
            <v>364.36755521384384</v>
          </cell>
          <cell r="AS47">
            <v>363.45373082561611</v>
          </cell>
          <cell r="AT47">
            <v>362.14175510759469</v>
          </cell>
          <cell r="AU47">
            <v>363.29651718285459</v>
          </cell>
          <cell r="AV47">
            <v>363.35309564132336</v>
          </cell>
          <cell r="AW47">
            <v>363.47469514568405</v>
          </cell>
          <cell r="AX47">
            <v>363.34789151948604</v>
          </cell>
          <cell r="AY47">
            <v>363.17794757042651</v>
          </cell>
          <cell r="AZ47">
            <v>363.13198369456154</v>
          </cell>
          <cell r="BA47">
            <v>363.29702179238939</v>
          </cell>
          <cell r="BB47">
            <v>363.29710589397854</v>
          </cell>
          <cell r="BC47">
            <v>363.28777426942105</v>
          </cell>
          <cell r="BD47">
            <v>363.25662079004383</v>
          </cell>
        </row>
        <row r="48">
          <cell r="C48" t="str">
            <v>MT_Single Family</v>
          </cell>
          <cell r="D48" t="str">
            <v>Single Family</v>
          </cell>
          <cell r="E48" t="str">
            <v>Existing</v>
          </cell>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v>323649.60000000009</v>
          </cell>
          <cell r="AL48">
            <v>322914.66253998509</v>
          </cell>
          <cell r="AM48">
            <v>322181.39396221231</v>
          </cell>
          <cell r="AN48">
            <v>321449.79047701514</v>
          </cell>
          <cell r="AO48">
            <v>320719.84830333246</v>
          </cell>
          <cell r="AP48">
            <v>319991.56366868917</v>
          </cell>
          <cell r="AQ48">
            <v>319264.93280917662</v>
          </cell>
          <cell r="AR48">
            <v>318539.95196943317</v>
          </cell>
          <cell r="AS48">
            <v>317816.61740262475</v>
          </cell>
          <cell r="AT48">
            <v>317094.92537042563</v>
          </cell>
          <cell r="AU48">
            <v>316374.87214299885</v>
          </cell>
          <cell r="AV48">
            <v>315656.4539989772</v>
          </cell>
          <cell r="AW48">
            <v>314939.66722544387</v>
          </cell>
          <cell r="AX48">
            <v>314224.50811791327</v>
          </cell>
          <cell r="AY48">
            <v>313510.9729803119</v>
          </cell>
          <cell r="AZ48">
            <v>312799.05812495912</v>
          </cell>
          <cell r="BA48">
            <v>312088.7598725484</v>
          </cell>
          <cell r="BB48">
            <v>311380.07455212792</v>
          </cell>
          <cell r="BC48">
            <v>310672.99850108189</v>
          </cell>
          <cell r="BD48">
            <v>309967.52806511155</v>
          </cell>
        </row>
        <row r="49">
          <cell r="C49" t="str">
            <v>MT_Multi Family</v>
          </cell>
          <cell r="D49" t="str">
            <v>Multifamily - Low Rise</v>
          </cell>
          <cell r="E49" t="str">
            <v>Existing</v>
          </cell>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v>49246.589456226939</v>
          </cell>
          <cell r="AL49">
            <v>49134.75942376897</v>
          </cell>
          <cell r="AM49">
            <v>49023.183336940492</v>
          </cell>
          <cell r="AN49">
            <v>48911.860619077241</v>
          </cell>
          <cell r="AO49">
            <v>48800.790694824464</v>
          </cell>
          <cell r="AP49">
            <v>48689.972990133923</v>
          </cell>
          <cell r="AQ49">
            <v>48579.406932260943</v>
          </cell>
          <cell r="AR49">
            <v>48469.091949761445</v>
          </cell>
          <cell r="AS49">
            <v>48359.027472489004</v>
          </cell>
          <cell r="AT49">
            <v>48249.212931591894</v>
          </cell>
          <cell r="AU49">
            <v>48139.647759510139</v>
          </cell>
          <cell r="AV49">
            <v>48030.331389972584</v>
          </cell>
          <cell r="AW49">
            <v>47921.263257993989</v>
          </cell>
          <cell r="AX49">
            <v>47812.442799872078</v>
          </cell>
          <cell r="AY49">
            <v>47703.869453184649</v>
          </cell>
          <cell r="AZ49">
            <v>47595.54265678666</v>
          </cell>
          <cell r="BA49">
            <v>47487.461850807311</v>
          </cell>
          <cell r="BB49">
            <v>47379.626476647187</v>
          </cell>
          <cell r="BC49">
            <v>47272.035976975341</v>
          </cell>
          <cell r="BD49">
            <v>47164.689795726423</v>
          </cell>
        </row>
        <row r="50">
          <cell r="C50" t="str">
            <v>MT</v>
          </cell>
          <cell r="D50" t="str">
            <v>Multifamily - High Rise</v>
          </cell>
          <cell r="E50" t="str">
            <v>Existing</v>
          </cell>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v>11228.042553191075</v>
          </cell>
          <cell r="AL50">
            <v>11202.545714180957</v>
          </cell>
          <cell r="AM50">
            <v>11177.106773846983</v>
          </cell>
          <cell r="AN50">
            <v>11151.725600711807</v>
          </cell>
          <cell r="AO50">
            <v>11126.402063596644</v>
          </cell>
          <cell r="AP50">
            <v>11101.136031620596</v>
          </cell>
          <cell r="AQ50">
            <v>11075.927374199966</v>
          </cell>
          <cell r="AR50">
            <v>11050.775961047593</v>
          </cell>
          <cell r="AS50">
            <v>11025.681662172174</v>
          </cell>
          <cell r="AT50">
            <v>11000.644347877589</v>
          </cell>
          <cell r="AU50">
            <v>10975.663888762239</v>
          </cell>
          <cell r="AV50">
            <v>10950.740155718371</v>
          </cell>
          <cell r="AW50">
            <v>10925.87301993141</v>
          </cell>
          <cell r="AX50">
            <v>10901.062352879297</v>
          </cell>
          <cell r="AY50">
            <v>10876.308026331822</v>
          </cell>
          <cell r="AZ50">
            <v>10851.609912349968</v>
          </cell>
          <cell r="BA50">
            <v>10826.967883285235</v>
          </cell>
          <cell r="BB50">
            <v>10802.381811778998</v>
          </cell>
          <cell r="BC50">
            <v>10777.851570761834</v>
          </cell>
          <cell r="BD50">
            <v>10753.377033452874</v>
          </cell>
        </row>
        <row r="51">
          <cell r="C51" t="str">
            <v>MT_Other Family</v>
          </cell>
          <cell r="D51" t="str">
            <v>Manufactured</v>
          </cell>
          <cell r="E51" t="str">
            <v>Existing</v>
          </cell>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v>71434.103009259255</v>
          </cell>
          <cell r="AL51">
            <v>70670.687716372748</v>
          </cell>
          <cell r="AM51">
            <v>69915.431032397973</v>
          </cell>
          <cell r="AN51">
            <v>69168.245766391818</v>
          </cell>
          <cell r="AO51">
            <v>68429.045659219599</v>
          </cell>
          <cell r="AP51">
            <v>67697.74537359683</v>
          </cell>
          <cell r="AQ51">
            <v>66974.260484237457</v>
          </cell>
          <cell r="AR51">
            <v>66258.507468107273</v>
          </cell>
          <cell r="AS51">
            <v>65550.403694781649</v>
          </cell>
          <cell r="AT51">
            <v>64849.867416906163</v>
          </cell>
          <cell r="AU51">
            <v>64156.817760759273</v>
          </cell>
          <cell r="AV51">
            <v>63471.174716915804</v>
          </cell>
          <cell r="AW51">
            <v>62792.859131010227</v>
          </cell>
          <cell r="AX51">
            <v>62121.792694598647</v>
          </cell>
          <cell r="AY51">
            <v>61457.897936118447</v>
          </cell>
          <cell r="AZ51">
            <v>60801.098211944554</v>
          </cell>
          <cell r="BA51">
            <v>60151.317697541279</v>
          </cell>
          <cell r="BB51">
            <v>59508.481378708726</v>
          </cell>
          <cell r="BC51">
            <v>58872.515042922729</v>
          </cell>
          <cell r="BD51">
            <v>58243.345270767371</v>
          </cell>
        </row>
        <row r="53">
          <cell r="D53" t="str">
            <v>REGION</v>
          </cell>
          <cell r="E53"/>
          <cell r="F53"/>
          <cell r="G53"/>
          <cell r="BD53"/>
        </row>
        <row r="54">
          <cell r="C54"/>
          <cell r="D54" t="str">
            <v>Single Family</v>
          </cell>
          <cell r="E54" t="str">
            <v>New</v>
          </cell>
          <cell r="F54">
            <v>28347.41</v>
          </cell>
          <cell r="G54">
            <v>29614.268</v>
          </cell>
          <cell r="H54">
            <v>32248.535</v>
          </cell>
          <cell r="I54">
            <v>34559.442000000003</v>
          </cell>
          <cell r="J54">
            <v>42040.175999999999</v>
          </cell>
          <cell r="K54">
            <v>48415.591999999997</v>
          </cell>
          <cell r="L54">
            <v>44234.158000000003</v>
          </cell>
          <cell r="M54">
            <v>57584.008000000002</v>
          </cell>
          <cell r="N54">
            <v>61360.741000000002</v>
          </cell>
          <cell r="O54">
            <v>63637.875999999997</v>
          </cell>
          <cell r="P54">
            <v>54867.252999999997</v>
          </cell>
          <cell r="Q54">
            <v>57384.413</v>
          </cell>
          <cell r="R54">
            <v>56006.91</v>
          </cell>
          <cell r="S54">
            <v>58939.248</v>
          </cell>
          <cell r="T54">
            <v>56527.233</v>
          </cell>
          <cell r="U54">
            <v>51608.514000000003</v>
          </cell>
          <cell r="V54">
            <v>52738.447999999997</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cell r="AF54">
            <v>23007.674999999999</v>
          </cell>
          <cell r="AG54">
            <v>29744.772000000001</v>
          </cell>
          <cell r="AH54">
            <v>35486.892</v>
          </cell>
          <cell r="AI54">
            <v>44415.892999999996</v>
          </cell>
          <cell r="AJ54">
            <v>58293.71</v>
          </cell>
          <cell r="AK54">
            <v>62685.758999999998</v>
          </cell>
          <cell r="AL54">
            <v>59961.781000000003</v>
          </cell>
          <cell r="AM54">
            <v>56834.012000000002</v>
          </cell>
          <cell r="AN54">
            <v>54985.192999999999</v>
          </cell>
          <cell r="AO54">
            <v>53507.474000000002</v>
          </cell>
          <cell r="AP54">
            <v>50982.05</v>
          </cell>
          <cell r="AQ54">
            <v>49561.669000000002</v>
          </cell>
          <cell r="AR54">
            <v>49324.517999999996</v>
          </cell>
          <cell r="AS54">
            <v>48815.77</v>
          </cell>
          <cell r="AT54">
            <v>49683.252</v>
          </cell>
          <cell r="AU54">
            <v>50030.137000000002</v>
          </cell>
          <cell r="AV54">
            <v>49387.762999999999</v>
          </cell>
          <cell r="AW54">
            <v>48079.345999999998</v>
          </cell>
          <cell r="AX54">
            <v>48129.050999999999</v>
          </cell>
          <cell r="AY54">
            <v>48690.569000000003</v>
          </cell>
          <cell r="AZ54">
            <v>48482.864000000001</v>
          </cell>
          <cell r="BA54">
            <v>46879.000999999997</v>
          </cell>
          <cell r="BB54">
            <v>46798.777999999998</v>
          </cell>
          <cell r="BC54">
            <v>46917.627</v>
          </cell>
          <cell r="BD54">
            <v>47236.144999999997</v>
          </cell>
        </row>
        <row r="55">
          <cell r="C55"/>
          <cell r="D55" t="str">
            <v>Multifamily - Low Rise</v>
          </cell>
          <cell r="E55" t="str">
            <v>New</v>
          </cell>
          <cell r="F55">
            <v>20270.709108606741</v>
          </cell>
          <cell r="G55">
            <v>18929.763197074921</v>
          </cell>
          <cell r="H55">
            <v>19012.285997102455</v>
          </cell>
          <cell r="I55">
            <v>22080.053999678374</v>
          </cell>
          <cell r="J55">
            <v>28601.778161129085</v>
          </cell>
          <cell r="K55">
            <v>27202.893689869055</v>
          </cell>
          <cell r="L55">
            <v>12390.21093788289</v>
          </cell>
          <cell r="M55">
            <v>12173.152842775997</v>
          </cell>
          <cell r="N55">
            <v>12361.89700061282</v>
          </cell>
          <cell r="O55">
            <v>17122.743158401601</v>
          </cell>
          <cell r="P55">
            <v>18662.733640245107</v>
          </cell>
          <cell r="Q55">
            <v>21954.730458996564</v>
          </cell>
          <cell r="R55">
            <v>20000.57314201623</v>
          </cell>
          <cell r="S55">
            <v>20642.129902132972</v>
          </cell>
          <cell r="T55">
            <v>18328.494801049026</v>
          </cell>
          <cell r="U55">
            <v>14151.270582179823</v>
          </cell>
          <cell r="V55">
            <v>14626.267683576692</v>
          </cell>
          <cell r="W55">
            <v>12028.647109827847</v>
          </cell>
          <cell r="X55">
            <v>13046.576324182055</v>
          </cell>
          <cell r="Y55">
            <v>13957.232094298253</v>
          </cell>
          <cell r="Z55">
            <v>13931.004497270837</v>
          </cell>
          <cell r="AA55">
            <v>15900.995334173014</v>
          </cell>
          <cell r="AB55">
            <v>15570.247880584542</v>
          </cell>
          <cell r="AC55">
            <v>11944.723214001346</v>
          </cell>
          <cell r="AD55">
            <v>4141.9202192737603</v>
          </cell>
          <cell r="AE55">
            <v>4082.3550519108016</v>
          </cell>
          <cell r="AF55">
            <v>7060.5047847544756</v>
          </cell>
          <cell r="AG55">
            <v>12168.678143163897</v>
          </cell>
          <cell r="AH55">
            <v>19129.179628017948</v>
          </cell>
          <cell r="AI55">
            <v>19420.059444838447</v>
          </cell>
          <cell r="AJ55">
            <v>23068.805408245826</v>
          </cell>
          <cell r="AK55">
            <v>23280.347100904564</v>
          </cell>
          <cell r="AL55">
            <v>23017.418106038647</v>
          </cell>
          <cell r="AM55">
            <v>22811.60852767331</v>
          </cell>
          <cell r="AN55">
            <v>22085.916378202593</v>
          </cell>
          <cell r="AO55">
            <v>20817.853908138593</v>
          </cell>
          <cell r="AP55">
            <v>20070.279329962508</v>
          </cell>
          <cell r="AQ55">
            <v>19887.831284331631</v>
          </cell>
          <cell r="AR55">
            <v>20257.583209811291</v>
          </cell>
          <cell r="AS55">
            <v>20750.368029493613</v>
          </cell>
          <cell r="AT55">
            <v>21314.334279744231</v>
          </cell>
          <cell r="AU55">
            <v>21403.286239774712</v>
          </cell>
          <cell r="AV55">
            <v>21409.137516518917</v>
          </cell>
          <cell r="AW55">
            <v>21443.358292282628</v>
          </cell>
          <cell r="AX55">
            <v>21209.865626522758</v>
          </cell>
          <cell r="AY55">
            <v>20954.17798283829</v>
          </cell>
          <cell r="AZ55">
            <v>20525.44023202754</v>
          </cell>
          <cell r="BA55">
            <v>20175.505597554071</v>
          </cell>
          <cell r="BB55">
            <v>19919.723927484571</v>
          </cell>
          <cell r="BC55">
            <v>19536.194066416414</v>
          </cell>
          <cell r="BD55">
            <v>19462.287131015248</v>
          </cell>
        </row>
        <row r="56">
          <cell r="D56" t="str">
            <v>Multifamily - High Rise</v>
          </cell>
          <cell r="E56" t="str">
            <v>New</v>
          </cell>
          <cell r="F56">
            <v>1479.0008913932584</v>
          </cell>
          <cell r="G56">
            <v>1541.8068029250769</v>
          </cell>
          <cell r="H56">
            <v>1789.2040028975434</v>
          </cell>
          <cell r="I56">
            <v>2697.4260003216255</v>
          </cell>
          <cell r="J56">
            <v>2452.621838870919</v>
          </cell>
          <cell r="K56">
            <v>1250.8263101309401</v>
          </cell>
          <cell r="L56">
            <v>1272.6790621171076</v>
          </cell>
          <cell r="M56">
            <v>1783.7271572240045</v>
          </cell>
          <cell r="N56">
            <v>2321.9429993871795</v>
          </cell>
          <cell r="O56">
            <v>2678.3968415983995</v>
          </cell>
          <cell r="P56">
            <v>3071.6263597548932</v>
          </cell>
          <cell r="Q56">
            <v>2881.3195410034373</v>
          </cell>
          <cell r="R56">
            <v>2811.49685798377</v>
          </cell>
          <cell r="S56">
            <v>2476.4300978670262</v>
          </cell>
          <cell r="T56">
            <v>2052.865198950974</v>
          </cell>
          <cell r="U56">
            <v>2155.6894178201746</v>
          </cell>
          <cell r="V56">
            <v>2035.7623164233071</v>
          </cell>
          <cell r="W56">
            <v>2249.9028901721549</v>
          </cell>
          <cell r="X56">
            <v>2341.7336758179449</v>
          </cell>
          <cell r="Y56">
            <v>2340.0879057017487</v>
          </cell>
          <cell r="Z56">
            <v>2581.1355027291629</v>
          </cell>
          <cell r="AA56">
            <v>2450.9446658269862</v>
          </cell>
          <cell r="AB56">
            <v>2125.3821194154557</v>
          </cell>
          <cell r="AC56">
            <v>1478.8567859986533</v>
          </cell>
          <cell r="AD56">
            <v>1471.80978072624</v>
          </cell>
          <cell r="AE56">
            <v>1909.1649480891979</v>
          </cell>
          <cell r="AF56">
            <v>3074.7952152455237</v>
          </cell>
          <cell r="AG56">
            <v>2010.1218568361005</v>
          </cell>
          <cell r="AH56">
            <v>2152.2103719820498</v>
          </cell>
          <cell r="AI56">
            <v>2768.8805551615533</v>
          </cell>
          <cell r="AJ56">
            <v>5337.8787559635048</v>
          </cell>
          <cell r="AK56">
            <v>5226.2387411561367</v>
          </cell>
          <cell r="AL56">
            <v>5239.95312759432</v>
          </cell>
          <cell r="AM56">
            <v>5271.2612760989568</v>
          </cell>
          <cell r="AN56">
            <v>4985.883552972361</v>
          </cell>
          <cell r="AO56">
            <v>4608.5912035798974</v>
          </cell>
          <cell r="AP56">
            <v>4509.6375960361838</v>
          </cell>
          <cell r="AQ56">
            <v>4481.760351096189</v>
          </cell>
          <cell r="AR56">
            <v>4621.8312800578688</v>
          </cell>
          <cell r="AS56">
            <v>4700.9782942419988</v>
          </cell>
          <cell r="AT56">
            <v>4828.2391631488581</v>
          </cell>
          <cell r="AU56">
            <v>4790.0249139778334</v>
          </cell>
          <cell r="AV56">
            <v>4782.0649962402858</v>
          </cell>
          <cell r="AW56">
            <v>4748.3908346265653</v>
          </cell>
          <cell r="AX56">
            <v>4733.4823682495089</v>
          </cell>
          <cell r="AY56">
            <v>4698.697177079107</v>
          </cell>
          <cell r="AZ56">
            <v>4599.2987885998937</v>
          </cell>
          <cell r="BA56">
            <v>4526.3104216428001</v>
          </cell>
          <cell r="BB56">
            <v>4422.0600452822764</v>
          </cell>
          <cell r="BC56">
            <v>4405.182362066379</v>
          </cell>
          <cell r="BD56">
            <v>4385.1136986120664</v>
          </cell>
        </row>
        <row r="57">
          <cell r="C57"/>
          <cell r="D57" t="str">
            <v>Manufactured</v>
          </cell>
          <cell r="E57" t="str">
            <v>New</v>
          </cell>
          <cell r="F57">
            <v>9693.11</v>
          </cell>
          <cell r="G57">
            <v>8065.19</v>
          </cell>
          <cell r="H57">
            <v>7680.98</v>
          </cell>
          <cell r="I57">
            <v>8859.3700000000008</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6539.39</v>
          </cell>
          <cell r="Y57">
            <v>6359.29</v>
          </cell>
          <cell r="Z57">
            <v>6381.37</v>
          </cell>
          <cell r="AA57">
            <v>6080.27</v>
          </cell>
          <cell r="AB57">
            <v>4894.01</v>
          </cell>
          <cell r="AC57">
            <v>3674.09</v>
          </cell>
          <cell r="AD57">
            <v>2014.3</v>
          </cell>
          <cell r="AE57">
            <v>1796.25</v>
          </cell>
          <cell r="AF57">
            <v>1477.77</v>
          </cell>
          <cell r="AG57">
            <v>1516.76</v>
          </cell>
          <cell r="AH57">
            <v>2391.3375000000001</v>
          </cell>
          <cell r="AI57">
            <v>2145.0845833333333</v>
          </cell>
          <cell r="AJ57">
            <v>1890.2503472222222</v>
          </cell>
          <cell r="AK57">
            <v>1869.5754050925925</v>
          </cell>
          <cell r="AL57">
            <v>1881.796305941358</v>
          </cell>
          <cell r="AM57">
            <v>1949.1340235982509</v>
          </cell>
          <cell r="AN57">
            <v>2021.1963608646258</v>
          </cell>
          <cell r="AO57">
            <v>1959.5061710087307</v>
          </cell>
          <cell r="AP57">
            <v>1928.5764356212967</v>
          </cell>
          <cell r="AQ57">
            <v>1934.9641170211423</v>
          </cell>
          <cell r="AR57">
            <v>1945.862235675901</v>
          </cell>
          <cell r="AS57">
            <v>1956.539890631658</v>
          </cell>
          <cell r="AT57">
            <v>1957.7742018038925</v>
          </cell>
          <cell r="AU57">
            <v>1947.2038419604366</v>
          </cell>
          <cell r="AV57">
            <v>1945.153453785721</v>
          </cell>
          <cell r="AW57">
            <v>1947.9162901464586</v>
          </cell>
          <cell r="AX57">
            <v>1950.0749856673444</v>
          </cell>
          <cell r="AY57">
            <v>1950.7771106659191</v>
          </cell>
          <cell r="AZ57">
            <v>1949.8166473382953</v>
          </cell>
          <cell r="BA57">
            <v>1948.4903882606959</v>
          </cell>
          <cell r="BB57">
            <v>1948.7048126440727</v>
          </cell>
          <cell r="BC57">
            <v>1949.296705787131</v>
          </cell>
          <cell r="BD57">
            <v>1949.5267750605763</v>
          </cell>
        </row>
        <row r="58">
          <cell r="C58"/>
          <cell r="D58" t="str">
            <v>Single Family</v>
          </cell>
          <cell r="E58" t="str">
            <v>Existing</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v>4203528.2719999999</v>
          </cell>
          <cell r="AL58">
            <v>4193982.9785983553</v>
          </cell>
          <cell r="AM58">
            <v>4184459.3604704877</v>
          </cell>
          <cell r="AN58">
            <v>4174957.36839659</v>
          </cell>
          <cell r="AO58">
            <v>4165476.9532686244</v>
          </cell>
          <cell r="AP58">
            <v>4156018.0660900641</v>
          </cell>
          <cell r="AQ58">
            <v>4146580.6579756448</v>
          </cell>
          <cell r="AR58">
            <v>4137164.6801511091</v>
          </cell>
          <cell r="AS58">
            <v>4127770.0839529554</v>
          </cell>
          <cell r="AT58">
            <v>4118396.8208281873</v>
          </cell>
          <cell r="AU58">
            <v>4109044.8423340586</v>
          </cell>
          <cell r="AV58">
            <v>4099714.1001378288</v>
          </cell>
          <cell r="AW58">
            <v>4090404.5460165106</v>
          </cell>
          <cell r="AX58">
            <v>4081116.1318566194</v>
          </cell>
          <cell r="AY58">
            <v>4071848.8096539262</v>
          </cell>
          <cell r="AZ58">
            <v>4062602.5315132081</v>
          </cell>
          <cell r="BA58">
            <v>4053377.2496480034</v>
          </cell>
          <cell r="BB58">
            <v>4044172.9163803621</v>
          </cell>
          <cell r="BC58">
            <v>4034989.4841406001</v>
          </cell>
          <cell r="BD58">
            <v>4025826.9054670548</v>
          </cell>
        </row>
        <row r="59">
          <cell r="C59"/>
          <cell r="D59" t="str">
            <v>Multifamily - Low Rise</v>
          </cell>
          <cell r="E59" t="str">
            <v>Existing</v>
          </cell>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v>926243.25609262148</v>
          </cell>
          <cell r="AL59">
            <v>924139.92640956037</v>
          </cell>
          <cell r="AM59">
            <v>922041.3730050053</v>
          </cell>
          <cell r="AN59">
            <v>919947.58503289847</v>
          </cell>
          <cell r="AO59">
            <v>917858.55167181045</v>
          </cell>
          <cell r="AP59">
            <v>915774.26212488639</v>
          </cell>
          <cell r="AQ59">
            <v>913694.70561978838</v>
          </cell>
          <cell r="AR59">
            <v>911619.87140864041</v>
          </cell>
          <cell r="AS59">
            <v>909549.74876797362</v>
          </cell>
          <cell r="AT59">
            <v>907484.32699866977</v>
          </cell>
          <cell r="AU59">
            <v>905423.59542590659</v>
          </cell>
          <cell r="AV59">
            <v>903367.54339910217</v>
          </cell>
          <cell r="AW59">
            <v>901316.16029185988</v>
          </cell>
          <cell r="AX59">
            <v>899269.43550191447</v>
          </cell>
          <cell r="AY59">
            <v>897227.35845107585</v>
          </cell>
          <cell r="AZ59">
            <v>895189.9185851753</v>
          </cell>
          <cell r="BA59">
            <v>893157.10537401051</v>
          </cell>
          <cell r="BB59">
            <v>891128.90831129183</v>
          </cell>
          <cell r="BC59">
            <v>889105.31691458682</v>
          </cell>
          <cell r="BD59">
            <v>887086.32072526717</v>
          </cell>
        </row>
        <row r="60">
          <cell r="D60" t="str">
            <v>Multifamily - High Rise</v>
          </cell>
          <cell r="E60" t="str">
            <v>Existing</v>
          </cell>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v>211180.07985625503</v>
          </cell>
          <cell r="AL60">
            <v>210700.52836963299</v>
          </cell>
          <cell r="AM60">
            <v>210222.06585706791</v>
          </cell>
          <cell r="AN60">
            <v>209744.68984569819</v>
          </cell>
          <cell r="AO60">
            <v>209268.39786827751</v>
          </cell>
          <cell r="AP60">
            <v>208793.18746316229</v>
          </cell>
          <cell r="AQ60">
            <v>208319.05617429892</v>
          </cell>
          <cell r="AR60">
            <v>207846.00155121088</v>
          </cell>
          <cell r="AS60">
            <v>207374.0211489865</v>
          </cell>
          <cell r="AT60">
            <v>206903.11252826577</v>
          </cell>
          <cell r="AU60">
            <v>206433.27325522827</v>
          </cell>
          <cell r="AV60">
            <v>205964.50090158021</v>
          </cell>
          <cell r="AW60">
            <v>205496.79304454199</v>
          </cell>
          <cell r="AX60">
            <v>205030.14726683579</v>
          </cell>
          <cell r="AY60">
            <v>204564.56115667295</v>
          </cell>
          <cell r="AZ60">
            <v>204100.03230774152</v>
          </cell>
          <cell r="BA60">
            <v>203636.55831919383</v>
          </cell>
          <cell r="BB60">
            <v>203174.13679563423</v>
          </cell>
          <cell r="BC60">
            <v>202712.76534710638</v>
          </cell>
          <cell r="BD60">
            <v>202252.44158908122</v>
          </cell>
        </row>
        <row r="61">
          <cell r="C61"/>
          <cell r="D61" t="str">
            <v>Manufactured</v>
          </cell>
          <cell r="E61" t="str">
            <v>Existing</v>
          </cell>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v>572006.3278356482</v>
          </cell>
          <cell r="AL61">
            <v>565893.30394507048</v>
          </cell>
          <cell r="AM61">
            <v>559845.60985814757</v>
          </cell>
          <cell r="AN61">
            <v>553862.54739615123</v>
          </cell>
          <cell r="AO61">
            <v>547943.42584177968</v>
          </cell>
          <cell r="AP61">
            <v>542087.56185941794</v>
          </cell>
          <cell r="AQ61">
            <v>536294.27941624937</v>
          </cell>
          <cell r="AR61">
            <v>530562.90970421082</v>
          </cell>
          <cell r="AS61">
            <v>524892.79106278194</v>
          </cell>
          <cell r="AT61">
            <v>519283.26890259917</v>
          </cell>
          <cell r="AU61">
            <v>513733.69562988722</v>
          </cell>
          <cell r="AV61">
            <v>508243.4305716962</v>
          </cell>
          <cell r="AW61">
            <v>502811.8399019395</v>
          </cell>
          <cell r="AX61">
            <v>497438.2965682213</v>
          </cell>
          <cell r="AY61">
            <v>492122.18021944637</v>
          </cell>
          <cell r="AZ61">
            <v>486862.87713420321</v>
          </cell>
          <cell r="BA61">
            <v>481659.78014991269</v>
          </cell>
          <cell r="BB61">
            <v>476512.28859273402</v>
          </cell>
          <cell r="BC61">
            <v>471419.80820821953</v>
          </cell>
          <cell r="BD61">
            <v>466381.75109271082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Bldgs"/>
      <sheetName val="Vars"/>
      <sheetName val="taxonomy"/>
      <sheetName val="Lookup"/>
      <sheetName val="UEC"/>
      <sheetName val="Tracking Status"/>
      <sheetName val="Res_Master"/>
    </sheetNames>
    <definedNames>
      <definedName name="ExistingSat" refersTo="='SATS'!$B$10:$F$84"/>
      <definedName name="ResApplic" refersTo="='APPLIC'!$B$8:$F$119"/>
    </definedNames>
    <sheetDataSet>
      <sheetData sheetId="0"/>
      <sheetData sheetId="1"/>
      <sheetData sheetId="2">
        <row r="77">
          <cell r="B77" t="str">
            <v>ResWx</v>
          </cell>
        </row>
      </sheetData>
      <sheetData sheetId="3">
        <row r="4">
          <cell r="H4">
            <v>2035</v>
          </cell>
        </row>
      </sheetData>
      <sheetData sheetId="4">
        <row r="8">
          <cell r="B8" t="str">
            <v>Measure Index Name</v>
          </cell>
          <cell r="C8" t="str">
            <v>Single Family</v>
          </cell>
          <cell r="D8" t="str">
            <v>Multifamily - Low Rise</v>
          </cell>
          <cell r="E8" t="str">
            <v>Multifamily - High Rise</v>
          </cell>
          <cell r="F8" t="str">
            <v>Manufactured</v>
          </cell>
        </row>
        <row r="9">
          <cell r="B9" t="str">
            <v>Lighting - New</v>
          </cell>
          <cell r="C9">
            <v>0.76500000000000001</v>
          </cell>
          <cell r="D9">
            <v>0.76500000000000001</v>
          </cell>
          <cell r="E9">
            <v>0.76500000000000001</v>
          </cell>
          <cell r="F9">
            <v>0.76500000000000001</v>
          </cell>
        </row>
        <row r="10">
          <cell r="B10" t="str">
            <v>Lighting - NR</v>
          </cell>
          <cell r="C10">
            <v>0.9</v>
          </cell>
          <cell r="D10">
            <v>0.9</v>
          </cell>
          <cell r="E10">
            <v>0.9</v>
          </cell>
          <cell r="F10">
            <v>0.9</v>
          </cell>
        </row>
        <row r="11">
          <cell r="B11" t="str">
            <v>Lighting - PPA</v>
          </cell>
          <cell r="C11">
            <v>0.9</v>
          </cell>
          <cell r="D11">
            <v>0.9</v>
          </cell>
          <cell r="E11">
            <v>0.9</v>
          </cell>
          <cell r="F11">
            <v>0.9</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 Washer - New</v>
          </cell>
          <cell r="C14">
            <v>1</v>
          </cell>
          <cell r="D14">
            <v>0.75</v>
          </cell>
          <cell r="E14">
            <v>0.75</v>
          </cell>
          <cell r="F14">
            <v>1</v>
          </cell>
        </row>
        <row r="15">
          <cell r="B15" t="str">
            <v>Clothes Washer - NR</v>
          </cell>
          <cell r="C15">
            <v>1</v>
          </cell>
          <cell r="D15">
            <v>0.75</v>
          </cell>
          <cell r="E15">
            <v>0.75</v>
          </cell>
          <cell r="F15">
            <v>1</v>
          </cell>
        </row>
        <row r="16">
          <cell r="B16" t="str">
            <v>WasteWater Heat Recovery - New</v>
          </cell>
          <cell r="C16">
            <v>0.9</v>
          </cell>
          <cell r="D16">
            <v>0.5</v>
          </cell>
          <cell r="E16">
            <v>0.9</v>
          </cell>
          <cell r="F16">
            <v>0</v>
          </cell>
        </row>
        <row r="17">
          <cell r="B17" t="str">
            <v>Showerheads - New</v>
          </cell>
          <cell r="C17">
            <v>0.51600000000000001</v>
          </cell>
          <cell r="D17">
            <v>0.58000000000000007</v>
          </cell>
          <cell r="E17">
            <v>0.58000000000000007</v>
          </cell>
          <cell r="F17">
            <v>0.33999999999999997</v>
          </cell>
        </row>
        <row r="18">
          <cell r="B18" t="str">
            <v>Showerheads - Retro</v>
          </cell>
          <cell r="C18">
            <v>0.44247428657992416</v>
          </cell>
          <cell r="D18">
            <v>0.58000000000000007</v>
          </cell>
          <cell r="E18">
            <v>0.58000000000000007</v>
          </cell>
          <cell r="F18">
            <v>0.33999999999999997</v>
          </cell>
        </row>
        <row r="19">
          <cell r="B19" t="str">
            <v>HPWH - New</v>
          </cell>
          <cell r="C19">
            <v>0.94904999999999995</v>
          </cell>
          <cell r="D19">
            <v>0</v>
          </cell>
          <cell r="E19">
            <v>0</v>
          </cell>
          <cell r="F19">
            <v>0.95</v>
          </cell>
        </row>
        <row r="20">
          <cell r="B20" t="str">
            <v>HPWH - NR</v>
          </cell>
          <cell r="C20">
            <v>0.94904999999999995</v>
          </cell>
          <cell r="D20">
            <v>0</v>
          </cell>
          <cell r="E20">
            <v>0</v>
          </cell>
          <cell r="F20">
            <v>0.95</v>
          </cell>
        </row>
        <row r="21">
          <cell r="B21" t="str">
            <v>EV Supply Equip - NR</v>
          </cell>
          <cell r="C21">
            <v>0.89100000000000001</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Solar Water Heater - New</v>
          </cell>
          <cell r="C28">
            <v>0.2475</v>
          </cell>
          <cell r="D28">
            <v>0.25</v>
          </cell>
          <cell r="E28">
            <v>0</v>
          </cell>
          <cell r="F28">
            <v>0</v>
          </cell>
        </row>
        <row r="29">
          <cell r="B29" t="str">
            <v>Solar Water Heater - NR</v>
          </cell>
          <cell r="C29">
            <v>0.2475</v>
          </cell>
          <cell r="D29">
            <v>0.25</v>
          </cell>
          <cell r="E29">
            <v>0</v>
          </cell>
          <cell r="F29">
            <v>0</v>
          </cell>
        </row>
        <row r="30">
          <cell r="B30" t="str">
            <v>Solar Water Heater - Retro</v>
          </cell>
          <cell r="C30">
            <v>0.2475</v>
          </cell>
          <cell r="D30">
            <v>0.25</v>
          </cell>
          <cell r="E30">
            <v>0</v>
          </cell>
          <cell r="F30">
            <v>0</v>
          </cell>
        </row>
        <row r="31">
          <cell r="B31">
            <v>0</v>
          </cell>
          <cell r="C31">
            <v>0</v>
          </cell>
          <cell r="D31">
            <v>0</v>
          </cell>
          <cell r="E31">
            <v>0</v>
          </cell>
          <cell r="F31">
            <v>0</v>
          </cell>
        </row>
        <row r="32">
          <cell r="B32">
            <v>0</v>
          </cell>
          <cell r="C32">
            <v>0</v>
          </cell>
          <cell r="D32">
            <v>0</v>
          </cell>
          <cell r="E32">
            <v>0</v>
          </cell>
          <cell r="F32">
            <v>0</v>
          </cell>
        </row>
        <row r="33">
          <cell r="B33" t="str">
            <v>Electric Oven - New</v>
          </cell>
          <cell r="C33">
            <v>0.9</v>
          </cell>
          <cell r="D33">
            <v>0.9</v>
          </cell>
          <cell r="E33">
            <v>0.9</v>
          </cell>
          <cell r="F33">
            <v>0.9</v>
          </cell>
        </row>
        <row r="34">
          <cell r="B34" t="str">
            <v>Electric Oven - NR</v>
          </cell>
          <cell r="C34">
            <v>0.9</v>
          </cell>
          <cell r="D34">
            <v>0.9</v>
          </cell>
          <cell r="E34">
            <v>0.9</v>
          </cell>
          <cell r="F34">
            <v>0.9</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0.44999999999999996</v>
          </cell>
          <cell r="D37">
            <v>0.44999999999999996</v>
          </cell>
          <cell r="E37">
            <v>0.44999999999999996</v>
          </cell>
          <cell r="F37">
            <v>0.44999999999999996</v>
          </cell>
        </row>
        <row r="38">
          <cell r="B38" t="str">
            <v>Monitor - NR</v>
          </cell>
          <cell r="C38">
            <v>0.44999999999999996</v>
          </cell>
          <cell r="D38">
            <v>0.44999999999999996</v>
          </cell>
          <cell r="E38">
            <v>0.44999999999999996</v>
          </cell>
          <cell r="F38">
            <v>0.44999999999999996</v>
          </cell>
        </row>
        <row r="39">
          <cell r="B39" t="str">
            <v>Desktop - New</v>
          </cell>
          <cell r="C39">
            <v>0.75</v>
          </cell>
          <cell r="D39">
            <v>0.75</v>
          </cell>
          <cell r="E39">
            <v>0.75</v>
          </cell>
          <cell r="F39">
            <v>0.75</v>
          </cell>
        </row>
        <row r="40">
          <cell r="B40" t="str">
            <v>Desktop - NR</v>
          </cell>
          <cell r="C40">
            <v>0.75</v>
          </cell>
          <cell r="D40">
            <v>0.75</v>
          </cell>
          <cell r="E40">
            <v>0.75</v>
          </cell>
          <cell r="F40">
            <v>0.75</v>
          </cell>
        </row>
        <row r="41">
          <cell r="B41" t="str">
            <v>Laptop - New</v>
          </cell>
          <cell r="C41">
            <v>0.26</v>
          </cell>
          <cell r="D41">
            <v>0.26</v>
          </cell>
          <cell r="E41">
            <v>0.26</v>
          </cell>
          <cell r="F41">
            <v>0.26</v>
          </cell>
        </row>
        <row r="42">
          <cell r="B42" t="str">
            <v>Laptop - NR</v>
          </cell>
          <cell r="C42">
            <v>0.26</v>
          </cell>
          <cell r="D42">
            <v>0.26</v>
          </cell>
          <cell r="E42">
            <v>0.26</v>
          </cell>
          <cell r="F42">
            <v>0.26</v>
          </cell>
        </row>
        <row r="43">
          <cell r="B43" t="str">
            <v>Computer - New</v>
          </cell>
          <cell r="C43"/>
          <cell r="D43"/>
          <cell r="E43"/>
          <cell r="F43"/>
        </row>
        <row r="44">
          <cell r="B44" t="str">
            <v>Computer - NR</v>
          </cell>
          <cell r="C44"/>
          <cell r="D44"/>
          <cell r="E44"/>
          <cell r="F44"/>
        </row>
        <row r="45">
          <cell r="B45" t="str">
            <v>ASHP - New</v>
          </cell>
          <cell r="C45">
            <v>0.88200000000000001</v>
          </cell>
          <cell r="D45">
            <v>0.5</v>
          </cell>
          <cell r="E45">
            <v>0</v>
          </cell>
          <cell r="F45">
            <v>0.9</v>
          </cell>
        </row>
        <row r="46">
          <cell r="B46" t="str">
            <v>ASHP - NR</v>
          </cell>
          <cell r="C46">
            <v>0.73499999999999999</v>
          </cell>
          <cell r="D46">
            <v>0.5</v>
          </cell>
          <cell r="E46">
            <v>0</v>
          </cell>
          <cell r="F46">
            <v>0.25</v>
          </cell>
        </row>
        <row r="47">
          <cell r="B47" t="str">
            <v>HP - Retro</v>
          </cell>
          <cell r="C47">
            <v>0</v>
          </cell>
          <cell r="D47">
            <v>0</v>
          </cell>
          <cell r="E47">
            <v>0</v>
          </cell>
          <cell r="F47">
            <v>0</v>
          </cell>
        </row>
        <row r="48">
          <cell r="B48" t="str">
            <v>DHP - New</v>
          </cell>
          <cell r="C48">
            <v>0.97019999999999995</v>
          </cell>
          <cell r="D48">
            <v>0.99</v>
          </cell>
          <cell r="E48">
            <v>0</v>
          </cell>
          <cell r="F48">
            <v>0.99</v>
          </cell>
        </row>
        <row r="49">
          <cell r="B49" t="str">
            <v>DHP - NR</v>
          </cell>
          <cell r="C49">
            <v>0.97019999999999995</v>
          </cell>
          <cell r="D49">
            <v>0.99</v>
          </cell>
          <cell r="E49">
            <v>0</v>
          </cell>
          <cell r="F49">
            <v>0.99</v>
          </cell>
        </row>
        <row r="50">
          <cell r="B50" t="str">
            <v>DHP - Retro</v>
          </cell>
          <cell r="C50">
            <v>0</v>
          </cell>
          <cell r="D50">
            <v>0</v>
          </cell>
          <cell r="E50">
            <v>0</v>
          </cell>
          <cell r="F50">
            <v>0</v>
          </cell>
        </row>
        <row r="51">
          <cell r="B51" t="str">
            <v>Duct Sealing - New</v>
          </cell>
          <cell r="C51">
            <v>0.4519771928174614</v>
          </cell>
          <cell r="D51">
            <v>0</v>
          </cell>
          <cell r="E51">
            <v>0</v>
          </cell>
          <cell r="F51">
            <v>0.56056700768085099</v>
          </cell>
        </row>
        <row r="52">
          <cell r="B52" t="str">
            <v>Duct Sealing - Retro</v>
          </cell>
          <cell r="C52">
            <v>0.4293783331765883</v>
          </cell>
          <cell r="D52">
            <v>0</v>
          </cell>
          <cell r="E52">
            <v>0</v>
          </cell>
          <cell r="F52">
            <v>0.53253865729680838</v>
          </cell>
        </row>
        <row r="53">
          <cell r="B53" t="str">
            <v>WIFI enabled tstats - New</v>
          </cell>
          <cell r="C53">
            <v>0.2</v>
          </cell>
          <cell r="D53">
            <v>0.2</v>
          </cell>
          <cell r="E53">
            <v>0</v>
          </cell>
          <cell r="F53">
            <v>0.2</v>
          </cell>
        </row>
        <row r="54">
          <cell r="B54" t="str">
            <v>WIFI enabled tstats - Retro</v>
          </cell>
          <cell r="C54">
            <v>0.19800000000000001</v>
          </cell>
          <cell r="D54">
            <v>0.19800000000000001</v>
          </cell>
          <cell r="E54">
            <v>0</v>
          </cell>
          <cell r="F54">
            <v>0.19800000000000001</v>
          </cell>
        </row>
        <row r="55">
          <cell r="B55" t="str">
            <v>Combo DHP/HPWH units - New</v>
          </cell>
          <cell r="C55">
            <v>0</v>
          </cell>
          <cell r="D55">
            <v>0</v>
          </cell>
          <cell r="E55">
            <v>0</v>
          </cell>
          <cell r="F55">
            <v>0</v>
          </cell>
        </row>
        <row r="56">
          <cell r="B56" t="str">
            <v>Combo DHP/HPWH units - NR</v>
          </cell>
          <cell r="C56">
            <v>0</v>
          </cell>
          <cell r="D56">
            <v>0</v>
          </cell>
          <cell r="E56">
            <v>0</v>
          </cell>
          <cell r="F56">
            <v>0</v>
          </cell>
        </row>
        <row r="57">
          <cell r="B57" t="str">
            <v>Combo DHP/HPWH units - Retro</v>
          </cell>
          <cell r="C57">
            <v>0</v>
          </cell>
          <cell r="D57">
            <v>0</v>
          </cell>
          <cell r="E57">
            <v>0</v>
          </cell>
          <cell r="F57">
            <v>0</v>
          </cell>
        </row>
        <row r="58">
          <cell r="B58" t="str">
            <v>Aerator - New</v>
          </cell>
          <cell r="C58">
            <v>0.315</v>
          </cell>
          <cell r="D58">
            <v>0.315</v>
          </cell>
          <cell r="E58">
            <v>0.315</v>
          </cell>
          <cell r="F58">
            <v>0.315</v>
          </cell>
        </row>
        <row r="59">
          <cell r="B59" t="str">
            <v>Aerator - Retro</v>
          </cell>
          <cell r="C59">
            <v>0.315</v>
          </cell>
          <cell r="D59">
            <v>0.315</v>
          </cell>
          <cell r="E59">
            <v>0.315</v>
          </cell>
          <cell r="F59">
            <v>0.315</v>
          </cell>
        </row>
        <row r="60">
          <cell r="B60" t="str">
            <v>Behavior - Retro</v>
          </cell>
          <cell r="C60">
            <v>0.48999999999999994</v>
          </cell>
          <cell r="D60">
            <v>0.48999999999999994</v>
          </cell>
          <cell r="E60">
            <v>0.48999999999999994</v>
          </cell>
          <cell r="F60">
            <v>0.48999999999999994</v>
          </cell>
        </row>
        <row r="61">
          <cell r="B61" t="str">
            <v>Behavior - New</v>
          </cell>
          <cell r="C61">
            <v>0.48999999999999994</v>
          </cell>
          <cell r="D61">
            <v>0.48999999999999994</v>
          </cell>
          <cell r="E61">
            <v>0.48999999999999994</v>
          </cell>
          <cell r="F61">
            <v>0.48999999999999994</v>
          </cell>
        </row>
        <row r="62">
          <cell r="B62">
            <v>0</v>
          </cell>
          <cell r="C62">
            <v>0</v>
          </cell>
          <cell r="D62">
            <v>0</v>
          </cell>
          <cell r="E62">
            <v>0</v>
          </cell>
          <cell r="F62">
            <v>0</v>
          </cell>
        </row>
        <row r="63">
          <cell r="B63" t="str">
            <v>Heat Recovery Ventilation - New</v>
          </cell>
          <cell r="C63">
            <v>0.89100000000000001</v>
          </cell>
          <cell r="D63">
            <v>0</v>
          </cell>
          <cell r="E63">
            <v>0</v>
          </cell>
          <cell r="F63">
            <v>0</v>
          </cell>
        </row>
        <row r="64">
          <cell r="B64" t="str">
            <v>GSHP - New</v>
          </cell>
          <cell r="C64">
            <v>0.12485156673907999</v>
          </cell>
          <cell r="D64">
            <v>0</v>
          </cell>
          <cell r="E64">
            <v>0</v>
          </cell>
          <cell r="F64">
            <v>0</v>
          </cell>
        </row>
        <row r="65">
          <cell r="B65" t="str">
            <v>GSHP - NR</v>
          </cell>
          <cell r="C65">
            <v>0.12485156673907999</v>
          </cell>
          <cell r="D65">
            <v>0</v>
          </cell>
          <cell r="E65">
            <v>0</v>
          </cell>
          <cell r="F65">
            <v>0</v>
          </cell>
        </row>
        <row r="66">
          <cell r="B66">
            <v>0</v>
          </cell>
          <cell r="C66">
            <v>0</v>
          </cell>
          <cell r="D66">
            <v>0</v>
          </cell>
          <cell r="E66">
            <v>0</v>
          </cell>
          <cell r="F66">
            <v>0</v>
          </cell>
        </row>
        <row r="67">
          <cell r="B67" t="str">
            <v>ECM for HVAC ventilation - New</v>
          </cell>
          <cell r="C67">
            <v>0</v>
          </cell>
          <cell r="D67">
            <v>0</v>
          </cell>
          <cell r="E67">
            <v>0</v>
          </cell>
          <cell r="F67">
            <v>0</v>
          </cell>
        </row>
        <row r="68">
          <cell r="B68" t="str">
            <v>ECM for HVAC ventilation - NR</v>
          </cell>
          <cell r="C68">
            <v>0</v>
          </cell>
          <cell r="D68">
            <v>0</v>
          </cell>
          <cell r="E68">
            <v>0</v>
          </cell>
          <cell r="F68">
            <v>0</v>
          </cell>
        </row>
        <row r="69">
          <cell r="B69" t="str">
            <v>Whole house/attic fan - New</v>
          </cell>
          <cell r="C69">
            <v>0</v>
          </cell>
          <cell r="D69">
            <v>0</v>
          </cell>
          <cell r="E69">
            <v>0</v>
          </cell>
          <cell r="F69">
            <v>0</v>
          </cell>
        </row>
        <row r="70">
          <cell r="B70" t="str">
            <v>Whole house/attic fan - Retro</v>
          </cell>
          <cell r="C70">
            <v>0</v>
          </cell>
          <cell r="D70">
            <v>0</v>
          </cell>
          <cell r="E70">
            <v>0</v>
          </cell>
          <cell r="F70">
            <v>0</v>
          </cell>
        </row>
        <row r="71">
          <cell r="B71" t="str">
            <v>WH Pipe insulation - Retro</v>
          </cell>
          <cell r="C71">
            <v>0</v>
          </cell>
          <cell r="D71">
            <v>0</v>
          </cell>
          <cell r="E71">
            <v>0</v>
          </cell>
          <cell r="F71">
            <v>0</v>
          </cell>
        </row>
        <row r="72">
          <cell r="B72" t="str">
            <v>DHP Ducted - NR</v>
          </cell>
          <cell r="C72">
            <v>0.2475</v>
          </cell>
          <cell r="D72">
            <v>0</v>
          </cell>
          <cell r="E72">
            <v>0</v>
          </cell>
          <cell r="F72">
            <v>0.74249999999999994</v>
          </cell>
        </row>
        <row r="73">
          <cell r="B73" t="str">
            <v>Advanced Power Strips - New</v>
          </cell>
          <cell r="C73">
            <v>0.33660000000000001</v>
          </cell>
          <cell r="D73">
            <v>0.2475</v>
          </cell>
          <cell r="E73">
            <v>0.2475</v>
          </cell>
          <cell r="F73">
            <v>0.2475</v>
          </cell>
        </row>
        <row r="74">
          <cell r="B74" t="str">
            <v>Advanced Power Strips - Retro</v>
          </cell>
          <cell r="C74">
            <v>0.33660000000000001</v>
          </cell>
          <cell r="D74">
            <v>0.2475</v>
          </cell>
          <cell r="E74">
            <v>0.2475</v>
          </cell>
          <cell r="F74">
            <v>0.2475</v>
          </cell>
        </row>
        <row r="75">
          <cell r="B75" t="str">
            <v>Controls Commissioning and Sizing - New</v>
          </cell>
          <cell r="C75">
            <v>0.76</v>
          </cell>
          <cell r="D75">
            <v>0</v>
          </cell>
          <cell r="E75">
            <v>0</v>
          </cell>
          <cell r="F75">
            <v>0.76</v>
          </cell>
        </row>
        <row r="76">
          <cell r="B76" t="str">
            <v>Controls Commissioning and Sizing - NR</v>
          </cell>
          <cell r="C76">
            <v>0.76</v>
          </cell>
          <cell r="D76">
            <v>0</v>
          </cell>
          <cell r="E76">
            <v>0</v>
          </cell>
          <cell r="F76">
            <v>0.76</v>
          </cell>
        </row>
        <row r="77">
          <cell r="B77" t="str">
            <v>ResWx - Retro</v>
          </cell>
          <cell r="C77">
            <v>0.95</v>
          </cell>
          <cell r="D77">
            <v>1</v>
          </cell>
          <cell r="E77">
            <v>0</v>
          </cell>
          <cell r="F77">
            <v>0.95</v>
          </cell>
        </row>
        <row r="78">
          <cell r="B78" t="str">
            <v>ATTIC R0 - R19 - Retro</v>
          </cell>
          <cell r="C78">
            <v>0</v>
          </cell>
          <cell r="D78">
            <v>5.4136342171710254E-2</v>
          </cell>
          <cell r="E78">
            <v>0</v>
          </cell>
          <cell r="F78">
            <v>0</v>
          </cell>
        </row>
        <row r="79">
          <cell r="B79" t="str">
            <v>ATTIC R0 - R22 - Retro</v>
          </cell>
          <cell r="C79">
            <v>0</v>
          </cell>
          <cell r="D79">
            <v>0</v>
          </cell>
          <cell r="E79">
            <v>0</v>
          </cell>
          <cell r="F79">
            <v>1.7654231774693385E-2</v>
          </cell>
        </row>
        <row r="80">
          <cell r="B80" t="str">
            <v>ATTIC R0 - R30 - Retro</v>
          </cell>
          <cell r="C80">
            <v>0</v>
          </cell>
          <cell r="D80">
            <v>0</v>
          </cell>
          <cell r="E80">
            <v>0</v>
          </cell>
          <cell r="F80">
            <v>5.370909487280473E-2</v>
          </cell>
        </row>
        <row r="81">
          <cell r="B81" t="str">
            <v>ATTIC R0 - R38 - Retro</v>
          </cell>
          <cell r="C81">
            <v>3.0150417138103489E-2</v>
          </cell>
          <cell r="D81">
            <v>1.0754159339533284E-2</v>
          </cell>
          <cell r="E81">
            <v>0</v>
          </cell>
          <cell r="F81">
            <v>0</v>
          </cell>
        </row>
        <row r="82">
          <cell r="B82" t="str">
            <v>ATTIC R0 - R49 - Retro</v>
          </cell>
          <cell r="C82">
            <v>1.6064798296574784E-2</v>
          </cell>
          <cell r="D82">
            <v>6.4148166587866887E-2</v>
          </cell>
          <cell r="E82">
            <v>0</v>
          </cell>
          <cell r="F82">
            <v>0</v>
          </cell>
        </row>
        <row r="83">
          <cell r="B83" t="str">
            <v>ATTIC R11 - R30 - Retro</v>
          </cell>
          <cell r="C83">
            <v>0</v>
          </cell>
          <cell r="D83">
            <v>0</v>
          </cell>
          <cell r="E83">
            <v>0</v>
          </cell>
          <cell r="F83">
            <v>1.0533305070999921E-3</v>
          </cell>
        </row>
        <row r="84">
          <cell r="B84" t="str">
            <v>ATTIC R11 - R38 - Retro</v>
          </cell>
          <cell r="C84">
            <v>2.4846271780712467E-2</v>
          </cell>
          <cell r="D84">
            <v>0</v>
          </cell>
          <cell r="E84">
            <v>0</v>
          </cell>
          <cell r="F84">
            <v>0</v>
          </cell>
        </row>
        <row r="85">
          <cell r="B85" t="str">
            <v>ATTIC R11 - R49 - Retro</v>
          </cell>
          <cell r="C85">
            <v>1.9498021140463982E-2</v>
          </cell>
          <cell r="D85">
            <v>0</v>
          </cell>
          <cell r="E85">
            <v>0</v>
          </cell>
          <cell r="F85">
            <v>0</v>
          </cell>
        </row>
        <row r="86">
          <cell r="B86" t="str">
            <v>ATTIC R19 - R30 - Retro</v>
          </cell>
          <cell r="C86">
            <v>0</v>
          </cell>
          <cell r="D86">
            <v>6.5125260012002723E-2</v>
          </cell>
          <cell r="E86">
            <v>0</v>
          </cell>
          <cell r="F86">
            <v>0</v>
          </cell>
        </row>
        <row r="87">
          <cell r="B87" t="str">
            <v>ATTIC R19 - R38 - Retro</v>
          </cell>
          <cell r="C87">
            <v>8.2033817107202978E-3</v>
          </cell>
          <cell r="D87">
            <v>1.0053116760243517E-2</v>
          </cell>
          <cell r="E87">
            <v>0</v>
          </cell>
          <cell r="F87">
            <v>0</v>
          </cell>
        </row>
        <row r="88">
          <cell r="B88" t="str">
            <v>ATTIC R19 - R49 - Retro</v>
          </cell>
          <cell r="C88">
            <v>1.7662848312546196E-2</v>
          </cell>
          <cell r="D88">
            <v>0.14766594591946242</v>
          </cell>
          <cell r="E88">
            <v>0</v>
          </cell>
          <cell r="F88">
            <v>0</v>
          </cell>
        </row>
        <row r="89">
          <cell r="B89" t="str">
            <v>WALL R0 - R11 - Retro</v>
          </cell>
          <cell r="C89">
            <v>8.46755457988283E-2</v>
          </cell>
          <cell r="D89">
            <v>8.6999999999999966E-2</v>
          </cell>
          <cell r="E89">
            <v>0</v>
          </cell>
          <cell r="F89">
            <v>0</v>
          </cell>
        </row>
        <row r="90">
          <cell r="B90" t="str">
            <v>FLOOR R0 - R19 - Retro</v>
          </cell>
          <cell r="C90">
            <v>7.8781984396844446E-2</v>
          </cell>
          <cell r="D90">
            <v>2.1455163910870823E-2</v>
          </cell>
          <cell r="E90">
            <v>0</v>
          </cell>
          <cell r="F90">
            <v>0</v>
          </cell>
        </row>
        <row r="91">
          <cell r="B91" t="str">
            <v>FLOOR R0 - R22 - Retro</v>
          </cell>
          <cell r="C91">
            <v>0</v>
          </cell>
          <cell r="D91">
            <v>0</v>
          </cell>
          <cell r="E91">
            <v>0</v>
          </cell>
          <cell r="F91">
            <v>1.0665247527328225E-2</v>
          </cell>
        </row>
        <row r="92">
          <cell r="B92" t="str">
            <v>FLOOR R0 - R25 - Retro</v>
          </cell>
          <cell r="C92">
            <v>4.555152699293441E-2</v>
          </cell>
          <cell r="D92">
            <v>0</v>
          </cell>
          <cell r="E92">
            <v>0</v>
          </cell>
          <cell r="F92">
            <v>0</v>
          </cell>
        </row>
        <row r="93">
          <cell r="B93" t="str">
            <v>FLOOR R0 - R30 - Retro</v>
          </cell>
          <cell r="C93">
            <v>0.10512619459663457</v>
          </cell>
          <cell r="D93">
            <v>0.23754483608912919</v>
          </cell>
          <cell r="E93">
            <v>0</v>
          </cell>
          <cell r="F93">
            <v>0</v>
          </cell>
        </row>
        <row r="94">
          <cell r="B94" t="str">
            <v>FLOOR R11 - R22 - Retro</v>
          </cell>
          <cell r="C94">
            <v>0</v>
          </cell>
          <cell r="D94">
            <v>0</v>
          </cell>
          <cell r="E94">
            <v>0</v>
          </cell>
          <cell r="F94">
            <v>1.6234206236719673E-2</v>
          </cell>
        </row>
        <row r="95">
          <cell r="B95" t="str">
            <v>WINDOW CL30 Prime Window Replacement of Single Pane Base - Retro</v>
          </cell>
          <cell r="C95">
            <v>3.5442601061513916E-2</v>
          </cell>
          <cell r="D95">
            <v>0.12758359544917094</v>
          </cell>
          <cell r="E95">
            <v>0</v>
          </cell>
          <cell r="F95">
            <v>1.3677383586228942E-2</v>
          </cell>
        </row>
        <row r="96">
          <cell r="B96" t="str">
            <v>WINDOW CL30 Prime Window Replacement of Double Pane Base - Retro</v>
          </cell>
          <cell r="C96">
            <v>0.74240695226153941</v>
          </cell>
          <cell r="D96">
            <v>0.66296155480151864</v>
          </cell>
          <cell r="E96">
            <v>0</v>
          </cell>
          <cell r="F96">
            <v>6.9568000974991058E-4</v>
          </cell>
        </row>
        <row r="97">
          <cell r="B97" t="str">
            <v>WINDOW CL22 Prime Window Replacement of Single Pane Base - Retro</v>
          </cell>
          <cell r="C97">
            <v>8.860650265378479E-3</v>
          </cell>
          <cell r="D97">
            <v>3.1895898862292736E-2</v>
          </cell>
          <cell r="E97">
            <v>0</v>
          </cell>
          <cell r="F97">
            <v>3.4193458965572354E-3</v>
          </cell>
        </row>
        <row r="98">
          <cell r="B98" t="str">
            <v>WINDOW CL22 Prime Window Replacement of Double Pane Base - Retro</v>
          </cell>
          <cell r="C98">
            <v>0.18560173806538485</v>
          </cell>
          <cell r="D98">
            <v>0.16574038870037966</v>
          </cell>
          <cell r="E98">
            <v>0</v>
          </cell>
          <cell r="F98">
            <v>1.7392000243747764E-4</v>
          </cell>
        </row>
        <row r="99">
          <cell r="B99" t="str">
            <v>CFM50 Infiltration Reduction - Retro</v>
          </cell>
          <cell r="C99">
            <v>0.3489194352936118</v>
          </cell>
          <cell r="D99">
            <v>0.5</v>
          </cell>
          <cell r="E99">
            <v>0</v>
          </cell>
          <cell r="F99">
            <v>8.366655018171143E-2</v>
          </cell>
        </row>
        <row r="100">
          <cell r="B100"/>
          <cell r="C100">
            <v>0</v>
          </cell>
          <cell r="D100">
            <v>0</v>
          </cell>
          <cell r="E100">
            <v>0</v>
          </cell>
          <cell r="F100">
            <v>0</v>
          </cell>
        </row>
        <row r="101">
          <cell r="B101"/>
        </row>
        <row r="102">
          <cell r="B102"/>
        </row>
        <row r="103">
          <cell r="B103"/>
        </row>
        <row r="104">
          <cell r="B104"/>
        </row>
        <row r="105">
          <cell r="B105"/>
        </row>
        <row r="106">
          <cell r="B106"/>
        </row>
        <row r="107">
          <cell r="B107"/>
        </row>
        <row r="108">
          <cell r="B108"/>
        </row>
        <row r="109">
          <cell r="B109"/>
        </row>
        <row r="110">
          <cell r="B110"/>
        </row>
        <row r="111">
          <cell r="B111"/>
        </row>
        <row r="112">
          <cell r="B112"/>
        </row>
        <row r="113">
          <cell r="B113"/>
        </row>
        <row r="114">
          <cell r="B114"/>
        </row>
        <row r="115">
          <cell r="B115"/>
        </row>
        <row r="116">
          <cell r="B116"/>
        </row>
        <row r="117">
          <cell r="B117"/>
        </row>
        <row r="118">
          <cell r="B118"/>
        </row>
        <row r="119">
          <cell r="B119"/>
        </row>
        <row r="120">
          <cell r="B120"/>
        </row>
        <row r="121">
          <cell r="B121"/>
        </row>
        <row r="122">
          <cell r="B122"/>
        </row>
        <row r="123">
          <cell r="B123"/>
        </row>
        <row r="124">
          <cell r="B124"/>
        </row>
        <row r="125">
          <cell r="B125"/>
        </row>
        <row r="126">
          <cell r="B126"/>
        </row>
        <row r="127">
          <cell r="B127"/>
        </row>
        <row r="128">
          <cell r="B128"/>
        </row>
        <row r="129">
          <cell r="B129"/>
        </row>
        <row r="130">
          <cell r="B130"/>
        </row>
        <row r="131">
          <cell r="B131"/>
        </row>
        <row r="132">
          <cell r="B132"/>
        </row>
        <row r="133">
          <cell r="B133"/>
        </row>
        <row r="134">
          <cell r="B134"/>
        </row>
        <row r="135">
          <cell r="B135"/>
        </row>
        <row r="136">
          <cell r="B136"/>
        </row>
        <row r="137">
          <cell r="B137"/>
        </row>
        <row r="138">
          <cell r="B138"/>
        </row>
        <row r="139">
          <cell r="B139"/>
        </row>
        <row r="140">
          <cell r="B140"/>
        </row>
        <row r="141">
          <cell r="B141"/>
        </row>
        <row r="142">
          <cell r="B142"/>
        </row>
        <row r="143">
          <cell r="B143"/>
        </row>
        <row r="144">
          <cell r="B144"/>
        </row>
        <row r="145">
          <cell r="B145"/>
        </row>
        <row r="146">
          <cell r="B146"/>
        </row>
        <row r="147">
          <cell r="B147"/>
        </row>
        <row r="148">
          <cell r="B148"/>
        </row>
        <row r="149">
          <cell r="B149"/>
        </row>
        <row r="150">
          <cell r="B150"/>
        </row>
        <row r="151">
          <cell r="B151"/>
        </row>
        <row r="152">
          <cell r="B152"/>
        </row>
        <row r="153">
          <cell r="B153"/>
        </row>
        <row r="154">
          <cell r="B154"/>
        </row>
        <row r="155">
          <cell r="B155"/>
        </row>
        <row r="156">
          <cell r="B156"/>
        </row>
      </sheetData>
      <sheetData sheetId="5"/>
      <sheetData sheetId="6"/>
      <sheetData sheetId="7"/>
      <sheetData sheetId="8"/>
      <sheetData sheetId="9">
        <row r="9">
          <cell r="C9" t="str">
            <v>Retro12Med</v>
          </cell>
          <cell r="D9">
            <v>0.10937459468255628</v>
          </cell>
          <cell r="E9">
            <v>0.10937459468255628</v>
          </cell>
          <cell r="F9">
            <v>0.10937459468255628</v>
          </cell>
          <cell r="G9">
            <v>0.10937459468255628</v>
          </cell>
          <cell r="H9">
            <v>0.10937459468255628</v>
          </cell>
          <cell r="I9">
            <v>9.8437135214300656E-2</v>
          </cell>
          <cell r="J9">
            <v>7.874970817144053E-2</v>
          </cell>
          <cell r="K9">
            <v>6.2999766537152418E-2</v>
          </cell>
          <cell r="L9">
            <v>5.0399813229721938E-2</v>
          </cell>
          <cell r="M9">
            <v>4.0319850583777551E-2</v>
          </cell>
          <cell r="N9">
            <v>3.225588046702204E-2</v>
          </cell>
          <cell r="O9">
            <v>2.5804704373617631E-2</v>
          </cell>
          <cell r="P9">
            <v>2.0643763498894106E-2</v>
          </cell>
          <cell r="Q9">
            <v>1.6515010799115284E-2</v>
          </cell>
          <cell r="R9">
            <v>1.3212008639292228E-2</v>
          </cell>
          <cell r="S9">
            <v>1.0569606911433781E-2</v>
          </cell>
          <cell r="T9">
            <v>7.2092823794611682E-5</v>
          </cell>
          <cell r="U9">
            <v>2.5747437069512102E-5</v>
          </cell>
          <cell r="V9">
            <v>8.7775353646568632E-6</v>
          </cell>
          <cell r="W9">
            <v>2.8622397928446119E-6</v>
          </cell>
          <cell r="X9"/>
        </row>
        <row r="10">
          <cell r="C10" t="str">
            <v>Retro5Med</v>
          </cell>
          <cell r="D10">
            <v>4.2999999999999997E-2</v>
          </cell>
          <cell r="E10">
            <v>5.279714228027832E-2</v>
          </cell>
          <cell r="F10">
            <v>6.4608251467478173E-2</v>
          </cell>
          <cell r="G10">
            <v>7.4999999999999997E-2</v>
          </cell>
          <cell r="H10">
            <v>8.5546997470333563E-2</v>
          </cell>
          <cell r="I10">
            <v>0.10001472303820647</v>
          </cell>
          <cell r="J10">
            <v>0.10971770435235073</v>
          </cell>
          <cell r="K10">
            <v>0.11208438511970376</v>
          </cell>
          <cell r="L10">
            <v>0.10562608162722853</v>
          </cell>
          <cell r="M10">
            <v>9.0794563997872335E-2</v>
          </cell>
          <cell r="N10">
            <v>7.0260666991849297E-2</v>
          </cell>
          <cell r="O10">
            <v>4.8218360404944538E-2</v>
          </cell>
          <cell r="P10">
            <v>2.8854234614640095E-2</v>
          </cell>
          <cell r="Q10">
            <v>1.4773964924806759E-2</v>
          </cell>
          <cell r="R10">
            <v>6.3385343681182649E-3</v>
          </cell>
          <cell r="S10">
            <v>2.2268577196306039E-3</v>
          </cell>
          <cell r="T10">
            <v>6.2471001963848583E-4</v>
          </cell>
          <cell r="U10">
            <v>1.3615841889635938E-4</v>
          </cell>
          <cell r="V10">
            <v>2.2380636622298944E-5</v>
          </cell>
          <cell r="W10">
            <v>2.68643837586513E-6</v>
          </cell>
          <cell r="X10"/>
        </row>
        <row r="11">
          <cell r="C11" t="str">
            <v>Retro1Slow</v>
          </cell>
          <cell r="D11">
            <v>2.5643970768378654E-3</v>
          </cell>
          <cell r="E11">
            <v>5.1260615529385989E-3</v>
          </cell>
          <cell r="F11">
            <v>9.1015544176433795E-3</v>
          </cell>
          <cell r="G11">
            <v>1.4804925730045659E-2</v>
          </cell>
          <cell r="H11">
            <v>2.2471809420486211E-2</v>
          </cell>
          <cell r="I11">
            <v>3.2184432813882391E-2</v>
          </cell>
          <cell r="J11">
            <v>4.3779667172004086E-2</v>
          </cell>
          <cell r="K11">
            <v>5.675426075474499E-2</v>
          </cell>
          <cell r="L11">
            <v>7.0195239068707532E-2</v>
          </cell>
          <cell r="M11">
            <v>8.2776861842756788E-2</v>
          </cell>
          <cell r="N11">
            <v>9.2870259507494834E-2</v>
          </cell>
          <cell r="O11">
            <v>9.8796470678915727E-2</v>
          </cell>
          <cell r="P11">
            <v>9.9208932889988999E-2</v>
          </cell>
          <cell r="Q11">
            <v>9.3521150494244254E-2</v>
          </cell>
          <cell r="R11">
            <v>8.2226007896862296E-2</v>
          </cell>
          <cell r="S11">
            <v>6.6933566027365665E-2</v>
          </cell>
          <cell r="T11">
            <v>5.0029565143448806E-2</v>
          </cell>
          <cell r="U11">
            <v>3.402486521893211E-2</v>
          </cell>
          <cell r="V11">
            <v>2.0846059340774659E-2</v>
          </cell>
          <cell r="W11">
            <v>0.01</v>
          </cell>
          <cell r="X11"/>
        </row>
        <row r="12">
          <cell r="C12" t="str">
            <v>Retro50Fast</v>
          </cell>
          <cell r="D12">
            <v>0.45</v>
          </cell>
          <cell r="E12">
            <v>0.21</v>
          </cell>
          <cell r="F12">
            <v>0.14000000000000001</v>
          </cell>
          <cell r="G12">
            <v>0.09</v>
          </cell>
          <cell r="H12">
            <v>5.9540362609726505E-2</v>
          </cell>
          <cell r="I12">
            <v>2.9770181304863419E-2</v>
          </cell>
          <cell r="J12">
            <v>1.3231191691050248E-2</v>
          </cell>
          <cell r="K12">
            <v>5.2924766764202991E-3</v>
          </cell>
          <cell r="L12">
            <v>1.9245369732436846E-3</v>
          </cell>
          <cell r="M12">
            <v>6.415123244144505E-4</v>
          </cell>
          <cell r="N12">
            <v>1.9738840751215569E-4</v>
          </cell>
          <cell r="O12">
            <v>5.6396687860615913E-5</v>
          </cell>
          <cell r="P12">
            <v>1.5039116763038152E-5</v>
          </cell>
          <cell r="Q12">
            <v>3.7597791905374933E-6</v>
          </cell>
          <cell r="R12">
            <v>8.8465392733549919E-7</v>
          </cell>
          <cell r="S12">
            <v>1.9658976146974538E-7</v>
          </cell>
          <cell r="T12">
            <v>4.13873183502389E-8</v>
          </cell>
          <cell r="U12">
            <v>8.2774636034343985E-9</v>
          </cell>
          <cell r="V12">
            <v>1.5766598027155965E-9</v>
          </cell>
          <cell r="W12">
            <v>2.8666535811794347E-10</v>
          </cell>
          <cell r="X12"/>
        </row>
        <row r="13">
          <cell r="C13" t="str">
            <v>Retro20Fast</v>
          </cell>
          <cell r="D13">
            <v>0.22119921692859512</v>
          </cell>
          <cell r="E13">
            <v>0.15504311102289431</v>
          </cell>
          <cell r="F13">
            <v>0.10733128557729499</v>
          </cell>
          <cell r="G13">
            <v>8.3589689255657879E-2</v>
          </cell>
          <cell r="H13">
            <v>7.3237179880126971E-2</v>
          </cell>
          <cell r="I13">
            <v>6.3374636711760357E-2</v>
          </cell>
          <cell r="J13">
            <v>5.4291838367783084E-2</v>
          </cell>
          <cell r="K13">
            <v>4.612639225659896E-2</v>
          </cell>
          <cell r="L13">
            <v>3.8916876277172864E-2</v>
          </cell>
          <cell r="M13">
            <v>3.2639916313151704E-2</v>
          </cell>
          <cell r="N13">
            <v>2.7235706125786907E-2</v>
          </cell>
          <cell r="O13">
            <v>2.1211189258265428E-2</v>
          </cell>
          <cell r="P13">
            <v>1.6519290804212883E-2</v>
          </cell>
          <cell r="Q13">
            <v>1.2865236614105324E-2</v>
          </cell>
          <cell r="R13">
            <v>1.0019456349464106E-2</v>
          </cell>
          <cell r="S13">
            <v>7.8031604509122832E-3</v>
          </cell>
          <cell r="T13">
            <v>6.077107469602494E-3</v>
          </cell>
          <cell r="U13">
            <v>4.7328560561354371E-3</v>
          </cell>
          <cell r="V13">
            <v>3.6859520026825132E-3</v>
          </cell>
          <cell r="W13">
            <v>2.8706223060526725E-3</v>
          </cell>
          <cell r="X13"/>
        </row>
        <row r="14">
          <cell r="C14" t="str">
            <v>RetroEven20</v>
          </cell>
          <cell r="D14">
            <v>0.05</v>
          </cell>
          <cell r="E14">
            <v>0.05</v>
          </cell>
          <cell r="F14">
            <v>0.05</v>
          </cell>
          <cell r="G14">
            <v>0.05</v>
          </cell>
          <cell r="H14">
            <v>0.05</v>
          </cell>
          <cell r="I14">
            <v>0.05</v>
          </cell>
          <cell r="J14">
            <v>0.05</v>
          </cell>
          <cell r="K14">
            <v>0.05</v>
          </cell>
          <cell r="L14">
            <v>0.05</v>
          </cell>
          <cell r="M14">
            <v>0.05</v>
          </cell>
          <cell r="N14">
            <v>0.05</v>
          </cell>
          <cell r="O14">
            <v>0.05</v>
          </cell>
          <cell r="P14">
            <v>0.05</v>
          </cell>
          <cell r="Q14">
            <v>0.05</v>
          </cell>
          <cell r="R14">
            <v>0.05</v>
          </cell>
          <cell r="S14">
            <v>0.05</v>
          </cell>
          <cell r="T14">
            <v>0.05</v>
          </cell>
          <cell r="U14">
            <v>0.05</v>
          </cell>
          <cell r="V14">
            <v>0.05</v>
          </cell>
          <cell r="W14">
            <v>0.05</v>
          </cell>
          <cell r="X14"/>
        </row>
        <row r="15">
          <cell r="C15" t="str">
            <v>RetroMax60</v>
          </cell>
          <cell r="D15">
            <v>0.01</v>
          </cell>
          <cell r="E15">
            <v>1.9799999999999998E-2</v>
          </cell>
          <cell r="F15">
            <v>2.9106E-2</v>
          </cell>
          <cell r="G15">
            <v>3.7643759999999998E-2</v>
          </cell>
          <cell r="H15">
            <v>4.5172511999999984E-2</v>
          </cell>
          <cell r="I15">
            <v>4.8635737920000005E-2</v>
          </cell>
          <cell r="J15">
            <v>4.587971277120001E-2</v>
          </cell>
          <cell r="K15">
            <v>4.3279862380832007E-2</v>
          </cell>
          <cell r="L15">
            <v>4.0827336845918161E-2</v>
          </cell>
          <cell r="M15">
            <v>3.8513787757982809E-2</v>
          </cell>
          <cell r="N15">
            <v>3.6331339785030448E-2</v>
          </cell>
          <cell r="O15">
            <v>3.4272563863878724E-2</v>
          </cell>
          <cell r="P15">
            <v>3.2330451911592284E-2</v>
          </cell>
          <cell r="Q15">
            <v>3.0498392969935395E-2</v>
          </cell>
          <cell r="R15">
            <v>2.8770150701639075E-2</v>
          </cell>
          <cell r="S15">
            <v>2.7139842161879479E-2</v>
          </cell>
          <cell r="T15">
            <v>2.5601917772706373E-2</v>
          </cell>
          <cell r="U15">
            <v>2.4151142432252914E-2</v>
          </cell>
          <cell r="V15">
            <v>2.2782577694425266E-2</v>
          </cell>
          <cell r="W15">
            <v>2.1491564958407872E-2</v>
          </cell>
          <cell r="X15"/>
        </row>
        <row r="16">
          <cell r="C16" t="str">
            <v>Retro3Slow</v>
          </cell>
          <cell r="D16">
            <v>5.5320496977002724E-3</v>
          </cell>
          <cell r="E16">
            <v>8.6958686465615706E-3</v>
          </cell>
          <cell r="F16">
            <v>1.7391737293123145E-2</v>
          </cell>
          <cell r="G16">
            <v>3.0435540262965514E-2</v>
          </cell>
          <cell r="H16">
            <v>4.7344173742390784E-2</v>
          </cell>
          <cell r="I16">
            <v>6.6281843239347063E-2</v>
          </cell>
          <cell r="J16">
            <v>8.4358709577350838E-2</v>
          </cell>
          <cell r="K16">
            <v>9.8418494506909315E-2</v>
          </cell>
          <cell r="L16">
            <v>0.10598914793051767</v>
          </cell>
          <cell r="M16">
            <v>0.10598914793051767</v>
          </cell>
          <cell r="N16">
            <v>9.8923204735149928E-2</v>
          </cell>
          <cell r="O16">
            <v>8.655780414325609E-2</v>
          </cell>
          <cell r="P16">
            <v>7.1282897529740263E-2</v>
          </cell>
          <cell r="Q16">
            <v>5.5442253634242489E-2</v>
          </cell>
          <cell r="R16">
            <v>4.0852186888389319E-2</v>
          </cell>
          <cell r="S16">
            <v>2.8596530821872412E-2</v>
          </cell>
          <cell r="T16">
            <v>1.9064353881248275E-2</v>
          </cell>
          <cell r="U16">
            <v>1.2131861560794377E-2</v>
          </cell>
          <cell r="V16">
            <v>7.3846113848314854E-3</v>
          </cell>
          <cell r="W16">
            <v>4.3076899744848296E-3</v>
          </cell>
          <cell r="X16"/>
        </row>
        <row r="17">
          <cell r="C17" t="str">
            <v>LightingPPA</v>
          </cell>
          <cell r="D17">
            <v>0.5468729734127814</v>
          </cell>
          <cell r="E17">
            <v>0.43749837873022512</v>
          </cell>
          <cell r="F17">
            <v>0.32812378404766884</v>
          </cell>
          <cell r="G17">
            <v>0.21874918936511256</v>
          </cell>
          <cell r="H17">
            <v>0.10937459468255628</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row>
        <row r="18">
          <cell r="B18"/>
          <cell r="C18"/>
          <cell r="D18"/>
          <cell r="E18"/>
          <cell r="F18"/>
          <cell r="G18"/>
          <cell r="H18"/>
          <cell r="I18"/>
          <cell r="J18"/>
          <cell r="K18"/>
          <cell r="L18"/>
          <cell r="M18"/>
          <cell r="N18"/>
          <cell r="O18"/>
          <cell r="P18"/>
          <cell r="Q18"/>
          <cell r="R18"/>
          <cell r="S18"/>
          <cell r="T18"/>
          <cell r="U18"/>
          <cell r="V18"/>
          <cell r="W18"/>
          <cell r="X18"/>
        </row>
        <row r="19">
          <cell r="A19" t="str">
            <v>End Use</v>
          </cell>
          <cell r="B19" t="str">
            <v>Measure Index Name</v>
          </cell>
          <cell r="C19" t="str">
            <v>Ramp</v>
          </cell>
          <cell r="D19">
            <v>2016</v>
          </cell>
          <cell r="E19">
            <v>2017</v>
          </cell>
          <cell r="F19">
            <v>2018</v>
          </cell>
          <cell r="G19">
            <v>2019</v>
          </cell>
          <cell r="H19">
            <v>2020</v>
          </cell>
          <cell r="I19">
            <v>2021</v>
          </cell>
          <cell r="J19">
            <v>2022</v>
          </cell>
          <cell r="K19">
            <v>2023</v>
          </cell>
          <cell r="L19">
            <v>2024</v>
          </cell>
          <cell r="M19">
            <v>2025</v>
          </cell>
          <cell r="N19">
            <v>2026</v>
          </cell>
          <cell r="O19">
            <v>2027</v>
          </cell>
          <cell r="P19">
            <v>2028</v>
          </cell>
          <cell r="Q19">
            <v>2029</v>
          </cell>
          <cell r="R19">
            <v>2030</v>
          </cell>
          <cell r="S19">
            <v>2031</v>
          </cell>
          <cell r="T19">
            <v>2032</v>
          </cell>
          <cell r="U19">
            <v>2033</v>
          </cell>
          <cell r="V19">
            <v>2034</v>
          </cell>
          <cell r="W19">
            <v>2035</v>
          </cell>
          <cell r="X19"/>
        </row>
        <row r="20">
          <cell r="A20" t="str">
            <v>Lighting</v>
          </cell>
          <cell r="B20" t="str">
            <v>Lighting - New</v>
          </cell>
          <cell r="C20" t="str">
            <v>LO20Fast</v>
          </cell>
          <cell r="D20">
            <v>0.22119921692859512</v>
          </cell>
          <cell r="E20">
            <v>0.37624232795148943</v>
          </cell>
          <cell r="F20">
            <v>0.48357361352878442</v>
          </cell>
          <cell r="G20">
            <v>0.56716330278444227</v>
          </cell>
          <cell r="H20">
            <v>0.64040048266456928</v>
          </cell>
          <cell r="I20">
            <v>0.70377511937632964</v>
          </cell>
          <cell r="J20">
            <v>0.7580669577441127</v>
          </cell>
          <cell r="K20">
            <v>0.80419335000071168</v>
          </cell>
          <cell r="L20">
            <v>0.84311022627788457</v>
          </cell>
          <cell r="M20">
            <v>0.87575014259103623</v>
          </cell>
          <cell r="N20">
            <v>0.90298584871682319</v>
          </cell>
          <cell r="O20">
            <v>0.92419703797508856</v>
          </cell>
          <cell r="P20">
            <v>0.94071632877930145</v>
          </cell>
          <cell r="Q20">
            <v>0.95358156539340677</v>
          </cell>
          <cell r="R20">
            <v>0.96360102174287088</v>
          </cell>
          <cell r="S20">
            <v>0.97140418219378311</v>
          </cell>
          <cell r="T20">
            <v>0.97748128966338554</v>
          </cell>
          <cell r="U20">
            <v>0.98221414571952104</v>
          </cell>
          <cell r="V20">
            <v>0.98590009772220355</v>
          </cell>
          <cell r="W20">
            <v>0.98877072002825628</v>
          </cell>
          <cell r="X20"/>
        </row>
        <row r="21">
          <cell r="A21" t="str">
            <v>Lighting</v>
          </cell>
          <cell r="B21" t="str">
            <v>Lighting - NR</v>
          </cell>
          <cell r="C21" t="str">
            <v>LO20Fast</v>
          </cell>
          <cell r="D21">
            <v>0.22119921692859512</v>
          </cell>
          <cell r="E21">
            <v>0.37624232795148943</v>
          </cell>
          <cell r="F21">
            <v>0.48357361352878442</v>
          </cell>
          <cell r="G21">
            <v>0.56716330278444227</v>
          </cell>
          <cell r="H21">
            <v>0.64040048266456928</v>
          </cell>
          <cell r="I21">
            <v>0.70377511937632964</v>
          </cell>
          <cell r="J21">
            <v>0.7580669577441127</v>
          </cell>
          <cell r="K21">
            <v>0.80419335000071168</v>
          </cell>
          <cell r="L21">
            <v>0.84311022627788457</v>
          </cell>
          <cell r="M21">
            <v>0.87575014259103623</v>
          </cell>
          <cell r="N21">
            <v>0.90298584871682319</v>
          </cell>
          <cell r="O21">
            <v>0.92419703797508856</v>
          </cell>
          <cell r="P21">
            <v>0.94071632877930145</v>
          </cell>
          <cell r="Q21">
            <v>0.95358156539340677</v>
          </cell>
          <cell r="R21">
            <v>0.96360102174287088</v>
          </cell>
          <cell r="S21">
            <v>0.97140418219378311</v>
          </cell>
          <cell r="T21">
            <v>0.97748128966338554</v>
          </cell>
          <cell r="U21">
            <v>0.98221414571952104</v>
          </cell>
          <cell r="V21">
            <v>0.98590009772220355</v>
          </cell>
          <cell r="W21">
            <v>0.98877072002825628</v>
          </cell>
          <cell r="X21"/>
        </row>
        <row r="22">
          <cell r="A22" t="str">
            <v>Lighting</v>
          </cell>
          <cell r="B22" t="str">
            <v>Lighting - PPA</v>
          </cell>
          <cell r="C22" t="str">
            <v>Retro20Fast</v>
          </cell>
          <cell r="D22">
            <v>0.22119921692859512</v>
          </cell>
          <cell r="E22">
            <v>0.15504311102289431</v>
          </cell>
          <cell r="F22">
            <v>0.10733128557729499</v>
          </cell>
          <cell r="G22">
            <v>8.3589689255657879E-2</v>
          </cell>
          <cell r="H22">
            <v>7.3237179880126971E-2</v>
          </cell>
          <cell r="I22">
            <v>6.3374636711760357E-2</v>
          </cell>
          <cell r="J22">
            <v>5.4291838367783084E-2</v>
          </cell>
          <cell r="K22">
            <v>4.612639225659896E-2</v>
          </cell>
          <cell r="L22">
            <v>3.8916876277172864E-2</v>
          </cell>
          <cell r="M22">
            <v>3.2639916313151704E-2</v>
          </cell>
          <cell r="N22">
            <v>2.7235706125786907E-2</v>
          </cell>
          <cell r="O22">
            <v>2.1211189258265428E-2</v>
          </cell>
          <cell r="P22">
            <v>1.6519290804212883E-2</v>
          </cell>
          <cell r="Q22">
            <v>1.2865236614105324E-2</v>
          </cell>
          <cell r="R22">
            <v>1.0019456349464106E-2</v>
          </cell>
          <cell r="S22">
            <v>7.8031604509122832E-3</v>
          </cell>
          <cell r="T22">
            <v>6.077107469602494E-3</v>
          </cell>
          <cell r="U22">
            <v>4.7328560561354371E-3</v>
          </cell>
          <cell r="V22">
            <v>3.6859520026825132E-3</v>
          </cell>
          <cell r="W22">
            <v>2.8706223060526725E-3</v>
          </cell>
          <cell r="X22"/>
        </row>
        <row r="23">
          <cell r="A23" t="str">
            <v>Lighting PPA</v>
          </cell>
          <cell r="B23" t="str">
            <v>Lighting PPA</v>
          </cell>
          <cell r="C23" t="str">
            <v>LightingPPA</v>
          </cell>
          <cell r="D23">
            <v>0.5468729734127814</v>
          </cell>
          <cell r="E23">
            <v>0.43749837873022512</v>
          </cell>
          <cell r="F23">
            <v>0.32812378404766884</v>
          </cell>
          <cell r="G23">
            <v>0.21874918936511256</v>
          </cell>
          <cell r="H23">
            <v>0.10937459468255628</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row>
        <row r="24">
          <cell r="A24" t="str">
            <v>Water Heating</v>
          </cell>
          <cell r="B24" t="str">
            <v>Dishwasher - New</v>
          </cell>
          <cell r="C24" t="str">
            <v>LO12Med</v>
          </cell>
          <cell r="D24">
            <v>0.10937459468255628</v>
          </cell>
          <cell r="E24">
            <v>0.21874918936511256</v>
          </cell>
          <cell r="F24">
            <v>0.32812378404766884</v>
          </cell>
          <cell r="G24">
            <v>0.43749837873022512</v>
          </cell>
          <cell r="H24">
            <v>0.5468729734127814</v>
          </cell>
          <cell r="I24">
            <v>0.64531010862708205</v>
          </cell>
          <cell r="J24">
            <v>0.7240598167985226</v>
          </cell>
          <cell r="K24">
            <v>0.78705958333567505</v>
          </cell>
          <cell r="L24">
            <v>0.83745939656539703</v>
          </cell>
          <cell r="M24">
            <v>0.87777924714917455</v>
          </cell>
          <cell r="N24">
            <v>0.91003512761619654</v>
          </cell>
          <cell r="O24">
            <v>0.93583983198981413</v>
          </cell>
          <cell r="P24">
            <v>0.9564835954887082</v>
          </cell>
          <cell r="Q24">
            <v>0.97299860628782353</v>
          </cell>
          <cell r="R24">
            <v>0.9862106149271157</v>
          </cell>
          <cell r="S24">
            <v>0.99678022183854953</v>
          </cell>
          <cell r="T24">
            <v>0.99685231466234414</v>
          </cell>
          <cell r="U24">
            <v>0.99687806209941365</v>
          </cell>
          <cell r="V24">
            <v>0.99688683963477831</v>
          </cell>
          <cell r="W24">
            <v>0.99688970187457115</v>
          </cell>
          <cell r="X24"/>
        </row>
        <row r="25">
          <cell r="A25" t="str">
            <v>Water Heating</v>
          </cell>
          <cell r="B25" t="str">
            <v>Dishwasher - NR</v>
          </cell>
          <cell r="C25" t="str">
            <v>LO12Med</v>
          </cell>
          <cell r="D25">
            <v>0.10937459468255628</v>
          </cell>
          <cell r="E25">
            <v>0.21874918936511256</v>
          </cell>
          <cell r="F25">
            <v>0.32812378404766884</v>
          </cell>
          <cell r="G25">
            <v>0.43749837873022512</v>
          </cell>
          <cell r="H25">
            <v>0.5468729734127814</v>
          </cell>
          <cell r="I25">
            <v>0.64531010862708205</v>
          </cell>
          <cell r="J25">
            <v>0.7240598167985226</v>
          </cell>
          <cell r="K25">
            <v>0.78705958333567505</v>
          </cell>
          <cell r="L25">
            <v>0.83745939656539703</v>
          </cell>
          <cell r="M25">
            <v>0.87777924714917455</v>
          </cell>
          <cell r="N25">
            <v>0.91003512761619654</v>
          </cell>
          <cell r="O25">
            <v>0.93583983198981413</v>
          </cell>
          <cell r="P25">
            <v>0.9564835954887082</v>
          </cell>
          <cell r="Q25">
            <v>0.97299860628782353</v>
          </cell>
          <cell r="R25">
            <v>0.9862106149271157</v>
          </cell>
          <cell r="S25">
            <v>0.99678022183854953</v>
          </cell>
          <cell r="T25">
            <v>0.99685231466234414</v>
          </cell>
          <cell r="U25">
            <v>0.99687806209941365</v>
          </cell>
          <cell r="V25">
            <v>0.99688683963477831</v>
          </cell>
          <cell r="W25">
            <v>0.99688970187457115</v>
          </cell>
          <cell r="X25"/>
        </row>
        <row r="26">
          <cell r="A26" t="str">
            <v>Water Heating</v>
          </cell>
          <cell r="B26" t="str">
            <v>Clothes Washer - New</v>
          </cell>
          <cell r="C26" t="str">
            <v>LO12Med</v>
          </cell>
          <cell r="D26">
            <v>0.10937459468255628</v>
          </cell>
          <cell r="E26">
            <v>0.21874918936511256</v>
          </cell>
          <cell r="F26">
            <v>0.32812378404766884</v>
          </cell>
          <cell r="G26">
            <v>0.43749837873022512</v>
          </cell>
          <cell r="H26">
            <v>0.5468729734127814</v>
          </cell>
          <cell r="I26">
            <v>0.64531010862708205</v>
          </cell>
          <cell r="J26">
            <v>0.7240598167985226</v>
          </cell>
          <cell r="K26">
            <v>0.78705958333567505</v>
          </cell>
          <cell r="L26">
            <v>0.83745939656539703</v>
          </cell>
          <cell r="M26">
            <v>0.87777924714917455</v>
          </cell>
          <cell r="N26">
            <v>0.91003512761619654</v>
          </cell>
          <cell r="O26">
            <v>0.93583983198981413</v>
          </cell>
          <cell r="P26">
            <v>0.9564835954887082</v>
          </cell>
          <cell r="Q26">
            <v>0.97299860628782353</v>
          </cell>
          <cell r="R26">
            <v>0.9862106149271157</v>
          </cell>
          <cell r="S26">
            <v>0.99678022183854953</v>
          </cell>
          <cell r="T26">
            <v>0.99685231466234414</v>
          </cell>
          <cell r="U26">
            <v>0.99687806209941365</v>
          </cell>
          <cell r="V26">
            <v>0.99688683963477831</v>
          </cell>
          <cell r="W26">
            <v>0.99688970187457115</v>
          </cell>
          <cell r="X26"/>
        </row>
        <row r="27">
          <cell r="A27" t="str">
            <v>Water Heating</v>
          </cell>
          <cell r="B27" t="str">
            <v>Clothes Washer - NR</v>
          </cell>
          <cell r="C27" t="str">
            <v>LO12Med</v>
          </cell>
          <cell r="D27">
            <v>0.10937459468255628</v>
          </cell>
          <cell r="E27">
            <v>0.21874918936511256</v>
          </cell>
          <cell r="F27">
            <v>0.32812378404766884</v>
          </cell>
          <cell r="G27">
            <v>0.43749837873022512</v>
          </cell>
          <cell r="H27">
            <v>0.5468729734127814</v>
          </cell>
          <cell r="I27">
            <v>0.64531010862708205</v>
          </cell>
          <cell r="J27">
            <v>0.7240598167985226</v>
          </cell>
          <cell r="K27">
            <v>0.78705958333567505</v>
          </cell>
          <cell r="L27">
            <v>0.83745939656539703</v>
          </cell>
          <cell r="M27">
            <v>0.87777924714917455</v>
          </cell>
          <cell r="N27">
            <v>0.91003512761619654</v>
          </cell>
          <cell r="O27">
            <v>0.93583983198981413</v>
          </cell>
          <cell r="P27">
            <v>0.9564835954887082</v>
          </cell>
          <cell r="Q27">
            <v>0.97299860628782353</v>
          </cell>
          <cell r="R27">
            <v>0.9862106149271157</v>
          </cell>
          <cell r="S27">
            <v>0.99678022183854953</v>
          </cell>
          <cell r="T27">
            <v>0.99685231466234414</v>
          </cell>
          <cell r="U27">
            <v>0.99687806209941365</v>
          </cell>
          <cell r="V27">
            <v>0.99688683963477831</v>
          </cell>
          <cell r="W27">
            <v>0.99688970187457115</v>
          </cell>
          <cell r="X27"/>
        </row>
        <row r="28">
          <cell r="A28" t="str">
            <v>Water Heating</v>
          </cell>
          <cell r="B28" t="str">
            <v>WasteWater Heat Recovery - New</v>
          </cell>
          <cell r="C28" t="str">
            <v>LO1Slow</v>
          </cell>
          <cell r="D28">
            <v>2.5643970768378654E-3</v>
          </cell>
          <cell r="E28">
            <v>7.6904586297764643E-3</v>
          </cell>
          <cell r="F28">
            <v>1.6792013047419844E-2</v>
          </cell>
          <cell r="G28">
            <v>3.15969387774655E-2</v>
          </cell>
          <cell r="H28">
            <v>5.406874819795171E-2</v>
          </cell>
          <cell r="I28">
            <v>8.6253181011834101E-2</v>
          </cell>
          <cell r="J28">
            <v>0.1300328481838382</v>
          </cell>
          <cell r="K28">
            <v>0.18678710893858319</v>
          </cell>
          <cell r="L28">
            <v>0.2569823480072907</v>
          </cell>
          <cell r="M28">
            <v>0.33975920985004748</v>
          </cell>
          <cell r="N28">
            <v>0.43262946935754232</v>
          </cell>
          <cell r="O28">
            <v>0.53142594003645804</v>
          </cell>
          <cell r="P28">
            <v>0.63063487292644704</v>
          </cell>
          <cell r="Q28">
            <v>0.7241560234206913</v>
          </cell>
          <cell r="R28">
            <v>0.80638203131755359</v>
          </cell>
          <cell r="S28">
            <v>0.87331559734491926</v>
          </cell>
          <cell r="T28">
            <v>0.92334516248836807</v>
          </cell>
          <cell r="U28">
            <v>0.95737002770730018</v>
          </cell>
          <cell r="V28">
            <v>0.97821608704807483</v>
          </cell>
          <cell r="W28">
            <v>0.98821608704807484</v>
          </cell>
          <cell r="X28"/>
        </row>
        <row r="29">
          <cell r="A29" t="str">
            <v>Water Heating</v>
          </cell>
          <cell r="B29" t="str">
            <v>Showerheads - New</v>
          </cell>
          <cell r="C29" t="str">
            <v>LO12MEd</v>
          </cell>
          <cell r="D29">
            <v>0.10937459468255628</v>
          </cell>
          <cell r="E29">
            <v>0.21874918936511256</v>
          </cell>
          <cell r="F29">
            <v>0.32812378404766884</v>
          </cell>
          <cell r="G29">
            <v>0.43749837873022512</v>
          </cell>
          <cell r="H29">
            <v>0.5468729734127814</v>
          </cell>
          <cell r="I29">
            <v>0.64531010862708205</v>
          </cell>
          <cell r="J29">
            <v>0.7240598167985226</v>
          </cell>
          <cell r="K29">
            <v>0.78705958333567505</v>
          </cell>
          <cell r="L29">
            <v>0.83745939656539703</v>
          </cell>
          <cell r="M29">
            <v>0.87777924714917455</v>
          </cell>
          <cell r="N29">
            <v>0.91003512761619654</v>
          </cell>
          <cell r="O29">
            <v>0.93583983198981413</v>
          </cell>
          <cell r="P29">
            <v>0.9564835954887082</v>
          </cell>
          <cell r="Q29">
            <v>0.97299860628782353</v>
          </cell>
          <cell r="R29">
            <v>0.9862106149271157</v>
          </cell>
          <cell r="S29">
            <v>0.99678022183854953</v>
          </cell>
          <cell r="T29">
            <v>0.99685231466234414</v>
          </cell>
          <cell r="U29">
            <v>0.99687806209941365</v>
          </cell>
          <cell r="V29">
            <v>0.99688683963477831</v>
          </cell>
          <cell r="W29">
            <v>0.99688970187457115</v>
          </cell>
          <cell r="X29"/>
        </row>
        <row r="30">
          <cell r="A30" t="str">
            <v>Water Heating</v>
          </cell>
          <cell r="B30" t="str">
            <v>Showerheads - Retro</v>
          </cell>
          <cell r="C30" t="str">
            <v>Retro12Med</v>
          </cell>
          <cell r="D30">
            <v>0.10937459468255628</v>
          </cell>
          <cell r="E30">
            <v>0.10937459468255628</v>
          </cell>
          <cell r="F30">
            <v>0.10937459468255628</v>
          </cell>
          <cell r="G30">
            <v>0.10937459468255628</v>
          </cell>
          <cell r="H30">
            <v>0.10937459468255628</v>
          </cell>
          <cell r="I30">
            <v>9.8437135214300656E-2</v>
          </cell>
          <cell r="J30">
            <v>7.874970817144053E-2</v>
          </cell>
          <cell r="K30">
            <v>6.2999766537152418E-2</v>
          </cell>
          <cell r="L30">
            <v>5.0399813229721938E-2</v>
          </cell>
          <cell r="M30">
            <v>4.0319850583777551E-2</v>
          </cell>
          <cell r="N30">
            <v>3.225588046702204E-2</v>
          </cell>
          <cell r="O30">
            <v>2.5804704373617631E-2</v>
          </cell>
          <cell r="P30">
            <v>2.0643763498894106E-2</v>
          </cell>
          <cell r="Q30">
            <v>1.6515010799115284E-2</v>
          </cell>
          <cell r="R30">
            <v>1.3212008639292228E-2</v>
          </cell>
          <cell r="S30">
            <v>1.0569606911433781E-2</v>
          </cell>
          <cell r="T30">
            <v>7.2092823794611682E-5</v>
          </cell>
          <cell r="U30">
            <v>2.5747437069512102E-5</v>
          </cell>
          <cell r="V30">
            <v>8.7775353646568632E-6</v>
          </cell>
          <cell r="W30">
            <v>2.8622397928446119E-6</v>
          </cell>
          <cell r="X30"/>
        </row>
        <row r="31">
          <cell r="A31" t="str">
            <v>Water Heating</v>
          </cell>
          <cell r="B31" t="str">
            <v>HPWH - New</v>
          </cell>
          <cell r="C31" t="str">
            <v>LO3Slow</v>
          </cell>
          <cell r="D31">
            <v>5.5320496977002724E-3</v>
          </cell>
          <cell r="E31">
            <v>1.4227918344261844E-2</v>
          </cell>
          <cell r="F31">
            <v>3.1619655637384989E-2</v>
          </cell>
          <cell r="G31">
            <v>6.2055195900350503E-2</v>
          </cell>
          <cell r="H31">
            <v>0.10939936964274129</v>
          </cell>
          <cell r="I31">
            <v>0.17568121288208835</v>
          </cell>
          <cell r="J31">
            <v>0.26003992245943919</v>
          </cell>
          <cell r="K31">
            <v>0.3584584169663485</v>
          </cell>
          <cell r="L31">
            <v>0.46444756489686617</v>
          </cell>
          <cell r="M31">
            <v>0.57043671282738384</v>
          </cell>
          <cell r="N31">
            <v>0.66935991756253377</v>
          </cell>
          <cell r="O31">
            <v>0.75591772170578986</v>
          </cell>
          <cell r="P31">
            <v>0.82720061923553012</v>
          </cell>
          <cell r="Q31">
            <v>0.88264287286977261</v>
          </cell>
          <cell r="R31">
            <v>0.92349505975816193</v>
          </cell>
          <cell r="S31">
            <v>0.95209159058003434</v>
          </cell>
          <cell r="T31">
            <v>0.97115594446128262</v>
          </cell>
          <cell r="U31">
            <v>0.98328780602207699</v>
          </cell>
          <cell r="V31">
            <v>0.99067241740690848</v>
          </cell>
          <cell r="W31">
            <v>0.99498010738139331</v>
          </cell>
          <cell r="X31"/>
        </row>
        <row r="32">
          <cell r="A32" t="str">
            <v>Water Heating</v>
          </cell>
          <cell r="B32" t="str">
            <v>HPWH - NR</v>
          </cell>
          <cell r="C32" t="str">
            <v>LO3Slow</v>
          </cell>
          <cell r="D32">
            <v>5.5320496977002724E-3</v>
          </cell>
          <cell r="E32">
            <v>1.4227918344261844E-2</v>
          </cell>
          <cell r="F32">
            <v>3.1619655637384989E-2</v>
          </cell>
          <cell r="G32">
            <v>6.2055195900350503E-2</v>
          </cell>
          <cell r="H32">
            <v>0.10939936964274129</v>
          </cell>
          <cell r="I32">
            <v>0.17568121288208835</v>
          </cell>
          <cell r="J32">
            <v>0.26003992245943919</v>
          </cell>
          <cell r="K32">
            <v>0.3584584169663485</v>
          </cell>
          <cell r="L32">
            <v>0.46444756489686617</v>
          </cell>
          <cell r="M32">
            <v>0.57043671282738384</v>
          </cell>
          <cell r="N32">
            <v>0.66935991756253377</v>
          </cell>
          <cell r="O32">
            <v>0.75591772170578986</v>
          </cell>
          <cell r="P32">
            <v>0.82720061923553012</v>
          </cell>
          <cell r="Q32">
            <v>0.88264287286977261</v>
          </cell>
          <cell r="R32">
            <v>0.92349505975816193</v>
          </cell>
          <cell r="S32">
            <v>0.95209159058003434</v>
          </cell>
          <cell r="T32">
            <v>0.97115594446128262</v>
          </cell>
          <cell r="U32">
            <v>0.98328780602207699</v>
          </cell>
          <cell r="V32">
            <v>0.99067241740690848</v>
          </cell>
          <cell r="W32">
            <v>0.99498010738139331</v>
          </cell>
          <cell r="X32"/>
        </row>
        <row r="33">
          <cell r="A33" t="str">
            <v>Whole Bldg/Meter Level</v>
          </cell>
          <cell r="B33" t="str">
            <v>EV Supply Equip - NR</v>
          </cell>
          <cell r="C33" t="str">
            <v>LOMax60</v>
          </cell>
          <cell r="D33">
            <v>0.01</v>
          </cell>
          <cell r="E33">
            <v>2.98E-2</v>
          </cell>
          <cell r="F33">
            <v>5.8906E-2</v>
          </cell>
          <cell r="G33">
            <v>9.6549759999999998E-2</v>
          </cell>
          <cell r="H33">
            <v>0.14172227199999998</v>
          </cell>
          <cell r="I33">
            <v>0.19035800991999999</v>
          </cell>
          <cell r="J33">
            <v>0.2362377226912</v>
          </cell>
          <cell r="K33">
            <v>0.279517585072032</v>
          </cell>
          <cell r="L33">
            <v>0.32034492191795017</v>
          </cell>
          <cell r="M33">
            <v>0.35885870967593297</v>
          </cell>
          <cell r="N33">
            <v>0.39519004946096342</v>
          </cell>
          <cell r="O33">
            <v>0.42946261332484215</v>
          </cell>
          <cell r="P33">
            <v>0.46179306523643443</v>
          </cell>
          <cell r="Q33">
            <v>0.49229145820636983</v>
          </cell>
          <cell r="R33">
            <v>0.5210616089080089</v>
          </cell>
          <cell r="S33">
            <v>0.54820145106988838</v>
          </cell>
          <cell r="T33">
            <v>0.57380336884259475</v>
          </cell>
          <cell r="U33">
            <v>0.59795451127484767</v>
          </cell>
          <cell r="V33">
            <v>0.62073708896927293</v>
          </cell>
          <cell r="W33">
            <v>0.6422286539276808</v>
          </cell>
          <cell r="X33"/>
        </row>
        <row r="34">
          <cell r="A34" t="str">
            <v>Dryer</v>
          </cell>
          <cell r="B34" t="str">
            <v>Clothes Dryer - New</v>
          </cell>
          <cell r="C34" t="str">
            <v>LOMax60</v>
          </cell>
          <cell r="D34">
            <v>0.01</v>
          </cell>
          <cell r="E34">
            <v>2.98E-2</v>
          </cell>
          <cell r="F34">
            <v>5.8906E-2</v>
          </cell>
          <cell r="G34">
            <v>9.6549759999999998E-2</v>
          </cell>
          <cell r="H34">
            <v>0.14172227199999998</v>
          </cell>
          <cell r="I34">
            <v>0.19035800991999999</v>
          </cell>
          <cell r="J34">
            <v>0.2362377226912</v>
          </cell>
          <cell r="K34">
            <v>0.279517585072032</v>
          </cell>
          <cell r="L34">
            <v>0.32034492191795017</v>
          </cell>
          <cell r="M34">
            <v>0.35885870967593297</v>
          </cell>
          <cell r="N34">
            <v>0.39519004946096342</v>
          </cell>
          <cell r="O34">
            <v>0.42946261332484215</v>
          </cell>
          <cell r="P34">
            <v>0.46179306523643443</v>
          </cell>
          <cell r="Q34">
            <v>0.49229145820636983</v>
          </cell>
          <cell r="R34">
            <v>0.5210616089080089</v>
          </cell>
          <cell r="S34">
            <v>0.54820145106988838</v>
          </cell>
          <cell r="T34">
            <v>0.57380336884259475</v>
          </cell>
          <cell r="U34">
            <v>0.59795451127484767</v>
          </cell>
          <cell r="V34">
            <v>0.62073708896927293</v>
          </cell>
          <cell r="W34">
            <v>0.6422286539276808</v>
          </cell>
          <cell r="X34"/>
        </row>
        <row r="35">
          <cell r="A35" t="str">
            <v>Dryer</v>
          </cell>
          <cell r="B35" t="str">
            <v>Clothes Dryer - NR</v>
          </cell>
          <cell r="C35" t="str">
            <v>LOMax60</v>
          </cell>
          <cell r="D35">
            <v>0.01</v>
          </cell>
          <cell r="E35">
            <v>2.98E-2</v>
          </cell>
          <cell r="F35">
            <v>5.8906E-2</v>
          </cell>
          <cell r="G35">
            <v>9.6549759999999998E-2</v>
          </cell>
          <cell r="H35">
            <v>0.14172227199999998</v>
          </cell>
          <cell r="I35">
            <v>0.19035800991999999</v>
          </cell>
          <cell r="J35">
            <v>0.2362377226912</v>
          </cell>
          <cell r="K35">
            <v>0.279517585072032</v>
          </cell>
          <cell r="L35">
            <v>0.32034492191795017</v>
          </cell>
          <cell r="M35">
            <v>0.35885870967593297</v>
          </cell>
          <cell r="N35">
            <v>0.39519004946096342</v>
          </cell>
          <cell r="O35">
            <v>0.42946261332484215</v>
          </cell>
          <cell r="P35">
            <v>0.46179306523643443</v>
          </cell>
          <cell r="Q35">
            <v>0.49229145820636983</v>
          </cell>
          <cell r="R35">
            <v>0.5210616089080089</v>
          </cell>
          <cell r="S35">
            <v>0.54820145106988838</v>
          </cell>
          <cell r="T35">
            <v>0.57380336884259475</v>
          </cell>
          <cell r="U35">
            <v>0.59795451127484767</v>
          </cell>
          <cell r="V35">
            <v>0.62073708896927293</v>
          </cell>
          <cell r="W35">
            <v>0.6422286539276808</v>
          </cell>
          <cell r="X35"/>
        </row>
        <row r="36">
          <cell r="A36" t="str">
            <v>Refrigeration</v>
          </cell>
          <cell r="B36" t="str">
            <v>Refrigerator - New</v>
          </cell>
          <cell r="C36" t="str">
            <v>LO1Slow</v>
          </cell>
          <cell r="D36">
            <v>2.5643970768378654E-3</v>
          </cell>
          <cell r="E36">
            <v>7.6904586297764643E-3</v>
          </cell>
          <cell r="F36">
            <v>1.6792013047419844E-2</v>
          </cell>
          <cell r="G36">
            <v>3.15969387774655E-2</v>
          </cell>
          <cell r="H36">
            <v>5.406874819795171E-2</v>
          </cell>
          <cell r="I36">
            <v>8.6253181011834101E-2</v>
          </cell>
          <cell r="J36">
            <v>0.1300328481838382</v>
          </cell>
          <cell r="K36">
            <v>0.18678710893858319</v>
          </cell>
          <cell r="L36">
            <v>0.2569823480072907</v>
          </cell>
          <cell r="M36">
            <v>0.33975920985004748</v>
          </cell>
          <cell r="N36">
            <v>0.43262946935754232</v>
          </cell>
          <cell r="O36">
            <v>0.53142594003645804</v>
          </cell>
          <cell r="P36">
            <v>0.63063487292644704</v>
          </cell>
          <cell r="Q36">
            <v>0.7241560234206913</v>
          </cell>
          <cell r="R36">
            <v>0.80638203131755359</v>
          </cell>
          <cell r="S36">
            <v>0.87331559734491926</v>
          </cell>
          <cell r="T36">
            <v>0.92334516248836807</v>
          </cell>
          <cell r="U36">
            <v>0.95737002770730018</v>
          </cell>
          <cell r="V36">
            <v>0.97821608704807483</v>
          </cell>
          <cell r="W36">
            <v>0.98821608704807484</v>
          </cell>
          <cell r="X36"/>
        </row>
        <row r="37">
          <cell r="A37" t="str">
            <v>Refrigeration</v>
          </cell>
          <cell r="B37" t="str">
            <v>Refrigerator - NR</v>
          </cell>
          <cell r="C37" t="str">
            <v>LO1Slow</v>
          </cell>
          <cell r="D37">
            <v>2.5643970768378654E-3</v>
          </cell>
          <cell r="E37">
            <v>7.6904586297764643E-3</v>
          </cell>
          <cell r="F37">
            <v>1.6792013047419844E-2</v>
          </cell>
          <cell r="G37">
            <v>3.15969387774655E-2</v>
          </cell>
          <cell r="H37">
            <v>5.406874819795171E-2</v>
          </cell>
          <cell r="I37">
            <v>8.6253181011834101E-2</v>
          </cell>
          <cell r="J37">
            <v>0.1300328481838382</v>
          </cell>
          <cell r="K37">
            <v>0.18678710893858319</v>
          </cell>
          <cell r="L37">
            <v>0.2569823480072907</v>
          </cell>
          <cell r="M37">
            <v>0.33975920985004748</v>
          </cell>
          <cell r="N37">
            <v>0.43262946935754232</v>
          </cell>
          <cell r="O37">
            <v>0.53142594003645804</v>
          </cell>
          <cell r="P37">
            <v>0.63063487292644704</v>
          </cell>
          <cell r="Q37">
            <v>0.7241560234206913</v>
          </cell>
          <cell r="R37">
            <v>0.80638203131755359</v>
          </cell>
          <cell r="S37">
            <v>0.87331559734491926</v>
          </cell>
          <cell r="T37">
            <v>0.92334516248836807</v>
          </cell>
          <cell r="U37">
            <v>0.95737002770730018</v>
          </cell>
          <cell r="V37">
            <v>0.97821608704807483</v>
          </cell>
          <cell r="W37">
            <v>0.98821608704807484</v>
          </cell>
          <cell r="X37"/>
        </row>
        <row r="38">
          <cell r="A38" t="str">
            <v>Refrigeration</v>
          </cell>
          <cell r="B38" t="str">
            <v>Freezer - New</v>
          </cell>
          <cell r="C38" t="str">
            <v>LO1Slow</v>
          </cell>
          <cell r="D38">
            <v>2.5643970768378654E-3</v>
          </cell>
          <cell r="E38">
            <v>7.6904586297764643E-3</v>
          </cell>
          <cell r="F38">
            <v>1.6792013047419844E-2</v>
          </cell>
          <cell r="G38">
            <v>3.15969387774655E-2</v>
          </cell>
          <cell r="H38">
            <v>5.406874819795171E-2</v>
          </cell>
          <cell r="I38">
            <v>8.6253181011834101E-2</v>
          </cell>
          <cell r="J38">
            <v>0.1300328481838382</v>
          </cell>
          <cell r="K38">
            <v>0.18678710893858319</v>
          </cell>
          <cell r="L38">
            <v>0.2569823480072907</v>
          </cell>
          <cell r="M38">
            <v>0.33975920985004748</v>
          </cell>
          <cell r="N38">
            <v>0.43262946935754232</v>
          </cell>
          <cell r="O38">
            <v>0.53142594003645804</v>
          </cell>
          <cell r="P38">
            <v>0.63063487292644704</v>
          </cell>
          <cell r="Q38">
            <v>0.7241560234206913</v>
          </cell>
          <cell r="R38">
            <v>0.80638203131755359</v>
          </cell>
          <cell r="S38">
            <v>0.87331559734491926</v>
          </cell>
          <cell r="T38">
            <v>0.92334516248836807</v>
          </cell>
          <cell r="U38">
            <v>0.95737002770730018</v>
          </cell>
          <cell r="V38">
            <v>0.97821608704807483</v>
          </cell>
          <cell r="W38">
            <v>0.98821608704807484</v>
          </cell>
          <cell r="X38"/>
        </row>
        <row r="39">
          <cell r="A39" t="str">
            <v>Refrigeration</v>
          </cell>
          <cell r="B39" t="str">
            <v>Freezer - NR</v>
          </cell>
          <cell r="C39" t="str">
            <v>LO1Slow</v>
          </cell>
          <cell r="D39">
            <v>2.5643970768378654E-3</v>
          </cell>
          <cell r="E39">
            <v>7.6904586297764643E-3</v>
          </cell>
          <cell r="F39">
            <v>1.6792013047419844E-2</v>
          </cell>
          <cell r="G39">
            <v>3.15969387774655E-2</v>
          </cell>
          <cell r="H39">
            <v>5.406874819795171E-2</v>
          </cell>
          <cell r="I39">
            <v>8.6253181011834101E-2</v>
          </cell>
          <cell r="J39">
            <v>0.1300328481838382</v>
          </cell>
          <cell r="K39">
            <v>0.18678710893858319</v>
          </cell>
          <cell r="L39">
            <v>0.2569823480072907</v>
          </cell>
          <cell r="M39">
            <v>0.33975920985004748</v>
          </cell>
          <cell r="N39">
            <v>0.43262946935754232</v>
          </cell>
          <cell r="O39">
            <v>0.53142594003645804</v>
          </cell>
          <cell r="P39">
            <v>0.63063487292644704</v>
          </cell>
          <cell r="Q39">
            <v>0.7241560234206913</v>
          </cell>
          <cell r="R39">
            <v>0.80638203131755359</v>
          </cell>
          <cell r="S39">
            <v>0.87331559734491926</v>
          </cell>
          <cell r="T39">
            <v>0.92334516248836807</v>
          </cell>
          <cell r="U39">
            <v>0.95737002770730018</v>
          </cell>
          <cell r="V39">
            <v>0.97821608704807483</v>
          </cell>
          <cell r="W39">
            <v>0.98821608704807484</v>
          </cell>
          <cell r="X39"/>
        </row>
        <row r="40">
          <cell r="A40" t="str">
            <v>Water Heating</v>
          </cell>
          <cell r="B40" t="str">
            <v>Solar Water Heater - New</v>
          </cell>
          <cell r="C40" t="str">
            <v>LOMax60</v>
          </cell>
          <cell r="D40">
            <v>0.01</v>
          </cell>
          <cell r="E40">
            <v>2.98E-2</v>
          </cell>
          <cell r="F40">
            <v>5.8906E-2</v>
          </cell>
          <cell r="G40">
            <v>9.6549759999999998E-2</v>
          </cell>
          <cell r="H40">
            <v>0.14172227199999998</v>
          </cell>
          <cell r="I40">
            <v>0.19035800991999999</v>
          </cell>
          <cell r="J40">
            <v>0.2362377226912</v>
          </cell>
          <cell r="K40">
            <v>0.279517585072032</v>
          </cell>
          <cell r="L40">
            <v>0.32034492191795017</v>
          </cell>
          <cell r="M40">
            <v>0.35885870967593297</v>
          </cell>
          <cell r="N40">
            <v>0.39519004946096342</v>
          </cell>
          <cell r="O40">
            <v>0.42946261332484215</v>
          </cell>
          <cell r="P40">
            <v>0.46179306523643443</v>
          </cell>
          <cell r="Q40">
            <v>0.49229145820636983</v>
          </cell>
          <cell r="R40">
            <v>0.5210616089080089</v>
          </cell>
          <cell r="S40">
            <v>0.54820145106988838</v>
          </cell>
          <cell r="T40">
            <v>0.57380336884259475</v>
          </cell>
          <cell r="U40">
            <v>0.59795451127484767</v>
          </cell>
          <cell r="V40">
            <v>0.62073708896927293</v>
          </cell>
          <cell r="W40">
            <v>0.6422286539276808</v>
          </cell>
          <cell r="X40"/>
        </row>
        <row r="41">
          <cell r="A41" t="str">
            <v>Water Heating</v>
          </cell>
          <cell r="B41" t="str">
            <v>Solar Water Heater - NR</v>
          </cell>
          <cell r="C41" t="str">
            <v>LOMax60</v>
          </cell>
          <cell r="D41">
            <v>0.01</v>
          </cell>
          <cell r="E41">
            <v>2.98E-2</v>
          </cell>
          <cell r="F41">
            <v>5.8906E-2</v>
          </cell>
          <cell r="G41">
            <v>9.6549759999999998E-2</v>
          </cell>
          <cell r="H41">
            <v>0.14172227199999998</v>
          </cell>
          <cell r="I41">
            <v>0.19035800991999999</v>
          </cell>
          <cell r="J41">
            <v>0.2362377226912</v>
          </cell>
          <cell r="K41">
            <v>0.279517585072032</v>
          </cell>
          <cell r="L41">
            <v>0.32034492191795017</v>
          </cell>
          <cell r="M41">
            <v>0.35885870967593297</v>
          </cell>
          <cell r="N41">
            <v>0.39519004946096342</v>
          </cell>
          <cell r="O41">
            <v>0.42946261332484215</v>
          </cell>
          <cell r="P41">
            <v>0.46179306523643443</v>
          </cell>
          <cell r="Q41">
            <v>0.49229145820636983</v>
          </cell>
          <cell r="R41">
            <v>0.5210616089080089</v>
          </cell>
          <cell r="S41">
            <v>0.54820145106988838</v>
          </cell>
          <cell r="T41">
            <v>0.57380336884259475</v>
          </cell>
          <cell r="U41">
            <v>0.59795451127484767</v>
          </cell>
          <cell r="V41">
            <v>0.62073708896927293</v>
          </cell>
          <cell r="W41">
            <v>0.6422286539276808</v>
          </cell>
          <cell r="X41"/>
        </row>
        <row r="42">
          <cell r="A42" t="str">
            <v>Water Heating</v>
          </cell>
          <cell r="B42" t="str">
            <v>Solar Water Heater - Retro</v>
          </cell>
          <cell r="C42" t="str">
            <v>RetroMax60</v>
          </cell>
          <cell r="D42">
            <v>0.01</v>
          </cell>
          <cell r="E42">
            <v>1.9799999999999998E-2</v>
          </cell>
          <cell r="F42">
            <v>2.9106E-2</v>
          </cell>
          <cell r="G42">
            <v>3.7643759999999998E-2</v>
          </cell>
          <cell r="H42">
            <v>4.5172511999999984E-2</v>
          </cell>
          <cell r="I42">
            <v>4.8635737920000005E-2</v>
          </cell>
          <cell r="J42">
            <v>4.587971277120001E-2</v>
          </cell>
          <cell r="K42">
            <v>4.3279862380832007E-2</v>
          </cell>
          <cell r="L42">
            <v>4.0827336845918161E-2</v>
          </cell>
          <cell r="M42">
            <v>3.8513787757982809E-2</v>
          </cell>
          <cell r="N42">
            <v>3.6331339785030448E-2</v>
          </cell>
          <cell r="O42">
            <v>3.4272563863878724E-2</v>
          </cell>
          <cell r="P42">
            <v>3.2330451911592284E-2</v>
          </cell>
          <cell r="Q42">
            <v>3.0498392969935395E-2</v>
          </cell>
          <cell r="R42">
            <v>2.8770150701639075E-2</v>
          </cell>
          <cell r="S42">
            <v>2.7139842161879479E-2</v>
          </cell>
          <cell r="T42">
            <v>2.5601917772706373E-2</v>
          </cell>
          <cell r="U42">
            <v>2.4151142432252914E-2</v>
          </cell>
          <cell r="V42">
            <v>2.2782577694425266E-2</v>
          </cell>
          <cell r="W42">
            <v>2.1491564958407872E-2</v>
          </cell>
          <cell r="X42"/>
        </row>
        <row r="43">
          <cell r="A43">
            <v>0</v>
          </cell>
          <cell r="B43">
            <v>0</v>
          </cell>
          <cell r="C43" t="str">
            <v>LOMax60</v>
          </cell>
          <cell r="D43">
            <v>0.01</v>
          </cell>
          <cell r="E43">
            <v>2.98E-2</v>
          </cell>
          <cell r="F43">
            <v>5.8906E-2</v>
          </cell>
          <cell r="G43">
            <v>9.6549759999999998E-2</v>
          </cell>
          <cell r="H43">
            <v>0.14172227199999998</v>
          </cell>
          <cell r="I43">
            <v>0.19035800991999999</v>
          </cell>
          <cell r="J43">
            <v>0.2362377226912</v>
          </cell>
          <cell r="K43">
            <v>0.279517585072032</v>
          </cell>
          <cell r="L43">
            <v>0.32034492191795017</v>
          </cell>
          <cell r="M43">
            <v>0.35885870967593297</v>
          </cell>
          <cell r="N43">
            <v>0.39519004946096342</v>
          </cell>
          <cell r="O43">
            <v>0.42946261332484215</v>
          </cell>
          <cell r="P43">
            <v>0.46179306523643443</v>
          </cell>
          <cell r="Q43">
            <v>0.49229145820636983</v>
          </cell>
          <cell r="R43">
            <v>0.5210616089080089</v>
          </cell>
          <cell r="S43">
            <v>0.54820145106988838</v>
          </cell>
          <cell r="T43">
            <v>0.57380336884259475</v>
          </cell>
          <cell r="U43">
            <v>0.59795451127484767</v>
          </cell>
          <cell r="V43">
            <v>0.62073708896927293</v>
          </cell>
          <cell r="W43">
            <v>0.6422286539276808</v>
          </cell>
          <cell r="X43"/>
        </row>
        <row r="44">
          <cell r="A44">
            <v>0</v>
          </cell>
          <cell r="B44">
            <v>0</v>
          </cell>
          <cell r="C44" t="str">
            <v>RetroMax60</v>
          </cell>
          <cell r="D44">
            <v>0.01</v>
          </cell>
          <cell r="E44">
            <v>1.9799999999999998E-2</v>
          </cell>
          <cell r="F44">
            <v>2.9106E-2</v>
          </cell>
          <cell r="G44">
            <v>3.7643759999999998E-2</v>
          </cell>
          <cell r="H44">
            <v>4.5172511999999984E-2</v>
          </cell>
          <cell r="I44">
            <v>4.8635737920000005E-2</v>
          </cell>
          <cell r="J44">
            <v>4.587971277120001E-2</v>
          </cell>
          <cell r="K44">
            <v>4.3279862380832007E-2</v>
          </cell>
          <cell r="L44">
            <v>4.0827336845918161E-2</v>
          </cell>
          <cell r="M44">
            <v>3.8513787757982809E-2</v>
          </cell>
          <cell r="N44">
            <v>3.6331339785030448E-2</v>
          </cell>
          <cell r="O44">
            <v>3.4272563863878724E-2</v>
          </cell>
          <cell r="P44">
            <v>3.2330451911592284E-2</v>
          </cell>
          <cell r="Q44">
            <v>3.0498392969935395E-2</v>
          </cell>
          <cell r="R44">
            <v>2.8770150701639075E-2</v>
          </cell>
          <cell r="S44">
            <v>2.7139842161879479E-2</v>
          </cell>
          <cell r="T44">
            <v>2.5601917772706373E-2</v>
          </cell>
          <cell r="U44">
            <v>2.4151142432252914E-2</v>
          </cell>
          <cell r="V44">
            <v>2.2782577694425266E-2</v>
          </cell>
          <cell r="W44">
            <v>2.1491564958407872E-2</v>
          </cell>
          <cell r="X44"/>
        </row>
        <row r="45">
          <cell r="A45" t="str">
            <v>Food Preparation</v>
          </cell>
          <cell r="B45" t="str">
            <v>Electric Oven - New</v>
          </cell>
          <cell r="C45" t="str">
            <v>LO20Fast</v>
          </cell>
          <cell r="D45">
            <v>0.22119921692859512</v>
          </cell>
          <cell r="E45">
            <v>0.37624232795148943</v>
          </cell>
          <cell r="F45">
            <v>0.48357361352878442</v>
          </cell>
          <cell r="G45">
            <v>0.56716330278444227</v>
          </cell>
          <cell r="H45">
            <v>0.64040048266456928</v>
          </cell>
          <cell r="I45">
            <v>0.70377511937632964</v>
          </cell>
          <cell r="J45">
            <v>0.7580669577441127</v>
          </cell>
          <cell r="K45">
            <v>0.80419335000071168</v>
          </cell>
          <cell r="L45">
            <v>0.84311022627788457</v>
          </cell>
          <cell r="M45">
            <v>0.87575014259103623</v>
          </cell>
          <cell r="N45">
            <v>0.90298584871682319</v>
          </cell>
          <cell r="O45">
            <v>0.92419703797508856</v>
          </cell>
          <cell r="P45">
            <v>0.94071632877930145</v>
          </cell>
          <cell r="Q45">
            <v>0.95358156539340677</v>
          </cell>
          <cell r="R45">
            <v>0.96360102174287088</v>
          </cell>
          <cell r="S45">
            <v>0.97140418219378311</v>
          </cell>
          <cell r="T45">
            <v>0.97748128966338554</v>
          </cell>
          <cell r="U45">
            <v>0.98221414571952104</v>
          </cell>
          <cell r="V45">
            <v>0.98590009772220355</v>
          </cell>
          <cell r="W45">
            <v>0.98877072002825628</v>
          </cell>
          <cell r="X45"/>
        </row>
        <row r="46">
          <cell r="A46" t="str">
            <v>Food Preparation</v>
          </cell>
          <cell r="B46" t="str">
            <v>Electric Oven - NR</v>
          </cell>
          <cell r="C46" t="str">
            <v>LO20Fast</v>
          </cell>
          <cell r="D46">
            <v>0.22119921692859512</v>
          </cell>
          <cell r="E46">
            <v>0.37624232795148943</v>
          </cell>
          <cell r="F46">
            <v>0.48357361352878442</v>
          </cell>
          <cell r="G46">
            <v>0.56716330278444227</v>
          </cell>
          <cell r="H46">
            <v>0.64040048266456928</v>
          </cell>
          <cell r="I46">
            <v>0.70377511937632964</v>
          </cell>
          <cell r="J46">
            <v>0.7580669577441127</v>
          </cell>
          <cell r="K46">
            <v>0.80419335000071168</v>
          </cell>
          <cell r="L46">
            <v>0.84311022627788457</v>
          </cell>
          <cell r="M46">
            <v>0.87575014259103623</v>
          </cell>
          <cell r="N46">
            <v>0.90298584871682319</v>
          </cell>
          <cell r="O46">
            <v>0.92419703797508856</v>
          </cell>
          <cell r="P46">
            <v>0.94071632877930145</v>
          </cell>
          <cell r="Q46">
            <v>0.95358156539340677</v>
          </cell>
          <cell r="R46">
            <v>0.96360102174287088</v>
          </cell>
          <cell r="S46">
            <v>0.97140418219378311</v>
          </cell>
          <cell r="T46">
            <v>0.97748128966338554</v>
          </cell>
          <cell r="U46">
            <v>0.98221414571952104</v>
          </cell>
          <cell r="V46">
            <v>0.98590009772220355</v>
          </cell>
          <cell r="W46">
            <v>0.98877072002825628</v>
          </cell>
          <cell r="X46"/>
        </row>
        <row r="47">
          <cell r="A47" t="str">
            <v>Food Preparation</v>
          </cell>
          <cell r="B47" t="str">
            <v>Microwave - New</v>
          </cell>
          <cell r="C47" t="str">
            <v>LO12Med</v>
          </cell>
          <cell r="D47">
            <v>0.10937459468255628</v>
          </cell>
          <cell r="E47">
            <v>0.21874918936511256</v>
          </cell>
          <cell r="F47">
            <v>0.32812378404766884</v>
          </cell>
          <cell r="G47">
            <v>0.43749837873022512</v>
          </cell>
          <cell r="H47">
            <v>0.5468729734127814</v>
          </cell>
          <cell r="I47">
            <v>0.64531010862708205</v>
          </cell>
          <cell r="J47">
            <v>0.7240598167985226</v>
          </cell>
          <cell r="K47">
            <v>0.78705958333567505</v>
          </cell>
          <cell r="L47">
            <v>0.83745939656539703</v>
          </cell>
          <cell r="M47">
            <v>0.87777924714917455</v>
          </cell>
          <cell r="N47">
            <v>0.91003512761619654</v>
          </cell>
          <cell r="O47">
            <v>0.93583983198981413</v>
          </cell>
          <cell r="P47">
            <v>0.9564835954887082</v>
          </cell>
          <cell r="Q47">
            <v>0.97299860628782353</v>
          </cell>
          <cell r="R47">
            <v>0.9862106149271157</v>
          </cell>
          <cell r="S47">
            <v>0.99678022183854953</v>
          </cell>
          <cell r="T47">
            <v>0.99685231466234414</v>
          </cell>
          <cell r="U47">
            <v>0.99687806209941365</v>
          </cell>
          <cell r="V47">
            <v>0.99688683963477831</v>
          </cell>
          <cell r="W47">
            <v>0.99688970187457115</v>
          </cell>
          <cell r="X47"/>
        </row>
        <row r="48">
          <cell r="A48" t="str">
            <v>Food Preparation</v>
          </cell>
          <cell r="B48" t="str">
            <v>Microwave - NR</v>
          </cell>
          <cell r="C48" t="str">
            <v>LO12Med</v>
          </cell>
          <cell r="D48">
            <v>0.10937459468255628</v>
          </cell>
          <cell r="E48">
            <v>0.21874918936511256</v>
          </cell>
          <cell r="F48">
            <v>0.32812378404766884</v>
          </cell>
          <cell r="G48">
            <v>0.43749837873022512</v>
          </cell>
          <cell r="H48">
            <v>0.5468729734127814</v>
          </cell>
          <cell r="I48">
            <v>0.64531010862708205</v>
          </cell>
          <cell r="J48">
            <v>0.7240598167985226</v>
          </cell>
          <cell r="K48">
            <v>0.78705958333567505</v>
          </cell>
          <cell r="L48">
            <v>0.83745939656539703</v>
          </cell>
          <cell r="M48">
            <v>0.87777924714917455</v>
          </cell>
          <cell r="N48">
            <v>0.91003512761619654</v>
          </cell>
          <cell r="O48">
            <v>0.93583983198981413</v>
          </cell>
          <cell r="P48">
            <v>0.9564835954887082</v>
          </cell>
          <cell r="Q48">
            <v>0.97299860628782353</v>
          </cell>
          <cell r="R48">
            <v>0.9862106149271157</v>
          </cell>
          <cell r="S48">
            <v>0.99678022183854953</v>
          </cell>
          <cell r="T48">
            <v>0.99685231466234414</v>
          </cell>
          <cell r="U48">
            <v>0.99687806209941365</v>
          </cell>
          <cell r="V48">
            <v>0.99688683963477831</v>
          </cell>
          <cell r="W48">
            <v>0.99688970187457115</v>
          </cell>
          <cell r="X48"/>
        </row>
        <row r="49">
          <cell r="A49" t="str">
            <v>Electronics</v>
          </cell>
          <cell r="B49" t="str">
            <v>Monitor - New</v>
          </cell>
          <cell r="C49" t="str">
            <v>LO50Fast</v>
          </cell>
          <cell r="D49">
            <v>0.45</v>
          </cell>
          <cell r="E49">
            <v>0.66</v>
          </cell>
          <cell r="F49">
            <v>0.8</v>
          </cell>
          <cell r="G49">
            <v>0.89</v>
          </cell>
          <cell r="H49">
            <v>0.94954036260972652</v>
          </cell>
          <cell r="I49">
            <v>0.97931054391458994</v>
          </cell>
          <cell r="J49">
            <v>0.99254173560564019</v>
          </cell>
          <cell r="K49">
            <v>0.99783421228206048</v>
          </cell>
          <cell r="L49">
            <v>0.99975874925530417</v>
          </cell>
          <cell r="M49">
            <v>1.0004002615797187</v>
          </cell>
          <cell r="N49">
            <v>1.0005976499872309</v>
          </cell>
          <cell r="O49">
            <v>1.0006540466750915</v>
          </cell>
          <cell r="P49">
            <v>1.0006690857918545</v>
          </cell>
          <cell r="Q49">
            <v>1.000672845571045</v>
          </cell>
          <cell r="R49">
            <v>1.0006737302249724</v>
          </cell>
          <cell r="S49">
            <v>1.0006739268147338</v>
          </cell>
          <cell r="T49">
            <v>1.0006739682020522</v>
          </cell>
          <cell r="U49">
            <v>1.0006739764795158</v>
          </cell>
          <cell r="V49">
            <v>1.0006739780561755</v>
          </cell>
          <cell r="W49">
            <v>1.0006739783428409</v>
          </cell>
          <cell r="X49"/>
        </row>
        <row r="50">
          <cell r="A50" t="str">
            <v>Electronics</v>
          </cell>
          <cell r="B50" t="str">
            <v>Monitor - NR</v>
          </cell>
          <cell r="C50" t="str">
            <v>LO50Fast</v>
          </cell>
          <cell r="D50">
            <v>0.45</v>
          </cell>
          <cell r="E50">
            <v>0.66</v>
          </cell>
          <cell r="F50">
            <v>0.8</v>
          </cell>
          <cell r="G50">
            <v>0.89</v>
          </cell>
          <cell r="H50">
            <v>0.94954036260972652</v>
          </cell>
          <cell r="I50">
            <v>0.97931054391458994</v>
          </cell>
          <cell r="J50">
            <v>0.99254173560564019</v>
          </cell>
          <cell r="K50">
            <v>0.99783421228206048</v>
          </cell>
          <cell r="L50">
            <v>0.99975874925530417</v>
          </cell>
          <cell r="M50">
            <v>1.0004002615797187</v>
          </cell>
          <cell r="N50">
            <v>1.0005976499872309</v>
          </cell>
          <cell r="O50">
            <v>1.0006540466750915</v>
          </cell>
          <cell r="P50">
            <v>1.0006690857918545</v>
          </cell>
          <cell r="Q50">
            <v>1.000672845571045</v>
          </cell>
          <cell r="R50">
            <v>1.0006737302249724</v>
          </cell>
          <cell r="S50">
            <v>1.0006739268147338</v>
          </cell>
          <cell r="T50">
            <v>1.0006739682020522</v>
          </cell>
          <cell r="U50">
            <v>1.0006739764795158</v>
          </cell>
          <cell r="V50">
            <v>1.0006739780561755</v>
          </cell>
          <cell r="W50">
            <v>1.0006739783428409</v>
          </cell>
          <cell r="X50"/>
        </row>
        <row r="51">
          <cell r="A51" t="str">
            <v>Electronics</v>
          </cell>
          <cell r="B51" t="str">
            <v>Desktop - New</v>
          </cell>
          <cell r="C51" t="str">
            <v>LO50Fast</v>
          </cell>
          <cell r="D51">
            <v>0.45</v>
          </cell>
          <cell r="E51">
            <v>0.66</v>
          </cell>
          <cell r="F51">
            <v>0.8</v>
          </cell>
          <cell r="G51">
            <v>0.89</v>
          </cell>
          <cell r="H51">
            <v>0.94954036260972652</v>
          </cell>
          <cell r="I51">
            <v>0.97931054391458994</v>
          </cell>
          <cell r="J51">
            <v>0.99254173560564019</v>
          </cell>
          <cell r="K51">
            <v>0.99783421228206048</v>
          </cell>
          <cell r="L51">
            <v>0.99975874925530417</v>
          </cell>
          <cell r="M51">
            <v>1.0004002615797187</v>
          </cell>
          <cell r="N51">
            <v>1.0005976499872309</v>
          </cell>
          <cell r="O51">
            <v>1.0006540466750915</v>
          </cell>
          <cell r="P51">
            <v>1.0006690857918545</v>
          </cell>
          <cell r="Q51">
            <v>1.000672845571045</v>
          </cell>
          <cell r="R51">
            <v>1.0006737302249724</v>
          </cell>
          <cell r="S51">
            <v>1.0006739268147338</v>
          </cell>
          <cell r="T51">
            <v>1.0006739682020522</v>
          </cell>
          <cell r="U51">
            <v>1.0006739764795158</v>
          </cell>
          <cell r="V51">
            <v>1.0006739780561755</v>
          </cell>
          <cell r="W51">
            <v>1.0006739783428409</v>
          </cell>
          <cell r="X51"/>
        </row>
        <row r="52">
          <cell r="A52" t="str">
            <v>Electronics</v>
          </cell>
          <cell r="B52" t="str">
            <v>Desktop - NR</v>
          </cell>
          <cell r="C52" t="str">
            <v>LO50Fast</v>
          </cell>
          <cell r="D52">
            <v>0.45</v>
          </cell>
          <cell r="E52">
            <v>0.66</v>
          </cell>
          <cell r="F52">
            <v>0.8</v>
          </cell>
          <cell r="G52">
            <v>0.89</v>
          </cell>
          <cell r="H52">
            <v>0.94954036260972652</v>
          </cell>
          <cell r="I52">
            <v>0.97931054391458994</v>
          </cell>
          <cell r="J52">
            <v>0.99254173560564019</v>
          </cell>
          <cell r="K52">
            <v>0.99783421228206048</v>
          </cell>
          <cell r="L52">
            <v>0.99975874925530417</v>
          </cell>
          <cell r="M52">
            <v>1.0004002615797187</v>
          </cell>
          <cell r="N52">
            <v>1.0005976499872309</v>
          </cell>
          <cell r="O52">
            <v>1.0006540466750915</v>
          </cell>
          <cell r="P52">
            <v>1.0006690857918545</v>
          </cell>
          <cell r="Q52">
            <v>1.000672845571045</v>
          </cell>
          <cell r="R52">
            <v>1.0006737302249724</v>
          </cell>
          <cell r="S52">
            <v>1.0006739268147338</v>
          </cell>
          <cell r="T52">
            <v>1.0006739682020522</v>
          </cell>
          <cell r="U52">
            <v>1.0006739764795158</v>
          </cell>
          <cell r="V52">
            <v>1.0006739780561755</v>
          </cell>
          <cell r="W52">
            <v>1.0006739783428409</v>
          </cell>
          <cell r="X52"/>
        </row>
        <row r="53">
          <cell r="A53" t="str">
            <v>Electronics</v>
          </cell>
          <cell r="B53" t="str">
            <v>Laptop - New</v>
          </cell>
          <cell r="C53" t="str">
            <v>LO50Fast</v>
          </cell>
          <cell r="D53">
            <v>0.45</v>
          </cell>
          <cell r="E53">
            <v>0.66</v>
          </cell>
          <cell r="F53">
            <v>0.8</v>
          </cell>
          <cell r="G53">
            <v>0.89</v>
          </cell>
          <cell r="H53">
            <v>0.94954036260972652</v>
          </cell>
          <cell r="I53">
            <v>0.97931054391458994</v>
          </cell>
          <cell r="J53">
            <v>0.99254173560564019</v>
          </cell>
          <cell r="K53">
            <v>0.99783421228206048</v>
          </cell>
          <cell r="L53">
            <v>0.99975874925530417</v>
          </cell>
          <cell r="M53">
            <v>1.0004002615797187</v>
          </cell>
          <cell r="N53">
            <v>1.0005976499872309</v>
          </cell>
          <cell r="O53">
            <v>1.0006540466750915</v>
          </cell>
          <cell r="P53">
            <v>1.0006690857918545</v>
          </cell>
          <cell r="Q53">
            <v>1.000672845571045</v>
          </cell>
          <cell r="R53">
            <v>1.0006737302249724</v>
          </cell>
          <cell r="S53">
            <v>1.0006739268147338</v>
          </cell>
          <cell r="T53">
            <v>1.0006739682020522</v>
          </cell>
          <cell r="U53">
            <v>1.0006739764795158</v>
          </cell>
          <cell r="V53">
            <v>1.0006739780561755</v>
          </cell>
          <cell r="W53">
            <v>1.0006739783428409</v>
          </cell>
          <cell r="X53"/>
        </row>
        <row r="54">
          <cell r="A54" t="str">
            <v>Electronics</v>
          </cell>
          <cell r="B54" t="str">
            <v>Laptop - NR</v>
          </cell>
          <cell r="C54" t="str">
            <v>LO50Fast</v>
          </cell>
          <cell r="D54">
            <v>0.45</v>
          </cell>
          <cell r="E54">
            <v>0.66</v>
          </cell>
          <cell r="F54">
            <v>0.8</v>
          </cell>
          <cell r="G54">
            <v>0.89</v>
          </cell>
          <cell r="H54">
            <v>0.94954036260972652</v>
          </cell>
          <cell r="I54">
            <v>0.97931054391458994</v>
          </cell>
          <cell r="J54">
            <v>0.99254173560564019</v>
          </cell>
          <cell r="K54">
            <v>0.99783421228206048</v>
          </cell>
          <cell r="L54">
            <v>0.99975874925530417</v>
          </cell>
          <cell r="M54">
            <v>1.0004002615797187</v>
          </cell>
          <cell r="N54">
            <v>1.0005976499872309</v>
          </cell>
          <cell r="O54">
            <v>1.0006540466750915</v>
          </cell>
          <cell r="P54">
            <v>1.0006690857918545</v>
          </cell>
          <cell r="Q54">
            <v>1.000672845571045</v>
          </cell>
          <cell r="R54">
            <v>1.0006737302249724</v>
          </cell>
          <cell r="S54">
            <v>1.0006739268147338</v>
          </cell>
          <cell r="T54">
            <v>1.0006739682020522</v>
          </cell>
          <cell r="U54">
            <v>1.0006739764795158</v>
          </cell>
          <cell r="V54">
            <v>1.0006739780561755</v>
          </cell>
          <cell r="W54">
            <v>1.0006739783428409</v>
          </cell>
          <cell r="X54"/>
        </row>
        <row r="55">
          <cell r="A55" t="str">
            <v>Electronics</v>
          </cell>
          <cell r="B55" t="str">
            <v>Computer - New</v>
          </cell>
          <cell r="C55" t="str">
            <v>LO50Fast</v>
          </cell>
          <cell r="D55">
            <v>0.45</v>
          </cell>
          <cell r="E55">
            <v>0.66</v>
          </cell>
          <cell r="F55">
            <v>0.8</v>
          </cell>
          <cell r="G55">
            <v>0.89</v>
          </cell>
          <cell r="H55">
            <v>0.94954036260972652</v>
          </cell>
          <cell r="I55">
            <v>0.97931054391458994</v>
          </cell>
          <cell r="J55">
            <v>0.99254173560564019</v>
          </cell>
          <cell r="K55">
            <v>0.99783421228206048</v>
          </cell>
          <cell r="L55">
            <v>0.99975874925530417</v>
          </cell>
          <cell r="M55">
            <v>1.0004002615797187</v>
          </cell>
          <cell r="N55">
            <v>1.0005976499872309</v>
          </cell>
          <cell r="O55">
            <v>1.0006540466750915</v>
          </cell>
          <cell r="P55">
            <v>1.0006690857918545</v>
          </cell>
          <cell r="Q55">
            <v>1.000672845571045</v>
          </cell>
          <cell r="R55">
            <v>1.0006737302249724</v>
          </cell>
          <cell r="S55">
            <v>1.0006739268147338</v>
          </cell>
          <cell r="T55">
            <v>1.0006739682020522</v>
          </cell>
          <cell r="U55">
            <v>1.0006739764795158</v>
          </cell>
          <cell r="V55">
            <v>1.0006739780561755</v>
          </cell>
          <cell r="W55">
            <v>1.0006739783428409</v>
          </cell>
          <cell r="X55"/>
        </row>
        <row r="56">
          <cell r="A56" t="str">
            <v>Electronics</v>
          </cell>
          <cell r="B56" t="str">
            <v>Computer - NR</v>
          </cell>
          <cell r="C56" t="str">
            <v>LO50Fast</v>
          </cell>
          <cell r="D56">
            <v>0.45</v>
          </cell>
          <cell r="E56">
            <v>0.66</v>
          </cell>
          <cell r="F56">
            <v>0.8</v>
          </cell>
          <cell r="G56">
            <v>0.89</v>
          </cell>
          <cell r="H56">
            <v>0.94954036260972652</v>
          </cell>
          <cell r="I56">
            <v>0.97931054391458994</v>
          </cell>
          <cell r="J56">
            <v>0.99254173560564019</v>
          </cell>
          <cell r="K56">
            <v>0.99783421228206048</v>
          </cell>
          <cell r="L56">
            <v>0.99975874925530417</v>
          </cell>
          <cell r="M56">
            <v>1.0004002615797187</v>
          </cell>
          <cell r="N56">
            <v>1.0005976499872309</v>
          </cell>
          <cell r="O56">
            <v>1.0006540466750915</v>
          </cell>
          <cell r="P56">
            <v>1.0006690857918545</v>
          </cell>
          <cell r="Q56">
            <v>1.000672845571045</v>
          </cell>
          <cell r="R56">
            <v>1.0006737302249724</v>
          </cell>
          <cell r="S56">
            <v>1.0006739268147338</v>
          </cell>
          <cell r="T56">
            <v>1.0006739682020522</v>
          </cell>
          <cell r="U56">
            <v>1.0006739764795158</v>
          </cell>
          <cell r="V56">
            <v>1.0006739780561755</v>
          </cell>
          <cell r="W56">
            <v>1.0006739783428409</v>
          </cell>
          <cell r="X56"/>
        </row>
        <row r="57">
          <cell r="A57" t="str">
            <v>HVAC</v>
          </cell>
          <cell r="B57" t="str">
            <v>ASHP - New</v>
          </cell>
          <cell r="C57" t="str">
            <v>LO5Med</v>
          </cell>
          <cell r="D57">
            <v>4.2999999999999997E-2</v>
          </cell>
          <cell r="E57">
            <v>9.5797142280278316E-2</v>
          </cell>
          <cell r="F57">
            <v>0.16040539374775648</v>
          </cell>
          <cell r="G57">
            <v>0.23540539374775649</v>
          </cell>
          <cell r="H57">
            <v>0.32095239121809005</v>
          </cell>
          <cell r="I57">
            <v>0.42096711425629652</v>
          </cell>
          <cell r="J57">
            <v>0.53068481860864725</v>
          </cell>
          <cell r="K57">
            <v>0.642769203728351</v>
          </cell>
          <cell r="L57">
            <v>0.74839528535557953</v>
          </cell>
          <cell r="M57">
            <v>0.83918984935345187</v>
          </cell>
          <cell r="N57">
            <v>0.90945051634530116</v>
          </cell>
          <cell r="O57">
            <v>0.9576688767502457</v>
          </cell>
          <cell r="P57">
            <v>0.9865231113648858</v>
          </cell>
          <cell r="Q57">
            <v>1.0012970762896924</v>
          </cell>
          <cell r="R57">
            <v>1.0076356106578106</v>
          </cell>
          <cell r="S57">
            <v>1.0098624683774413</v>
          </cell>
          <cell r="T57">
            <v>1.0104871783970797</v>
          </cell>
          <cell r="U57">
            <v>1.010623336815976</v>
          </cell>
          <cell r="V57">
            <v>1.0106457174525985</v>
          </cell>
          <cell r="W57">
            <v>1.0106484038909742</v>
          </cell>
          <cell r="X57"/>
        </row>
        <row r="58">
          <cell r="A58" t="str">
            <v>HVAC</v>
          </cell>
          <cell r="B58" t="str">
            <v>ASHP - NR</v>
          </cell>
          <cell r="C58" t="str">
            <v>LO5Med</v>
          </cell>
          <cell r="D58">
            <v>4.2999999999999997E-2</v>
          </cell>
          <cell r="E58">
            <v>9.5797142280278316E-2</v>
          </cell>
          <cell r="F58">
            <v>0.16040539374775648</v>
          </cell>
          <cell r="G58">
            <v>0.23540539374775649</v>
          </cell>
          <cell r="H58">
            <v>0.32095239121809005</v>
          </cell>
          <cell r="I58">
            <v>0.42096711425629652</v>
          </cell>
          <cell r="J58">
            <v>0.53068481860864725</v>
          </cell>
          <cell r="K58">
            <v>0.642769203728351</v>
          </cell>
          <cell r="L58">
            <v>0.74839528535557953</v>
          </cell>
          <cell r="M58">
            <v>0.83918984935345187</v>
          </cell>
          <cell r="N58">
            <v>0.90945051634530116</v>
          </cell>
          <cell r="O58">
            <v>0.9576688767502457</v>
          </cell>
          <cell r="P58">
            <v>0.9865231113648858</v>
          </cell>
          <cell r="Q58">
            <v>1.0012970762896924</v>
          </cell>
          <cell r="R58">
            <v>1.0076356106578106</v>
          </cell>
          <cell r="S58">
            <v>1.0098624683774413</v>
          </cell>
          <cell r="T58">
            <v>1.0104871783970797</v>
          </cell>
          <cell r="U58">
            <v>1.010623336815976</v>
          </cell>
          <cell r="V58">
            <v>1.0106457174525985</v>
          </cell>
          <cell r="W58">
            <v>1.0106484038909742</v>
          </cell>
          <cell r="X58"/>
        </row>
        <row r="59">
          <cell r="A59" t="str">
            <v>HVAC</v>
          </cell>
          <cell r="B59" t="str">
            <v>HP - Retro</v>
          </cell>
          <cell r="C59" t="str">
            <v>Retro12Med</v>
          </cell>
          <cell r="D59">
            <v>0.10937459468255628</v>
          </cell>
          <cell r="E59">
            <v>0.10937459468255628</v>
          </cell>
          <cell r="F59">
            <v>0.10937459468255628</v>
          </cell>
          <cell r="G59">
            <v>0.10937459468255628</v>
          </cell>
          <cell r="H59">
            <v>0.10937459468255628</v>
          </cell>
          <cell r="I59">
            <v>9.8437135214300656E-2</v>
          </cell>
          <cell r="J59">
            <v>7.874970817144053E-2</v>
          </cell>
          <cell r="K59">
            <v>6.2999766537152418E-2</v>
          </cell>
          <cell r="L59">
            <v>5.0399813229721938E-2</v>
          </cell>
          <cell r="M59">
            <v>4.0319850583777551E-2</v>
          </cell>
          <cell r="N59">
            <v>3.225588046702204E-2</v>
          </cell>
          <cell r="O59">
            <v>2.5804704373617631E-2</v>
          </cell>
          <cell r="P59">
            <v>2.0643763498894106E-2</v>
          </cell>
          <cell r="Q59">
            <v>1.6515010799115284E-2</v>
          </cell>
          <cell r="R59">
            <v>1.3212008639292228E-2</v>
          </cell>
          <cell r="S59">
            <v>1.0569606911433781E-2</v>
          </cell>
          <cell r="T59">
            <v>7.2092823794611682E-5</v>
          </cell>
          <cell r="U59">
            <v>2.5747437069512102E-5</v>
          </cell>
          <cell r="V59">
            <v>8.7775353646568632E-6</v>
          </cell>
          <cell r="W59">
            <v>2.8622397928446119E-6</v>
          </cell>
          <cell r="X59"/>
        </row>
        <row r="60">
          <cell r="A60" t="str">
            <v>HVAC</v>
          </cell>
          <cell r="B60" t="str">
            <v>DHP - New</v>
          </cell>
          <cell r="C60" t="str">
            <v>LO5Med</v>
          </cell>
          <cell r="D60">
            <v>4.2999999999999997E-2</v>
          </cell>
          <cell r="E60">
            <v>9.5797142280278316E-2</v>
          </cell>
          <cell r="F60">
            <v>0.16040539374775648</v>
          </cell>
          <cell r="G60">
            <v>0.23540539374775649</v>
          </cell>
          <cell r="H60">
            <v>0.32095239121809005</v>
          </cell>
          <cell r="I60">
            <v>0.42096711425629652</v>
          </cell>
          <cell r="J60">
            <v>0.53068481860864725</v>
          </cell>
          <cell r="K60">
            <v>0.642769203728351</v>
          </cell>
          <cell r="L60">
            <v>0.74839528535557953</v>
          </cell>
          <cell r="M60">
            <v>0.83918984935345187</v>
          </cell>
          <cell r="N60">
            <v>0.90945051634530116</v>
          </cell>
          <cell r="O60">
            <v>0.9576688767502457</v>
          </cell>
          <cell r="P60">
            <v>0.9865231113648858</v>
          </cell>
          <cell r="Q60">
            <v>1.0012970762896924</v>
          </cell>
          <cell r="R60">
            <v>1.0076356106578106</v>
          </cell>
          <cell r="S60">
            <v>1.0098624683774413</v>
          </cell>
          <cell r="T60">
            <v>1.0104871783970797</v>
          </cell>
          <cell r="U60">
            <v>1.010623336815976</v>
          </cell>
          <cell r="V60">
            <v>1.0106457174525985</v>
          </cell>
          <cell r="W60">
            <v>1.0106484038909742</v>
          </cell>
          <cell r="X60"/>
        </row>
        <row r="61">
          <cell r="A61" t="str">
            <v>HVAC</v>
          </cell>
          <cell r="B61" t="str">
            <v>DHP - NR</v>
          </cell>
          <cell r="C61" t="str">
            <v>LO5Med</v>
          </cell>
          <cell r="D61">
            <v>4.2999999999999997E-2</v>
          </cell>
          <cell r="E61">
            <v>9.5797142280278316E-2</v>
          </cell>
          <cell r="F61">
            <v>0.16040539374775648</v>
          </cell>
          <cell r="G61">
            <v>0.23540539374775649</v>
          </cell>
          <cell r="H61">
            <v>0.32095239121809005</v>
          </cell>
          <cell r="I61">
            <v>0.42096711425629652</v>
          </cell>
          <cell r="J61">
            <v>0.53068481860864725</v>
          </cell>
          <cell r="K61">
            <v>0.642769203728351</v>
          </cell>
          <cell r="L61">
            <v>0.74839528535557953</v>
          </cell>
          <cell r="M61">
            <v>0.83918984935345187</v>
          </cell>
          <cell r="N61">
            <v>0.90945051634530116</v>
          </cell>
          <cell r="O61">
            <v>0.9576688767502457</v>
          </cell>
          <cell r="P61">
            <v>0.9865231113648858</v>
          </cell>
          <cell r="Q61">
            <v>1.0012970762896924</v>
          </cell>
          <cell r="R61">
            <v>1.0076356106578106</v>
          </cell>
          <cell r="S61">
            <v>1.0098624683774413</v>
          </cell>
          <cell r="T61">
            <v>1.0104871783970797</v>
          </cell>
          <cell r="U61">
            <v>1.010623336815976</v>
          </cell>
          <cell r="V61">
            <v>1.0106457174525985</v>
          </cell>
          <cell r="W61">
            <v>1.0106484038909742</v>
          </cell>
          <cell r="X61"/>
        </row>
        <row r="62">
          <cell r="A62" t="str">
            <v>HVAC</v>
          </cell>
          <cell r="B62" t="str">
            <v>DHP - Retro</v>
          </cell>
          <cell r="C62" t="str">
            <v>Retro5Med</v>
          </cell>
          <cell r="D62">
            <v>4.2999999999999997E-2</v>
          </cell>
          <cell r="E62">
            <v>5.279714228027832E-2</v>
          </cell>
          <cell r="F62">
            <v>6.4608251467478173E-2</v>
          </cell>
          <cell r="G62">
            <v>7.4999999999999997E-2</v>
          </cell>
          <cell r="H62">
            <v>8.5546997470333563E-2</v>
          </cell>
          <cell r="I62">
            <v>0.10001472303820647</v>
          </cell>
          <cell r="J62">
            <v>0.10971770435235073</v>
          </cell>
          <cell r="K62">
            <v>0.11208438511970376</v>
          </cell>
          <cell r="L62">
            <v>0.10562608162722853</v>
          </cell>
          <cell r="M62">
            <v>9.0794563997872335E-2</v>
          </cell>
          <cell r="N62">
            <v>7.0260666991849297E-2</v>
          </cell>
          <cell r="O62">
            <v>4.8218360404944538E-2</v>
          </cell>
          <cell r="P62">
            <v>2.8854234614640095E-2</v>
          </cell>
          <cell r="Q62">
            <v>1.4773964924806759E-2</v>
          </cell>
          <cell r="R62">
            <v>6.3385343681182649E-3</v>
          </cell>
          <cell r="S62">
            <v>2.2268577196306039E-3</v>
          </cell>
          <cell r="T62">
            <v>6.2471001963848583E-4</v>
          </cell>
          <cell r="U62">
            <v>1.3615841889635938E-4</v>
          </cell>
          <cell r="V62">
            <v>2.2380636622298944E-5</v>
          </cell>
          <cell r="W62">
            <v>2.68643837586513E-6</v>
          </cell>
          <cell r="X62"/>
        </row>
        <row r="63">
          <cell r="A63" t="str">
            <v>HVAC</v>
          </cell>
          <cell r="B63" t="str">
            <v>Duct Sealing - New</v>
          </cell>
          <cell r="C63" t="str">
            <v>LO12Med</v>
          </cell>
          <cell r="D63">
            <v>0.10937459468255628</v>
          </cell>
          <cell r="E63">
            <v>0.21874918936511256</v>
          </cell>
          <cell r="F63">
            <v>0.32812378404766884</v>
          </cell>
          <cell r="G63">
            <v>0.43749837873022512</v>
          </cell>
          <cell r="H63">
            <v>0.5468729734127814</v>
          </cell>
          <cell r="I63">
            <v>0.64531010862708205</v>
          </cell>
          <cell r="J63">
            <v>0.7240598167985226</v>
          </cell>
          <cell r="K63">
            <v>0.78705958333567505</v>
          </cell>
          <cell r="L63">
            <v>0.83745939656539703</v>
          </cell>
          <cell r="M63">
            <v>0.87777924714917455</v>
          </cell>
          <cell r="N63">
            <v>0.91003512761619654</v>
          </cell>
          <cell r="O63">
            <v>0.93583983198981413</v>
          </cell>
          <cell r="P63">
            <v>0.9564835954887082</v>
          </cell>
          <cell r="Q63">
            <v>0.97299860628782353</v>
          </cell>
          <cell r="R63">
            <v>0.9862106149271157</v>
          </cell>
          <cell r="S63">
            <v>0.99678022183854953</v>
          </cell>
          <cell r="T63">
            <v>0.99685231466234414</v>
          </cell>
          <cell r="U63">
            <v>0.99687806209941365</v>
          </cell>
          <cell r="V63">
            <v>0.99688683963477831</v>
          </cell>
          <cell r="W63">
            <v>0.99688970187457115</v>
          </cell>
          <cell r="X63"/>
        </row>
        <row r="64">
          <cell r="A64" t="str">
            <v>HVAC</v>
          </cell>
          <cell r="B64" t="str">
            <v>Duct Sealing - Retro</v>
          </cell>
          <cell r="C64" t="str">
            <v>Retro12Med</v>
          </cell>
          <cell r="D64">
            <v>0.10937459468255628</v>
          </cell>
          <cell r="E64">
            <v>0.10937459468255628</v>
          </cell>
          <cell r="F64">
            <v>0.10937459468255628</v>
          </cell>
          <cell r="G64">
            <v>0.10937459468255628</v>
          </cell>
          <cell r="H64">
            <v>0.10937459468255628</v>
          </cell>
          <cell r="I64">
            <v>9.8437135214300656E-2</v>
          </cell>
          <cell r="J64">
            <v>7.874970817144053E-2</v>
          </cell>
          <cell r="K64">
            <v>6.2999766537152418E-2</v>
          </cell>
          <cell r="L64">
            <v>5.0399813229721938E-2</v>
          </cell>
          <cell r="M64">
            <v>4.0319850583777551E-2</v>
          </cell>
          <cell r="N64">
            <v>3.225588046702204E-2</v>
          </cell>
          <cell r="O64">
            <v>2.5804704373617631E-2</v>
          </cell>
          <cell r="P64">
            <v>2.0643763498894106E-2</v>
          </cell>
          <cell r="Q64">
            <v>1.6515010799115284E-2</v>
          </cell>
          <cell r="R64">
            <v>1.3212008639292228E-2</v>
          </cell>
          <cell r="S64">
            <v>1.0569606911433781E-2</v>
          </cell>
          <cell r="T64">
            <v>7.2092823794611682E-5</v>
          </cell>
          <cell r="U64">
            <v>2.5747437069512102E-5</v>
          </cell>
          <cell r="V64">
            <v>8.7775353646568632E-6</v>
          </cell>
          <cell r="W64">
            <v>2.8622397928446119E-6</v>
          </cell>
          <cell r="X64"/>
        </row>
        <row r="65">
          <cell r="A65" t="str">
            <v>HVAC</v>
          </cell>
          <cell r="B65" t="str">
            <v>WIFI enabled tstats - New</v>
          </cell>
          <cell r="C65" t="str">
            <v>LO5Med</v>
          </cell>
          <cell r="D65">
            <v>4.2999999999999997E-2</v>
          </cell>
          <cell r="E65">
            <v>9.5797142280278316E-2</v>
          </cell>
          <cell r="F65">
            <v>0.16040539374775648</v>
          </cell>
          <cell r="G65">
            <v>0.23540539374775649</v>
          </cell>
          <cell r="H65">
            <v>0.32095239121809005</v>
          </cell>
          <cell r="I65">
            <v>0.42096711425629652</v>
          </cell>
          <cell r="J65">
            <v>0.53068481860864725</v>
          </cell>
          <cell r="K65">
            <v>0.642769203728351</v>
          </cell>
          <cell r="L65">
            <v>0.74839528535557953</v>
          </cell>
          <cell r="M65">
            <v>0.83918984935345187</v>
          </cell>
          <cell r="N65">
            <v>0.90945051634530116</v>
          </cell>
          <cell r="O65">
            <v>0.9576688767502457</v>
          </cell>
          <cell r="P65">
            <v>0.9865231113648858</v>
          </cell>
          <cell r="Q65">
            <v>1.0012970762896924</v>
          </cell>
          <cell r="R65">
            <v>1.0076356106578106</v>
          </cell>
          <cell r="S65">
            <v>1.0098624683774413</v>
          </cell>
          <cell r="T65">
            <v>1.0104871783970797</v>
          </cell>
          <cell r="U65">
            <v>1.010623336815976</v>
          </cell>
          <cell r="V65">
            <v>1.0106457174525985</v>
          </cell>
          <cell r="W65">
            <v>1.0106484038909742</v>
          </cell>
          <cell r="X65"/>
        </row>
        <row r="66">
          <cell r="A66" t="str">
            <v>HVAC</v>
          </cell>
          <cell r="B66" t="str">
            <v>WIFI enabled tstats - Retro</v>
          </cell>
          <cell r="C66" t="str">
            <v>Retro5Med</v>
          </cell>
          <cell r="D66">
            <v>4.2999999999999997E-2</v>
          </cell>
          <cell r="E66">
            <v>5.279714228027832E-2</v>
          </cell>
          <cell r="F66">
            <v>6.4608251467478173E-2</v>
          </cell>
          <cell r="G66">
            <v>7.4999999999999997E-2</v>
          </cell>
          <cell r="H66">
            <v>8.5546997470333563E-2</v>
          </cell>
          <cell r="I66">
            <v>0.10001472303820647</v>
          </cell>
          <cell r="J66">
            <v>0.10971770435235073</v>
          </cell>
          <cell r="K66">
            <v>0.11208438511970376</v>
          </cell>
          <cell r="L66">
            <v>0.10562608162722853</v>
          </cell>
          <cell r="M66">
            <v>9.0794563997872335E-2</v>
          </cell>
          <cell r="N66">
            <v>7.0260666991849297E-2</v>
          </cell>
          <cell r="O66">
            <v>4.8218360404944538E-2</v>
          </cell>
          <cell r="P66">
            <v>2.8854234614640095E-2</v>
          </cell>
          <cell r="Q66">
            <v>1.4773964924806759E-2</v>
          </cell>
          <cell r="R66">
            <v>6.3385343681182649E-3</v>
          </cell>
          <cell r="S66">
            <v>2.2268577196306039E-3</v>
          </cell>
          <cell r="T66">
            <v>6.2471001963848583E-4</v>
          </cell>
          <cell r="U66">
            <v>1.3615841889635938E-4</v>
          </cell>
          <cell r="V66">
            <v>2.2380636622298944E-5</v>
          </cell>
          <cell r="W66">
            <v>2.68643837586513E-6</v>
          </cell>
          <cell r="X66"/>
        </row>
        <row r="67">
          <cell r="A67" t="str">
            <v>HVAC</v>
          </cell>
          <cell r="B67" t="str">
            <v>Combo DHP/HPWH units - New</v>
          </cell>
          <cell r="C67" t="str">
            <v>LO5Med</v>
          </cell>
          <cell r="D67">
            <v>4.2999999999999997E-2</v>
          </cell>
          <cell r="E67">
            <v>9.5797142280278316E-2</v>
          </cell>
          <cell r="F67">
            <v>0.16040539374775648</v>
          </cell>
          <cell r="G67">
            <v>0.23540539374775649</v>
          </cell>
          <cell r="H67">
            <v>0.32095239121809005</v>
          </cell>
          <cell r="I67">
            <v>0.42096711425629652</v>
          </cell>
          <cell r="J67">
            <v>0.53068481860864725</v>
          </cell>
          <cell r="K67">
            <v>0.642769203728351</v>
          </cell>
          <cell r="L67">
            <v>0.74839528535557953</v>
          </cell>
          <cell r="M67">
            <v>0.83918984935345187</v>
          </cell>
          <cell r="N67">
            <v>0.90945051634530116</v>
          </cell>
          <cell r="O67">
            <v>0.9576688767502457</v>
          </cell>
          <cell r="P67">
            <v>0.9865231113648858</v>
          </cell>
          <cell r="Q67">
            <v>1.0012970762896924</v>
          </cell>
          <cell r="R67">
            <v>1.0076356106578106</v>
          </cell>
          <cell r="S67">
            <v>1.0098624683774413</v>
          </cell>
          <cell r="T67">
            <v>1.0104871783970797</v>
          </cell>
          <cell r="U67">
            <v>1.010623336815976</v>
          </cell>
          <cell r="V67">
            <v>1.0106457174525985</v>
          </cell>
          <cell r="W67">
            <v>1.0106484038909742</v>
          </cell>
          <cell r="X67"/>
        </row>
        <row r="68">
          <cell r="A68" t="str">
            <v>HVAC</v>
          </cell>
          <cell r="B68" t="str">
            <v>Combo DHP/HPWH units - NR</v>
          </cell>
          <cell r="C68" t="str">
            <v>LO5Med</v>
          </cell>
          <cell r="D68">
            <v>4.2999999999999997E-2</v>
          </cell>
          <cell r="E68">
            <v>9.5797142280278316E-2</v>
          </cell>
          <cell r="F68">
            <v>0.16040539374775648</v>
          </cell>
          <cell r="G68">
            <v>0.23540539374775649</v>
          </cell>
          <cell r="H68">
            <v>0.32095239121809005</v>
          </cell>
          <cell r="I68">
            <v>0.42096711425629652</v>
          </cell>
          <cell r="J68">
            <v>0.53068481860864725</v>
          </cell>
          <cell r="K68">
            <v>0.642769203728351</v>
          </cell>
          <cell r="L68">
            <v>0.74839528535557953</v>
          </cell>
          <cell r="M68">
            <v>0.83918984935345187</v>
          </cell>
          <cell r="N68">
            <v>0.90945051634530116</v>
          </cell>
          <cell r="O68">
            <v>0.9576688767502457</v>
          </cell>
          <cell r="P68">
            <v>0.9865231113648858</v>
          </cell>
          <cell r="Q68">
            <v>1.0012970762896924</v>
          </cell>
          <cell r="R68">
            <v>1.0076356106578106</v>
          </cell>
          <cell r="S68">
            <v>1.0098624683774413</v>
          </cell>
          <cell r="T68">
            <v>1.0104871783970797</v>
          </cell>
          <cell r="U68">
            <v>1.010623336815976</v>
          </cell>
          <cell r="V68">
            <v>1.0106457174525985</v>
          </cell>
          <cell r="W68">
            <v>1.0106484038909742</v>
          </cell>
          <cell r="X68"/>
        </row>
        <row r="69">
          <cell r="A69" t="str">
            <v>HVAC</v>
          </cell>
          <cell r="B69" t="str">
            <v>Combo DHP/HPWH units - Retro</v>
          </cell>
          <cell r="C69" t="str">
            <v>Retro5Med</v>
          </cell>
          <cell r="D69">
            <v>4.2999999999999997E-2</v>
          </cell>
          <cell r="E69">
            <v>5.279714228027832E-2</v>
          </cell>
          <cell r="F69">
            <v>6.4608251467478173E-2</v>
          </cell>
          <cell r="G69">
            <v>7.4999999999999997E-2</v>
          </cell>
          <cell r="H69">
            <v>8.5546997470333563E-2</v>
          </cell>
          <cell r="I69">
            <v>0.10001472303820647</v>
          </cell>
          <cell r="J69">
            <v>0.10971770435235073</v>
          </cell>
          <cell r="K69">
            <v>0.11208438511970376</v>
          </cell>
          <cell r="L69">
            <v>0.10562608162722853</v>
          </cell>
          <cell r="M69">
            <v>9.0794563997872335E-2</v>
          </cell>
          <cell r="N69">
            <v>7.0260666991849297E-2</v>
          </cell>
          <cell r="O69">
            <v>4.8218360404944538E-2</v>
          </cell>
          <cell r="P69">
            <v>2.8854234614640095E-2</v>
          </cell>
          <cell r="Q69">
            <v>1.4773964924806759E-2</v>
          </cell>
          <cell r="R69">
            <v>6.3385343681182649E-3</v>
          </cell>
          <cell r="S69">
            <v>2.2268577196306039E-3</v>
          </cell>
          <cell r="T69">
            <v>6.2471001963848583E-4</v>
          </cell>
          <cell r="U69">
            <v>1.3615841889635938E-4</v>
          </cell>
          <cell r="V69">
            <v>2.2380636622298944E-5</v>
          </cell>
          <cell r="W69">
            <v>2.68643837586513E-6</v>
          </cell>
          <cell r="X69"/>
        </row>
        <row r="70">
          <cell r="A70" t="str">
            <v>Water Heating</v>
          </cell>
          <cell r="B70" t="str">
            <v>Aerator - New</v>
          </cell>
          <cell r="C70" t="str">
            <v>LO3Slow</v>
          </cell>
          <cell r="D70">
            <v>5.5320496977002724E-3</v>
          </cell>
          <cell r="E70">
            <v>1.4227918344261844E-2</v>
          </cell>
          <cell r="F70">
            <v>3.1619655637384989E-2</v>
          </cell>
          <cell r="G70">
            <v>6.2055195900350503E-2</v>
          </cell>
          <cell r="H70">
            <v>0.10939936964274129</v>
          </cell>
          <cell r="I70">
            <v>0.17568121288208835</v>
          </cell>
          <cell r="J70">
            <v>0.26003992245943919</v>
          </cell>
          <cell r="K70">
            <v>0.3584584169663485</v>
          </cell>
          <cell r="L70">
            <v>0.46444756489686617</v>
          </cell>
          <cell r="M70">
            <v>0.57043671282738384</v>
          </cell>
          <cell r="N70">
            <v>0.66935991756253377</v>
          </cell>
          <cell r="O70">
            <v>0.75591772170578986</v>
          </cell>
          <cell r="P70">
            <v>0.82720061923553012</v>
          </cell>
          <cell r="Q70">
            <v>0.88264287286977261</v>
          </cell>
          <cell r="R70">
            <v>0.92349505975816193</v>
          </cell>
          <cell r="S70">
            <v>0.95209159058003434</v>
          </cell>
          <cell r="T70">
            <v>0.97115594446128262</v>
          </cell>
          <cell r="U70">
            <v>0.98328780602207699</v>
          </cell>
          <cell r="V70">
            <v>0.99067241740690848</v>
          </cell>
          <cell r="W70">
            <v>0.99498010738139331</v>
          </cell>
          <cell r="X70"/>
        </row>
        <row r="71">
          <cell r="A71" t="str">
            <v>Water Heating</v>
          </cell>
          <cell r="B71" t="str">
            <v>Aerator - Retro</v>
          </cell>
          <cell r="C71" t="str">
            <v>Retro3Slow</v>
          </cell>
          <cell r="D71">
            <v>5.5320496977002724E-3</v>
          </cell>
          <cell r="E71">
            <v>8.6958686465615706E-3</v>
          </cell>
          <cell r="F71">
            <v>1.7391737293123145E-2</v>
          </cell>
          <cell r="G71">
            <v>3.0435540262965514E-2</v>
          </cell>
          <cell r="H71">
            <v>4.7344173742390784E-2</v>
          </cell>
          <cell r="I71">
            <v>6.6281843239347063E-2</v>
          </cell>
          <cell r="J71">
            <v>8.4358709577350838E-2</v>
          </cell>
          <cell r="K71">
            <v>9.8418494506909315E-2</v>
          </cell>
          <cell r="L71">
            <v>0.10598914793051767</v>
          </cell>
          <cell r="M71">
            <v>0.10598914793051767</v>
          </cell>
          <cell r="N71">
            <v>9.8923204735149928E-2</v>
          </cell>
          <cell r="O71">
            <v>8.655780414325609E-2</v>
          </cell>
          <cell r="P71">
            <v>7.1282897529740263E-2</v>
          </cell>
          <cell r="Q71">
            <v>5.5442253634242489E-2</v>
          </cell>
          <cell r="R71">
            <v>4.0852186888389319E-2</v>
          </cell>
          <cell r="S71">
            <v>2.8596530821872412E-2</v>
          </cell>
          <cell r="T71">
            <v>1.9064353881248275E-2</v>
          </cell>
          <cell r="U71">
            <v>1.2131861560794377E-2</v>
          </cell>
          <cell r="V71">
            <v>7.3846113848314854E-3</v>
          </cell>
          <cell r="W71">
            <v>4.3076899744848296E-3</v>
          </cell>
          <cell r="X71"/>
        </row>
        <row r="72">
          <cell r="A72" t="str">
            <v>Water Heating</v>
          </cell>
          <cell r="B72" t="str">
            <v>Behavior - Retro</v>
          </cell>
          <cell r="C72" t="str">
            <v>Retro5Med</v>
          </cell>
          <cell r="D72">
            <v>4.2999999999999997E-2</v>
          </cell>
          <cell r="E72">
            <v>5.279714228027832E-2</v>
          </cell>
          <cell r="F72">
            <v>6.4608251467478173E-2</v>
          </cell>
          <cell r="G72">
            <v>7.4999999999999997E-2</v>
          </cell>
          <cell r="H72">
            <v>8.5546997470333563E-2</v>
          </cell>
          <cell r="I72">
            <v>0.10001472303820647</v>
          </cell>
          <cell r="J72">
            <v>0.10971770435235073</v>
          </cell>
          <cell r="K72">
            <v>0.11208438511970376</v>
          </cell>
          <cell r="L72">
            <v>0.10562608162722853</v>
          </cell>
          <cell r="M72">
            <v>9.0794563997872335E-2</v>
          </cell>
          <cell r="N72">
            <v>7.0260666991849297E-2</v>
          </cell>
          <cell r="O72">
            <v>4.8218360404944538E-2</v>
          </cell>
          <cell r="P72">
            <v>2.8854234614640095E-2</v>
          </cell>
          <cell r="Q72">
            <v>1.4773964924806759E-2</v>
          </cell>
          <cell r="R72">
            <v>6.3385343681182649E-3</v>
          </cell>
          <cell r="S72">
            <v>2.2268577196306039E-3</v>
          </cell>
          <cell r="T72">
            <v>6.2471001963848583E-4</v>
          </cell>
          <cell r="U72">
            <v>1.3615841889635938E-4</v>
          </cell>
          <cell r="V72">
            <v>2.2380636622298944E-5</v>
          </cell>
          <cell r="W72">
            <v>2.68643837586513E-6</v>
          </cell>
          <cell r="X72"/>
        </row>
        <row r="73">
          <cell r="A73" t="str">
            <v>Water Heating</v>
          </cell>
          <cell r="B73" t="str">
            <v>Behavior - New</v>
          </cell>
          <cell r="C73" t="str">
            <v>LO5Med</v>
          </cell>
          <cell r="D73">
            <v>4.2999999999999997E-2</v>
          </cell>
          <cell r="E73">
            <v>9.5797142280278316E-2</v>
          </cell>
          <cell r="F73">
            <v>0.16040539374775648</v>
          </cell>
          <cell r="G73">
            <v>0.23540539374775649</v>
          </cell>
          <cell r="H73">
            <v>0.32095239121809005</v>
          </cell>
          <cell r="I73">
            <v>0.42096711425629652</v>
          </cell>
          <cell r="J73">
            <v>0.53068481860864725</v>
          </cell>
          <cell r="K73">
            <v>0.642769203728351</v>
          </cell>
          <cell r="L73">
            <v>0.74839528535557953</v>
          </cell>
          <cell r="M73">
            <v>0.83918984935345187</v>
          </cell>
          <cell r="N73">
            <v>0.90945051634530116</v>
          </cell>
          <cell r="O73">
            <v>0.9576688767502457</v>
          </cell>
          <cell r="P73">
            <v>0.9865231113648858</v>
          </cell>
          <cell r="Q73">
            <v>1.0012970762896924</v>
          </cell>
          <cell r="R73">
            <v>1.0076356106578106</v>
          </cell>
          <cell r="S73">
            <v>1.0098624683774413</v>
          </cell>
          <cell r="T73">
            <v>1.0104871783970797</v>
          </cell>
          <cell r="U73">
            <v>1.010623336815976</v>
          </cell>
          <cell r="V73">
            <v>1.0106457174525985</v>
          </cell>
          <cell r="W73">
            <v>1.0106484038909742</v>
          </cell>
          <cell r="X73"/>
        </row>
        <row r="74">
          <cell r="A74">
            <v>0</v>
          </cell>
          <cell r="B74">
            <v>0</v>
          </cell>
          <cell r="C74" t="str">
            <v>Retro1Slow</v>
          </cell>
          <cell r="D74">
            <v>2.5643970768378654E-3</v>
          </cell>
          <cell r="E74">
            <v>5.1260615529385989E-3</v>
          </cell>
          <cell r="F74">
            <v>9.1015544176433795E-3</v>
          </cell>
          <cell r="G74">
            <v>1.4804925730045659E-2</v>
          </cell>
          <cell r="H74">
            <v>2.2471809420486211E-2</v>
          </cell>
          <cell r="I74">
            <v>3.2184432813882391E-2</v>
          </cell>
          <cell r="J74">
            <v>4.3779667172004086E-2</v>
          </cell>
          <cell r="K74">
            <v>5.675426075474499E-2</v>
          </cell>
          <cell r="L74">
            <v>7.0195239068707532E-2</v>
          </cell>
          <cell r="M74">
            <v>8.2776861842756788E-2</v>
          </cell>
          <cell r="N74">
            <v>9.2870259507494834E-2</v>
          </cell>
          <cell r="O74">
            <v>9.8796470678915727E-2</v>
          </cell>
          <cell r="P74">
            <v>9.9208932889988999E-2</v>
          </cell>
          <cell r="Q74">
            <v>9.3521150494244254E-2</v>
          </cell>
          <cell r="R74">
            <v>8.2226007896862296E-2</v>
          </cell>
          <cell r="S74">
            <v>6.6933566027365665E-2</v>
          </cell>
          <cell r="T74">
            <v>5.0029565143448806E-2</v>
          </cell>
          <cell r="U74">
            <v>3.402486521893211E-2</v>
          </cell>
          <cell r="V74">
            <v>2.0846059340774659E-2</v>
          </cell>
          <cell r="W74">
            <v>0.01</v>
          </cell>
          <cell r="X74"/>
        </row>
        <row r="75">
          <cell r="A75" t="str">
            <v>HVAC</v>
          </cell>
          <cell r="B75" t="str">
            <v>Heat Recovery Ventilation - New</v>
          </cell>
          <cell r="C75" t="str">
            <v>LO1Slow</v>
          </cell>
          <cell r="D75">
            <v>2.5643970768378654E-3</v>
          </cell>
          <cell r="E75">
            <v>7.6904586297764643E-3</v>
          </cell>
          <cell r="F75">
            <v>1.6792013047419844E-2</v>
          </cell>
          <cell r="G75">
            <v>3.15969387774655E-2</v>
          </cell>
          <cell r="H75">
            <v>5.406874819795171E-2</v>
          </cell>
          <cell r="I75">
            <v>8.6253181011834101E-2</v>
          </cell>
          <cell r="J75">
            <v>0.1300328481838382</v>
          </cell>
          <cell r="K75">
            <v>0.18678710893858319</v>
          </cell>
          <cell r="L75">
            <v>0.2569823480072907</v>
          </cell>
          <cell r="M75">
            <v>0.33975920985004748</v>
          </cell>
          <cell r="N75">
            <v>0.43262946935754232</v>
          </cell>
          <cell r="O75">
            <v>0.53142594003645804</v>
          </cell>
          <cell r="P75">
            <v>0.63063487292644704</v>
          </cell>
          <cell r="Q75">
            <v>0.7241560234206913</v>
          </cell>
          <cell r="R75">
            <v>0.80638203131755359</v>
          </cell>
          <cell r="S75">
            <v>0.87331559734491926</v>
          </cell>
          <cell r="T75">
            <v>0.92334516248836807</v>
          </cell>
          <cell r="U75">
            <v>0.95737002770730018</v>
          </cell>
          <cell r="V75">
            <v>0.97821608704807483</v>
          </cell>
          <cell r="W75">
            <v>0.98821608704807484</v>
          </cell>
          <cell r="X75"/>
        </row>
        <row r="76">
          <cell r="A76" t="str">
            <v>HVAC</v>
          </cell>
          <cell r="B76" t="str">
            <v>GSHP - New</v>
          </cell>
          <cell r="C76" t="str">
            <v>LO1Slow</v>
          </cell>
          <cell r="D76">
            <v>2.5643970768378654E-3</v>
          </cell>
          <cell r="E76">
            <v>7.6904586297764643E-3</v>
          </cell>
          <cell r="F76">
            <v>1.6792013047419844E-2</v>
          </cell>
          <cell r="G76">
            <v>3.15969387774655E-2</v>
          </cell>
          <cell r="H76">
            <v>5.406874819795171E-2</v>
          </cell>
          <cell r="I76">
            <v>8.6253181011834101E-2</v>
          </cell>
          <cell r="J76">
            <v>0.1300328481838382</v>
          </cell>
          <cell r="K76">
            <v>0.18678710893858319</v>
          </cell>
          <cell r="L76">
            <v>0.2569823480072907</v>
          </cell>
          <cell r="M76">
            <v>0.33975920985004748</v>
          </cell>
          <cell r="N76">
            <v>0.43262946935754232</v>
          </cell>
          <cell r="O76">
            <v>0.53142594003645804</v>
          </cell>
          <cell r="P76">
            <v>0.63063487292644704</v>
          </cell>
          <cell r="Q76">
            <v>0.7241560234206913</v>
          </cell>
          <cell r="R76">
            <v>0.80638203131755359</v>
          </cell>
          <cell r="S76">
            <v>0.87331559734491926</v>
          </cell>
          <cell r="T76">
            <v>0.92334516248836807</v>
          </cell>
          <cell r="U76">
            <v>0.95737002770730018</v>
          </cell>
          <cell r="V76">
            <v>0.97821608704807483</v>
          </cell>
          <cell r="W76">
            <v>0.98821608704807484</v>
          </cell>
          <cell r="X76"/>
        </row>
        <row r="77">
          <cell r="A77" t="str">
            <v>HVAC</v>
          </cell>
          <cell r="B77" t="str">
            <v>GSHP - NR</v>
          </cell>
          <cell r="C77" t="str">
            <v>LO1Slow</v>
          </cell>
          <cell r="D77">
            <v>2.5643970768378654E-3</v>
          </cell>
          <cell r="E77">
            <v>7.6904586297764643E-3</v>
          </cell>
          <cell r="F77">
            <v>1.6792013047419844E-2</v>
          </cell>
          <cell r="G77">
            <v>3.15969387774655E-2</v>
          </cell>
          <cell r="H77">
            <v>5.406874819795171E-2</v>
          </cell>
          <cell r="I77">
            <v>8.6253181011834101E-2</v>
          </cell>
          <cell r="J77">
            <v>0.1300328481838382</v>
          </cell>
          <cell r="K77">
            <v>0.18678710893858319</v>
          </cell>
          <cell r="L77">
            <v>0.2569823480072907</v>
          </cell>
          <cell r="M77">
            <v>0.33975920985004748</v>
          </cell>
          <cell r="N77">
            <v>0.43262946935754232</v>
          </cell>
          <cell r="O77">
            <v>0.53142594003645804</v>
          </cell>
          <cell r="P77">
            <v>0.63063487292644704</v>
          </cell>
          <cell r="Q77">
            <v>0.7241560234206913</v>
          </cell>
          <cell r="R77">
            <v>0.80638203131755359</v>
          </cell>
          <cell r="S77">
            <v>0.87331559734491926</v>
          </cell>
          <cell r="T77">
            <v>0.92334516248836807</v>
          </cell>
          <cell r="U77">
            <v>0.95737002770730018</v>
          </cell>
          <cell r="V77">
            <v>0.97821608704807483</v>
          </cell>
          <cell r="W77">
            <v>0.98821608704807484</v>
          </cell>
          <cell r="X77"/>
        </row>
        <row r="78">
          <cell r="A78">
            <v>0</v>
          </cell>
          <cell r="B78">
            <v>0</v>
          </cell>
          <cell r="C78" t="str">
            <v>Retro5Med</v>
          </cell>
          <cell r="D78">
            <v>4.2999999999999997E-2</v>
          </cell>
          <cell r="E78">
            <v>5.279714228027832E-2</v>
          </cell>
          <cell r="F78">
            <v>6.4608251467478173E-2</v>
          </cell>
          <cell r="G78">
            <v>7.4999999999999997E-2</v>
          </cell>
          <cell r="H78">
            <v>8.5546997470333563E-2</v>
          </cell>
          <cell r="I78">
            <v>0.10001472303820647</v>
          </cell>
          <cell r="J78">
            <v>0.10971770435235073</v>
          </cell>
          <cell r="K78">
            <v>0.11208438511970376</v>
          </cell>
          <cell r="L78">
            <v>0.10562608162722853</v>
          </cell>
          <cell r="M78">
            <v>9.0794563997872335E-2</v>
          </cell>
          <cell r="N78">
            <v>7.0260666991849297E-2</v>
          </cell>
          <cell r="O78">
            <v>4.8218360404944538E-2</v>
          </cell>
          <cell r="P78">
            <v>2.8854234614640095E-2</v>
          </cell>
          <cell r="Q78">
            <v>1.4773964924806759E-2</v>
          </cell>
          <cell r="R78">
            <v>6.3385343681182649E-3</v>
          </cell>
          <cell r="S78">
            <v>2.2268577196306039E-3</v>
          </cell>
          <cell r="T78">
            <v>6.2471001963848583E-4</v>
          </cell>
          <cell r="U78">
            <v>1.3615841889635938E-4</v>
          </cell>
          <cell r="V78">
            <v>2.2380636622298944E-5</v>
          </cell>
          <cell r="W78">
            <v>2.68643837586513E-6</v>
          </cell>
          <cell r="X78"/>
        </row>
        <row r="79">
          <cell r="A79" t="str">
            <v>HVAC</v>
          </cell>
          <cell r="B79" t="str">
            <v>ECM for HVAC ventilation - New</v>
          </cell>
          <cell r="C79" t="str">
            <v>LO12Med</v>
          </cell>
          <cell r="D79">
            <v>0.10937459468255628</v>
          </cell>
          <cell r="E79">
            <v>0.21874918936511256</v>
          </cell>
          <cell r="F79">
            <v>0.32812378404766884</v>
          </cell>
          <cell r="G79">
            <v>0.43749837873022512</v>
          </cell>
          <cell r="H79">
            <v>0.5468729734127814</v>
          </cell>
          <cell r="I79">
            <v>0.64531010862708205</v>
          </cell>
          <cell r="J79">
            <v>0.7240598167985226</v>
          </cell>
          <cell r="K79">
            <v>0.78705958333567505</v>
          </cell>
          <cell r="L79">
            <v>0.83745939656539703</v>
          </cell>
          <cell r="M79">
            <v>0.87777924714917455</v>
          </cell>
          <cell r="N79">
            <v>0.91003512761619654</v>
          </cell>
          <cell r="O79">
            <v>0.93583983198981413</v>
          </cell>
          <cell r="P79">
            <v>0.9564835954887082</v>
          </cell>
          <cell r="Q79">
            <v>0.97299860628782353</v>
          </cell>
          <cell r="R79">
            <v>0.9862106149271157</v>
          </cell>
          <cell r="S79">
            <v>0.99678022183854953</v>
          </cell>
          <cell r="T79">
            <v>0.99685231466234414</v>
          </cell>
          <cell r="U79">
            <v>0.99687806209941365</v>
          </cell>
          <cell r="V79">
            <v>0.99688683963477831</v>
          </cell>
          <cell r="W79">
            <v>0.99688970187457115</v>
          </cell>
          <cell r="X79"/>
        </row>
        <row r="80">
          <cell r="A80" t="str">
            <v>HVAC</v>
          </cell>
          <cell r="B80" t="str">
            <v>ECM for HVAC ventilation - NR</v>
          </cell>
          <cell r="C80" t="str">
            <v>LO12Med</v>
          </cell>
          <cell r="D80">
            <v>0.10937459468255628</v>
          </cell>
          <cell r="E80">
            <v>0.21874918936511256</v>
          </cell>
          <cell r="F80">
            <v>0.32812378404766884</v>
          </cell>
          <cell r="G80">
            <v>0.43749837873022512</v>
          </cell>
          <cell r="H80">
            <v>0.5468729734127814</v>
          </cell>
          <cell r="I80">
            <v>0.64531010862708205</v>
          </cell>
          <cell r="J80">
            <v>0.7240598167985226</v>
          </cell>
          <cell r="K80">
            <v>0.78705958333567505</v>
          </cell>
          <cell r="L80">
            <v>0.83745939656539703</v>
          </cell>
          <cell r="M80">
            <v>0.87777924714917455</v>
          </cell>
          <cell r="N80">
            <v>0.91003512761619654</v>
          </cell>
          <cell r="O80">
            <v>0.93583983198981413</v>
          </cell>
          <cell r="P80">
            <v>0.9564835954887082</v>
          </cell>
          <cell r="Q80">
            <v>0.97299860628782353</v>
          </cell>
          <cell r="R80">
            <v>0.9862106149271157</v>
          </cell>
          <cell r="S80">
            <v>0.99678022183854953</v>
          </cell>
          <cell r="T80">
            <v>0.99685231466234414</v>
          </cell>
          <cell r="U80">
            <v>0.99687806209941365</v>
          </cell>
          <cell r="V80">
            <v>0.99688683963477831</v>
          </cell>
          <cell r="W80">
            <v>0.99688970187457115</v>
          </cell>
          <cell r="X80"/>
        </row>
        <row r="81">
          <cell r="A81" t="str">
            <v>HVAC</v>
          </cell>
          <cell r="B81" t="str">
            <v>Whole house/attic fan - New</v>
          </cell>
          <cell r="C81" t="str">
            <v>LO12Med</v>
          </cell>
          <cell r="D81">
            <v>0.10937459468255628</v>
          </cell>
          <cell r="E81">
            <v>0.21874918936511256</v>
          </cell>
          <cell r="F81">
            <v>0.32812378404766884</v>
          </cell>
          <cell r="G81">
            <v>0.43749837873022512</v>
          </cell>
          <cell r="H81">
            <v>0.5468729734127814</v>
          </cell>
          <cell r="I81">
            <v>0.64531010862708205</v>
          </cell>
          <cell r="J81">
            <v>0.7240598167985226</v>
          </cell>
          <cell r="K81">
            <v>0.78705958333567505</v>
          </cell>
          <cell r="L81">
            <v>0.83745939656539703</v>
          </cell>
          <cell r="M81">
            <v>0.87777924714917455</v>
          </cell>
          <cell r="N81">
            <v>0.91003512761619654</v>
          </cell>
          <cell r="O81">
            <v>0.93583983198981413</v>
          </cell>
          <cell r="P81">
            <v>0.9564835954887082</v>
          </cell>
          <cell r="Q81">
            <v>0.97299860628782353</v>
          </cell>
          <cell r="R81">
            <v>0.9862106149271157</v>
          </cell>
          <cell r="S81">
            <v>0.99678022183854953</v>
          </cell>
          <cell r="T81">
            <v>0.99685231466234414</v>
          </cell>
          <cell r="U81">
            <v>0.99687806209941365</v>
          </cell>
          <cell r="V81">
            <v>0.99688683963477831</v>
          </cell>
          <cell r="W81">
            <v>0.99688970187457115</v>
          </cell>
          <cell r="X81"/>
        </row>
        <row r="82">
          <cell r="A82" t="str">
            <v>HVAC</v>
          </cell>
          <cell r="B82" t="str">
            <v>Whole house/attic fan - Retro</v>
          </cell>
          <cell r="C82" t="str">
            <v>Retro12Med</v>
          </cell>
          <cell r="D82">
            <v>0.10937459468255628</v>
          </cell>
          <cell r="E82">
            <v>0.10937459468255628</v>
          </cell>
          <cell r="F82">
            <v>0.10937459468255628</v>
          </cell>
          <cell r="G82">
            <v>0.10937459468255628</v>
          </cell>
          <cell r="H82">
            <v>0.10937459468255628</v>
          </cell>
          <cell r="I82">
            <v>9.8437135214300656E-2</v>
          </cell>
          <cell r="J82">
            <v>7.874970817144053E-2</v>
          </cell>
          <cell r="K82">
            <v>6.2999766537152418E-2</v>
          </cell>
          <cell r="L82">
            <v>5.0399813229721938E-2</v>
          </cell>
          <cell r="M82">
            <v>4.0319850583777551E-2</v>
          </cell>
          <cell r="N82">
            <v>3.225588046702204E-2</v>
          </cell>
          <cell r="O82">
            <v>2.5804704373617631E-2</v>
          </cell>
          <cell r="P82">
            <v>2.0643763498894106E-2</v>
          </cell>
          <cell r="Q82">
            <v>1.6515010799115284E-2</v>
          </cell>
          <cell r="R82">
            <v>1.3212008639292228E-2</v>
          </cell>
          <cell r="S82">
            <v>1.0569606911433781E-2</v>
          </cell>
          <cell r="T82">
            <v>7.2092823794611682E-5</v>
          </cell>
          <cell r="U82">
            <v>2.5747437069512102E-5</v>
          </cell>
          <cell r="V82">
            <v>8.7775353646568632E-6</v>
          </cell>
          <cell r="W82">
            <v>2.8622397928446119E-6</v>
          </cell>
          <cell r="X82"/>
        </row>
        <row r="83">
          <cell r="A83" t="str">
            <v>Water heating</v>
          </cell>
          <cell r="B83" t="str">
            <v>WH Pipe insulation - Retro</v>
          </cell>
          <cell r="C83" t="str">
            <v>Retro12Med</v>
          </cell>
          <cell r="D83">
            <v>0.10937459468255628</v>
          </cell>
          <cell r="E83">
            <v>0.10937459468255628</v>
          </cell>
          <cell r="F83">
            <v>0.10937459468255628</v>
          </cell>
          <cell r="G83">
            <v>0.10937459468255628</v>
          </cell>
          <cell r="H83">
            <v>0.10937459468255628</v>
          </cell>
          <cell r="I83">
            <v>9.8437135214300656E-2</v>
          </cell>
          <cell r="J83">
            <v>7.874970817144053E-2</v>
          </cell>
          <cell r="K83">
            <v>6.2999766537152418E-2</v>
          </cell>
          <cell r="L83">
            <v>5.0399813229721938E-2</v>
          </cell>
          <cell r="M83">
            <v>4.0319850583777551E-2</v>
          </cell>
          <cell r="N83">
            <v>3.225588046702204E-2</v>
          </cell>
          <cell r="O83">
            <v>2.5804704373617631E-2</v>
          </cell>
          <cell r="P83">
            <v>2.0643763498894106E-2</v>
          </cell>
          <cell r="Q83">
            <v>1.6515010799115284E-2</v>
          </cell>
          <cell r="R83">
            <v>1.3212008639292228E-2</v>
          </cell>
          <cell r="S83">
            <v>1.0569606911433781E-2</v>
          </cell>
          <cell r="T83">
            <v>7.2092823794611682E-5</v>
          </cell>
          <cell r="U83">
            <v>2.5747437069512102E-5</v>
          </cell>
          <cell r="V83">
            <v>8.7775353646568632E-6</v>
          </cell>
          <cell r="W83">
            <v>2.8622397928446119E-6</v>
          </cell>
          <cell r="X83"/>
        </row>
        <row r="84">
          <cell r="A84" t="str">
            <v>HVAC</v>
          </cell>
          <cell r="B84" t="str">
            <v>DHP Ducted - NR</v>
          </cell>
          <cell r="C84" t="str">
            <v>LO12Med</v>
          </cell>
          <cell r="D84">
            <v>0.10937459468255628</v>
          </cell>
          <cell r="E84">
            <v>0.21874918936511256</v>
          </cell>
          <cell r="F84">
            <v>0.32812378404766884</v>
          </cell>
          <cell r="G84">
            <v>0.43749837873022512</v>
          </cell>
          <cell r="H84">
            <v>0.5468729734127814</v>
          </cell>
          <cell r="I84">
            <v>0.64531010862708205</v>
          </cell>
          <cell r="J84">
            <v>0.7240598167985226</v>
          </cell>
          <cell r="K84">
            <v>0.78705958333567505</v>
          </cell>
          <cell r="L84">
            <v>0.83745939656539703</v>
          </cell>
          <cell r="M84">
            <v>0.87777924714917455</v>
          </cell>
          <cell r="N84">
            <v>0.91003512761619654</v>
          </cell>
          <cell r="O84">
            <v>0.93583983198981413</v>
          </cell>
          <cell r="P84">
            <v>0.9564835954887082</v>
          </cell>
          <cell r="Q84">
            <v>0.97299860628782353</v>
          </cell>
          <cell r="R84">
            <v>0.9862106149271157</v>
          </cell>
          <cell r="S84">
            <v>0.99678022183854953</v>
          </cell>
          <cell r="T84">
            <v>0.99685231466234414</v>
          </cell>
          <cell r="U84">
            <v>0.99687806209941365</v>
          </cell>
          <cell r="V84">
            <v>0.99688683963477831</v>
          </cell>
          <cell r="W84">
            <v>0.99688970187457115</v>
          </cell>
          <cell r="X84"/>
        </row>
        <row r="85">
          <cell r="A85" t="str">
            <v>Electronics</v>
          </cell>
          <cell r="B85" t="str">
            <v>Advanced Power Strips - New</v>
          </cell>
          <cell r="C85" t="str">
            <v>LO3Slow</v>
          </cell>
          <cell r="D85">
            <v>5.5320496977002724E-3</v>
          </cell>
          <cell r="E85">
            <v>1.4227918344261844E-2</v>
          </cell>
          <cell r="F85">
            <v>3.1619655637384989E-2</v>
          </cell>
          <cell r="G85">
            <v>6.2055195900350503E-2</v>
          </cell>
          <cell r="H85">
            <v>0.10939936964274129</v>
          </cell>
          <cell r="I85">
            <v>0.17568121288208835</v>
          </cell>
          <cell r="J85">
            <v>0.26003992245943919</v>
          </cell>
          <cell r="K85">
            <v>0.3584584169663485</v>
          </cell>
          <cell r="L85">
            <v>0.46444756489686617</v>
          </cell>
          <cell r="M85">
            <v>0.57043671282738384</v>
          </cell>
          <cell r="N85">
            <v>0.66935991756253377</v>
          </cell>
          <cell r="O85">
            <v>0.75591772170578986</v>
          </cell>
          <cell r="P85">
            <v>0.82720061923553012</v>
          </cell>
          <cell r="Q85">
            <v>0.88264287286977261</v>
          </cell>
          <cell r="R85">
            <v>0.92349505975816193</v>
          </cell>
          <cell r="S85">
            <v>0.95209159058003434</v>
          </cell>
          <cell r="T85">
            <v>0.97115594446128262</v>
          </cell>
          <cell r="U85">
            <v>0.98328780602207699</v>
          </cell>
          <cell r="V85">
            <v>0.99067241740690848</v>
          </cell>
          <cell r="W85">
            <v>0.99498010738139331</v>
          </cell>
          <cell r="X85"/>
        </row>
        <row r="86">
          <cell r="A86" t="str">
            <v>Electronics</v>
          </cell>
          <cell r="B86" t="str">
            <v>Advanced Power Strips - Retro</v>
          </cell>
          <cell r="C86" t="str">
            <v>Retro3Slow</v>
          </cell>
          <cell r="D86">
            <v>5.5320496977002724E-3</v>
          </cell>
          <cell r="E86">
            <v>8.6958686465615706E-3</v>
          </cell>
          <cell r="F86">
            <v>1.7391737293123145E-2</v>
          </cell>
          <cell r="G86">
            <v>3.0435540262965514E-2</v>
          </cell>
          <cell r="H86">
            <v>4.7344173742390784E-2</v>
          </cell>
          <cell r="I86">
            <v>6.6281843239347063E-2</v>
          </cell>
          <cell r="J86">
            <v>8.4358709577350838E-2</v>
          </cell>
          <cell r="K86">
            <v>9.8418494506909315E-2</v>
          </cell>
          <cell r="L86">
            <v>0.10598914793051767</v>
          </cell>
          <cell r="M86">
            <v>0.10598914793051767</v>
          </cell>
          <cell r="N86">
            <v>9.8923204735149928E-2</v>
          </cell>
          <cell r="O86">
            <v>8.655780414325609E-2</v>
          </cell>
          <cell r="P86">
            <v>7.1282897529740263E-2</v>
          </cell>
          <cell r="Q86">
            <v>5.5442253634242489E-2</v>
          </cell>
          <cell r="R86">
            <v>4.0852186888389319E-2</v>
          </cell>
          <cell r="S86">
            <v>2.8596530821872412E-2</v>
          </cell>
          <cell r="T86">
            <v>1.9064353881248275E-2</v>
          </cell>
          <cell r="U86">
            <v>1.2131861560794377E-2</v>
          </cell>
          <cell r="V86">
            <v>7.3846113848314854E-3</v>
          </cell>
          <cell r="W86">
            <v>4.3076899744848296E-3</v>
          </cell>
          <cell r="X86"/>
        </row>
        <row r="87">
          <cell r="A87" t="str">
            <v>HVAC</v>
          </cell>
          <cell r="B87" t="str">
            <v>Controls Commissioning and Sizing - New</v>
          </cell>
          <cell r="C87" t="str">
            <v>LO5Med</v>
          </cell>
          <cell r="D87">
            <v>4.2999999999999997E-2</v>
          </cell>
          <cell r="E87">
            <v>9.5797142280278316E-2</v>
          </cell>
          <cell r="F87">
            <v>0.16040539374775648</v>
          </cell>
          <cell r="G87">
            <v>0.23540539374775649</v>
          </cell>
          <cell r="H87">
            <v>0.32095239121809005</v>
          </cell>
          <cell r="I87">
            <v>0.42096711425629652</v>
          </cell>
          <cell r="J87">
            <v>0.53068481860864725</v>
          </cell>
          <cell r="K87">
            <v>0.642769203728351</v>
          </cell>
          <cell r="L87">
            <v>0.74839528535557953</v>
          </cell>
          <cell r="M87">
            <v>0.83918984935345187</v>
          </cell>
          <cell r="N87">
            <v>0.90945051634530116</v>
          </cell>
          <cell r="O87">
            <v>0.9576688767502457</v>
          </cell>
          <cell r="P87">
            <v>0.9865231113648858</v>
          </cell>
          <cell r="Q87">
            <v>1.0012970762896924</v>
          </cell>
          <cell r="R87">
            <v>1.0076356106578106</v>
          </cell>
          <cell r="S87">
            <v>1.0098624683774413</v>
          </cell>
          <cell r="T87">
            <v>1.0104871783970797</v>
          </cell>
          <cell r="U87">
            <v>1.010623336815976</v>
          </cell>
          <cell r="V87">
            <v>1.0106457174525985</v>
          </cell>
          <cell r="W87">
            <v>1.0106484038909742</v>
          </cell>
          <cell r="X87"/>
        </row>
        <row r="88">
          <cell r="A88" t="str">
            <v>HVAC</v>
          </cell>
          <cell r="B88" t="str">
            <v>Controls Commissioning and Sizing - NR</v>
          </cell>
          <cell r="C88" t="str">
            <v>LO5Med</v>
          </cell>
          <cell r="D88">
            <v>4.2999999999999997E-2</v>
          </cell>
          <cell r="E88">
            <v>9.5797142280278316E-2</v>
          </cell>
          <cell r="F88">
            <v>0.16040539374775648</v>
          </cell>
          <cell r="G88">
            <v>0.23540539374775649</v>
          </cell>
          <cell r="H88">
            <v>0.32095239121809005</v>
          </cell>
          <cell r="I88">
            <v>0.42096711425629652</v>
          </cell>
          <cell r="J88">
            <v>0.53068481860864725</v>
          </cell>
          <cell r="K88">
            <v>0.642769203728351</v>
          </cell>
          <cell r="L88">
            <v>0.74839528535557953</v>
          </cell>
          <cell r="M88">
            <v>0.83918984935345187</v>
          </cell>
          <cell r="N88">
            <v>0.90945051634530116</v>
          </cell>
          <cell r="O88">
            <v>0.9576688767502457</v>
          </cell>
          <cell r="P88">
            <v>0.9865231113648858</v>
          </cell>
          <cell r="Q88">
            <v>1.0012970762896924</v>
          </cell>
          <cell r="R88">
            <v>1.0076356106578106</v>
          </cell>
          <cell r="S88">
            <v>1.0098624683774413</v>
          </cell>
          <cell r="T88">
            <v>1.0104871783970797</v>
          </cell>
          <cell r="U88">
            <v>1.010623336815976</v>
          </cell>
          <cell r="V88">
            <v>1.0106457174525985</v>
          </cell>
          <cell r="W88">
            <v>1.0106484038909742</v>
          </cell>
          <cell r="X88"/>
        </row>
        <row r="89">
          <cell r="A89" t="str">
            <v>HVAC</v>
          </cell>
          <cell r="B89" t="str">
            <v>ResWx - Retro</v>
          </cell>
          <cell r="C89" t="str">
            <v>Retro12Med</v>
          </cell>
          <cell r="D89">
            <v>0.10937459468255628</v>
          </cell>
          <cell r="E89">
            <v>0.10937459468255628</v>
          </cell>
          <cell r="F89">
            <v>0.10937459468255628</v>
          </cell>
          <cell r="G89">
            <v>0.10937459468255628</v>
          </cell>
          <cell r="H89">
            <v>0.10937459468255628</v>
          </cell>
          <cell r="I89">
            <v>9.8437135214300656E-2</v>
          </cell>
          <cell r="J89">
            <v>7.874970817144053E-2</v>
          </cell>
          <cell r="K89">
            <v>6.2999766537152418E-2</v>
          </cell>
          <cell r="L89">
            <v>5.0399813229721938E-2</v>
          </cell>
          <cell r="M89">
            <v>4.0319850583777551E-2</v>
          </cell>
          <cell r="N89">
            <v>3.225588046702204E-2</v>
          </cell>
          <cell r="O89">
            <v>2.5804704373617631E-2</v>
          </cell>
          <cell r="P89">
            <v>2.0643763498894106E-2</v>
          </cell>
          <cell r="Q89">
            <v>1.6515010799115284E-2</v>
          </cell>
          <cell r="R89">
            <v>1.3212008639292228E-2</v>
          </cell>
          <cell r="S89">
            <v>1.0569606911433781E-2</v>
          </cell>
          <cell r="T89">
            <v>7.2092823794611682E-5</v>
          </cell>
          <cell r="U89">
            <v>2.5747437069512102E-5</v>
          </cell>
          <cell r="V89">
            <v>8.7775353646568632E-6</v>
          </cell>
          <cell r="W89">
            <v>2.8622397928446119E-6</v>
          </cell>
          <cell r="X89"/>
        </row>
        <row r="90">
          <cell r="D90"/>
          <cell r="E90"/>
          <cell r="F90"/>
          <cell r="G90"/>
          <cell r="H90"/>
          <cell r="I90"/>
          <cell r="J90"/>
          <cell r="K90"/>
          <cell r="L90"/>
          <cell r="M90"/>
          <cell r="N90"/>
          <cell r="O90"/>
          <cell r="P90"/>
          <cell r="Q90"/>
          <cell r="R90"/>
          <cell r="S90"/>
          <cell r="T90"/>
          <cell r="U90"/>
          <cell r="V90"/>
          <cell r="W90"/>
          <cell r="X90"/>
        </row>
        <row r="91">
          <cell r="D91"/>
          <cell r="E91"/>
          <cell r="F91"/>
          <cell r="G91"/>
          <cell r="H91"/>
          <cell r="I91"/>
          <cell r="J91"/>
          <cell r="K91"/>
          <cell r="L91"/>
          <cell r="M91"/>
          <cell r="N91"/>
          <cell r="O91"/>
          <cell r="P91"/>
          <cell r="Q91"/>
          <cell r="R91"/>
          <cell r="S91"/>
          <cell r="T91"/>
          <cell r="U91"/>
          <cell r="V91"/>
          <cell r="W91"/>
          <cell r="X91"/>
        </row>
        <row r="92">
          <cell r="D92"/>
          <cell r="E92"/>
          <cell r="F92"/>
          <cell r="G92"/>
          <cell r="H92"/>
          <cell r="I92"/>
          <cell r="J92"/>
          <cell r="K92"/>
          <cell r="L92"/>
          <cell r="M92"/>
          <cell r="N92"/>
          <cell r="O92"/>
          <cell r="P92"/>
          <cell r="Q92"/>
          <cell r="R92"/>
          <cell r="S92"/>
          <cell r="T92"/>
          <cell r="U92"/>
          <cell r="V92"/>
          <cell r="W92"/>
          <cell r="X92"/>
        </row>
        <row r="93">
          <cell r="D93"/>
          <cell r="E93"/>
          <cell r="F93"/>
          <cell r="G93"/>
          <cell r="H93"/>
          <cell r="I93"/>
          <cell r="J93"/>
          <cell r="K93"/>
          <cell r="L93"/>
          <cell r="M93"/>
          <cell r="N93"/>
          <cell r="O93"/>
          <cell r="P93"/>
          <cell r="Q93"/>
          <cell r="R93"/>
          <cell r="S93"/>
          <cell r="T93"/>
          <cell r="U93"/>
          <cell r="V93"/>
          <cell r="W93"/>
          <cell r="X93"/>
        </row>
        <row r="94">
          <cell r="D94"/>
          <cell r="E94"/>
          <cell r="F94"/>
          <cell r="G94"/>
          <cell r="H94"/>
          <cell r="I94"/>
          <cell r="J94"/>
          <cell r="K94"/>
          <cell r="L94"/>
          <cell r="M94"/>
          <cell r="N94"/>
          <cell r="O94"/>
          <cell r="P94"/>
          <cell r="Q94"/>
          <cell r="R94"/>
          <cell r="S94"/>
          <cell r="T94"/>
          <cell r="U94"/>
          <cell r="V94"/>
          <cell r="W94"/>
          <cell r="X94"/>
        </row>
        <row r="95">
          <cell r="D95"/>
          <cell r="E95"/>
          <cell r="F95"/>
          <cell r="G95"/>
          <cell r="H95"/>
          <cell r="I95"/>
          <cell r="J95"/>
          <cell r="K95"/>
          <cell r="L95"/>
          <cell r="M95"/>
          <cell r="N95"/>
          <cell r="O95"/>
          <cell r="P95"/>
          <cell r="Q95"/>
          <cell r="R95"/>
          <cell r="S95"/>
          <cell r="T95"/>
          <cell r="U95"/>
          <cell r="V95"/>
          <cell r="W95"/>
          <cell r="X95"/>
        </row>
        <row r="96">
          <cell r="D96"/>
          <cell r="E96"/>
          <cell r="F96"/>
          <cell r="G96"/>
          <cell r="H96"/>
          <cell r="I96"/>
          <cell r="J96"/>
          <cell r="K96"/>
          <cell r="L96"/>
          <cell r="M96"/>
          <cell r="N96"/>
          <cell r="O96"/>
          <cell r="P96"/>
          <cell r="Q96"/>
          <cell r="R96"/>
          <cell r="S96"/>
          <cell r="T96"/>
          <cell r="U96"/>
          <cell r="V96"/>
          <cell r="W96"/>
          <cell r="X96"/>
        </row>
        <row r="97">
          <cell r="D97"/>
          <cell r="E97"/>
          <cell r="F97"/>
          <cell r="G97"/>
          <cell r="H97"/>
          <cell r="I97"/>
          <cell r="J97"/>
          <cell r="K97"/>
          <cell r="L97"/>
          <cell r="M97"/>
          <cell r="N97"/>
          <cell r="O97"/>
          <cell r="P97"/>
          <cell r="Q97"/>
          <cell r="R97"/>
          <cell r="S97"/>
          <cell r="T97"/>
          <cell r="U97"/>
          <cell r="V97"/>
          <cell r="W97"/>
          <cell r="X97"/>
        </row>
        <row r="98">
          <cell r="D98"/>
          <cell r="E98"/>
          <cell r="F98"/>
          <cell r="G98"/>
          <cell r="H98"/>
          <cell r="I98"/>
          <cell r="J98"/>
          <cell r="K98"/>
          <cell r="L98"/>
          <cell r="M98"/>
          <cell r="N98"/>
          <cell r="O98"/>
          <cell r="P98"/>
          <cell r="Q98"/>
          <cell r="R98"/>
          <cell r="S98"/>
          <cell r="T98"/>
          <cell r="U98"/>
          <cell r="V98"/>
          <cell r="W98"/>
          <cell r="X98"/>
        </row>
        <row r="99">
          <cell r="D99"/>
          <cell r="E99"/>
          <cell r="F99"/>
          <cell r="G99"/>
          <cell r="H99"/>
          <cell r="I99"/>
          <cell r="J99"/>
          <cell r="K99"/>
          <cell r="L99"/>
          <cell r="M99"/>
          <cell r="N99"/>
          <cell r="O99"/>
          <cell r="P99"/>
          <cell r="Q99"/>
          <cell r="R99"/>
          <cell r="S99"/>
          <cell r="T99"/>
          <cell r="U99"/>
          <cell r="V99"/>
          <cell r="W99"/>
          <cell r="X99"/>
        </row>
        <row r="100">
          <cell r="D100"/>
          <cell r="E100"/>
          <cell r="F100"/>
          <cell r="G100"/>
          <cell r="H100"/>
          <cell r="I100"/>
          <cell r="J100"/>
          <cell r="K100"/>
          <cell r="L100"/>
          <cell r="M100"/>
          <cell r="N100"/>
          <cell r="O100"/>
          <cell r="P100"/>
          <cell r="Q100"/>
          <cell r="R100"/>
          <cell r="S100"/>
          <cell r="T100"/>
          <cell r="U100"/>
          <cell r="V100"/>
          <cell r="W100"/>
          <cell r="X100"/>
        </row>
      </sheetData>
      <sheetData sheetId="10"/>
      <sheetData sheetId="11">
        <row r="10">
          <cell r="B10" t="str">
            <v>Vars</v>
          </cell>
          <cell r="C10" t="str">
            <v>Single Family</v>
          </cell>
          <cell r="D10" t="str">
            <v>Multifamily - Low Rise</v>
          </cell>
          <cell r="E10" t="str">
            <v>Multifamily - High Rise</v>
          </cell>
          <cell r="F10" t="str">
            <v>Manufactured</v>
          </cell>
        </row>
        <row r="11">
          <cell r="B11" t="str">
            <v>Electric FAF - HZ1CZ1</v>
          </cell>
          <cell r="C11">
            <v>6.8910359437455118E-2</v>
          </cell>
          <cell r="D11">
            <v>2.9671514740017984E-2</v>
          </cell>
          <cell r="E11">
            <v>2.9671514740017984E-2</v>
          </cell>
          <cell r="F11">
            <v>0.68310644913823848</v>
          </cell>
        </row>
        <row r="12">
          <cell r="B12" t="str">
            <v>Electric FAF - HZ1CZ23</v>
          </cell>
          <cell r="C12">
            <v>5.5704832325126567E-2</v>
          </cell>
          <cell r="D12">
            <v>0</v>
          </cell>
          <cell r="E12">
            <v>0</v>
          </cell>
          <cell r="F12">
            <v>0.53068387215316171</v>
          </cell>
        </row>
        <row r="13">
          <cell r="B13" t="str">
            <v>Electric FAF - HZ23CZ1</v>
          </cell>
          <cell r="C13">
            <v>6.6557500117039647E-2</v>
          </cell>
          <cell r="D13">
            <v>0</v>
          </cell>
          <cell r="E13">
            <v>0</v>
          </cell>
          <cell r="F13">
            <v>0.29641575914254098</v>
          </cell>
        </row>
        <row r="14">
          <cell r="B14" t="str">
            <v>Electric FAF - HZ23CZ23</v>
          </cell>
          <cell r="C14">
            <v>4.1453999442898203E-2</v>
          </cell>
          <cell r="D14">
            <v>0</v>
          </cell>
          <cell r="E14">
            <v>0</v>
          </cell>
          <cell r="F14">
            <v>0.49242118699820225</v>
          </cell>
        </row>
        <row r="15">
          <cell r="B15" t="str">
            <v>Electric FAF - HZ1</v>
          </cell>
          <cell r="C15">
            <v>6.3764394229545662E-2</v>
          </cell>
          <cell r="D15">
            <v>2.279607208754721E-2</v>
          </cell>
          <cell r="E15">
            <v>2.279607208754721E-2</v>
          </cell>
          <cell r="F15">
            <v>0.6103855317692306</v>
          </cell>
        </row>
        <row r="16">
          <cell r="B16" t="str">
            <v>Electric FAF - HZ23</v>
          </cell>
          <cell r="C16">
            <v>4.8202841751037277E-2</v>
          </cell>
          <cell r="D16">
            <v>0</v>
          </cell>
          <cell r="E16">
            <v>0</v>
          </cell>
          <cell r="F16">
            <v>0.42117367880782697</v>
          </cell>
        </row>
        <row r="17">
          <cell r="B17" t="str">
            <v>Electric FAF - Region</v>
          </cell>
          <cell r="C17">
            <v>5.9888429585079297E-2</v>
          </cell>
          <cell r="D17">
            <v>1.96145349060163E-2</v>
          </cell>
          <cell r="E17">
            <v>1.96145349060163E-2</v>
          </cell>
          <cell r="F17">
            <v>0.54052539788177201</v>
          </cell>
        </row>
        <row r="18">
          <cell r="B18" t="str">
            <v>Electric FAF w/ CAC - HZ1CZ1</v>
          </cell>
          <cell r="C18">
            <v>1.5601272192892677E-2</v>
          </cell>
          <cell r="D18">
            <v>0</v>
          </cell>
          <cell r="E18">
            <v>0</v>
          </cell>
          <cell r="F18">
            <v>0.15868069027846163</v>
          </cell>
        </row>
        <row r="19">
          <cell r="B19" t="str">
            <v>Electric FAF w/ CAC - HZ1CZ23</v>
          </cell>
          <cell r="C19">
            <v>0</v>
          </cell>
          <cell r="D19">
            <v>0</v>
          </cell>
          <cell r="E19">
            <v>0</v>
          </cell>
          <cell r="F19">
            <v>4.8523578535561704E-2</v>
          </cell>
        </row>
        <row r="20">
          <cell r="B20" t="str">
            <v>Electric FAF w/ CAC - HZ23CZ1</v>
          </cell>
          <cell r="C20">
            <v>0</v>
          </cell>
          <cell r="D20">
            <v>0</v>
          </cell>
          <cell r="E20">
            <v>0</v>
          </cell>
          <cell r="F20">
            <v>8.6847892074621388E-2</v>
          </cell>
        </row>
        <row r="21">
          <cell r="B21" t="str">
            <v>Electric FAF w/ CAC - HZ23CZ23</v>
          </cell>
          <cell r="C21">
            <v>0</v>
          </cell>
          <cell r="D21">
            <v>0</v>
          </cell>
          <cell r="E21">
            <v>0</v>
          </cell>
          <cell r="F21">
            <v>6.4577174474630405E-2</v>
          </cell>
        </row>
        <row r="22">
          <cell r="B22" t="str">
            <v>Heat Pump - HZ1CZ1</v>
          </cell>
          <cell r="C22">
            <v>0.13597821666189061</v>
          </cell>
          <cell r="D22">
            <v>1.0945836048995988E-3</v>
          </cell>
          <cell r="E22">
            <v>1.0945836048995988E-3</v>
          </cell>
          <cell r="F22">
            <v>0.11042200533666623</v>
          </cell>
        </row>
        <row r="23">
          <cell r="B23" t="str">
            <v>Heat Pump - HZ1CZ23</v>
          </cell>
          <cell r="C23">
            <v>0.23487960154215734</v>
          </cell>
          <cell r="D23">
            <v>4.9999998343195358E-2</v>
          </cell>
          <cell r="E23">
            <v>4.9999998343195358E-2</v>
          </cell>
          <cell r="F23">
            <v>0.3014354043468136</v>
          </cell>
        </row>
        <row r="24">
          <cell r="B24" t="str">
            <v>Heat Pump - HZ23CZ1</v>
          </cell>
          <cell r="C24">
            <v>5.8367674105625697E-2</v>
          </cell>
          <cell r="D24">
            <v>0</v>
          </cell>
          <cell r="E24">
            <v>0</v>
          </cell>
          <cell r="F24">
            <v>1.6598912836278519E-2</v>
          </cell>
        </row>
        <row r="25">
          <cell r="B25" t="str">
            <v>Heat Pump - HZ23CZ23</v>
          </cell>
          <cell r="C25">
            <v>0.12819607887593021</v>
          </cell>
          <cell r="D25">
            <v>0</v>
          </cell>
          <cell r="E25">
            <v>0</v>
          </cell>
          <cell r="F25">
            <v>7.8940309013942875E-2</v>
          </cell>
        </row>
        <row r="26">
          <cell r="B26" t="str">
            <v>Heat Pump - HZ1</v>
          </cell>
          <cell r="C26">
            <v>0.17451837346735202</v>
          </cell>
          <cell r="D26">
            <v>1.2426879154171162E-2</v>
          </cell>
          <cell r="E26">
            <v>1.2426879154171162E-2</v>
          </cell>
          <cell r="F26">
            <v>0.20155463070325005</v>
          </cell>
        </row>
        <row r="27">
          <cell r="B27" t="str">
            <v>Heat Pump - HZ23</v>
          </cell>
          <cell r="C27">
            <v>0.10942336273004506</v>
          </cell>
          <cell r="D27">
            <v>0</v>
          </cell>
          <cell r="E27">
            <v>0</v>
          </cell>
          <cell r="F27">
            <v>5.6279359348618191E-2</v>
          </cell>
        </row>
        <row r="28">
          <cell r="B28" t="str">
            <v>Heat Pump - Region</v>
          </cell>
          <cell r="C28">
            <v>0.15830495514052295</v>
          </cell>
          <cell r="D28">
            <v>1.0692519922126772E-2</v>
          </cell>
          <cell r="E28">
            <v>1.0692519922126772E-2</v>
          </cell>
          <cell r="F28">
            <v>0.14791660671834839</v>
          </cell>
        </row>
        <row r="29">
          <cell r="B29" t="str">
            <v>Electric Zonal - HZ1CZ1</v>
          </cell>
          <cell r="C29">
            <v>0.1649901802637759</v>
          </cell>
          <cell r="D29">
            <v>0.85383980263040493</v>
          </cell>
          <cell r="E29">
            <v>0.85383980263040493</v>
          </cell>
          <cell r="F29">
            <v>3.0024948086295324E-2</v>
          </cell>
        </row>
        <row r="30">
          <cell r="B30" t="str">
            <v>Electric Zonal - HZ1CZ23</v>
          </cell>
          <cell r="C30">
            <v>9.8631712913821959E-2</v>
          </cell>
          <cell r="D30">
            <v>0.73333333554240632</v>
          </cell>
          <cell r="E30">
            <v>0.73333333554240632</v>
          </cell>
          <cell r="F30">
            <v>2.9788775817665265E-2</v>
          </cell>
        </row>
        <row r="31">
          <cell r="B31" t="str">
            <v>Electric Zonal - HZ23CZ1</v>
          </cell>
          <cell r="C31">
            <v>0.12476331328161443</v>
          </cell>
          <cell r="D31">
            <v>0.59999998409467525</v>
          </cell>
          <cell r="E31">
            <v>0.59999998409467525</v>
          </cell>
          <cell r="F31">
            <v>3.3197825672557038E-2</v>
          </cell>
        </row>
        <row r="32">
          <cell r="B32" t="str">
            <v>Electric Zonal - HZ23CZ23</v>
          </cell>
          <cell r="C32">
            <v>0.1649470283041021</v>
          </cell>
          <cell r="D32">
            <v>0.77777778759587934</v>
          </cell>
          <cell r="E32">
            <v>0.77777778759587934</v>
          </cell>
          <cell r="F32">
            <v>3.9084849826646118E-2</v>
          </cell>
        </row>
        <row r="33">
          <cell r="B33" t="str">
            <v>Electric Zonal - HZ1</v>
          </cell>
          <cell r="C33">
            <v>0.1391314348060306</v>
          </cell>
          <cell r="D33">
            <v>0.82591620954879041</v>
          </cell>
          <cell r="E33">
            <v>0.82591620954879041</v>
          </cell>
          <cell r="F33">
            <v>2.9912270132860779E-2</v>
          </cell>
        </row>
        <row r="34">
          <cell r="B34" t="str">
            <v>Electric Zonal - HZ23</v>
          </cell>
          <cell r="C34">
            <v>0.15414401084601026</v>
          </cell>
          <cell r="D34">
            <v>0.71428571563820797</v>
          </cell>
          <cell r="E34">
            <v>0.71428571563820797</v>
          </cell>
          <cell r="F34">
            <v>3.6944930507961368E-2</v>
          </cell>
        </row>
        <row r="35">
          <cell r="B35" t="str">
            <v>Electric Zonal - Region</v>
          </cell>
          <cell r="C35">
            <v>0.14287066416850494</v>
          </cell>
          <cell r="D35">
            <v>0.81033648311148054</v>
          </cell>
          <cell r="E35">
            <v>0.81033648311148054</v>
          </cell>
          <cell r="F35">
            <v>3.2508844225339915E-2</v>
          </cell>
        </row>
        <row r="36">
          <cell r="B36" t="str">
            <v>DHP - HZ1CZ1</v>
          </cell>
          <cell r="C36">
            <v>3.2261403645206709E-2</v>
          </cell>
          <cell r="D36">
            <v>2.3692380398754449E-2</v>
          </cell>
          <cell r="E36">
            <v>2.3692380398754449E-2</v>
          </cell>
          <cell r="F36">
            <v>1.2931050080460879E-2</v>
          </cell>
        </row>
        <row r="37">
          <cell r="B37" t="str">
            <v>DHP - HZ1CZ23</v>
          </cell>
          <cell r="C37">
            <v>1.0644758975689617E-2</v>
          </cell>
          <cell r="D37">
            <v>0</v>
          </cell>
          <cell r="E37">
            <v>0</v>
          </cell>
          <cell r="F37">
            <v>0</v>
          </cell>
        </row>
        <row r="38">
          <cell r="B38" t="str">
            <v>DHP - HZ23CZ1</v>
          </cell>
          <cell r="C38">
            <v>0</v>
          </cell>
          <cell r="D38">
            <v>0</v>
          </cell>
          <cell r="E38">
            <v>0</v>
          </cell>
          <cell r="F38">
            <v>2.3801185576297144E-2</v>
          </cell>
        </row>
        <row r="39">
          <cell r="B39" t="str">
            <v>DHP - HZ23CZ23</v>
          </cell>
          <cell r="C39">
            <v>2.8613550828090885E-3</v>
          </cell>
          <cell r="D39">
            <v>0</v>
          </cell>
          <cell r="E39">
            <v>0</v>
          </cell>
          <cell r="F39">
            <v>9.4794076514498494E-3</v>
          </cell>
        </row>
        <row r="40">
          <cell r="B40" t="str">
            <v>DHP - HZ1</v>
          </cell>
          <cell r="C40">
            <v>2.3837771598196254E-2</v>
          </cell>
          <cell r="D40">
            <v>1.8202414545664333E-2</v>
          </cell>
          <cell r="E40">
            <v>1.8202414545664333E-2</v>
          </cell>
          <cell r="F40">
            <v>6.761637103748332E-3</v>
          </cell>
        </row>
        <row r="41">
          <cell r="B41" t="str">
            <v>DHP - HZ23</v>
          </cell>
          <cell r="C41">
            <v>2.0921064233437379E-3</v>
          </cell>
          <cell r="D41">
            <v>0</v>
          </cell>
          <cell r="E41">
            <v>0</v>
          </cell>
          <cell r="F41">
            <v>1.4685339962430082E-2</v>
          </cell>
        </row>
        <row r="42">
          <cell r="B42" t="str">
            <v>DHP - Region</v>
          </cell>
          <cell r="C42">
            <v>1.8421510623943455E-2</v>
          </cell>
          <cell r="D42">
            <v>1.5661991860200661E-2</v>
          </cell>
          <cell r="E42">
            <v>1.5661991860200661E-2</v>
          </cell>
          <cell r="F42">
            <v>9.6871987634867523E-3</v>
          </cell>
        </row>
        <row r="43">
          <cell r="B43" t="str">
            <v>Central AC - CZ1</v>
          </cell>
          <cell r="C43">
            <v>8.7547645191238574E-2</v>
          </cell>
          <cell r="D43">
            <v>1.2325175673207357E-2</v>
          </cell>
          <cell r="E43">
            <v>1.2325175673207357E-2</v>
          </cell>
          <cell r="F43">
            <v>0.14076353391268348</v>
          </cell>
        </row>
        <row r="44">
          <cell r="B44" t="str">
            <v>Central AC - CZ23</v>
          </cell>
          <cell r="C44">
            <v>0.27842841395843276</v>
          </cell>
          <cell r="D44">
            <v>6.8965519290222155E-2</v>
          </cell>
          <cell r="E44">
            <v>6.8965519290222155E-2</v>
          </cell>
          <cell r="F44">
            <v>0.17641272113455647</v>
          </cell>
        </row>
        <row r="45">
          <cell r="B45" t="str">
            <v>Room A/C - CZ1</v>
          </cell>
          <cell r="C45">
            <v>3.8197963209166262E-2</v>
          </cell>
          <cell r="D45">
            <v>5.3226756579866766E-2</v>
          </cell>
          <cell r="E45">
            <v>5.3226756579866766E-2</v>
          </cell>
          <cell r="F45">
            <v>0.21069287259219041</v>
          </cell>
        </row>
        <row r="46">
          <cell r="B46" t="str">
            <v>Room A/C - CZ23</v>
          </cell>
          <cell r="C46">
            <v>9.88884449045868E-2</v>
          </cell>
          <cell r="D46">
            <v>0.10344827665008544</v>
          </cell>
          <cell r="E46">
            <v>0.10344827665008544</v>
          </cell>
          <cell r="F46">
            <v>0.16156829862253547</v>
          </cell>
        </row>
        <row r="47">
          <cell r="B47" t="str">
            <v>Electric WH</v>
          </cell>
          <cell r="C47">
            <v>0.55200000000000005</v>
          </cell>
          <cell r="D47">
            <v>0.94699999999999995</v>
          </cell>
          <cell r="E47">
            <v>0.94699999999999995</v>
          </cell>
          <cell r="F47">
            <v>0.88900000000000001</v>
          </cell>
        </row>
        <row r="48">
          <cell r="B48" t="str">
            <v>DWH &lt;55 inside</v>
          </cell>
          <cell r="C48">
            <v>0.34060273187152323</v>
          </cell>
          <cell r="D48">
            <v>0.69037391065424225</v>
          </cell>
          <cell r="E48">
            <v>0.69037391065424225</v>
          </cell>
          <cell r="F48">
            <v>0.64044035004660882</v>
          </cell>
        </row>
        <row r="49">
          <cell r="B49" t="str">
            <v>DHW &lt;55 outside buffer</v>
          </cell>
          <cell r="C49">
            <v>0.13278888545034082</v>
          </cell>
          <cell r="D49">
            <v>0</v>
          </cell>
          <cell r="E49">
            <v>0</v>
          </cell>
          <cell r="F49">
            <v>3.5084497934898207E-2</v>
          </cell>
        </row>
        <row r="50">
          <cell r="B50" t="str">
            <v>DHW &lt; 55 outside unbuffer</v>
          </cell>
          <cell r="C50">
            <v>0</v>
          </cell>
          <cell r="D50">
            <v>0</v>
          </cell>
          <cell r="E50">
            <v>0</v>
          </cell>
          <cell r="F50">
            <v>0.19050866802895391</v>
          </cell>
        </row>
        <row r="51">
          <cell r="B51" t="str">
            <v>DHW &gt;55 inside</v>
          </cell>
          <cell r="C51">
            <v>4.0633005829326954E-2</v>
          </cell>
          <cell r="D51">
            <v>5.571349522752414E-2</v>
          </cell>
          <cell r="E51">
            <v>5.571349522752414E-2</v>
          </cell>
          <cell r="F51">
            <v>0</v>
          </cell>
        </row>
        <row r="52">
          <cell r="B52" t="str">
            <v>DHW &gt;55 outside buffer</v>
          </cell>
          <cell r="C52">
            <v>1.9105116539180608E-2</v>
          </cell>
          <cell r="D52">
            <v>0</v>
          </cell>
          <cell r="E52">
            <v>0</v>
          </cell>
          <cell r="F52">
            <v>0</v>
          </cell>
        </row>
        <row r="53">
          <cell r="B53" t="str">
            <v>DHW &gt;55 outside unbuffer</v>
          </cell>
          <cell r="C53">
            <v>7.8395734639023578E-4</v>
          </cell>
          <cell r="D53">
            <v>0</v>
          </cell>
          <cell r="E53">
            <v>0</v>
          </cell>
          <cell r="F53">
            <v>0</v>
          </cell>
        </row>
        <row r="54">
          <cell r="B54" t="str">
            <v>Refrigerator</v>
          </cell>
          <cell r="C54">
            <v>1.2831400506742725</v>
          </cell>
          <cell r="D54">
            <v>1.0236201688615751</v>
          </cell>
          <cell r="E54">
            <v>1.0236201688615751</v>
          </cell>
          <cell r="F54">
            <v>1.1963734390534748</v>
          </cell>
        </row>
        <row r="55">
          <cell r="B55" t="str">
            <v>Freezer</v>
          </cell>
          <cell r="C55">
            <v>0.52766223341265472</v>
          </cell>
          <cell r="D55">
            <v>4.7085148422193572E-2</v>
          </cell>
          <cell r="E55">
            <v>4.7085148422193572E-2</v>
          </cell>
          <cell r="F55">
            <v>0.44147575101117187</v>
          </cell>
        </row>
        <row r="56">
          <cell r="B56" t="str">
            <v>Clothes Washer</v>
          </cell>
          <cell r="C56">
            <v>0.98546930096285335</v>
          </cell>
          <cell r="D56">
            <v>0.46477658924872384</v>
          </cell>
          <cell r="E56">
            <v>0.46477658924872384</v>
          </cell>
          <cell r="F56">
            <v>0.95368270905809616</v>
          </cell>
        </row>
        <row r="57">
          <cell r="B57" t="str">
            <v>Clothes Dryer</v>
          </cell>
          <cell r="C57">
            <v>0.93640551858187504</v>
          </cell>
          <cell r="D57">
            <v>0.46266057162974022</v>
          </cell>
          <cell r="E57">
            <v>0.46266057162974022</v>
          </cell>
          <cell r="F57">
            <v>0.88480083438048951</v>
          </cell>
        </row>
        <row r="58">
          <cell r="B58" t="str">
            <v>Dishwasher</v>
          </cell>
          <cell r="C58">
            <v>0.87764489634961651</v>
          </cell>
          <cell r="D58">
            <v>0.78113749066870952</v>
          </cell>
          <cell r="E58">
            <v>0.78113749066870952</v>
          </cell>
          <cell r="F58">
            <v>0.76196535734220561</v>
          </cell>
        </row>
        <row r="59">
          <cell r="B59" t="str">
            <v>Microwave</v>
          </cell>
          <cell r="C59">
            <v>0.95</v>
          </cell>
          <cell r="D59">
            <v>0.95</v>
          </cell>
          <cell r="E59">
            <v>0.95</v>
          </cell>
          <cell r="F59">
            <v>0.95</v>
          </cell>
        </row>
        <row r="60">
          <cell r="B60" t="str">
            <v>Electric Oven</v>
          </cell>
          <cell r="C60">
            <v>0.86895503473004965</v>
          </cell>
          <cell r="D60">
            <v>0.96585088459989477</v>
          </cell>
          <cell r="E60">
            <v>0.96585088459989477</v>
          </cell>
          <cell r="F60">
            <v>0.89920410170315002</v>
          </cell>
        </row>
        <row r="61">
          <cell r="B61" t="str">
            <v>TV</v>
          </cell>
          <cell r="C61">
            <v>2.2906090340948593</v>
          </cell>
          <cell r="D61">
            <v>1.5145007606068333</v>
          </cell>
          <cell r="E61">
            <v>1.5145007606068333</v>
          </cell>
          <cell r="F61">
            <v>2.0454162110233622</v>
          </cell>
        </row>
        <row r="62">
          <cell r="B62" t="str">
            <v>Set top box</v>
          </cell>
          <cell r="C62">
            <v>1.0654190989347723</v>
          </cell>
          <cell r="D62">
            <v>1.038434724492763</v>
          </cell>
          <cell r="E62">
            <v>1.038434724492763</v>
          </cell>
          <cell r="F62">
            <v>1.3170555258448295</v>
          </cell>
        </row>
        <row r="63">
          <cell r="B63" t="str">
            <v>Computer</v>
          </cell>
          <cell r="C63">
            <v>1.6655502145549572</v>
          </cell>
          <cell r="D63">
            <v>0.71239882016544165</v>
          </cell>
          <cell r="E63">
            <v>0.71239882016544165</v>
          </cell>
          <cell r="F63">
            <v>1.1331497454290105</v>
          </cell>
        </row>
        <row r="64">
          <cell r="B64" t="str">
            <v>Monitor</v>
          </cell>
          <cell r="C64">
            <v>1.0109839382712824</v>
          </cell>
          <cell r="D64">
            <v>0.45062457275939666</v>
          </cell>
          <cell r="E64">
            <v>0.45062457275939666</v>
          </cell>
          <cell r="F64">
            <v>0.72198913200149617</v>
          </cell>
        </row>
        <row r="65">
          <cell r="B65" t="str">
            <v>EISA nx</v>
          </cell>
          <cell r="C65">
            <v>0.73183262488926393</v>
          </cell>
          <cell r="D65">
            <v>0.41826483853544827</v>
          </cell>
          <cell r="E65">
            <v>0.41826483853544827</v>
          </cell>
          <cell r="F65">
            <v>0.81140182193357802</v>
          </cell>
        </row>
        <row r="66">
          <cell r="B66" t="str">
            <v>EISA x</v>
          </cell>
          <cell r="C66">
            <v>0.26816737511073607</v>
          </cell>
          <cell r="D66">
            <v>0.58148897029728519</v>
          </cell>
          <cell r="E66">
            <v>0.58148897029728519</v>
          </cell>
          <cell r="F66">
            <v>0.18859817806642193</v>
          </cell>
        </row>
        <row r="67">
          <cell r="B67" t="str">
            <v>WallSqft</v>
          </cell>
          <cell r="C67">
            <v>1802.7725325176218</v>
          </cell>
          <cell r="D67">
            <v>487</v>
          </cell>
          <cell r="E67"/>
          <cell r="F67">
            <v>1216.4209797598855</v>
          </cell>
        </row>
        <row r="68">
          <cell r="B68" t="str">
            <v>AtticSqft</v>
          </cell>
          <cell r="C68">
            <v>1431.3235818765609</v>
          </cell>
          <cell r="D68">
            <v>407</v>
          </cell>
          <cell r="E68"/>
          <cell r="F68">
            <v>1280</v>
          </cell>
        </row>
        <row r="69">
          <cell r="B69" t="str">
            <v>FloorSqft</v>
          </cell>
          <cell r="C69">
            <v>1431.3235818765609</v>
          </cell>
          <cell r="D69">
            <v>390</v>
          </cell>
          <cell r="E69"/>
          <cell r="F69">
            <v>1280</v>
          </cell>
        </row>
        <row r="70">
          <cell r="B70" t="str">
            <v>WindowSqft</v>
          </cell>
          <cell r="C70">
            <v>178.91544773457011</v>
          </cell>
          <cell r="D70">
            <v>174</v>
          </cell>
          <cell r="E70"/>
          <cell r="F70">
            <v>160</v>
          </cell>
        </row>
        <row r="71">
          <cell r="B71" t="str">
            <v>HomeSqft</v>
          </cell>
          <cell r="C71">
            <v>2006</v>
          </cell>
          <cell r="D71">
            <v>1150</v>
          </cell>
          <cell r="E71">
            <v>1150</v>
          </cell>
          <cell r="F71">
            <v>1280</v>
          </cell>
        </row>
        <row r="72">
          <cell r="B72" t="str">
            <v>Lighting</v>
          </cell>
          <cell r="C72">
            <v>63</v>
          </cell>
          <cell r="D72">
            <v>23</v>
          </cell>
          <cell r="E72">
            <v>23</v>
          </cell>
          <cell r="F72">
            <v>34.5</v>
          </cell>
        </row>
        <row r="73">
          <cell r="B73"/>
          <cell r="C73"/>
          <cell r="D73"/>
          <cell r="E73"/>
          <cell r="F73"/>
        </row>
        <row r="74">
          <cell r="B74"/>
          <cell r="C74"/>
          <cell r="D74"/>
          <cell r="E74"/>
          <cell r="F74"/>
        </row>
        <row r="75">
          <cell r="B75"/>
          <cell r="C75"/>
          <cell r="D75"/>
          <cell r="E75"/>
          <cell r="F75"/>
        </row>
        <row r="76">
          <cell r="B76"/>
          <cell r="C76"/>
          <cell r="D76"/>
          <cell r="E76"/>
          <cell r="F76"/>
        </row>
        <row r="77">
          <cell r="B77"/>
          <cell r="C77"/>
          <cell r="D77"/>
          <cell r="E77"/>
          <cell r="F77"/>
        </row>
        <row r="78">
          <cell r="B78"/>
          <cell r="C78"/>
          <cell r="D78"/>
          <cell r="E78"/>
          <cell r="F78"/>
        </row>
        <row r="79">
          <cell r="B79"/>
          <cell r="C79"/>
          <cell r="D79"/>
          <cell r="E79"/>
          <cell r="F79"/>
        </row>
        <row r="80">
          <cell r="B80"/>
          <cell r="C80"/>
          <cell r="D80"/>
          <cell r="E80"/>
          <cell r="F80"/>
        </row>
        <row r="81">
          <cell r="B81"/>
          <cell r="C81"/>
          <cell r="D81"/>
          <cell r="E81"/>
          <cell r="F81"/>
        </row>
        <row r="82">
          <cell r="B82"/>
          <cell r="C82"/>
          <cell r="D82"/>
          <cell r="E82"/>
          <cell r="F82"/>
        </row>
        <row r="83">
          <cell r="B83"/>
          <cell r="C83"/>
          <cell r="D83"/>
          <cell r="E83"/>
          <cell r="F83"/>
        </row>
        <row r="84">
          <cell r="C84"/>
          <cell r="F84"/>
        </row>
      </sheetData>
      <sheetData sheetId="12"/>
      <sheetData sheetId="13"/>
      <sheetData sheetId="14"/>
      <sheetData sheetId="15"/>
      <sheetData sheetId="16"/>
      <sheetData sheetId="17"/>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F"/>
      <sheetName val="MF"/>
      <sheetName val="MH"/>
      <sheetName val="SF Estimates"/>
      <sheetName val="MH_Estimates"/>
      <sheetName val="MF_Estimates"/>
      <sheetName val="Estimates"/>
      <sheetName val="RBSA Saturations"/>
    </sheetNames>
    <sheetDataSet>
      <sheetData sheetId="0"/>
      <sheetData sheetId="1"/>
      <sheetData sheetId="2"/>
      <sheetData sheetId="3">
        <row r="4">
          <cell r="T4">
            <v>0.43481214645857158</v>
          </cell>
        </row>
        <row r="5">
          <cell r="T5">
            <v>0.39440447638444176</v>
          </cell>
        </row>
        <row r="6">
          <cell r="T6">
            <v>0.1969197238940345</v>
          </cell>
        </row>
        <row r="7">
          <cell r="T7">
            <v>0.32778204697463487</v>
          </cell>
        </row>
        <row r="8">
          <cell r="T8">
            <v>0.40815382415645091</v>
          </cell>
          <cell r="AB8">
            <v>0.34472448382968923</v>
          </cell>
          <cell r="AC8">
            <v>3.2836010746805963E-2</v>
          </cell>
          <cell r="AD8">
            <v>0.13435640861978029</v>
          </cell>
          <cell r="AE8">
            <v>0.48808309680372453</v>
          </cell>
        </row>
        <row r="22">
          <cell r="AB22">
            <v>0.83611093310718865</v>
          </cell>
          <cell r="AC22">
            <v>0.97877448287418678</v>
          </cell>
          <cell r="AD22">
            <v>0.80224209468952035</v>
          </cell>
          <cell r="AE22">
            <v>0.76179626085359942</v>
          </cell>
        </row>
        <row r="23">
          <cell r="AB23">
            <v>0.14474227363424905</v>
          </cell>
          <cell r="AC23">
            <v>0</v>
          </cell>
          <cell r="AD23">
            <v>0.15941900960102018</v>
          </cell>
          <cell r="AE23">
            <v>0.18064968069217199</v>
          </cell>
        </row>
        <row r="24">
          <cell r="AB24">
            <v>1.914679325856198E-2</v>
          </cell>
          <cell r="AC24">
            <v>2.1225517125813099E-2</v>
          </cell>
          <cell r="AD24">
            <v>3.8338895709459371E-2</v>
          </cell>
          <cell r="AE24">
            <v>5.7554058454228764E-2</v>
          </cell>
        </row>
      </sheetData>
      <sheetData sheetId="4"/>
      <sheetData sheetId="5"/>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EEMruns_SingleFamilyExistingHVACandWeatherization_all_rev2.xlsm"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SEEMruns_SingleFamilyExistingHVACandWeatherization_all_rev2.xlsm"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Hadley" refreshedDate="41802.644258680557" createdVersion="4" refreshedVersion="3" minRefreshableVersion="3" recordCount="95">
  <cacheSource type="worksheet">
    <worksheetSource ref="M113:U208" sheet="CharacteristicScenariosRH" r:id="rId2"/>
  </cacheSource>
  <cacheFields count="9">
    <cacheField name="CSnumber" numFmtId="0">
      <sharedItems containsSemiMixedTypes="0" containsString="0" containsNumber="1" containsInteger="1" minValue="2001" maxValue="2095"/>
    </cacheField>
    <cacheField name="Attic" numFmtId="0">
      <sharedItems count="2">
        <s v="R38"/>
        <s v="R30"/>
      </sharedItems>
    </cacheField>
    <cacheField name="Wall" numFmtId="0">
      <sharedItems count="1">
        <s v="R11"/>
      </sharedItems>
    </cacheField>
    <cacheField name="Floor" numFmtId="0">
      <sharedItems count="5">
        <s v="R25"/>
        <s v="R19"/>
        <s v="Better"/>
        <s v="Basement"/>
        <s v="Slab"/>
      </sharedItems>
    </cacheField>
    <cacheField name="Windows" numFmtId="0">
      <sharedItems count="2">
        <s v="u30"/>
        <s v="Better"/>
      </sharedItems>
    </cacheField>
    <cacheField name="Infiltration" numFmtId="0">
      <sharedItems count="1">
        <s v="0.35ACHn"/>
      </sharedItems>
    </cacheField>
    <cacheField name="Heating System" numFmtId="0">
      <sharedItems count="4">
        <s v="Electric Zonal"/>
        <s v="Electric FAF"/>
        <s v="Heat Pump" u="1"/>
        <s v="DHP" u="1"/>
      </sharedItems>
    </cacheField>
    <cacheField name="Duct Insulation" numFmtId="0">
      <sharedItems count="2">
        <s v="Existing"/>
        <s v="n/a" u="1"/>
      </sharedItems>
    </cacheField>
    <cacheField name="Duct Tightness" numFmtId="0">
      <sharedItems count="2">
        <s v="PTCS"/>
        <s v="n/a"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adley" refreshedDate="41784.718279050925" createdVersion="4" refreshedVersion="3" minRefreshableVersion="3" recordCount="450">
  <cacheSource type="worksheet">
    <worksheetSource ref="A264:J714" sheet="CharacteristicScenariosRH" r:id="rId2"/>
  </cacheSource>
  <cacheFields count="10">
    <cacheField name="Number" numFmtId="0">
      <sharedItems containsSemiMixedTypes="0" containsString="0" containsNumber="1" containsInteger="1" minValue="1001" maxValue="1450" count="45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sharedItems>
    </cacheField>
    <cacheField name="Code" numFmtId="0">
      <sharedItems count="450">
        <s v="Electric ZonalR0R0R0Single"/>
        <s v="Electric ZonalR0R0R0Double"/>
        <s v="Electric ZonalR0R0R0Better"/>
        <s v="Electric ZonalR0R0R19Single"/>
        <s v="Electric ZonalR0R0R19Double"/>
        <s v="Electric ZonalR0R0R19Better"/>
        <s v="Electric ZonalR0R0BetterSingle"/>
        <s v="Electric ZonalR0R0BetterDouble"/>
        <s v="Electric ZonalR0R0BetterBetter"/>
        <s v="Electric ZonalR0R11R0Single"/>
        <s v="Electric ZonalR0R11R0Double"/>
        <s v="Electric ZonalR0R11R0Better"/>
        <s v="Electric ZonalR0R11R19Single"/>
        <s v="Electric ZonalR0R11R19Double"/>
        <s v="Electric ZonalR0R11R19Better"/>
        <s v="Electric ZonalR0R11BetterSingle"/>
        <s v="Electric ZonalR0R11BetterDouble"/>
        <s v="Electric ZonalR0R11BetterBetter"/>
        <s v="Electric ZonalR11R0R0Single"/>
        <s v="Electric ZonalR11R0R0Double"/>
        <s v="Electric ZonalR11R0R0Better"/>
        <s v="Electric ZonalR11R0R19Single"/>
        <s v="Electric ZonalR11R0R19Double"/>
        <s v="Electric ZonalR11R0R19Better"/>
        <s v="Electric ZonalR11R0BetterSingle"/>
        <s v="Electric ZonalR11R0BetterDouble"/>
        <s v="Electric ZonalR11R0BetterBetter"/>
        <s v="Electric ZonalR11R11R0Single"/>
        <s v="Electric ZonalR11R11R0Double"/>
        <s v="Electric ZonalR11R11R0Better"/>
        <s v="Electric ZonalR11R11R19Single"/>
        <s v="Electric ZonalR11R11R19Double"/>
        <s v="Electric ZonalR11R11R19Better"/>
        <s v="Electric ZonalR11R11BetterSingle"/>
        <s v="Electric ZonalR11R11BetterDouble"/>
        <s v="Electric ZonalR11R11BetterBetter"/>
        <s v="Electric ZonalR19R0R0Single"/>
        <s v="Electric ZonalR19R0R0Double"/>
        <s v="Electric ZonalR19R0R0Better"/>
        <s v="Electric ZonalR19R0R19Single"/>
        <s v="Electric ZonalR19R0R19Double"/>
        <s v="Electric ZonalR19R0R19Better"/>
        <s v="Electric ZonalR19R0BetterSingle"/>
        <s v="Electric ZonalR19R0BetterDouble"/>
        <s v="Electric ZonalR19R0BetterBetter"/>
        <s v="Electric ZonalR19R11R0Single"/>
        <s v="Electric ZonalR19R11R0Double"/>
        <s v="Electric ZonalR19R11R0Better"/>
        <s v="Electric ZonalR19R11R19Single"/>
        <s v="Electric ZonalR19R11R19Double"/>
        <s v="Electric ZonalR19R11R19Better"/>
        <s v="Electric ZonalR19R11BetterSingle"/>
        <s v="Electric ZonalR19R11BetterDouble"/>
        <s v="Electric ZonalR19R11BetterBetter"/>
        <s v="Electric ZonalR30R0R0Single"/>
        <s v="Electric ZonalR30R0R0Double"/>
        <s v="Electric ZonalR30R0R0Better"/>
        <s v="Electric ZonalR30R0R19Single"/>
        <s v="Electric ZonalR30R0R19Double"/>
        <s v="Electric ZonalR30R0R19Better"/>
        <s v="Electric ZonalR30R0BetterSingle"/>
        <s v="Electric ZonalR30R0BetterDouble"/>
        <s v="Electric ZonalR30R0BetterBetter"/>
        <s v="Electric ZonalR30R11R0Single"/>
        <s v="Electric ZonalR30R11R0Double"/>
        <s v="Electric ZonalR30R11R0Better"/>
        <s v="Electric ZonalR30R11R19Single"/>
        <s v="Electric ZonalR30R11R19Double"/>
        <s v="Electric ZonalR30R11R19Better"/>
        <s v="Electric ZonalR30R11BetterSingle"/>
        <s v="Electric ZonalR30R11BetterDouble"/>
        <s v="Electric ZonalR30R11BetterBetter"/>
        <s v="Electric ZonalR38R0R0Single"/>
        <s v="Electric ZonalR38R0R0Double"/>
        <s v="Electric ZonalR38R0R0Better"/>
        <s v="Electric ZonalR38R0R19Single"/>
        <s v="Electric ZonalR38R0R19Double"/>
        <s v="Electric ZonalR38R0R19Better"/>
        <s v="Electric ZonalR38R0BetterSingle"/>
        <s v="Electric ZonalR38R0BetterDouble"/>
        <s v="Electric ZonalR38R0BetterBetter"/>
        <s v="Electric ZonalR38R11R0Single"/>
        <s v="Electric ZonalR38R11R0Double"/>
        <s v="Electric ZonalR38R11R0Better"/>
        <s v="Electric ZonalR38R11R19Single"/>
        <s v="Electric ZonalR38R11R19Double"/>
        <s v="Electric ZonalR38R11R19Better"/>
        <s v="Electric ZonalR38R11BetterSingle"/>
        <s v="Electric ZonalR38R11BetterDouble"/>
        <s v="Electric ZonalR38R11BetterBetter"/>
        <s v="Electric FAFR0R0R0Single"/>
        <s v="Electric FAFR0R0R0Double"/>
        <s v="Electric FAFR0R0R0Better"/>
        <s v="Electric FAFR0R0R19Single"/>
        <s v="Electric FAFR0R0R19Double"/>
        <s v="Electric FAFR0R0R19Better"/>
        <s v="Electric FAFR0R0BetterSingle"/>
        <s v="Electric FAFR0R0BetterDouble"/>
        <s v="Electric FAFR0R0BetterBetter"/>
        <s v="Electric FAFR0R11R0Single"/>
        <s v="Electric FAFR0R11R0Double"/>
        <s v="Electric FAFR0R11R0Better"/>
        <s v="Electric FAFR0R11R19Single"/>
        <s v="Electric FAFR0R11R19Double"/>
        <s v="Electric FAFR0R11R19Better"/>
        <s v="Electric FAFR0R11BetterSingle"/>
        <s v="Electric FAFR0R11BetterDouble"/>
        <s v="Electric FAFR0R11BetterBetter"/>
        <s v="Electric FAFR11R0R0Single"/>
        <s v="Electric FAFR11R0R0Double"/>
        <s v="Electric FAFR11R0R0Better"/>
        <s v="Electric FAFR11R0R19Single"/>
        <s v="Electric FAFR11R0R19Double"/>
        <s v="Electric FAFR11R0R19Better"/>
        <s v="Electric FAFR11R0BetterSingle"/>
        <s v="Electric FAFR11R0BetterDouble"/>
        <s v="Electric FAFR11R0BetterBetter"/>
        <s v="Electric FAFR11R11R0Single"/>
        <s v="Electric FAFR11R11R0Double"/>
        <s v="Electric FAFR11R11R0Better"/>
        <s v="Electric FAFR11R11R19Single"/>
        <s v="Electric FAFR11R11R19Double"/>
        <s v="Electric FAFR11R11R19Better"/>
        <s v="Electric FAFR11R11BetterSingle"/>
        <s v="Electric FAFR11R11BetterDouble"/>
        <s v="Electric FAFR11R11BetterBetter"/>
        <s v="Electric FAFR19R0R0Single"/>
        <s v="Electric FAFR19R0R0Double"/>
        <s v="Electric FAFR19R0R0Better"/>
        <s v="Electric FAFR19R0R19Single"/>
        <s v="Electric FAFR19R0R19Double"/>
        <s v="Electric FAFR19R0R19Better"/>
        <s v="Electric FAFR19R0BetterSingle"/>
        <s v="Electric FAFR19R0BetterDouble"/>
        <s v="Electric FAFR19R0BetterBetter"/>
        <s v="Electric FAFR19R11R0Single"/>
        <s v="Electric FAFR19R11R0Double"/>
        <s v="Electric FAFR19R11R0Better"/>
        <s v="Electric FAFR19R11R19Single"/>
        <s v="Electric FAFR19R11R19Double"/>
        <s v="Electric FAFR19R11R19Better"/>
        <s v="Electric FAFR19R11BetterSingle"/>
        <s v="Electric FAFR19R11BetterDouble"/>
        <s v="Electric FAFR19R11BetterBetter"/>
        <s v="Electric FAFR30R0R0Single"/>
        <s v="Electric FAFR30R0R0Double"/>
        <s v="Electric FAFR30R0R0Better"/>
        <s v="Electric FAFR30R0R19Single"/>
        <s v="Electric FAFR30R0R19Double"/>
        <s v="Electric FAFR30R0R19Better"/>
        <s v="Electric FAFR30R0BetterSingle"/>
        <s v="Electric FAFR30R0BetterDouble"/>
        <s v="Electric FAFR30R0BetterBetter"/>
        <s v="Electric FAFR30R11R0Single"/>
        <s v="Electric FAFR30R11R0Double"/>
        <s v="Electric FAFR30R11R0Better"/>
        <s v="Electric FAFR30R11R19Single"/>
        <s v="Electric FAFR30R11R19Double"/>
        <s v="Electric FAFR30R11R19Better"/>
        <s v="Electric FAFR30R11BetterSingle"/>
        <s v="Electric FAFR30R11BetterDouble"/>
        <s v="Electric FAFR30R11BetterBetter"/>
        <s v="Electric FAFR38R0R0Single"/>
        <s v="Electric FAFR38R0R0Double"/>
        <s v="Electric FAFR38R0R0Better"/>
        <s v="Electric FAFR38R0R19Single"/>
        <s v="Electric FAFR38R0R19Double"/>
        <s v="Electric FAFR38R0R19Better"/>
        <s v="Electric FAFR38R0BetterSingle"/>
        <s v="Electric FAFR38R0BetterDouble"/>
        <s v="Electric FAFR38R0BetterBetter"/>
        <s v="Electric FAFR38R11R0Single"/>
        <s v="Electric FAFR38R11R0Double"/>
        <s v="Electric FAFR38R11R0Better"/>
        <s v="Electric FAFR38R11R19Single"/>
        <s v="Electric FAFR38R11R19Double"/>
        <s v="Electric FAFR38R11R19Better"/>
        <s v="Electric FAFR38R11BetterSingle"/>
        <s v="Electric FAFR38R11BetterDouble"/>
        <s v="Electric FAFR38R11BetterBetter"/>
        <s v="Heat PumpR0R0R0Single"/>
        <s v="Heat PumpR0R0R0Double"/>
        <s v="Heat PumpR0R0R0Better"/>
        <s v="Heat PumpR0R0R19Single"/>
        <s v="Heat PumpR0R0R19Double"/>
        <s v="Heat PumpR0R0R19Better"/>
        <s v="Heat PumpR0R0BetterSingle"/>
        <s v="Heat PumpR0R0BetterDouble"/>
        <s v="Heat PumpR0R0BetterBetter"/>
        <s v="Heat PumpR0R11R0Single"/>
        <s v="Heat PumpR0R11R0Double"/>
        <s v="Heat PumpR0R11R0Better"/>
        <s v="Heat PumpR0R11R19Single"/>
        <s v="Heat PumpR0R11R19Double"/>
        <s v="Heat PumpR0R11R19Better"/>
        <s v="Heat PumpR0R11BetterSingle"/>
        <s v="Heat PumpR0R11BetterDouble"/>
        <s v="Heat PumpR0R11BetterBetter"/>
        <s v="Heat PumpR11R0R0Single"/>
        <s v="Heat PumpR11R0R0Double"/>
        <s v="Heat PumpR11R0R0Better"/>
        <s v="Heat PumpR11R0R19Single"/>
        <s v="Heat PumpR11R0R19Double"/>
        <s v="Heat PumpR11R0R19Better"/>
        <s v="Heat PumpR11R0BetterSingle"/>
        <s v="Heat PumpR11R0BetterDouble"/>
        <s v="Heat PumpR11R0BetterBetter"/>
        <s v="Heat PumpR11R11R0Single"/>
        <s v="Heat PumpR11R11R0Double"/>
        <s v="Heat PumpR11R11R0Better"/>
        <s v="Heat PumpR11R11R19Single"/>
        <s v="Heat PumpR11R11R19Double"/>
        <s v="Heat PumpR11R11R19Better"/>
        <s v="Heat PumpR11R11BetterSingle"/>
        <s v="Heat PumpR11R11BetterDouble"/>
        <s v="Heat PumpR11R11BetterBetter"/>
        <s v="Heat PumpR19R0R0Single"/>
        <s v="Heat PumpR19R0R0Double"/>
        <s v="Heat PumpR19R0R0Better"/>
        <s v="Heat PumpR19R0R19Single"/>
        <s v="Heat PumpR19R0R19Double"/>
        <s v="Heat PumpR19R0R19Better"/>
        <s v="Heat PumpR19R0BetterSingle"/>
        <s v="Heat PumpR19R0BetterDouble"/>
        <s v="Heat PumpR19R0BetterBetter"/>
        <s v="Heat PumpR19R11R0Single"/>
        <s v="Heat PumpR19R11R0Double"/>
        <s v="Heat PumpR19R11R0Better"/>
        <s v="Heat PumpR19R11R19Single"/>
        <s v="Heat PumpR19R11R19Double"/>
        <s v="Heat PumpR19R11R19Better"/>
        <s v="Heat PumpR19R11BetterSingle"/>
        <s v="Heat PumpR19R11BetterDouble"/>
        <s v="Heat PumpR19R11BetterBetter"/>
        <s v="Heat PumpR30R0R0Single"/>
        <s v="Heat PumpR30R0R0Double"/>
        <s v="Heat PumpR30R0R0Better"/>
        <s v="Heat PumpR30R0R19Single"/>
        <s v="Heat PumpR30R0R19Double"/>
        <s v="Heat PumpR30R0R19Better"/>
        <s v="Heat PumpR30R0BetterSingle"/>
        <s v="Heat PumpR30R0BetterDouble"/>
        <s v="Heat PumpR30R0BetterBetter"/>
        <s v="Heat PumpR30R11R0Single"/>
        <s v="Heat PumpR30R11R0Double"/>
        <s v="Heat PumpR30R11R0Better"/>
        <s v="Heat PumpR30R11R19Single"/>
        <s v="Heat PumpR30R11R19Double"/>
        <s v="Heat PumpR30R11R19Better"/>
        <s v="Heat PumpR30R11BetterSingle"/>
        <s v="Heat PumpR30R11BetterDouble"/>
        <s v="Heat PumpR30R11BetterBetter"/>
        <s v="Heat PumpR38R0R0Single"/>
        <s v="Heat PumpR38R0R0Double"/>
        <s v="Heat PumpR38R0R0Better"/>
        <s v="Heat PumpR38R0R19Single"/>
        <s v="Heat PumpR38R0R19Double"/>
        <s v="Heat PumpR38R0R19Better"/>
        <s v="Heat PumpR38R0BetterSingle"/>
        <s v="Heat PumpR38R0BetterDouble"/>
        <s v="Heat PumpR38R0BetterBetter"/>
        <s v="Heat PumpR38R11R0Single"/>
        <s v="Heat PumpR38R11R0Double"/>
        <s v="Heat PumpR38R11R0Better"/>
        <s v="Heat PumpR38R11R19Single"/>
        <s v="Heat PumpR38R11R19Double"/>
        <s v="Heat PumpR38R11R19Better"/>
        <s v="Heat PumpR38R11BetterSingle"/>
        <s v="Heat PumpR38R11BetterDouble"/>
        <s v="Heat PumpR38R11BetterBetter"/>
        <s v="Electric ZonalR0R0BasementSingle"/>
        <s v="Electric ZonalR0R0BasementDouble"/>
        <s v="Electric ZonalR0R0BasementBetter"/>
        <s v="Electric ZonalR0R11BasementSingle"/>
        <s v="Electric ZonalR0R11BasementDouble"/>
        <s v="Electric ZonalR0R11BasementBetter"/>
        <s v="Electric ZonalR11R0BasementSingle"/>
        <s v="Electric ZonalR11R0BasementDouble"/>
        <s v="Electric ZonalR11R0BasementBetter"/>
        <s v="Electric ZonalR11R11BasementSingle"/>
        <s v="Electric ZonalR11R11BasementDouble"/>
        <s v="Electric ZonalR11R11BasementBetter"/>
        <s v="Electric ZonalR19R0BasementSingle"/>
        <s v="Electric ZonalR19R0BasementDouble"/>
        <s v="Electric ZonalR19R0BasementBetter"/>
        <s v="Electric ZonalR19R11BasementSingle"/>
        <s v="Electric ZonalR19R11BasementDouble"/>
        <s v="Electric ZonalR19R11BasementBetter"/>
        <s v="Electric ZonalR30R0BasementSingle"/>
        <s v="Electric ZonalR30R0BasementDouble"/>
        <s v="Electric ZonalR30R0BasementBetter"/>
        <s v="Electric ZonalR30R11BasementSingle"/>
        <s v="Electric ZonalR30R11BasementDouble"/>
        <s v="Electric ZonalR30R11BasementBetter"/>
        <s v="Electric ZonalR38R0BasementSingle"/>
        <s v="Electric ZonalR38R0BasementDouble"/>
        <s v="Electric ZonalR38R0BasementBetter"/>
        <s v="Electric ZonalR38R11BasementSingle"/>
        <s v="Electric ZonalR38R11BasementDouble"/>
        <s v="Electric ZonalR38R11BasementBetter"/>
        <s v="Electric FAFR0R0BasementSingle"/>
        <s v="Electric FAFR0R0BasementDouble"/>
        <s v="Electric FAFR0R0BasementBetter"/>
        <s v="Electric FAFR0R11BasementSingle"/>
        <s v="Electric FAFR0R11BasementDouble"/>
        <s v="Electric FAFR0R11BasementBetter"/>
        <s v="Electric FAFR11R0BasementSingle"/>
        <s v="Electric FAFR11R0BasementDouble"/>
        <s v="Electric FAFR11R0BasementBetter"/>
        <s v="Electric FAFR11R11BasementSingle"/>
        <s v="Electric FAFR11R11BasementDouble"/>
        <s v="Electric FAFR11R11BasementBetter"/>
        <s v="Electric FAFR19R0BasementSingle"/>
        <s v="Electric FAFR19R0BasementDouble"/>
        <s v="Electric FAFR19R0BasementBetter"/>
        <s v="Electric FAFR19R11BasementSingle"/>
        <s v="Electric FAFR19R11BasementDouble"/>
        <s v="Electric FAFR19R11BasementBetter"/>
        <s v="Electric FAFR30R0BasementSingle"/>
        <s v="Electric FAFR30R0BasementDouble"/>
        <s v="Electric FAFR30R0BasementBetter"/>
        <s v="Electric FAFR30R11BasementSingle"/>
        <s v="Electric FAFR30R11BasementDouble"/>
        <s v="Electric FAFR30R11BasementBetter"/>
        <s v="Electric FAFR38R0BasementSingle"/>
        <s v="Electric FAFR38R0BasementDouble"/>
        <s v="Electric FAFR38R0BasementBetter"/>
        <s v="Electric FAFR38R11BasementSingle"/>
        <s v="Electric FAFR38R11BasementDouble"/>
        <s v="Electric FAFR38R11BasementBetter"/>
        <s v="Heat PumpR0R0BasementSingle"/>
        <s v="Heat PumpR0R0BasementDouble"/>
        <s v="Heat PumpR0R0BasementBetter"/>
        <s v="Heat PumpR0R11BasementSingle"/>
        <s v="Heat PumpR0R11BasementDouble"/>
        <s v="Heat PumpR0R11BasementBetter"/>
        <s v="Heat PumpR11R0BasementSingle"/>
        <s v="Heat PumpR11R0BasementDouble"/>
        <s v="Heat PumpR11R0BasementBetter"/>
        <s v="Heat PumpR11R11BasementSingle"/>
        <s v="Heat PumpR11R11BasementDouble"/>
        <s v="Heat PumpR11R11BasementBetter"/>
        <s v="Heat PumpR19R0BasementSingle"/>
        <s v="Heat PumpR19R0BasementDouble"/>
        <s v="Heat PumpR19R0BasementBetter"/>
        <s v="Heat PumpR19R11BasementSingle"/>
        <s v="Heat PumpR19R11BasementDouble"/>
        <s v="Heat PumpR19R11BasementBetter"/>
        <s v="Heat PumpR30R0BasementSingle"/>
        <s v="Heat PumpR30R0BasementDouble"/>
        <s v="Heat PumpR30R0BasementBetter"/>
        <s v="Heat PumpR30R11BasementSingle"/>
        <s v="Heat PumpR30R11BasementDouble"/>
        <s v="Heat PumpR30R11BasementBetter"/>
        <s v="Heat PumpR38R0BasementSingle"/>
        <s v="Heat PumpR38R0BasementDouble"/>
        <s v="Heat PumpR38R0BasementBetter"/>
        <s v="Heat PumpR38R11BasementSingle"/>
        <s v="Heat PumpR38R11BasementDouble"/>
        <s v="Heat PumpR38R11BasementBetter"/>
        <s v="Electric ZonalR0R0SlabSingle"/>
        <s v="Electric ZonalR0R0SlabDouble"/>
        <s v="Electric ZonalR0R0SlabBetter"/>
        <s v="Electric ZonalR0R11SlabSingle"/>
        <s v="Electric ZonalR0R11SlabDouble"/>
        <s v="Electric ZonalR0R11SlabBetter"/>
        <s v="Electric ZonalR11R0SlabSingle"/>
        <s v="Electric ZonalR11R0SlabDouble"/>
        <s v="Electric ZonalR11R0SlabBetter"/>
        <s v="Electric ZonalR11R11SlabSingle"/>
        <s v="Electric ZonalR11R11SlabDouble"/>
        <s v="Electric ZonalR11R11SlabBetter"/>
        <s v="Electric ZonalR19R0SlabSingle"/>
        <s v="Electric ZonalR19R0SlabDouble"/>
        <s v="Electric ZonalR19R0SlabBetter"/>
        <s v="Electric ZonalR19R11SlabSingle"/>
        <s v="Electric ZonalR19R11SlabDouble"/>
        <s v="Electric ZonalR19R11SlabBetter"/>
        <s v="Electric ZonalR30R0SlabSingle"/>
        <s v="Electric ZonalR30R0SlabDouble"/>
        <s v="Electric ZonalR30R0SlabBetter"/>
        <s v="Electric ZonalR30R11SlabSingle"/>
        <s v="Electric ZonalR30R11SlabDouble"/>
        <s v="Electric ZonalR30R11SlabBetter"/>
        <s v="Electric ZonalR38R0SlabSingle"/>
        <s v="Electric ZonalR38R0SlabDouble"/>
        <s v="Electric ZonalR38R0SlabBetter"/>
        <s v="Electric ZonalR38R11SlabSingle"/>
        <s v="Electric ZonalR38R11SlabDouble"/>
        <s v="Electric ZonalR38R11SlabBetter"/>
        <s v="Electric FAFR0R0SlabSingle"/>
        <s v="Electric FAFR0R0SlabDouble"/>
        <s v="Electric FAFR0R0SlabBetter"/>
        <s v="Electric FAFR0R11SlabSingle"/>
        <s v="Electric FAFR0R11SlabDouble"/>
        <s v="Electric FAFR0R11SlabBetter"/>
        <s v="Electric FAFR11R0SlabSingle"/>
        <s v="Electric FAFR11R0SlabDouble"/>
        <s v="Electric FAFR11R0SlabBetter"/>
        <s v="Electric FAFR11R11SlabSingle"/>
        <s v="Electric FAFR11R11SlabDouble"/>
        <s v="Electric FAFR11R11SlabBetter"/>
        <s v="Electric FAFR19R0SlabSingle"/>
        <s v="Electric FAFR19R0SlabDouble"/>
        <s v="Electric FAFR19R0SlabBetter"/>
        <s v="Electric FAFR19R11SlabSingle"/>
        <s v="Electric FAFR19R11SlabDouble"/>
        <s v="Electric FAFR19R11SlabBetter"/>
        <s v="Electric FAFR30R0SlabSingle"/>
        <s v="Electric FAFR30R0SlabDouble"/>
        <s v="Electric FAFR30R0SlabBetter"/>
        <s v="Electric FAFR30R11SlabSingle"/>
        <s v="Electric FAFR30R11SlabDouble"/>
        <s v="Electric FAFR30R11SlabBetter"/>
        <s v="Electric FAFR38R0SlabSingle"/>
        <s v="Electric FAFR38R0SlabDouble"/>
        <s v="Electric FAFR38R0SlabBetter"/>
        <s v="Electric FAFR38R11SlabSingle"/>
        <s v="Electric FAFR38R11SlabDouble"/>
        <s v="Electric FAFR38R11SlabBetter"/>
        <s v="Heat PumpR0R0SlabSingle"/>
        <s v="Heat PumpR0R0SlabDouble"/>
        <s v="Heat PumpR0R0SlabBetter"/>
        <s v="Heat PumpR0R11SlabSingle"/>
        <s v="Heat PumpR0R11SlabDouble"/>
        <s v="Heat PumpR0R11SlabBetter"/>
        <s v="Heat PumpR11R0SlabSingle"/>
        <s v="Heat PumpR11R0SlabDouble"/>
        <s v="Heat PumpR11R0SlabBetter"/>
        <s v="Heat PumpR11R11SlabSingle"/>
        <s v="Heat PumpR11R11SlabDouble"/>
        <s v="Heat PumpR11R11SlabBetter"/>
        <s v="Heat PumpR19R0SlabSingle"/>
        <s v="Heat PumpR19R0SlabDouble"/>
        <s v="Heat PumpR19R0SlabBetter"/>
        <s v="Heat PumpR19R11SlabSingle"/>
        <s v="Heat PumpR19R11SlabDouble"/>
        <s v="Heat PumpR19R11SlabBetter"/>
        <s v="Heat PumpR30R0SlabSingle"/>
        <s v="Heat PumpR30R0SlabDouble"/>
        <s v="Heat PumpR30R0SlabBetter"/>
        <s v="Heat PumpR30R11SlabSingle"/>
        <s v="Heat PumpR30R11SlabDouble"/>
        <s v="Heat PumpR30R11SlabBetter"/>
        <s v="Heat PumpR38R0SlabSingle"/>
        <s v="Heat PumpR38R0SlabDouble"/>
        <s v="Heat PumpR38R0SlabBetter"/>
        <s v="Heat PumpR38R11SlabSingle"/>
        <s v="Heat PumpR38R11SlabDouble"/>
        <s v="Heat PumpR38R11SlabBetter"/>
      </sharedItems>
    </cacheField>
    <cacheField name="Heating System" numFmtId="0">
      <sharedItems count="3">
        <s v="Electric Zonal"/>
        <s v="Electric FAF"/>
        <s v="Heat Pump"/>
      </sharedItems>
    </cacheField>
    <cacheField name="Attic" numFmtId="0">
      <sharedItems count="5">
        <s v="R0"/>
        <s v="R11"/>
        <s v="R19"/>
        <s v="R30"/>
        <s v="R38"/>
      </sharedItems>
    </cacheField>
    <cacheField name="Wall" numFmtId="0">
      <sharedItems count="2">
        <s v="R0"/>
        <s v="R11"/>
      </sharedItems>
    </cacheField>
    <cacheField name="Floor" numFmtId="0">
      <sharedItems count="5">
        <s v="R0"/>
        <s v="R19"/>
        <s v="Better"/>
        <s v="Basement"/>
        <s v="Slab"/>
      </sharedItems>
    </cacheField>
    <cacheField name="Window" numFmtId="0">
      <sharedItems count="3">
        <s v="Single"/>
        <s v="Double"/>
        <s v="Better"/>
      </sharedItems>
    </cacheField>
    <cacheField name="Weight" numFmtId="0">
      <sharedItems containsSemiMixedTypes="0" containsString="0" containsNumber="1" minValue="0" maxValue="111058.73300000001" count="89">
        <n v="2079.9929999999999"/>
        <n v="3845.1859999999997"/>
        <n v="18820.644999999997"/>
        <n v="0"/>
        <n v="1150.8789999999999"/>
        <n v="9040.2020000000011"/>
        <n v="12713.037"/>
        <n v="2003.7159999999999"/>
        <n v="7720.0640000000003"/>
        <n v="6826.4519999999993"/>
        <n v="11324.819"/>
        <n v="3230.8719999999998"/>
        <n v="3785.7640000000001"/>
        <n v="5576.6729999999998"/>
        <n v="1524.7619999999999"/>
        <n v="3148.395"/>
        <n v="10309.49"/>
        <n v="16489.944"/>
        <n v="3616.4079999999999"/>
        <n v="4956.4930000000004"/>
        <n v="3692.6849999999999"/>
        <n v="8085.4869999999992"/>
        <n v="1612.692"/>
        <n v="17356.04"/>
        <n v="10840.086000000001"/>
        <n v="2989.4560000000001"/>
        <n v="2338.9059999999999"/>
        <n v="8546.098"/>
        <n v="28410.553"/>
        <n v="11889.231"/>
        <n v="33292.517"/>
        <n v="1144.6790000000001"/>
        <n v="12050.708999999999"/>
        <n v="12705.415999999999"/>
        <n v="1464.694"/>
        <n v="3908.0039999999999"/>
        <n v="8264.9449999999997"/>
        <n v="5081.1019999999999"/>
        <n v="6569.1850000000004"/>
        <n v="3225.384"/>
        <n v="1904.288"/>
        <n v="1925.059"/>
        <n v="7036.4860000000008"/>
        <n v="7790.8160000000007"/>
        <n v="5217.4470000000001"/>
        <n v="32233.588000000003"/>
        <n v="4159.9859999999999"/>
        <n v="4005.0519999999997"/>
        <n v="5234.5879999999997"/>
        <n v="20901.962"/>
        <n v="6881.5520000000006"/>
        <n v="11490.329"/>
        <n v="9091.1409999999996"/>
        <n v="13145.656999999999"/>
        <n v="7012.9089999999997"/>
        <n v="33600.341"/>
        <n v="10094.356"/>
        <n v="19962.073"/>
        <n v="34358.57"/>
        <n v="6493.4039999999995"/>
        <n v="111058.73300000001"/>
        <n v="2657.1589999999997"/>
        <n v="9395.366"/>
        <n v="11537.403"/>
        <n v="2130.886"/>
        <n v="18541.418000000001"/>
        <n v="1192.4649999999999"/>
        <n v="3096.7529999999997"/>
        <n v="3604.7550000000001"/>
        <n v="3808.576"/>
        <n v="7245.8510000000006"/>
        <n v="22184.296000000002"/>
        <n v="9361.2289999999994"/>
        <n v="10966.225999999999"/>
        <n v="8083.6170000000002"/>
        <n v="12287.772000000001"/>
        <n v="19880.523999999998"/>
        <n v="1188.027"/>
        <n v="8936.4539999999997"/>
        <n v="45122.15400000001"/>
        <n v="8275.4060000000009"/>
        <n v="10763.271000000001"/>
        <n v="5448.9750000000004"/>
        <n v="11105.451000000001"/>
        <n v="5250.4580000000005"/>
        <n v="7713.8640000000005"/>
        <n v="24822.143"/>
        <n v="7302.7439999999997"/>
        <n v="16313.753000000001"/>
      </sharedItems>
    </cacheField>
    <cacheField name="Weight%" numFmtId="171">
      <sharedItems containsMixedTypes="1" containsNumber="1" minValue="1.073801742076088E-3" maxValue="0.10418209905848112" count="89">
        <n v="1.9512021334418368E-3"/>
        <n v="3.6070963347860697E-3"/>
        <n v="1.76552914729768E-2"/>
        <s v=""/>
        <n v="1.0796178449318855E-3"/>
        <n v="8.4804426885788375E-3"/>
        <n v="1.192585980670368E-2"/>
        <n v="1.8796481209367257E-3"/>
        <n v="7.2420461737647771E-3"/>
        <n v="6.4037656406720081E-3"/>
        <n v="1.0623598730208537E-2"/>
        <n v="3.0308199783737225E-3"/>
        <n v="3.5513536793187776E-3"/>
        <n v="5.2313715743790906E-3"/>
        <n v="1.4303504230019244E-3"/>
        <n v="2.9534498630128139E-3"/>
        <n v="9.6711377791642954E-3"/>
        <n v="1.5468904901668619E-2"/>
        <n v="3.3924840155693434E-3"/>
        <n v="4.649592434200274E-3"/>
        <n v="3.4640380280744547E-3"/>
        <n v="7.5848425856799686E-3"/>
        <n v="1.5128358946326179E-3"/>
        <n v="1.6281373195054915E-2"/>
        <n v="1.016887986156347E-2"/>
        <n v="2.8043521901422262E-3"/>
        <n v="2.1940835267810579E-3"/>
        <n v="8.0169330618915617E-3"/>
        <n v="2.665140297388615E-2"/>
        <n v="1.115306296328056E-2"/>
        <n v="3.1231081161354205E-2"/>
        <n v="1.073801742076088E-3"/>
        <n v="1.1304542424078707E-2"/>
        <n v="1.1918710690596577E-2"/>
        <n v="1.3740017671403017E-3"/>
        <n v="3.6660247136885708E-3"/>
        <n v="7.7531887447599302E-3"/>
        <n v="4.7664857827096454E-3"/>
        <n v="6.1624283288328916E-3"/>
        <n v="3.0256717892652358E-3"/>
        <n v="1.7863765927518451E-3"/>
        <n v="1.8058614753998733E-3"/>
        <n v="6.6007945676421114E-3"/>
        <n v="7.3084172881604879E-3"/>
        <n v="4.8943884510763789E-3"/>
        <n v="3.0237719874098228E-2"/>
        <n v="3.9024042668836735E-3"/>
        <n v="3.7570636088417098E-3"/>
        <n v="4.9104680993104482E-3"/>
        <n v="1.9607735625802682E-2"/>
        <n v="6.4554539096001477E-3"/>
        <n v="1.0778860534025166E-2"/>
        <n v="8.5282276020258486E-3"/>
        <n v="1.2331692454683556E-2"/>
        <n v="6.5786774294112806E-3"/>
        <n v="3.1519845039657934E-2"/>
        <n v="9.4693246385547467E-3"/>
        <n v="1.8726043513378018E-2"/>
        <n v="3.2231125338407718E-2"/>
        <n v="6.0913396045562439E-3"/>
        <n v="0.10418209905848112"/>
        <n v="2.4926306529368977E-3"/>
        <n v="8.8136153264298939E-3"/>
        <n v="1.0823019763998364E-2"/>
        <n v="1.9989438951579846E-3"/>
        <n v="1.7393353900054892E-2"/>
        <n v="1.1186288857965962E-3"/>
        <n v="2.9050054785484413E-3"/>
        <n v="3.3815525564437612E-3"/>
        <n v="3.5727531855036902E-3"/>
        <n v="6.7971959183524503E-3"/>
        <n v="2.0810668922494072E-2"/>
        <n v="8.7815920517220931E-3"/>
        <n v="1.0287209412245779E-2"/>
        <n v="7.5830883740121728E-3"/>
        <n v="1.1526926745256771E-2"/>
        <n v="1.8649543937283266E-2"/>
        <n v="1.1144656818491722E-3"/>
        <n v="8.3831186500170126E-3"/>
        <n v="4.2328240119217292E-2"/>
        <n v="7.7630020112074314E-3"/>
        <n v="1.0096821161423453E-2"/>
        <n v="5.111580493333984E-3"/>
        <n v="1.0417813754197144E-2"/>
        <n v="4.92535544645908E-3"/>
        <n v="7.2362300709089798E-3"/>
        <n v="2.3285183353116263E-2"/>
        <n v="6.8505661667032395E-3"/>
        <n v="1.5303623453561222E-2"/>
      </sharedItems>
    </cacheField>
    <cacheField name="Code2" numFmtId="0">
      <sharedItems count="450">
        <s v="1001Electric ZonalR0R0R0Single"/>
        <s v="1002Electric ZonalR0R0R0Double"/>
        <s v="1003Electric ZonalR0R0R0Better"/>
        <s v="1004Electric ZonalR0R0R19Single"/>
        <s v="1005Electric ZonalR0R0R19Double"/>
        <s v="1006Electric ZonalR0R0R19Better"/>
        <s v="1007Electric ZonalR0R0BetterSingle"/>
        <s v="1008Electric ZonalR0R0BetterDouble"/>
        <s v="1009Electric ZonalR0R0BetterBetter"/>
        <s v="1010Electric ZonalR0R11R0Single"/>
        <s v="1011Electric ZonalR0R11R0Double"/>
        <s v="1012Electric ZonalR0R11R0Better"/>
        <s v="1013Electric ZonalR0R11R19Single"/>
        <s v="1014Electric ZonalR0R11R19Double"/>
        <s v="1015Electric ZonalR0R11R19Better"/>
        <s v="1016Electric ZonalR0R11BetterSingle"/>
        <s v="1017Electric ZonalR0R11BetterDouble"/>
        <s v="1018Electric ZonalR0R11BetterBetter"/>
        <s v="1019Electric ZonalR11R0R0Single"/>
        <s v="1020Electric ZonalR11R0R0Double"/>
        <s v="1021Electric ZonalR11R0R0Better"/>
        <s v="1022Electric ZonalR11R0R19Single"/>
        <s v="1023Electric ZonalR11R0R19Double"/>
        <s v="1024Electric ZonalR11R0R19Better"/>
        <s v="1025Electric ZonalR11R0BetterSingle"/>
        <s v="1026Electric ZonalR11R0BetterDouble"/>
        <s v="1027Electric ZonalR11R0BetterBetter"/>
        <s v="1028Electric ZonalR11R11R0Single"/>
        <s v="1029Electric ZonalR11R11R0Double"/>
        <s v="1030Electric ZonalR11R11R0Better"/>
        <s v="1031Electric ZonalR11R11R19Single"/>
        <s v="1032Electric ZonalR11R11R19Double"/>
        <s v="1033Electric ZonalR11R11R19Better"/>
        <s v="1034Electric ZonalR11R11BetterSingle"/>
        <s v="1035Electric ZonalR11R11BetterDouble"/>
        <s v="1036Electric ZonalR11R11BetterBetter"/>
        <s v="1037Electric ZonalR19R0R0Single"/>
        <s v="1038Electric ZonalR19R0R0Double"/>
        <s v="1039Electric ZonalR19R0R0Better"/>
        <s v="1040Electric ZonalR19R0R19Single"/>
        <s v="1041Electric ZonalR19R0R19Double"/>
        <s v="1042Electric ZonalR19R0R19Better"/>
        <s v="1043Electric ZonalR19R0BetterSingle"/>
        <s v="1044Electric ZonalR19R0BetterDouble"/>
        <s v="1045Electric ZonalR19R0BetterBetter"/>
        <s v="1046Electric ZonalR19R11R0Single"/>
        <s v="1047Electric ZonalR19R11R0Double"/>
        <s v="1048Electric ZonalR19R11R0Better"/>
        <s v="1049Electric ZonalR19R11R19Single"/>
        <s v="1050Electric ZonalR19R11R19Double"/>
        <s v="1051Electric ZonalR19R11R19Better"/>
        <s v="1052Electric ZonalR19R11BetterSingle"/>
        <s v="1053Electric ZonalR19R11BetterDouble"/>
        <s v="1054Electric ZonalR19R11BetterBetter"/>
        <s v="1055Electric ZonalR30R0R0Single"/>
        <s v="1056Electric ZonalR30R0R0Double"/>
        <s v="1057Electric ZonalR30R0R0Better"/>
        <s v="1058Electric ZonalR30R0R19Single"/>
        <s v="1059Electric ZonalR30R0R19Double"/>
        <s v="1060Electric ZonalR30R0R19Better"/>
        <s v="1061Electric ZonalR30R0BetterSingle"/>
        <s v="1062Electric ZonalR30R0BetterDouble"/>
        <s v="1063Electric ZonalR30R0BetterBetter"/>
        <s v="1064Electric ZonalR30R11R0Single"/>
        <s v="1065Electric ZonalR30R11R0Double"/>
        <s v="1066Electric ZonalR30R11R0Better"/>
        <s v="1067Electric ZonalR30R11R19Single"/>
        <s v="1068Electric ZonalR30R11R19Double"/>
        <s v="1069Electric ZonalR30R11R19Better"/>
        <s v="1070Electric ZonalR30R11BetterSingle"/>
        <s v="1071Electric ZonalR30R11BetterDouble"/>
        <s v="1072Electric ZonalR30R11BetterBetter"/>
        <s v="1073Electric ZonalR38R0R0Single"/>
        <s v="1074Electric ZonalR38R0R0Double"/>
        <s v="1075Electric ZonalR38R0R0Better"/>
        <s v="1076Electric ZonalR38R0R19Single"/>
        <s v="1077Electric ZonalR38R0R19Double"/>
        <s v="1078Electric ZonalR38R0R19Better"/>
        <s v="1079Electric ZonalR38R0BetterSingle"/>
        <s v="1080Electric ZonalR38R0BetterDouble"/>
        <s v="1081Electric ZonalR38R0BetterBetter"/>
        <s v="1082Electric ZonalR38R11R0Single"/>
        <s v="1083Electric ZonalR38R11R0Double"/>
        <s v="1084Electric ZonalR38R11R0Better"/>
        <s v="1085Electric ZonalR38R11R19Single"/>
        <s v="1086Electric ZonalR38R11R19Double"/>
        <s v="1087Electric ZonalR38R11R19Better"/>
        <s v="1088Electric ZonalR38R11BetterSingle"/>
        <s v="1089Electric ZonalR38R11BetterDouble"/>
        <s v="1090Electric ZonalR38R11BetterBetter"/>
        <s v="1091Electric FAFR0R0R0Single"/>
        <s v="1092Electric FAFR0R0R0Double"/>
        <s v="1093Electric FAFR0R0R0Better"/>
        <s v="1094Electric FAFR0R0R19Single"/>
        <s v="1095Electric FAFR0R0R19Double"/>
        <s v="1096Electric FAFR0R0R19Better"/>
        <s v="1097Electric FAFR0R0BetterSingle"/>
        <s v="1098Electric FAFR0R0BetterDouble"/>
        <s v="1099Electric FAFR0R0BetterBetter"/>
        <s v="1100Electric FAFR0R11R0Single"/>
        <s v="1101Electric FAFR0R11R0Double"/>
        <s v="1102Electric FAFR0R11R0Better"/>
        <s v="1103Electric FAFR0R11R19Single"/>
        <s v="1104Electric FAFR0R11R19Double"/>
        <s v="1105Electric FAFR0R11R19Better"/>
        <s v="1106Electric FAFR0R11BetterSingle"/>
        <s v="1107Electric FAFR0R11BetterDouble"/>
        <s v="1108Electric FAFR0R11BetterBetter"/>
        <s v="1109Electric FAFR11R0R0Single"/>
        <s v="1110Electric FAFR11R0R0Double"/>
        <s v="1111Electric FAFR11R0R0Better"/>
        <s v="1112Electric FAFR11R0R19Single"/>
        <s v="1113Electric FAFR11R0R19Double"/>
        <s v="1114Electric FAFR11R0R19Better"/>
        <s v="1115Electric FAFR11R0BetterSingle"/>
        <s v="1116Electric FAFR11R0BetterDouble"/>
        <s v="1117Electric FAFR11R0BetterBetter"/>
        <s v="1118Electric FAFR11R11R0Single"/>
        <s v="1119Electric FAFR11R11R0Double"/>
        <s v="1120Electric FAFR11R11R0Better"/>
        <s v="1121Electric FAFR11R11R19Single"/>
        <s v="1122Electric FAFR11R11R19Double"/>
        <s v="1123Electric FAFR11R11R19Better"/>
        <s v="1124Electric FAFR11R11BetterSingle"/>
        <s v="1125Electric FAFR11R11BetterDouble"/>
        <s v="1126Electric FAFR11R11BetterBetter"/>
        <s v="1127Electric FAFR19R0R0Single"/>
        <s v="1128Electric FAFR19R0R0Double"/>
        <s v="1129Electric FAFR19R0R0Better"/>
        <s v="1130Electric FAFR19R0R19Single"/>
        <s v="1131Electric FAFR19R0R19Double"/>
        <s v="1132Electric FAFR19R0R19Better"/>
        <s v="1133Electric FAFR19R0BetterSingle"/>
        <s v="1134Electric FAFR19R0BetterDouble"/>
        <s v="1135Electric FAFR19R0BetterBetter"/>
        <s v="1136Electric FAFR19R11R0Single"/>
        <s v="1137Electric FAFR19R11R0Double"/>
        <s v="1138Electric FAFR19R11R0Better"/>
        <s v="1139Electric FAFR19R11R19Single"/>
        <s v="1140Electric FAFR19R11R19Double"/>
        <s v="1141Electric FAFR19R11R19Better"/>
        <s v="1142Electric FAFR19R11BetterSingle"/>
        <s v="1143Electric FAFR19R11BetterDouble"/>
        <s v="1144Electric FAFR19R11BetterBetter"/>
        <s v="1145Electric FAFR30R0R0Single"/>
        <s v="1146Electric FAFR30R0R0Double"/>
        <s v="1147Electric FAFR30R0R0Better"/>
        <s v="1148Electric FAFR30R0R19Single"/>
        <s v="1149Electric FAFR30R0R19Double"/>
        <s v="1150Electric FAFR30R0R19Better"/>
        <s v="1151Electric FAFR30R0BetterSingle"/>
        <s v="1152Electric FAFR30R0BetterDouble"/>
        <s v="1153Electric FAFR30R0BetterBetter"/>
        <s v="1154Electric FAFR30R11R0Single"/>
        <s v="1155Electric FAFR30R11R0Double"/>
        <s v="1156Electric FAFR30R11R0Better"/>
        <s v="1157Electric FAFR30R11R19Single"/>
        <s v="1158Electric FAFR30R11R19Double"/>
        <s v="1159Electric FAFR30R11R19Better"/>
        <s v="1160Electric FAFR30R11BetterSingle"/>
        <s v="1161Electric FAFR30R11BetterDouble"/>
        <s v="1162Electric FAFR30R11BetterBetter"/>
        <s v="1163Electric FAFR38R0R0Single"/>
        <s v="1164Electric FAFR38R0R0Double"/>
        <s v="1165Electric FAFR38R0R0Better"/>
        <s v="1166Electric FAFR38R0R19Single"/>
        <s v="1167Electric FAFR38R0R19Double"/>
        <s v="1168Electric FAFR38R0R19Better"/>
        <s v="1169Electric FAFR38R0BetterSingle"/>
        <s v="1170Electric FAFR38R0BetterDouble"/>
        <s v="1171Electric FAFR38R0BetterBetter"/>
        <s v="1172Electric FAFR38R11R0Single"/>
        <s v="1173Electric FAFR38R11R0Double"/>
        <s v="1174Electric FAFR38R11R0Better"/>
        <s v="1175Electric FAFR38R11R19Single"/>
        <s v="1176Electric FAFR38R11R19Double"/>
        <s v="1177Electric FAFR38R11R19Better"/>
        <s v="1178Electric FAFR38R11BetterSingle"/>
        <s v="1179Electric FAFR38R11BetterDouble"/>
        <s v="1180Electric FAFR38R11BetterBetter"/>
        <s v="1181Heat PumpR0R0R0Single"/>
        <s v="1182Heat PumpR0R0R0Double"/>
        <s v="1183Heat PumpR0R0R0Better"/>
        <s v="1184Heat PumpR0R0R19Single"/>
        <s v="1185Heat PumpR0R0R19Double"/>
        <s v="1186Heat PumpR0R0R19Better"/>
        <s v="1187Heat PumpR0R0BetterSingle"/>
        <s v="1188Heat PumpR0R0BetterDouble"/>
        <s v="1189Heat PumpR0R0BetterBetter"/>
        <s v="1190Heat PumpR0R11R0Single"/>
        <s v="1191Heat PumpR0R11R0Double"/>
        <s v="1192Heat PumpR0R11R0Better"/>
        <s v="1193Heat PumpR0R11R19Single"/>
        <s v="1194Heat PumpR0R11R19Double"/>
        <s v="1195Heat PumpR0R11R19Better"/>
        <s v="1196Heat PumpR0R11BetterSingle"/>
        <s v="1197Heat PumpR0R11BetterDouble"/>
        <s v="1198Heat PumpR0R11BetterBetter"/>
        <s v="1199Heat PumpR11R0R0Single"/>
        <s v="1200Heat PumpR11R0R0Double"/>
        <s v="1201Heat PumpR11R0R0Better"/>
        <s v="1202Heat PumpR11R0R19Single"/>
        <s v="1203Heat PumpR11R0R19Double"/>
        <s v="1204Heat PumpR11R0R19Better"/>
        <s v="1205Heat PumpR11R0BetterSingle"/>
        <s v="1206Heat PumpR11R0BetterDouble"/>
        <s v="1207Heat PumpR11R0BetterBetter"/>
        <s v="1208Heat PumpR11R11R0Single"/>
        <s v="1209Heat PumpR11R11R0Double"/>
        <s v="1210Heat PumpR11R11R0Better"/>
        <s v="1211Heat PumpR11R11R19Single"/>
        <s v="1212Heat PumpR11R11R19Double"/>
        <s v="1213Heat PumpR11R11R19Better"/>
        <s v="1214Heat PumpR11R11BetterSingle"/>
        <s v="1215Heat PumpR11R11BetterDouble"/>
        <s v="1216Heat PumpR11R11BetterBetter"/>
        <s v="1217Heat PumpR19R0R0Single"/>
        <s v="1218Heat PumpR19R0R0Double"/>
        <s v="1219Heat PumpR19R0R0Better"/>
        <s v="1220Heat PumpR19R0R19Single"/>
        <s v="1221Heat PumpR19R0R19Double"/>
        <s v="1222Heat PumpR19R0R19Better"/>
        <s v="1223Heat PumpR19R0BetterSingle"/>
        <s v="1224Heat PumpR19R0BetterDouble"/>
        <s v="1225Heat PumpR19R0BetterBetter"/>
        <s v="1226Heat PumpR19R11R0Single"/>
        <s v="1227Heat PumpR19R11R0Double"/>
        <s v="1228Heat PumpR19R11R0Better"/>
        <s v="1229Heat PumpR19R11R19Single"/>
        <s v="1230Heat PumpR19R11R19Double"/>
        <s v="1231Heat PumpR19R11R19Better"/>
        <s v="1232Heat PumpR19R11BetterSingle"/>
        <s v="1233Heat PumpR19R11BetterDouble"/>
        <s v="1234Heat PumpR19R11BetterBetter"/>
        <s v="1235Heat PumpR30R0R0Single"/>
        <s v="1236Heat PumpR30R0R0Double"/>
        <s v="1237Heat PumpR30R0R0Better"/>
        <s v="1238Heat PumpR30R0R19Single"/>
        <s v="1239Heat PumpR30R0R19Double"/>
        <s v="1240Heat PumpR30R0R19Better"/>
        <s v="1241Heat PumpR30R0BetterSingle"/>
        <s v="1242Heat PumpR30R0BetterDouble"/>
        <s v="1243Heat PumpR30R0BetterBetter"/>
        <s v="1244Heat PumpR30R11R0Single"/>
        <s v="1245Heat PumpR30R11R0Double"/>
        <s v="1246Heat PumpR30R11R0Better"/>
        <s v="1247Heat PumpR30R11R19Single"/>
        <s v="1248Heat PumpR30R11R19Double"/>
        <s v="1249Heat PumpR30R11R19Better"/>
        <s v="1250Heat PumpR30R11BetterSingle"/>
        <s v="1251Heat PumpR30R11BetterDouble"/>
        <s v="1252Heat PumpR30R11BetterBetter"/>
        <s v="1253Heat PumpR38R0R0Single"/>
        <s v="1254Heat PumpR38R0R0Double"/>
        <s v="1255Heat PumpR38R0R0Better"/>
        <s v="1256Heat PumpR38R0R19Single"/>
        <s v="1257Heat PumpR38R0R19Double"/>
        <s v="1258Heat PumpR38R0R19Better"/>
        <s v="1259Heat PumpR38R0BetterSingle"/>
        <s v="1260Heat PumpR38R0BetterDouble"/>
        <s v="1261Heat PumpR38R0BetterBetter"/>
        <s v="1262Heat PumpR38R11R0Single"/>
        <s v="1263Heat PumpR38R11R0Double"/>
        <s v="1264Heat PumpR38R11R0Better"/>
        <s v="1265Heat PumpR38R11R19Single"/>
        <s v="1266Heat PumpR38R11R19Double"/>
        <s v="1267Heat PumpR38R11R19Better"/>
        <s v="1268Heat PumpR38R11BetterSingle"/>
        <s v="1269Heat PumpR38R11BetterDouble"/>
        <s v="1270Heat PumpR38R11BetterBetter"/>
        <s v="1271Electric ZonalR0R0BasementSingle"/>
        <s v="1272Electric ZonalR0R0BasementDouble"/>
        <s v="1273Electric ZonalR0R0BasementBetter"/>
        <s v="1274Electric ZonalR0R11BasementSingle"/>
        <s v="1275Electric ZonalR0R11BasementDouble"/>
        <s v="1276Electric ZonalR0R11BasementBetter"/>
        <s v="1277Electric ZonalR11R0BasementSingle"/>
        <s v="1278Electric ZonalR11R0BasementDouble"/>
        <s v="1279Electric ZonalR11R0BasementBetter"/>
        <s v="1280Electric ZonalR11R11BasementSingle"/>
        <s v="1281Electric ZonalR11R11BasementDouble"/>
        <s v="1282Electric ZonalR11R11BasementBetter"/>
        <s v="1283Electric ZonalR19R0BasementSingle"/>
        <s v="1284Electric ZonalR19R0BasementDouble"/>
        <s v="1285Electric ZonalR19R0BasementBetter"/>
        <s v="1286Electric ZonalR19R11BasementSingle"/>
        <s v="1287Electric ZonalR19R11BasementDouble"/>
        <s v="1288Electric ZonalR19R11BasementBetter"/>
        <s v="1289Electric ZonalR30R0BasementSingle"/>
        <s v="1290Electric ZonalR30R0BasementDouble"/>
        <s v="1291Electric ZonalR30R0BasementBetter"/>
        <s v="1292Electric ZonalR30R11BasementSingle"/>
        <s v="1293Electric ZonalR30R11BasementDouble"/>
        <s v="1294Electric ZonalR30R11BasementBetter"/>
        <s v="1295Electric ZonalR38R0BasementSingle"/>
        <s v="1296Electric ZonalR38R0BasementDouble"/>
        <s v="1297Electric ZonalR38R0BasementBetter"/>
        <s v="1298Electric ZonalR38R11BasementSingle"/>
        <s v="1299Electric ZonalR38R11BasementDouble"/>
        <s v="1300Electric ZonalR38R11BasementBetter"/>
        <s v="1301Electric FAFR0R0BasementSingle"/>
        <s v="1302Electric FAFR0R0BasementDouble"/>
        <s v="1303Electric FAFR0R0BasementBetter"/>
        <s v="1304Electric FAFR0R11BasementSingle"/>
        <s v="1305Electric FAFR0R11BasementDouble"/>
        <s v="1306Electric FAFR0R11BasementBetter"/>
        <s v="1307Electric FAFR11R0BasementSingle"/>
        <s v="1308Electric FAFR11R0BasementDouble"/>
        <s v="1309Electric FAFR11R0BasementBetter"/>
        <s v="1310Electric FAFR11R11BasementSingle"/>
        <s v="1311Electric FAFR11R11BasementDouble"/>
        <s v="1312Electric FAFR11R11BasementBetter"/>
        <s v="1313Electric FAFR19R0BasementSingle"/>
        <s v="1314Electric FAFR19R0BasementDouble"/>
        <s v="1315Electric FAFR19R0BasementBetter"/>
        <s v="1316Electric FAFR19R11BasementSingle"/>
        <s v="1317Electric FAFR19R11BasementDouble"/>
        <s v="1318Electric FAFR19R11BasementBetter"/>
        <s v="1319Electric FAFR30R0BasementSingle"/>
        <s v="1320Electric FAFR30R0BasementDouble"/>
        <s v="1321Electric FAFR30R0BasementBetter"/>
        <s v="1322Electric FAFR30R11BasementSingle"/>
        <s v="1323Electric FAFR30R11BasementDouble"/>
        <s v="1324Electric FAFR30R11BasementBetter"/>
        <s v="1325Electric FAFR38R0BasementSingle"/>
        <s v="1326Electric FAFR38R0BasementDouble"/>
        <s v="1327Electric FAFR38R0BasementBetter"/>
        <s v="1328Electric FAFR38R11BasementSingle"/>
        <s v="1329Electric FAFR38R11BasementDouble"/>
        <s v="1330Electric FAFR38R11BasementBetter"/>
        <s v="1331Heat PumpR0R0BasementSingle"/>
        <s v="1332Heat PumpR0R0BasementDouble"/>
        <s v="1333Heat PumpR0R0BasementBetter"/>
        <s v="1334Heat PumpR0R11BasementSingle"/>
        <s v="1335Heat PumpR0R11BasementDouble"/>
        <s v="1336Heat PumpR0R11BasementBetter"/>
        <s v="1337Heat PumpR11R0BasementSingle"/>
        <s v="1338Heat PumpR11R0BasementDouble"/>
        <s v="1339Heat PumpR11R0BasementBetter"/>
        <s v="1340Heat PumpR11R11BasementSingle"/>
        <s v="1341Heat PumpR11R11BasementDouble"/>
        <s v="1342Heat PumpR11R11BasementBetter"/>
        <s v="1343Heat PumpR19R0BasementSingle"/>
        <s v="1344Heat PumpR19R0BasementDouble"/>
        <s v="1345Heat PumpR19R0BasementBetter"/>
        <s v="1346Heat PumpR19R11BasementSingle"/>
        <s v="1347Heat PumpR19R11BasementDouble"/>
        <s v="1348Heat PumpR19R11BasementBetter"/>
        <s v="1349Heat PumpR30R0BasementSingle"/>
        <s v="1350Heat PumpR30R0BasementDouble"/>
        <s v="1351Heat PumpR30R0BasementBetter"/>
        <s v="1352Heat PumpR30R11BasementSingle"/>
        <s v="1353Heat PumpR30R11BasementDouble"/>
        <s v="1354Heat PumpR30R11BasementBetter"/>
        <s v="1355Heat PumpR38R0BasementSingle"/>
        <s v="1356Heat PumpR38R0BasementDouble"/>
        <s v="1357Heat PumpR38R0BasementBetter"/>
        <s v="1358Heat PumpR38R11BasementSingle"/>
        <s v="1359Heat PumpR38R11BasementDouble"/>
        <s v="1360Heat PumpR38R11BasementBetter"/>
        <s v="1361Electric ZonalR0R0SlabSingle"/>
        <s v="1362Electric ZonalR0R0SlabDouble"/>
        <s v="1363Electric ZonalR0R0SlabBetter"/>
        <s v="1364Electric ZonalR0R11SlabSingle"/>
        <s v="1365Electric ZonalR0R11SlabDouble"/>
        <s v="1366Electric ZonalR0R11SlabBetter"/>
        <s v="1367Electric ZonalR11R0SlabSingle"/>
        <s v="1368Electric ZonalR11R0SlabDouble"/>
        <s v="1369Electric ZonalR11R0SlabBetter"/>
        <s v="1370Electric ZonalR11R11SlabSingle"/>
        <s v="1371Electric ZonalR11R11SlabDouble"/>
        <s v="1372Electric ZonalR11R11SlabBetter"/>
        <s v="1373Electric ZonalR19R0SlabSingle"/>
        <s v="1374Electric ZonalR19R0SlabDouble"/>
        <s v="1375Electric ZonalR19R0SlabBetter"/>
        <s v="1376Electric ZonalR19R11SlabSingle"/>
        <s v="1377Electric ZonalR19R11SlabDouble"/>
        <s v="1378Electric ZonalR19R11SlabBetter"/>
        <s v="1379Electric ZonalR30R0SlabSingle"/>
        <s v="1380Electric ZonalR30R0SlabDouble"/>
        <s v="1381Electric ZonalR30R0SlabBetter"/>
        <s v="1382Electric ZonalR30R11SlabSingle"/>
        <s v="1383Electric ZonalR30R11SlabDouble"/>
        <s v="1384Electric ZonalR30R11SlabBetter"/>
        <s v="1385Electric ZonalR38R0SlabSingle"/>
        <s v="1386Electric ZonalR38R0SlabDouble"/>
        <s v="1387Electric ZonalR38R0SlabBetter"/>
        <s v="1388Electric ZonalR38R11SlabSingle"/>
        <s v="1389Electric ZonalR38R11SlabDouble"/>
        <s v="1390Electric ZonalR38R11SlabBetter"/>
        <s v="1391Electric FAFR0R0SlabSingle"/>
        <s v="1392Electric FAFR0R0SlabDouble"/>
        <s v="1393Electric FAFR0R0SlabBetter"/>
        <s v="1394Electric FAFR0R11SlabSingle"/>
        <s v="1395Electric FAFR0R11SlabDouble"/>
        <s v="1396Electric FAFR0R11SlabBetter"/>
        <s v="1397Electric FAFR11R0SlabSingle"/>
        <s v="1398Electric FAFR11R0SlabDouble"/>
        <s v="1399Electric FAFR11R0SlabBetter"/>
        <s v="1400Electric FAFR11R11SlabSingle"/>
        <s v="1401Electric FAFR11R11SlabDouble"/>
        <s v="1402Electric FAFR11R11SlabBetter"/>
        <s v="1403Electric FAFR19R0SlabSingle"/>
        <s v="1404Electric FAFR19R0SlabDouble"/>
        <s v="1405Electric FAFR19R0SlabBetter"/>
        <s v="1406Electric FAFR19R11SlabSingle"/>
        <s v="1407Electric FAFR19R11SlabDouble"/>
        <s v="1408Electric FAFR19R11SlabBetter"/>
        <s v="1409Electric FAFR30R0SlabSingle"/>
        <s v="1410Electric FAFR30R0SlabDouble"/>
        <s v="1411Electric FAFR30R0SlabBetter"/>
        <s v="1412Electric FAFR30R11SlabSingle"/>
        <s v="1413Electric FAFR30R11SlabDouble"/>
        <s v="1414Electric FAFR30R11SlabBetter"/>
        <s v="1415Electric FAFR38R0SlabSingle"/>
        <s v="1416Electric FAFR38R0SlabDouble"/>
        <s v="1417Electric FAFR38R0SlabBetter"/>
        <s v="1418Electric FAFR38R11SlabSingle"/>
        <s v="1419Electric FAFR38R11SlabDouble"/>
        <s v="1420Electric FAFR38R11SlabBetter"/>
        <s v="1421Heat PumpR0R0SlabSingle"/>
        <s v="1422Heat PumpR0R0SlabDouble"/>
        <s v="1423Heat PumpR0R0SlabBetter"/>
        <s v="1424Heat PumpR0R11SlabSingle"/>
        <s v="1425Heat PumpR0R11SlabDouble"/>
        <s v="1426Heat PumpR0R11SlabBetter"/>
        <s v="1427Heat PumpR11R0SlabSingle"/>
        <s v="1428Heat PumpR11R0SlabDouble"/>
        <s v="1429Heat PumpR11R0SlabBetter"/>
        <s v="1430Heat PumpR11R11SlabSingle"/>
        <s v="1431Heat PumpR11R11SlabDouble"/>
        <s v="1432Heat PumpR11R11SlabBetter"/>
        <s v="1433Heat PumpR19R0SlabSingle"/>
        <s v="1434Heat PumpR19R0SlabDouble"/>
        <s v="1435Heat PumpR19R0SlabBetter"/>
        <s v="1436Heat PumpR19R11SlabSingle"/>
        <s v="1437Heat PumpR19R11SlabDouble"/>
        <s v="1438Heat PumpR19R11SlabBetter"/>
        <s v="1439Heat PumpR30R0SlabSingle"/>
        <s v="1440Heat PumpR30R0SlabDouble"/>
        <s v="1441Heat PumpR30R0SlabBetter"/>
        <s v="1442Heat PumpR30R11SlabSingle"/>
        <s v="1443Heat PumpR30R11SlabDouble"/>
        <s v="1444Heat PumpR30R11SlabBetter"/>
        <s v="1445Heat PumpR38R0SlabSingle"/>
        <s v="1446Heat PumpR38R0SlabDouble"/>
        <s v="1447Heat PumpR38R0SlabBetter"/>
        <s v="1448Heat PumpR38R11SlabSingle"/>
        <s v="1449Heat PumpR38R11SlabDouble"/>
        <s v="1450Heat PumpR38R11SlabBette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a Jayaweera" refreshedDate="41892.696336111112" createdVersion="3" refreshedVersion="3" minRefreshableVersion="3" recordCount="1402">
  <cacheSource type="worksheet">
    <worksheetSource ref="A2:K1404" sheet="Attic"/>
  </cacheSource>
  <cacheFields count="11">
    <cacheField name="AtticInsLvl" numFmtId="0">
      <sharedItems count="10">
        <s v="R1-R10"/>
        <s v="R11-R15"/>
        <s v="R16-R20"/>
        <s v="R21-25"/>
        <s v="R26-R30"/>
        <s v="R31-R40"/>
        <s v="R41-R50"/>
        <s v="R50+"/>
        <s v=""/>
        <s v="R0"/>
      </sharedItems>
    </cacheField>
    <cacheField name="AtticInsCond" numFmtId="0">
      <sharedItems containsString="0" containsBlank="1" containsNumber="1" minValue="0.25" maxValue="1"/>
    </cacheField>
    <cacheField name="ecosdatabaserecordsid" numFmtId="0">
      <sharedItems containsSemiMixedTypes="0" containsString="0" containsNumber="1" containsInteger="1" minValue="26786" maxValue="855946"/>
    </cacheField>
    <cacheField name="siteid" numFmtId="0">
      <sharedItems containsSemiMixedTypes="0" containsString="0" containsNumber="1" containsInteger="1" minValue="10002" maxValue="24866"/>
    </cacheField>
    <cacheField name="atticceiling_it" numFmtId="0">
      <sharedItems containsSemiMixedTypes="0" containsString="0" containsNumber="1" containsInteger="1" minValue="1" maxValue="5"/>
    </cacheField>
    <cacheField name="AtticArea" numFmtId="0">
      <sharedItems containsSemiMixedTypes="0" containsString="0" containsNumber="1" containsInteger="1" minValue="40" maxValue="4190"/>
    </cacheField>
    <cacheField name="AtticEstImprovement" numFmtId="0">
      <sharedItems containsString="0" containsBlank="1" containsNumber="1" containsInteger="1" minValue="0" maxValue="151850" count="49">
        <n v="39"/>
        <n v="30"/>
        <n v="40"/>
        <n v="28"/>
        <n v="0"/>
        <n v="15"/>
        <n v="38"/>
        <n v="31"/>
        <n v="50"/>
        <n v="26"/>
        <n v="16"/>
        <n v="10"/>
        <n v="12"/>
        <n v="49"/>
        <n v="20"/>
        <m/>
        <n v="48"/>
        <n v="45"/>
        <n v="19"/>
        <n v="35"/>
        <n v="11"/>
        <n v="3"/>
        <n v="36"/>
        <n v="44"/>
        <n v="43"/>
        <n v="5"/>
        <n v="25"/>
        <n v="41"/>
        <n v="42"/>
        <n v="22"/>
        <n v="60"/>
        <n v="32"/>
        <n v="8"/>
        <n v="23"/>
        <n v="27"/>
        <n v="34"/>
        <n v="37"/>
        <n v="29"/>
        <n v="18"/>
        <n v="14"/>
        <n v="24"/>
        <n v="13"/>
        <n v="7"/>
        <n v="9"/>
        <n v="17"/>
        <n v="6"/>
        <n v="2"/>
        <n v="4"/>
        <n v="151850" u="1"/>
      </sharedItems>
    </cacheField>
    <cacheField name="AtticInsType" numFmtId="0">
      <sharedItems/>
    </cacheField>
    <cacheField name="GeneralNotes" numFmtId="0">
      <sharedItems/>
    </cacheField>
    <cacheField name="u_atticceil" numFmtId="0">
      <sharedItems containsString="0" containsBlank="1" containsNumber="1" minValue="1.9999999552965164E-2" maxValue="0.37000000476837158"/>
    </cacheField>
    <cacheField name="Weight" numFmtId="0">
      <sharedItems containsSemiMixedTypes="0" containsString="0" containsNumber="1" minValue="1144.6790000000001" maxValue="12271.3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a Jayaweera" refreshedDate="41898.50102546296" createdVersion="3" refreshedVersion="3" minRefreshableVersion="3" recordCount="1799">
  <cacheSource type="worksheet">
    <worksheetSource ref="A1:J1800" sheet="Window"/>
  </cacheSource>
  <cacheFields count="10">
    <cacheField name="ecosdatabaserecordsid" numFmtId="0">
      <sharedItems containsSemiMixedTypes="0" containsString="0" containsNumber="1" containsInteger="1" minValue="26786" maxValue="855946" count="1401">
        <n v="70987"/>
        <n v="63129"/>
        <n v="677342"/>
        <n v="212191"/>
        <n v="239583"/>
        <n v="104345"/>
        <n v="38830"/>
        <n v="54867"/>
        <n v="724074"/>
        <n v="676222"/>
        <n v="136990"/>
        <n v="802596"/>
        <n v="84447"/>
        <n v="720816"/>
        <n v="139444"/>
        <n v="121054"/>
        <n v="43987"/>
        <n v="108555"/>
        <n v="116647"/>
        <n v="114752"/>
        <n v="87206"/>
        <n v="37983"/>
        <n v="27947"/>
        <n v="96234"/>
        <n v="26786"/>
        <n v="154392"/>
        <n v="27477"/>
        <n v="29773"/>
        <n v="63489"/>
        <n v="74116"/>
        <n v="90727"/>
        <n v="134765"/>
        <n v="34546"/>
        <n v="77960"/>
        <n v="209484"/>
        <n v="168483"/>
        <n v="53543"/>
        <n v="241402"/>
        <n v="69775"/>
        <n v="209595"/>
        <n v="240138"/>
        <n v="30141"/>
        <n v="34423"/>
        <n v="93289"/>
        <n v="36104"/>
        <n v="61958"/>
        <n v="103188"/>
        <n v="181460"/>
        <n v="136006"/>
        <n v="672193"/>
        <n v="31127"/>
        <n v="77646"/>
        <n v="110702"/>
        <n v="124132"/>
        <n v="117436"/>
        <n v="191411"/>
        <n v="37507"/>
        <n v="55590"/>
        <n v="108061"/>
        <n v="172623"/>
        <n v="38470"/>
        <n v="42998"/>
        <n v="671947"/>
        <n v="679558"/>
        <n v="174290"/>
        <n v="59059"/>
        <n v="95493"/>
        <n v="233964"/>
        <n v="38948"/>
        <n v="216548"/>
        <n v="108175"/>
        <n v="183217"/>
        <n v="66711"/>
        <n v="27365"/>
        <n v="40223"/>
        <n v="220489"/>
        <n v="223024"/>
        <n v="168372"/>
        <n v="678776"/>
        <n v="117796"/>
        <n v="50596"/>
        <n v="27219"/>
        <n v="120325"/>
        <n v="41423"/>
        <n v="216452"/>
        <n v="149333"/>
        <n v="118260"/>
        <n v="117982"/>
        <n v="159356"/>
        <n v="28102"/>
        <n v="115747"/>
        <n v="30767"/>
        <n v="60295"/>
        <n v="85118"/>
        <n v="59720"/>
        <n v="159497"/>
        <n v="31282"/>
        <n v="91016"/>
        <n v="27567"/>
        <n v="60171"/>
        <n v="135745"/>
        <n v="206204"/>
        <n v="97321"/>
        <n v="97430"/>
        <n v="109137"/>
        <n v="36214"/>
        <n v="50730"/>
        <n v="216097"/>
        <n v="61410"/>
        <n v="119716"/>
        <n v="55847"/>
        <n v="201059"/>
        <n v="66218"/>
        <n v="27018"/>
        <n v="239807"/>
        <n v="216743"/>
        <n v="223253"/>
        <n v="39810"/>
        <n v="135842"/>
        <n v="105618"/>
        <n v="227560"/>
        <n v="55703"/>
        <n v="224072"/>
        <n v="216191"/>
        <n v="689715"/>
        <n v="216905"/>
        <n v="44568"/>
        <n v="51579"/>
        <n v="35319"/>
        <n v="186933"/>
        <n v="724647"/>
        <n v="65331"/>
        <n v="160807"/>
        <n v="182075"/>
        <n v="40530"/>
        <n v="163547"/>
        <n v="75741"/>
        <n v="83574"/>
        <n v="61273"/>
        <n v="35610"/>
        <n v="72724"/>
        <n v="50031"/>
        <n v="32891"/>
        <n v="62395"/>
        <n v="678196"/>
        <n v="29629"/>
        <n v="204713"/>
        <n v="233257"/>
        <n v="29457"/>
        <n v="117598"/>
        <n v="103749"/>
        <n v="107943"/>
        <n v="181327"/>
        <n v="30036"/>
        <n v="88556"/>
        <n v="62554"/>
        <n v="212844"/>
        <n v="100417"/>
        <n v="29839"/>
        <n v="37864"/>
        <n v="724792"/>
        <n v="227258"/>
        <n v="31829"/>
        <n v="33076"/>
        <n v="70858"/>
        <n v="29031"/>
        <n v="110465"/>
        <n v="159813"/>
        <n v="130969"/>
        <n v="802743"/>
        <n v="160482"/>
        <n v="91266"/>
        <n v="115090"/>
        <n v="72443"/>
        <n v="27103"/>
        <n v="56572"/>
        <n v="234274"/>
        <n v="72606"/>
        <n v="28511"/>
        <n v="181601"/>
        <n v="174422"/>
        <n v="120917"/>
        <n v="28386"/>
        <n v="41666"/>
        <n v="98820"/>
        <n v="57049"/>
        <n v="104870"/>
        <n v="720710"/>
        <n v="160611"/>
        <n v="109479"/>
        <n v="125935"/>
        <n v="91552"/>
        <n v="114415"/>
        <n v="47817"/>
        <n v="201217"/>
        <n v="159652"/>
        <n v="48493"/>
        <n v="58469"/>
        <n v="78421"/>
        <n v="55981"/>
        <n v="147905"/>
        <n v="66852"/>
        <n v="67175"/>
        <n v="196031"/>
        <n v="57177"/>
        <n v="122713"/>
        <n v="212739"/>
        <n v="725078"/>
        <n v="105377"/>
        <n v="199232"/>
        <n v="190364"/>
        <n v="42854"/>
        <n v="86186"/>
        <n v="54762"/>
        <n v="197337"/>
        <n v="140860"/>
        <n v="62277"/>
        <n v="107170"/>
        <n v="687327"/>
        <n v="671583"/>
        <n v="50815"/>
        <n v="189397"/>
        <n v="159202"/>
        <n v="38694"/>
        <n v="84685"/>
        <n v="224471"/>
        <n v="60055"/>
        <n v="92725"/>
        <n v="37604"/>
        <n v="102521"/>
        <n v="54290"/>
        <n v="724536"/>
        <n v="219677"/>
        <n v="104021"/>
        <n v="102724"/>
        <n v="89366"/>
        <n v="102638"/>
        <n v="73765"/>
        <n v="32608"/>
        <n v="46087"/>
        <n v="64407"/>
        <n v="212964"/>
        <n v="39324"/>
        <n v="196498"/>
        <n v="93023"/>
        <n v="105081"/>
        <n v="687436"/>
        <n v="233697"/>
        <n v="108898"/>
        <n v="667106"/>
        <n v="202976"/>
        <n v="34041"/>
        <n v="47190"/>
        <n v="58258"/>
        <n v="172715"/>
        <n v="47570"/>
        <n v="182731"/>
        <n v="85821"/>
        <n v="76346"/>
        <n v="823429"/>
        <n v="99247"/>
        <n v="132029"/>
        <n v="724188"/>
        <n v="160710"/>
        <n v="104635"/>
        <n v="31911"/>
        <n v="58345"/>
        <n v="211042"/>
        <n v="73893"/>
        <n v="88875"/>
        <n v="659853"/>
        <n v="130510"/>
        <n v="100977"/>
        <n v="719021"/>
        <n v="206960"/>
        <n v="237819"/>
        <n v="37715"/>
        <n v="657944"/>
        <n v="109834"/>
        <n v="211948"/>
        <n v="38124"/>
        <n v="158509"/>
        <n v="182875"/>
        <n v="803222"/>
        <n v="118786"/>
        <n v="202325"/>
        <n v="96584"/>
        <n v="77535"/>
        <n v="724324"/>
        <n v="823533"/>
        <n v="89041"/>
        <n v="116773"/>
        <n v="41982"/>
        <n v="45322"/>
        <n v="137212"/>
        <n v="718027"/>
        <n v="64495"/>
        <n v="49071"/>
        <n v="206489"/>
        <n v="69692"/>
        <n v="66996"/>
        <n v="159065"/>
        <n v="227000"/>
        <n v="99347"/>
        <n v="234954"/>
        <n v="802343"/>
        <n v="75653"/>
        <n v="206856"/>
        <n v="198810"/>
        <n v="41514"/>
        <n v="56920"/>
        <n v="65588"/>
        <n v="34682"/>
        <n v="83807"/>
        <n v="85736"/>
        <n v="37147"/>
        <n v="120761"/>
        <n v="31009"/>
        <n v="208073"/>
        <n v="51475"/>
        <n v="93145"/>
        <n v="123155"/>
        <n v="658760"/>
        <n v="48038"/>
        <n v="823622"/>
        <n v="191619"/>
        <n v="660178"/>
        <n v="46304"/>
        <n v="214075"/>
        <n v="217050"/>
        <n v="225883"/>
        <n v="155515"/>
        <n v="54637"/>
        <n v="113955"/>
        <n v="65814"/>
        <n v="802994"/>
        <n v="86521"/>
        <n v="137738"/>
        <n v="65695"/>
        <n v="206613"/>
        <n v="108310"/>
        <n v="231292"/>
        <n v="206732"/>
        <n v="31577"/>
        <n v="83477"/>
        <n v="41842"/>
        <n v="104198"/>
        <n v="217174"/>
        <n v="139887"/>
        <n v="726949"/>
        <n v="47722"/>
        <n v="92520"/>
        <n v="230176"/>
        <n v="658878"/>
        <n v="199742"/>
        <n v="118358"/>
        <n v="78580"/>
        <n v="671688"/>
        <n v="32735"/>
        <n v="198688"/>
        <n v="34780"/>
        <n v="39591"/>
        <n v="108405"/>
        <n v="83006"/>
        <n v="47094"/>
        <n v="208510"/>
        <n v="96677"/>
        <n v="28882"/>
        <n v="61143"/>
        <n v="677187"/>
        <n v="83238"/>
        <n v="201387"/>
        <n v="210199"/>
        <n v="718382"/>
        <n v="35973"/>
        <n v="122055"/>
        <n v="79218"/>
        <n v="39714"/>
        <n v="84998"/>
        <n v="223513"/>
        <n v="80445"/>
        <n v="40849"/>
        <n v="190213"/>
        <n v="663080"/>
        <n v="36873"/>
        <n v="125315"/>
        <n v="47406"/>
        <n v="59947"/>
        <n v="69133"/>
        <n v="28230"/>
        <n v="135175"/>
        <n v="96780"/>
        <n v="32030"/>
        <n v="681581"/>
        <n v="62088"/>
        <n v="51676"/>
        <n v="233781"/>
        <n v="238157"/>
        <n v="726301"/>
        <n v="63028"/>
        <n v="116874"/>
        <n v="112926"/>
        <n v="103880"/>
        <n v="28014"/>
        <n v="133954"/>
        <n v="48385"/>
        <n v="79615"/>
        <n v="680634"/>
        <n v="82219"/>
        <n v="76747"/>
        <n v="89464"/>
        <n v="118131"/>
        <n v="149232"/>
        <n v="98711"/>
        <n v="92627"/>
        <n v="207110"/>
        <n v="90260"/>
        <n v="41312"/>
        <n v="35702"/>
        <n v="86342"/>
        <n v="84885"/>
        <n v="92399"/>
        <n v="27289"/>
        <n v="186470"/>
        <n v="116344"/>
        <n v="123072"/>
        <n v="52313"/>
        <n v="823799"/>
        <n v="148010"/>
        <n v="30918"/>
        <n v="213866"/>
        <n v="85324"/>
        <n v="41756"/>
        <n v="93415"/>
        <n v="125441"/>
        <n v="66530"/>
        <n v="240215"/>
        <n v="195771"/>
        <n v="232058"/>
        <n v="46204"/>
        <n v="149056"/>
        <n v="129691"/>
        <n v="178370"/>
        <n v="105499"/>
        <n v="62173"/>
        <n v="223120"/>
        <n v="137646"/>
        <n v="198577"/>
        <n v="164447"/>
        <n v="130743"/>
        <n v="130656"/>
        <n v="157919"/>
        <n v="89883"/>
        <n v="213755"/>
        <n v="40074"/>
        <n v="141132"/>
        <n v="143275"/>
        <n v="126063"/>
        <n v="138123"/>
        <n v="90149"/>
        <n v="153464"/>
        <n v="139793"/>
        <n v="102442"/>
        <n v="99886"/>
        <n v="148919"/>
        <n v="187174"/>
        <n v="73980"/>
        <n v="722931"/>
        <n v="227331"/>
        <n v="104754"/>
        <n v="177990"/>
        <n v="193388"/>
        <n v="44337"/>
        <n v="79482"/>
        <n v="181713"/>
        <n v="83706"/>
        <n v="130828"/>
        <n v="207506"/>
        <n v="141019"/>
        <n v="195500"/>
        <n v="196711"/>
        <n v="226902"/>
        <n v="172917"/>
        <n v="165739"/>
        <n v="677473"/>
        <n v="91139"/>
        <n v="116222"/>
        <n v="100852"/>
        <n v="235694"/>
        <n v="28736"/>
        <n v="725266"/>
        <n v="724997"/>
        <n v="680181"/>
        <n v="79717"/>
        <n v="153362"/>
        <n v="89720"/>
        <n v="680487"/>
        <n v="90393"/>
        <n v="214703"/>
        <n v="89256"/>
        <n v="115005"/>
        <n v="90005"/>
        <n v="76662"/>
        <n v="39983"/>
        <n v="161475"/>
        <n v="823336"/>
        <n v="100507"/>
        <n v="31680"/>
        <n v="93592"/>
        <n v="155424"/>
        <n v="86043"/>
        <n v="219055"/>
        <n v="72317"/>
        <n v="229356"/>
        <n v="232931"/>
        <n v="195624"/>
        <n v="130296"/>
        <n v="211379"/>
        <n v="50965"/>
        <n v="156333"/>
        <n v="212601"/>
        <n v="681001"/>
        <n v="33212"/>
        <n v="100323"/>
        <n v="91407"/>
        <n v="122285"/>
        <n v="724428"/>
        <n v="192513"/>
        <n v="718804"/>
        <n v="209711"/>
        <n v="115949"/>
        <n v="115868"/>
        <n v="197879"/>
        <n v="197112"/>
        <n v="94891"/>
        <n v="195385"/>
        <n v="682066"/>
        <n v="199455"/>
        <n v="85929"/>
        <n v="210747"/>
        <n v="45531"/>
        <n v="43538"/>
        <n v="84545"/>
        <n v="36324"/>
        <n v="238610"/>
        <n v="109607"/>
        <n v="36473"/>
        <n v="199596"/>
        <n v="197033"/>
        <n v="223381"/>
        <n v="29163"/>
        <n v="181870"/>
        <n v="182372"/>
        <n v="58936"/>
        <n v="659440"/>
        <n v="221796"/>
        <n v="198385"/>
        <n v="221475"/>
        <n v="221285"/>
        <n v="221673"/>
        <n v="197605"/>
        <n v="165893"/>
        <n v="240611"/>
        <n v="182210"/>
        <n v="41063"/>
        <n v="185200"/>
        <n v="206361"/>
        <n v="96069"/>
        <n v="44967"/>
        <n v="659967"/>
        <n v="27800"/>
        <n v="198229"/>
        <n v="239225"/>
        <n v="113629"/>
        <n v="45107"/>
        <n v="203966"/>
        <n v="803121"/>
        <n v="219182"/>
        <n v="678366"/>
        <n v="687188"/>
        <n v="229086"/>
        <n v="206099"/>
        <n v="205642"/>
        <n v="198073"/>
        <n v="208641"/>
        <n v="197736"/>
        <n v="197466"/>
        <n v="212403"/>
        <n v="218042"/>
        <n v="237947"/>
        <n v="204457"/>
        <n v="666815"/>
        <n v="219427"/>
        <n v="29934"/>
        <n v="674574"/>
        <n v="666928"/>
        <n v="191734"/>
        <n v="685699"/>
        <n v="222470"/>
        <n v="177906"/>
        <n v="659312"/>
        <n v="72196"/>
        <n v="192685"/>
        <n v="230043"/>
        <n v="681686"/>
        <n v="37246"/>
        <n v="94699"/>
        <n v="143572"/>
        <n v="155141"/>
        <n v="78817"/>
        <n v="33436"/>
        <n v="205849"/>
        <n v="74724"/>
        <n v="67601"/>
        <n v="133095"/>
        <n v="94273"/>
        <n v="194239"/>
        <n v="191282"/>
        <n v="691927"/>
        <n v="87879"/>
        <n v="98331"/>
        <n v="68557"/>
        <n v="203792"/>
        <n v="229701"/>
        <n v="231537"/>
        <n v="46397"/>
        <n v="176583"/>
        <n v="33865"/>
        <n v="184512"/>
        <n v="184889"/>
        <n v="158163"/>
        <n v="202228"/>
        <n v="60996"/>
        <n v="42236"/>
        <n v="142715"/>
        <n v="170847"/>
        <n v="84083"/>
        <n v="142538"/>
        <n v="98607"/>
        <n v="142617"/>
        <n v="74624"/>
        <n v="193642"/>
        <n v="191828"/>
        <n v="683738"/>
        <n v="81839"/>
        <n v="133427"/>
        <n v="690284"/>
        <n v="138834"/>
        <n v="100598"/>
        <n v="201520"/>
        <n v="136353"/>
        <n v="60853"/>
        <n v="94589"/>
        <n v="69947"/>
        <n v="55400"/>
        <n v="131790"/>
        <n v="176347"/>
        <n v="205132"/>
        <n v="681879"/>
        <n v="98995"/>
        <n v="103331"/>
        <n v="173630"/>
        <n v="147579"/>
        <n v="87479"/>
        <n v="160272"/>
        <n v="175278"/>
        <n v="70412"/>
        <n v="32175"/>
        <n v="121183"/>
        <n v="45980"/>
        <n v="144581"/>
        <n v="158955"/>
        <n v="798475"/>
        <n v="63855"/>
        <n v="45660"/>
        <n v="156022"/>
        <n v="720240"/>
        <n v="81481"/>
        <n v="207770"/>
        <n v="72110"/>
        <n v="690509"/>
        <n v="210929"/>
        <n v="100132"/>
        <n v="200603"/>
        <n v="151314"/>
        <n v="125182"/>
        <n v="32984"/>
        <n v="223744"/>
        <n v="855946"/>
        <n v="193508"/>
        <n v="94411"/>
        <n v="172366"/>
        <n v="155040"/>
        <n v="136229"/>
        <n v="212301"/>
        <n v="73199"/>
        <n v="71932"/>
        <n v="684110"/>
        <n v="148443"/>
        <n v="139258"/>
        <n v="125073"/>
        <n v="193163"/>
        <n v="161361"/>
        <n v="77092"/>
        <n v="181165"/>
        <n v="167768"/>
        <n v="202110"/>
        <n v="726805"/>
        <n v="112056"/>
        <n v="165637"/>
        <n v="133820"/>
        <n v="121726"/>
        <n v="193038"/>
        <n v="202611"/>
        <n v="232411"/>
        <n v="88467"/>
        <n v="194616"/>
        <n v="233537"/>
        <n v="106293"/>
        <n v="242006"/>
        <n v="112331"/>
        <n v="46465"/>
        <n v="68795"/>
        <n v="199893"/>
        <n v="134922"/>
        <n v="234575"/>
        <n v="208176"/>
        <n v="124958"/>
        <n v="683571"/>
        <n v="81264"/>
        <n v="86827"/>
        <n v="125563"/>
        <n v="100226"/>
        <n v="147242"/>
        <n v="682943"/>
        <n v="75979"/>
        <n v="148515"/>
        <n v="126877"/>
        <n v="71256"/>
        <n v="178152"/>
        <n v="186618"/>
        <n v="220710"/>
        <n v="187724"/>
        <n v="66384"/>
        <n v="168833"/>
        <n v="200673"/>
        <n v="84208"/>
        <n v="218974"/>
        <n v="114097"/>
        <n v="122390"/>
        <n v="165079"/>
        <n v="46575"/>
        <n v="74988"/>
        <n v="91974"/>
        <n v="217928"/>
        <n v="191041"/>
        <n v="147338"/>
        <n v="184784"/>
        <n v="189677"/>
        <n v="205033"/>
        <n v="71584"/>
        <n v="203403"/>
        <n v="36666"/>
        <n v="675821"/>
        <n v="88146"/>
        <n v="230280"/>
        <n v="139000"/>
        <n v="71708"/>
        <n v="45192"/>
        <n v="160893"/>
        <n v="45870"/>
        <n v="159914"/>
        <n v="97848"/>
        <n v="33299"/>
        <n v="180167"/>
        <n v="211461"/>
        <n v="138741"/>
        <n v="170528"/>
        <n v="175100"/>
        <n v="71387"/>
        <n v="78692"/>
        <n v="115246"/>
        <n v="128698"/>
        <n v="225615"/>
        <n v="210339"/>
        <n v="143818"/>
        <n v="669340"/>
        <n v="188082"/>
        <n v="115525"/>
        <n v="143079"/>
        <n v="173996"/>
        <n v="689946"/>
        <n v="120634"/>
        <n v="49417"/>
        <n v="78978"/>
        <n v="138436"/>
        <n v="194766"/>
        <n v="34321"/>
        <n v="131321"/>
        <n v="142405"/>
        <n v="95097"/>
        <n v="143483"/>
        <n v="80120"/>
        <n v="155878"/>
        <n v="201692"/>
        <n v="82663"/>
        <n v="93750"/>
        <n v="84317"/>
        <n v="123569"/>
        <n v="57520"/>
        <n v="82879"/>
        <n v="76221"/>
        <n v="175355"/>
        <n v="78084"/>
        <n v="727707"/>
        <n v="241243"/>
        <n v="663283"/>
        <n v="725550"/>
        <n v="102910"/>
        <n v="183449"/>
        <n v="184009"/>
        <n v="219282"/>
        <n v="174742"/>
        <n v="65936"/>
        <n v="166789"/>
        <n v="723059"/>
        <n v="43629"/>
        <n v="68905"/>
        <n v="123249"/>
        <n v="171802"/>
        <n v="38322"/>
        <n v="221160"/>
        <n v="200182"/>
        <n v="229591"/>
        <n v="239929"/>
        <n v="123752"/>
        <n v="49894"/>
        <n v="241580"/>
        <n v="691821"/>
        <n v="186783"/>
        <n v="684002"/>
        <n v="142235"/>
        <n v="193919"/>
        <n v="189777"/>
        <n v="105818"/>
        <n v="71482"/>
        <n v="124829"/>
        <n v="163245"/>
        <n v="119161"/>
        <n v="152876"/>
        <n v="70052"/>
        <n v="162824"/>
        <n v="154584"/>
        <n v="166930"/>
        <n v="104497"/>
        <n v="49186"/>
        <n v="211273"/>
        <n v="208895"/>
        <n v="150144"/>
        <n v="234145"/>
        <n v="144272"/>
        <n v="207189"/>
        <n v="56249"/>
        <n v="110603"/>
        <n v="95193"/>
        <n v="220844"/>
        <n v="689830"/>
        <n v="194945"/>
        <n v="119607"/>
        <n v="231616"/>
        <n v="193999"/>
        <n v="110795"/>
        <n v="727847"/>
        <n v="135430"/>
        <n v="238072"/>
        <n v="33372"/>
        <n v="102170"/>
        <n v="683112"/>
        <n v="174139"/>
        <n v="192926"/>
        <n v="142855"/>
        <n v="101813"/>
        <n v="81568"/>
        <n v="235845"/>
        <n v="229933"/>
        <n v="132742"/>
        <n v="783086"/>
        <n v="203593"/>
        <n v="90601"/>
        <n v="165175"/>
        <n v="204822"/>
        <n v="110254"/>
        <n v="205256"/>
        <n v="209852"/>
        <n v="219815"/>
        <n v="43386"/>
        <n v="67925"/>
        <n v="202424"/>
        <n v="184651"/>
        <n v="149470"/>
        <n v="53306"/>
        <n v="221920"/>
        <n v="231450"/>
        <n v="76422"/>
        <n v="95274"/>
        <n v="220060"/>
        <n v="194676"/>
        <n v="227443"/>
        <n v="168197"/>
        <n v="82371"/>
        <n v="683866"/>
        <n v="151659"/>
        <n v="191535"/>
        <n v="111591"/>
        <n v="103480"/>
        <n v="102085"/>
        <n v="157371"/>
        <n v="226171"/>
        <n v="171525"/>
        <n v="95608"/>
        <n v="108788"/>
        <n v="115371"/>
        <n v="127352"/>
        <n v="48760"/>
        <n v="784415"/>
        <n v="683219"/>
        <n v="160997"/>
        <n v="199078"/>
        <n v="111346"/>
        <n v="38230"/>
        <n v="52205"/>
        <n v="200370"/>
        <n v="140579"/>
        <n v="229439"/>
        <n v="111426"/>
        <n v="654825"/>
        <n v="83985"/>
        <n v="70544"/>
        <n v="136117"/>
        <n v="189921"/>
        <n v="124600"/>
        <n v="62921"/>
        <n v="88237"/>
        <n v="32297"/>
        <n v="64021"/>
        <n v="203495"/>
        <n v="111024"/>
        <n v="173875"/>
        <n v="93896"/>
        <n v="143936"/>
        <n v="104975"/>
        <n v="226274"/>
        <n v="42348"/>
        <n v="74872"/>
        <n v="226636"/>
        <n v="720010"/>
        <n v="176806"/>
        <n v="720101"/>
        <n v="201901"/>
        <n v="144155"/>
        <n v="76093"/>
        <n v="114240"/>
        <n v="211125"/>
        <n v="242270"/>
        <n v="802435"/>
        <n v="107313"/>
        <n v="719892"/>
        <n v="222378"/>
        <n v="138278"/>
        <n v="233400"/>
        <n v="675572"/>
        <n v="184088"/>
        <n v="178264"/>
        <n v="130027"/>
        <n v="174626"/>
        <n v="176219"/>
        <n v="722484"/>
        <n v="209010"/>
        <n v="156119"/>
        <n v="205939"/>
        <n v="106959"/>
        <n v="194875"/>
        <n v="718148"/>
        <n v="140487"/>
        <n v="88677"/>
        <n v="126199"/>
        <n v="116549"/>
        <n v="231174"/>
        <n v="50114"/>
        <n v="192843"/>
        <n v="179020"/>
        <n v="49797"/>
        <n v="156215"/>
        <n v="91686"/>
        <n v="96480"/>
        <n v="167392"/>
        <n v="31445"/>
        <n v="200953"/>
        <n v="241477"/>
        <n v="784537"/>
        <n v="241895"/>
        <n v="260520"/>
        <n v="234827"/>
        <n v="158299"/>
        <n v="193268"/>
        <n v="90479"/>
        <n v="194407"/>
        <n v="195921"/>
        <n v="179384"/>
        <n v="178873"/>
        <n v="77196"/>
        <n v="171642"/>
        <n v="128292"/>
        <n v="142336"/>
        <n v="68097"/>
        <n v="135622"/>
        <n v="95399"/>
        <n v="111247"/>
        <n v="57427"/>
        <n v="691695"/>
        <n v="107056"/>
        <n v="99464"/>
        <n v="79122"/>
        <n v="36761"/>
        <n v="119349"/>
        <n v="33543"/>
        <n v="73052"/>
        <n v="220590"/>
        <n v="232503"/>
        <n v="76847"/>
        <n v="55001"/>
        <n v="675687"/>
        <n v="53180"/>
        <n v="35493"/>
        <n v="210564"/>
        <n v="170760"/>
        <n v="87797"/>
        <n v="53422"/>
        <n v="101179"/>
        <n v="167578"/>
        <n v="151436"/>
        <n v="77784"/>
        <n v="97144"/>
        <n v="240012"/>
        <n v="196600"/>
        <n v="241735"/>
        <n v="169304"/>
        <n v="172029"/>
        <n v="148757"/>
        <n v="196173"/>
        <n v="94104"/>
        <n v="152775"/>
        <n v="48886"/>
        <n v="248412"/>
        <n v="193745"/>
        <n v="215951"/>
        <n v="690172"/>
        <n v="101903"/>
        <n v="232819"/>
        <n v="106042"/>
        <n v="175908"/>
        <n v="113173"/>
        <n v="153709"/>
        <n v="179983"/>
        <n v="68314"/>
        <n v="192167"/>
        <n v="139128"/>
        <n v="103119"/>
        <n v="101673"/>
        <n v="44457"/>
        <n v="113068"/>
        <n v="199336"/>
        <n v="97563"/>
        <n v="227118"/>
        <n v="672094"/>
        <n v="105936"/>
        <n v="68243"/>
        <n v="167687"/>
        <n v="88049"/>
        <n v="178742"/>
        <n v="155315"/>
        <n v="106404"/>
        <n v="185914"/>
        <n v="195258"/>
        <n v="238495"/>
        <n v="74361"/>
        <n v="241311"/>
        <n v="112443"/>
        <n v="235155"/>
        <n v="163030"/>
        <n v="120202"/>
        <n v="87690"/>
        <n v="242119"/>
        <n v="48246"/>
        <n v="204915"/>
        <n v="184223"/>
        <n v="156917"/>
        <n v="189487"/>
        <n v="98078"/>
        <n v="96870"/>
        <n v="81373"/>
        <n v="164288"/>
        <n v="106836"/>
        <n v="201800"/>
        <n v="677818"/>
        <n v="124713"/>
        <n v="185038"/>
        <n v="682824"/>
        <n v="110915"/>
        <n v="161218"/>
        <n v="78897"/>
        <n v="56350"/>
        <n v="101571"/>
        <n v="168944"/>
        <n v="189276"/>
        <n v="69871"/>
        <n v="204326"/>
        <n v="81661"/>
        <n v="215680"/>
        <n v="154476"/>
        <n v="164664"/>
        <n v="189582"/>
        <n v="113308"/>
        <n v="682165"/>
        <n v="132295"/>
        <n v="683397"/>
        <n v="182585"/>
        <n v="178503"/>
        <n v="239082"/>
        <n v="686847"/>
        <n v="51308"/>
        <n v="166608"/>
        <n v="232312"/>
        <n v="86942"/>
        <n v="187937"/>
        <n v="133488"/>
        <n v="33975"/>
        <n v="207297"/>
        <n v="208782"/>
        <n v="37353"/>
        <n v="50490"/>
        <n v="80879"/>
        <n v="33686"/>
        <n v="132562"/>
        <n v="133328"/>
        <n v="91819"/>
        <n v="54535"/>
        <n v="176658"/>
        <n v="42591"/>
        <n v="209139"/>
        <n v="134513"/>
        <n v="57950"/>
        <n v="119262"/>
        <n v="190008"/>
        <n v="678471"/>
        <n v="123836"/>
        <n v="164961"/>
        <n v="144460"/>
        <n v="178597"/>
        <n v="677725"/>
        <n v="200837"/>
        <n v="209263"/>
        <n v="194496"/>
        <n v="162383"/>
        <n v="103568"/>
        <n v="189026"/>
        <n v="101280"/>
        <n v="177097"/>
        <n v="158880"/>
        <n v="210048"/>
        <n v="239393"/>
        <n v="689563"/>
        <n v="151574"/>
        <n v="224219"/>
        <n v="724892"/>
        <n v="176112"/>
        <n v="77854"/>
        <n v="131493"/>
        <n v="180878"/>
        <n v="106527"/>
        <n v="166044"/>
        <n v="78305"/>
        <n v="231749"/>
        <n v="106711"/>
        <n v="202725"/>
        <n v="97702"/>
        <n v="122842"/>
        <n v="205517"/>
        <n v="216353"/>
        <n v="231854"/>
        <n v="141640"/>
        <n v="180545"/>
        <n v="154061"/>
        <n v="52764"/>
        <n v="175460"/>
        <n v="183336"/>
        <n v="55136"/>
        <n v="95719"/>
        <n v="140764"/>
        <n v="209957"/>
        <n v="187328"/>
        <n v="168735"/>
        <n v="121839"/>
        <n v="171366"/>
        <n v="130394"/>
        <n v="73678"/>
        <n v="163848"/>
        <n v="126323"/>
        <n v="148669"/>
        <n v="46814"/>
        <n v="43290"/>
        <n v="94519"/>
        <n v="134318"/>
        <n v="163346"/>
        <n v="107502"/>
        <n v="100004"/>
        <n v="234471"/>
        <n v="229217"/>
        <n v="137950"/>
        <n v="240851"/>
        <n v="188782"/>
        <n v="173481"/>
        <n v="220365"/>
        <n v="190111"/>
        <n v="207861"/>
        <n v="131678"/>
        <n v="89577"/>
        <n v="52640"/>
        <n v="144706"/>
        <n v="179870"/>
        <n v="154144"/>
        <n v="238267"/>
        <n v="47007"/>
        <n v="208288"/>
        <n v="68641"/>
        <n v="168283"/>
        <n v="124501"/>
        <n v="218540"/>
        <n v="97943"/>
        <n v="200508"/>
        <n v="208409"/>
        <n v="138208"/>
        <n v="79848"/>
        <n v="132966"/>
        <n v="169821"/>
        <n v="226383"/>
        <n v="121595"/>
        <n v="137842"/>
        <n v="213625"/>
        <n v="45753"/>
        <n v="99114"/>
        <n v="87393"/>
        <n v="59847"/>
        <n v="260629"/>
        <n v="52108"/>
        <n v="85502"/>
        <n v="161105"/>
        <n v="239692"/>
        <n v="86703"/>
        <n v="169969"/>
        <n v="183615"/>
        <n v="71125"/>
        <n v="166246"/>
        <n v="218205"/>
        <n v="107401"/>
        <n v="132418"/>
        <n v="169888"/>
        <n v="74451"/>
        <n v="218688"/>
        <n v="677624"/>
        <n v="119477"/>
        <n v="191168"/>
        <n v="113483"/>
        <n v="202014"/>
        <n v="213953"/>
        <n v="726057"/>
        <n v="226506"/>
        <n v="173799"/>
        <n v="164516"/>
        <n v="177215"/>
        <n v="190852"/>
        <n v="170406"/>
        <n v="122514"/>
        <n v="219951"/>
        <n v="122978"/>
        <n v="107634"/>
        <n v="231957"/>
        <n v="96984"/>
        <n v="235601"/>
        <n v="180302"/>
        <n v="802095"/>
        <n v="162525"/>
        <n v="80261"/>
        <n v="154929"/>
        <n v="113387"/>
        <n v="57683"/>
        <n v="212043"/>
        <n v="134606"/>
        <n v="240498"/>
        <n v="235477"/>
        <n v="126429"/>
        <n v="185981"/>
        <n v="98193"/>
        <n v="153592"/>
        <n v="110147"/>
        <n v="220979"/>
        <n v="238800"/>
        <n v="190695"/>
        <n v="121950"/>
        <n v="129007"/>
        <n v="222803"/>
        <n v="110352"/>
        <n v="103645"/>
        <n v="44685"/>
        <n v="34166"/>
        <n v="80984"/>
        <n v="690065"/>
        <n v="783197"/>
        <n v="161561"/>
        <n v="95935"/>
        <n v="52012"/>
        <n v="112196"/>
        <n v="106218"/>
        <n v="128551"/>
        <n v="803441"/>
        <n v="95820"/>
        <n v="67714"/>
        <n v="690390"/>
        <n v="225718"/>
        <n v="669456"/>
        <n v="725915"/>
        <n v="168065"/>
        <n v="685558"/>
        <n v="130138"/>
        <n v="187057"/>
        <n v="170631"/>
        <n v="128405"/>
        <n v="205433"/>
        <n v="109257"/>
        <n v="222905"/>
        <n v="42103"/>
        <n v="70282"/>
        <n v="107827"/>
        <n v="143709"/>
        <n v="222696"/>
        <n v="187583"/>
        <n v="175639"/>
        <n v="57812"/>
        <n v="680338"/>
        <n v="192612"/>
        <n v="163134"/>
        <n v="226033"/>
        <n v="68989"/>
        <n v="123952"/>
        <n v="80344"/>
        <n v="152114"/>
        <n v="185740"/>
        <n v="165515"/>
        <n v="101977"/>
        <n v="46915"/>
        <n v="179505"/>
        <n v="79999"/>
        <n v="163967"/>
        <n v="222586"/>
        <n v="171083"/>
        <n v="131893"/>
        <n v="156822"/>
        <n v="223977"/>
        <n v="176920"/>
        <n v="204176"/>
        <n v="188536"/>
        <n v="89647"/>
        <n v="58070"/>
        <n v="88783"/>
        <n v="162696"/>
        <n v="676108"/>
        <n v="87060"/>
        <n v="114571"/>
        <n v="107743"/>
        <n v="152641"/>
        <n v="117162"/>
        <n v="119026"/>
        <n v="180463"/>
        <n v="176472"/>
        <n v="150676"/>
        <n v="229812"/>
        <n v="73499"/>
        <n v="221081"/>
        <n v="121288"/>
        <n v="198909"/>
        <n v="215814"/>
        <n v="732586"/>
        <n v="65229"/>
        <n v="675273"/>
        <n v="183732"/>
        <n v="87569"/>
        <n v="689463"/>
        <n v="682276"/>
        <n v="203690"/>
        <n v="32493"/>
        <n v="196826"/>
      </sharedItems>
    </cacheField>
    <cacheField name="siteid" numFmtId="0">
      <sharedItems containsSemiMixedTypes="0" containsString="0" containsNumber="1" containsInteger="1" minValue="10002" maxValue="24866"/>
    </cacheField>
    <cacheField name="Primary_Secondary" numFmtId="0">
      <sharedItems/>
    </cacheField>
    <cacheField name="windowArea" numFmtId="0">
      <sharedItems containsSemiMixedTypes="0" containsString="0" containsNumber="1" containsInteger="1" minValue="1" maxValue="1185"/>
    </cacheField>
    <cacheField name="storms_present" numFmtId="0">
      <sharedItems/>
    </cacheField>
    <cacheField name="typeClass" numFmtId="0">
      <sharedItems/>
    </cacheField>
    <cacheField name="u_window" numFmtId="0">
      <sharedItems containsSemiMixedTypes="0" containsString="0" containsNumber="1" minValue="0.2199999988079071" maxValue="1.1000000238418579" count="15">
        <n v="0.55000001192092896"/>
        <n v="0.44999998807907104"/>
        <n v="0.75"/>
        <n v="0.5"/>
        <n v="0.40000000596046448"/>
        <n v="0.85000002384185791"/>
        <n v="0.60000002384185791"/>
        <n v="0.94999998807907104"/>
        <n v="1.1000000238418579"/>
        <n v="0.69999998807907104"/>
        <n v="0.80000001192092896"/>
        <n v="0.2199999988079071"/>
        <n v="0.89999997615814209"/>
        <n v="0.64999997615814209"/>
        <n v="0.34999999403953552"/>
      </sharedItems>
    </cacheField>
    <cacheField name="type" numFmtId="0">
      <sharedItems count="6">
        <s v="Wood-Vinyl-Fiberglass:Double"/>
        <s v="Metal:Double"/>
        <s v="Wood-Vinyl-Fiberglass:Single"/>
        <s v="Metal:Single"/>
        <s v="Wood-Vinyl-Fiberglass:Triple"/>
        <s v="Metal:Triple"/>
      </sharedItems>
    </cacheField>
    <cacheField name="windowtype_it" numFmtId="0">
      <sharedItems containsSemiMixedTypes="0" containsString="0" containsNumber="1" containsInteger="1" minValue="1" maxValue="2"/>
    </cacheField>
    <cacheField name="Weight" numFmtId="0">
      <sharedItems containsSemiMixedTypes="0" containsString="0" containsNumber="1" minValue="1144.6790000000001" maxValue="12271.31" count="19">
        <n v="1524.7619999999999"/>
        <n v="1188.027"/>
        <n v="4956.4930000000004"/>
        <n v="6932.7380000000003"/>
        <n v="1150.8789999999999"/>
        <n v="2003.7159999999999"/>
        <n v="1464.694"/>
        <n v="8264.9449999999997"/>
        <n v="2079.9929999999999"/>
        <n v="12271.31"/>
        <n v="1904.288"/>
        <n v="3785.7640000000001"/>
        <n v="1144.6790000000001"/>
        <n v="2130.886"/>
        <n v="4360.1880000000001"/>
        <n v="1612.692"/>
        <n v="8559.1039999999994"/>
        <n v="1925.059"/>
        <n v="1192.4649999999999"/>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a Jayaweera" refreshedDate="41898.518474652781" createdVersion="3" refreshedVersion="3" minRefreshableVersion="3" recordCount="960">
  <cacheSource type="worksheet">
    <worksheetSource ref="A2:S962" sheet="FlCrawl"/>
  </cacheSource>
  <cacheFields count="19">
    <cacheField name="StdFloorInsulation" numFmtId="0">
      <sharedItems count="10">
        <s v="R0-R3"/>
        <s v="R1-R3"/>
        <s v="R11-R15"/>
        <s v="R16-R22"/>
        <s v="R23-R27"/>
        <s v="R28-R35"/>
        <s v="R38+"/>
        <s v="R4-R10"/>
        <s v=""/>
        <s v="None"/>
      </sharedItems>
    </cacheField>
    <cacheField name="StdFloorInsulationCondition" numFmtId="0">
      <sharedItems containsString="0" containsBlank="1" containsNumber="1" minValue="0" maxValue="1"/>
    </cacheField>
    <cacheField name="CrawlWallInsulated" numFmtId="0">
      <sharedItems containsSemiMixedTypes="0" containsString="0" containsNumber="1" containsInteger="1" minValue="0" maxValue="1"/>
    </cacheField>
    <cacheField name="CrawlWallInsLevel" numFmtId="0">
      <sharedItems count="6">
        <s v=""/>
        <s v="R12-R20"/>
        <s v="R21-R30"/>
        <s v="R3-R11"/>
        <s v="R31+"/>
        <s v="None"/>
      </sharedItems>
    </cacheField>
    <cacheField name="CrawlVentsPresent" numFmtId="0">
      <sharedItems containsSemiMixedTypes="0" containsString="0" containsNumber="1" containsInteger="1" minValue="0" maxValue="1"/>
    </cacheField>
    <cacheField name="CrawlVentsBlocked" numFmtId="0">
      <sharedItems containsString="0" containsBlank="1" containsNumber="1" containsInteger="1" minValue="0" maxValue="1"/>
    </cacheField>
    <cacheField name="ecosdatabaserecordsid" numFmtId="0">
      <sharedItems containsSemiMixedTypes="0" containsString="0" containsNumber="1" containsInteger="1" minValue="26786" maxValue="823799"/>
    </cacheField>
    <cacheField name="siteid" numFmtId="0">
      <sharedItems containsSemiMixedTypes="0" containsString="0" containsNumber="1" containsInteger="1" minValue="10005" maxValue="24866"/>
    </cacheField>
    <cacheField name="crawl_it" numFmtId="0">
      <sharedItems containsSemiMixedTypes="0" containsString="0" containsNumber="1" containsInteger="1" minValue="1" maxValue="3"/>
    </cacheField>
    <cacheField name="CrawlArea" numFmtId="0">
      <sharedItems containsSemiMixedTypes="0" containsString="0" containsNumber="1" containsInteger="1" minValue="66" maxValue="4190"/>
    </cacheField>
    <cacheField name="CrawlFraming" numFmtId="0">
      <sharedItems/>
    </cacheField>
    <cacheField name="CrawlJoistSize" numFmtId="0">
      <sharedItems count="5">
        <s v="2x8"/>
        <s v=""/>
        <s v="2x6"/>
        <s v="2x10"/>
        <s v="2x12"/>
      </sharedItems>
    </cacheField>
    <cacheField name="CrawlMoreInsulation" numFmtId="0">
      <sharedItems count="3">
        <s v="False"/>
        <s v="True"/>
        <s v=""/>
      </sharedItems>
    </cacheField>
    <cacheField name="CrawlWallInsType" numFmtId="0">
      <sharedItems/>
    </cacheField>
    <cacheField name="GeneralNotes" numFmtId="0">
      <sharedItems/>
    </cacheField>
    <cacheField name="StdFloorInsulationType" numFmtId="0">
      <sharedItems/>
    </cacheField>
    <cacheField name="u_crawlfloor" numFmtId="0">
      <sharedItems containsString="0" containsBlank="1" containsNumber="1" minValue="2.9999999329447746E-2" maxValue="0.23000000417232513"/>
    </cacheField>
    <cacheField name="u_crawlwall" numFmtId="0">
      <sharedItems containsSemiMixedTypes="0" containsString="0" containsNumber="1" minValue="3.0999999046325684" maxValue="11"/>
    </cacheField>
    <cacheField name="weight" numFmtId="0">
      <sharedItems containsSemiMixedTypes="0" containsString="0" containsNumber="1" minValue="1144.6790000000001" maxValue="12271.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5">
  <r>
    <n v="2001"/>
    <x v="0"/>
    <x v="0"/>
    <x v="0"/>
    <x v="0"/>
    <x v="0"/>
    <x v="0"/>
    <x v="0"/>
    <x v="0"/>
  </r>
  <r>
    <n v="2002"/>
    <x v="0"/>
    <x v="0"/>
    <x v="0"/>
    <x v="0"/>
    <x v="0"/>
    <x v="0"/>
    <x v="0"/>
    <x v="0"/>
  </r>
  <r>
    <n v="2003"/>
    <x v="0"/>
    <x v="0"/>
    <x v="0"/>
    <x v="1"/>
    <x v="0"/>
    <x v="0"/>
    <x v="0"/>
    <x v="0"/>
  </r>
  <r>
    <n v="2004"/>
    <x v="0"/>
    <x v="0"/>
    <x v="1"/>
    <x v="1"/>
    <x v="0"/>
    <x v="0"/>
    <x v="0"/>
    <x v="0"/>
  </r>
  <r>
    <n v="2005"/>
    <x v="0"/>
    <x v="0"/>
    <x v="0"/>
    <x v="0"/>
    <x v="0"/>
    <x v="0"/>
    <x v="0"/>
    <x v="0"/>
  </r>
  <r>
    <n v="2006"/>
    <x v="0"/>
    <x v="0"/>
    <x v="0"/>
    <x v="1"/>
    <x v="0"/>
    <x v="0"/>
    <x v="0"/>
    <x v="0"/>
  </r>
  <r>
    <n v="2007"/>
    <x v="0"/>
    <x v="0"/>
    <x v="2"/>
    <x v="0"/>
    <x v="0"/>
    <x v="0"/>
    <x v="0"/>
    <x v="0"/>
  </r>
  <r>
    <n v="2008"/>
    <x v="0"/>
    <x v="0"/>
    <x v="0"/>
    <x v="0"/>
    <x v="0"/>
    <x v="0"/>
    <x v="0"/>
    <x v="0"/>
  </r>
  <r>
    <n v="2009"/>
    <x v="0"/>
    <x v="0"/>
    <x v="0"/>
    <x v="1"/>
    <x v="0"/>
    <x v="0"/>
    <x v="0"/>
    <x v="0"/>
  </r>
  <r>
    <n v="2010"/>
    <x v="0"/>
    <x v="0"/>
    <x v="0"/>
    <x v="0"/>
    <x v="0"/>
    <x v="0"/>
    <x v="0"/>
    <x v="0"/>
  </r>
  <r>
    <n v="2011"/>
    <x v="0"/>
    <x v="0"/>
    <x v="0"/>
    <x v="1"/>
    <x v="0"/>
    <x v="0"/>
    <x v="0"/>
    <x v="0"/>
  </r>
  <r>
    <n v="2012"/>
    <x v="0"/>
    <x v="0"/>
    <x v="1"/>
    <x v="1"/>
    <x v="0"/>
    <x v="0"/>
    <x v="0"/>
    <x v="0"/>
  </r>
  <r>
    <n v="2013"/>
    <x v="0"/>
    <x v="0"/>
    <x v="2"/>
    <x v="0"/>
    <x v="0"/>
    <x v="0"/>
    <x v="0"/>
    <x v="0"/>
  </r>
  <r>
    <n v="2014"/>
    <x v="0"/>
    <x v="0"/>
    <x v="2"/>
    <x v="1"/>
    <x v="0"/>
    <x v="0"/>
    <x v="0"/>
    <x v="0"/>
  </r>
  <r>
    <n v="2015"/>
    <x v="0"/>
    <x v="0"/>
    <x v="0"/>
    <x v="0"/>
    <x v="0"/>
    <x v="0"/>
    <x v="0"/>
    <x v="0"/>
  </r>
  <r>
    <n v="2016"/>
    <x v="0"/>
    <x v="0"/>
    <x v="0"/>
    <x v="1"/>
    <x v="0"/>
    <x v="0"/>
    <x v="0"/>
    <x v="0"/>
  </r>
  <r>
    <n v="2017"/>
    <x v="0"/>
    <x v="0"/>
    <x v="1"/>
    <x v="1"/>
    <x v="0"/>
    <x v="0"/>
    <x v="0"/>
    <x v="0"/>
  </r>
  <r>
    <n v="2018"/>
    <x v="0"/>
    <x v="0"/>
    <x v="0"/>
    <x v="0"/>
    <x v="0"/>
    <x v="0"/>
    <x v="0"/>
    <x v="0"/>
  </r>
  <r>
    <n v="2019"/>
    <x v="0"/>
    <x v="0"/>
    <x v="0"/>
    <x v="1"/>
    <x v="0"/>
    <x v="0"/>
    <x v="0"/>
    <x v="0"/>
  </r>
  <r>
    <n v="2020"/>
    <x v="0"/>
    <x v="0"/>
    <x v="1"/>
    <x v="0"/>
    <x v="0"/>
    <x v="0"/>
    <x v="0"/>
    <x v="0"/>
  </r>
  <r>
    <n v="2021"/>
    <x v="0"/>
    <x v="0"/>
    <x v="1"/>
    <x v="1"/>
    <x v="0"/>
    <x v="0"/>
    <x v="0"/>
    <x v="0"/>
  </r>
  <r>
    <n v="2022"/>
    <x v="0"/>
    <x v="0"/>
    <x v="2"/>
    <x v="0"/>
    <x v="0"/>
    <x v="0"/>
    <x v="0"/>
    <x v="0"/>
  </r>
  <r>
    <n v="2023"/>
    <x v="0"/>
    <x v="0"/>
    <x v="2"/>
    <x v="1"/>
    <x v="0"/>
    <x v="0"/>
    <x v="0"/>
    <x v="0"/>
  </r>
  <r>
    <n v="2024"/>
    <x v="1"/>
    <x v="0"/>
    <x v="2"/>
    <x v="1"/>
    <x v="0"/>
    <x v="0"/>
    <x v="0"/>
    <x v="0"/>
  </r>
  <r>
    <n v="2025"/>
    <x v="1"/>
    <x v="0"/>
    <x v="0"/>
    <x v="0"/>
    <x v="0"/>
    <x v="0"/>
    <x v="0"/>
    <x v="0"/>
  </r>
  <r>
    <n v="2026"/>
    <x v="1"/>
    <x v="0"/>
    <x v="0"/>
    <x v="1"/>
    <x v="0"/>
    <x v="0"/>
    <x v="0"/>
    <x v="0"/>
  </r>
  <r>
    <n v="2027"/>
    <x v="1"/>
    <x v="0"/>
    <x v="1"/>
    <x v="0"/>
    <x v="0"/>
    <x v="0"/>
    <x v="0"/>
    <x v="0"/>
  </r>
  <r>
    <n v="2028"/>
    <x v="1"/>
    <x v="0"/>
    <x v="1"/>
    <x v="1"/>
    <x v="0"/>
    <x v="0"/>
    <x v="0"/>
    <x v="0"/>
  </r>
  <r>
    <n v="2029"/>
    <x v="1"/>
    <x v="0"/>
    <x v="2"/>
    <x v="0"/>
    <x v="0"/>
    <x v="0"/>
    <x v="0"/>
    <x v="0"/>
  </r>
  <r>
    <n v="2030"/>
    <x v="1"/>
    <x v="0"/>
    <x v="2"/>
    <x v="0"/>
    <x v="0"/>
    <x v="0"/>
    <x v="0"/>
    <x v="0"/>
  </r>
  <r>
    <n v="2031"/>
    <x v="1"/>
    <x v="0"/>
    <x v="2"/>
    <x v="1"/>
    <x v="0"/>
    <x v="0"/>
    <x v="0"/>
    <x v="0"/>
  </r>
  <r>
    <n v="2032"/>
    <x v="0"/>
    <x v="0"/>
    <x v="0"/>
    <x v="0"/>
    <x v="0"/>
    <x v="0"/>
    <x v="0"/>
    <x v="0"/>
  </r>
  <r>
    <n v="2033"/>
    <x v="0"/>
    <x v="0"/>
    <x v="0"/>
    <x v="1"/>
    <x v="0"/>
    <x v="0"/>
    <x v="0"/>
    <x v="0"/>
  </r>
  <r>
    <n v="2034"/>
    <x v="0"/>
    <x v="0"/>
    <x v="2"/>
    <x v="1"/>
    <x v="0"/>
    <x v="0"/>
    <x v="0"/>
    <x v="0"/>
  </r>
  <r>
    <n v="2035"/>
    <x v="0"/>
    <x v="0"/>
    <x v="0"/>
    <x v="0"/>
    <x v="0"/>
    <x v="0"/>
    <x v="0"/>
    <x v="0"/>
  </r>
  <r>
    <n v="2036"/>
    <x v="0"/>
    <x v="0"/>
    <x v="0"/>
    <x v="0"/>
    <x v="0"/>
    <x v="0"/>
    <x v="0"/>
    <x v="0"/>
  </r>
  <r>
    <n v="2037"/>
    <x v="0"/>
    <x v="0"/>
    <x v="0"/>
    <x v="1"/>
    <x v="0"/>
    <x v="0"/>
    <x v="0"/>
    <x v="0"/>
  </r>
  <r>
    <n v="2038"/>
    <x v="0"/>
    <x v="0"/>
    <x v="1"/>
    <x v="0"/>
    <x v="0"/>
    <x v="0"/>
    <x v="0"/>
    <x v="0"/>
  </r>
  <r>
    <n v="2039"/>
    <x v="0"/>
    <x v="0"/>
    <x v="1"/>
    <x v="1"/>
    <x v="0"/>
    <x v="0"/>
    <x v="0"/>
    <x v="0"/>
  </r>
  <r>
    <n v="2040"/>
    <x v="0"/>
    <x v="0"/>
    <x v="2"/>
    <x v="0"/>
    <x v="0"/>
    <x v="0"/>
    <x v="0"/>
    <x v="0"/>
  </r>
  <r>
    <n v="2041"/>
    <x v="0"/>
    <x v="0"/>
    <x v="2"/>
    <x v="1"/>
    <x v="0"/>
    <x v="0"/>
    <x v="0"/>
    <x v="0"/>
  </r>
  <r>
    <n v="2042"/>
    <x v="0"/>
    <x v="0"/>
    <x v="0"/>
    <x v="1"/>
    <x v="0"/>
    <x v="1"/>
    <x v="0"/>
    <x v="0"/>
  </r>
  <r>
    <n v="2043"/>
    <x v="0"/>
    <x v="0"/>
    <x v="0"/>
    <x v="1"/>
    <x v="0"/>
    <x v="1"/>
    <x v="0"/>
    <x v="0"/>
  </r>
  <r>
    <n v="2044"/>
    <x v="0"/>
    <x v="0"/>
    <x v="1"/>
    <x v="1"/>
    <x v="0"/>
    <x v="1"/>
    <x v="0"/>
    <x v="0"/>
  </r>
  <r>
    <n v="2045"/>
    <x v="0"/>
    <x v="0"/>
    <x v="2"/>
    <x v="1"/>
    <x v="0"/>
    <x v="1"/>
    <x v="0"/>
    <x v="0"/>
  </r>
  <r>
    <n v="2046"/>
    <x v="0"/>
    <x v="0"/>
    <x v="2"/>
    <x v="1"/>
    <x v="0"/>
    <x v="1"/>
    <x v="0"/>
    <x v="0"/>
  </r>
  <r>
    <n v="2047"/>
    <x v="0"/>
    <x v="0"/>
    <x v="0"/>
    <x v="0"/>
    <x v="0"/>
    <x v="1"/>
    <x v="0"/>
    <x v="0"/>
  </r>
  <r>
    <n v="2048"/>
    <x v="0"/>
    <x v="0"/>
    <x v="1"/>
    <x v="1"/>
    <x v="0"/>
    <x v="1"/>
    <x v="0"/>
    <x v="0"/>
  </r>
  <r>
    <n v="2049"/>
    <x v="0"/>
    <x v="0"/>
    <x v="0"/>
    <x v="0"/>
    <x v="0"/>
    <x v="1"/>
    <x v="0"/>
    <x v="0"/>
  </r>
  <r>
    <n v="2050"/>
    <x v="0"/>
    <x v="0"/>
    <x v="0"/>
    <x v="1"/>
    <x v="0"/>
    <x v="1"/>
    <x v="0"/>
    <x v="0"/>
  </r>
  <r>
    <n v="2051"/>
    <x v="0"/>
    <x v="0"/>
    <x v="1"/>
    <x v="0"/>
    <x v="0"/>
    <x v="1"/>
    <x v="0"/>
    <x v="0"/>
  </r>
  <r>
    <n v="2052"/>
    <x v="0"/>
    <x v="0"/>
    <x v="1"/>
    <x v="1"/>
    <x v="0"/>
    <x v="1"/>
    <x v="0"/>
    <x v="0"/>
  </r>
  <r>
    <n v="2053"/>
    <x v="0"/>
    <x v="0"/>
    <x v="2"/>
    <x v="1"/>
    <x v="0"/>
    <x v="1"/>
    <x v="0"/>
    <x v="0"/>
  </r>
  <r>
    <n v="2054"/>
    <x v="1"/>
    <x v="0"/>
    <x v="0"/>
    <x v="1"/>
    <x v="0"/>
    <x v="1"/>
    <x v="0"/>
    <x v="0"/>
  </r>
  <r>
    <n v="2055"/>
    <x v="1"/>
    <x v="0"/>
    <x v="1"/>
    <x v="1"/>
    <x v="0"/>
    <x v="1"/>
    <x v="0"/>
    <x v="0"/>
  </r>
  <r>
    <n v="2056"/>
    <x v="1"/>
    <x v="0"/>
    <x v="2"/>
    <x v="0"/>
    <x v="0"/>
    <x v="1"/>
    <x v="0"/>
    <x v="0"/>
  </r>
  <r>
    <n v="2057"/>
    <x v="1"/>
    <x v="0"/>
    <x v="2"/>
    <x v="1"/>
    <x v="0"/>
    <x v="1"/>
    <x v="0"/>
    <x v="0"/>
  </r>
  <r>
    <n v="2058"/>
    <x v="0"/>
    <x v="0"/>
    <x v="2"/>
    <x v="1"/>
    <x v="0"/>
    <x v="1"/>
    <x v="0"/>
    <x v="0"/>
  </r>
  <r>
    <n v="2059"/>
    <x v="0"/>
    <x v="0"/>
    <x v="0"/>
    <x v="0"/>
    <x v="0"/>
    <x v="1"/>
    <x v="0"/>
    <x v="0"/>
  </r>
  <r>
    <n v="2060"/>
    <x v="0"/>
    <x v="0"/>
    <x v="0"/>
    <x v="1"/>
    <x v="0"/>
    <x v="1"/>
    <x v="0"/>
    <x v="0"/>
  </r>
  <r>
    <n v="2061"/>
    <x v="0"/>
    <x v="0"/>
    <x v="1"/>
    <x v="1"/>
    <x v="0"/>
    <x v="1"/>
    <x v="0"/>
    <x v="0"/>
  </r>
  <r>
    <n v="2062"/>
    <x v="0"/>
    <x v="0"/>
    <x v="2"/>
    <x v="0"/>
    <x v="0"/>
    <x v="1"/>
    <x v="0"/>
    <x v="0"/>
  </r>
  <r>
    <n v="2063"/>
    <x v="0"/>
    <x v="0"/>
    <x v="2"/>
    <x v="1"/>
    <x v="0"/>
    <x v="1"/>
    <x v="0"/>
    <x v="0"/>
  </r>
  <r>
    <n v="2064"/>
    <x v="0"/>
    <x v="0"/>
    <x v="3"/>
    <x v="1"/>
    <x v="0"/>
    <x v="0"/>
    <x v="0"/>
    <x v="0"/>
  </r>
  <r>
    <n v="2065"/>
    <x v="0"/>
    <x v="0"/>
    <x v="3"/>
    <x v="1"/>
    <x v="0"/>
    <x v="0"/>
    <x v="0"/>
    <x v="0"/>
  </r>
  <r>
    <n v="2066"/>
    <x v="0"/>
    <x v="0"/>
    <x v="3"/>
    <x v="0"/>
    <x v="0"/>
    <x v="0"/>
    <x v="0"/>
    <x v="0"/>
  </r>
  <r>
    <n v="2067"/>
    <x v="0"/>
    <x v="0"/>
    <x v="3"/>
    <x v="1"/>
    <x v="0"/>
    <x v="0"/>
    <x v="0"/>
    <x v="0"/>
  </r>
  <r>
    <n v="2068"/>
    <x v="0"/>
    <x v="0"/>
    <x v="3"/>
    <x v="1"/>
    <x v="0"/>
    <x v="0"/>
    <x v="0"/>
    <x v="0"/>
  </r>
  <r>
    <n v="2069"/>
    <x v="1"/>
    <x v="0"/>
    <x v="3"/>
    <x v="0"/>
    <x v="0"/>
    <x v="0"/>
    <x v="0"/>
    <x v="0"/>
  </r>
  <r>
    <n v="2070"/>
    <x v="1"/>
    <x v="0"/>
    <x v="3"/>
    <x v="0"/>
    <x v="0"/>
    <x v="0"/>
    <x v="0"/>
    <x v="0"/>
  </r>
  <r>
    <n v="2071"/>
    <x v="1"/>
    <x v="0"/>
    <x v="3"/>
    <x v="1"/>
    <x v="0"/>
    <x v="0"/>
    <x v="0"/>
    <x v="0"/>
  </r>
  <r>
    <n v="2072"/>
    <x v="0"/>
    <x v="0"/>
    <x v="3"/>
    <x v="1"/>
    <x v="0"/>
    <x v="0"/>
    <x v="0"/>
    <x v="0"/>
  </r>
  <r>
    <n v="2073"/>
    <x v="0"/>
    <x v="0"/>
    <x v="3"/>
    <x v="0"/>
    <x v="0"/>
    <x v="0"/>
    <x v="0"/>
    <x v="0"/>
  </r>
  <r>
    <n v="2074"/>
    <x v="0"/>
    <x v="0"/>
    <x v="3"/>
    <x v="1"/>
    <x v="0"/>
    <x v="0"/>
    <x v="0"/>
    <x v="0"/>
  </r>
  <r>
    <n v="2075"/>
    <x v="0"/>
    <x v="0"/>
    <x v="3"/>
    <x v="1"/>
    <x v="0"/>
    <x v="1"/>
    <x v="0"/>
    <x v="0"/>
  </r>
  <r>
    <n v="2076"/>
    <x v="0"/>
    <x v="0"/>
    <x v="3"/>
    <x v="1"/>
    <x v="0"/>
    <x v="1"/>
    <x v="0"/>
    <x v="0"/>
  </r>
  <r>
    <n v="2077"/>
    <x v="0"/>
    <x v="0"/>
    <x v="3"/>
    <x v="0"/>
    <x v="0"/>
    <x v="1"/>
    <x v="0"/>
    <x v="0"/>
  </r>
  <r>
    <n v="2078"/>
    <x v="0"/>
    <x v="0"/>
    <x v="3"/>
    <x v="0"/>
    <x v="0"/>
    <x v="1"/>
    <x v="0"/>
    <x v="0"/>
  </r>
  <r>
    <n v="2079"/>
    <x v="0"/>
    <x v="0"/>
    <x v="3"/>
    <x v="1"/>
    <x v="0"/>
    <x v="1"/>
    <x v="0"/>
    <x v="0"/>
  </r>
  <r>
    <n v="2080"/>
    <x v="1"/>
    <x v="0"/>
    <x v="3"/>
    <x v="0"/>
    <x v="0"/>
    <x v="1"/>
    <x v="0"/>
    <x v="0"/>
  </r>
  <r>
    <n v="2081"/>
    <x v="1"/>
    <x v="0"/>
    <x v="3"/>
    <x v="1"/>
    <x v="0"/>
    <x v="1"/>
    <x v="0"/>
    <x v="0"/>
  </r>
  <r>
    <n v="2082"/>
    <x v="0"/>
    <x v="0"/>
    <x v="3"/>
    <x v="0"/>
    <x v="0"/>
    <x v="1"/>
    <x v="0"/>
    <x v="0"/>
  </r>
  <r>
    <n v="2083"/>
    <x v="0"/>
    <x v="0"/>
    <x v="3"/>
    <x v="1"/>
    <x v="0"/>
    <x v="1"/>
    <x v="0"/>
    <x v="0"/>
  </r>
  <r>
    <n v="2084"/>
    <x v="0"/>
    <x v="0"/>
    <x v="4"/>
    <x v="0"/>
    <x v="0"/>
    <x v="0"/>
    <x v="0"/>
    <x v="0"/>
  </r>
  <r>
    <n v="2085"/>
    <x v="0"/>
    <x v="0"/>
    <x v="4"/>
    <x v="1"/>
    <x v="0"/>
    <x v="0"/>
    <x v="0"/>
    <x v="0"/>
  </r>
  <r>
    <n v="2086"/>
    <x v="0"/>
    <x v="0"/>
    <x v="4"/>
    <x v="1"/>
    <x v="0"/>
    <x v="0"/>
    <x v="0"/>
    <x v="0"/>
  </r>
  <r>
    <n v="2087"/>
    <x v="0"/>
    <x v="0"/>
    <x v="4"/>
    <x v="0"/>
    <x v="0"/>
    <x v="0"/>
    <x v="0"/>
    <x v="0"/>
  </r>
  <r>
    <n v="2088"/>
    <x v="0"/>
    <x v="0"/>
    <x v="4"/>
    <x v="1"/>
    <x v="0"/>
    <x v="0"/>
    <x v="0"/>
    <x v="0"/>
  </r>
  <r>
    <n v="2089"/>
    <x v="1"/>
    <x v="0"/>
    <x v="4"/>
    <x v="0"/>
    <x v="0"/>
    <x v="0"/>
    <x v="0"/>
    <x v="0"/>
  </r>
  <r>
    <n v="2090"/>
    <x v="1"/>
    <x v="0"/>
    <x v="4"/>
    <x v="1"/>
    <x v="0"/>
    <x v="0"/>
    <x v="0"/>
    <x v="0"/>
  </r>
  <r>
    <n v="2091"/>
    <x v="0"/>
    <x v="0"/>
    <x v="4"/>
    <x v="1"/>
    <x v="0"/>
    <x v="0"/>
    <x v="0"/>
    <x v="0"/>
  </r>
  <r>
    <n v="2092"/>
    <x v="0"/>
    <x v="0"/>
    <x v="4"/>
    <x v="1"/>
    <x v="0"/>
    <x v="1"/>
    <x v="0"/>
    <x v="0"/>
  </r>
  <r>
    <n v="2093"/>
    <x v="1"/>
    <x v="0"/>
    <x v="4"/>
    <x v="0"/>
    <x v="0"/>
    <x v="1"/>
    <x v="0"/>
    <x v="0"/>
  </r>
  <r>
    <n v="2094"/>
    <x v="0"/>
    <x v="0"/>
    <x v="4"/>
    <x v="0"/>
    <x v="0"/>
    <x v="1"/>
    <x v="0"/>
    <x v="0"/>
  </r>
  <r>
    <n v="2095"/>
    <x v="0"/>
    <x v="0"/>
    <x v="4"/>
    <x v="1"/>
    <x v="0"/>
    <x v="1"/>
    <x v="0"/>
    <x v="0"/>
  </r>
</pivotCacheRecords>
</file>

<file path=xl/pivotCache/pivotCacheRecords2.xml><?xml version="1.0" encoding="utf-8"?>
<pivotCacheRecords xmlns="http://schemas.openxmlformats.org/spreadsheetml/2006/main" xmlns:r="http://schemas.openxmlformats.org/officeDocument/2006/relationships" count="450">
  <r>
    <x v="0"/>
    <x v="0"/>
    <x v="0"/>
    <x v="0"/>
    <x v="0"/>
    <x v="0"/>
    <x v="0"/>
    <x v="0"/>
    <x v="0"/>
    <x v="0"/>
  </r>
  <r>
    <x v="1"/>
    <x v="1"/>
    <x v="0"/>
    <x v="0"/>
    <x v="0"/>
    <x v="0"/>
    <x v="1"/>
    <x v="1"/>
    <x v="1"/>
    <x v="1"/>
  </r>
  <r>
    <x v="2"/>
    <x v="2"/>
    <x v="0"/>
    <x v="0"/>
    <x v="0"/>
    <x v="0"/>
    <x v="2"/>
    <x v="2"/>
    <x v="2"/>
    <x v="2"/>
  </r>
  <r>
    <x v="3"/>
    <x v="3"/>
    <x v="0"/>
    <x v="0"/>
    <x v="0"/>
    <x v="1"/>
    <x v="0"/>
    <x v="3"/>
    <x v="3"/>
    <x v="3"/>
  </r>
  <r>
    <x v="4"/>
    <x v="4"/>
    <x v="0"/>
    <x v="0"/>
    <x v="0"/>
    <x v="1"/>
    <x v="1"/>
    <x v="3"/>
    <x v="3"/>
    <x v="4"/>
  </r>
  <r>
    <x v="5"/>
    <x v="5"/>
    <x v="0"/>
    <x v="0"/>
    <x v="0"/>
    <x v="1"/>
    <x v="2"/>
    <x v="4"/>
    <x v="4"/>
    <x v="5"/>
  </r>
  <r>
    <x v="6"/>
    <x v="6"/>
    <x v="0"/>
    <x v="0"/>
    <x v="0"/>
    <x v="2"/>
    <x v="0"/>
    <x v="3"/>
    <x v="3"/>
    <x v="6"/>
  </r>
  <r>
    <x v="7"/>
    <x v="7"/>
    <x v="0"/>
    <x v="0"/>
    <x v="0"/>
    <x v="2"/>
    <x v="1"/>
    <x v="3"/>
    <x v="3"/>
    <x v="7"/>
  </r>
  <r>
    <x v="8"/>
    <x v="8"/>
    <x v="0"/>
    <x v="0"/>
    <x v="0"/>
    <x v="2"/>
    <x v="2"/>
    <x v="3"/>
    <x v="3"/>
    <x v="8"/>
  </r>
  <r>
    <x v="9"/>
    <x v="9"/>
    <x v="0"/>
    <x v="0"/>
    <x v="1"/>
    <x v="0"/>
    <x v="0"/>
    <x v="3"/>
    <x v="3"/>
    <x v="9"/>
  </r>
  <r>
    <x v="10"/>
    <x v="10"/>
    <x v="0"/>
    <x v="0"/>
    <x v="1"/>
    <x v="0"/>
    <x v="1"/>
    <x v="5"/>
    <x v="5"/>
    <x v="10"/>
  </r>
  <r>
    <x v="11"/>
    <x v="11"/>
    <x v="0"/>
    <x v="0"/>
    <x v="1"/>
    <x v="0"/>
    <x v="2"/>
    <x v="6"/>
    <x v="6"/>
    <x v="11"/>
  </r>
  <r>
    <x v="12"/>
    <x v="12"/>
    <x v="0"/>
    <x v="0"/>
    <x v="1"/>
    <x v="1"/>
    <x v="0"/>
    <x v="3"/>
    <x v="3"/>
    <x v="12"/>
  </r>
  <r>
    <x v="13"/>
    <x v="13"/>
    <x v="0"/>
    <x v="0"/>
    <x v="1"/>
    <x v="1"/>
    <x v="1"/>
    <x v="3"/>
    <x v="3"/>
    <x v="13"/>
  </r>
  <r>
    <x v="14"/>
    <x v="14"/>
    <x v="0"/>
    <x v="0"/>
    <x v="1"/>
    <x v="1"/>
    <x v="2"/>
    <x v="3"/>
    <x v="3"/>
    <x v="14"/>
  </r>
  <r>
    <x v="15"/>
    <x v="15"/>
    <x v="0"/>
    <x v="0"/>
    <x v="1"/>
    <x v="2"/>
    <x v="0"/>
    <x v="3"/>
    <x v="3"/>
    <x v="15"/>
  </r>
  <r>
    <x v="16"/>
    <x v="16"/>
    <x v="0"/>
    <x v="0"/>
    <x v="1"/>
    <x v="2"/>
    <x v="1"/>
    <x v="7"/>
    <x v="7"/>
    <x v="16"/>
  </r>
  <r>
    <x v="17"/>
    <x v="17"/>
    <x v="0"/>
    <x v="0"/>
    <x v="1"/>
    <x v="2"/>
    <x v="2"/>
    <x v="3"/>
    <x v="3"/>
    <x v="17"/>
  </r>
  <r>
    <x v="18"/>
    <x v="18"/>
    <x v="0"/>
    <x v="1"/>
    <x v="0"/>
    <x v="0"/>
    <x v="0"/>
    <x v="4"/>
    <x v="4"/>
    <x v="18"/>
  </r>
  <r>
    <x v="19"/>
    <x v="19"/>
    <x v="0"/>
    <x v="1"/>
    <x v="0"/>
    <x v="0"/>
    <x v="1"/>
    <x v="3"/>
    <x v="3"/>
    <x v="19"/>
  </r>
  <r>
    <x v="20"/>
    <x v="20"/>
    <x v="0"/>
    <x v="1"/>
    <x v="0"/>
    <x v="0"/>
    <x v="2"/>
    <x v="8"/>
    <x v="8"/>
    <x v="20"/>
  </r>
  <r>
    <x v="21"/>
    <x v="21"/>
    <x v="0"/>
    <x v="1"/>
    <x v="0"/>
    <x v="1"/>
    <x v="0"/>
    <x v="3"/>
    <x v="3"/>
    <x v="21"/>
  </r>
  <r>
    <x v="22"/>
    <x v="22"/>
    <x v="0"/>
    <x v="1"/>
    <x v="0"/>
    <x v="1"/>
    <x v="1"/>
    <x v="3"/>
    <x v="3"/>
    <x v="22"/>
  </r>
  <r>
    <x v="23"/>
    <x v="23"/>
    <x v="0"/>
    <x v="1"/>
    <x v="0"/>
    <x v="1"/>
    <x v="2"/>
    <x v="3"/>
    <x v="3"/>
    <x v="23"/>
  </r>
  <r>
    <x v="24"/>
    <x v="24"/>
    <x v="0"/>
    <x v="1"/>
    <x v="0"/>
    <x v="2"/>
    <x v="0"/>
    <x v="3"/>
    <x v="3"/>
    <x v="24"/>
  </r>
  <r>
    <x v="25"/>
    <x v="25"/>
    <x v="0"/>
    <x v="1"/>
    <x v="0"/>
    <x v="2"/>
    <x v="1"/>
    <x v="3"/>
    <x v="3"/>
    <x v="25"/>
  </r>
  <r>
    <x v="26"/>
    <x v="26"/>
    <x v="0"/>
    <x v="1"/>
    <x v="0"/>
    <x v="2"/>
    <x v="2"/>
    <x v="3"/>
    <x v="3"/>
    <x v="26"/>
  </r>
  <r>
    <x v="27"/>
    <x v="27"/>
    <x v="0"/>
    <x v="1"/>
    <x v="1"/>
    <x v="0"/>
    <x v="0"/>
    <x v="3"/>
    <x v="3"/>
    <x v="27"/>
  </r>
  <r>
    <x v="28"/>
    <x v="28"/>
    <x v="0"/>
    <x v="1"/>
    <x v="1"/>
    <x v="0"/>
    <x v="1"/>
    <x v="9"/>
    <x v="9"/>
    <x v="28"/>
  </r>
  <r>
    <x v="29"/>
    <x v="29"/>
    <x v="0"/>
    <x v="1"/>
    <x v="1"/>
    <x v="0"/>
    <x v="2"/>
    <x v="10"/>
    <x v="10"/>
    <x v="29"/>
  </r>
  <r>
    <x v="30"/>
    <x v="30"/>
    <x v="0"/>
    <x v="1"/>
    <x v="1"/>
    <x v="1"/>
    <x v="0"/>
    <x v="3"/>
    <x v="3"/>
    <x v="30"/>
  </r>
  <r>
    <x v="31"/>
    <x v="31"/>
    <x v="0"/>
    <x v="1"/>
    <x v="1"/>
    <x v="1"/>
    <x v="1"/>
    <x v="3"/>
    <x v="3"/>
    <x v="31"/>
  </r>
  <r>
    <x v="32"/>
    <x v="32"/>
    <x v="0"/>
    <x v="1"/>
    <x v="1"/>
    <x v="1"/>
    <x v="2"/>
    <x v="11"/>
    <x v="11"/>
    <x v="32"/>
  </r>
  <r>
    <x v="33"/>
    <x v="33"/>
    <x v="0"/>
    <x v="1"/>
    <x v="1"/>
    <x v="2"/>
    <x v="0"/>
    <x v="3"/>
    <x v="3"/>
    <x v="33"/>
  </r>
  <r>
    <x v="34"/>
    <x v="34"/>
    <x v="0"/>
    <x v="1"/>
    <x v="1"/>
    <x v="2"/>
    <x v="1"/>
    <x v="12"/>
    <x v="12"/>
    <x v="34"/>
  </r>
  <r>
    <x v="35"/>
    <x v="35"/>
    <x v="0"/>
    <x v="1"/>
    <x v="1"/>
    <x v="2"/>
    <x v="2"/>
    <x v="13"/>
    <x v="13"/>
    <x v="35"/>
  </r>
  <r>
    <x v="36"/>
    <x v="36"/>
    <x v="0"/>
    <x v="2"/>
    <x v="0"/>
    <x v="0"/>
    <x v="0"/>
    <x v="3"/>
    <x v="3"/>
    <x v="36"/>
  </r>
  <r>
    <x v="37"/>
    <x v="37"/>
    <x v="0"/>
    <x v="2"/>
    <x v="0"/>
    <x v="0"/>
    <x v="1"/>
    <x v="14"/>
    <x v="14"/>
    <x v="37"/>
  </r>
  <r>
    <x v="38"/>
    <x v="38"/>
    <x v="0"/>
    <x v="2"/>
    <x v="0"/>
    <x v="0"/>
    <x v="2"/>
    <x v="14"/>
    <x v="14"/>
    <x v="38"/>
  </r>
  <r>
    <x v="39"/>
    <x v="39"/>
    <x v="0"/>
    <x v="2"/>
    <x v="0"/>
    <x v="1"/>
    <x v="0"/>
    <x v="3"/>
    <x v="3"/>
    <x v="39"/>
  </r>
  <r>
    <x v="40"/>
    <x v="40"/>
    <x v="0"/>
    <x v="2"/>
    <x v="0"/>
    <x v="1"/>
    <x v="1"/>
    <x v="3"/>
    <x v="3"/>
    <x v="40"/>
  </r>
  <r>
    <x v="41"/>
    <x v="41"/>
    <x v="0"/>
    <x v="2"/>
    <x v="0"/>
    <x v="1"/>
    <x v="2"/>
    <x v="7"/>
    <x v="7"/>
    <x v="41"/>
  </r>
  <r>
    <x v="42"/>
    <x v="42"/>
    <x v="0"/>
    <x v="2"/>
    <x v="0"/>
    <x v="2"/>
    <x v="0"/>
    <x v="3"/>
    <x v="3"/>
    <x v="42"/>
  </r>
  <r>
    <x v="43"/>
    <x v="43"/>
    <x v="0"/>
    <x v="2"/>
    <x v="0"/>
    <x v="2"/>
    <x v="1"/>
    <x v="3"/>
    <x v="3"/>
    <x v="43"/>
  </r>
  <r>
    <x v="44"/>
    <x v="44"/>
    <x v="0"/>
    <x v="2"/>
    <x v="0"/>
    <x v="2"/>
    <x v="2"/>
    <x v="3"/>
    <x v="3"/>
    <x v="44"/>
  </r>
  <r>
    <x v="45"/>
    <x v="45"/>
    <x v="0"/>
    <x v="2"/>
    <x v="1"/>
    <x v="0"/>
    <x v="0"/>
    <x v="3"/>
    <x v="3"/>
    <x v="45"/>
  </r>
  <r>
    <x v="46"/>
    <x v="46"/>
    <x v="0"/>
    <x v="2"/>
    <x v="1"/>
    <x v="0"/>
    <x v="1"/>
    <x v="15"/>
    <x v="15"/>
    <x v="46"/>
  </r>
  <r>
    <x v="47"/>
    <x v="47"/>
    <x v="0"/>
    <x v="2"/>
    <x v="1"/>
    <x v="0"/>
    <x v="2"/>
    <x v="16"/>
    <x v="16"/>
    <x v="47"/>
  </r>
  <r>
    <x v="48"/>
    <x v="48"/>
    <x v="0"/>
    <x v="2"/>
    <x v="1"/>
    <x v="1"/>
    <x v="0"/>
    <x v="3"/>
    <x v="3"/>
    <x v="48"/>
  </r>
  <r>
    <x v="49"/>
    <x v="49"/>
    <x v="0"/>
    <x v="2"/>
    <x v="1"/>
    <x v="1"/>
    <x v="1"/>
    <x v="14"/>
    <x v="14"/>
    <x v="49"/>
  </r>
  <r>
    <x v="50"/>
    <x v="50"/>
    <x v="0"/>
    <x v="2"/>
    <x v="1"/>
    <x v="1"/>
    <x v="2"/>
    <x v="17"/>
    <x v="17"/>
    <x v="50"/>
  </r>
  <r>
    <x v="51"/>
    <x v="51"/>
    <x v="0"/>
    <x v="2"/>
    <x v="1"/>
    <x v="2"/>
    <x v="0"/>
    <x v="3"/>
    <x v="3"/>
    <x v="51"/>
  </r>
  <r>
    <x v="52"/>
    <x v="52"/>
    <x v="0"/>
    <x v="2"/>
    <x v="1"/>
    <x v="2"/>
    <x v="1"/>
    <x v="18"/>
    <x v="18"/>
    <x v="52"/>
  </r>
  <r>
    <x v="53"/>
    <x v="53"/>
    <x v="0"/>
    <x v="2"/>
    <x v="1"/>
    <x v="2"/>
    <x v="2"/>
    <x v="19"/>
    <x v="19"/>
    <x v="53"/>
  </r>
  <r>
    <x v="54"/>
    <x v="54"/>
    <x v="0"/>
    <x v="3"/>
    <x v="0"/>
    <x v="0"/>
    <x v="0"/>
    <x v="3"/>
    <x v="3"/>
    <x v="54"/>
  </r>
  <r>
    <x v="55"/>
    <x v="55"/>
    <x v="0"/>
    <x v="3"/>
    <x v="0"/>
    <x v="0"/>
    <x v="1"/>
    <x v="3"/>
    <x v="3"/>
    <x v="55"/>
  </r>
  <r>
    <x v="56"/>
    <x v="56"/>
    <x v="0"/>
    <x v="3"/>
    <x v="0"/>
    <x v="0"/>
    <x v="2"/>
    <x v="3"/>
    <x v="3"/>
    <x v="56"/>
  </r>
  <r>
    <x v="57"/>
    <x v="57"/>
    <x v="0"/>
    <x v="3"/>
    <x v="0"/>
    <x v="1"/>
    <x v="0"/>
    <x v="3"/>
    <x v="3"/>
    <x v="57"/>
  </r>
  <r>
    <x v="58"/>
    <x v="58"/>
    <x v="0"/>
    <x v="3"/>
    <x v="0"/>
    <x v="1"/>
    <x v="1"/>
    <x v="3"/>
    <x v="3"/>
    <x v="58"/>
  </r>
  <r>
    <x v="59"/>
    <x v="59"/>
    <x v="0"/>
    <x v="3"/>
    <x v="0"/>
    <x v="1"/>
    <x v="2"/>
    <x v="3"/>
    <x v="3"/>
    <x v="59"/>
  </r>
  <r>
    <x v="60"/>
    <x v="60"/>
    <x v="0"/>
    <x v="3"/>
    <x v="0"/>
    <x v="2"/>
    <x v="0"/>
    <x v="3"/>
    <x v="3"/>
    <x v="60"/>
  </r>
  <r>
    <x v="61"/>
    <x v="61"/>
    <x v="0"/>
    <x v="3"/>
    <x v="0"/>
    <x v="2"/>
    <x v="1"/>
    <x v="3"/>
    <x v="3"/>
    <x v="61"/>
  </r>
  <r>
    <x v="62"/>
    <x v="62"/>
    <x v="0"/>
    <x v="3"/>
    <x v="0"/>
    <x v="2"/>
    <x v="2"/>
    <x v="20"/>
    <x v="20"/>
    <x v="62"/>
  </r>
  <r>
    <x v="63"/>
    <x v="63"/>
    <x v="0"/>
    <x v="3"/>
    <x v="1"/>
    <x v="0"/>
    <x v="0"/>
    <x v="3"/>
    <x v="3"/>
    <x v="63"/>
  </r>
  <r>
    <x v="64"/>
    <x v="64"/>
    <x v="0"/>
    <x v="3"/>
    <x v="1"/>
    <x v="0"/>
    <x v="1"/>
    <x v="0"/>
    <x v="0"/>
    <x v="64"/>
  </r>
  <r>
    <x v="65"/>
    <x v="65"/>
    <x v="0"/>
    <x v="3"/>
    <x v="1"/>
    <x v="0"/>
    <x v="2"/>
    <x v="21"/>
    <x v="21"/>
    <x v="65"/>
  </r>
  <r>
    <x v="66"/>
    <x v="66"/>
    <x v="0"/>
    <x v="3"/>
    <x v="1"/>
    <x v="1"/>
    <x v="0"/>
    <x v="22"/>
    <x v="22"/>
    <x v="66"/>
  </r>
  <r>
    <x v="67"/>
    <x v="67"/>
    <x v="0"/>
    <x v="3"/>
    <x v="1"/>
    <x v="1"/>
    <x v="1"/>
    <x v="3"/>
    <x v="3"/>
    <x v="67"/>
  </r>
  <r>
    <x v="68"/>
    <x v="68"/>
    <x v="0"/>
    <x v="3"/>
    <x v="1"/>
    <x v="1"/>
    <x v="2"/>
    <x v="23"/>
    <x v="23"/>
    <x v="68"/>
  </r>
  <r>
    <x v="69"/>
    <x v="69"/>
    <x v="0"/>
    <x v="3"/>
    <x v="1"/>
    <x v="2"/>
    <x v="0"/>
    <x v="14"/>
    <x v="14"/>
    <x v="69"/>
  </r>
  <r>
    <x v="70"/>
    <x v="70"/>
    <x v="0"/>
    <x v="3"/>
    <x v="1"/>
    <x v="2"/>
    <x v="1"/>
    <x v="20"/>
    <x v="20"/>
    <x v="70"/>
  </r>
  <r>
    <x v="71"/>
    <x v="71"/>
    <x v="0"/>
    <x v="3"/>
    <x v="1"/>
    <x v="2"/>
    <x v="2"/>
    <x v="24"/>
    <x v="24"/>
    <x v="71"/>
  </r>
  <r>
    <x v="72"/>
    <x v="72"/>
    <x v="0"/>
    <x v="4"/>
    <x v="0"/>
    <x v="0"/>
    <x v="0"/>
    <x v="3"/>
    <x v="3"/>
    <x v="72"/>
  </r>
  <r>
    <x v="73"/>
    <x v="73"/>
    <x v="0"/>
    <x v="4"/>
    <x v="0"/>
    <x v="0"/>
    <x v="1"/>
    <x v="7"/>
    <x v="7"/>
    <x v="73"/>
  </r>
  <r>
    <x v="74"/>
    <x v="74"/>
    <x v="0"/>
    <x v="4"/>
    <x v="0"/>
    <x v="0"/>
    <x v="2"/>
    <x v="0"/>
    <x v="0"/>
    <x v="74"/>
  </r>
  <r>
    <x v="75"/>
    <x v="75"/>
    <x v="0"/>
    <x v="4"/>
    <x v="0"/>
    <x v="1"/>
    <x v="0"/>
    <x v="3"/>
    <x v="3"/>
    <x v="75"/>
  </r>
  <r>
    <x v="76"/>
    <x v="76"/>
    <x v="0"/>
    <x v="4"/>
    <x v="0"/>
    <x v="1"/>
    <x v="1"/>
    <x v="3"/>
    <x v="3"/>
    <x v="76"/>
  </r>
  <r>
    <x v="77"/>
    <x v="77"/>
    <x v="0"/>
    <x v="4"/>
    <x v="0"/>
    <x v="1"/>
    <x v="2"/>
    <x v="3"/>
    <x v="3"/>
    <x v="77"/>
  </r>
  <r>
    <x v="78"/>
    <x v="78"/>
    <x v="0"/>
    <x v="4"/>
    <x v="0"/>
    <x v="2"/>
    <x v="0"/>
    <x v="3"/>
    <x v="3"/>
    <x v="78"/>
  </r>
  <r>
    <x v="79"/>
    <x v="79"/>
    <x v="0"/>
    <x v="4"/>
    <x v="0"/>
    <x v="2"/>
    <x v="1"/>
    <x v="3"/>
    <x v="3"/>
    <x v="79"/>
  </r>
  <r>
    <x v="80"/>
    <x v="80"/>
    <x v="0"/>
    <x v="4"/>
    <x v="0"/>
    <x v="2"/>
    <x v="2"/>
    <x v="25"/>
    <x v="25"/>
    <x v="80"/>
  </r>
  <r>
    <x v="81"/>
    <x v="81"/>
    <x v="0"/>
    <x v="4"/>
    <x v="1"/>
    <x v="0"/>
    <x v="0"/>
    <x v="4"/>
    <x v="4"/>
    <x v="81"/>
  </r>
  <r>
    <x v="82"/>
    <x v="82"/>
    <x v="0"/>
    <x v="4"/>
    <x v="1"/>
    <x v="0"/>
    <x v="1"/>
    <x v="26"/>
    <x v="26"/>
    <x v="82"/>
  </r>
  <r>
    <x v="83"/>
    <x v="83"/>
    <x v="0"/>
    <x v="4"/>
    <x v="1"/>
    <x v="0"/>
    <x v="2"/>
    <x v="27"/>
    <x v="27"/>
    <x v="83"/>
  </r>
  <r>
    <x v="84"/>
    <x v="84"/>
    <x v="0"/>
    <x v="4"/>
    <x v="1"/>
    <x v="1"/>
    <x v="0"/>
    <x v="3"/>
    <x v="3"/>
    <x v="84"/>
  </r>
  <r>
    <x v="85"/>
    <x v="85"/>
    <x v="0"/>
    <x v="4"/>
    <x v="1"/>
    <x v="1"/>
    <x v="1"/>
    <x v="19"/>
    <x v="19"/>
    <x v="85"/>
  </r>
  <r>
    <x v="86"/>
    <x v="86"/>
    <x v="0"/>
    <x v="4"/>
    <x v="1"/>
    <x v="1"/>
    <x v="2"/>
    <x v="28"/>
    <x v="28"/>
    <x v="86"/>
  </r>
  <r>
    <x v="87"/>
    <x v="87"/>
    <x v="0"/>
    <x v="4"/>
    <x v="1"/>
    <x v="2"/>
    <x v="0"/>
    <x v="3"/>
    <x v="3"/>
    <x v="87"/>
  </r>
  <r>
    <x v="88"/>
    <x v="88"/>
    <x v="0"/>
    <x v="4"/>
    <x v="1"/>
    <x v="2"/>
    <x v="1"/>
    <x v="29"/>
    <x v="29"/>
    <x v="88"/>
  </r>
  <r>
    <x v="89"/>
    <x v="89"/>
    <x v="0"/>
    <x v="4"/>
    <x v="1"/>
    <x v="2"/>
    <x v="2"/>
    <x v="30"/>
    <x v="30"/>
    <x v="89"/>
  </r>
  <r>
    <x v="90"/>
    <x v="90"/>
    <x v="1"/>
    <x v="0"/>
    <x v="0"/>
    <x v="0"/>
    <x v="0"/>
    <x v="3"/>
    <x v="3"/>
    <x v="90"/>
  </r>
  <r>
    <x v="91"/>
    <x v="91"/>
    <x v="1"/>
    <x v="0"/>
    <x v="0"/>
    <x v="0"/>
    <x v="1"/>
    <x v="3"/>
    <x v="3"/>
    <x v="91"/>
  </r>
  <r>
    <x v="92"/>
    <x v="92"/>
    <x v="1"/>
    <x v="0"/>
    <x v="0"/>
    <x v="0"/>
    <x v="2"/>
    <x v="31"/>
    <x v="31"/>
    <x v="92"/>
  </r>
  <r>
    <x v="93"/>
    <x v="93"/>
    <x v="1"/>
    <x v="0"/>
    <x v="0"/>
    <x v="1"/>
    <x v="0"/>
    <x v="3"/>
    <x v="3"/>
    <x v="93"/>
  </r>
  <r>
    <x v="94"/>
    <x v="94"/>
    <x v="1"/>
    <x v="0"/>
    <x v="0"/>
    <x v="1"/>
    <x v="1"/>
    <x v="3"/>
    <x v="3"/>
    <x v="94"/>
  </r>
  <r>
    <x v="95"/>
    <x v="95"/>
    <x v="1"/>
    <x v="0"/>
    <x v="0"/>
    <x v="1"/>
    <x v="2"/>
    <x v="3"/>
    <x v="3"/>
    <x v="95"/>
  </r>
  <r>
    <x v="96"/>
    <x v="96"/>
    <x v="1"/>
    <x v="0"/>
    <x v="0"/>
    <x v="2"/>
    <x v="0"/>
    <x v="3"/>
    <x v="3"/>
    <x v="96"/>
  </r>
  <r>
    <x v="97"/>
    <x v="97"/>
    <x v="1"/>
    <x v="0"/>
    <x v="0"/>
    <x v="2"/>
    <x v="1"/>
    <x v="3"/>
    <x v="3"/>
    <x v="97"/>
  </r>
  <r>
    <x v="98"/>
    <x v="98"/>
    <x v="1"/>
    <x v="0"/>
    <x v="0"/>
    <x v="2"/>
    <x v="2"/>
    <x v="3"/>
    <x v="3"/>
    <x v="98"/>
  </r>
  <r>
    <x v="99"/>
    <x v="99"/>
    <x v="1"/>
    <x v="0"/>
    <x v="1"/>
    <x v="0"/>
    <x v="0"/>
    <x v="3"/>
    <x v="3"/>
    <x v="99"/>
  </r>
  <r>
    <x v="100"/>
    <x v="100"/>
    <x v="1"/>
    <x v="0"/>
    <x v="1"/>
    <x v="0"/>
    <x v="1"/>
    <x v="3"/>
    <x v="3"/>
    <x v="100"/>
  </r>
  <r>
    <x v="101"/>
    <x v="101"/>
    <x v="1"/>
    <x v="0"/>
    <x v="1"/>
    <x v="0"/>
    <x v="2"/>
    <x v="32"/>
    <x v="32"/>
    <x v="101"/>
  </r>
  <r>
    <x v="102"/>
    <x v="102"/>
    <x v="1"/>
    <x v="0"/>
    <x v="1"/>
    <x v="1"/>
    <x v="0"/>
    <x v="3"/>
    <x v="3"/>
    <x v="102"/>
  </r>
  <r>
    <x v="103"/>
    <x v="103"/>
    <x v="1"/>
    <x v="0"/>
    <x v="1"/>
    <x v="1"/>
    <x v="1"/>
    <x v="3"/>
    <x v="3"/>
    <x v="103"/>
  </r>
  <r>
    <x v="104"/>
    <x v="104"/>
    <x v="1"/>
    <x v="0"/>
    <x v="1"/>
    <x v="1"/>
    <x v="2"/>
    <x v="33"/>
    <x v="33"/>
    <x v="104"/>
  </r>
  <r>
    <x v="105"/>
    <x v="105"/>
    <x v="1"/>
    <x v="0"/>
    <x v="1"/>
    <x v="2"/>
    <x v="0"/>
    <x v="3"/>
    <x v="3"/>
    <x v="105"/>
  </r>
  <r>
    <x v="106"/>
    <x v="106"/>
    <x v="1"/>
    <x v="0"/>
    <x v="1"/>
    <x v="2"/>
    <x v="1"/>
    <x v="3"/>
    <x v="3"/>
    <x v="106"/>
  </r>
  <r>
    <x v="107"/>
    <x v="107"/>
    <x v="1"/>
    <x v="0"/>
    <x v="1"/>
    <x v="2"/>
    <x v="2"/>
    <x v="34"/>
    <x v="34"/>
    <x v="107"/>
  </r>
  <r>
    <x v="108"/>
    <x v="108"/>
    <x v="1"/>
    <x v="1"/>
    <x v="0"/>
    <x v="0"/>
    <x v="0"/>
    <x v="3"/>
    <x v="3"/>
    <x v="108"/>
  </r>
  <r>
    <x v="109"/>
    <x v="109"/>
    <x v="1"/>
    <x v="1"/>
    <x v="0"/>
    <x v="0"/>
    <x v="1"/>
    <x v="3"/>
    <x v="3"/>
    <x v="109"/>
  </r>
  <r>
    <x v="110"/>
    <x v="110"/>
    <x v="1"/>
    <x v="1"/>
    <x v="0"/>
    <x v="0"/>
    <x v="2"/>
    <x v="3"/>
    <x v="3"/>
    <x v="110"/>
  </r>
  <r>
    <x v="111"/>
    <x v="111"/>
    <x v="1"/>
    <x v="1"/>
    <x v="0"/>
    <x v="1"/>
    <x v="0"/>
    <x v="3"/>
    <x v="3"/>
    <x v="111"/>
  </r>
  <r>
    <x v="112"/>
    <x v="112"/>
    <x v="1"/>
    <x v="1"/>
    <x v="0"/>
    <x v="1"/>
    <x v="1"/>
    <x v="3"/>
    <x v="3"/>
    <x v="112"/>
  </r>
  <r>
    <x v="113"/>
    <x v="113"/>
    <x v="1"/>
    <x v="1"/>
    <x v="0"/>
    <x v="1"/>
    <x v="2"/>
    <x v="3"/>
    <x v="3"/>
    <x v="113"/>
  </r>
  <r>
    <x v="114"/>
    <x v="114"/>
    <x v="1"/>
    <x v="1"/>
    <x v="0"/>
    <x v="2"/>
    <x v="0"/>
    <x v="3"/>
    <x v="3"/>
    <x v="114"/>
  </r>
  <r>
    <x v="115"/>
    <x v="115"/>
    <x v="1"/>
    <x v="1"/>
    <x v="0"/>
    <x v="2"/>
    <x v="1"/>
    <x v="3"/>
    <x v="3"/>
    <x v="115"/>
  </r>
  <r>
    <x v="116"/>
    <x v="116"/>
    <x v="1"/>
    <x v="1"/>
    <x v="0"/>
    <x v="2"/>
    <x v="2"/>
    <x v="35"/>
    <x v="35"/>
    <x v="116"/>
  </r>
  <r>
    <x v="117"/>
    <x v="117"/>
    <x v="1"/>
    <x v="1"/>
    <x v="1"/>
    <x v="0"/>
    <x v="0"/>
    <x v="3"/>
    <x v="3"/>
    <x v="117"/>
  </r>
  <r>
    <x v="118"/>
    <x v="118"/>
    <x v="1"/>
    <x v="1"/>
    <x v="1"/>
    <x v="0"/>
    <x v="1"/>
    <x v="0"/>
    <x v="0"/>
    <x v="118"/>
  </r>
  <r>
    <x v="119"/>
    <x v="119"/>
    <x v="1"/>
    <x v="1"/>
    <x v="1"/>
    <x v="0"/>
    <x v="2"/>
    <x v="3"/>
    <x v="3"/>
    <x v="119"/>
  </r>
  <r>
    <x v="120"/>
    <x v="120"/>
    <x v="1"/>
    <x v="1"/>
    <x v="1"/>
    <x v="1"/>
    <x v="0"/>
    <x v="3"/>
    <x v="3"/>
    <x v="120"/>
  </r>
  <r>
    <x v="121"/>
    <x v="121"/>
    <x v="1"/>
    <x v="1"/>
    <x v="1"/>
    <x v="1"/>
    <x v="1"/>
    <x v="3"/>
    <x v="3"/>
    <x v="121"/>
  </r>
  <r>
    <x v="122"/>
    <x v="122"/>
    <x v="1"/>
    <x v="1"/>
    <x v="1"/>
    <x v="1"/>
    <x v="2"/>
    <x v="0"/>
    <x v="0"/>
    <x v="122"/>
  </r>
  <r>
    <x v="123"/>
    <x v="123"/>
    <x v="1"/>
    <x v="1"/>
    <x v="1"/>
    <x v="2"/>
    <x v="0"/>
    <x v="3"/>
    <x v="3"/>
    <x v="123"/>
  </r>
  <r>
    <x v="124"/>
    <x v="124"/>
    <x v="1"/>
    <x v="1"/>
    <x v="1"/>
    <x v="2"/>
    <x v="1"/>
    <x v="3"/>
    <x v="3"/>
    <x v="124"/>
  </r>
  <r>
    <x v="125"/>
    <x v="125"/>
    <x v="1"/>
    <x v="1"/>
    <x v="1"/>
    <x v="2"/>
    <x v="2"/>
    <x v="3"/>
    <x v="3"/>
    <x v="125"/>
  </r>
  <r>
    <x v="126"/>
    <x v="126"/>
    <x v="1"/>
    <x v="2"/>
    <x v="0"/>
    <x v="0"/>
    <x v="0"/>
    <x v="3"/>
    <x v="3"/>
    <x v="126"/>
  </r>
  <r>
    <x v="127"/>
    <x v="127"/>
    <x v="1"/>
    <x v="2"/>
    <x v="0"/>
    <x v="0"/>
    <x v="1"/>
    <x v="3"/>
    <x v="3"/>
    <x v="127"/>
  </r>
  <r>
    <x v="128"/>
    <x v="128"/>
    <x v="1"/>
    <x v="2"/>
    <x v="0"/>
    <x v="0"/>
    <x v="2"/>
    <x v="3"/>
    <x v="3"/>
    <x v="128"/>
  </r>
  <r>
    <x v="129"/>
    <x v="129"/>
    <x v="1"/>
    <x v="2"/>
    <x v="0"/>
    <x v="1"/>
    <x v="0"/>
    <x v="3"/>
    <x v="3"/>
    <x v="129"/>
  </r>
  <r>
    <x v="130"/>
    <x v="130"/>
    <x v="1"/>
    <x v="2"/>
    <x v="0"/>
    <x v="1"/>
    <x v="1"/>
    <x v="3"/>
    <x v="3"/>
    <x v="130"/>
  </r>
  <r>
    <x v="131"/>
    <x v="131"/>
    <x v="1"/>
    <x v="2"/>
    <x v="0"/>
    <x v="1"/>
    <x v="2"/>
    <x v="3"/>
    <x v="3"/>
    <x v="131"/>
  </r>
  <r>
    <x v="132"/>
    <x v="132"/>
    <x v="1"/>
    <x v="2"/>
    <x v="0"/>
    <x v="2"/>
    <x v="0"/>
    <x v="3"/>
    <x v="3"/>
    <x v="132"/>
  </r>
  <r>
    <x v="133"/>
    <x v="133"/>
    <x v="1"/>
    <x v="2"/>
    <x v="0"/>
    <x v="2"/>
    <x v="1"/>
    <x v="3"/>
    <x v="3"/>
    <x v="133"/>
  </r>
  <r>
    <x v="134"/>
    <x v="134"/>
    <x v="1"/>
    <x v="2"/>
    <x v="0"/>
    <x v="2"/>
    <x v="2"/>
    <x v="3"/>
    <x v="3"/>
    <x v="134"/>
  </r>
  <r>
    <x v="135"/>
    <x v="135"/>
    <x v="1"/>
    <x v="2"/>
    <x v="1"/>
    <x v="0"/>
    <x v="0"/>
    <x v="3"/>
    <x v="3"/>
    <x v="135"/>
  </r>
  <r>
    <x v="136"/>
    <x v="136"/>
    <x v="1"/>
    <x v="2"/>
    <x v="1"/>
    <x v="0"/>
    <x v="1"/>
    <x v="36"/>
    <x v="36"/>
    <x v="136"/>
  </r>
  <r>
    <x v="137"/>
    <x v="137"/>
    <x v="1"/>
    <x v="2"/>
    <x v="1"/>
    <x v="0"/>
    <x v="2"/>
    <x v="37"/>
    <x v="37"/>
    <x v="137"/>
  </r>
  <r>
    <x v="138"/>
    <x v="138"/>
    <x v="1"/>
    <x v="2"/>
    <x v="1"/>
    <x v="1"/>
    <x v="0"/>
    <x v="3"/>
    <x v="3"/>
    <x v="138"/>
  </r>
  <r>
    <x v="139"/>
    <x v="139"/>
    <x v="1"/>
    <x v="2"/>
    <x v="1"/>
    <x v="1"/>
    <x v="1"/>
    <x v="22"/>
    <x v="22"/>
    <x v="139"/>
  </r>
  <r>
    <x v="140"/>
    <x v="140"/>
    <x v="1"/>
    <x v="2"/>
    <x v="1"/>
    <x v="1"/>
    <x v="2"/>
    <x v="38"/>
    <x v="38"/>
    <x v="140"/>
  </r>
  <r>
    <x v="141"/>
    <x v="141"/>
    <x v="1"/>
    <x v="2"/>
    <x v="1"/>
    <x v="2"/>
    <x v="0"/>
    <x v="3"/>
    <x v="3"/>
    <x v="141"/>
  </r>
  <r>
    <x v="142"/>
    <x v="142"/>
    <x v="1"/>
    <x v="2"/>
    <x v="1"/>
    <x v="2"/>
    <x v="1"/>
    <x v="3"/>
    <x v="3"/>
    <x v="142"/>
  </r>
  <r>
    <x v="143"/>
    <x v="143"/>
    <x v="1"/>
    <x v="2"/>
    <x v="1"/>
    <x v="2"/>
    <x v="2"/>
    <x v="39"/>
    <x v="39"/>
    <x v="143"/>
  </r>
  <r>
    <x v="144"/>
    <x v="144"/>
    <x v="1"/>
    <x v="3"/>
    <x v="0"/>
    <x v="0"/>
    <x v="0"/>
    <x v="3"/>
    <x v="3"/>
    <x v="144"/>
  </r>
  <r>
    <x v="145"/>
    <x v="145"/>
    <x v="1"/>
    <x v="3"/>
    <x v="0"/>
    <x v="0"/>
    <x v="1"/>
    <x v="3"/>
    <x v="3"/>
    <x v="145"/>
  </r>
  <r>
    <x v="146"/>
    <x v="146"/>
    <x v="1"/>
    <x v="3"/>
    <x v="0"/>
    <x v="0"/>
    <x v="2"/>
    <x v="3"/>
    <x v="3"/>
    <x v="146"/>
  </r>
  <r>
    <x v="147"/>
    <x v="147"/>
    <x v="1"/>
    <x v="3"/>
    <x v="0"/>
    <x v="1"/>
    <x v="0"/>
    <x v="3"/>
    <x v="3"/>
    <x v="147"/>
  </r>
  <r>
    <x v="148"/>
    <x v="148"/>
    <x v="1"/>
    <x v="3"/>
    <x v="0"/>
    <x v="1"/>
    <x v="1"/>
    <x v="3"/>
    <x v="3"/>
    <x v="148"/>
  </r>
  <r>
    <x v="149"/>
    <x v="149"/>
    <x v="1"/>
    <x v="3"/>
    <x v="0"/>
    <x v="1"/>
    <x v="2"/>
    <x v="3"/>
    <x v="3"/>
    <x v="149"/>
  </r>
  <r>
    <x v="150"/>
    <x v="150"/>
    <x v="1"/>
    <x v="3"/>
    <x v="0"/>
    <x v="2"/>
    <x v="0"/>
    <x v="3"/>
    <x v="3"/>
    <x v="150"/>
  </r>
  <r>
    <x v="151"/>
    <x v="151"/>
    <x v="1"/>
    <x v="3"/>
    <x v="0"/>
    <x v="2"/>
    <x v="1"/>
    <x v="3"/>
    <x v="3"/>
    <x v="151"/>
  </r>
  <r>
    <x v="152"/>
    <x v="152"/>
    <x v="1"/>
    <x v="3"/>
    <x v="0"/>
    <x v="2"/>
    <x v="2"/>
    <x v="3"/>
    <x v="3"/>
    <x v="152"/>
  </r>
  <r>
    <x v="153"/>
    <x v="153"/>
    <x v="1"/>
    <x v="3"/>
    <x v="1"/>
    <x v="0"/>
    <x v="0"/>
    <x v="3"/>
    <x v="3"/>
    <x v="153"/>
  </r>
  <r>
    <x v="154"/>
    <x v="154"/>
    <x v="1"/>
    <x v="3"/>
    <x v="1"/>
    <x v="0"/>
    <x v="1"/>
    <x v="3"/>
    <x v="3"/>
    <x v="154"/>
  </r>
  <r>
    <x v="155"/>
    <x v="155"/>
    <x v="1"/>
    <x v="3"/>
    <x v="1"/>
    <x v="0"/>
    <x v="2"/>
    <x v="40"/>
    <x v="40"/>
    <x v="155"/>
  </r>
  <r>
    <x v="156"/>
    <x v="156"/>
    <x v="1"/>
    <x v="3"/>
    <x v="1"/>
    <x v="1"/>
    <x v="0"/>
    <x v="3"/>
    <x v="3"/>
    <x v="156"/>
  </r>
  <r>
    <x v="157"/>
    <x v="157"/>
    <x v="1"/>
    <x v="3"/>
    <x v="1"/>
    <x v="1"/>
    <x v="1"/>
    <x v="3"/>
    <x v="3"/>
    <x v="157"/>
  </r>
  <r>
    <x v="158"/>
    <x v="158"/>
    <x v="1"/>
    <x v="3"/>
    <x v="1"/>
    <x v="1"/>
    <x v="2"/>
    <x v="41"/>
    <x v="41"/>
    <x v="158"/>
  </r>
  <r>
    <x v="159"/>
    <x v="159"/>
    <x v="1"/>
    <x v="3"/>
    <x v="1"/>
    <x v="2"/>
    <x v="0"/>
    <x v="3"/>
    <x v="3"/>
    <x v="159"/>
  </r>
  <r>
    <x v="160"/>
    <x v="160"/>
    <x v="1"/>
    <x v="3"/>
    <x v="1"/>
    <x v="2"/>
    <x v="1"/>
    <x v="22"/>
    <x v="22"/>
    <x v="160"/>
  </r>
  <r>
    <x v="161"/>
    <x v="161"/>
    <x v="1"/>
    <x v="3"/>
    <x v="1"/>
    <x v="2"/>
    <x v="2"/>
    <x v="42"/>
    <x v="42"/>
    <x v="161"/>
  </r>
  <r>
    <x v="162"/>
    <x v="162"/>
    <x v="1"/>
    <x v="4"/>
    <x v="0"/>
    <x v="0"/>
    <x v="0"/>
    <x v="3"/>
    <x v="3"/>
    <x v="162"/>
  </r>
  <r>
    <x v="163"/>
    <x v="163"/>
    <x v="1"/>
    <x v="4"/>
    <x v="0"/>
    <x v="0"/>
    <x v="1"/>
    <x v="3"/>
    <x v="3"/>
    <x v="163"/>
  </r>
  <r>
    <x v="164"/>
    <x v="164"/>
    <x v="1"/>
    <x v="4"/>
    <x v="0"/>
    <x v="0"/>
    <x v="2"/>
    <x v="3"/>
    <x v="3"/>
    <x v="164"/>
  </r>
  <r>
    <x v="165"/>
    <x v="165"/>
    <x v="1"/>
    <x v="4"/>
    <x v="0"/>
    <x v="1"/>
    <x v="0"/>
    <x v="3"/>
    <x v="3"/>
    <x v="165"/>
  </r>
  <r>
    <x v="166"/>
    <x v="166"/>
    <x v="1"/>
    <x v="4"/>
    <x v="0"/>
    <x v="1"/>
    <x v="1"/>
    <x v="3"/>
    <x v="3"/>
    <x v="166"/>
  </r>
  <r>
    <x v="167"/>
    <x v="167"/>
    <x v="1"/>
    <x v="4"/>
    <x v="0"/>
    <x v="1"/>
    <x v="2"/>
    <x v="3"/>
    <x v="3"/>
    <x v="167"/>
  </r>
  <r>
    <x v="168"/>
    <x v="168"/>
    <x v="1"/>
    <x v="4"/>
    <x v="0"/>
    <x v="2"/>
    <x v="0"/>
    <x v="3"/>
    <x v="3"/>
    <x v="168"/>
  </r>
  <r>
    <x v="169"/>
    <x v="169"/>
    <x v="1"/>
    <x v="4"/>
    <x v="0"/>
    <x v="2"/>
    <x v="1"/>
    <x v="3"/>
    <x v="3"/>
    <x v="169"/>
  </r>
  <r>
    <x v="170"/>
    <x v="170"/>
    <x v="1"/>
    <x v="4"/>
    <x v="0"/>
    <x v="2"/>
    <x v="2"/>
    <x v="14"/>
    <x v="14"/>
    <x v="170"/>
  </r>
  <r>
    <x v="171"/>
    <x v="171"/>
    <x v="1"/>
    <x v="4"/>
    <x v="1"/>
    <x v="0"/>
    <x v="0"/>
    <x v="0"/>
    <x v="0"/>
    <x v="171"/>
  </r>
  <r>
    <x v="172"/>
    <x v="172"/>
    <x v="1"/>
    <x v="4"/>
    <x v="1"/>
    <x v="0"/>
    <x v="1"/>
    <x v="3"/>
    <x v="3"/>
    <x v="172"/>
  </r>
  <r>
    <x v="173"/>
    <x v="173"/>
    <x v="1"/>
    <x v="4"/>
    <x v="1"/>
    <x v="0"/>
    <x v="2"/>
    <x v="43"/>
    <x v="43"/>
    <x v="173"/>
  </r>
  <r>
    <x v="174"/>
    <x v="174"/>
    <x v="1"/>
    <x v="4"/>
    <x v="1"/>
    <x v="1"/>
    <x v="0"/>
    <x v="3"/>
    <x v="3"/>
    <x v="174"/>
  </r>
  <r>
    <x v="175"/>
    <x v="175"/>
    <x v="1"/>
    <x v="4"/>
    <x v="1"/>
    <x v="1"/>
    <x v="1"/>
    <x v="3"/>
    <x v="3"/>
    <x v="175"/>
  </r>
  <r>
    <x v="176"/>
    <x v="176"/>
    <x v="1"/>
    <x v="4"/>
    <x v="1"/>
    <x v="1"/>
    <x v="2"/>
    <x v="44"/>
    <x v="44"/>
    <x v="176"/>
  </r>
  <r>
    <x v="177"/>
    <x v="177"/>
    <x v="1"/>
    <x v="4"/>
    <x v="1"/>
    <x v="2"/>
    <x v="0"/>
    <x v="36"/>
    <x v="36"/>
    <x v="177"/>
  </r>
  <r>
    <x v="178"/>
    <x v="178"/>
    <x v="1"/>
    <x v="4"/>
    <x v="1"/>
    <x v="2"/>
    <x v="1"/>
    <x v="3"/>
    <x v="3"/>
    <x v="178"/>
  </r>
  <r>
    <x v="179"/>
    <x v="179"/>
    <x v="1"/>
    <x v="4"/>
    <x v="1"/>
    <x v="2"/>
    <x v="2"/>
    <x v="45"/>
    <x v="45"/>
    <x v="179"/>
  </r>
  <r>
    <x v="180"/>
    <x v="180"/>
    <x v="2"/>
    <x v="0"/>
    <x v="0"/>
    <x v="0"/>
    <x v="0"/>
    <x v="3"/>
    <x v="3"/>
    <x v="180"/>
  </r>
  <r>
    <x v="181"/>
    <x v="181"/>
    <x v="2"/>
    <x v="0"/>
    <x v="0"/>
    <x v="0"/>
    <x v="1"/>
    <x v="3"/>
    <x v="3"/>
    <x v="181"/>
  </r>
  <r>
    <x v="182"/>
    <x v="182"/>
    <x v="2"/>
    <x v="0"/>
    <x v="0"/>
    <x v="0"/>
    <x v="2"/>
    <x v="3"/>
    <x v="3"/>
    <x v="182"/>
  </r>
  <r>
    <x v="183"/>
    <x v="183"/>
    <x v="2"/>
    <x v="0"/>
    <x v="0"/>
    <x v="1"/>
    <x v="0"/>
    <x v="3"/>
    <x v="3"/>
    <x v="183"/>
  </r>
  <r>
    <x v="184"/>
    <x v="184"/>
    <x v="2"/>
    <x v="0"/>
    <x v="0"/>
    <x v="1"/>
    <x v="1"/>
    <x v="3"/>
    <x v="3"/>
    <x v="184"/>
  </r>
  <r>
    <x v="185"/>
    <x v="185"/>
    <x v="2"/>
    <x v="0"/>
    <x v="0"/>
    <x v="1"/>
    <x v="2"/>
    <x v="3"/>
    <x v="3"/>
    <x v="185"/>
  </r>
  <r>
    <x v="186"/>
    <x v="186"/>
    <x v="2"/>
    <x v="0"/>
    <x v="0"/>
    <x v="2"/>
    <x v="0"/>
    <x v="3"/>
    <x v="3"/>
    <x v="186"/>
  </r>
  <r>
    <x v="187"/>
    <x v="187"/>
    <x v="2"/>
    <x v="0"/>
    <x v="0"/>
    <x v="2"/>
    <x v="1"/>
    <x v="3"/>
    <x v="3"/>
    <x v="187"/>
  </r>
  <r>
    <x v="188"/>
    <x v="188"/>
    <x v="2"/>
    <x v="0"/>
    <x v="0"/>
    <x v="2"/>
    <x v="2"/>
    <x v="3"/>
    <x v="3"/>
    <x v="188"/>
  </r>
  <r>
    <x v="189"/>
    <x v="189"/>
    <x v="2"/>
    <x v="0"/>
    <x v="1"/>
    <x v="0"/>
    <x v="0"/>
    <x v="3"/>
    <x v="3"/>
    <x v="189"/>
  </r>
  <r>
    <x v="190"/>
    <x v="190"/>
    <x v="2"/>
    <x v="0"/>
    <x v="1"/>
    <x v="0"/>
    <x v="1"/>
    <x v="3"/>
    <x v="3"/>
    <x v="190"/>
  </r>
  <r>
    <x v="191"/>
    <x v="191"/>
    <x v="2"/>
    <x v="0"/>
    <x v="1"/>
    <x v="0"/>
    <x v="2"/>
    <x v="3"/>
    <x v="3"/>
    <x v="191"/>
  </r>
  <r>
    <x v="192"/>
    <x v="192"/>
    <x v="2"/>
    <x v="0"/>
    <x v="1"/>
    <x v="1"/>
    <x v="0"/>
    <x v="3"/>
    <x v="3"/>
    <x v="192"/>
  </r>
  <r>
    <x v="193"/>
    <x v="193"/>
    <x v="2"/>
    <x v="0"/>
    <x v="1"/>
    <x v="1"/>
    <x v="1"/>
    <x v="3"/>
    <x v="3"/>
    <x v="193"/>
  </r>
  <r>
    <x v="194"/>
    <x v="194"/>
    <x v="2"/>
    <x v="0"/>
    <x v="1"/>
    <x v="1"/>
    <x v="2"/>
    <x v="3"/>
    <x v="3"/>
    <x v="194"/>
  </r>
  <r>
    <x v="195"/>
    <x v="195"/>
    <x v="2"/>
    <x v="0"/>
    <x v="1"/>
    <x v="2"/>
    <x v="0"/>
    <x v="3"/>
    <x v="3"/>
    <x v="195"/>
  </r>
  <r>
    <x v="196"/>
    <x v="196"/>
    <x v="2"/>
    <x v="0"/>
    <x v="1"/>
    <x v="2"/>
    <x v="1"/>
    <x v="0"/>
    <x v="0"/>
    <x v="196"/>
  </r>
  <r>
    <x v="197"/>
    <x v="197"/>
    <x v="2"/>
    <x v="0"/>
    <x v="1"/>
    <x v="2"/>
    <x v="2"/>
    <x v="3"/>
    <x v="3"/>
    <x v="197"/>
  </r>
  <r>
    <x v="198"/>
    <x v="198"/>
    <x v="2"/>
    <x v="1"/>
    <x v="0"/>
    <x v="0"/>
    <x v="0"/>
    <x v="3"/>
    <x v="3"/>
    <x v="198"/>
  </r>
  <r>
    <x v="199"/>
    <x v="199"/>
    <x v="2"/>
    <x v="1"/>
    <x v="0"/>
    <x v="0"/>
    <x v="1"/>
    <x v="3"/>
    <x v="3"/>
    <x v="199"/>
  </r>
  <r>
    <x v="200"/>
    <x v="200"/>
    <x v="2"/>
    <x v="1"/>
    <x v="0"/>
    <x v="0"/>
    <x v="2"/>
    <x v="46"/>
    <x v="46"/>
    <x v="200"/>
  </r>
  <r>
    <x v="201"/>
    <x v="201"/>
    <x v="2"/>
    <x v="1"/>
    <x v="0"/>
    <x v="1"/>
    <x v="0"/>
    <x v="3"/>
    <x v="3"/>
    <x v="201"/>
  </r>
  <r>
    <x v="202"/>
    <x v="202"/>
    <x v="2"/>
    <x v="1"/>
    <x v="0"/>
    <x v="1"/>
    <x v="1"/>
    <x v="3"/>
    <x v="3"/>
    <x v="202"/>
  </r>
  <r>
    <x v="203"/>
    <x v="203"/>
    <x v="2"/>
    <x v="1"/>
    <x v="0"/>
    <x v="1"/>
    <x v="2"/>
    <x v="47"/>
    <x v="47"/>
    <x v="203"/>
  </r>
  <r>
    <x v="204"/>
    <x v="204"/>
    <x v="2"/>
    <x v="1"/>
    <x v="0"/>
    <x v="2"/>
    <x v="0"/>
    <x v="3"/>
    <x v="3"/>
    <x v="204"/>
  </r>
  <r>
    <x v="205"/>
    <x v="205"/>
    <x v="2"/>
    <x v="1"/>
    <x v="0"/>
    <x v="2"/>
    <x v="1"/>
    <x v="3"/>
    <x v="3"/>
    <x v="205"/>
  </r>
  <r>
    <x v="206"/>
    <x v="206"/>
    <x v="2"/>
    <x v="1"/>
    <x v="0"/>
    <x v="2"/>
    <x v="2"/>
    <x v="3"/>
    <x v="3"/>
    <x v="206"/>
  </r>
  <r>
    <x v="207"/>
    <x v="207"/>
    <x v="2"/>
    <x v="1"/>
    <x v="1"/>
    <x v="0"/>
    <x v="0"/>
    <x v="3"/>
    <x v="3"/>
    <x v="207"/>
  </r>
  <r>
    <x v="208"/>
    <x v="208"/>
    <x v="2"/>
    <x v="1"/>
    <x v="1"/>
    <x v="0"/>
    <x v="1"/>
    <x v="48"/>
    <x v="48"/>
    <x v="208"/>
  </r>
  <r>
    <x v="209"/>
    <x v="209"/>
    <x v="2"/>
    <x v="1"/>
    <x v="1"/>
    <x v="0"/>
    <x v="2"/>
    <x v="49"/>
    <x v="49"/>
    <x v="209"/>
  </r>
  <r>
    <x v="210"/>
    <x v="210"/>
    <x v="2"/>
    <x v="1"/>
    <x v="1"/>
    <x v="1"/>
    <x v="0"/>
    <x v="3"/>
    <x v="3"/>
    <x v="210"/>
  </r>
  <r>
    <x v="211"/>
    <x v="211"/>
    <x v="2"/>
    <x v="1"/>
    <x v="1"/>
    <x v="1"/>
    <x v="1"/>
    <x v="50"/>
    <x v="50"/>
    <x v="211"/>
  </r>
  <r>
    <x v="212"/>
    <x v="212"/>
    <x v="2"/>
    <x v="1"/>
    <x v="1"/>
    <x v="1"/>
    <x v="2"/>
    <x v="51"/>
    <x v="51"/>
    <x v="212"/>
  </r>
  <r>
    <x v="213"/>
    <x v="213"/>
    <x v="2"/>
    <x v="1"/>
    <x v="1"/>
    <x v="2"/>
    <x v="0"/>
    <x v="3"/>
    <x v="3"/>
    <x v="213"/>
  </r>
  <r>
    <x v="214"/>
    <x v="214"/>
    <x v="2"/>
    <x v="1"/>
    <x v="1"/>
    <x v="2"/>
    <x v="1"/>
    <x v="41"/>
    <x v="41"/>
    <x v="214"/>
  </r>
  <r>
    <x v="215"/>
    <x v="215"/>
    <x v="2"/>
    <x v="1"/>
    <x v="1"/>
    <x v="2"/>
    <x v="2"/>
    <x v="52"/>
    <x v="52"/>
    <x v="215"/>
  </r>
  <r>
    <x v="216"/>
    <x v="216"/>
    <x v="2"/>
    <x v="2"/>
    <x v="0"/>
    <x v="0"/>
    <x v="0"/>
    <x v="3"/>
    <x v="3"/>
    <x v="216"/>
  </r>
  <r>
    <x v="217"/>
    <x v="217"/>
    <x v="2"/>
    <x v="2"/>
    <x v="0"/>
    <x v="0"/>
    <x v="1"/>
    <x v="3"/>
    <x v="3"/>
    <x v="217"/>
  </r>
  <r>
    <x v="218"/>
    <x v="218"/>
    <x v="2"/>
    <x v="2"/>
    <x v="0"/>
    <x v="0"/>
    <x v="2"/>
    <x v="3"/>
    <x v="3"/>
    <x v="218"/>
  </r>
  <r>
    <x v="219"/>
    <x v="219"/>
    <x v="2"/>
    <x v="2"/>
    <x v="0"/>
    <x v="1"/>
    <x v="0"/>
    <x v="3"/>
    <x v="3"/>
    <x v="219"/>
  </r>
  <r>
    <x v="220"/>
    <x v="220"/>
    <x v="2"/>
    <x v="2"/>
    <x v="0"/>
    <x v="1"/>
    <x v="1"/>
    <x v="3"/>
    <x v="3"/>
    <x v="220"/>
  </r>
  <r>
    <x v="221"/>
    <x v="221"/>
    <x v="2"/>
    <x v="2"/>
    <x v="0"/>
    <x v="1"/>
    <x v="2"/>
    <x v="3"/>
    <x v="3"/>
    <x v="221"/>
  </r>
  <r>
    <x v="222"/>
    <x v="222"/>
    <x v="2"/>
    <x v="2"/>
    <x v="0"/>
    <x v="2"/>
    <x v="0"/>
    <x v="3"/>
    <x v="3"/>
    <x v="222"/>
  </r>
  <r>
    <x v="223"/>
    <x v="223"/>
    <x v="2"/>
    <x v="2"/>
    <x v="0"/>
    <x v="2"/>
    <x v="1"/>
    <x v="3"/>
    <x v="3"/>
    <x v="223"/>
  </r>
  <r>
    <x v="224"/>
    <x v="224"/>
    <x v="2"/>
    <x v="2"/>
    <x v="0"/>
    <x v="2"/>
    <x v="2"/>
    <x v="36"/>
    <x v="36"/>
    <x v="224"/>
  </r>
  <r>
    <x v="225"/>
    <x v="225"/>
    <x v="2"/>
    <x v="2"/>
    <x v="1"/>
    <x v="0"/>
    <x v="0"/>
    <x v="3"/>
    <x v="3"/>
    <x v="225"/>
  </r>
  <r>
    <x v="226"/>
    <x v="226"/>
    <x v="2"/>
    <x v="2"/>
    <x v="1"/>
    <x v="0"/>
    <x v="1"/>
    <x v="3"/>
    <x v="3"/>
    <x v="226"/>
  </r>
  <r>
    <x v="227"/>
    <x v="227"/>
    <x v="2"/>
    <x v="2"/>
    <x v="1"/>
    <x v="0"/>
    <x v="2"/>
    <x v="53"/>
    <x v="53"/>
    <x v="227"/>
  </r>
  <r>
    <x v="228"/>
    <x v="228"/>
    <x v="2"/>
    <x v="2"/>
    <x v="1"/>
    <x v="1"/>
    <x v="0"/>
    <x v="3"/>
    <x v="3"/>
    <x v="228"/>
  </r>
  <r>
    <x v="229"/>
    <x v="229"/>
    <x v="2"/>
    <x v="2"/>
    <x v="1"/>
    <x v="1"/>
    <x v="1"/>
    <x v="3"/>
    <x v="3"/>
    <x v="229"/>
  </r>
  <r>
    <x v="230"/>
    <x v="230"/>
    <x v="2"/>
    <x v="2"/>
    <x v="1"/>
    <x v="1"/>
    <x v="2"/>
    <x v="54"/>
    <x v="54"/>
    <x v="230"/>
  </r>
  <r>
    <x v="231"/>
    <x v="231"/>
    <x v="2"/>
    <x v="2"/>
    <x v="1"/>
    <x v="2"/>
    <x v="0"/>
    <x v="3"/>
    <x v="3"/>
    <x v="231"/>
  </r>
  <r>
    <x v="232"/>
    <x v="232"/>
    <x v="2"/>
    <x v="2"/>
    <x v="1"/>
    <x v="2"/>
    <x v="1"/>
    <x v="3"/>
    <x v="3"/>
    <x v="232"/>
  </r>
  <r>
    <x v="233"/>
    <x v="233"/>
    <x v="2"/>
    <x v="2"/>
    <x v="1"/>
    <x v="2"/>
    <x v="2"/>
    <x v="55"/>
    <x v="55"/>
    <x v="233"/>
  </r>
  <r>
    <x v="234"/>
    <x v="234"/>
    <x v="2"/>
    <x v="3"/>
    <x v="0"/>
    <x v="0"/>
    <x v="0"/>
    <x v="3"/>
    <x v="3"/>
    <x v="234"/>
  </r>
  <r>
    <x v="235"/>
    <x v="235"/>
    <x v="2"/>
    <x v="3"/>
    <x v="0"/>
    <x v="0"/>
    <x v="1"/>
    <x v="3"/>
    <x v="3"/>
    <x v="235"/>
  </r>
  <r>
    <x v="236"/>
    <x v="236"/>
    <x v="2"/>
    <x v="3"/>
    <x v="0"/>
    <x v="0"/>
    <x v="2"/>
    <x v="3"/>
    <x v="3"/>
    <x v="236"/>
  </r>
  <r>
    <x v="237"/>
    <x v="237"/>
    <x v="2"/>
    <x v="3"/>
    <x v="0"/>
    <x v="1"/>
    <x v="0"/>
    <x v="3"/>
    <x v="3"/>
    <x v="237"/>
  </r>
  <r>
    <x v="238"/>
    <x v="238"/>
    <x v="2"/>
    <x v="3"/>
    <x v="0"/>
    <x v="1"/>
    <x v="1"/>
    <x v="3"/>
    <x v="3"/>
    <x v="238"/>
  </r>
  <r>
    <x v="239"/>
    <x v="239"/>
    <x v="2"/>
    <x v="3"/>
    <x v="0"/>
    <x v="1"/>
    <x v="2"/>
    <x v="3"/>
    <x v="3"/>
    <x v="239"/>
  </r>
  <r>
    <x v="240"/>
    <x v="240"/>
    <x v="2"/>
    <x v="3"/>
    <x v="0"/>
    <x v="2"/>
    <x v="0"/>
    <x v="3"/>
    <x v="3"/>
    <x v="240"/>
  </r>
  <r>
    <x v="241"/>
    <x v="241"/>
    <x v="2"/>
    <x v="3"/>
    <x v="0"/>
    <x v="2"/>
    <x v="1"/>
    <x v="3"/>
    <x v="3"/>
    <x v="241"/>
  </r>
  <r>
    <x v="242"/>
    <x v="242"/>
    <x v="2"/>
    <x v="3"/>
    <x v="0"/>
    <x v="2"/>
    <x v="2"/>
    <x v="3"/>
    <x v="3"/>
    <x v="242"/>
  </r>
  <r>
    <x v="243"/>
    <x v="243"/>
    <x v="2"/>
    <x v="3"/>
    <x v="1"/>
    <x v="0"/>
    <x v="0"/>
    <x v="3"/>
    <x v="3"/>
    <x v="243"/>
  </r>
  <r>
    <x v="244"/>
    <x v="244"/>
    <x v="2"/>
    <x v="3"/>
    <x v="1"/>
    <x v="0"/>
    <x v="1"/>
    <x v="3"/>
    <x v="3"/>
    <x v="244"/>
  </r>
  <r>
    <x v="245"/>
    <x v="245"/>
    <x v="2"/>
    <x v="3"/>
    <x v="1"/>
    <x v="0"/>
    <x v="2"/>
    <x v="56"/>
    <x v="56"/>
    <x v="245"/>
  </r>
  <r>
    <x v="246"/>
    <x v="246"/>
    <x v="2"/>
    <x v="3"/>
    <x v="1"/>
    <x v="1"/>
    <x v="0"/>
    <x v="22"/>
    <x v="22"/>
    <x v="246"/>
  </r>
  <r>
    <x v="247"/>
    <x v="247"/>
    <x v="2"/>
    <x v="3"/>
    <x v="1"/>
    <x v="1"/>
    <x v="1"/>
    <x v="3"/>
    <x v="3"/>
    <x v="247"/>
  </r>
  <r>
    <x v="248"/>
    <x v="248"/>
    <x v="2"/>
    <x v="3"/>
    <x v="1"/>
    <x v="1"/>
    <x v="2"/>
    <x v="3"/>
    <x v="3"/>
    <x v="248"/>
  </r>
  <r>
    <x v="249"/>
    <x v="249"/>
    <x v="2"/>
    <x v="3"/>
    <x v="1"/>
    <x v="2"/>
    <x v="0"/>
    <x v="3"/>
    <x v="3"/>
    <x v="249"/>
  </r>
  <r>
    <x v="250"/>
    <x v="250"/>
    <x v="2"/>
    <x v="3"/>
    <x v="1"/>
    <x v="2"/>
    <x v="1"/>
    <x v="3"/>
    <x v="3"/>
    <x v="250"/>
  </r>
  <r>
    <x v="251"/>
    <x v="251"/>
    <x v="2"/>
    <x v="3"/>
    <x v="1"/>
    <x v="2"/>
    <x v="2"/>
    <x v="57"/>
    <x v="57"/>
    <x v="251"/>
  </r>
  <r>
    <x v="252"/>
    <x v="252"/>
    <x v="2"/>
    <x v="4"/>
    <x v="0"/>
    <x v="0"/>
    <x v="0"/>
    <x v="3"/>
    <x v="3"/>
    <x v="252"/>
  </r>
  <r>
    <x v="253"/>
    <x v="253"/>
    <x v="2"/>
    <x v="4"/>
    <x v="0"/>
    <x v="0"/>
    <x v="1"/>
    <x v="3"/>
    <x v="3"/>
    <x v="253"/>
  </r>
  <r>
    <x v="254"/>
    <x v="254"/>
    <x v="2"/>
    <x v="4"/>
    <x v="0"/>
    <x v="0"/>
    <x v="2"/>
    <x v="3"/>
    <x v="3"/>
    <x v="254"/>
  </r>
  <r>
    <x v="255"/>
    <x v="255"/>
    <x v="2"/>
    <x v="4"/>
    <x v="0"/>
    <x v="1"/>
    <x v="0"/>
    <x v="3"/>
    <x v="3"/>
    <x v="255"/>
  </r>
  <r>
    <x v="256"/>
    <x v="256"/>
    <x v="2"/>
    <x v="4"/>
    <x v="0"/>
    <x v="1"/>
    <x v="1"/>
    <x v="3"/>
    <x v="3"/>
    <x v="256"/>
  </r>
  <r>
    <x v="257"/>
    <x v="257"/>
    <x v="2"/>
    <x v="4"/>
    <x v="0"/>
    <x v="1"/>
    <x v="2"/>
    <x v="3"/>
    <x v="3"/>
    <x v="257"/>
  </r>
  <r>
    <x v="258"/>
    <x v="258"/>
    <x v="2"/>
    <x v="4"/>
    <x v="0"/>
    <x v="2"/>
    <x v="0"/>
    <x v="3"/>
    <x v="3"/>
    <x v="258"/>
  </r>
  <r>
    <x v="259"/>
    <x v="259"/>
    <x v="2"/>
    <x v="4"/>
    <x v="0"/>
    <x v="2"/>
    <x v="1"/>
    <x v="3"/>
    <x v="3"/>
    <x v="259"/>
  </r>
  <r>
    <x v="260"/>
    <x v="260"/>
    <x v="2"/>
    <x v="4"/>
    <x v="0"/>
    <x v="2"/>
    <x v="2"/>
    <x v="4"/>
    <x v="4"/>
    <x v="260"/>
  </r>
  <r>
    <x v="261"/>
    <x v="261"/>
    <x v="2"/>
    <x v="4"/>
    <x v="1"/>
    <x v="0"/>
    <x v="0"/>
    <x v="3"/>
    <x v="3"/>
    <x v="261"/>
  </r>
  <r>
    <x v="262"/>
    <x v="262"/>
    <x v="2"/>
    <x v="4"/>
    <x v="1"/>
    <x v="0"/>
    <x v="1"/>
    <x v="3"/>
    <x v="3"/>
    <x v="262"/>
  </r>
  <r>
    <x v="263"/>
    <x v="263"/>
    <x v="2"/>
    <x v="4"/>
    <x v="1"/>
    <x v="0"/>
    <x v="2"/>
    <x v="58"/>
    <x v="58"/>
    <x v="263"/>
  </r>
  <r>
    <x v="264"/>
    <x v="264"/>
    <x v="2"/>
    <x v="4"/>
    <x v="1"/>
    <x v="1"/>
    <x v="0"/>
    <x v="3"/>
    <x v="3"/>
    <x v="264"/>
  </r>
  <r>
    <x v="265"/>
    <x v="265"/>
    <x v="2"/>
    <x v="4"/>
    <x v="1"/>
    <x v="1"/>
    <x v="1"/>
    <x v="22"/>
    <x v="22"/>
    <x v="265"/>
  </r>
  <r>
    <x v="266"/>
    <x v="266"/>
    <x v="2"/>
    <x v="4"/>
    <x v="1"/>
    <x v="1"/>
    <x v="2"/>
    <x v="59"/>
    <x v="59"/>
    <x v="266"/>
  </r>
  <r>
    <x v="267"/>
    <x v="267"/>
    <x v="2"/>
    <x v="4"/>
    <x v="1"/>
    <x v="2"/>
    <x v="0"/>
    <x v="3"/>
    <x v="3"/>
    <x v="267"/>
  </r>
  <r>
    <x v="268"/>
    <x v="268"/>
    <x v="2"/>
    <x v="4"/>
    <x v="1"/>
    <x v="2"/>
    <x v="1"/>
    <x v="0"/>
    <x v="0"/>
    <x v="268"/>
  </r>
  <r>
    <x v="269"/>
    <x v="269"/>
    <x v="2"/>
    <x v="4"/>
    <x v="1"/>
    <x v="2"/>
    <x v="2"/>
    <x v="60"/>
    <x v="60"/>
    <x v="269"/>
  </r>
  <r>
    <x v="270"/>
    <x v="270"/>
    <x v="0"/>
    <x v="0"/>
    <x v="0"/>
    <x v="3"/>
    <x v="0"/>
    <x v="3"/>
    <x v="3"/>
    <x v="270"/>
  </r>
  <r>
    <x v="271"/>
    <x v="271"/>
    <x v="0"/>
    <x v="0"/>
    <x v="0"/>
    <x v="3"/>
    <x v="1"/>
    <x v="3"/>
    <x v="3"/>
    <x v="271"/>
  </r>
  <r>
    <x v="272"/>
    <x v="272"/>
    <x v="0"/>
    <x v="0"/>
    <x v="0"/>
    <x v="3"/>
    <x v="2"/>
    <x v="40"/>
    <x v="40"/>
    <x v="272"/>
  </r>
  <r>
    <x v="273"/>
    <x v="273"/>
    <x v="0"/>
    <x v="0"/>
    <x v="1"/>
    <x v="3"/>
    <x v="0"/>
    <x v="3"/>
    <x v="3"/>
    <x v="273"/>
  </r>
  <r>
    <x v="274"/>
    <x v="274"/>
    <x v="0"/>
    <x v="0"/>
    <x v="1"/>
    <x v="3"/>
    <x v="1"/>
    <x v="3"/>
    <x v="3"/>
    <x v="274"/>
  </r>
  <r>
    <x v="275"/>
    <x v="275"/>
    <x v="0"/>
    <x v="0"/>
    <x v="1"/>
    <x v="3"/>
    <x v="2"/>
    <x v="20"/>
    <x v="20"/>
    <x v="275"/>
  </r>
  <r>
    <x v="276"/>
    <x v="276"/>
    <x v="0"/>
    <x v="1"/>
    <x v="0"/>
    <x v="3"/>
    <x v="0"/>
    <x v="3"/>
    <x v="3"/>
    <x v="276"/>
  </r>
  <r>
    <x v="277"/>
    <x v="277"/>
    <x v="0"/>
    <x v="1"/>
    <x v="0"/>
    <x v="3"/>
    <x v="1"/>
    <x v="3"/>
    <x v="3"/>
    <x v="277"/>
  </r>
  <r>
    <x v="278"/>
    <x v="278"/>
    <x v="0"/>
    <x v="1"/>
    <x v="0"/>
    <x v="3"/>
    <x v="2"/>
    <x v="3"/>
    <x v="3"/>
    <x v="278"/>
  </r>
  <r>
    <x v="279"/>
    <x v="279"/>
    <x v="0"/>
    <x v="1"/>
    <x v="1"/>
    <x v="3"/>
    <x v="0"/>
    <x v="3"/>
    <x v="3"/>
    <x v="279"/>
  </r>
  <r>
    <x v="280"/>
    <x v="280"/>
    <x v="0"/>
    <x v="1"/>
    <x v="1"/>
    <x v="3"/>
    <x v="1"/>
    <x v="7"/>
    <x v="7"/>
    <x v="280"/>
  </r>
  <r>
    <x v="281"/>
    <x v="281"/>
    <x v="0"/>
    <x v="1"/>
    <x v="1"/>
    <x v="3"/>
    <x v="2"/>
    <x v="61"/>
    <x v="61"/>
    <x v="281"/>
  </r>
  <r>
    <x v="282"/>
    <x v="282"/>
    <x v="0"/>
    <x v="2"/>
    <x v="0"/>
    <x v="3"/>
    <x v="0"/>
    <x v="3"/>
    <x v="3"/>
    <x v="282"/>
  </r>
  <r>
    <x v="283"/>
    <x v="283"/>
    <x v="0"/>
    <x v="2"/>
    <x v="0"/>
    <x v="3"/>
    <x v="1"/>
    <x v="3"/>
    <x v="3"/>
    <x v="283"/>
  </r>
  <r>
    <x v="284"/>
    <x v="284"/>
    <x v="0"/>
    <x v="2"/>
    <x v="0"/>
    <x v="3"/>
    <x v="2"/>
    <x v="3"/>
    <x v="3"/>
    <x v="284"/>
  </r>
  <r>
    <x v="285"/>
    <x v="285"/>
    <x v="0"/>
    <x v="2"/>
    <x v="1"/>
    <x v="3"/>
    <x v="0"/>
    <x v="3"/>
    <x v="3"/>
    <x v="285"/>
  </r>
  <r>
    <x v="286"/>
    <x v="286"/>
    <x v="0"/>
    <x v="2"/>
    <x v="1"/>
    <x v="3"/>
    <x v="1"/>
    <x v="3"/>
    <x v="3"/>
    <x v="286"/>
  </r>
  <r>
    <x v="287"/>
    <x v="287"/>
    <x v="0"/>
    <x v="2"/>
    <x v="1"/>
    <x v="3"/>
    <x v="2"/>
    <x v="62"/>
    <x v="62"/>
    <x v="287"/>
  </r>
  <r>
    <x v="288"/>
    <x v="288"/>
    <x v="0"/>
    <x v="3"/>
    <x v="0"/>
    <x v="3"/>
    <x v="0"/>
    <x v="14"/>
    <x v="14"/>
    <x v="288"/>
  </r>
  <r>
    <x v="289"/>
    <x v="289"/>
    <x v="0"/>
    <x v="3"/>
    <x v="0"/>
    <x v="3"/>
    <x v="1"/>
    <x v="3"/>
    <x v="3"/>
    <x v="289"/>
  </r>
  <r>
    <x v="290"/>
    <x v="290"/>
    <x v="0"/>
    <x v="3"/>
    <x v="0"/>
    <x v="3"/>
    <x v="2"/>
    <x v="3"/>
    <x v="3"/>
    <x v="290"/>
  </r>
  <r>
    <x v="291"/>
    <x v="291"/>
    <x v="0"/>
    <x v="3"/>
    <x v="1"/>
    <x v="3"/>
    <x v="0"/>
    <x v="3"/>
    <x v="3"/>
    <x v="291"/>
  </r>
  <r>
    <x v="292"/>
    <x v="292"/>
    <x v="0"/>
    <x v="3"/>
    <x v="1"/>
    <x v="3"/>
    <x v="1"/>
    <x v="31"/>
    <x v="31"/>
    <x v="292"/>
  </r>
  <r>
    <x v="293"/>
    <x v="293"/>
    <x v="0"/>
    <x v="3"/>
    <x v="1"/>
    <x v="3"/>
    <x v="2"/>
    <x v="63"/>
    <x v="63"/>
    <x v="293"/>
  </r>
  <r>
    <x v="294"/>
    <x v="294"/>
    <x v="0"/>
    <x v="4"/>
    <x v="0"/>
    <x v="3"/>
    <x v="0"/>
    <x v="3"/>
    <x v="3"/>
    <x v="294"/>
  </r>
  <r>
    <x v="295"/>
    <x v="295"/>
    <x v="0"/>
    <x v="4"/>
    <x v="0"/>
    <x v="3"/>
    <x v="1"/>
    <x v="3"/>
    <x v="3"/>
    <x v="295"/>
  </r>
  <r>
    <x v="296"/>
    <x v="296"/>
    <x v="0"/>
    <x v="4"/>
    <x v="0"/>
    <x v="3"/>
    <x v="2"/>
    <x v="14"/>
    <x v="14"/>
    <x v="296"/>
  </r>
  <r>
    <x v="297"/>
    <x v="297"/>
    <x v="0"/>
    <x v="4"/>
    <x v="1"/>
    <x v="3"/>
    <x v="0"/>
    <x v="3"/>
    <x v="3"/>
    <x v="297"/>
  </r>
  <r>
    <x v="298"/>
    <x v="298"/>
    <x v="0"/>
    <x v="4"/>
    <x v="1"/>
    <x v="3"/>
    <x v="1"/>
    <x v="64"/>
    <x v="64"/>
    <x v="298"/>
  </r>
  <r>
    <x v="299"/>
    <x v="299"/>
    <x v="0"/>
    <x v="4"/>
    <x v="1"/>
    <x v="3"/>
    <x v="2"/>
    <x v="65"/>
    <x v="65"/>
    <x v="299"/>
  </r>
  <r>
    <x v="300"/>
    <x v="300"/>
    <x v="1"/>
    <x v="0"/>
    <x v="0"/>
    <x v="3"/>
    <x v="0"/>
    <x v="3"/>
    <x v="3"/>
    <x v="300"/>
  </r>
  <r>
    <x v="301"/>
    <x v="301"/>
    <x v="1"/>
    <x v="0"/>
    <x v="0"/>
    <x v="3"/>
    <x v="1"/>
    <x v="3"/>
    <x v="3"/>
    <x v="301"/>
  </r>
  <r>
    <x v="302"/>
    <x v="302"/>
    <x v="1"/>
    <x v="0"/>
    <x v="0"/>
    <x v="3"/>
    <x v="2"/>
    <x v="3"/>
    <x v="3"/>
    <x v="302"/>
  </r>
  <r>
    <x v="303"/>
    <x v="303"/>
    <x v="1"/>
    <x v="0"/>
    <x v="1"/>
    <x v="3"/>
    <x v="0"/>
    <x v="3"/>
    <x v="3"/>
    <x v="303"/>
  </r>
  <r>
    <x v="304"/>
    <x v="304"/>
    <x v="1"/>
    <x v="0"/>
    <x v="1"/>
    <x v="3"/>
    <x v="1"/>
    <x v="3"/>
    <x v="3"/>
    <x v="304"/>
  </r>
  <r>
    <x v="305"/>
    <x v="305"/>
    <x v="1"/>
    <x v="0"/>
    <x v="1"/>
    <x v="3"/>
    <x v="2"/>
    <x v="66"/>
    <x v="66"/>
    <x v="305"/>
  </r>
  <r>
    <x v="306"/>
    <x v="306"/>
    <x v="1"/>
    <x v="1"/>
    <x v="0"/>
    <x v="3"/>
    <x v="0"/>
    <x v="3"/>
    <x v="3"/>
    <x v="306"/>
  </r>
  <r>
    <x v="307"/>
    <x v="307"/>
    <x v="1"/>
    <x v="1"/>
    <x v="0"/>
    <x v="3"/>
    <x v="1"/>
    <x v="3"/>
    <x v="3"/>
    <x v="307"/>
  </r>
  <r>
    <x v="308"/>
    <x v="308"/>
    <x v="1"/>
    <x v="1"/>
    <x v="0"/>
    <x v="3"/>
    <x v="2"/>
    <x v="3"/>
    <x v="3"/>
    <x v="308"/>
  </r>
  <r>
    <x v="309"/>
    <x v="309"/>
    <x v="1"/>
    <x v="1"/>
    <x v="1"/>
    <x v="3"/>
    <x v="0"/>
    <x v="3"/>
    <x v="3"/>
    <x v="309"/>
  </r>
  <r>
    <x v="310"/>
    <x v="310"/>
    <x v="1"/>
    <x v="1"/>
    <x v="1"/>
    <x v="3"/>
    <x v="1"/>
    <x v="3"/>
    <x v="3"/>
    <x v="310"/>
  </r>
  <r>
    <x v="311"/>
    <x v="311"/>
    <x v="1"/>
    <x v="1"/>
    <x v="1"/>
    <x v="3"/>
    <x v="2"/>
    <x v="67"/>
    <x v="67"/>
    <x v="311"/>
  </r>
  <r>
    <x v="312"/>
    <x v="312"/>
    <x v="1"/>
    <x v="2"/>
    <x v="0"/>
    <x v="3"/>
    <x v="0"/>
    <x v="3"/>
    <x v="3"/>
    <x v="312"/>
  </r>
  <r>
    <x v="313"/>
    <x v="313"/>
    <x v="1"/>
    <x v="2"/>
    <x v="0"/>
    <x v="3"/>
    <x v="1"/>
    <x v="7"/>
    <x v="7"/>
    <x v="313"/>
  </r>
  <r>
    <x v="314"/>
    <x v="314"/>
    <x v="1"/>
    <x v="2"/>
    <x v="0"/>
    <x v="3"/>
    <x v="2"/>
    <x v="3"/>
    <x v="3"/>
    <x v="314"/>
  </r>
  <r>
    <x v="315"/>
    <x v="315"/>
    <x v="1"/>
    <x v="2"/>
    <x v="1"/>
    <x v="3"/>
    <x v="0"/>
    <x v="3"/>
    <x v="3"/>
    <x v="315"/>
  </r>
  <r>
    <x v="316"/>
    <x v="316"/>
    <x v="1"/>
    <x v="2"/>
    <x v="1"/>
    <x v="3"/>
    <x v="1"/>
    <x v="34"/>
    <x v="34"/>
    <x v="316"/>
  </r>
  <r>
    <x v="317"/>
    <x v="317"/>
    <x v="1"/>
    <x v="2"/>
    <x v="1"/>
    <x v="3"/>
    <x v="2"/>
    <x v="68"/>
    <x v="68"/>
    <x v="317"/>
  </r>
  <r>
    <x v="318"/>
    <x v="318"/>
    <x v="1"/>
    <x v="3"/>
    <x v="0"/>
    <x v="3"/>
    <x v="0"/>
    <x v="3"/>
    <x v="3"/>
    <x v="318"/>
  </r>
  <r>
    <x v="319"/>
    <x v="319"/>
    <x v="1"/>
    <x v="3"/>
    <x v="0"/>
    <x v="3"/>
    <x v="1"/>
    <x v="3"/>
    <x v="3"/>
    <x v="319"/>
  </r>
  <r>
    <x v="320"/>
    <x v="320"/>
    <x v="1"/>
    <x v="3"/>
    <x v="0"/>
    <x v="3"/>
    <x v="2"/>
    <x v="3"/>
    <x v="3"/>
    <x v="320"/>
  </r>
  <r>
    <x v="321"/>
    <x v="321"/>
    <x v="1"/>
    <x v="3"/>
    <x v="1"/>
    <x v="3"/>
    <x v="0"/>
    <x v="3"/>
    <x v="3"/>
    <x v="321"/>
  </r>
  <r>
    <x v="322"/>
    <x v="322"/>
    <x v="1"/>
    <x v="3"/>
    <x v="1"/>
    <x v="3"/>
    <x v="1"/>
    <x v="69"/>
    <x v="69"/>
    <x v="322"/>
  </r>
  <r>
    <x v="323"/>
    <x v="323"/>
    <x v="1"/>
    <x v="3"/>
    <x v="1"/>
    <x v="3"/>
    <x v="2"/>
    <x v="70"/>
    <x v="70"/>
    <x v="323"/>
  </r>
  <r>
    <x v="324"/>
    <x v="324"/>
    <x v="1"/>
    <x v="4"/>
    <x v="0"/>
    <x v="3"/>
    <x v="0"/>
    <x v="3"/>
    <x v="3"/>
    <x v="324"/>
  </r>
  <r>
    <x v="325"/>
    <x v="325"/>
    <x v="1"/>
    <x v="4"/>
    <x v="0"/>
    <x v="3"/>
    <x v="1"/>
    <x v="3"/>
    <x v="3"/>
    <x v="325"/>
  </r>
  <r>
    <x v="326"/>
    <x v="326"/>
    <x v="1"/>
    <x v="4"/>
    <x v="0"/>
    <x v="3"/>
    <x v="2"/>
    <x v="3"/>
    <x v="3"/>
    <x v="326"/>
  </r>
  <r>
    <x v="327"/>
    <x v="327"/>
    <x v="1"/>
    <x v="4"/>
    <x v="1"/>
    <x v="3"/>
    <x v="0"/>
    <x v="3"/>
    <x v="3"/>
    <x v="327"/>
  </r>
  <r>
    <x v="328"/>
    <x v="328"/>
    <x v="1"/>
    <x v="4"/>
    <x v="1"/>
    <x v="3"/>
    <x v="1"/>
    <x v="71"/>
    <x v="71"/>
    <x v="328"/>
  </r>
  <r>
    <x v="329"/>
    <x v="329"/>
    <x v="1"/>
    <x v="4"/>
    <x v="1"/>
    <x v="3"/>
    <x v="2"/>
    <x v="72"/>
    <x v="72"/>
    <x v="329"/>
  </r>
  <r>
    <x v="330"/>
    <x v="330"/>
    <x v="2"/>
    <x v="0"/>
    <x v="0"/>
    <x v="3"/>
    <x v="0"/>
    <x v="3"/>
    <x v="3"/>
    <x v="330"/>
  </r>
  <r>
    <x v="331"/>
    <x v="331"/>
    <x v="2"/>
    <x v="0"/>
    <x v="0"/>
    <x v="3"/>
    <x v="1"/>
    <x v="41"/>
    <x v="41"/>
    <x v="331"/>
  </r>
  <r>
    <x v="332"/>
    <x v="332"/>
    <x v="2"/>
    <x v="0"/>
    <x v="0"/>
    <x v="3"/>
    <x v="2"/>
    <x v="3"/>
    <x v="3"/>
    <x v="332"/>
  </r>
  <r>
    <x v="333"/>
    <x v="333"/>
    <x v="2"/>
    <x v="0"/>
    <x v="1"/>
    <x v="3"/>
    <x v="0"/>
    <x v="3"/>
    <x v="3"/>
    <x v="333"/>
  </r>
  <r>
    <x v="334"/>
    <x v="334"/>
    <x v="2"/>
    <x v="0"/>
    <x v="1"/>
    <x v="3"/>
    <x v="1"/>
    <x v="3"/>
    <x v="3"/>
    <x v="334"/>
  </r>
  <r>
    <x v="335"/>
    <x v="335"/>
    <x v="2"/>
    <x v="0"/>
    <x v="1"/>
    <x v="3"/>
    <x v="2"/>
    <x v="73"/>
    <x v="73"/>
    <x v="335"/>
  </r>
  <r>
    <x v="336"/>
    <x v="336"/>
    <x v="2"/>
    <x v="1"/>
    <x v="0"/>
    <x v="3"/>
    <x v="0"/>
    <x v="3"/>
    <x v="3"/>
    <x v="336"/>
  </r>
  <r>
    <x v="337"/>
    <x v="337"/>
    <x v="2"/>
    <x v="1"/>
    <x v="0"/>
    <x v="3"/>
    <x v="1"/>
    <x v="3"/>
    <x v="3"/>
    <x v="337"/>
  </r>
  <r>
    <x v="338"/>
    <x v="338"/>
    <x v="2"/>
    <x v="1"/>
    <x v="0"/>
    <x v="3"/>
    <x v="2"/>
    <x v="3"/>
    <x v="3"/>
    <x v="338"/>
  </r>
  <r>
    <x v="339"/>
    <x v="339"/>
    <x v="2"/>
    <x v="1"/>
    <x v="1"/>
    <x v="3"/>
    <x v="0"/>
    <x v="3"/>
    <x v="3"/>
    <x v="339"/>
  </r>
  <r>
    <x v="340"/>
    <x v="340"/>
    <x v="2"/>
    <x v="1"/>
    <x v="1"/>
    <x v="3"/>
    <x v="1"/>
    <x v="18"/>
    <x v="18"/>
    <x v="340"/>
  </r>
  <r>
    <x v="341"/>
    <x v="341"/>
    <x v="2"/>
    <x v="1"/>
    <x v="1"/>
    <x v="3"/>
    <x v="2"/>
    <x v="74"/>
    <x v="74"/>
    <x v="341"/>
  </r>
  <r>
    <x v="342"/>
    <x v="342"/>
    <x v="2"/>
    <x v="2"/>
    <x v="0"/>
    <x v="3"/>
    <x v="0"/>
    <x v="3"/>
    <x v="3"/>
    <x v="342"/>
  </r>
  <r>
    <x v="343"/>
    <x v="343"/>
    <x v="2"/>
    <x v="2"/>
    <x v="0"/>
    <x v="3"/>
    <x v="1"/>
    <x v="3"/>
    <x v="3"/>
    <x v="343"/>
  </r>
  <r>
    <x v="344"/>
    <x v="344"/>
    <x v="2"/>
    <x v="2"/>
    <x v="0"/>
    <x v="3"/>
    <x v="2"/>
    <x v="3"/>
    <x v="3"/>
    <x v="344"/>
  </r>
  <r>
    <x v="345"/>
    <x v="345"/>
    <x v="2"/>
    <x v="2"/>
    <x v="1"/>
    <x v="3"/>
    <x v="0"/>
    <x v="3"/>
    <x v="3"/>
    <x v="345"/>
  </r>
  <r>
    <x v="346"/>
    <x v="346"/>
    <x v="2"/>
    <x v="2"/>
    <x v="1"/>
    <x v="3"/>
    <x v="1"/>
    <x v="3"/>
    <x v="3"/>
    <x v="346"/>
  </r>
  <r>
    <x v="347"/>
    <x v="347"/>
    <x v="2"/>
    <x v="2"/>
    <x v="1"/>
    <x v="3"/>
    <x v="2"/>
    <x v="75"/>
    <x v="75"/>
    <x v="347"/>
  </r>
  <r>
    <x v="348"/>
    <x v="348"/>
    <x v="2"/>
    <x v="3"/>
    <x v="0"/>
    <x v="3"/>
    <x v="0"/>
    <x v="3"/>
    <x v="3"/>
    <x v="348"/>
  </r>
  <r>
    <x v="349"/>
    <x v="349"/>
    <x v="2"/>
    <x v="3"/>
    <x v="0"/>
    <x v="3"/>
    <x v="1"/>
    <x v="3"/>
    <x v="3"/>
    <x v="349"/>
  </r>
  <r>
    <x v="350"/>
    <x v="350"/>
    <x v="2"/>
    <x v="3"/>
    <x v="0"/>
    <x v="3"/>
    <x v="2"/>
    <x v="3"/>
    <x v="3"/>
    <x v="350"/>
  </r>
  <r>
    <x v="351"/>
    <x v="351"/>
    <x v="2"/>
    <x v="3"/>
    <x v="1"/>
    <x v="3"/>
    <x v="0"/>
    <x v="3"/>
    <x v="3"/>
    <x v="351"/>
  </r>
  <r>
    <x v="352"/>
    <x v="352"/>
    <x v="2"/>
    <x v="3"/>
    <x v="1"/>
    <x v="3"/>
    <x v="1"/>
    <x v="3"/>
    <x v="3"/>
    <x v="352"/>
  </r>
  <r>
    <x v="353"/>
    <x v="353"/>
    <x v="2"/>
    <x v="3"/>
    <x v="1"/>
    <x v="3"/>
    <x v="2"/>
    <x v="76"/>
    <x v="76"/>
    <x v="353"/>
  </r>
  <r>
    <x v="354"/>
    <x v="354"/>
    <x v="2"/>
    <x v="4"/>
    <x v="0"/>
    <x v="3"/>
    <x v="0"/>
    <x v="3"/>
    <x v="3"/>
    <x v="354"/>
  </r>
  <r>
    <x v="355"/>
    <x v="355"/>
    <x v="2"/>
    <x v="4"/>
    <x v="0"/>
    <x v="3"/>
    <x v="1"/>
    <x v="3"/>
    <x v="3"/>
    <x v="355"/>
  </r>
  <r>
    <x v="356"/>
    <x v="356"/>
    <x v="2"/>
    <x v="4"/>
    <x v="0"/>
    <x v="3"/>
    <x v="2"/>
    <x v="77"/>
    <x v="77"/>
    <x v="356"/>
  </r>
  <r>
    <x v="357"/>
    <x v="357"/>
    <x v="2"/>
    <x v="4"/>
    <x v="1"/>
    <x v="3"/>
    <x v="0"/>
    <x v="3"/>
    <x v="3"/>
    <x v="357"/>
  </r>
  <r>
    <x v="358"/>
    <x v="358"/>
    <x v="2"/>
    <x v="4"/>
    <x v="1"/>
    <x v="3"/>
    <x v="1"/>
    <x v="78"/>
    <x v="78"/>
    <x v="358"/>
  </r>
  <r>
    <x v="359"/>
    <x v="359"/>
    <x v="2"/>
    <x v="4"/>
    <x v="1"/>
    <x v="3"/>
    <x v="2"/>
    <x v="79"/>
    <x v="79"/>
    <x v="359"/>
  </r>
  <r>
    <x v="360"/>
    <x v="360"/>
    <x v="0"/>
    <x v="0"/>
    <x v="0"/>
    <x v="4"/>
    <x v="0"/>
    <x v="3"/>
    <x v="3"/>
    <x v="360"/>
  </r>
  <r>
    <x v="361"/>
    <x v="361"/>
    <x v="0"/>
    <x v="0"/>
    <x v="0"/>
    <x v="4"/>
    <x v="1"/>
    <x v="3"/>
    <x v="3"/>
    <x v="361"/>
  </r>
  <r>
    <x v="362"/>
    <x v="362"/>
    <x v="0"/>
    <x v="0"/>
    <x v="0"/>
    <x v="4"/>
    <x v="2"/>
    <x v="3"/>
    <x v="3"/>
    <x v="362"/>
  </r>
  <r>
    <x v="363"/>
    <x v="363"/>
    <x v="0"/>
    <x v="0"/>
    <x v="1"/>
    <x v="4"/>
    <x v="0"/>
    <x v="3"/>
    <x v="3"/>
    <x v="363"/>
  </r>
  <r>
    <x v="364"/>
    <x v="364"/>
    <x v="0"/>
    <x v="0"/>
    <x v="1"/>
    <x v="4"/>
    <x v="1"/>
    <x v="3"/>
    <x v="3"/>
    <x v="364"/>
  </r>
  <r>
    <x v="365"/>
    <x v="365"/>
    <x v="0"/>
    <x v="0"/>
    <x v="1"/>
    <x v="4"/>
    <x v="2"/>
    <x v="3"/>
    <x v="3"/>
    <x v="365"/>
  </r>
  <r>
    <x v="366"/>
    <x v="366"/>
    <x v="0"/>
    <x v="1"/>
    <x v="0"/>
    <x v="4"/>
    <x v="0"/>
    <x v="3"/>
    <x v="3"/>
    <x v="366"/>
  </r>
  <r>
    <x v="367"/>
    <x v="367"/>
    <x v="0"/>
    <x v="1"/>
    <x v="0"/>
    <x v="4"/>
    <x v="1"/>
    <x v="3"/>
    <x v="3"/>
    <x v="367"/>
  </r>
  <r>
    <x v="368"/>
    <x v="368"/>
    <x v="0"/>
    <x v="1"/>
    <x v="0"/>
    <x v="4"/>
    <x v="2"/>
    <x v="3"/>
    <x v="3"/>
    <x v="368"/>
  </r>
  <r>
    <x v="369"/>
    <x v="369"/>
    <x v="0"/>
    <x v="1"/>
    <x v="1"/>
    <x v="4"/>
    <x v="0"/>
    <x v="3"/>
    <x v="3"/>
    <x v="369"/>
  </r>
  <r>
    <x v="370"/>
    <x v="370"/>
    <x v="0"/>
    <x v="1"/>
    <x v="1"/>
    <x v="4"/>
    <x v="1"/>
    <x v="80"/>
    <x v="80"/>
    <x v="370"/>
  </r>
  <r>
    <x v="371"/>
    <x v="371"/>
    <x v="0"/>
    <x v="1"/>
    <x v="1"/>
    <x v="4"/>
    <x v="2"/>
    <x v="81"/>
    <x v="81"/>
    <x v="371"/>
  </r>
  <r>
    <x v="372"/>
    <x v="372"/>
    <x v="0"/>
    <x v="2"/>
    <x v="0"/>
    <x v="4"/>
    <x v="0"/>
    <x v="3"/>
    <x v="3"/>
    <x v="372"/>
  </r>
  <r>
    <x v="373"/>
    <x v="373"/>
    <x v="0"/>
    <x v="2"/>
    <x v="0"/>
    <x v="4"/>
    <x v="1"/>
    <x v="3"/>
    <x v="3"/>
    <x v="373"/>
  </r>
  <r>
    <x v="374"/>
    <x v="374"/>
    <x v="0"/>
    <x v="2"/>
    <x v="0"/>
    <x v="4"/>
    <x v="2"/>
    <x v="82"/>
    <x v="82"/>
    <x v="374"/>
  </r>
  <r>
    <x v="375"/>
    <x v="375"/>
    <x v="0"/>
    <x v="2"/>
    <x v="1"/>
    <x v="4"/>
    <x v="0"/>
    <x v="3"/>
    <x v="3"/>
    <x v="375"/>
  </r>
  <r>
    <x v="376"/>
    <x v="376"/>
    <x v="0"/>
    <x v="2"/>
    <x v="1"/>
    <x v="4"/>
    <x v="1"/>
    <x v="0"/>
    <x v="0"/>
    <x v="376"/>
  </r>
  <r>
    <x v="377"/>
    <x v="377"/>
    <x v="0"/>
    <x v="2"/>
    <x v="1"/>
    <x v="4"/>
    <x v="2"/>
    <x v="83"/>
    <x v="83"/>
    <x v="377"/>
  </r>
  <r>
    <x v="378"/>
    <x v="378"/>
    <x v="0"/>
    <x v="3"/>
    <x v="0"/>
    <x v="4"/>
    <x v="0"/>
    <x v="3"/>
    <x v="3"/>
    <x v="378"/>
  </r>
  <r>
    <x v="379"/>
    <x v="379"/>
    <x v="0"/>
    <x v="3"/>
    <x v="0"/>
    <x v="4"/>
    <x v="1"/>
    <x v="3"/>
    <x v="3"/>
    <x v="379"/>
  </r>
  <r>
    <x v="380"/>
    <x v="380"/>
    <x v="0"/>
    <x v="3"/>
    <x v="0"/>
    <x v="4"/>
    <x v="2"/>
    <x v="3"/>
    <x v="3"/>
    <x v="380"/>
  </r>
  <r>
    <x v="381"/>
    <x v="381"/>
    <x v="0"/>
    <x v="3"/>
    <x v="1"/>
    <x v="4"/>
    <x v="0"/>
    <x v="3"/>
    <x v="3"/>
    <x v="381"/>
  </r>
  <r>
    <x v="382"/>
    <x v="382"/>
    <x v="0"/>
    <x v="3"/>
    <x v="1"/>
    <x v="4"/>
    <x v="1"/>
    <x v="84"/>
    <x v="84"/>
    <x v="382"/>
  </r>
  <r>
    <x v="383"/>
    <x v="383"/>
    <x v="0"/>
    <x v="3"/>
    <x v="1"/>
    <x v="4"/>
    <x v="2"/>
    <x v="85"/>
    <x v="85"/>
    <x v="383"/>
  </r>
  <r>
    <x v="384"/>
    <x v="384"/>
    <x v="0"/>
    <x v="4"/>
    <x v="0"/>
    <x v="4"/>
    <x v="0"/>
    <x v="3"/>
    <x v="3"/>
    <x v="384"/>
  </r>
  <r>
    <x v="385"/>
    <x v="385"/>
    <x v="0"/>
    <x v="4"/>
    <x v="0"/>
    <x v="4"/>
    <x v="1"/>
    <x v="3"/>
    <x v="3"/>
    <x v="385"/>
  </r>
  <r>
    <x v="386"/>
    <x v="386"/>
    <x v="0"/>
    <x v="4"/>
    <x v="0"/>
    <x v="4"/>
    <x v="2"/>
    <x v="3"/>
    <x v="3"/>
    <x v="386"/>
  </r>
  <r>
    <x v="387"/>
    <x v="387"/>
    <x v="0"/>
    <x v="4"/>
    <x v="1"/>
    <x v="4"/>
    <x v="0"/>
    <x v="3"/>
    <x v="3"/>
    <x v="387"/>
  </r>
  <r>
    <x v="388"/>
    <x v="388"/>
    <x v="0"/>
    <x v="4"/>
    <x v="1"/>
    <x v="4"/>
    <x v="1"/>
    <x v="3"/>
    <x v="3"/>
    <x v="388"/>
  </r>
  <r>
    <x v="389"/>
    <x v="389"/>
    <x v="0"/>
    <x v="4"/>
    <x v="1"/>
    <x v="4"/>
    <x v="2"/>
    <x v="86"/>
    <x v="86"/>
    <x v="389"/>
  </r>
  <r>
    <x v="390"/>
    <x v="390"/>
    <x v="1"/>
    <x v="0"/>
    <x v="0"/>
    <x v="4"/>
    <x v="0"/>
    <x v="3"/>
    <x v="3"/>
    <x v="390"/>
  </r>
  <r>
    <x v="391"/>
    <x v="391"/>
    <x v="1"/>
    <x v="0"/>
    <x v="0"/>
    <x v="4"/>
    <x v="1"/>
    <x v="3"/>
    <x v="3"/>
    <x v="391"/>
  </r>
  <r>
    <x v="392"/>
    <x v="392"/>
    <x v="1"/>
    <x v="0"/>
    <x v="0"/>
    <x v="4"/>
    <x v="2"/>
    <x v="3"/>
    <x v="3"/>
    <x v="392"/>
  </r>
  <r>
    <x v="393"/>
    <x v="393"/>
    <x v="1"/>
    <x v="0"/>
    <x v="1"/>
    <x v="4"/>
    <x v="0"/>
    <x v="3"/>
    <x v="3"/>
    <x v="393"/>
  </r>
  <r>
    <x v="394"/>
    <x v="394"/>
    <x v="1"/>
    <x v="0"/>
    <x v="1"/>
    <x v="4"/>
    <x v="1"/>
    <x v="3"/>
    <x v="3"/>
    <x v="394"/>
  </r>
  <r>
    <x v="395"/>
    <x v="395"/>
    <x v="1"/>
    <x v="0"/>
    <x v="1"/>
    <x v="4"/>
    <x v="2"/>
    <x v="3"/>
    <x v="3"/>
    <x v="395"/>
  </r>
  <r>
    <x v="396"/>
    <x v="396"/>
    <x v="1"/>
    <x v="1"/>
    <x v="0"/>
    <x v="4"/>
    <x v="0"/>
    <x v="3"/>
    <x v="3"/>
    <x v="396"/>
  </r>
  <r>
    <x v="397"/>
    <x v="397"/>
    <x v="1"/>
    <x v="1"/>
    <x v="0"/>
    <x v="4"/>
    <x v="1"/>
    <x v="3"/>
    <x v="3"/>
    <x v="397"/>
  </r>
  <r>
    <x v="398"/>
    <x v="398"/>
    <x v="1"/>
    <x v="1"/>
    <x v="0"/>
    <x v="4"/>
    <x v="2"/>
    <x v="3"/>
    <x v="3"/>
    <x v="398"/>
  </r>
  <r>
    <x v="399"/>
    <x v="399"/>
    <x v="1"/>
    <x v="1"/>
    <x v="1"/>
    <x v="4"/>
    <x v="0"/>
    <x v="3"/>
    <x v="3"/>
    <x v="399"/>
  </r>
  <r>
    <x v="400"/>
    <x v="400"/>
    <x v="1"/>
    <x v="1"/>
    <x v="1"/>
    <x v="4"/>
    <x v="1"/>
    <x v="3"/>
    <x v="3"/>
    <x v="400"/>
  </r>
  <r>
    <x v="401"/>
    <x v="401"/>
    <x v="1"/>
    <x v="1"/>
    <x v="1"/>
    <x v="4"/>
    <x v="2"/>
    <x v="3"/>
    <x v="3"/>
    <x v="401"/>
  </r>
  <r>
    <x v="402"/>
    <x v="402"/>
    <x v="1"/>
    <x v="2"/>
    <x v="0"/>
    <x v="4"/>
    <x v="0"/>
    <x v="3"/>
    <x v="3"/>
    <x v="402"/>
  </r>
  <r>
    <x v="403"/>
    <x v="403"/>
    <x v="1"/>
    <x v="2"/>
    <x v="0"/>
    <x v="4"/>
    <x v="1"/>
    <x v="3"/>
    <x v="3"/>
    <x v="403"/>
  </r>
  <r>
    <x v="404"/>
    <x v="404"/>
    <x v="1"/>
    <x v="2"/>
    <x v="0"/>
    <x v="4"/>
    <x v="2"/>
    <x v="3"/>
    <x v="3"/>
    <x v="404"/>
  </r>
  <r>
    <x v="405"/>
    <x v="405"/>
    <x v="1"/>
    <x v="2"/>
    <x v="1"/>
    <x v="4"/>
    <x v="0"/>
    <x v="3"/>
    <x v="3"/>
    <x v="405"/>
  </r>
  <r>
    <x v="406"/>
    <x v="406"/>
    <x v="1"/>
    <x v="2"/>
    <x v="1"/>
    <x v="4"/>
    <x v="1"/>
    <x v="3"/>
    <x v="3"/>
    <x v="406"/>
  </r>
  <r>
    <x v="407"/>
    <x v="407"/>
    <x v="1"/>
    <x v="2"/>
    <x v="1"/>
    <x v="4"/>
    <x v="2"/>
    <x v="40"/>
    <x v="40"/>
    <x v="407"/>
  </r>
  <r>
    <x v="408"/>
    <x v="408"/>
    <x v="1"/>
    <x v="3"/>
    <x v="0"/>
    <x v="4"/>
    <x v="0"/>
    <x v="3"/>
    <x v="3"/>
    <x v="408"/>
  </r>
  <r>
    <x v="409"/>
    <x v="409"/>
    <x v="1"/>
    <x v="3"/>
    <x v="0"/>
    <x v="4"/>
    <x v="1"/>
    <x v="3"/>
    <x v="3"/>
    <x v="409"/>
  </r>
  <r>
    <x v="410"/>
    <x v="410"/>
    <x v="1"/>
    <x v="3"/>
    <x v="0"/>
    <x v="4"/>
    <x v="2"/>
    <x v="3"/>
    <x v="3"/>
    <x v="410"/>
  </r>
  <r>
    <x v="411"/>
    <x v="411"/>
    <x v="1"/>
    <x v="3"/>
    <x v="1"/>
    <x v="4"/>
    <x v="0"/>
    <x v="3"/>
    <x v="3"/>
    <x v="411"/>
  </r>
  <r>
    <x v="412"/>
    <x v="412"/>
    <x v="1"/>
    <x v="3"/>
    <x v="1"/>
    <x v="4"/>
    <x v="1"/>
    <x v="40"/>
    <x v="40"/>
    <x v="412"/>
  </r>
  <r>
    <x v="413"/>
    <x v="413"/>
    <x v="1"/>
    <x v="3"/>
    <x v="1"/>
    <x v="4"/>
    <x v="2"/>
    <x v="3"/>
    <x v="3"/>
    <x v="413"/>
  </r>
  <r>
    <x v="414"/>
    <x v="414"/>
    <x v="1"/>
    <x v="4"/>
    <x v="0"/>
    <x v="4"/>
    <x v="0"/>
    <x v="3"/>
    <x v="3"/>
    <x v="414"/>
  </r>
  <r>
    <x v="415"/>
    <x v="415"/>
    <x v="1"/>
    <x v="4"/>
    <x v="0"/>
    <x v="4"/>
    <x v="1"/>
    <x v="3"/>
    <x v="3"/>
    <x v="415"/>
  </r>
  <r>
    <x v="416"/>
    <x v="416"/>
    <x v="1"/>
    <x v="4"/>
    <x v="0"/>
    <x v="4"/>
    <x v="2"/>
    <x v="3"/>
    <x v="3"/>
    <x v="416"/>
  </r>
  <r>
    <x v="417"/>
    <x v="417"/>
    <x v="1"/>
    <x v="4"/>
    <x v="1"/>
    <x v="4"/>
    <x v="0"/>
    <x v="3"/>
    <x v="3"/>
    <x v="417"/>
  </r>
  <r>
    <x v="418"/>
    <x v="418"/>
    <x v="1"/>
    <x v="4"/>
    <x v="1"/>
    <x v="4"/>
    <x v="1"/>
    <x v="7"/>
    <x v="7"/>
    <x v="418"/>
  </r>
  <r>
    <x v="419"/>
    <x v="419"/>
    <x v="1"/>
    <x v="4"/>
    <x v="1"/>
    <x v="4"/>
    <x v="2"/>
    <x v="87"/>
    <x v="87"/>
    <x v="419"/>
  </r>
  <r>
    <x v="420"/>
    <x v="420"/>
    <x v="2"/>
    <x v="0"/>
    <x v="0"/>
    <x v="4"/>
    <x v="0"/>
    <x v="3"/>
    <x v="3"/>
    <x v="420"/>
  </r>
  <r>
    <x v="421"/>
    <x v="421"/>
    <x v="2"/>
    <x v="0"/>
    <x v="0"/>
    <x v="4"/>
    <x v="1"/>
    <x v="3"/>
    <x v="3"/>
    <x v="421"/>
  </r>
  <r>
    <x v="422"/>
    <x v="422"/>
    <x v="2"/>
    <x v="0"/>
    <x v="0"/>
    <x v="4"/>
    <x v="2"/>
    <x v="3"/>
    <x v="3"/>
    <x v="422"/>
  </r>
  <r>
    <x v="423"/>
    <x v="423"/>
    <x v="2"/>
    <x v="0"/>
    <x v="1"/>
    <x v="4"/>
    <x v="0"/>
    <x v="3"/>
    <x v="3"/>
    <x v="423"/>
  </r>
  <r>
    <x v="424"/>
    <x v="424"/>
    <x v="2"/>
    <x v="0"/>
    <x v="1"/>
    <x v="4"/>
    <x v="1"/>
    <x v="3"/>
    <x v="3"/>
    <x v="424"/>
  </r>
  <r>
    <x v="425"/>
    <x v="425"/>
    <x v="2"/>
    <x v="0"/>
    <x v="1"/>
    <x v="4"/>
    <x v="2"/>
    <x v="22"/>
    <x v="22"/>
    <x v="425"/>
  </r>
  <r>
    <x v="426"/>
    <x v="426"/>
    <x v="2"/>
    <x v="1"/>
    <x v="0"/>
    <x v="4"/>
    <x v="0"/>
    <x v="3"/>
    <x v="3"/>
    <x v="426"/>
  </r>
  <r>
    <x v="427"/>
    <x v="427"/>
    <x v="2"/>
    <x v="1"/>
    <x v="0"/>
    <x v="4"/>
    <x v="1"/>
    <x v="3"/>
    <x v="3"/>
    <x v="427"/>
  </r>
  <r>
    <x v="428"/>
    <x v="428"/>
    <x v="2"/>
    <x v="1"/>
    <x v="0"/>
    <x v="4"/>
    <x v="2"/>
    <x v="3"/>
    <x v="3"/>
    <x v="428"/>
  </r>
  <r>
    <x v="429"/>
    <x v="429"/>
    <x v="2"/>
    <x v="1"/>
    <x v="1"/>
    <x v="4"/>
    <x v="0"/>
    <x v="3"/>
    <x v="3"/>
    <x v="429"/>
  </r>
  <r>
    <x v="430"/>
    <x v="430"/>
    <x v="2"/>
    <x v="1"/>
    <x v="1"/>
    <x v="4"/>
    <x v="1"/>
    <x v="3"/>
    <x v="3"/>
    <x v="430"/>
  </r>
  <r>
    <x v="431"/>
    <x v="431"/>
    <x v="2"/>
    <x v="1"/>
    <x v="1"/>
    <x v="4"/>
    <x v="2"/>
    <x v="0"/>
    <x v="0"/>
    <x v="431"/>
  </r>
  <r>
    <x v="432"/>
    <x v="432"/>
    <x v="2"/>
    <x v="2"/>
    <x v="0"/>
    <x v="4"/>
    <x v="0"/>
    <x v="3"/>
    <x v="3"/>
    <x v="432"/>
  </r>
  <r>
    <x v="433"/>
    <x v="433"/>
    <x v="2"/>
    <x v="2"/>
    <x v="0"/>
    <x v="4"/>
    <x v="1"/>
    <x v="3"/>
    <x v="3"/>
    <x v="433"/>
  </r>
  <r>
    <x v="434"/>
    <x v="434"/>
    <x v="2"/>
    <x v="2"/>
    <x v="0"/>
    <x v="4"/>
    <x v="2"/>
    <x v="3"/>
    <x v="3"/>
    <x v="434"/>
  </r>
  <r>
    <x v="435"/>
    <x v="435"/>
    <x v="2"/>
    <x v="2"/>
    <x v="1"/>
    <x v="4"/>
    <x v="0"/>
    <x v="3"/>
    <x v="3"/>
    <x v="435"/>
  </r>
  <r>
    <x v="436"/>
    <x v="436"/>
    <x v="2"/>
    <x v="2"/>
    <x v="1"/>
    <x v="4"/>
    <x v="1"/>
    <x v="12"/>
    <x v="12"/>
    <x v="436"/>
  </r>
  <r>
    <x v="437"/>
    <x v="437"/>
    <x v="2"/>
    <x v="2"/>
    <x v="1"/>
    <x v="4"/>
    <x v="2"/>
    <x v="67"/>
    <x v="67"/>
    <x v="437"/>
  </r>
  <r>
    <x v="438"/>
    <x v="438"/>
    <x v="2"/>
    <x v="3"/>
    <x v="0"/>
    <x v="4"/>
    <x v="0"/>
    <x v="3"/>
    <x v="3"/>
    <x v="438"/>
  </r>
  <r>
    <x v="439"/>
    <x v="439"/>
    <x v="2"/>
    <x v="3"/>
    <x v="0"/>
    <x v="4"/>
    <x v="1"/>
    <x v="3"/>
    <x v="3"/>
    <x v="439"/>
  </r>
  <r>
    <x v="440"/>
    <x v="440"/>
    <x v="2"/>
    <x v="3"/>
    <x v="0"/>
    <x v="4"/>
    <x v="2"/>
    <x v="3"/>
    <x v="3"/>
    <x v="440"/>
  </r>
  <r>
    <x v="441"/>
    <x v="441"/>
    <x v="2"/>
    <x v="3"/>
    <x v="1"/>
    <x v="4"/>
    <x v="0"/>
    <x v="3"/>
    <x v="3"/>
    <x v="441"/>
  </r>
  <r>
    <x v="442"/>
    <x v="442"/>
    <x v="2"/>
    <x v="3"/>
    <x v="1"/>
    <x v="4"/>
    <x v="1"/>
    <x v="3"/>
    <x v="3"/>
    <x v="442"/>
  </r>
  <r>
    <x v="443"/>
    <x v="443"/>
    <x v="2"/>
    <x v="3"/>
    <x v="1"/>
    <x v="4"/>
    <x v="2"/>
    <x v="22"/>
    <x v="22"/>
    <x v="443"/>
  </r>
  <r>
    <x v="444"/>
    <x v="444"/>
    <x v="2"/>
    <x v="4"/>
    <x v="0"/>
    <x v="4"/>
    <x v="0"/>
    <x v="3"/>
    <x v="3"/>
    <x v="444"/>
  </r>
  <r>
    <x v="445"/>
    <x v="445"/>
    <x v="2"/>
    <x v="4"/>
    <x v="0"/>
    <x v="4"/>
    <x v="1"/>
    <x v="3"/>
    <x v="3"/>
    <x v="445"/>
  </r>
  <r>
    <x v="446"/>
    <x v="446"/>
    <x v="2"/>
    <x v="4"/>
    <x v="0"/>
    <x v="4"/>
    <x v="2"/>
    <x v="3"/>
    <x v="3"/>
    <x v="446"/>
  </r>
  <r>
    <x v="447"/>
    <x v="447"/>
    <x v="2"/>
    <x v="4"/>
    <x v="1"/>
    <x v="4"/>
    <x v="0"/>
    <x v="3"/>
    <x v="3"/>
    <x v="447"/>
  </r>
  <r>
    <x v="448"/>
    <x v="448"/>
    <x v="2"/>
    <x v="4"/>
    <x v="1"/>
    <x v="4"/>
    <x v="1"/>
    <x v="3"/>
    <x v="3"/>
    <x v="448"/>
  </r>
  <r>
    <x v="449"/>
    <x v="449"/>
    <x v="2"/>
    <x v="4"/>
    <x v="1"/>
    <x v="4"/>
    <x v="2"/>
    <x v="88"/>
    <x v="88"/>
    <x v="449"/>
  </r>
</pivotCacheRecords>
</file>

<file path=xl/pivotCache/pivotCacheRecords3.xml><?xml version="1.0" encoding="utf-8"?>
<pivotCacheRecords xmlns="http://schemas.openxmlformats.org/spreadsheetml/2006/main" xmlns:r="http://schemas.openxmlformats.org/officeDocument/2006/relationships" count="1402">
  <r>
    <x v="0"/>
    <n v="0.25"/>
    <n v="187328"/>
    <n v="23526"/>
    <n v="1"/>
    <n v="1000"/>
    <x v="0"/>
    <s v="Blown Cellulose"/>
    <s v=""/>
    <n v="0.33000001311302185"/>
    <n v="1925.059"/>
  </r>
  <r>
    <x v="0"/>
    <n v="0.5"/>
    <n v="84998"/>
    <n v="12339"/>
    <n v="1"/>
    <n v="1377"/>
    <x v="1"/>
    <s v="Batt Mineral Wool"/>
    <s v=""/>
    <n v="0.27000001072883606"/>
    <n v="2003.7159999999999"/>
  </r>
  <r>
    <x v="0"/>
    <n v="0.75"/>
    <n v="155141"/>
    <n v="20043"/>
    <n v="1"/>
    <n v="1036"/>
    <x v="2"/>
    <s v="Blown Rock Wool"/>
    <s v=""/>
    <n v="0.19499999284744263"/>
    <n v="1904.288"/>
  </r>
  <r>
    <x v="0"/>
    <n v="0.9"/>
    <n v="136990"/>
    <n v="10062"/>
    <n v="1"/>
    <n v="1100"/>
    <x v="3"/>
    <s v="Blown Cellulose"/>
    <s v=""/>
    <n v="0.15000000596046448"/>
    <n v="4956.4930000000004"/>
  </r>
  <r>
    <x v="0"/>
    <n v="1"/>
    <n v="91139"/>
    <n v="13141"/>
    <n v="2"/>
    <n v="420"/>
    <x v="4"/>
    <s v="Batt Fiberglass"/>
    <s v=""/>
    <n v="0.10999999940395355"/>
    <n v="4956.4930000000004"/>
  </r>
  <r>
    <x v="1"/>
    <n v="0.25"/>
    <n v="89464"/>
    <n v="12524"/>
    <n v="2"/>
    <n v="1152"/>
    <x v="2"/>
    <s v="Blown Cellulose"/>
    <s v=""/>
    <n v="0.33000001311302185"/>
    <n v="2003.7159999999999"/>
  </r>
  <r>
    <x v="1"/>
    <n v="0.5"/>
    <n v="663283"/>
    <n v="21316"/>
    <n v="1"/>
    <n v="1056"/>
    <x v="1"/>
    <s v="Mixed"/>
    <s v=""/>
    <n v="0.25"/>
    <n v="3785.7640000000001"/>
  </r>
  <r>
    <x v="1"/>
    <n v="0.75"/>
    <n v="53422"/>
    <n v="22546"/>
    <n v="1"/>
    <n v="905"/>
    <x v="5"/>
    <s v="Mixed"/>
    <s v=""/>
    <n v="0.17000000178813934"/>
    <n v="2079.9929999999999"/>
  </r>
  <r>
    <x v="1"/>
    <n v="0.9"/>
    <n v="50965"/>
    <n v="13426"/>
    <n v="1"/>
    <n v="1189"/>
    <x v="4"/>
    <s v=""/>
    <s v=""/>
    <n v="0.10999999940395355"/>
    <n v="1188.027"/>
  </r>
  <r>
    <x v="1"/>
    <n v="1"/>
    <n v="174139"/>
    <n v="21623"/>
    <n v="1"/>
    <n v="1955"/>
    <x v="1"/>
    <s v="Batt Fiberglass"/>
    <s v=""/>
    <n v="7.0000000298023224E-2"/>
    <n v="2079.9929999999999"/>
  </r>
  <r>
    <x v="2"/>
    <n v="0.25"/>
    <n v="44568"/>
    <n v="10733"/>
    <n v="1"/>
    <n v="468"/>
    <x v="6"/>
    <s v="Other"/>
    <s v=""/>
    <n v="0.32499998807907104"/>
    <n v="1524.7619999999999"/>
  </r>
  <r>
    <x v="2"/>
    <n v="0.5"/>
    <n v="107943"/>
    <n v="10951"/>
    <n v="2"/>
    <n v="646"/>
    <x v="1"/>
    <s v="Blown FB"/>
    <s v=""/>
    <n v="0.25"/>
    <n v="4956.4930000000004"/>
  </r>
  <r>
    <x v="2"/>
    <n v="0.75"/>
    <n v="155515"/>
    <n v="12103"/>
    <n v="1"/>
    <n v="1140"/>
    <x v="7"/>
    <s v="Batt Fiberglass"/>
    <s v=""/>
    <n v="0.1550000011920929"/>
    <n v="4956.4930000000004"/>
  </r>
  <r>
    <x v="2"/>
    <n v="0.9"/>
    <n v="214703"/>
    <n v="13261"/>
    <n v="1"/>
    <n v="2944"/>
    <x v="8"/>
    <s v="Blown Rock Wool"/>
    <s v=""/>
    <n v="9.4999998807907104E-2"/>
    <n v="6932.7380000000003"/>
  </r>
  <r>
    <x v="2"/>
    <n v="1"/>
    <n v="671583"/>
    <n v="11420"/>
    <n v="1"/>
    <n v="1780"/>
    <x v="7"/>
    <s v="Batt Fiberglass"/>
    <s v=""/>
    <n v="5.000000074505806E-2"/>
    <n v="6932.7380000000003"/>
  </r>
  <r>
    <x v="3"/>
    <n v="0.75"/>
    <n v="184009"/>
    <n v="21334"/>
    <n v="1"/>
    <n v="1200"/>
    <x v="9"/>
    <s v="Batt Fiberglass"/>
    <s v=""/>
    <n v="0.15000000596046448"/>
    <n v="12271.31"/>
  </r>
  <r>
    <x v="3"/>
    <n v="0.9"/>
    <n v="677725"/>
    <n v="23284"/>
    <n v="1"/>
    <n v="1248"/>
    <x v="1"/>
    <s v="Blown Cellulose"/>
    <s v=""/>
    <n v="9.0000003576278687E-2"/>
    <n v="3785.7640000000001"/>
  </r>
  <r>
    <x v="3"/>
    <n v="1"/>
    <n v="102638"/>
    <n v="11531"/>
    <n v="1"/>
    <n v="950"/>
    <x v="10"/>
    <s v="Mixed"/>
    <s v=""/>
    <n v="4.5000001788139343E-2"/>
    <n v="4956.4930000000004"/>
  </r>
  <r>
    <x v="4"/>
    <n v="0.25"/>
    <n v="95193"/>
    <n v="21504"/>
    <n v="1"/>
    <n v="352"/>
    <x v="11"/>
    <s v="Batt Fiberglass"/>
    <s v=""/>
    <n v="0.31999999284744263"/>
    <n v="1144.6790000000001"/>
  </r>
  <r>
    <x v="4"/>
    <n v="0.5"/>
    <n v="239807"/>
    <n v="10690"/>
    <n v="1"/>
    <n v="1753"/>
    <x v="11"/>
    <s v="Batt Fiberglass"/>
    <s v=""/>
    <n v="0.23999999463558197"/>
    <n v="1150.8789999999999"/>
  </r>
  <r>
    <x v="4"/>
    <n v="0.75"/>
    <n v="55981"/>
    <n v="11315"/>
    <n v="1"/>
    <n v="1792"/>
    <x v="11"/>
    <s v="Blown FB"/>
    <s v=""/>
    <n v="0.14499999582767487"/>
    <n v="1188.027"/>
  </r>
  <r>
    <x v="4"/>
    <n v="0.9"/>
    <n v="156917"/>
    <n v="22878"/>
    <n v="1"/>
    <n v="1032"/>
    <x v="1"/>
    <s v="Blown FB"/>
    <s v=""/>
    <n v="7.9999998211860657E-2"/>
    <n v="3785.7640000000001"/>
  </r>
  <r>
    <x v="4"/>
    <n v="1"/>
    <n v="802743"/>
    <n v="11055"/>
    <n v="1"/>
    <n v="1972"/>
    <x v="12"/>
    <s v="Blown FB"/>
    <s v="attic not accessible. Level and type estimated based on age of home"/>
    <n v="3.5000000149011612E-2"/>
    <n v="1464.694"/>
  </r>
  <r>
    <x v="5"/>
    <n v="0.5"/>
    <n v="31680"/>
    <n v="13319"/>
    <n v="2"/>
    <n v="336"/>
    <x v="13"/>
    <s v="Batt Fiberglass"/>
    <s v=""/>
    <n v="0.23999999463558197"/>
    <n v="1150.8789999999999"/>
  </r>
  <r>
    <x v="5"/>
    <n v="0.75"/>
    <n v="203495"/>
    <n v="22021"/>
    <n v="1"/>
    <n v="1378"/>
    <x v="14"/>
    <s v="Blown Cellulose"/>
    <s v=""/>
    <n v="0.14499999582767487"/>
    <n v="1192.4649999999999"/>
  </r>
  <r>
    <x v="5"/>
    <n v="0.9"/>
    <n v="66852"/>
    <n v="11323"/>
    <n v="1"/>
    <n v="1128"/>
    <x v="12"/>
    <s v="Mixed"/>
    <s v=""/>
    <n v="7.5000002980232239E-2"/>
    <n v="2003.7159999999999"/>
  </r>
  <r>
    <x v="5"/>
    <n v="1"/>
    <n v="209263"/>
    <n v="23294"/>
    <n v="1"/>
    <n v="2608"/>
    <x v="12"/>
    <s v="Blown FB"/>
    <s v=""/>
    <n v="2.500000037252903E-2"/>
    <n v="1904.288"/>
  </r>
  <r>
    <x v="6"/>
    <n v="0.75"/>
    <n v="142715"/>
    <n v="20168"/>
    <n v="1"/>
    <n v="1715"/>
    <x v="4"/>
    <s v="Blown FB"/>
    <s v=""/>
    <n v="0.14000000059604645"/>
    <n v="1612.692"/>
  </r>
  <r>
    <x v="6"/>
    <n v="0.9"/>
    <n v="136353"/>
    <n v="20274"/>
    <n v="1"/>
    <n v="1680"/>
    <x v="4"/>
    <s v="Blown FB"/>
    <s v=""/>
    <n v="7.0000000298023224E-2"/>
    <n v="1612.692"/>
  </r>
  <r>
    <x v="6"/>
    <n v="1"/>
    <n v="212403"/>
    <n v="14284"/>
    <n v="1"/>
    <n v="1023"/>
    <x v="11"/>
    <s v="Mixed"/>
    <s v=""/>
    <n v="1.9999999552965164E-2"/>
    <n v="1524.7619999999999"/>
  </r>
  <r>
    <x v="7"/>
    <n v="0.75"/>
    <n v="156119"/>
    <n v="22180"/>
    <n v="1"/>
    <n v="1536"/>
    <x v="4"/>
    <s v="Blown FB"/>
    <s v=""/>
    <n v="0.14000000059604645"/>
    <n v="2079.9929999999999"/>
  </r>
  <r>
    <x v="7"/>
    <n v="0.9"/>
    <n v="96984"/>
    <n v="24048"/>
    <n v="1"/>
    <n v="1100"/>
    <x v="11"/>
    <s v="Blown FB"/>
    <s v=""/>
    <n v="7.0000000298023224E-2"/>
    <n v="3785.7640000000001"/>
  </r>
  <r>
    <x v="7"/>
    <n v="1"/>
    <n v="160893"/>
    <n v="21018"/>
    <n v="1"/>
    <n v="936"/>
    <x v="15"/>
    <s v="Blown Cellulose"/>
    <s v=""/>
    <n v="1.9999999552965164E-2"/>
    <n v="2130.886"/>
  </r>
  <r>
    <x v="8"/>
    <m/>
    <n v="188536"/>
    <n v="24647"/>
    <n v="1"/>
    <n v="702"/>
    <x v="15"/>
    <s v=""/>
    <s v=""/>
    <m/>
    <n v="1904.288"/>
  </r>
  <r>
    <x v="8"/>
    <m/>
    <n v="171366"/>
    <n v="23544"/>
    <n v="1"/>
    <n v="1008"/>
    <x v="4"/>
    <s v=""/>
    <s v=""/>
    <m/>
    <n v="1192.4649999999999"/>
  </r>
  <r>
    <x v="8"/>
    <m/>
    <n v="89883"/>
    <n v="12833"/>
    <n v="1"/>
    <n v="1010"/>
    <x v="15"/>
    <s v=""/>
    <s v="attic insulation detail not provided in survey"/>
    <m/>
    <n v="2003.7159999999999"/>
  </r>
  <r>
    <x v="8"/>
    <m/>
    <n v="188782"/>
    <n v="23627"/>
    <n v="1"/>
    <n v="1900"/>
    <x v="4"/>
    <s v=""/>
    <s v="LOW PITCH ROOF NO ACESS"/>
    <m/>
    <n v="1192.4649999999999"/>
  </r>
  <r>
    <x v="8"/>
    <m/>
    <n v="37147"/>
    <n v="12016"/>
    <n v="1"/>
    <n v="90"/>
    <x v="15"/>
    <s v=""/>
    <s v="There was no attic access that I could find so attic insulation is unknown. Homeowner thinks its insulated but unsure how much"/>
    <m/>
    <n v="1524.7619999999999"/>
  </r>
  <r>
    <x v="8"/>
    <m/>
    <n v="176583"/>
    <n v="20117"/>
    <n v="1"/>
    <n v="390"/>
    <x v="15"/>
    <s v=""/>
    <s v="unable to access crawl or attic space because tenant rents. Could not estimate insulation level for the same reason, tenant is uncertain of age of housing units. Rents from housing authority in Helena. "/>
    <m/>
    <n v="2130.886"/>
  </r>
  <r>
    <x v="8"/>
    <m/>
    <n v="171366"/>
    <n v="23544"/>
    <n v="2"/>
    <n v="768"/>
    <x v="4"/>
    <s v=""/>
    <s v=""/>
    <m/>
    <n v="1192.4649999999999"/>
  </r>
  <r>
    <x v="8"/>
    <m/>
    <n v="238800"/>
    <n v="24232"/>
    <n v="1"/>
    <n v="800"/>
    <x v="15"/>
    <s v=""/>
    <s v="RENTER SAYS THERE IS NO ACCESS"/>
    <m/>
    <n v="2079.9929999999999"/>
  </r>
  <r>
    <x v="8"/>
    <m/>
    <n v="200603"/>
    <n v="20446"/>
    <n v="1"/>
    <n v="818"/>
    <x v="15"/>
    <s v=""/>
    <s v=""/>
    <m/>
    <n v="1612.692"/>
  </r>
  <r>
    <x v="8"/>
    <m/>
    <n v="173799"/>
    <n v="23966"/>
    <n v="1"/>
    <n v="901"/>
    <x v="15"/>
    <s v=""/>
    <s v=""/>
    <m/>
    <n v="3785.7640000000001"/>
  </r>
  <r>
    <x v="8"/>
    <m/>
    <n v="50730"/>
    <n v="10638"/>
    <n v="1"/>
    <n v="672"/>
    <x v="15"/>
    <s v=""/>
    <s v="no attic access"/>
    <m/>
    <n v="1524.7619999999999"/>
  </r>
  <r>
    <x v="8"/>
    <m/>
    <n v="38830"/>
    <n v="10040"/>
    <n v="2"/>
    <n v="40"/>
    <x v="15"/>
    <s v=""/>
    <s v=""/>
    <m/>
    <n v="1524.7619999999999"/>
  </r>
  <r>
    <x v="8"/>
    <m/>
    <n v="36104"/>
    <n v="10298"/>
    <n v="1"/>
    <n v="690"/>
    <x v="15"/>
    <s v=""/>
    <s v="no attic access, "/>
    <m/>
    <n v="1524.7619999999999"/>
  </r>
  <r>
    <x v="8"/>
    <m/>
    <n v="724188"/>
    <n v="11725"/>
    <n v="1"/>
    <n v="1387"/>
    <x v="15"/>
    <s v=""/>
    <s v="no access"/>
    <m/>
    <n v="1524.7619999999999"/>
  </r>
  <r>
    <x v="8"/>
    <m/>
    <n v="159914"/>
    <n v="21026"/>
    <n v="1"/>
    <n v="720"/>
    <x v="15"/>
    <s v=""/>
    <s v=""/>
    <m/>
    <n v="8264.9449999999997"/>
  </r>
  <r>
    <x v="8"/>
    <m/>
    <n v="47007"/>
    <n v="23714"/>
    <n v="1"/>
    <n v="1450"/>
    <x v="15"/>
    <s v=""/>
    <s v=""/>
    <m/>
    <n v="8264.9449999999997"/>
  </r>
  <r>
    <x v="8"/>
    <m/>
    <n v="43290"/>
    <n v="23564"/>
    <n v="1"/>
    <n v="667"/>
    <x v="15"/>
    <s v=""/>
    <s v=""/>
    <m/>
    <n v="2130.886"/>
  </r>
  <r>
    <x v="8"/>
    <m/>
    <n v="38830"/>
    <n v="10040"/>
    <n v="1"/>
    <n v="896"/>
    <x v="15"/>
    <s v=""/>
    <s v=""/>
    <m/>
    <n v="1524.7619999999999"/>
  </r>
  <r>
    <x v="8"/>
    <m/>
    <n v="160272"/>
    <n v="20351"/>
    <n v="1"/>
    <n v="380"/>
    <x v="14"/>
    <s v=""/>
    <s v=""/>
    <m/>
    <n v="2130.886"/>
  </r>
  <r>
    <x v="8"/>
    <m/>
    <n v="168372"/>
    <n v="10486"/>
    <n v="1"/>
    <n v="750"/>
    <x v="15"/>
    <s v="Mixed"/>
    <s v=""/>
    <m/>
    <n v="6932.7380000000003"/>
  </r>
  <r>
    <x v="8"/>
    <m/>
    <n v="223024"/>
    <n v="10476"/>
    <n v="1"/>
    <n v="2012"/>
    <x v="15"/>
    <s v=""/>
    <s v="surveyor originally entered na"/>
    <m/>
    <n v="4956.4930000000004"/>
  </r>
  <r>
    <x v="8"/>
    <m/>
    <n v="34546"/>
    <n v="10231"/>
    <n v="1"/>
    <n v="400"/>
    <x v="15"/>
    <s v=""/>
    <s v=""/>
    <m/>
    <n v="1524.7619999999999"/>
  </r>
  <r>
    <x v="9"/>
    <n v="0.25"/>
    <n v="65695"/>
    <n v="12142"/>
    <n v="2"/>
    <n v="162"/>
    <x v="16"/>
    <s v="Other"/>
    <s v=""/>
    <n v="0.37000000476837158"/>
    <n v="1524.7619999999999"/>
  </r>
  <r>
    <x v="9"/>
    <n v="0.25"/>
    <n v="64407"/>
    <n v="11539"/>
    <n v="1"/>
    <n v="500"/>
    <x v="1"/>
    <s v="Other"/>
    <s v=""/>
    <n v="0.37000000476837158"/>
    <n v="2003.7159999999999"/>
  </r>
  <r>
    <x v="9"/>
    <n v="0.25"/>
    <n v="65695"/>
    <n v="12142"/>
    <n v="1"/>
    <n v="253"/>
    <x v="16"/>
    <s v="Other"/>
    <s v=""/>
    <n v="0.37000000476837158"/>
    <n v="1524.7619999999999"/>
  </r>
  <r>
    <x v="9"/>
    <n v="0.75"/>
    <n v="227258"/>
    <n v="11030"/>
    <n v="1"/>
    <n v="958"/>
    <x v="1"/>
    <s v="Other"/>
    <s v=""/>
    <n v="0.37000000476837158"/>
    <n v="1464.694"/>
  </r>
  <r>
    <x v="9"/>
    <n v="0.9"/>
    <n v="134513"/>
    <n v="23235"/>
    <n v="1"/>
    <n v="738"/>
    <x v="8"/>
    <s v="Other"/>
    <s v=""/>
    <n v="0.37000000476837158"/>
    <n v="1612.692"/>
  </r>
  <r>
    <x v="9"/>
    <n v="0.9"/>
    <n v="28386"/>
    <n v="11178"/>
    <n v="1"/>
    <n v="794"/>
    <x v="4"/>
    <s v=""/>
    <s v="no access , old home , probably not insulated"/>
    <n v="0.37000000476837158"/>
    <n v="1524.7619999999999"/>
  </r>
  <r>
    <x v="9"/>
    <n v="0.9"/>
    <n v="40849"/>
    <n v="12358"/>
    <n v="2"/>
    <n v="264"/>
    <x v="15"/>
    <s v=""/>
    <s v="No information"/>
    <n v="0.37000000476837158"/>
    <n v="1524.7619999999999"/>
  </r>
  <r>
    <x v="9"/>
    <n v="0.9"/>
    <n v="223513"/>
    <n v="12341"/>
    <n v="4"/>
    <n v="162"/>
    <x v="15"/>
    <s v=""/>
    <s v="no access to attic"/>
    <n v="0.37000000476837158"/>
    <n v="1464.694"/>
  </r>
  <r>
    <x v="9"/>
    <n v="0.9"/>
    <n v="798475"/>
    <n v="20390"/>
    <n v="1"/>
    <n v="850"/>
    <x v="8"/>
    <s v=""/>
    <s v="no insulation in the entire home."/>
    <n v="0.37000000476837158"/>
    <n v="8264.9449999999997"/>
  </r>
  <r>
    <x v="9"/>
    <n v="0.9"/>
    <n v="71125"/>
    <n v="23905"/>
    <n v="1"/>
    <n v="730"/>
    <x v="17"/>
    <s v=""/>
    <s v=""/>
    <n v="0.37000000476837158"/>
    <n v="2079.9929999999999"/>
  </r>
  <r>
    <x v="9"/>
    <n v="0.9"/>
    <n v="223513"/>
    <n v="12341"/>
    <n v="3"/>
    <n v="216"/>
    <x v="15"/>
    <s v=""/>
    <s v="no access to attic"/>
    <n v="0.37000000476837158"/>
    <n v="1464.694"/>
  </r>
  <r>
    <x v="9"/>
    <n v="0.9"/>
    <n v="131893"/>
    <n v="24594"/>
    <n v="1"/>
    <n v="992"/>
    <x v="4"/>
    <s v="Other"/>
    <s v=""/>
    <n v="0.37000000476837158"/>
    <n v="1612.692"/>
  </r>
  <r>
    <x v="9"/>
    <n v="0.9"/>
    <n v="241311"/>
    <n v="22785"/>
    <n v="1"/>
    <n v="950"/>
    <x v="6"/>
    <s v=""/>
    <s v=""/>
    <n v="0.37000000476837158"/>
    <n v="2079.9929999999999"/>
  </r>
  <r>
    <x v="9"/>
    <n v="0.9"/>
    <n v="802994"/>
    <n v="12111"/>
    <n v="3"/>
    <n v="78"/>
    <x v="8"/>
    <s v=""/>
    <s v=""/>
    <n v="0.37000000476837158"/>
    <n v="1464.694"/>
  </r>
  <r>
    <x v="9"/>
    <n v="0.9"/>
    <n v="238072"/>
    <n v="21601"/>
    <n v="1"/>
    <n v="1008"/>
    <x v="4"/>
    <s v=""/>
    <s v="open beam ceilings  1950's w/ metal roof little if any insu lation"/>
    <n v="0.37000000476837158"/>
    <n v="2079.9929999999999"/>
  </r>
  <r>
    <x v="9"/>
    <n v="0.9"/>
    <n v="208510"/>
    <n v="12264"/>
    <n v="2"/>
    <n v="420"/>
    <x v="15"/>
    <s v=""/>
    <s v=""/>
    <n v="0.37000000476837158"/>
    <n v="1464.694"/>
  </r>
  <r>
    <x v="9"/>
    <n v="0.9"/>
    <n v="97430"/>
    <n v="10630"/>
    <n v="2"/>
    <n v="66"/>
    <x v="15"/>
    <s v=""/>
    <s v="no access to crawl"/>
    <n v="0.37000000476837158"/>
    <n v="4956.4930000000004"/>
  </r>
  <r>
    <x v="9"/>
    <n v="0.9"/>
    <n v="724892"/>
    <n v="23384"/>
    <n v="2"/>
    <n v="140"/>
    <x v="8"/>
    <s v=""/>
    <s v=""/>
    <n v="0.37000000476837158"/>
    <n v="8264.9449999999997"/>
  </r>
  <r>
    <x v="9"/>
    <n v="0.9"/>
    <n v="691540"/>
    <n v="13507"/>
    <n v="1"/>
    <n v="165"/>
    <x v="18"/>
    <s v=""/>
    <s v="could insulate the ceiling , old slatted wood floor "/>
    <n v="0.37000000476837158"/>
    <n v="4956.4930000000004"/>
  </r>
  <r>
    <x v="9"/>
    <n v="0.9"/>
    <n v="217050"/>
    <n v="12092"/>
    <n v="1"/>
    <n v="2000"/>
    <x v="15"/>
    <s v=""/>
    <s v="This house is not conducive to insulating without completely reworking all the exterior surfaces , built like a train tressel ,boards against the wind "/>
    <n v="0.37000000476837158"/>
    <n v="4956.4930000000004"/>
  </r>
  <r>
    <x v="9"/>
    <n v="0.9"/>
    <n v="175460"/>
    <n v="23486"/>
    <n v="1"/>
    <n v="756"/>
    <x v="8"/>
    <s v=""/>
    <s v=""/>
    <n v="0.37000000476837158"/>
    <n v="1612.692"/>
  </r>
  <r>
    <x v="9"/>
    <n v="0.9"/>
    <n v="691540"/>
    <n v="13507"/>
    <n v="4"/>
    <n v="367"/>
    <x v="17"/>
    <s v=""/>
    <s v="access , not insulated , could blow in "/>
    <n v="0.37000000476837158"/>
    <n v="4956.4930000000004"/>
  </r>
  <r>
    <x v="9"/>
    <n v="0.9"/>
    <n v="97563"/>
    <n v="22701"/>
    <n v="1"/>
    <n v="1104"/>
    <x v="8"/>
    <s v=""/>
    <s v=""/>
    <n v="0.37000000476837158"/>
    <n v="1925.059"/>
  </r>
  <r>
    <x v="9"/>
    <n v="0.9"/>
    <n v="691540"/>
    <n v="13507"/>
    <n v="3"/>
    <n v="105"/>
    <x v="17"/>
    <s v=""/>
    <s v="no access to this attic"/>
    <n v="0.37000000476837158"/>
    <n v="4956.4930000000004"/>
  </r>
  <r>
    <x v="9"/>
    <n v="0.9"/>
    <n v="223513"/>
    <n v="12341"/>
    <n v="2"/>
    <n v="48"/>
    <x v="15"/>
    <s v=""/>
    <s v="no access to attic"/>
    <n v="0.37000000476837158"/>
    <n v="1464.694"/>
  </r>
  <r>
    <x v="9"/>
    <n v="0.9"/>
    <n v="691540"/>
    <n v="13507"/>
    <n v="2"/>
    <n v="300"/>
    <x v="18"/>
    <s v=""/>
    <s v=""/>
    <n v="0.37000000476837158"/>
    <n v="4956.4930000000004"/>
  </r>
  <r>
    <x v="9"/>
    <n v="0.9"/>
    <n v="39810"/>
    <n v="10697"/>
    <n v="1"/>
    <n v="832"/>
    <x v="8"/>
    <s v=""/>
    <s v=""/>
    <n v="0.37000000476837158"/>
    <n v="1524.7619999999999"/>
  </r>
  <r>
    <x v="9"/>
    <n v="0.9"/>
    <n v="170760"/>
    <n v="22530"/>
    <n v="1"/>
    <n v="674"/>
    <x v="8"/>
    <s v=""/>
    <s v=""/>
    <n v="0.37000000476837158"/>
    <n v="1612.692"/>
  </r>
  <r>
    <x v="9"/>
    <n v="0.9"/>
    <n v="216743"/>
    <n v="10695"/>
    <n v="1"/>
    <n v="433"/>
    <x v="0"/>
    <s v=""/>
    <s v="no access to area. vaulted ceiling, very cold    "/>
    <n v="0.37000000476837158"/>
    <n v="1464.694"/>
  </r>
  <r>
    <x v="9"/>
    <n v="1"/>
    <n v="107313"/>
    <n v="22125"/>
    <n v="1"/>
    <n v="1400"/>
    <x v="6"/>
    <s v="Mixed"/>
    <s v=""/>
    <n v="0.37000000476837158"/>
    <n v="2079.9929999999999"/>
  </r>
  <r>
    <x v="9"/>
    <n v="1"/>
    <n v="50031"/>
    <n v="10848"/>
    <n v="2"/>
    <n v="195"/>
    <x v="8"/>
    <s v="Other"/>
    <s v=""/>
    <n v="0.37000000476837158"/>
    <n v="1524.7619999999999"/>
  </r>
  <r>
    <x v="9"/>
    <n v="1"/>
    <n v="133328"/>
    <n v="23188"/>
    <n v="1"/>
    <n v="1100"/>
    <x v="1"/>
    <s v="Mixed"/>
    <s v=""/>
    <n v="0.37000000476837158"/>
    <n v="2079.9929999999999"/>
  </r>
  <r>
    <x v="9"/>
    <n v="1"/>
    <n v="52108"/>
    <n v="23859"/>
    <n v="1"/>
    <n v="820"/>
    <x v="4"/>
    <s v="Other"/>
    <s v=""/>
    <n v="0.37000000476837158"/>
    <n v="2130.886"/>
  </r>
  <r>
    <x v="9"/>
    <n v="1"/>
    <n v="52640"/>
    <n v="23676"/>
    <n v="1"/>
    <n v="1350"/>
    <x v="19"/>
    <s v="Other"/>
    <s v=""/>
    <n v="0.37000000476837158"/>
    <n v="2079.9929999999999"/>
  </r>
  <r>
    <x v="9"/>
    <n v="1"/>
    <n v="86186"/>
    <n v="11377"/>
    <n v="2"/>
    <n v="364"/>
    <x v="20"/>
    <s v="Other"/>
    <s v=""/>
    <n v="0.37000000476837158"/>
    <n v="4956.4930000000004"/>
  </r>
  <r>
    <x v="0"/>
    <n v="0.25"/>
    <n v="205939"/>
    <n v="22181"/>
    <n v="1"/>
    <n v="698"/>
    <x v="2"/>
    <s v="Mixed"/>
    <s v=""/>
    <n v="0.33000001311302185"/>
    <n v="1192.4649999999999"/>
  </r>
  <r>
    <x v="0"/>
    <n v="0.25"/>
    <n v="95493"/>
    <n v="10408"/>
    <n v="1"/>
    <n v="1983"/>
    <x v="19"/>
    <s v="Blown Cellulose"/>
    <s v=""/>
    <n v="0.33000001311302185"/>
    <n v="4956.4930000000004"/>
  </r>
  <r>
    <x v="0"/>
    <n v="0.25"/>
    <n v="27018"/>
    <n v="10688"/>
    <n v="1"/>
    <n v="923"/>
    <x v="21"/>
    <s v="Other"/>
    <s v=""/>
    <n v="0.33000001311302185"/>
    <n v="1150.8789999999999"/>
  </r>
  <r>
    <x v="0"/>
    <n v="0.25"/>
    <n v="109479"/>
    <n v="11222"/>
    <n v="1"/>
    <n v="1570"/>
    <x v="22"/>
    <s v="Mixed"/>
    <s v=""/>
    <n v="0.33000001311302185"/>
    <n v="4956.4930000000004"/>
  </r>
  <r>
    <x v="0"/>
    <n v="0.25"/>
    <n v="91266"/>
    <n v="11084"/>
    <n v="1"/>
    <n v="1530"/>
    <x v="3"/>
    <s v="Batt Fiberglass"/>
    <s v=""/>
    <n v="0.33000001311302185"/>
    <n v="2003.7159999999999"/>
  </r>
  <r>
    <x v="0"/>
    <n v="0.25"/>
    <n v="175278"/>
    <n v="20357"/>
    <n v="1"/>
    <n v="1090"/>
    <x v="23"/>
    <s v="Blown Rock Wool"/>
    <s v=""/>
    <n v="0.33000001311302185"/>
    <n v="1612.692"/>
  </r>
  <r>
    <x v="0"/>
    <n v="0.25"/>
    <n v="40849"/>
    <n v="12358"/>
    <n v="1"/>
    <n v="1134"/>
    <x v="2"/>
    <s v="Batt Fiberglass"/>
    <s v=""/>
    <n v="0.33000001311302185"/>
    <n v="1524.7619999999999"/>
  </r>
  <r>
    <x v="0"/>
    <n v="0.25"/>
    <n v="153464"/>
    <n v="12902"/>
    <n v="1"/>
    <n v="1064"/>
    <x v="1"/>
    <s v="Mixed"/>
    <s v=""/>
    <n v="0.33000001311302185"/>
    <n v="1524.7619999999999"/>
  </r>
  <r>
    <x v="0"/>
    <n v="0.5"/>
    <n v="209595"/>
    <n v="10268"/>
    <n v="1"/>
    <n v="1008"/>
    <x v="1"/>
    <s v="Mixed"/>
    <s v=""/>
    <n v="0.27000001072883606"/>
    <n v="1464.694"/>
  </r>
  <r>
    <x v="0"/>
    <n v="0.5"/>
    <n v="70858"/>
    <n v="11041"/>
    <n v="1"/>
    <n v="676"/>
    <x v="2"/>
    <s v="Blown Cellulose"/>
    <s v="2&quot; wood fibers existing insulation, Recently added insulation in DIY project right before revisit happened.  Current insulation level is R31-40 "/>
    <n v="0.27000001072883606"/>
    <n v="1524.7619999999999"/>
  </r>
  <r>
    <x v="0"/>
    <n v="0.5"/>
    <n v="41423"/>
    <n v="10514"/>
    <n v="1"/>
    <n v="1053"/>
    <x v="14"/>
    <s v="Blown Rock Wool"/>
    <s v=""/>
    <n v="0.27000001072883606"/>
    <n v="1524.7619999999999"/>
  </r>
  <r>
    <x v="0"/>
    <n v="0.5"/>
    <n v="57520"/>
    <n v="21291"/>
    <n v="1"/>
    <n v="1231"/>
    <x v="1"/>
    <s v="Blown Cellulose"/>
    <s v=""/>
    <n v="0.27000001072883606"/>
    <n v="2079.9929999999999"/>
  </r>
  <r>
    <x v="0"/>
    <n v="0.5"/>
    <n v="201059"/>
    <n v="10664"/>
    <n v="1"/>
    <n v="1115"/>
    <x v="13"/>
    <s v="Mixed"/>
    <s v=""/>
    <n v="0.27000001072883606"/>
    <n v="8264.9449999999997"/>
  </r>
  <r>
    <x v="0"/>
    <n v="0.5"/>
    <n v="106527"/>
    <n v="23400"/>
    <n v="1"/>
    <n v="752"/>
    <x v="2"/>
    <s v="Batt Fiberglass"/>
    <s v=""/>
    <n v="0.27000001072883606"/>
    <n v="3785.7640000000001"/>
  </r>
  <r>
    <x v="0"/>
    <n v="0.5"/>
    <n v="38322"/>
    <n v="21376"/>
    <n v="1"/>
    <n v="1030"/>
    <x v="2"/>
    <s v="Mixed"/>
    <s v=""/>
    <n v="0.27000001072883606"/>
    <n v="3785.7640000000001"/>
  </r>
  <r>
    <x v="0"/>
    <n v="0.5"/>
    <n v="141132"/>
    <n v="12856"/>
    <n v="1"/>
    <n v="264"/>
    <x v="15"/>
    <s v="Batt Fiberglass"/>
    <s v=""/>
    <n v="0.27000001072883606"/>
    <n v="4956.4930000000004"/>
  </r>
  <r>
    <x v="0"/>
    <n v="0.5"/>
    <n v="48385"/>
    <n v="12504"/>
    <n v="1"/>
    <n v="1290"/>
    <x v="6"/>
    <s v="Blown Cellulose"/>
    <s v=""/>
    <n v="0.27000001072883606"/>
    <n v="1524.7619999999999"/>
  </r>
  <r>
    <x v="0"/>
    <n v="0.75"/>
    <n v="124132"/>
    <n v="10325"/>
    <n v="1"/>
    <n v="1360"/>
    <x v="24"/>
    <s v="Batt Fiberglass"/>
    <s v=""/>
    <n v="0.19499999284744263"/>
    <n v="4956.4930000000004"/>
  </r>
  <r>
    <x v="0"/>
    <n v="0.75"/>
    <n v="35610"/>
    <n v="10840"/>
    <n v="1"/>
    <n v="1570"/>
    <x v="6"/>
    <s v="Blown Rock Wool"/>
    <s v=""/>
    <n v="0.19499999284744263"/>
    <n v="1524.7619999999999"/>
  </r>
  <r>
    <x v="0"/>
    <n v="0.75"/>
    <n v="60996"/>
    <n v="20163"/>
    <n v="1"/>
    <n v="600"/>
    <x v="25"/>
    <s v="Blown Cellulose"/>
    <s v=""/>
    <n v="0.19499999284744263"/>
    <n v="2079.9929999999999"/>
  </r>
  <r>
    <x v="0"/>
    <n v="0.75"/>
    <n v="159202"/>
    <n v="11452"/>
    <n v="1"/>
    <n v="1800"/>
    <x v="1"/>
    <s v="Blown Cellulose"/>
    <s v=""/>
    <n v="0.19499999284744263"/>
    <n v="6932.7380000000003"/>
  </r>
  <r>
    <x v="0"/>
    <n v="0.75"/>
    <n v="213866"/>
    <n v="12675"/>
    <n v="1"/>
    <n v="920"/>
    <x v="1"/>
    <s v="Mixed"/>
    <s v=""/>
    <n v="0.19499999284744263"/>
    <n v="1464.694"/>
  </r>
  <r>
    <x v="0"/>
    <n v="0.75"/>
    <n v="107743"/>
    <n v="24696"/>
    <n v="1"/>
    <n v="1100"/>
    <x v="1"/>
    <s v="Blown Cellulose"/>
    <s v=""/>
    <n v="0.19499999284744263"/>
    <n v="2079.9929999999999"/>
  </r>
  <r>
    <x v="0"/>
    <n v="0.75"/>
    <n v="115949"/>
    <n v="13505"/>
    <n v="1"/>
    <n v="400"/>
    <x v="26"/>
    <s v="Blown Rock Wool"/>
    <s v=""/>
    <n v="0.19499999284744263"/>
    <n v="1464.694"/>
  </r>
  <r>
    <x v="0"/>
    <n v="0.75"/>
    <n v="65588"/>
    <n v="11980"/>
    <n v="3"/>
    <n v="336"/>
    <x v="6"/>
    <s v="Batt Fiberglass"/>
    <s v=""/>
    <n v="0.19499999284744263"/>
    <n v="1524.7619999999999"/>
  </r>
  <r>
    <x v="0"/>
    <n v="0.75"/>
    <n v="41842"/>
    <n v="12169"/>
    <n v="1"/>
    <n v="784"/>
    <x v="24"/>
    <s v="Blown Rock Wool"/>
    <s v="2-3&quot; OF SILVAWOOL IN ATTIC"/>
    <n v="0.19499999284744263"/>
    <n v="1524.7619999999999"/>
  </r>
  <r>
    <x v="0"/>
    <n v="0.75"/>
    <n v="57049"/>
    <n v="11210"/>
    <n v="1"/>
    <n v="950"/>
    <x v="6"/>
    <s v="Blown Cellulose"/>
    <s v=""/>
    <n v="0.19499999284744263"/>
    <n v="1524.7619999999999"/>
  </r>
  <r>
    <x v="0"/>
    <n v="0.75"/>
    <n v="132029"/>
    <n v="11717"/>
    <n v="1"/>
    <n v="1450"/>
    <x v="1"/>
    <s v="Blown Cellulose"/>
    <s v=""/>
    <n v="0.19499999284744263"/>
    <n v="6932.7380000000003"/>
  </r>
  <r>
    <x v="0"/>
    <n v="0.75"/>
    <n v="74116"/>
    <n v="10211"/>
    <n v="1"/>
    <n v="959"/>
    <x v="27"/>
    <s v="Blown Cellulose"/>
    <s v=""/>
    <n v="0.19499999284744263"/>
    <n v="1524.7619999999999"/>
  </r>
  <r>
    <x v="0"/>
    <n v="0.75"/>
    <n v="803441"/>
    <n v="24349"/>
    <n v="1"/>
    <n v="1722"/>
    <x v="23"/>
    <s v="Blown Rock Wool"/>
    <s v=""/>
    <n v="0.19499999284744263"/>
    <n v="8559.1039999999994"/>
  </r>
  <r>
    <x v="0"/>
    <n v="0.75"/>
    <n v="31680"/>
    <n v="13319"/>
    <n v="1"/>
    <n v="1600"/>
    <x v="13"/>
    <s v="Blown FB"/>
    <s v=""/>
    <n v="0.19499999284744263"/>
    <n v="1150.8789999999999"/>
  </r>
  <r>
    <x v="0"/>
    <n v="0.75"/>
    <n v="677187"/>
    <n v="12274"/>
    <n v="1"/>
    <n v="1692"/>
    <x v="1"/>
    <s v="Blown Rock Wool"/>
    <s v=""/>
    <n v="0.19499999284744263"/>
    <n v="4956.4930000000004"/>
  </r>
  <r>
    <x v="0"/>
    <n v="0.75"/>
    <n v="193388"/>
    <n v="13004"/>
    <n v="1"/>
    <n v="450"/>
    <x v="19"/>
    <s v="Blown Rock Wool"/>
    <s v=""/>
    <n v="0.19499999284744263"/>
    <n v="1464.694"/>
  </r>
  <r>
    <x v="0"/>
    <n v="0.75"/>
    <n v="177990"/>
    <n v="12994"/>
    <n v="1"/>
    <n v="1504"/>
    <x v="8"/>
    <s v="Other"/>
    <s v=""/>
    <n v="0.19499999284744263"/>
    <n v="6932.7380000000003"/>
  </r>
  <r>
    <x v="0"/>
    <n v="0.75"/>
    <n v="159497"/>
    <n v="10579"/>
    <n v="1"/>
    <n v="1080"/>
    <x v="19"/>
    <s v="Blown Cellulose"/>
    <s v=""/>
    <n v="0.19499999284744263"/>
    <n v="6932.7380000000003"/>
  </r>
  <r>
    <x v="0"/>
    <n v="0.75"/>
    <n v="117436"/>
    <n v="10332"/>
    <n v="1"/>
    <n v="1433"/>
    <x v="1"/>
    <s v="Batt Fiberglass"/>
    <s v=""/>
    <n v="0.19499999284744263"/>
    <n v="1464.694"/>
  </r>
  <r>
    <x v="0"/>
    <n v="0.75"/>
    <n v="171083"/>
    <n v="24572"/>
    <n v="1"/>
    <n v="850"/>
    <x v="19"/>
    <s v="Blown Cellulose"/>
    <s v=""/>
    <n v="0.19499999284744263"/>
    <n v="4360.1880000000001"/>
  </r>
  <r>
    <x v="0"/>
    <n v="0.75"/>
    <n v="78421"/>
    <n v="11302"/>
    <n v="1"/>
    <n v="525"/>
    <x v="2"/>
    <s v="Mixed"/>
    <s v=""/>
    <n v="0.19499999284744263"/>
    <n v="1524.7619999999999"/>
  </r>
  <r>
    <x v="0"/>
    <n v="0.75"/>
    <n v="94891"/>
    <n v="13643"/>
    <n v="2"/>
    <n v="220"/>
    <x v="14"/>
    <s v="Other"/>
    <s v=""/>
    <n v="0.19499999284744263"/>
    <n v="2003.7159999999999"/>
  </r>
  <r>
    <x v="0"/>
    <n v="0.75"/>
    <n v="192685"/>
    <n v="20016"/>
    <n v="1"/>
    <n v="780"/>
    <x v="2"/>
    <s v="Blown Rock Wool"/>
    <s v=""/>
    <n v="0.19499999284744263"/>
    <n v="12271.31"/>
  </r>
  <r>
    <x v="0"/>
    <n v="0.75"/>
    <n v="154929"/>
    <n v="24153"/>
    <n v="2"/>
    <n v="364"/>
    <x v="1"/>
    <s v="Blown Cellulose"/>
    <s v=""/>
    <n v="0.19499999284744263"/>
    <n v="1144.6790000000001"/>
  </r>
  <r>
    <x v="0"/>
    <n v="0.75"/>
    <n v="211379"/>
    <n v="13420"/>
    <n v="1"/>
    <n v="1180"/>
    <x v="1"/>
    <s v="Batt Mineral Wool"/>
    <s v=""/>
    <n v="0.19499999284744263"/>
    <n v="4956.4930000000004"/>
  </r>
  <r>
    <x v="0"/>
    <n v="0.75"/>
    <n v="823533"/>
    <n v="11844"/>
    <n v="1"/>
    <n v="752"/>
    <x v="2"/>
    <s v="Blown Cellulose"/>
    <s v=""/>
    <n v="0.19499999284744263"/>
    <n v="4956.4930000000004"/>
  </r>
  <r>
    <x v="0"/>
    <n v="0.75"/>
    <n v="802994"/>
    <n v="12111"/>
    <n v="1"/>
    <n v="557"/>
    <x v="24"/>
    <s v="Blown Cellulose"/>
    <s v=""/>
    <n v="0.19499999284744263"/>
    <n v="1464.694"/>
  </r>
  <r>
    <x v="0"/>
    <n v="0.75"/>
    <n v="37604"/>
    <n v="11494"/>
    <n v="1"/>
    <n v="909"/>
    <x v="1"/>
    <s v="Blown Cellulose"/>
    <s v=""/>
    <n v="0.19499999284744263"/>
    <n v="1524.7619999999999"/>
  </r>
  <r>
    <x v="0"/>
    <n v="0.75"/>
    <n v="83807"/>
    <n v="11992"/>
    <n v="1"/>
    <n v="1068"/>
    <x v="2"/>
    <s v="Blown Rock Wool"/>
    <s v=""/>
    <n v="0.19499999284744263"/>
    <n v="1524.7619999999999"/>
  </r>
  <r>
    <x v="0"/>
    <n v="0.9"/>
    <n v="93289"/>
    <n v="10292"/>
    <n v="1"/>
    <n v="1653"/>
    <x v="1"/>
    <s v="Blown Rock Wool"/>
    <s v=""/>
    <n v="0.15000000596046448"/>
    <n v="4956.4930000000004"/>
  </r>
  <r>
    <x v="0"/>
    <n v="0.9"/>
    <n v="121183"/>
    <n v="20371"/>
    <n v="1"/>
    <n v="1329"/>
    <x v="8"/>
    <s v="Blown Cellulose"/>
    <s v=""/>
    <n v="0.15000000596046448"/>
    <n v="1925.059"/>
  </r>
  <r>
    <x v="0"/>
    <n v="0.9"/>
    <n v="31009"/>
    <n v="12022"/>
    <n v="1"/>
    <n v="975"/>
    <x v="14"/>
    <s v="Batt Mineral Wool"/>
    <s v=""/>
    <n v="0.15000000596046448"/>
    <n v="1524.7619999999999"/>
  </r>
  <r>
    <x v="0"/>
    <n v="0.9"/>
    <n v="69775"/>
    <n v="10265"/>
    <n v="1"/>
    <n v="1744"/>
    <x v="6"/>
    <s v="Blown Cellulose"/>
    <s v="converted garage ceiling"/>
    <n v="0.15000000596046448"/>
    <n v="2003.7159999999999"/>
  </r>
  <r>
    <x v="0"/>
    <n v="0.9"/>
    <n v="80261"/>
    <n v="24151"/>
    <n v="1"/>
    <n v="814"/>
    <x v="5"/>
    <s v="Batt Mineral Wool"/>
    <s v=""/>
    <n v="0.15000000596046448"/>
    <n v="1925.059"/>
  </r>
  <r>
    <x v="0"/>
    <n v="0.9"/>
    <n v="102442"/>
    <n v="12908"/>
    <n v="1"/>
    <n v="812"/>
    <x v="3"/>
    <s v="Blown Rock Wool"/>
    <s v=""/>
    <n v="0.15000000596046448"/>
    <n v="1524.7619999999999"/>
  </r>
  <r>
    <x v="0"/>
    <n v="0.9"/>
    <n v="144581"/>
    <n v="20381"/>
    <n v="1"/>
    <n v="1085"/>
    <x v="11"/>
    <s v=""/>
    <s v="FLAT ROOF NO ACESS OWNER INSULATED ADDITION BUT SAYS LITTLE INSULATION IN EXISTING HOME"/>
    <n v="0.15000000596046448"/>
    <n v="1192.4649999999999"/>
  </r>
  <r>
    <x v="0"/>
    <n v="0.9"/>
    <n v="206099"/>
    <n v="14210"/>
    <n v="1"/>
    <n v="865"/>
    <x v="6"/>
    <s v="Mixed"/>
    <s v=""/>
    <n v="0.15000000596046448"/>
    <n v="1464.694"/>
  </r>
  <r>
    <x v="0"/>
    <n v="0.9"/>
    <n v="32984"/>
    <n v="20458"/>
    <n v="1"/>
    <n v="923"/>
    <x v="20"/>
    <s v="Batt Fiberglass"/>
    <s v=""/>
    <n v="0.15000000596046448"/>
    <n v="3785.7640000000001"/>
  </r>
  <r>
    <x v="0"/>
    <n v="0.9"/>
    <n v="91686"/>
    <n v="22232"/>
    <n v="1"/>
    <n v="1300"/>
    <x v="13"/>
    <s v="Blown Rock Wool"/>
    <s v=""/>
    <n v="0.15000000596046448"/>
    <n v="1904.288"/>
  </r>
  <r>
    <x v="0"/>
    <n v="0.9"/>
    <n v="213755"/>
    <n v="12845"/>
    <n v="1"/>
    <n v="1200"/>
    <x v="18"/>
    <s v="Batt Mineral Wool"/>
    <s v=""/>
    <n v="0.15000000596046448"/>
    <n v="1464.694"/>
  </r>
  <r>
    <x v="0"/>
    <n v="0.9"/>
    <n v="667106"/>
    <n v="11636"/>
    <n v="1"/>
    <n v="215"/>
    <x v="6"/>
    <s v="Other"/>
    <s v="homeowner says he sealed up access because of vermiculite insulation"/>
    <n v="0.15000000596046448"/>
    <n v="1464.694"/>
  </r>
  <r>
    <x v="0"/>
    <n v="0.9"/>
    <n v="680181"/>
    <n v="13222"/>
    <n v="1"/>
    <n v="1076"/>
    <x v="2"/>
    <s v="Blown Rock Wool"/>
    <s v=""/>
    <n v="0.15000000596046448"/>
    <n v="2003.7159999999999"/>
  </r>
  <r>
    <x v="0"/>
    <n v="0.9"/>
    <n v="196498"/>
    <n v="11552"/>
    <n v="1"/>
    <n v="1380"/>
    <x v="1"/>
    <s v="Blown Rock Wool"/>
    <s v=""/>
    <n v="0.15000000596046448"/>
    <n v="1464.694"/>
  </r>
  <r>
    <x v="0"/>
    <n v="0.9"/>
    <n v="29839"/>
    <n v="11006"/>
    <n v="1"/>
    <n v="842"/>
    <x v="13"/>
    <s v="Blown Rock Wool"/>
    <s v=""/>
    <n v="0.15000000596046448"/>
    <n v="1524.7619999999999"/>
  </r>
  <r>
    <x v="0"/>
    <n v="0.9"/>
    <n v="31911"/>
    <n v="11734"/>
    <n v="1"/>
    <n v="1050"/>
    <x v="16"/>
    <s v="Other"/>
    <s v=""/>
    <n v="0.15000000596046448"/>
    <n v="1524.7619999999999"/>
  </r>
  <r>
    <x v="0"/>
    <n v="1"/>
    <n v="198385"/>
    <n v="13948"/>
    <n v="2"/>
    <n v="205"/>
    <x v="2"/>
    <s v="Blown Rock Wool"/>
    <s v=""/>
    <n v="0.10999999940395355"/>
    <n v="1524.7619999999999"/>
  </r>
  <r>
    <x v="0"/>
    <n v="1"/>
    <n v="27800"/>
    <n v="14078"/>
    <n v="1"/>
    <n v="1820"/>
    <x v="1"/>
    <s v="Blown Cellulose"/>
    <s v=""/>
    <n v="0.10999999940395355"/>
    <n v="1150.8789999999999"/>
  </r>
  <r>
    <x v="0"/>
    <n v="1"/>
    <n v="204713"/>
    <n v="10911"/>
    <n v="2"/>
    <n v="310"/>
    <x v="11"/>
    <s v="Blown Cellulose"/>
    <s v=""/>
    <n v="0.10999999940395355"/>
    <n v="1464.694"/>
  </r>
  <r>
    <x v="0"/>
    <n v="1"/>
    <n v="66996"/>
    <n v="11910"/>
    <n v="2"/>
    <n v="256"/>
    <x v="6"/>
    <s v="Mixed"/>
    <s v="2x8"/>
    <n v="0.10999999940395355"/>
    <n v="2003.7159999999999"/>
  </r>
  <r>
    <x v="0"/>
    <n v="1"/>
    <n v="26786"/>
    <n v="10176"/>
    <n v="1"/>
    <n v="1400"/>
    <x v="1"/>
    <s v="Blown FB"/>
    <s v=""/>
    <n v="0.10999999940395355"/>
    <n v="1150.8789999999999"/>
  </r>
  <r>
    <x v="0"/>
    <n v="1"/>
    <n v="43386"/>
    <n v="21719"/>
    <n v="1"/>
    <n v="1232"/>
    <x v="2"/>
    <s v="Other"/>
    <s v=""/>
    <n v="0.10999999940395355"/>
    <n v="2130.886"/>
  </r>
  <r>
    <x v="0"/>
    <n v="1"/>
    <n v="117982"/>
    <n v="10537"/>
    <n v="1"/>
    <n v="2463"/>
    <x v="27"/>
    <s v="Blown Rock Wool"/>
    <s v=""/>
    <n v="0.10999999940395355"/>
    <n v="4956.4930000000004"/>
  </r>
  <r>
    <x v="0"/>
    <n v="1"/>
    <n v="103645"/>
    <n v="24259"/>
    <n v="1"/>
    <n v="864"/>
    <x v="28"/>
    <s v="Other"/>
    <s v=""/>
    <n v="0.10999999940395355"/>
    <n v="1144.6790000000001"/>
  </r>
  <r>
    <x v="0"/>
    <n v="1"/>
    <n v="103749"/>
    <n v="10948"/>
    <n v="1"/>
    <n v="1124"/>
    <x v="27"/>
    <s v="Blown Rock Wool"/>
    <s v=""/>
    <n v="0.10999999940395355"/>
    <n v="2003.7159999999999"/>
  </r>
  <r>
    <x v="0"/>
    <n v="1"/>
    <n v="30767"/>
    <n v="10557"/>
    <n v="1"/>
    <n v="617"/>
    <x v="6"/>
    <s v="Other"/>
    <s v="3&quot; of  vermiculite"/>
    <n v="0.10999999940395355"/>
    <n v="1524.7619999999999"/>
  </r>
  <r>
    <x v="0"/>
    <n v="1"/>
    <n v="134765"/>
    <n v="10230"/>
    <n v="1"/>
    <n v="564"/>
    <x v="20"/>
    <s v="Blown Cellulose"/>
    <s v=""/>
    <n v="0.10999999940395355"/>
    <n v="1464.694"/>
  </r>
  <r>
    <x v="0"/>
    <n v="1"/>
    <n v="720816"/>
    <n v="10082"/>
    <n v="1"/>
    <n v="408"/>
    <x v="4"/>
    <s v="Batt Fiberglass"/>
    <s v=""/>
    <n v="0.10999999940395355"/>
    <n v="4956.4930000000004"/>
  </r>
  <r>
    <x v="1"/>
    <n v="0.25"/>
    <n v="61273"/>
    <n v="10823"/>
    <n v="1"/>
    <n v="1030"/>
    <x v="0"/>
    <s v="Blown Cellulose"/>
    <s v=""/>
    <n v="0.33000001311302185"/>
    <n v="1524.7619999999999"/>
  </r>
  <r>
    <x v="1"/>
    <n v="0.5"/>
    <n v="123569"/>
    <n v="21277"/>
    <n v="1"/>
    <n v="400"/>
    <x v="8"/>
    <s v="Batt Fiberglass"/>
    <s v=""/>
    <n v="0.25"/>
    <n v="1612.692"/>
  </r>
  <r>
    <x v="1"/>
    <n v="0.5"/>
    <n v="217928"/>
    <n v="20941"/>
    <n v="1"/>
    <n v="1050"/>
    <x v="18"/>
    <s v="Blown FB"/>
    <s v="heavy trafgic in attic plus abandoned duck system w vents in ceiling not sealed off"/>
    <n v="0.25"/>
    <n v="3785.7640000000001"/>
  </r>
  <r>
    <x v="1"/>
    <n v="0.5"/>
    <n v="99347"/>
    <n v="11933"/>
    <n v="1"/>
    <n v="1070"/>
    <x v="18"/>
    <s v="Batt Fiberglass"/>
    <s v=""/>
    <n v="0.25"/>
    <n v="2003.7159999999999"/>
  </r>
  <r>
    <x v="1"/>
    <n v="0.5"/>
    <n v="77092"/>
    <n v="20595"/>
    <n v="1"/>
    <n v="1024"/>
    <x v="4"/>
    <s v="Blown FB"/>
    <s v=""/>
    <n v="0.25"/>
    <n v="1192.4649999999999"/>
  </r>
  <r>
    <x v="1"/>
    <n v="0.5"/>
    <n v="202110"/>
    <n v="20606"/>
    <n v="1"/>
    <n v="1100"/>
    <x v="19"/>
    <s v="Mixed"/>
    <s v=""/>
    <n v="0.25"/>
    <n v="1612.692"/>
  </r>
  <r>
    <x v="1"/>
    <n v="0.75"/>
    <n v="175100"/>
    <n v="21091"/>
    <n v="1"/>
    <n v="1444"/>
    <x v="8"/>
    <s v="Mixed"/>
    <s v=""/>
    <n v="0.17000000178813934"/>
    <n v="8559.1039999999994"/>
  </r>
  <r>
    <x v="1"/>
    <n v="0.75"/>
    <n v="76093"/>
    <n v="22096"/>
    <n v="1"/>
    <n v="1824"/>
    <x v="1"/>
    <s v="Blown FB"/>
    <s v=""/>
    <n v="0.17000000178813934"/>
    <n v="3785.7640000000001"/>
  </r>
  <r>
    <x v="1"/>
    <n v="0.75"/>
    <n v="100598"/>
    <n v="20265"/>
    <n v="1"/>
    <n v="1936"/>
    <x v="22"/>
    <s v="Blown Rock Wool"/>
    <s v=""/>
    <n v="0.17000000178813934"/>
    <n v="1925.059"/>
  </r>
  <r>
    <x v="1"/>
    <n v="0.75"/>
    <n v="155424"/>
    <n v="13327"/>
    <n v="1"/>
    <n v="1496"/>
    <x v="19"/>
    <s v="Blown Rock Wool"/>
    <s v=""/>
    <n v="0.17000000178813934"/>
    <n v="1464.694"/>
  </r>
  <r>
    <x v="1"/>
    <n v="0.75"/>
    <n v="122285"/>
    <n v="13462"/>
    <n v="1"/>
    <n v="1150"/>
    <x v="18"/>
    <s v="Mixed"/>
    <s v=""/>
    <n v="0.17000000178813934"/>
    <n v="1464.694"/>
  </r>
  <r>
    <x v="1"/>
    <n v="0.75"/>
    <n v="65588"/>
    <n v="11980"/>
    <n v="2"/>
    <n v="264"/>
    <x v="26"/>
    <s v="Blown Rock Wool"/>
    <s v=""/>
    <n v="0.17000000178813934"/>
    <n v="1524.7619999999999"/>
  </r>
  <r>
    <x v="1"/>
    <n v="0.75"/>
    <n v="46814"/>
    <n v="23559"/>
    <n v="1"/>
    <n v="700"/>
    <x v="26"/>
    <s v="Blown Cellulose"/>
    <s v=""/>
    <n v="0.17000000178813934"/>
    <n v="8264.9449999999997"/>
  </r>
  <r>
    <x v="1"/>
    <n v="0.75"/>
    <n v="191619"/>
    <n v="12062"/>
    <n v="1"/>
    <n v="1417"/>
    <x v="13"/>
    <s v="Blown FB"/>
    <s v=""/>
    <n v="0.17000000178813934"/>
    <n v="6932.7380000000003"/>
  </r>
  <r>
    <x v="1"/>
    <n v="0.75"/>
    <n v="206856"/>
    <n v="11958"/>
    <n v="1"/>
    <n v="1390"/>
    <x v="13"/>
    <s v="Blown Cellulose"/>
    <s v=""/>
    <n v="0.17000000178813934"/>
    <n v="6932.7380000000003"/>
  </r>
  <r>
    <x v="1"/>
    <n v="0.75"/>
    <n v="47722"/>
    <n v="12197"/>
    <n v="1"/>
    <n v="860"/>
    <x v="4"/>
    <s v="Batt Fiberglass"/>
    <s v=""/>
    <n v="0.17000000178813934"/>
    <n v="1524.7619999999999"/>
  </r>
  <r>
    <x v="1"/>
    <n v="0.75"/>
    <n v="239583"/>
    <n v="10021"/>
    <n v="1"/>
    <n v="1646"/>
    <x v="14"/>
    <s v="Mixed"/>
    <s v="BLOWN CELLUOSE IN SOFFETS, PROBABLY BATTS ABOVE UPSTAIRS ROOMS, IMPROVEMENT ONLY POSSIBLE IN SOFFET "/>
    <n v="0.17000000178813934"/>
    <n v="1150.8789999999999"/>
  </r>
  <r>
    <x v="1"/>
    <n v="0.75"/>
    <n v="724892"/>
    <n v="23384"/>
    <n v="1"/>
    <n v="727"/>
    <x v="2"/>
    <s v="Blown Cellulose"/>
    <s v=""/>
    <n v="0.17000000178813934"/>
    <n v="8264.9449999999997"/>
  </r>
  <r>
    <x v="1"/>
    <n v="0.75"/>
    <n v="57177"/>
    <n v="11339"/>
    <n v="1"/>
    <n v="1130"/>
    <x v="29"/>
    <s v="Batt Fiberglass"/>
    <s v=""/>
    <n v="0.17000000178813934"/>
    <n v="1524.7619999999999"/>
  </r>
  <r>
    <x v="1"/>
    <n v="0.75"/>
    <n v="153709"/>
    <n v="22663"/>
    <n v="1"/>
    <n v="1111"/>
    <x v="0"/>
    <s v="Blown Rock Wool"/>
    <s v=""/>
    <n v="0.17000000178813934"/>
    <n v="1904.288"/>
  </r>
  <r>
    <x v="1"/>
    <n v="0.75"/>
    <n v="136117"/>
    <n v="21979"/>
    <n v="1"/>
    <n v="2275"/>
    <x v="19"/>
    <s v="Batt Fiberglass"/>
    <s v=""/>
    <n v="0.17000000178813934"/>
    <n v="1612.692"/>
  </r>
  <r>
    <x v="1"/>
    <n v="0.75"/>
    <n v="79848"/>
    <n v="23763"/>
    <n v="1"/>
    <n v="2267"/>
    <x v="1"/>
    <s v="Batt Fiberglass"/>
    <s v=""/>
    <n v="0.17000000178813934"/>
    <n v="2079.9929999999999"/>
  </r>
  <r>
    <x v="1"/>
    <n v="0.75"/>
    <n v="100226"/>
    <n v="20783"/>
    <n v="1"/>
    <n v="1380"/>
    <x v="7"/>
    <s v="Mixed"/>
    <s v=""/>
    <n v="0.17000000178813934"/>
    <n v="1144.6790000000001"/>
  </r>
  <r>
    <x v="1"/>
    <n v="0.75"/>
    <n v="123952"/>
    <n v="24522"/>
    <n v="1"/>
    <n v="1685"/>
    <x v="2"/>
    <s v="Batt Fiberglass"/>
    <s v=""/>
    <n v="0.17000000178813934"/>
    <n v="2079.9929999999999"/>
  </r>
  <r>
    <x v="1"/>
    <n v="0.75"/>
    <n v="148515"/>
    <n v="20809"/>
    <n v="1"/>
    <n v="1200"/>
    <x v="1"/>
    <s v="Mixed"/>
    <s v=""/>
    <n v="0.17000000178813934"/>
    <n v="1192.4649999999999"/>
  </r>
  <r>
    <x v="1"/>
    <n v="0.75"/>
    <n v="137212"/>
    <n v="11880"/>
    <n v="1"/>
    <n v="918"/>
    <x v="26"/>
    <s v="Batt Fiberglass"/>
    <s v=""/>
    <n v="0.17000000178813934"/>
    <n v="2003.7159999999999"/>
  </r>
  <r>
    <x v="1"/>
    <n v="0.75"/>
    <n v="113629"/>
    <n v="14122"/>
    <n v="1"/>
    <n v="1768"/>
    <x v="1"/>
    <s v="Mixed"/>
    <s v=""/>
    <n v="0.17000000178813934"/>
    <n v="1464.694"/>
  </r>
  <r>
    <x v="1"/>
    <n v="0.75"/>
    <n v="81839"/>
    <n v="20244"/>
    <n v="1"/>
    <n v="1300"/>
    <x v="26"/>
    <s v="Blown Rock Wool"/>
    <s v=""/>
    <n v="0.17000000178813934"/>
    <n v="2079.9929999999999"/>
  </r>
  <r>
    <x v="1"/>
    <n v="0.75"/>
    <n v="72196"/>
    <n v="20007"/>
    <n v="1"/>
    <n v="1344"/>
    <x v="26"/>
    <s v="Batt Fiberglass"/>
    <s v=""/>
    <n v="0.17000000178813934"/>
    <n v="2079.9929999999999"/>
  </r>
  <r>
    <x v="1"/>
    <n v="0.75"/>
    <n v="143572"/>
    <n v="20042"/>
    <n v="1"/>
    <n v="1375"/>
    <x v="19"/>
    <s v="Batt Fiberglass"/>
    <s v=""/>
    <n v="0.17000000178813934"/>
    <n v="2130.886"/>
  </r>
  <r>
    <x v="1"/>
    <n v="0.75"/>
    <n v="99114"/>
    <n v="23840"/>
    <n v="1"/>
    <n v="1296"/>
    <x v="6"/>
    <s v="Batt Fiberglass"/>
    <s v=""/>
    <n v="0.17000000178813934"/>
    <n v="1144.6790000000001"/>
  </r>
  <r>
    <x v="1"/>
    <n v="0.9"/>
    <n v="216097"/>
    <n v="10649"/>
    <n v="1"/>
    <n v="1228"/>
    <x v="0"/>
    <s v="Blown Rock Wool"/>
    <s v=""/>
    <n v="0.10999999940395355"/>
    <n v="6932.7380000000003"/>
  </r>
  <r>
    <x v="1"/>
    <n v="0.9"/>
    <n v="194496"/>
    <n v="23300"/>
    <n v="1"/>
    <n v="1339"/>
    <x v="19"/>
    <s v="Blown Rock Wool"/>
    <s v=""/>
    <n v="0.10999999940395355"/>
    <n v="1925.059"/>
  </r>
  <r>
    <x v="1"/>
    <n v="0.9"/>
    <n v="38124"/>
    <n v="11802"/>
    <n v="1"/>
    <n v="170"/>
    <x v="17"/>
    <s v="Batt Fiberglass"/>
    <s v=""/>
    <n v="0.10999999940395355"/>
    <n v="1188.027"/>
  </r>
  <r>
    <x v="1"/>
    <n v="0.9"/>
    <n v="139444"/>
    <n v="10083"/>
    <n v="1"/>
    <n v="1474"/>
    <x v="15"/>
    <s v=""/>
    <s v=""/>
    <n v="0.10999999940395355"/>
    <n v="4956.4930000000004"/>
  </r>
  <r>
    <x v="1"/>
    <n v="0.9"/>
    <n v="121839"/>
    <n v="23539"/>
    <n v="1"/>
    <n v="1218"/>
    <x v="19"/>
    <s v="Batt Fiberglass"/>
    <s v=""/>
    <n v="0.10999999940395355"/>
    <n v="2079.9929999999999"/>
  </r>
  <r>
    <x v="1"/>
    <n v="0.9"/>
    <n v="109137"/>
    <n v="10636"/>
    <n v="1"/>
    <n v="1140"/>
    <x v="25"/>
    <s v="Batt Fiberglass"/>
    <s v=""/>
    <n v="0.10999999940395355"/>
    <n v="4956.4930000000004"/>
  </r>
  <r>
    <x v="1"/>
    <n v="0.9"/>
    <n v="237819"/>
    <n v="11775"/>
    <n v="1"/>
    <n v="1318"/>
    <x v="15"/>
    <s v="Batt Fiberglass"/>
    <s v="Some of attic is under plywood for storage purposes. ~1/3-1/2 of attic has potential for improved insulation."/>
    <n v="0.10999999940395355"/>
    <n v="4956.4930000000004"/>
  </r>
  <r>
    <x v="1"/>
    <n v="0.9"/>
    <n v="207506"/>
    <n v="13046"/>
    <n v="1"/>
    <n v="877"/>
    <x v="26"/>
    <s v="Mixed"/>
    <s v=""/>
    <n v="0.10999999940395355"/>
    <n v="1464.694"/>
  </r>
  <r>
    <x v="1"/>
    <n v="0.9"/>
    <n v="56920"/>
    <n v="11978"/>
    <n v="1"/>
    <n v="1620"/>
    <x v="8"/>
    <s v="Batt Fiberglass"/>
    <s v=""/>
    <n v="0.10999999940395355"/>
    <n v="1188.027"/>
  </r>
  <r>
    <x v="1"/>
    <n v="0.9"/>
    <n v="55001"/>
    <n v="22509"/>
    <n v="1"/>
    <n v="992"/>
    <x v="11"/>
    <s v="Batt Fiberglass"/>
    <s v=""/>
    <n v="0.10999999940395355"/>
    <n v="2079.9929999999999"/>
  </r>
  <r>
    <x v="1"/>
    <n v="0.9"/>
    <n v="62554"/>
    <n v="10990"/>
    <n v="1"/>
    <n v="2000"/>
    <x v="14"/>
    <s v="Batt Fiberglass"/>
    <s v=""/>
    <n v="0.10999999940395355"/>
    <n v="2003.7159999999999"/>
  </r>
  <r>
    <x v="1"/>
    <n v="0.9"/>
    <n v="238610"/>
    <n v="13785"/>
    <n v="1"/>
    <n v="1333"/>
    <x v="15"/>
    <s v=""/>
    <s v="Roof replaced in 2001, not sure whether insulation was changed."/>
    <n v="0.10999999940395355"/>
    <n v="1150.8789999999999"/>
  </r>
  <r>
    <x v="1"/>
    <n v="0.9"/>
    <n v="159813"/>
    <n v="11051"/>
    <n v="1"/>
    <n v="1010"/>
    <x v="1"/>
    <s v="Batt Fiberglass"/>
    <s v=""/>
    <n v="0.10999999940395355"/>
    <n v="6932.7380000000003"/>
  </r>
  <r>
    <x v="1"/>
    <n v="0.9"/>
    <n v="49417"/>
    <n v="21203"/>
    <n v="1"/>
    <n v="824"/>
    <x v="5"/>
    <s v="Batt Fiberglass"/>
    <s v=""/>
    <n v="0.10999999940395355"/>
    <n v="2079.9929999999999"/>
  </r>
  <r>
    <x v="1"/>
    <n v="0.9"/>
    <n v="191411"/>
    <n v="10334"/>
    <n v="1"/>
    <n v="1878"/>
    <x v="14"/>
    <s v="Mixed"/>
    <s v=""/>
    <n v="0.10999999940395355"/>
    <n v="4956.4930000000004"/>
  </r>
  <r>
    <x v="1"/>
    <n v="0.9"/>
    <n v="28102"/>
    <n v="10551"/>
    <n v="1"/>
    <n v="933"/>
    <x v="1"/>
    <s v="Mixed"/>
    <s v=""/>
    <n v="0.10999999940395355"/>
    <n v="1524.7619999999999"/>
  </r>
  <r>
    <x v="1"/>
    <n v="0.9"/>
    <n v="72443"/>
    <n v="11089"/>
    <n v="1"/>
    <n v="480"/>
    <x v="26"/>
    <s v="Batt Fiberglass"/>
    <s v=""/>
    <n v="0.10999999940395355"/>
    <n v="2003.7159999999999"/>
  </r>
  <r>
    <x v="1"/>
    <n v="0.9"/>
    <n v="65331"/>
    <n v="10786"/>
    <n v="1"/>
    <n v="1460"/>
    <x v="4"/>
    <s v="Batt Fiberglass"/>
    <s v=""/>
    <n v="0.10999999940395355"/>
    <n v="2003.7159999999999"/>
  </r>
  <r>
    <x v="1"/>
    <n v="0.9"/>
    <n v="677624"/>
    <n v="23933"/>
    <n v="1"/>
    <n v="1338"/>
    <x v="2"/>
    <s v="Blown Rock Wool"/>
    <s v="this is estimated-o access to attic located. possible location is in converted garage/apt which was accessible at the beginning of the survey"/>
    <n v="0.10999999940395355"/>
    <n v="3785.7640000000001"/>
  </r>
  <r>
    <x v="1"/>
    <n v="0.9"/>
    <n v="122713"/>
    <n v="11341"/>
    <n v="1"/>
    <n v="2290"/>
    <x v="1"/>
    <s v="Batt Fiberglass"/>
    <s v=""/>
    <n v="0.10999999940395355"/>
    <n v="1464.694"/>
  </r>
  <r>
    <x v="1"/>
    <n v="0.9"/>
    <n v="158299"/>
    <n v="22289"/>
    <n v="1"/>
    <n v="1032"/>
    <x v="1"/>
    <s v="Blown FB"/>
    <s v=""/>
    <n v="0.10999999940395355"/>
    <n v="4360.1880000000001"/>
  </r>
  <r>
    <x v="1"/>
    <n v="0.9"/>
    <n v="110254"/>
    <n v="21703"/>
    <n v="1"/>
    <n v="1308"/>
    <x v="30"/>
    <s v="Blown FB"/>
    <s v=""/>
    <n v="0.10999999940395355"/>
    <n v="1904.288"/>
  </r>
  <r>
    <x v="1"/>
    <n v="0.9"/>
    <n v="215951"/>
    <n v="22620"/>
    <n v="1"/>
    <n v="2618"/>
    <x v="0"/>
    <s v="Blown FB"/>
    <s v=""/>
    <n v="0.10999999940395355"/>
    <n v="2079.9929999999999"/>
  </r>
  <r>
    <x v="1"/>
    <n v="0.9"/>
    <n v="113955"/>
    <n v="12107"/>
    <n v="1"/>
    <n v="651"/>
    <x v="2"/>
    <s v="Blown Rock Wool"/>
    <s v=""/>
    <n v="0.10999999940395355"/>
    <n v="4956.4930000000004"/>
  </r>
  <r>
    <x v="1"/>
    <n v="0.9"/>
    <n v="29629"/>
    <n v="10895"/>
    <n v="1"/>
    <n v="869"/>
    <x v="1"/>
    <s v="Batt Fiberglass"/>
    <s v=""/>
    <n v="0.10999999940395355"/>
    <n v="1524.7619999999999"/>
  </r>
  <r>
    <x v="1"/>
    <n v="0.9"/>
    <n v="234145"/>
    <n v="21487"/>
    <n v="2"/>
    <n v="120"/>
    <x v="1"/>
    <s v="Mixed"/>
    <s v="Knee walls were accessible"/>
    <n v="0.10999999940395355"/>
    <n v="8264.9449999999997"/>
  </r>
  <r>
    <x v="1"/>
    <n v="0.9"/>
    <n v="823429"/>
    <n v="11705"/>
    <n v="1"/>
    <n v="1198"/>
    <x v="0"/>
    <s v="Blown FB"/>
    <s v=""/>
    <n v="0.10999999940395355"/>
    <n v="1464.694"/>
  </r>
  <r>
    <x v="1"/>
    <n v="0.9"/>
    <n v="222696"/>
    <n v="24462"/>
    <n v="1"/>
    <n v="1013"/>
    <x v="1"/>
    <s v="Blown Cellulose"/>
    <s v=""/>
    <n v="0.10999999940395355"/>
    <n v="3785.7640000000001"/>
  </r>
  <r>
    <x v="1"/>
    <n v="0.9"/>
    <n v="680634"/>
    <n v="12507"/>
    <n v="1"/>
    <n v="718"/>
    <x v="2"/>
    <s v="Batt Fiberglass"/>
    <s v=""/>
    <n v="0.10999999940395355"/>
    <n v="1524.7619999999999"/>
  </r>
  <r>
    <x v="1"/>
    <n v="0.9"/>
    <n v="222803"/>
    <n v="24247"/>
    <n v="1"/>
    <n v="1748"/>
    <x v="13"/>
    <s v="Blown FB"/>
    <s v="Last insulated in mid-80s"/>
    <n v="0.10999999940395355"/>
    <n v="1612.692"/>
  </r>
  <r>
    <x v="1"/>
    <n v="0.9"/>
    <n v="803222"/>
    <n v="11825"/>
    <n v="2"/>
    <n v="364"/>
    <x v="19"/>
    <s v="Batt Fiberglass"/>
    <s v=""/>
    <n v="0.10999999940395355"/>
    <n v="1464.694"/>
  </r>
  <r>
    <x v="1"/>
    <n v="0.9"/>
    <n v="241243"/>
    <n v="21305"/>
    <n v="1"/>
    <n v="700"/>
    <x v="26"/>
    <s v="Batt Fiberglass"/>
    <s v=""/>
    <n v="0.10999999940395355"/>
    <n v="1612.692"/>
  </r>
  <r>
    <x v="1"/>
    <n v="0.9"/>
    <n v="41666"/>
    <n v="11187"/>
    <n v="1"/>
    <n v="1359"/>
    <x v="6"/>
    <s v="Blown Cellulose"/>
    <s v=""/>
    <n v="0.10999999940395355"/>
    <n v="1524.7619999999999"/>
  </r>
  <r>
    <x v="1"/>
    <n v="0.9"/>
    <n v="62921"/>
    <n v="22000"/>
    <n v="1"/>
    <n v="900"/>
    <x v="1"/>
    <s v="Batt Fiberglass"/>
    <s v=""/>
    <n v="0.10999999940395355"/>
    <n v="3785.7640000000001"/>
  </r>
  <r>
    <x v="1"/>
    <n v="0.9"/>
    <n v="114415"/>
    <n v="11246"/>
    <n v="1"/>
    <n v="1010"/>
    <x v="0"/>
    <s v="Batt Fiberglass"/>
    <s v=""/>
    <n v="0.10999999940395355"/>
    <n v="1524.7619999999999"/>
  </r>
  <r>
    <x v="1"/>
    <n v="0.9"/>
    <n v="47817"/>
    <n v="11273"/>
    <n v="2"/>
    <n v="60"/>
    <x v="11"/>
    <s v="Blown Rock Wool"/>
    <s v=""/>
    <n v="0.10999999940395355"/>
    <n v="1524.7619999999999"/>
  </r>
  <r>
    <x v="1"/>
    <n v="0.9"/>
    <n v="154392"/>
    <n v="10178"/>
    <n v="1"/>
    <n v="1560"/>
    <x v="19"/>
    <s v="Blown Cellulose"/>
    <s v=""/>
    <n v="0.10999999940395355"/>
    <n v="6932.7380000000003"/>
  </r>
  <r>
    <x v="1"/>
    <n v="0.9"/>
    <n v="115090"/>
    <n v="11086"/>
    <n v="1"/>
    <n v="1476"/>
    <x v="1"/>
    <s v="Batt Fiberglass"/>
    <s v=""/>
    <n v="0.10999999940395355"/>
    <n v="4956.4930000000004"/>
  </r>
  <r>
    <x v="1"/>
    <n v="0.9"/>
    <n v="221285"/>
    <n v="13970"/>
    <n v="1"/>
    <n v="124"/>
    <x v="2"/>
    <s v="Batt Fiberglass"/>
    <s v="not visible. Est. R11, assuming 70s/80s retrofit."/>
    <n v="0.10999999940395355"/>
    <n v="1524.7619999999999"/>
  </r>
  <r>
    <x v="1"/>
    <n v="0.9"/>
    <n v="54867"/>
    <n v="10044"/>
    <n v="1"/>
    <n v="1584"/>
    <x v="11"/>
    <s v="Batt Fiberglass"/>
    <s v=""/>
    <n v="0.10999999940395355"/>
    <n v="2003.7159999999999"/>
  </r>
  <r>
    <x v="1"/>
    <n v="0.9"/>
    <n v="199455"/>
    <n v="13672"/>
    <n v="1"/>
    <n v="806"/>
    <x v="8"/>
    <s v="Batt Fiberglass"/>
    <s v=""/>
    <n v="0.10999999940395355"/>
    <n v="1188.027"/>
  </r>
  <r>
    <x v="1"/>
    <n v="0.9"/>
    <n v="48493"/>
    <n v="11284"/>
    <n v="1"/>
    <n v="542"/>
    <x v="26"/>
    <s v="Batt Fiberglass"/>
    <s v="62+100+310+71. Alot of hidden behind knee wallls sometimes used as storage."/>
    <n v="0.10999999940395355"/>
    <n v="1524.7619999999999"/>
  </r>
  <r>
    <x v="1"/>
    <n v="0.9"/>
    <n v="160611"/>
    <n v="11221"/>
    <n v="1"/>
    <n v="2140"/>
    <x v="1"/>
    <s v=""/>
    <s v="I was unable to access the attic to view any of the duct conditions.  I suspect that it isn't well insulated above the ceiling."/>
    <n v="0.10999999940395355"/>
    <n v="6932.7380000000003"/>
  </r>
  <r>
    <x v="1"/>
    <n v="0.9"/>
    <n v="137738"/>
    <n v="12131"/>
    <n v="1"/>
    <n v="844"/>
    <x v="14"/>
    <s v="Blown Rock Wool"/>
    <s v=""/>
    <n v="0.10999999940395355"/>
    <n v="4956.4930000000004"/>
  </r>
  <r>
    <x v="1"/>
    <n v="0.9"/>
    <n v="206361"/>
    <n v="14046"/>
    <n v="1"/>
    <n v="1524"/>
    <x v="1"/>
    <s v="Batt Fiberglass"/>
    <s v=""/>
    <n v="0.10999999940395355"/>
    <n v="1464.694"/>
  </r>
  <r>
    <x v="1"/>
    <n v="0.9"/>
    <n v="93415"/>
    <n v="12690"/>
    <n v="1"/>
    <n v="710"/>
    <x v="14"/>
    <s v="Batt Fiberglass"/>
    <s v=""/>
    <n v="0.10999999940395355"/>
    <n v="4956.4930000000004"/>
  </r>
  <r>
    <x v="1"/>
    <n v="0.9"/>
    <n v="97321"/>
    <n v="10629"/>
    <n v="1"/>
    <n v="1890"/>
    <x v="26"/>
    <s v="Blown FB"/>
    <s v=""/>
    <n v="0.10999999940395355"/>
    <n v="4956.4930000000004"/>
  </r>
  <r>
    <x v="1"/>
    <n v="0.9"/>
    <n v="685558"/>
    <n v="24400"/>
    <n v="1"/>
    <n v="618"/>
    <x v="8"/>
    <s v="Mixed"/>
    <s v=""/>
    <n v="0.10999999940395355"/>
    <n v="1612.692"/>
  </r>
  <r>
    <x v="1"/>
    <n v="0.9"/>
    <n v="216452"/>
    <n v="10516"/>
    <n v="1"/>
    <n v="1560"/>
    <x v="19"/>
    <s v="Batt Fiberglass"/>
    <s v=""/>
    <n v="0.10999999940395355"/>
    <n v="6932.7380000000003"/>
  </r>
  <r>
    <x v="1"/>
    <n v="0.9"/>
    <n v="44685"/>
    <n v="24266"/>
    <n v="1"/>
    <n v="440"/>
    <x v="5"/>
    <s v="Batt Fiberglass"/>
    <s v=""/>
    <n v="0.10999999940395355"/>
    <n v="8264.9449999999997"/>
  </r>
  <r>
    <x v="1"/>
    <n v="0.9"/>
    <n v="208641"/>
    <n v="14264"/>
    <n v="1"/>
    <n v="1300"/>
    <x v="2"/>
    <s v="Batt Fiberglass"/>
    <s v=""/>
    <n v="0.10999999940395355"/>
    <n v="4956.4930000000004"/>
  </r>
  <r>
    <x v="1"/>
    <n v="1"/>
    <n v="195385"/>
    <n v="13655"/>
    <n v="1"/>
    <n v="1400"/>
    <x v="26"/>
    <s v="Other"/>
    <s v=""/>
    <n v="7.0000000298023224E-2"/>
    <n v="1464.694"/>
  </r>
  <r>
    <x v="1"/>
    <n v="1"/>
    <n v="138741"/>
    <n v="21085"/>
    <n v="1"/>
    <n v="448"/>
    <x v="4"/>
    <s v="Batt Fiberglass"/>
    <s v=""/>
    <n v="7.0000000298023224E-2"/>
    <n v="3785.7640000000001"/>
  </r>
  <r>
    <x v="1"/>
    <n v="1"/>
    <n v="659312"/>
    <n v="14674"/>
    <n v="1"/>
    <n v="1232"/>
    <x v="8"/>
    <s v="Batt Fiberglass"/>
    <s v=""/>
    <n v="7.0000000298023224E-2"/>
    <n v="6932.7380000000003"/>
  </r>
  <r>
    <x v="1"/>
    <n v="1"/>
    <n v="37507"/>
    <n v="10335"/>
    <n v="1"/>
    <n v="1000"/>
    <x v="31"/>
    <s v="Blown Cellulose"/>
    <s v=""/>
    <n v="7.0000000298023224E-2"/>
    <n v="1524.7619999999999"/>
  </r>
  <r>
    <x v="1"/>
    <n v="1"/>
    <n v="667106"/>
    <n v="11636"/>
    <n v="2"/>
    <n v="344"/>
    <x v="4"/>
    <s v="Other"/>
    <s v="2x6 floor , insulaton in vermiculite "/>
    <n v="7.0000000298023224E-2"/>
    <n v="1464.694"/>
  </r>
  <r>
    <x v="1"/>
    <n v="1"/>
    <n v="678196"/>
    <n v="10887"/>
    <n v="3"/>
    <n v="140"/>
    <x v="1"/>
    <s v="Blown FB"/>
    <s v="not accessible or viewable, estimated."/>
    <n v="7.0000000298023224E-2"/>
    <n v="1464.694"/>
  </r>
  <r>
    <x v="1"/>
    <n v="1"/>
    <n v="37983"/>
    <n v="10150"/>
    <n v="1"/>
    <n v="1167"/>
    <x v="4"/>
    <s v="Blown FB"/>
    <s v=""/>
    <n v="7.0000000298023224E-2"/>
    <n v="1188.027"/>
  </r>
  <r>
    <x v="1"/>
    <n v="1"/>
    <n v="38694"/>
    <n v="11467"/>
    <n v="1"/>
    <n v="950"/>
    <x v="1"/>
    <s v="Mixed"/>
    <s v=""/>
    <n v="7.0000000298023224E-2"/>
    <n v="1524.7619999999999"/>
  </r>
  <r>
    <x v="1"/>
    <n v="1"/>
    <n v="682066"/>
    <n v="13656"/>
    <n v="1"/>
    <n v="1257"/>
    <x v="1"/>
    <s v="Mixed"/>
    <s v="garage has no attic , open truss "/>
    <n v="7.0000000298023224E-2"/>
    <n v="1524.7619999999999"/>
  </r>
  <r>
    <x v="1"/>
    <n v="1"/>
    <n v="108310"/>
    <n v="12145"/>
    <n v="1"/>
    <n v="801"/>
    <x v="0"/>
    <s v="Blown Cellulose"/>
    <s v=""/>
    <n v="7.0000000298023224E-2"/>
    <n v="1524.7619999999999"/>
  </r>
  <r>
    <x v="1"/>
    <n v="1"/>
    <n v="235601"/>
    <n v="24083"/>
    <n v="1"/>
    <n v="1284"/>
    <x v="19"/>
    <s v="Other"/>
    <s v=""/>
    <n v="7.0000000298023224E-2"/>
    <n v="1904.288"/>
  </r>
  <r>
    <x v="1"/>
    <n v="1"/>
    <n v="37715"/>
    <n v="11779"/>
    <n v="1"/>
    <n v="750"/>
    <x v="6"/>
    <s v="Batt Fiberglass"/>
    <s v=""/>
    <n v="7.0000000298023224E-2"/>
    <n v="1524.7619999999999"/>
  </r>
  <r>
    <x v="1"/>
    <n v="1"/>
    <n v="38694"/>
    <n v="11467"/>
    <n v="2"/>
    <n v="86"/>
    <x v="1"/>
    <s v="Mixed"/>
    <s v=""/>
    <n v="7.0000000298023224E-2"/>
    <n v="1524.7619999999999"/>
  </r>
  <r>
    <x v="1"/>
    <n v="1"/>
    <n v="725550"/>
    <n v="21319"/>
    <n v="1"/>
    <n v="1096"/>
    <x v="4"/>
    <s v="Batt Fiberglass"/>
    <s v=""/>
    <n v="7.0000000298023224E-2"/>
    <n v="2130.886"/>
  </r>
  <r>
    <x v="1"/>
    <n v="1"/>
    <n v="138208"/>
    <n v="23762"/>
    <n v="1"/>
    <n v="1024"/>
    <x v="16"/>
    <s v="Batt Fiberglass"/>
    <s v=""/>
    <n v="7.0000000298023224E-2"/>
    <n v="8264.9449999999997"/>
  </r>
  <r>
    <x v="1"/>
    <n v="1"/>
    <n v="143483"/>
    <n v="21238"/>
    <n v="1"/>
    <n v="912"/>
    <x v="2"/>
    <s v="Other"/>
    <s v=""/>
    <n v="7.0000000298023224E-2"/>
    <n v="2130.886"/>
  </r>
  <r>
    <x v="1"/>
    <n v="1"/>
    <n v="154584"/>
    <n v="21463"/>
    <n v="1"/>
    <n v="944"/>
    <x v="8"/>
    <s v="Batt Fiberglass"/>
    <s v=""/>
    <n v="7.0000000298023224E-2"/>
    <n v="2079.9929999999999"/>
  </r>
  <r>
    <x v="1"/>
    <n v="1"/>
    <n v="202725"/>
    <n v="23427"/>
    <n v="1"/>
    <n v="880"/>
    <x v="0"/>
    <s v="Batt Fiberglass"/>
    <s v=""/>
    <n v="7.0000000298023224E-2"/>
    <n v="2130.886"/>
  </r>
  <r>
    <x v="1"/>
    <n v="1"/>
    <n v="229086"/>
    <n v="14181"/>
    <n v="1"/>
    <n v="72"/>
    <x v="11"/>
    <s v="Batt Fiberglass"/>
    <s v="above attic area"/>
    <n v="7.0000000298023224E-2"/>
    <n v="1524.7619999999999"/>
  </r>
  <r>
    <x v="1"/>
    <n v="1"/>
    <n v="83477"/>
    <n v="12163"/>
    <n v="1"/>
    <n v="1060"/>
    <x v="1"/>
    <s v="Other"/>
    <s v=""/>
    <n v="7.0000000298023224E-2"/>
    <n v="1524.7619999999999"/>
  </r>
  <r>
    <x v="1"/>
    <n v="1"/>
    <n v="197112"/>
    <n v="13621"/>
    <n v="1"/>
    <n v="1152"/>
    <x v="4"/>
    <s v="Batt Fiberglass"/>
    <s v=""/>
    <n v="7.0000000298023224E-2"/>
    <n v="1464.694"/>
  </r>
  <r>
    <x v="1"/>
    <n v="1"/>
    <n v="140487"/>
    <n v="22200"/>
    <n v="1"/>
    <n v="768"/>
    <x v="11"/>
    <s v="Batt Fiberglass"/>
    <s v=""/>
    <n v="7.0000000298023224E-2"/>
    <n v="1192.4649999999999"/>
  </r>
  <r>
    <x v="1"/>
    <n v="1"/>
    <n v="78084"/>
    <n v="21296"/>
    <n v="1"/>
    <n v="608"/>
    <x v="15"/>
    <s v="Other"/>
    <s v=""/>
    <n v="7.0000000298023224E-2"/>
    <n v="1925.059"/>
  </r>
  <r>
    <x v="1"/>
    <n v="1"/>
    <n v="667106"/>
    <n v="11636"/>
    <n v="3"/>
    <n v="260"/>
    <x v="4"/>
    <s v="Other"/>
    <s v="2x6 floor , insulation is vermiculite "/>
    <n v="7.0000000298023224E-2"/>
    <n v="1464.694"/>
  </r>
  <r>
    <x v="1"/>
    <n v="1"/>
    <n v="47570"/>
    <n v="11677"/>
    <n v="1"/>
    <n v="950"/>
    <x v="4"/>
    <s v="Blown Rock Wool"/>
    <s v=""/>
    <n v="7.0000000298023224E-2"/>
    <n v="1524.7619999999999"/>
  </r>
  <r>
    <x v="1"/>
    <n v="1"/>
    <n v="687436"/>
    <n v="11585"/>
    <n v="2"/>
    <n v="288"/>
    <x v="19"/>
    <s v="Batt Fiberglass"/>
    <s v=""/>
    <n v="7.0000000298023224E-2"/>
    <n v="1524.7619999999999"/>
  </r>
  <r>
    <x v="1"/>
    <n v="1"/>
    <n v="130510"/>
    <n v="11766"/>
    <n v="1"/>
    <n v="1268"/>
    <x v="1"/>
    <s v="Mixed"/>
    <s v=""/>
    <n v="7.0000000298023224E-2"/>
    <n v="4956.4930000000004"/>
  </r>
  <r>
    <x v="1"/>
    <n v="1"/>
    <n v="659967"/>
    <n v="14073"/>
    <n v="1"/>
    <n v="164"/>
    <x v="4"/>
    <s v="Batt Fiberglass"/>
    <s v=""/>
    <n v="7.0000000298023224E-2"/>
    <n v="2003.7159999999999"/>
  </r>
  <r>
    <x v="1"/>
    <n v="1"/>
    <n v="33076"/>
    <n v="11035"/>
    <n v="1"/>
    <n v="2000"/>
    <x v="32"/>
    <s v="Batt Fiberglass"/>
    <s v=""/>
    <n v="7.0000000298023224E-2"/>
    <n v="1150.8789999999999"/>
  </r>
  <r>
    <x v="1"/>
    <n v="1"/>
    <n v="70987"/>
    <n v="10002"/>
    <n v="1"/>
    <n v="792"/>
    <x v="18"/>
    <s v="Batt Fiberglass"/>
    <s v=""/>
    <n v="7.0000000298023224E-2"/>
    <n v="1524.7619999999999"/>
  </r>
  <r>
    <x v="1"/>
    <n v="1"/>
    <n v="102724"/>
    <n v="11516"/>
    <n v="1"/>
    <n v="1053"/>
    <x v="26"/>
    <s v="Batt Fiberglass"/>
    <s v=""/>
    <n v="7.0000000298023224E-2"/>
    <n v="4956.4930000000004"/>
  </r>
  <r>
    <x v="1"/>
    <n v="1"/>
    <n v="34682"/>
    <n v="11988"/>
    <n v="2"/>
    <n v="324"/>
    <x v="4"/>
    <s v="Other"/>
    <s v=""/>
    <n v="7.0000000298023224E-2"/>
    <n v="1188.027"/>
  </r>
  <r>
    <x v="1"/>
    <n v="1"/>
    <n v="117796"/>
    <n v="10491"/>
    <n v="1"/>
    <n v="665"/>
    <x v="0"/>
    <s v="Batt Mineral Wool"/>
    <s v=""/>
    <n v="7.0000000298023224E-2"/>
    <n v="1464.694"/>
  </r>
  <r>
    <x v="1"/>
    <n v="1"/>
    <n v="134318"/>
    <n v="23581"/>
    <n v="1"/>
    <n v="1866"/>
    <x v="8"/>
    <s v="Batt Fiberglass"/>
    <s v=""/>
    <n v="7.0000000298023224E-2"/>
    <n v="1612.692"/>
  </r>
  <r>
    <x v="1"/>
    <n v="1"/>
    <n v="99247"/>
    <n v="11713"/>
    <n v="1"/>
    <n v="1839"/>
    <x v="33"/>
    <s v="Mixed"/>
    <s v=""/>
    <n v="7.0000000298023224E-2"/>
    <n v="2003.7159999999999"/>
  </r>
  <r>
    <x v="1"/>
    <n v="1"/>
    <n v="58345"/>
    <n v="11739"/>
    <n v="1"/>
    <n v="1300"/>
    <x v="18"/>
    <s v="Batt Fiberglass"/>
    <s v=""/>
    <n v="7.0000000298023224E-2"/>
    <n v="1524.7619999999999"/>
  </r>
  <r>
    <x v="1"/>
    <n v="1"/>
    <n v="135175"/>
    <n v="12408"/>
    <n v="1"/>
    <n v="993"/>
    <x v="34"/>
    <s v="Blown Cellulose"/>
    <s v=""/>
    <n v="7.0000000298023224E-2"/>
    <n v="4956.4930000000004"/>
  </r>
  <r>
    <x v="1"/>
    <n v="1"/>
    <n v="104021"/>
    <n v="11512"/>
    <n v="2"/>
    <n v="550"/>
    <x v="26"/>
    <s v="Other"/>
    <s v=""/>
    <n v="7.0000000298023224E-2"/>
    <n v="2003.7159999999999"/>
  </r>
  <r>
    <x v="1"/>
    <n v="1"/>
    <n v="202611"/>
    <n v="20635"/>
    <n v="1"/>
    <n v="918"/>
    <x v="6"/>
    <s v="Other"/>
    <s v=""/>
    <n v="7.0000000298023224E-2"/>
    <n v="2130.886"/>
  </r>
  <r>
    <x v="1"/>
    <n v="1"/>
    <n v="100417"/>
    <n v="11003"/>
    <n v="1"/>
    <n v="1296"/>
    <x v="33"/>
    <s v="Blown Rock Wool"/>
    <s v=""/>
    <n v="7.0000000298023224E-2"/>
    <n v="2003.7159999999999"/>
  </r>
  <r>
    <x v="1"/>
    <n v="1"/>
    <n v="78897"/>
    <n v="22953"/>
    <n v="1"/>
    <n v="540"/>
    <x v="35"/>
    <s v="Batt Fiberglass"/>
    <s v=""/>
    <n v="7.0000000298023224E-2"/>
    <n v="1144.6790000000001"/>
  </r>
  <r>
    <x v="1"/>
    <n v="1"/>
    <n v="167578"/>
    <n v="22559"/>
    <n v="1"/>
    <n v="1064"/>
    <x v="36"/>
    <s v="Batt Fiberglass"/>
    <s v=""/>
    <n v="7.0000000298023224E-2"/>
    <n v="1192.4649999999999"/>
  </r>
  <r>
    <x v="1"/>
    <n v="1"/>
    <n v="140487"/>
    <n v="22200"/>
    <n v="2"/>
    <n v="288"/>
    <x v="15"/>
    <s v="Other"/>
    <s v=""/>
    <n v="7.0000000298023224E-2"/>
    <n v="1192.4649999999999"/>
  </r>
  <r>
    <x v="1"/>
    <n v="1"/>
    <n v="163134"/>
    <n v="24500"/>
    <n v="1"/>
    <n v="1244"/>
    <x v="4"/>
    <s v="Batt Fiberglass"/>
    <s v=""/>
    <n v="7.0000000298023224E-2"/>
    <n v="1192.4649999999999"/>
  </r>
  <r>
    <x v="1"/>
    <n v="1"/>
    <n v="31127"/>
    <n v="10318"/>
    <n v="1"/>
    <n v="1528"/>
    <x v="2"/>
    <s v="Other"/>
    <s v=""/>
    <n v="7.0000000298023224E-2"/>
    <n v="1524.7619999999999"/>
  </r>
  <r>
    <x v="1"/>
    <n v="1"/>
    <n v="86342"/>
    <n v="12620"/>
    <n v="1"/>
    <n v="1026"/>
    <x v="14"/>
    <s v="Batt Fiberglass"/>
    <s v=""/>
    <n v="7.0000000298023224E-2"/>
    <n v="2003.7159999999999"/>
  </r>
  <r>
    <x v="1"/>
    <n v="1"/>
    <n v="58258"/>
    <n v="11670"/>
    <n v="1"/>
    <n v="896"/>
    <x v="1"/>
    <s v="Batt Fiberglass"/>
    <s v="R-11 Batts"/>
    <n v="7.0000000298023224E-2"/>
    <n v="1524.7619999999999"/>
  </r>
  <r>
    <x v="1"/>
    <n v="1"/>
    <n v="229086"/>
    <n v="14181"/>
    <n v="2"/>
    <n v="114"/>
    <x v="2"/>
    <s v="Batt Fiberglass"/>
    <s v=""/>
    <n v="7.0000000298023224E-2"/>
    <n v="1524.7619999999999"/>
  </r>
  <r>
    <x v="1"/>
    <n v="1"/>
    <n v="678196"/>
    <n v="10887"/>
    <n v="2"/>
    <n v="176"/>
    <x v="4"/>
    <s v="Batt Fiberglass"/>
    <s v=""/>
    <n v="7.0000000298023224E-2"/>
    <n v="1464.694"/>
  </r>
  <r>
    <x v="1"/>
    <n v="1"/>
    <n v="197337"/>
    <n v="11411"/>
    <n v="1"/>
    <n v="1323"/>
    <x v="31"/>
    <s v="Blown Rock Wool"/>
    <s v=""/>
    <n v="7.0000000298023224E-2"/>
    <n v="1464.694"/>
  </r>
  <r>
    <x v="1"/>
    <n v="1"/>
    <n v="185914"/>
    <n v="22751"/>
    <n v="1"/>
    <n v="804"/>
    <x v="0"/>
    <s v="Batt Fiberglass"/>
    <s v=""/>
    <n v="7.0000000298023224E-2"/>
    <n v="1925.059"/>
  </r>
  <r>
    <x v="2"/>
    <n v="0.5"/>
    <n v="203593"/>
    <n v="21689"/>
    <n v="1"/>
    <n v="1800"/>
    <x v="1"/>
    <s v="Mixed"/>
    <s v=""/>
    <n v="0.25"/>
    <n v="3785.7640000000001"/>
  </r>
  <r>
    <x v="2"/>
    <n v="0.5"/>
    <n v="120917"/>
    <n v="11163"/>
    <n v="1"/>
    <n v="2257"/>
    <x v="31"/>
    <s v="Blown Rock Wool"/>
    <s v=""/>
    <n v="0.25"/>
    <n v="4956.4930000000004"/>
  </r>
  <r>
    <x v="2"/>
    <n v="0.5"/>
    <n v="221920"/>
    <n v="21748"/>
    <n v="1"/>
    <n v="1152"/>
    <x v="1"/>
    <s v="Blown FB"/>
    <s v=""/>
    <n v="0.25"/>
    <n v="1192.4649999999999"/>
  </r>
  <r>
    <x v="2"/>
    <n v="0.5"/>
    <n v="85324"/>
    <n v="12678"/>
    <n v="1"/>
    <n v="2424"/>
    <x v="11"/>
    <s v="Mixed"/>
    <s v=""/>
    <n v="0.25"/>
    <n v="2003.7159999999999"/>
  </r>
  <r>
    <x v="2"/>
    <n v="0.5"/>
    <n v="152876"/>
    <n v="21456"/>
    <n v="1"/>
    <n v="672"/>
    <x v="7"/>
    <s v="Blown FB"/>
    <s v=""/>
    <n v="0.25"/>
    <n v="1612.692"/>
  </r>
  <r>
    <x v="2"/>
    <n v="0.5"/>
    <n v="107056"/>
    <n v="22425"/>
    <n v="1"/>
    <n v="1400"/>
    <x v="1"/>
    <s v="Blown Rock Wool"/>
    <s v=""/>
    <n v="0.25"/>
    <n v="3785.7640000000001"/>
  </r>
  <r>
    <x v="2"/>
    <n v="0.5"/>
    <n v="112443"/>
    <n v="22787"/>
    <n v="1"/>
    <n v="2337"/>
    <x v="2"/>
    <s v="Mixed"/>
    <s v=""/>
    <n v="0.25"/>
    <n v="3785.7640000000001"/>
  </r>
  <r>
    <x v="2"/>
    <n v="0.75"/>
    <n v="59947"/>
    <n v="12399"/>
    <n v="1"/>
    <n v="1100"/>
    <x v="4"/>
    <s v="Batt Fiberglass"/>
    <s v=""/>
    <n v="0.1550000011920929"/>
    <n v="1524.7619999999999"/>
  </r>
  <r>
    <x v="2"/>
    <n v="0.75"/>
    <n v="29773"/>
    <n v="10191"/>
    <n v="1"/>
    <n v="384"/>
    <x v="16"/>
    <s v="Mixed"/>
    <s v=""/>
    <n v="0.1550000011920929"/>
    <n v="1524.7619999999999"/>
  </r>
  <r>
    <x v="2"/>
    <n v="0.75"/>
    <n v="109607"/>
    <n v="13803"/>
    <n v="1"/>
    <n v="420"/>
    <x v="3"/>
    <s v="Mixed"/>
    <s v=""/>
    <n v="0.1550000011920929"/>
    <n v="2003.7159999999999"/>
  </r>
  <r>
    <x v="2"/>
    <n v="0.75"/>
    <n v="76346"/>
    <n v="11702"/>
    <n v="1"/>
    <n v="740"/>
    <x v="14"/>
    <s v="Mixed"/>
    <s v=""/>
    <n v="0.1550000011920929"/>
    <n v="2003.7159999999999"/>
  </r>
  <r>
    <x v="2"/>
    <n v="0.75"/>
    <n v="109607"/>
    <n v="13803"/>
    <n v="3"/>
    <n v="208"/>
    <x v="3"/>
    <s v="Mixed"/>
    <s v=""/>
    <n v="0.1550000011920929"/>
    <n v="2003.7159999999999"/>
  </r>
  <r>
    <x v="2"/>
    <n v="0.75"/>
    <n v="125315"/>
    <n v="12377"/>
    <n v="1"/>
    <n v="930"/>
    <x v="14"/>
    <s v="Batt Fiberglass"/>
    <s v=""/>
    <n v="0.1550000011920929"/>
    <n v="6932.7380000000003"/>
  </r>
  <r>
    <x v="2"/>
    <n v="0.75"/>
    <n v="79999"/>
    <n v="24553"/>
    <n v="1"/>
    <n v="1074"/>
    <x v="26"/>
    <s v="Batt Mineral Wool"/>
    <s v=""/>
    <n v="0.1550000011920929"/>
    <n v="1925.059"/>
  </r>
  <r>
    <x v="2"/>
    <n v="0.75"/>
    <n v="175639"/>
    <n v="24479"/>
    <n v="1"/>
    <n v="1255"/>
    <x v="19"/>
    <s v="Batt Fiberglass"/>
    <s v=""/>
    <n v="0.1550000011920929"/>
    <n v="8264.9449999999997"/>
  </r>
  <r>
    <x v="2"/>
    <n v="0.75"/>
    <n v="231537"/>
    <n v="20109"/>
    <n v="1"/>
    <n v="1024"/>
    <x v="14"/>
    <s v="Batt Fiberglass"/>
    <s v=""/>
    <n v="0.1550000011920929"/>
    <n v="1612.692"/>
  </r>
  <r>
    <x v="2"/>
    <n v="0.75"/>
    <n v="49071"/>
    <n v="11900"/>
    <n v="1"/>
    <n v="925"/>
    <x v="5"/>
    <s v="Blown FB"/>
    <s v=""/>
    <n v="0.1550000011920929"/>
    <n v="1524.7619999999999"/>
  </r>
  <r>
    <x v="2"/>
    <n v="0.75"/>
    <n v="212601"/>
    <n v="13435"/>
    <n v="1"/>
    <n v="594"/>
    <x v="14"/>
    <s v="Mixed"/>
    <s v=""/>
    <n v="0.1550000011920929"/>
    <n v="1464.694"/>
  </r>
  <r>
    <x v="2"/>
    <n v="0.75"/>
    <n v="57427"/>
    <n v="22411"/>
    <n v="1"/>
    <n v="1980"/>
    <x v="14"/>
    <s v="Batt Fiberglass"/>
    <s v=""/>
    <n v="0.1550000011920929"/>
    <n v="2079.9929999999999"/>
  </r>
  <r>
    <x v="2"/>
    <n v="0.75"/>
    <n v="719892"/>
    <n v="22127"/>
    <n v="1"/>
    <n v="200"/>
    <x v="1"/>
    <s v="Mixed"/>
    <s v=""/>
    <n v="0.1550000011920929"/>
    <n v="3785.7640000000001"/>
  </r>
  <r>
    <x v="2"/>
    <n v="0.75"/>
    <n v="138436"/>
    <n v="21218"/>
    <n v="1"/>
    <n v="3251"/>
    <x v="1"/>
    <s v="Blown FB"/>
    <s v=""/>
    <n v="0.1550000011920929"/>
    <n v="1192.4649999999999"/>
  </r>
  <r>
    <x v="2"/>
    <n v="0.75"/>
    <n v="32297"/>
    <n v="22015"/>
    <n v="1"/>
    <n v="1438"/>
    <x v="2"/>
    <s v="Batt Fiberglass"/>
    <s v=""/>
    <n v="0.1550000011920929"/>
    <n v="2130.886"/>
  </r>
  <r>
    <x v="2"/>
    <n v="0.75"/>
    <n v="231957"/>
    <n v="24040"/>
    <n v="1"/>
    <n v="1125"/>
    <x v="1"/>
    <s v="Blown Cellulose"/>
    <s v=""/>
    <n v="0.1550000011920929"/>
    <n v="2079.9929999999999"/>
  </r>
  <r>
    <x v="2"/>
    <n v="0.75"/>
    <n v="207189"/>
    <n v="21499"/>
    <n v="1"/>
    <n v="1264"/>
    <x v="31"/>
    <s v="Blown Cellulose"/>
    <s v=""/>
    <n v="0.1550000011920929"/>
    <n v="1904.288"/>
  </r>
  <r>
    <x v="2"/>
    <n v="0.75"/>
    <n v="144581"/>
    <n v="20381"/>
    <n v="2"/>
    <n v="225"/>
    <x v="4"/>
    <s v="Batt Fiberglass"/>
    <s v=""/>
    <n v="0.1550000011920929"/>
    <n v="1192.4649999999999"/>
  </r>
  <r>
    <x v="2"/>
    <n v="0.75"/>
    <n v="131790"/>
    <n v="20297"/>
    <n v="1"/>
    <n v="975"/>
    <x v="1"/>
    <s v="Mixed"/>
    <s v=""/>
    <n v="0.1550000011920929"/>
    <n v="1612.692"/>
  </r>
  <r>
    <x v="2"/>
    <n v="0.75"/>
    <n v="190213"/>
    <n v="12370"/>
    <n v="1"/>
    <n v="1470"/>
    <x v="14"/>
    <s v="Mixed"/>
    <s v=""/>
    <n v="0.1550000011920929"/>
    <n v="6932.7380000000003"/>
  </r>
  <r>
    <x v="2"/>
    <n v="0.75"/>
    <n v="142405"/>
    <n v="21231"/>
    <n v="1"/>
    <n v="1700"/>
    <x v="1"/>
    <s v="Blown FB"/>
    <s v=""/>
    <n v="0.1550000011920929"/>
    <n v="1612.692"/>
  </r>
  <r>
    <x v="2"/>
    <n v="0.9"/>
    <n v="195771"/>
    <n v="12737"/>
    <n v="1"/>
    <n v="1748"/>
    <x v="13"/>
    <s v="Blown FB"/>
    <s v=""/>
    <n v="9.4999998807907104E-2"/>
    <n v="6932.7380000000003"/>
  </r>
  <r>
    <x v="2"/>
    <n v="0.9"/>
    <n v="32493"/>
    <n v="24863"/>
    <n v="1"/>
    <n v="1154"/>
    <x v="1"/>
    <s v="Blown Cellulose"/>
    <s v=""/>
    <n v="9.4999998807907104E-2"/>
    <n v="3785.7640000000001"/>
  </r>
  <r>
    <x v="2"/>
    <n v="0.9"/>
    <n v="223120"/>
    <n v="12771"/>
    <n v="1"/>
    <n v="963"/>
    <x v="4"/>
    <s v="Batt Fiberglass"/>
    <s v=""/>
    <n v="9.4999998807907104E-2"/>
    <n v="1464.694"/>
  </r>
  <r>
    <x v="2"/>
    <n v="0.9"/>
    <n v="154929"/>
    <n v="24153"/>
    <n v="1"/>
    <n v="608"/>
    <x v="4"/>
    <s v="Batt Fiberglass"/>
    <s v=""/>
    <n v="9.4999998807907104E-2"/>
    <n v="1144.6790000000001"/>
  </r>
  <r>
    <x v="2"/>
    <n v="0.9"/>
    <n v="28511"/>
    <n v="11138"/>
    <n v="1"/>
    <n v="535"/>
    <x v="11"/>
    <s v="Blown Cellulose"/>
    <s v=""/>
    <n v="9.4999998807907104E-2"/>
    <n v="1524.7619999999999"/>
  </r>
  <r>
    <x v="2"/>
    <n v="0.9"/>
    <n v="238495"/>
    <n v="22767"/>
    <n v="1"/>
    <n v="2431"/>
    <x v="14"/>
    <s v="Mixed"/>
    <s v=""/>
    <n v="9.4999998807907104E-2"/>
    <n v="2079.9929999999999"/>
  </r>
  <r>
    <x v="2"/>
    <n v="0.9"/>
    <n v="164961"/>
    <n v="23278"/>
    <n v="1"/>
    <n v="1176"/>
    <x v="15"/>
    <s v=""/>
    <s v=""/>
    <n v="9.4999998807907104E-2"/>
    <n v="1612.692"/>
  </r>
  <r>
    <x v="2"/>
    <n v="0.9"/>
    <n v="148010"/>
    <n v="12669"/>
    <n v="1"/>
    <n v="686"/>
    <x v="37"/>
    <s v="Batt Fiberglass"/>
    <s v=""/>
    <n v="9.4999998807907104E-2"/>
    <n v="4956.4930000000004"/>
  </r>
  <r>
    <x v="2"/>
    <n v="0.9"/>
    <n v="92399"/>
    <n v="12630"/>
    <n v="1"/>
    <n v="423"/>
    <x v="1"/>
    <s v="Other"/>
    <s v=""/>
    <n v="9.4999998807907104E-2"/>
    <n v="2003.7159999999999"/>
  </r>
  <r>
    <x v="2"/>
    <n v="0.9"/>
    <n v="677818"/>
    <n v="22909"/>
    <n v="2"/>
    <n v="130"/>
    <x v="1"/>
    <s v="Batt Fiberglass"/>
    <s v=""/>
    <n v="9.4999998807907104E-2"/>
    <n v="3785.7640000000001"/>
  </r>
  <r>
    <x v="2"/>
    <n v="0.9"/>
    <n v="135430"/>
    <n v="21598"/>
    <n v="1"/>
    <n v="1438"/>
    <x v="15"/>
    <s v="Blown FB"/>
    <s v=""/>
    <n v="9.4999998807907104E-2"/>
    <n v="8559.1039999999994"/>
  </r>
  <r>
    <x v="2"/>
    <n v="0.9"/>
    <n v="240138"/>
    <n v="10282"/>
    <n v="1"/>
    <n v="1288"/>
    <x v="7"/>
    <s v="Batt Fiberglass"/>
    <s v=""/>
    <n v="9.4999998807907104E-2"/>
    <n v="1150.8789999999999"/>
  </r>
  <r>
    <x v="2"/>
    <n v="0.9"/>
    <n v="30036"/>
    <n v="10978"/>
    <n v="1"/>
    <n v="880"/>
    <x v="11"/>
    <s v="Batt Fiberglass"/>
    <s v=""/>
    <n v="9.4999998807907104E-2"/>
    <n v="1524.7619999999999"/>
  </r>
  <r>
    <x v="2"/>
    <n v="0.9"/>
    <n v="90149"/>
    <n v="12898"/>
    <n v="1"/>
    <n v="1708"/>
    <x v="38"/>
    <s v="Blown Cellulose"/>
    <s v=""/>
    <n v="9.4999998807907104E-2"/>
    <n v="4956.4930000000004"/>
  </r>
  <r>
    <x v="2"/>
    <n v="0.9"/>
    <n v="142336"/>
    <n v="22352"/>
    <n v="1"/>
    <n v="787"/>
    <x v="38"/>
    <s v="Blown Cellulose"/>
    <s v=""/>
    <n v="9.4999998807907104E-2"/>
    <n v="1192.4649999999999"/>
  </r>
  <r>
    <x v="2"/>
    <n v="0.9"/>
    <n v="107943"/>
    <n v="10951"/>
    <n v="1"/>
    <n v="578"/>
    <x v="3"/>
    <s v="Blown FB"/>
    <s v=""/>
    <n v="9.4999998807907104E-2"/>
    <n v="4956.4930000000004"/>
  </r>
  <r>
    <x v="2"/>
    <n v="0.9"/>
    <n v="90260"/>
    <n v="12582"/>
    <n v="1"/>
    <n v="1610"/>
    <x v="14"/>
    <s v="Batt Fiberglass"/>
    <s v=""/>
    <n v="9.4999998807907104E-2"/>
    <n v="2003.7159999999999"/>
  </r>
  <r>
    <x v="2"/>
    <n v="0.9"/>
    <n v="83006"/>
    <n v="12255"/>
    <n v="2"/>
    <n v="238"/>
    <x v="2"/>
    <s v="Batt Fiberglass"/>
    <s v=""/>
    <n v="9.4999998807907104E-2"/>
    <n v="1188.027"/>
  </r>
  <r>
    <x v="2"/>
    <n v="0.9"/>
    <n v="722931"/>
    <n v="12975"/>
    <n v="1"/>
    <n v="1188"/>
    <x v="1"/>
    <s v="Blown FB"/>
    <s v=""/>
    <n v="9.4999998807907104E-2"/>
    <n v="6932.7380000000003"/>
  </r>
  <r>
    <x v="2"/>
    <n v="0.9"/>
    <n v="39324"/>
    <n v="11549"/>
    <n v="1"/>
    <n v="870"/>
    <x v="14"/>
    <s v="Blown FB"/>
    <s v=""/>
    <n v="9.4999998807907104E-2"/>
    <n v="1524.7619999999999"/>
  </r>
  <r>
    <x v="2"/>
    <n v="0.9"/>
    <n v="691927"/>
    <n v="20088"/>
    <n v="1"/>
    <n v="1040"/>
    <x v="1"/>
    <s v="Blown Rock Wool"/>
    <s v=""/>
    <n v="9.4999998807907104E-2"/>
    <n v="3785.7640000000001"/>
  </r>
  <r>
    <x v="2"/>
    <n v="0.9"/>
    <n v="115868"/>
    <n v="13514"/>
    <n v="1"/>
    <n v="960"/>
    <x v="14"/>
    <s v="Mixed"/>
    <s v=""/>
    <n v="9.4999998807907104E-2"/>
    <n v="4956.4930000000004"/>
  </r>
  <r>
    <x v="2"/>
    <n v="0.9"/>
    <n v="92725"/>
    <n v="11478"/>
    <n v="1"/>
    <n v="1113"/>
    <x v="1"/>
    <s v="Blown Rock Wool"/>
    <s v=""/>
    <n v="9.4999998807907104E-2"/>
    <n v="2003.7159999999999"/>
  </r>
  <r>
    <x v="2"/>
    <n v="0.9"/>
    <n v="88556"/>
    <n v="10986"/>
    <n v="1"/>
    <n v="1926"/>
    <x v="14"/>
    <s v="Batt Fiberglass"/>
    <s v=""/>
    <n v="9.4999998807907104E-2"/>
    <n v="2003.7159999999999"/>
  </r>
  <r>
    <x v="2"/>
    <n v="0.9"/>
    <n v="37246"/>
    <n v="20034"/>
    <n v="1"/>
    <n v="861"/>
    <x v="1"/>
    <s v="Blown Cellulose"/>
    <s v=""/>
    <n v="9.4999998807907104E-2"/>
    <n v="3785.7640000000001"/>
  </r>
  <r>
    <x v="2"/>
    <n v="0.9"/>
    <n v="59720"/>
    <n v="10567"/>
    <n v="1"/>
    <n v="710"/>
    <x v="11"/>
    <s v="Blown FB"/>
    <s v=""/>
    <n v="9.4999998807907104E-2"/>
    <n v="2003.7159999999999"/>
  </r>
  <r>
    <x v="2"/>
    <n v="0.9"/>
    <n v="41756"/>
    <n v="12679"/>
    <n v="1"/>
    <n v="1824"/>
    <x v="6"/>
    <s v="Blown Cellulose"/>
    <s v=""/>
    <n v="9.4999998807907104E-2"/>
    <n v="1524.7619999999999"/>
  </r>
  <r>
    <x v="2"/>
    <n v="0.9"/>
    <n v="50031"/>
    <n v="10848"/>
    <n v="1"/>
    <n v="983"/>
    <x v="8"/>
    <s v="Mixed"/>
    <s v=""/>
    <n v="9.4999998807907104E-2"/>
    <n v="1524.7619999999999"/>
  </r>
  <r>
    <x v="2"/>
    <n v="0.9"/>
    <n v="234954"/>
    <n v="11943"/>
    <n v="1"/>
    <n v="1140"/>
    <x v="14"/>
    <s v="Blown Cellulose"/>
    <s v=""/>
    <n v="9.4999998807907104E-2"/>
    <n v="4956.4930000000004"/>
  </r>
  <r>
    <x v="2"/>
    <n v="0.9"/>
    <n v="107827"/>
    <n v="24451"/>
    <n v="1"/>
    <n v="1500"/>
    <x v="14"/>
    <s v="Batt Fiberglass"/>
    <s v=""/>
    <n v="9.4999998807907104E-2"/>
    <n v="2079.9929999999999"/>
  </r>
  <r>
    <x v="2"/>
    <n v="0.9"/>
    <n v="58070"/>
    <n v="24662"/>
    <n v="1"/>
    <n v="1820"/>
    <x v="15"/>
    <s v="Batt Fiberglass"/>
    <s v=""/>
    <n v="9.4999998807907104E-2"/>
    <n v="2079.9929999999999"/>
  </r>
  <r>
    <x v="2"/>
    <n v="0.9"/>
    <n v="219677"/>
    <n v="11504"/>
    <n v="1"/>
    <n v="1232"/>
    <x v="13"/>
    <s v="Blown FB"/>
    <s v=""/>
    <n v="9.4999998807907104E-2"/>
    <n v="6932.7380000000003"/>
  </r>
  <r>
    <x v="2"/>
    <n v="0.9"/>
    <n v="143275"/>
    <n v="12889"/>
    <n v="1"/>
    <n v="988"/>
    <x v="11"/>
    <s v="Batt Fiberglass"/>
    <s v=""/>
    <n v="9.4999998807907104E-2"/>
    <n v="4956.4930000000004"/>
  </r>
  <r>
    <x v="2"/>
    <n v="0.9"/>
    <n v="165893"/>
    <n v="14000"/>
    <n v="1"/>
    <n v="574"/>
    <x v="19"/>
    <s v="Batt Fiberglass"/>
    <s v=""/>
    <n v="9.4999998807907104E-2"/>
    <n v="1524.7619999999999"/>
  </r>
  <r>
    <x v="2"/>
    <n v="0.9"/>
    <n v="27289"/>
    <n v="12640"/>
    <n v="1"/>
    <n v="1240"/>
    <x v="1"/>
    <s v="Blown FB"/>
    <s v=""/>
    <n v="9.4999998807907104E-2"/>
    <n v="1150.8789999999999"/>
  </r>
  <r>
    <x v="2"/>
    <n v="0.9"/>
    <n v="44457"/>
    <n v="22693"/>
    <n v="1"/>
    <n v="1500"/>
    <x v="2"/>
    <s v="Mixed"/>
    <s v=""/>
    <n v="9.4999998807907104E-2"/>
    <n v="12271.31"/>
  </r>
  <r>
    <x v="2"/>
    <n v="0.9"/>
    <n v="93023"/>
    <n v="11555"/>
    <n v="1"/>
    <n v="1300"/>
    <x v="38"/>
    <s v="Batt Fiberglass"/>
    <s v=""/>
    <n v="9.4999998807907104E-2"/>
    <n v="2003.7159999999999"/>
  </r>
  <r>
    <x v="2"/>
    <n v="0.9"/>
    <n v="29457"/>
    <n v="10927"/>
    <n v="1"/>
    <n v="979"/>
    <x v="1"/>
    <s v="Batt Fiberglass"/>
    <s v=""/>
    <n v="9.4999998807907104E-2"/>
    <n v="1524.7619999999999"/>
  </r>
  <r>
    <x v="2"/>
    <n v="0.9"/>
    <n v="239225"/>
    <n v="14117"/>
    <n v="1"/>
    <n v="936"/>
    <x v="14"/>
    <s v="Blown Cellulose"/>
    <s v=""/>
    <n v="9.4999998807907104E-2"/>
    <n v="1150.8789999999999"/>
  </r>
  <r>
    <x v="2"/>
    <n v="0.9"/>
    <n v="654825"/>
    <n v="21974"/>
    <n v="1"/>
    <n v="1008"/>
    <x v="1"/>
    <s v="Blown FB"/>
    <s v=""/>
    <n v="9.4999998807907104E-2"/>
    <n v="3785.7640000000001"/>
  </r>
  <r>
    <x v="2"/>
    <n v="0.9"/>
    <n v="689463"/>
    <n v="24833"/>
    <n v="1"/>
    <n v="1494"/>
    <x v="35"/>
    <s v="Batt Fiberglass"/>
    <s v=""/>
    <n v="9.4999998807907104E-2"/>
    <n v="12271.31"/>
  </r>
  <r>
    <x v="2"/>
    <n v="0.9"/>
    <n v="663080"/>
    <n v="12372"/>
    <n v="1"/>
    <n v="730"/>
    <x v="14"/>
    <s v="Batt Fiberglass"/>
    <s v=""/>
    <n v="9.4999998807907104E-2"/>
    <n v="4956.4930000000004"/>
  </r>
  <r>
    <x v="2"/>
    <n v="0.9"/>
    <n v="51308"/>
    <n v="23110"/>
    <n v="1"/>
    <n v="1000"/>
    <x v="1"/>
    <s v="Blown Rock Wool"/>
    <s v=""/>
    <n v="9.4999998807907104E-2"/>
    <n v="3785.7640000000001"/>
  </r>
  <r>
    <x v="2"/>
    <n v="0.9"/>
    <n v="63028"/>
    <n v="12483"/>
    <n v="1"/>
    <n v="884"/>
    <x v="26"/>
    <s v="Blown Cellulose"/>
    <s v=""/>
    <n v="9.4999998807907104E-2"/>
    <n v="1188.027"/>
  </r>
  <r>
    <x v="2"/>
    <n v="0.9"/>
    <n v="89464"/>
    <n v="12524"/>
    <n v="1"/>
    <n v="600"/>
    <x v="11"/>
    <s v="Batt Fiberglass"/>
    <s v=""/>
    <n v="9.4999998807907104E-2"/>
    <n v="2003.7159999999999"/>
  </r>
  <r>
    <x v="2"/>
    <n v="0.9"/>
    <n v="171525"/>
    <n v="21881"/>
    <n v="1"/>
    <n v="1004"/>
    <x v="1"/>
    <s v="Blown Cellulose"/>
    <s v=""/>
    <n v="9.4999998807907104E-2"/>
    <n v="1192.4649999999999"/>
  </r>
  <r>
    <x v="2"/>
    <n v="0.9"/>
    <n v="100132"/>
    <n v="20445"/>
    <n v="1"/>
    <n v="1740"/>
    <x v="7"/>
    <s v="Mixed"/>
    <s v=""/>
    <n v="9.4999998807907104E-2"/>
    <n v="1144.6790000000001"/>
  </r>
  <r>
    <x v="2"/>
    <n v="0.9"/>
    <n v="50596"/>
    <n v="10493"/>
    <n v="1"/>
    <n v="980"/>
    <x v="14"/>
    <s v="Batt Fiberglass"/>
    <s v=""/>
    <n v="9.4999998807907104E-2"/>
    <n v="1524.7619999999999"/>
  </r>
  <r>
    <x v="2"/>
    <n v="0.9"/>
    <n v="148919"/>
    <n v="12944"/>
    <n v="1"/>
    <n v="1836"/>
    <x v="26"/>
    <s v="Mixed"/>
    <s v=""/>
    <n v="9.4999998807907104E-2"/>
    <n v="4956.4930000000004"/>
  </r>
  <r>
    <x v="2"/>
    <n v="0.9"/>
    <n v="122842"/>
    <n v="23439"/>
    <n v="1"/>
    <n v="1336"/>
    <x v="7"/>
    <s v="Blown FB"/>
    <s v=""/>
    <n v="9.4999998807907104E-2"/>
    <n v="1925.059"/>
  </r>
  <r>
    <x v="2"/>
    <n v="0.9"/>
    <n v="89256"/>
    <n v="13265"/>
    <n v="1"/>
    <n v="1308"/>
    <x v="1"/>
    <s v="Blown FB"/>
    <s v=""/>
    <n v="9.4999998807907104E-2"/>
    <n v="2003.7159999999999"/>
  </r>
  <r>
    <x v="2"/>
    <n v="0.9"/>
    <n v="110465"/>
    <n v="11048"/>
    <n v="1"/>
    <n v="1150"/>
    <x v="14"/>
    <s v="Batt Fiberglass"/>
    <s v=""/>
    <n v="9.4999998807907104E-2"/>
    <n v="1464.694"/>
  </r>
  <r>
    <x v="2"/>
    <n v="0.9"/>
    <n v="124713"/>
    <n v="22919"/>
    <n v="1"/>
    <n v="1000"/>
    <x v="14"/>
    <s v="Blown Cellulose"/>
    <s v=""/>
    <n v="9.4999998807907104E-2"/>
    <n v="2079.9929999999999"/>
  </r>
  <r>
    <x v="2"/>
    <n v="0.9"/>
    <n v="202325"/>
    <n v="11835"/>
    <n v="2"/>
    <n v="566"/>
    <x v="4"/>
    <s v="Batt Fiberglass"/>
    <s v=""/>
    <n v="9.4999998807907104E-2"/>
    <n v="1464.694"/>
  </r>
  <r>
    <x v="2"/>
    <n v="0.9"/>
    <n v="678366"/>
    <n v="14153"/>
    <n v="1"/>
    <n v="558"/>
    <x v="8"/>
    <s v="Batt Fiberglass"/>
    <s v=""/>
    <n v="9.4999998807907104E-2"/>
    <n v="6932.7380000000003"/>
  </r>
  <r>
    <x v="2"/>
    <n v="0.9"/>
    <n v="52764"/>
    <n v="23482"/>
    <n v="1"/>
    <n v="1105"/>
    <x v="20"/>
    <s v="Batt Fiberglass"/>
    <s v=""/>
    <n v="9.4999998807907104E-2"/>
    <n v="2079.9929999999999"/>
  </r>
  <r>
    <x v="2"/>
    <n v="0.9"/>
    <n v="109607"/>
    <n v="13803"/>
    <n v="2"/>
    <n v="128"/>
    <x v="3"/>
    <s v="Mixed"/>
    <s v=""/>
    <n v="9.4999998807907104E-2"/>
    <n v="2003.7159999999999"/>
  </r>
  <r>
    <x v="2"/>
    <n v="1"/>
    <n v="190852"/>
    <n v="23986"/>
    <n v="1"/>
    <n v="1820"/>
    <x v="33"/>
    <s v="Mixed"/>
    <s v=""/>
    <n v="5.000000074505806E-2"/>
    <n v="2130.886"/>
  </r>
  <r>
    <x v="2"/>
    <n v="1"/>
    <n v="139887"/>
    <n v="12186"/>
    <n v="1"/>
    <n v="1200"/>
    <x v="38"/>
    <s v="Batt Fiberglass"/>
    <s v=""/>
    <n v="5.000000074505806E-2"/>
    <n v="4956.4930000000004"/>
  </r>
  <r>
    <x v="2"/>
    <n v="1"/>
    <n v="165739"/>
    <n v="13129"/>
    <n v="1"/>
    <n v="2979"/>
    <x v="38"/>
    <s v="Batt Fiberglass"/>
    <s v=""/>
    <n v="5.000000074505806E-2"/>
    <n v="4956.4930000000004"/>
  </r>
  <r>
    <x v="2"/>
    <n v="1"/>
    <n v="122390"/>
    <n v="20902"/>
    <n v="1"/>
    <n v="1110"/>
    <x v="35"/>
    <s v="Mixed"/>
    <s v=""/>
    <n v="5.000000074505806E-2"/>
    <n v="2130.886"/>
  </r>
  <r>
    <x v="2"/>
    <n v="1"/>
    <n v="52313"/>
    <n v="12657"/>
    <n v="1"/>
    <n v="754"/>
    <x v="1"/>
    <s v="Batt Fiberglass"/>
    <s v=""/>
    <n v="5.000000074505806E-2"/>
    <n v="1524.7619999999999"/>
  </r>
  <r>
    <x v="2"/>
    <n v="1"/>
    <n v="168065"/>
    <n v="24398"/>
    <n v="1"/>
    <n v="270"/>
    <x v="8"/>
    <s v="Batt Fiberglass"/>
    <s v=""/>
    <n v="5.000000074505806E-2"/>
    <n v="1612.692"/>
  </r>
  <r>
    <x v="2"/>
    <n v="1"/>
    <n v="85821"/>
    <n v="11684"/>
    <n v="1"/>
    <n v="1334"/>
    <x v="38"/>
    <s v="Blown FB"/>
    <s v=""/>
    <n v="5.000000074505806E-2"/>
    <n v="2003.7159999999999"/>
  </r>
  <r>
    <x v="2"/>
    <n v="1"/>
    <n v="194616"/>
    <n v="20671"/>
    <n v="1"/>
    <n v="384"/>
    <x v="7"/>
    <s v="Batt Fiberglass"/>
    <s v=""/>
    <n v="5.000000074505806E-2"/>
    <n v="8264.9449999999997"/>
  </r>
  <r>
    <x v="2"/>
    <n v="1"/>
    <n v="50490"/>
    <n v="23155"/>
    <n v="1"/>
    <n v="1024"/>
    <x v="5"/>
    <s v="Batt Fiberglass"/>
    <s v=""/>
    <n v="5.000000074505806E-2"/>
    <n v="2079.9929999999999"/>
  </r>
  <r>
    <x v="2"/>
    <n v="1"/>
    <n v="160710"/>
    <n v="11729"/>
    <n v="1"/>
    <n v="1272"/>
    <x v="14"/>
    <s v="Blown FB"/>
    <s v=""/>
    <n v="5.000000074505806E-2"/>
    <n v="6932.7380000000003"/>
  </r>
  <r>
    <x v="2"/>
    <n v="1"/>
    <n v="99464"/>
    <n v="22432"/>
    <n v="1"/>
    <n v="2179"/>
    <x v="1"/>
    <s v="Blown FB"/>
    <s v=""/>
    <n v="5.000000074505806E-2"/>
    <n v="1925.059"/>
  </r>
  <r>
    <x v="2"/>
    <n v="1"/>
    <n v="161561"/>
    <n v="24312"/>
    <n v="1"/>
    <n v="356"/>
    <x v="3"/>
    <s v="Batt Fiberglass"/>
    <s v=""/>
    <n v="5.000000074505806E-2"/>
    <n v="2079.9929999999999"/>
  </r>
  <r>
    <x v="2"/>
    <n v="1"/>
    <n v="687436"/>
    <n v="11585"/>
    <n v="1"/>
    <n v="210"/>
    <x v="4"/>
    <s v="Batt Fiberglass"/>
    <s v="Homeowner has insulated and remodeled attic space using R13 batt and R8 rigid foam board"/>
    <n v="5.000000074505806E-2"/>
    <n v="1524.7619999999999"/>
  </r>
  <r>
    <x v="2"/>
    <n v="1"/>
    <n v="48038"/>
    <n v="12054"/>
    <n v="2"/>
    <n v="1080"/>
    <x v="4"/>
    <s v="Batt Fiberglass"/>
    <s v=""/>
    <n v="5.000000074505806E-2"/>
    <n v="1524.7619999999999"/>
  </r>
  <r>
    <x v="2"/>
    <n v="1"/>
    <n v="139793"/>
    <n v="12906"/>
    <n v="1"/>
    <n v="960"/>
    <x v="3"/>
    <s v="Batt Fiberglass"/>
    <s v=""/>
    <n v="5.000000074505806E-2"/>
    <n v="4956.4930000000004"/>
  </r>
  <r>
    <x v="2"/>
    <n v="1"/>
    <n v="90727"/>
    <n v="10229"/>
    <n v="1"/>
    <n v="1044"/>
    <x v="7"/>
    <s v="Batt Fiberglass"/>
    <s v=""/>
    <n v="5.000000074505806E-2"/>
    <n v="4956.4930000000004"/>
  </r>
  <r>
    <x v="2"/>
    <n v="1"/>
    <n v="121595"/>
    <n v="23813"/>
    <n v="1"/>
    <n v="1670"/>
    <x v="13"/>
    <s v="Blown FB"/>
    <s v=""/>
    <n v="5.000000074505806E-2"/>
    <n v="1904.288"/>
  </r>
  <r>
    <x v="2"/>
    <n v="1"/>
    <n v="31829"/>
    <n v="11032"/>
    <n v="1"/>
    <n v="186"/>
    <x v="4"/>
    <s v="Batt Fiberglass"/>
    <s v=""/>
    <n v="5.000000074505806E-2"/>
    <n v="1188.027"/>
  </r>
  <r>
    <x v="2"/>
    <n v="1"/>
    <n v="183217"/>
    <n v="10430"/>
    <n v="2"/>
    <n v="374"/>
    <x v="4"/>
    <s v="Other"/>
    <s v=""/>
    <n v="5.000000074505806E-2"/>
    <n v="1464.694"/>
  </r>
  <r>
    <x v="2"/>
    <n v="1"/>
    <n v="27567"/>
    <n v="10595"/>
    <n v="1"/>
    <n v="1040"/>
    <x v="1"/>
    <s v="Blown Rock Wool"/>
    <s v=""/>
    <n v="5.000000074505806E-2"/>
    <n v="1524.7619999999999"/>
  </r>
  <r>
    <x v="2"/>
    <n v="1"/>
    <n v="88146"/>
    <n v="21002"/>
    <n v="1"/>
    <n v="680"/>
    <x v="31"/>
    <s v="Blown Rock Wool"/>
    <s v=""/>
    <n v="5.000000074505806E-2"/>
    <n v="1144.6790000000001"/>
  </r>
  <r>
    <x v="2"/>
    <n v="1"/>
    <n v="201217"/>
    <n v="11282"/>
    <n v="2"/>
    <n v="64"/>
    <x v="4"/>
    <s v="Batt Fiberglass"/>
    <s v=""/>
    <n v="5.000000074505806E-2"/>
    <n v="6932.7380000000003"/>
  </r>
  <r>
    <x v="2"/>
    <n v="1"/>
    <n v="150676"/>
    <n v="24765"/>
    <n v="1"/>
    <n v="1540"/>
    <x v="4"/>
    <s v="Batt Fiberglass"/>
    <s v=""/>
    <n v="5.000000074505806E-2"/>
    <n v="1144.6790000000001"/>
  </r>
  <r>
    <x v="2"/>
    <n v="1"/>
    <n v="221673"/>
    <n v="13974"/>
    <n v="1"/>
    <n v="1140"/>
    <x v="1"/>
    <s v="Blown Cellulose"/>
    <s v=""/>
    <n v="5.000000074505806E-2"/>
    <n v="2003.7159999999999"/>
  </r>
  <r>
    <x v="2"/>
    <n v="1"/>
    <n v="180167"/>
    <n v="21049"/>
    <n v="1"/>
    <n v="1452"/>
    <x v="1"/>
    <s v="Blown Cellulose"/>
    <s v=""/>
    <n v="5.000000074505806E-2"/>
    <n v="2130.886"/>
  </r>
  <r>
    <x v="2"/>
    <n v="1"/>
    <n v="210929"/>
    <n v="20440"/>
    <n v="1"/>
    <n v="784"/>
    <x v="8"/>
    <s v="Blown FB"/>
    <s v="condition and insulation level based on client observations, couldn't get into attic because the client didn't want me to take apart their closet organization system that was built in."/>
    <n v="5.000000074505806E-2"/>
    <n v="1925.059"/>
  </r>
  <r>
    <x v="2"/>
    <n v="1"/>
    <n v="690509"/>
    <n v="20433"/>
    <n v="1"/>
    <n v="1553"/>
    <x v="7"/>
    <s v="Mixed"/>
    <s v=""/>
    <n v="5.000000074505806E-2"/>
    <n v="1612.692"/>
  </r>
  <r>
    <x v="2"/>
    <n v="1"/>
    <n v="116647"/>
    <n v="10134"/>
    <n v="1"/>
    <n v="356"/>
    <x v="26"/>
    <s v="Batt Fiberglass"/>
    <s v=""/>
    <n v="5.000000074505806E-2"/>
    <n v="1464.694"/>
  </r>
  <r>
    <x v="2"/>
    <n v="1"/>
    <n v="103480"/>
    <n v="21831"/>
    <n v="1"/>
    <n v="851"/>
    <x v="7"/>
    <s v="Blown FB"/>
    <s v=""/>
    <n v="5.000000074505806E-2"/>
    <n v="1144.6790000000001"/>
  </r>
  <r>
    <x v="2"/>
    <n v="1"/>
    <n v="34423"/>
    <n v="10289"/>
    <n v="1"/>
    <n v="1200"/>
    <x v="1"/>
    <s v="Blown Rock Wool"/>
    <s v=""/>
    <n v="5.000000074505806E-2"/>
    <n v="1524.7619999999999"/>
  </r>
  <r>
    <x v="2"/>
    <n v="1"/>
    <n v="77854"/>
    <n v="23390"/>
    <n v="1"/>
    <n v="1200"/>
    <x v="1"/>
    <s v="Batt Fiberglass"/>
    <s v=""/>
    <n v="5.000000074505806E-2"/>
    <n v="2130.886"/>
  </r>
  <r>
    <x v="2"/>
    <n v="1"/>
    <n v="200508"/>
    <n v="23746"/>
    <n v="1"/>
    <n v="1289"/>
    <x v="7"/>
    <s v="Batt Fiberglass"/>
    <s v=""/>
    <n v="5.000000074505806E-2"/>
    <n v="8559.1039999999994"/>
  </r>
  <r>
    <x v="2"/>
    <n v="1"/>
    <n v="186933"/>
    <n v="10752"/>
    <n v="1"/>
    <n v="1260"/>
    <x v="38"/>
    <s v="Batt Fiberglass"/>
    <s v=""/>
    <n v="5.000000074505806E-2"/>
    <n v="4956.4930000000004"/>
  </r>
  <r>
    <x v="2"/>
    <n v="1"/>
    <n v="108405"/>
    <n v="12247"/>
    <n v="1"/>
    <n v="743"/>
    <x v="1"/>
    <s v="Mixed"/>
    <s v=""/>
    <n v="5.000000074505806E-2"/>
    <n v="2003.7159999999999"/>
  </r>
  <r>
    <x v="2"/>
    <n v="1"/>
    <n v="130743"/>
    <n v="12814"/>
    <n v="1"/>
    <n v="375"/>
    <x v="18"/>
    <s v="Mixed"/>
    <s v=""/>
    <n v="5.000000074505806E-2"/>
    <n v="1524.7619999999999"/>
  </r>
  <r>
    <x v="2"/>
    <n v="1"/>
    <n v="30918"/>
    <n v="12670"/>
    <n v="1"/>
    <n v="1044"/>
    <x v="11"/>
    <s v="Blown Rock Wool"/>
    <s v="4-6&quot; some mounding"/>
    <n v="5.000000074505806E-2"/>
    <n v="1524.7619999999999"/>
  </r>
  <r>
    <x v="2"/>
    <n v="1"/>
    <n v="130656"/>
    <n v="12818"/>
    <n v="1"/>
    <n v="825"/>
    <x v="11"/>
    <s v="Batt Fiberglass"/>
    <s v=""/>
    <n v="5.000000074505806E-2"/>
    <n v="1524.7619999999999"/>
  </r>
  <r>
    <x v="2"/>
    <n v="1"/>
    <n v="43987"/>
    <n v="10096"/>
    <n v="1"/>
    <n v="1664"/>
    <x v="4"/>
    <s v="Blown FB"/>
    <s v=""/>
    <n v="5.000000074505806E-2"/>
    <n v="1188.027"/>
  </r>
  <r>
    <x v="2"/>
    <n v="1"/>
    <n v="208176"/>
    <n v="20758"/>
    <n v="1"/>
    <n v="1591"/>
    <x v="1"/>
    <s v="Blown Cellulose"/>
    <s v=""/>
    <n v="5.000000074505806E-2"/>
    <n v="1904.288"/>
  </r>
  <r>
    <x v="2"/>
    <n v="1"/>
    <n v="32735"/>
    <n v="12229"/>
    <n v="1"/>
    <n v="1400"/>
    <x v="20"/>
    <s v="Blown Cellulose"/>
    <s v=""/>
    <n v="5.000000074505806E-2"/>
    <n v="1524.7619999999999"/>
  </r>
  <r>
    <x v="2"/>
    <n v="1"/>
    <n v="27947"/>
    <n v="10172"/>
    <n v="1"/>
    <n v="576"/>
    <x v="13"/>
    <s v="Batt Fiberglass"/>
    <s v=""/>
    <n v="5.000000074505806E-2"/>
    <n v="1524.7619999999999"/>
  </r>
  <r>
    <x v="2"/>
    <n v="1"/>
    <n v="95820"/>
    <n v="24351"/>
    <n v="1"/>
    <n v="924"/>
    <x v="1"/>
    <s v="Batt Fiberglass"/>
    <s v=""/>
    <n v="5.000000074505806E-2"/>
    <n v="1144.6790000000001"/>
  </r>
  <r>
    <x v="2"/>
    <n v="1"/>
    <n v="102085"/>
    <n v="21856"/>
    <n v="1"/>
    <n v="725"/>
    <x v="1"/>
    <s v="Blown FB"/>
    <s v=""/>
    <n v="5.000000074505806E-2"/>
    <n v="2130.886"/>
  </r>
  <r>
    <x v="2"/>
    <n v="1"/>
    <n v="166246"/>
    <n v="23909"/>
    <n v="1"/>
    <n v="3000"/>
    <x v="4"/>
    <s v="Batt Fiberglass"/>
    <s v=""/>
    <n v="5.000000074505806E-2"/>
    <n v="1192.4649999999999"/>
  </r>
  <r>
    <x v="2"/>
    <n v="1"/>
    <n v="179983"/>
    <n v="22671"/>
    <n v="1"/>
    <n v="1267"/>
    <x v="7"/>
    <s v="Blown FB"/>
    <s v=""/>
    <n v="5.000000074505806E-2"/>
    <n v="1612.692"/>
  </r>
  <r>
    <x v="2"/>
    <n v="1"/>
    <n v="72110"/>
    <n v="20430"/>
    <n v="1"/>
    <n v="1404"/>
    <x v="14"/>
    <s v="Batt Fiberglass"/>
    <s v=""/>
    <n v="5.000000074505806E-2"/>
    <n v="2079.9929999999999"/>
  </r>
  <r>
    <x v="2"/>
    <n v="1"/>
    <n v="154061"/>
    <n v="23480"/>
    <n v="1"/>
    <n v="2160"/>
    <x v="14"/>
    <s v="Blown FB"/>
    <s v=""/>
    <n v="5.000000074505806E-2"/>
    <n v="1612.692"/>
  </r>
  <r>
    <x v="2"/>
    <n v="1"/>
    <n v="105081"/>
    <n v="11574"/>
    <n v="1"/>
    <n v="1620"/>
    <x v="4"/>
    <s v="Batt Fiberglass"/>
    <s v=""/>
    <n v="5.000000074505806E-2"/>
    <n v="4956.4930000000004"/>
  </r>
  <r>
    <x v="2"/>
    <n v="1"/>
    <n v="38230"/>
    <n v="21934"/>
    <n v="1"/>
    <n v="483"/>
    <x v="1"/>
    <s v="Blown Cellulose"/>
    <s v=""/>
    <n v="5.000000074505806E-2"/>
    <n v="3785.7640000000001"/>
  </r>
  <r>
    <x v="2"/>
    <n v="1"/>
    <n v="128405"/>
    <n v="24410"/>
    <n v="1"/>
    <n v="780"/>
    <x v="1"/>
    <s v="Batt Fiberglass"/>
    <s v=""/>
    <n v="5.000000074505806E-2"/>
    <n v="1144.6790000000001"/>
  </r>
  <r>
    <x v="2"/>
    <n v="1"/>
    <n v="190695"/>
    <n v="24242"/>
    <n v="1"/>
    <n v="756"/>
    <x v="1"/>
    <s v="Batt Fiberglass"/>
    <s v=""/>
    <n v="5.000000074505806E-2"/>
    <n v="2130.886"/>
  </r>
  <r>
    <x v="2"/>
    <n v="1"/>
    <n v="179870"/>
    <n v="23704"/>
    <n v="1"/>
    <n v="2116"/>
    <x v="7"/>
    <s v="Blown Cellulose"/>
    <s v=""/>
    <n v="5.000000074505806E-2"/>
    <n v="1612.692"/>
  </r>
  <r>
    <x v="2"/>
    <n v="1"/>
    <n v="56249"/>
    <n v="21501"/>
    <n v="1"/>
    <n v="1664"/>
    <x v="1"/>
    <s v="Blown Cellulose"/>
    <s v=""/>
    <n v="5.000000074505806E-2"/>
    <n v="3785.7640000000001"/>
  </r>
  <r>
    <x v="2"/>
    <n v="1"/>
    <n v="241735"/>
    <n v="22580"/>
    <n v="1"/>
    <n v="1092"/>
    <x v="1"/>
    <s v="Blown Cellulose"/>
    <s v=""/>
    <n v="5.000000074505806E-2"/>
    <n v="12271.31"/>
  </r>
  <r>
    <x v="2"/>
    <n v="1"/>
    <n v="108788"/>
    <n v="21888"/>
    <n v="1"/>
    <n v="1076"/>
    <x v="1"/>
    <s v="Blown Rock Wool"/>
    <s v=""/>
    <n v="5.000000074505806E-2"/>
    <n v="8559.1039999999994"/>
  </r>
  <r>
    <x v="2"/>
    <n v="1"/>
    <n v="116647"/>
    <n v="10134"/>
    <n v="2"/>
    <n v="252"/>
    <x v="26"/>
    <s v="Batt Fiberglass"/>
    <s v=""/>
    <n v="5.000000074505806E-2"/>
    <n v="1464.694"/>
  </r>
  <r>
    <x v="2"/>
    <n v="1"/>
    <n v="168283"/>
    <n v="23724"/>
    <n v="1"/>
    <n v="1000"/>
    <x v="4"/>
    <s v="Blown FB"/>
    <s v=""/>
    <n v="5.000000074505806E-2"/>
    <n v="1612.692"/>
  </r>
  <r>
    <x v="2"/>
    <n v="1"/>
    <n v="204713"/>
    <n v="10911"/>
    <n v="1"/>
    <n v="195"/>
    <x v="4"/>
    <s v="Mixed"/>
    <s v=""/>
    <n v="5.000000074505806E-2"/>
    <n v="1464.694"/>
  </r>
  <r>
    <x v="2"/>
    <n v="1"/>
    <n v="75653"/>
    <n v="11954"/>
    <n v="1"/>
    <n v="980"/>
    <x v="7"/>
    <s v="Blown FB"/>
    <s v=""/>
    <n v="5.000000074505806E-2"/>
    <n v="1524.7619999999999"/>
  </r>
  <r>
    <x v="2"/>
    <n v="1"/>
    <n v="83574"/>
    <n v="10822"/>
    <n v="1"/>
    <n v="1976"/>
    <x v="1"/>
    <s v="Blown Cellulose"/>
    <s v=""/>
    <n v="5.000000074505806E-2"/>
    <n v="2003.7159999999999"/>
  </r>
  <r>
    <x v="2"/>
    <n v="1"/>
    <n v="45870"/>
    <n v="21021"/>
    <n v="1"/>
    <n v="1200"/>
    <x v="4"/>
    <s v="Batt Fiberglass"/>
    <s v=""/>
    <n v="5.000000074505806E-2"/>
    <n v="8264.9449999999997"/>
  </r>
  <r>
    <x v="2"/>
    <n v="1"/>
    <n v="232411"/>
    <n v="20646"/>
    <n v="1"/>
    <n v="841"/>
    <x v="18"/>
    <s v="Blown Cellulose"/>
    <s v=""/>
    <n v="5.000000074505806E-2"/>
    <n v="1904.288"/>
  </r>
  <r>
    <x v="2"/>
    <n v="1"/>
    <n v="176347"/>
    <n v="20303"/>
    <n v="1"/>
    <n v="1150"/>
    <x v="31"/>
    <s v="Blown FB"/>
    <s v=""/>
    <n v="5.000000074505806E-2"/>
    <n v="2130.886"/>
  </r>
  <r>
    <x v="2"/>
    <n v="1"/>
    <n v="96584"/>
    <n v="11836"/>
    <n v="1"/>
    <n v="1240"/>
    <x v="7"/>
    <s v="Blown Rock Wool"/>
    <s v=""/>
    <n v="5.000000074505806E-2"/>
    <n v="2003.7159999999999"/>
  </r>
  <r>
    <x v="2"/>
    <n v="1"/>
    <n v="218974"/>
    <n v="20894"/>
    <n v="1"/>
    <n v="735"/>
    <x v="13"/>
    <s v="Batt Fiberglass"/>
    <s v=""/>
    <n v="5.000000074505806E-2"/>
    <n v="2079.9929999999999"/>
  </r>
  <r>
    <x v="2"/>
    <n v="1"/>
    <n v="206732"/>
    <n v="12148"/>
    <n v="1"/>
    <n v="546"/>
    <x v="13"/>
    <s v="Batt Fiberglass"/>
    <s v=""/>
    <n v="5.000000074505806E-2"/>
    <n v="6932.7380000000003"/>
  </r>
  <r>
    <x v="2"/>
    <n v="1"/>
    <n v="57049"/>
    <n v="11210"/>
    <n v="2"/>
    <n v="450"/>
    <x v="39"/>
    <s v="Batt Mineral Wool"/>
    <s v=""/>
    <n v="5.000000074505806E-2"/>
    <n v="1524.7619999999999"/>
  </r>
  <r>
    <x v="2"/>
    <n v="1"/>
    <n v="85118"/>
    <n v="10565"/>
    <n v="1"/>
    <n v="2328"/>
    <x v="7"/>
    <s v="Blown Cellulose"/>
    <s v=""/>
    <n v="5.000000074505806E-2"/>
    <n v="2003.7159999999999"/>
  </r>
  <r>
    <x v="2"/>
    <n v="1"/>
    <n v="32030"/>
    <n v="12427"/>
    <n v="1"/>
    <n v="1290"/>
    <x v="16"/>
    <s v="Batt Fiberglass"/>
    <s v=""/>
    <n v="5.000000074505806E-2"/>
    <n v="1524.7619999999999"/>
  </r>
  <r>
    <x v="2"/>
    <n v="1"/>
    <n v="164447"/>
    <n v="12782"/>
    <n v="1"/>
    <n v="690"/>
    <x v="1"/>
    <s v="Blown Cellulose"/>
    <s v=""/>
    <n v="5.000000074505806E-2"/>
    <n v="1524.7619999999999"/>
  </r>
  <r>
    <x v="2"/>
    <n v="1"/>
    <n v="78692"/>
    <n v="21107"/>
    <n v="1"/>
    <n v="1410"/>
    <x v="7"/>
    <s v="Batt Fiberglass"/>
    <s v=""/>
    <n v="5.000000074505806E-2"/>
    <n v="1144.6790000000001"/>
  </r>
  <r>
    <x v="2"/>
    <n v="1"/>
    <n v="46575"/>
    <n v="20920"/>
    <n v="1"/>
    <n v="1600"/>
    <x v="32"/>
    <s v="Blown FB"/>
    <s v=""/>
    <n v="5.000000074505806E-2"/>
    <n v="2079.9929999999999"/>
  </r>
  <r>
    <x v="3"/>
    <n v="0.75"/>
    <n v="49797"/>
    <n v="22226"/>
    <n v="1"/>
    <n v="1810"/>
    <x v="19"/>
    <s v="Blown FB"/>
    <s v=""/>
    <n v="0.15000000596046448"/>
    <n v="3785.7640000000001"/>
  </r>
  <r>
    <x v="3"/>
    <n v="0.75"/>
    <n v="28882"/>
    <n v="12270"/>
    <n v="1"/>
    <n v="1100"/>
    <x v="5"/>
    <s v="Blown Cellulose"/>
    <s v=""/>
    <n v="0.15000000596046448"/>
    <n v="1150.8789999999999"/>
  </r>
  <r>
    <x v="3"/>
    <n v="0.75"/>
    <n v="85736"/>
    <n v="11993"/>
    <n v="1"/>
    <n v="875"/>
    <x v="33"/>
    <s v="Blown Rock Wool"/>
    <s v=""/>
    <n v="0.15000000596046448"/>
    <n v="2003.7159999999999"/>
  </r>
  <r>
    <x v="3"/>
    <n v="0.75"/>
    <n v="55847"/>
    <n v="10661"/>
    <n v="1"/>
    <n v="1200"/>
    <x v="11"/>
    <s v="Batt Fiberglass"/>
    <s v=""/>
    <n v="0.15000000596046448"/>
    <n v="1524.7619999999999"/>
  </r>
  <r>
    <x v="3"/>
    <n v="0.75"/>
    <n v="112331"/>
    <n v="20707"/>
    <n v="1"/>
    <n v="1092"/>
    <x v="1"/>
    <s v="Batt Mineral Wool"/>
    <s v=""/>
    <n v="0.15000000596046448"/>
    <n v="3785.7640000000001"/>
  </r>
  <r>
    <x v="3"/>
    <n v="0.75"/>
    <n v="170406"/>
    <n v="23994"/>
    <n v="1"/>
    <n v="1887"/>
    <x v="9"/>
    <s v="Batt Fiberglass"/>
    <s v=""/>
    <n v="0.15000000596046448"/>
    <n v="3785.7640000000001"/>
  </r>
  <r>
    <x v="3"/>
    <n v="0.75"/>
    <n v="225883"/>
    <n v="12101"/>
    <n v="1"/>
    <n v="1786"/>
    <x v="18"/>
    <s v="Batt Fiberglass"/>
    <s v=""/>
    <n v="0.15000000596046448"/>
    <n v="4956.4930000000004"/>
  </r>
  <r>
    <x v="3"/>
    <n v="0.75"/>
    <n v="93145"/>
    <n v="12035"/>
    <n v="1"/>
    <n v="1300"/>
    <x v="11"/>
    <s v="Mixed"/>
    <s v=""/>
    <n v="0.15000000596046448"/>
    <n v="2003.7159999999999"/>
  </r>
  <r>
    <x v="3"/>
    <n v="0.75"/>
    <n v="144460"/>
    <n v="23282"/>
    <n v="1"/>
    <n v="1534"/>
    <x v="1"/>
    <s v="Blown FB"/>
    <s v=""/>
    <n v="0.15000000596046448"/>
    <n v="3785.7640000000001"/>
  </r>
  <r>
    <x v="3"/>
    <n v="0.75"/>
    <n v="691821"/>
    <n v="21408"/>
    <n v="1"/>
    <n v="1536"/>
    <x v="1"/>
    <s v="Blown Cellulose"/>
    <s v=""/>
    <n v="0.15000000596046448"/>
    <n v="3785.7640000000001"/>
  </r>
  <r>
    <x v="3"/>
    <n v="0.75"/>
    <n v="126877"/>
    <n v="20814"/>
    <n v="1"/>
    <n v="1050"/>
    <x v="26"/>
    <s v="Blown FB"/>
    <s v=""/>
    <n v="0.15000000596046448"/>
    <n v="2079.9929999999999"/>
  </r>
  <r>
    <x v="3"/>
    <n v="0.75"/>
    <n v="187724"/>
    <n v="20853"/>
    <n v="1"/>
    <n v="2127"/>
    <x v="1"/>
    <s v="Batt Fiberglass"/>
    <s v=""/>
    <n v="0.15000000596046448"/>
    <n v="1612.692"/>
  </r>
  <r>
    <x v="3"/>
    <n v="0.75"/>
    <n v="190364"/>
    <n v="11352"/>
    <n v="1"/>
    <n v="986"/>
    <x v="13"/>
    <s v="Batt Fiberglass"/>
    <s v=""/>
    <n v="0.15000000596046448"/>
    <n v="6932.7380000000003"/>
  </r>
  <r>
    <x v="3"/>
    <n v="0.75"/>
    <n v="142855"/>
    <n v="21647"/>
    <n v="1"/>
    <n v="1338"/>
    <x v="8"/>
    <s v="Batt Fiberglass"/>
    <s v=""/>
    <n v="0.15000000596046448"/>
    <n v="1612.692"/>
  </r>
  <r>
    <x v="3"/>
    <n v="0.75"/>
    <n v="219815"/>
    <n v="21710"/>
    <n v="1"/>
    <n v="1426"/>
    <x v="13"/>
    <s v="Blown FB"/>
    <s v=""/>
    <n v="0.15000000596046448"/>
    <n v="2079.9929999999999"/>
  </r>
  <r>
    <x v="3"/>
    <n v="0.75"/>
    <n v="45107"/>
    <n v="14129"/>
    <n v="1"/>
    <n v="780"/>
    <x v="8"/>
    <s v="Blown Cellulose"/>
    <s v=""/>
    <n v="0.15000000596046448"/>
    <n v="1188.027"/>
  </r>
  <r>
    <x v="3"/>
    <n v="0.75"/>
    <n v="161475"/>
    <n v="13303"/>
    <n v="1"/>
    <n v="1040"/>
    <x v="11"/>
    <s v="Batt Fiberglass"/>
    <s v=""/>
    <n v="0.15000000596046448"/>
    <n v="2003.7159999999999"/>
  </r>
  <r>
    <x v="3"/>
    <n v="0.75"/>
    <n v="68243"/>
    <n v="22721"/>
    <n v="1"/>
    <n v="819"/>
    <x v="26"/>
    <s v="Mixed"/>
    <s v=""/>
    <n v="0.15000000596046448"/>
    <n v="2130.886"/>
  </r>
  <r>
    <x v="3"/>
    <n v="0.9"/>
    <n v="34682"/>
    <n v="11988"/>
    <n v="1"/>
    <n v="1120"/>
    <x v="8"/>
    <s v="Mixed"/>
    <s v=""/>
    <n v="9.0000003576278687E-2"/>
    <n v="1188.027"/>
  </r>
  <r>
    <x v="3"/>
    <n v="0.9"/>
    <n v="183336"/>
    <n v="23489"/>
    <n v="1"/>
    <n v="1588"/>
    <x v="12"/>
    <s v="Mixed"/>
    <s v=""/>
    <n v="9.0000003576278687E-2"/>
    <n v="3785.7640000000001"/>
  </r>
  <r>
    <x v="3"/>
    <n v="0.9"/>
    <n v="31282"/>
    <n v="10580"/>
    <n v="1"/>
    <n v="1050"/>
    <x v="2"/>
    <s v="Mixed"/>
    <s v=""/>
    <n v="9.0000003576278687E-2"/>
    <n v="1524.7619999999999"/>
  </r>
  <r>
    <x v="3"/>
    <n v="0.9"/>
    <n v="86703"/>
    <n v="23882"/>
    <n v="1"/>
    <n v="400"/>
    <x v="22"/>
    <s v="Batt Fiberglass"/>
    <s v=""/>
    <n v="9.0000003576278687E-2"/>
    <n v="1144.6790000000001"/>
  </r>
  <r>
    <x v="3"/>
    <n v="0.9"/>
    <n v="190008"/>
    <n v="23262"/>
    <n v="1"/>
    <n v="1622"/>
    <x v="26"/>
    <s v="Batt Fiberglass"/>
    <s v=""/>
    <n v="9.0000003576278687E-2"/>
    <n v="1612.692"/>
  </r>
  <r>
    <x v="3"/>
    <n v="0.9"/>
    <n v="57683"/>
    <n v="24171"/>
    <n v="1"/>
    <n v="1560"/>
    <x v="4"/>
    <s v="Batt Fiberglass"/>
    <s v=""/>
    <n v="9.0000003576278687E-2"/>
    <n v="2079.9929999999999"/>
  </r>
  <r>
    <x v="3"/>
    <n v="0.9"/>
    <n v="223744"/>
    <n v="20466"/>
    <n v="1"/>
    <n v="1500"/>
    <x v="14"/>
    <s v="Mixed"/>
    <s v=""/>
    <n v="9.0000003576278687E-2"/>
    <n v="2130.886"/>
  </r>
  <r>
    <x v="3"/>
    <n v="0.9"/>
    <n v="83985"/>
    <n v="21977"/>
    <n v="1"/>
    <n v="1249"/>
    <x v="11"/>
    <s v="Mixed"/>
    <s v=""/>
    <n v="9.0000003576278687E-2"/>
    <n v="8559.1039999999994"/>
  </r>
  <r>
    <x v="3"/>
    <n v="0.9"/>
    <n v="133820"/>
    <n v="20619"/>
    <n v="1"/>
    <n v="1520"/>
    <x v="1"/>
    <s v="Blown Cellulose"/>
    <s v=""/>
    <n v="9.0000003576278687E-2"/>
    <n v="2079.9929999999999"/>
  </r>
  <r>
    <x v="3"/>
    <n v="0.9"/>
    <n v="67714"/>
    <n v="24363"/>
    <n v="1"/>
    <n v="1400"/>
    <x v="14"/>
    <s v="Mixed"/>
    <s v=""/>
    <n v="9.0000003576278687E-2"/>
    <n v="3785.7640000000001"/>
  </r>
  <r>
    <x v="3"/>
    <n v="0.9"/>
    <n v="229086"/>
    <n v="14181"/>
    <n v="5"/>
    <n v="150"/>
    <x v="1"/>
    <s v="Batt Fiberglass"/>
    <s v=""/>
    <n v="9.0000003576278687E-2"/>
    <n v="1524.7619999999999"/>
  </r>
  <r>
    <x v="3"/>
    <n v="0.9"/>
    <n v="240215"/>
    <n v="12730"/>
    <n v="1"/>
    <n v="672"/>
    <x v="26"/>
    <s v="Blown FB"/>
    <s v=""/>
    <n v="9.0000003576278687E-2"/>
    <n v="1150.8789999999999"/>
  </r>
  <r>
    <x v="3"/>
    <n v="0.9"/>
    <n v="165637"/>
    <n v="20618"/>
    <n v="1"/>
    <n v="910"/>
    <x v="8"/>
    <s v="Mixed"/>
    <s v=""/>
    <n v="9.0000003576278687E-2"/>
    <n v="1612.692"/>
  </r>
  <r>
    <x v="3"/>
    <n v="0.9"/>
    <n v="98995"/>
    <n v="20324"/>
    <n v="1"/>
    <n v="1620"/>
    <x v="26"/>
    <s v="Mixed"/>
    <s v=""/>
    <n v="9.0000003576278687E-2"/>
    <n v="1925.059"/>
  </r>
  <r>
    <x v="3"/>
    <n v="0.9"/>
    <n v="720010"/>
    <n v="22077"/>
    <n v="1"/>
    <n v="1008"/>
    <x v="1"/>
    <s v="Blown Cellulose"/>
    <s v=""/>
    <n v="9.0000003576278687E-2"/>
    <n v="3785.7640000000001"/>
  </r>
  <r>
    <x v="3"/>
    <n v="0.9"/>
    <n v="188082"/>
    <n v="21155"/>
    <n v="1"/>
    <n v="1130"/>
    <x v="1"/>
    <s v="Blown Cellulose"/>
    <s v=""/>
    <n v="9.0000003576278687E-2"/>
    <n v="1192.4649999999999"/>
  </r>
  <r>
    <x v="3"/>
    <n v="0.9"/>
    <n v="123155"/>
    <n v="12039"/>
    <n v="1"/>
    <n v="1820"/>
    <x v="11"/>
    <s v="Batt Fiberglass"/>
    <s v=""/>
    <n v="9.0000003576278687E-2"/>
    <n v="4956.4930000000004"/>
  </r>
  <r>
    <x v="3"/>
    <n v="0.9"/>
    <n v="53180"/>
    <n v="22515"/>
    <n v="1"/>
    <n v="1608"/>
    <x v="5"/>
    <s v="Batt Fiberglass"/>
    <s v=""/>
    <n v="9.0000003576278687E-2"/>
    <n v="2079.9929999999999"/>
  </r>
  <r>
    <x v="3"/>
    <n v="0.9"/>
    <n v="242006"/>
    <n v="20702"/>
    <n v="1"/>
    <n v="1008"/>
    <x v="5"/>
    <s v="Other"/>
    <s v="High possibility of asbestos insulation. I did not even open the acess. Home owner did the original insulating so I am just taking his word for it."/>
    <n v="9.0000003576278687E-2"/>
    <n v="2130.886"/>
  </r>
  <r>
    <x v="3"/>
    <n v="0.9"/>
    <n v="78305"/>
    <n v="23408"/>
    <n v="2"/>
    <n v="402"/>
    <x v="1"/>
    <s v="Batt Fiberglass"/>
    <s v=""/>
    <n v="9.0000003576278687E-2"/>
    <n v="3785.7640000000001"/>
  </r>
  <r>
    <x v="3"/>
    <n v="0.9"/>
    <n v="76093"/>
    <n v="22096"/>
    <n v="2"/>
    <n v="480"/>
    <x v="4"/>
    <s v="Batt Fiberglass"/>
    <s v=""/>
    <n v="9.0000003576278687E-2"/>
    <n v="3785.7640000000001"/>
  </r>
  <r>
    <x v="3"/>
    <n v="0.9"/>
    <n v="198909"/>
    <n v="24795"/>
    <n v="1"/>
    <n v="2035"/>
    <x v="9"/>
    <s v="Blown FB"/>
    <s v=""/>
    <n v="9.0000003576278687E-2"/>
    <n v="2079.9929999999999"/>
  </r>
  <r>
    <x v="3"/>
    <n v="0.9"/>
    <n v="159652"/>
    <n v="11283"/>
    <n v="1"/>
    <n v="1400"/>
    <x v="5"/>
    <s v="Batt Fiberglass"/>
    <s v=""/>
    <n v="9.0000003576278687E-2"/>
    <n v="6932.7380000000003"/>
  </r>
  <r>
    <x v="3"/>
    <n v="0.9"/>
    <n v="33436"/>
    <n v="20058"/>
    <n v="1"/>
    <n v="1080"/>
    <x v="1"/>
    <s v="Blown FB"/>
    <s v=""/>
    <n v="9.0000003576278687E-2"/>
    <n v="3785.7640000000001"/>
  </r>
  <r>
    <x v="3"/>
    <n v="0.9"/>
    <n v="113308"/>
    <n v="23003"/>
    <n v="1"/>
    <n v="850"/>
    <x v="14"/>
    <s v="Mixed"/>
    <s v=""/>
    <n v="9.0000003576278687E-2"/>
    <n v="2079.9929999999999"/>
  </r>
  <r>
    <x v="3"/>
    <n v="0.9"/>
    <n v="235845"/>
    <n v="21672"/>
    <n v="2"/>
    <n v="688"/>
    <x v="14"/>
    <s v="Mixed"/>
    <s v=""/>
    <n v="9.0000003576278687E-2"/>
    <n v="1144.6790000000001"/>
  </r>
  <r>
    <x v="3"/>
    <n v="0.9"/>
    <n v="192167"/>
    <n v="22679"/>
    <n v="1"/>
    <n v="1315"/>
    <x v="26"/>
    <s v="Batt Mineral Wool"/>
    <s v=""/>
    <n v="9.0000003576278687E-2"/>
    <n v="2130.886"/>
  </r>
  <r>
    <x v="3"/>
    <n v="0.9"/>
    <n v="725266"/>
    <n v="13188"/>
    <n v="1"/>
    <n v="738"/>
    <x v="11"/>
    <s v="Blown FB"/>
    <s v=""/>
    <n v="9.0000003576278687E-2"/>
    <n v="1524.7619999999999"/>
  </r>
  <r>
    <x v="3"/>
    <n v="0.9"/>
    <n v="190111"/>
    <n v="23645"/>
    <n v="1"/>
    <n v="962"/>
    <x v="26"/>
    <s v="Blown FB"/>
    <s v=""/>
    <n v="9.0000003576278687E-2"/>
    <n v="1612.692"/>
  </r>
  <r>
    <x v="3"/>
    <n v="0.9"/>
    <n v="192612"/>
    <n v="24499"/>
    <n v="1"/>
    <n v="711"/>
    <x v="26"/>
    <s v="Blown Cellulose"/>
    <s v=""/>
    <n v="9.0000003576278687E-2"/>
    <n v="1192.4649999999999"/>
  </r>
  <r>
    <x v="3"/>
    <n v="0.9"/>
    <n v="128698"/>
    <n v="21112"/>
    <n v="1"/>
    <n v="1615"/>
    <x v="5"/>
    <s v="Mixed"/>
    <s v=""/>
    <n v="9.0000003576278687E-2"/>
    <n v="1612.692"/>
  </r>
  <r>
    <x v="3"/>
    <n v="0.9"/>
    <n v="783197"/>
    <n v="24311"/>
    <n v="1"/>
    <n v="1576"/>
    <x v="26"/>
    <s v="Mixed"/>
    <s v=""/>
    <n v="9.0000003576278687E-2"/>
    <n v="8264.9449999999997"/>
  </r>
  <r>
    <x v="3"/>
    <n v="0.9"/>
    <n v="206613"/>
    <n v="12144"/>
    <n v="1"/>
    <n v="824"/>
    <x v="13"/>
    <s v="Blown FB"/>
    <s v=""/>
    <n v="9.0000003576278687E-2"/>
    <n v="6932.7380000000003"/>
  </r>
  <r>
    <x v="3"/>
    <n v="0.9"/>
    <n v="186783"/>
    <n v="21411"/>
    <n v="1"/>
    <n v="1176"/>
    <x v="1"/>
    <s v="Blown Cellulose"/>
    <s v=""/>
    <n v="9.0000003576278687E-2"/>
    <n v="2130.886"/>
  </r>
  <r>
    <x v="3"/>
    <n v="0.9"/>
    <n v="231749"/>
    <n v="23414"/>
    <n v="1"/>
    <n v="2200"/>
    <x v="5"/>
    <s v="Batt Fiberglass"/>
    <s v=""/>
    <n v="9.0000003576278687E-2"/>
    <n v="2079.9929999999999"/>
  </r>
  <r>
    <x v="3"/>
    <n v="0.9"/>
    <n v="80984"/>
    <n v="24296"/>
    <n v="1"/>
    <n v="1620"/>
    <x v="14"/>
    <s v="Blown Cellulose"/>
    <s v=""/>
    <n v="9.0000003576278687E-2"/>
    <n v="3785.7640000000001"/>
  </r>
  <r>
    <x v="3"/>
    <n v="0.9"/>
    <n v="97144"/>
    <n v="22571"/>
    <n v="1"/>
    <n v="1974"/>
    <x v="1"/>
    <s v="Other"/>
    <s v=""/>
    <n v="9.0000003576278687E-2"/>
    <n v="3785.7640000000001"/>
  </r>
  <r>
    <x v="3"/>
    <n v="0.9"/>
    <n v="75979"/>
    <n v="20808"/>
    <n v="1"/>
    <n v="1072"/>
    <x v="4"/>
    <s v="Blown FB"/>
    <s v=""/>
    <n v="9.0000003576278687E-2"/>
    <n v="3785.7640000000001"/>
  </r>
  <r>
    <x v="3"/>
    <n v="0.9"/>
    <n v="119349"/>
    <n v="22458"/>
    <n v="1"/>
    <n v="1915"/>
    <x v="1"/>
    <s v="Other"/>
    <s v=""/>
    <n v="9.0000003576278687E-2"/>
    <n v="3785.7640000000001"/>
  </r>
  <r>
    <x v="3"/>
    <n v="0.9"/>
    <n v="185200"/>
    <n v="14037"/>
    <n v="1"/>
    <n v="445"/>
    <x v="1"/>
    <s v="Mixed"/>
    <s v=""/>
    <n v="9.0000003576278687E-2"/>
    <n v="1524.7619999999999"/>
  </r>
  <r>
    <x v="3"/>
    <n v="0.9"/>
    <n v="191282"/>
    <n v="20085"/>
    <n v="1"/>
    <n v="2000"/>
    <x v="5"/>
    <s v="Mixed"/>
    <s v=""/>
    <n v="9.0000003576278687E-2"/>
    <n v="4360.1880000000001"/>
  </r>
  <r>
    <x v="3"/>
    <n v="0.9"/>
    <n v="42348"/>
    <n v="22053"/>
    <n v="1"/>
    <n v="1700"/>
    <x v="11"/>
    <s v="Blown Cellulose"/>
    <s v=""/>
    <n v="9.0000003576278687E-2"/>
    <n v="2079.9929999999999"/>
  </r>
  <r>
    <x v="3"/>
    <n v="0.9"/>
    <n v="124600"/>
    <n v="21988"/>
    <n v="1"/>
    <n v="1200"/>
    <x v="12"/>
    <s v="Blown FB"/>
    <s v=""/>
    <n v="9.0000003576278687E-2"/>
    <n v="2079.9929999999999"/>
  </r>
  <r>
    <x v="3"/>
    <n v="0.9"/>
    <n v="183217"/>
    <n v="10430"/>
    <n v="1"/>
    <n v="1544"/>
    <x v="5"/>
    <s v="Mixed"/>
    <s v=""/>
    <n v="9.0000003576278687E-2"/>
    <n v="1464.694"/>
  </r>
  <r>
    <x v="3"/>
    <n v="0.9"/>
    <n v="724324"/>
    <n v="11842"/>
    <n v="1"/>
    <n v="840"/>
    <x v="14"/>
    <s v="Mixed"/>
    <s v=""/>
    <n v="9.0000003576278687E-2"/>
    <n v="4956.4930000000004"/>
  </r>
  <r>
    <x v="3"/>
    <n v="0.9"/>
    <n v="674574"/>
    <n v="14508"/>
    <n v="2"/>
    <n v="94"/>
    <x v="4"/>
    <s v="Blown FB"/>
    <s v=""/>
    <n v="9.0000003576278687E-2"/>
    <n v="4956.4930000000004"/>
  </r>
  <r>
    <x v="3"/>
    <n v="0.9"/>
    <n v="209957"/>
    <n v="23511"/>
    <n v="1"/>
    <n v="1120"/>
    <x v="14"/>
    <s v="Blown Cellulose"/>
    <s v=""/>
    <n v="9.0000003576278687E-2"/>
    <n v="3785.7640000000001"/>
  </r>
  <r>
    <x v="3"/>
    <n v="0.9"/>
    <n v="58936"/>
    <n v="13898"/>
    <n v="1"/>
    <n v="236"/>
    <x v="40"/>
    <s v="Blown FB"/>
    <s v=""/>
    <n v="9.0000003576278687E-2"/>
    <n v="1188.027"/>
  </r>
  <r>
    <x v="3"/>
    <n v="0.9"/>
    <n v="94273"/>
    <n v="20080"/>
    <n v="1"/>
    <n v="925"/>
    <x v="13"/>
    <s v="Blown Cellulose"/>
    <s v=""/>
    <n v="9.0000003576278687E-2"/>
    <n v="1904.288"/>
  </r>
  <r>
    <x v="3"/>
    <n v="0.9"/>
    <n v="33686"/>
    <n v="23183"/>
    <n v="1"/>
    <n v="1702"/>
    <x v="25"/>
    <s v="Blown FB"/>
    <s v=""/>
    <n v="9.0000003576278687E-2"/>
    <n v="3785.7640000000001"/>
  </r>
  <r>
    <x v="3"/>
    <n v="0.9"/>
    <n v="120325"/>
    <n v="10510"/>
    <n v="1"/>
    <n v="1064"/>
    <x v="5"/>
    <s v="Mixed"/>
    <s v=""/>
    <n v="9.0000003576278687E-2"/>
    <n v="1464.694"/>
  </r>
  <r>
    <x v="3"/>
    <n v="0.9"/>
    <n v="83006"/>
    <n v="12255"/>
    <n v="1"/>
    <n v="1265"/>
    <x v="26"/>
    <s v="Blown Cellulose"/>
    <s v=""/>
    <n v="9.0000003576278687E-2"/>
    <n v="1188.027"/>
  </r>
  <r>
    <x v="3"/>
    <n v="0.9"/>
    <n v="201901"/>
    <n v="22087"/>
    <n v="1"/>
    <n v="723"/>
    <x v="1"/>
    <s v="Batt Fiberglass"/>
    <s v=""/>
    <n v="9.0000003576278687E-2"/>
    <n v="1612.692"/>
  </r>
  <r>
    <x v="3"/>
    <n v="0.9"/>
    <n v="36666"/>
    <n v="20995"/>
    <n v="1"/>
    <n v="784"/>
    <x v="2"/>
    <s v="Other"/>
    <s v=""/>
    <n v="9.0000003576278687E-2"/>
    <n v="2130.886"/>
  </r>
  <r>
    <x v="3"/>
    <n v="0.9"/>
    <n v="97848"/>
    <n v="21038"/>
    <n v="1"/>
    <n v="840"/>
    <x v="13"/>
    <s v="Blown Cellulose"/>
    <s v=""/>
    <n v="9.0000003576278687E-2"/>
    <n v="1904.288"/>
  </r>
  <r>
    <x v="3"/>
    <n v="0.9"/>
    <n v="233257"/>
    <n v="10915"/>
    <n v="1"/>
    <n v="1436"/>
    <x v="26"/>
    <s v="Mixed"/>
    <s v=""/>
    <n v="9.0000003576278687E-2"/>
    <n v="1464.694"/>
  </r>
  <r>
    <x v="3"/>
    <n v="0.9"/>
    <n v="62088"/>
    <n v="12456"/>
    <n v="1"/>
    <n v="693"/>
    <x v="11"/>
    <s v="Blown Cellulose"/>
    <s v=""/>
    <n v="9.0000003576278687E-2"/>
    <n v="2003.7159999999999"/>
  </r>
  <r>
    <x v="3"/>
    <n v="0.9"/>
    <n v="220710"/>
    <n v="20839"/>
    <n v="1"/>
    <n v="864"/>
    <x v="26"/>
    <s v="Mixed"/>
    <s v=""/>
    <n v="9.0000003576278687E-2"/>
    <n v="1904.288"/>
  </r>
  <r>
    <x v="3"/>
    <n v="0.9"/>
    <n v="96870"/>
    <n v="22891"/>
    <n v="1"/>
    <n v="836"/>
    <x v="1"/>
    <s v="Blown Cellulose"/>
    <s v=""/>
    <n v="9.0000003576278687E-2"/>
    <n v="3785.7640000000001"/>
  </r>
  <r>
    <x v="3"/>
    <n v="0.9"/>
    <n v="47817"/>
    <n v="11273"/>
    <n v="1"/>
    <n v="542"/>
    <x v="4"/>
    <s v="Batt Fiberglass"/>
    <s v=""/>
    <n v="9.0000003576278687E-2"/>
    <n v="1524.7619999999999"/>
  </r>
  <r>
    <x v="3"/>
    <n v="0.9"/>
    <n v="212844"/>
    <n v="10995"/>
    <n v="1"/>
    <n v="720"/>
    <x v="5"/>
    <s v="Mixed"/>
    <s v=""/>
    <n v="9.0000003576278687E-2"/>
    <n v="4956.4930000000004"/>
  </r>
  <r>
    <x v="3"/>
    <n v="0.9"/>
    <n v="101280"/>
    <n v="23345"/>
    <n v="1"/>
    <n v="1500"/>
    <x v="14"/>
    <s v="Mixed"/>
    <s v=""/>
    <n v="9.0000003576278687E-2"/>
    <n v="2079.9929999999999"/>
  </r>
  <r>
    <x v="3"/>
    <n v="1"/>
    <n v="46465"/>
    <n v="20712"/>
    <n v="1"/>
    <n v="2375"/>
    <x v="32"/>
    <s v="Blown FB"/>
    <s v=""/>
    <n v="4.5000001788139343E-2"/>
    <n v="2079.9929999999999"/>
  </r>
  <r>
    <x v="3"/>
    <n v="1"/>
    <n v="126063"/>
    <n v="12895"/>
    <n v="1"/>
    <n v="954"/>
    <x v="18"/>
    <s v="Batt Fiberglass"/>
    <s v=""/>
    <n v="4.5000001788139343E-2"/>
    <n v="4956.4930000000004"/>
  </r>
  <r>
    <x v="3"/>
    <n v="1"/>
    <n v="39714"/>
    <n v="12321"/>
    <n v="1"/>
    <n v="729"/>
    <x v="14"/>
    <s v="Mixed"/>
    <s v=""/>
    <n v="4.5000001788139343E-2"/>
    <n v="1524.7619999999999"/>
  </r>
  <r>
    <x v="3"/>
    <n v="1"/>
    <n v="60295"/>
    <n v="10561"/>
    <n v="1"/>
    <n v="940"/>
    <x v="37"/>
    <s v="Blown Cellulose"/>
    <s v=""/>
    <n v="4.5000001788139343E-2"/>
    <n v="2003.7159999999999"/>
  </r>
  <r>
    <x v="3"/>
    <n v="1"/>
    <n v="724428"/>
    <n v="13474"/>
    <n v="1"/>
    <n v="1472"/>
    <x v="18"/>
    <s v="Batt Fiberglass"/>
    <s v=""/>
    <n v="4.5000001788139343E-2"/>
    <n v="1524.7619999999999"/>
  </r>
  <r>
    <x v="3"/>
    <n v="1"/>
    <n v="224471"/>
    <n v="11475"/>
    <n v="1"/>
    <n v="2666"/>
    <x v="12"/>
    <s v="Blown Cellulose"/>
    <s v="The attic over the slab additon is R38 insulation.  The attic over the crawl area is R25."/>
    <n v="4.5000001788139343E-2"/>
    <n v="6932.7380000000003"/>
  </r>
  <r>
    <x v="3"/>
    <n v="1"/>
    <n v="49894"/>
    <n v="21403"/>
    <n v="1"/>
    <n v="1266"/>
    <x v="13"/>
    <s v="Blown Cellulose"/>
    <s v=""/>
    <n v="4.5000001788139343E-2"/>
    <n v="12271.31"/>
  </r>
  <r>
    <x v="3"/>
    <n v="1"/>
    <n v="27103"/>
    <n v="11094"/>
    <n v="1"/>
    <n v="1700"/>
    <x v="13"/>
    <s v="Mixed"/>
    <s v=""/>
    <n v="4.5000001788139343E-2"/>
    <n v="1524.7619999999999"/>
  </r>
  <r>
    <x v="3"/>
    <n v="1"/>
    <n v="215680"/>
    <n v="22982"/>
    <n v="1"/>
    <n v="1910"/>
    <x v="37"/>
    <s v="Blown FB"/>
    <s v=""/>
    <n v="4.5000001788139343E-2"/>
    <n v="2079.9929999999999"/>
  </r>
  <r>
    <x v="3"/>
    <n v="1"/>
    <n v="237947"/>
    <n v="14300"/>
    <n v="1"/>
    <n v="1240"/>
    <x v="1"/>
    <s v="Blown FB"/>
    <s v=""/>
    <n v="4.5000001788139343E-2"/>
    <n v="4956.4930000000004"/>
  </r>
  <r>
    <x v="3"/>
    <n v="1"/>
    <n v="823336"/>
    <n v="13310"/>
    <n v="1"/>
    <n v="552"/>
    <x v="1"/>
    <s v="Batt Fiberglass"/>
    <s v="lumpy - level average"/>
    <n v="4.5000001788139343E-2"/>
    <n v="2003.7159999999999"/>
  </r>
  <r>
    <x v="3"/>
    <n v="1"/>
    <n v="147905"/>
    <n v="11317"/>
    <n v="1"/>
    <n v="1346"/>
    <x v="14"/>
    <s v="Mixed"/>
    <s v=""/>
    <n v="4.5000001788139343E-2"/>
    <n v="6932.7380000000003"/>
  </r>
  <r>
    <x v="3"/>
    <n v="1"/>
    <n v="802343"/>
    <n v="11953"/>
    <n v="1"/>
    <n v="1102"/>
    <x v="26"/>
    <s v="Blown FB"/>
    <s v=""/>
    <n v="4.5000001788139343E-2"/>
    <n v="2003.7159999999999"/>
  </r>
  <r>
    <x v="3"/>
    <n v="1"/>
    <n v="73765"/>
    <n v="11533"/>
    <n v="1"/>
    <n v="1225"/>
    <x v="34"/>
    <s v="Blown FB"/>
    <s v=""/>
    <n v="4.5000001788139343E-2"/>
    <n v="2003.7159999999999"/>
  </r>
  <r>
    <x v="3"/>
    <n v="1"/>
    <n v="69133"/>
    <n v="12404"/>
    <n v="1"/>
    <n v="1280"/>
    <x v="8"/>
    <s v="Blown Cellulose"/>
    <s v=""/>
    <n v="4.5000001788139343E-2"/>
    <n v="2003.7159999999999"/>
  </r>
  <r>
    <x v="3"/>
    <n v="1"/>
    <n v="678196"/>
    <n v="10887"/>
    <n v="1"/>
    <n v="400"/>
    <x v="26"/>
    <s v="Mixed"/>
    <s v=""/>
    <n v="4.5000001788139343E-2"/>
    <n v="1464.694"/>
  </r>
  <r>
    <x v="3"/>
    <n v="1"/>
    <n v="50815"/>
    <n v="11437"/>
    <n v="1"/>
    <n v="735"/>
    <x v="26"/>
    <s v="Batt Fiberglass"/>
    <s v="access through the kids bedroom closet , both floor R21 and knee wall R11 insulated , but not vault"/>
    <n v="4.5000001788139343E-2"/>
    <n v="1524.7619999999999"/>
  </r>
  <r>
    <x v="3"/>
    <n v="1"/>
    <n v="147579"/>
    <n v="20340"/>
    <n v="1"/>
    <n v="816"/>
    <x v="9"/>
    <s v="Blown FB"/>
    <s v=""/>
    <n v="4.5000001788139343E-2"/>
    <n v="1612.692"/>
  </r>
  <r>
    <x v="3"/>
    <n v="1"/>
    <n v="132966"/>
    <n v="23765"/>
    <n v="1"/>
    <n v="1980"/>
    <x v="34"/>
    <s v="Mixed"/>
    <s v=""/>
    <n v="4.5000001788139343E-2"/>
    <n v="1144.6790000000001"/>
  </r>
  <r>
    <x v="3"/>
    <n v="1"/>
    <n v="137950"/>
    <n v="23621"/>
    <n v="1"/>
    <n v="1018"/>
    <x v="26"/>
    <s v="Blown Cellulose"/>
    <s v=""/>
    <n v="4.5000001788139343E-2"/>
    <n v="2130.886"/>
  </r>
  <r>
    <x v="3"/>
    <n v="1"/>
    <n v="205256"/>
    <n v="21707"/>
    <n v="1"/>
    <n v="2181"/>
    <x v="26"/>
    <s v="Mixed"/>
    <s v=""/>
    <n v="4.5000001788139343E-2"/>
    <n v="1904.288"/>
  </r>
  <r>
    <x v="3"/>
    <n v="1"/>
    <n v="79482"/>
    <n v="13017"/>
    <n v="2"/>
    <n v="457"/>
    <x v="11"/>
    <s v="Blown Cellulose"/>
    <s v=""/>
    <n v="4.5000001788139343E-2"/>
    <n v="2003.7159999999999"/>
  </r>
  <r>
    <x v="3"/>
    <n v="1"/>
    <n v="37864"/>
    <n v="11014"/>
    <n v="1"/>
    <n v="1748"/>
    <x v="4"/>
    <s v="Blown FB"/>
    <s v=""/>
    <n v="4.5000001788139343E-2"/>
    <n v="1188.027"/>
  </r>
  <r>
    <x v="3"/>
    <n v="1"/>
    <n v="690284"/>
    <n v="20250"/>
    <n v="1"/>
    <n v="1117"/>
    <x v="37"/>
    <s v="Blown FB"/>
    <s v=""/>
    <n v="4.5000001788139343E-2"/>
    <n v="12271.31"/>
  </r>
  <r>
    <x v="3"/>
    <n v="1"/>
    <n v="86043"/>
    <n v="13328"/>
    <n v="1"/>
    <n v="1050"/>
    <x v="40"/>
    <s v="Mixed"/>
    <s v=""/>
    <n v="4.5000001788139343E-2"/>
    <n v="2003.7159999999999"/>
  </r>
  <r>
    <x v="3"/>
    <n v="1"/>
    <n v="672193"/>
    <n v="10313"/>
    <n v="1"/>
    <n v="290"/>
    <x v="37"/>
    <s v="Blown FB"/>
    <s v=""/>
    <n v="4.5000001788139343E-2"/>
    <n v="1188.027"/>
  </r>
  <r>
    <x v="3"/>
    <n v="1"/>
    <n v="121054"/>
    <n v="10087"/>
    <n v="1"/>
    <n v="750"/>
    <x v="12"/>
    <s v="Batt Fiberglass"/>
    <s v=""/>
    <n v="4.5000001788139343E-2"/>
    <n v="1464.694"/>
  </r>
  <r>
    <x v="3"/>
    <n v="1"/>
    <n v="148669"/>
    <n v="23556"/>
    <n v="1"/>
    <n v="1377"/>
    <x v="9"/>
    <s v="Mixed"/>
    <s v=""/>
    <n v="4.5000001788139343E-2"/>
    <n v="8264.9449999999997"/>
  </r>
  <r>
    <x v="3"/>
    <n v="1"/>
    <n v="182585"/>
    <n v="23029"/>
    <n v="1"/>
    <n v="1925"/>
    <x v="14"/>
    <s v="Batt Fiberglass"/>
    <s v=""/>
    <n v="4.5000001788139343E-2"/>
    <n v="1612.692"/>
  </r>
  <r>
    <x v="3"/>
    <n v="1"/>
    <n v="162824"/>
    <n v="21460"/>
    <n v="1"/>
    <n v="1016"/>
    <x v="9"/>
    <s v="Blown FB"/>
    <s v=""/>
    <n v="4.5000001788139343E-2"/>
    <n v="3785.7640000000001"/>
  </r>
  <r>
    <x v="3"/>
    <n v="1"/>
    <n v="84208"/>
    <n v="20878"/>
    <n v="1"/>
    <n v="1632"/>
    <x v="13"/>
    <s v="Blown FB"/>
    <s v=""/>
    <n v="4.5000001788139343E-2"/>
    <n v="1904.288"/>
  </r>
  <r>
    <x v="3"/>
    <n v="1"/>
    <n v="199078"/>
    <n v="21914"/>
    <n v="1"/>
    <n v="4190"/>
    <x v="9"/>
    <s v="Blown Cellulose"/>
    <s v=""/>
    <n v="4.5000001788139343E-2"/>
    <n v="1612.692"/>
  </r>
  <r>
    <x v="3"/>
    <n v="1"/>
    <n v="78817"/>
    <n v="20051"/>
    <n v="1"/>
    <n v="1392"/>
    <x v="37"/>
    <s v="Blown FB"/>
    <s v=""/>
    <n v="4.5000001788139343E-2"/>
    <n v="1144.6790000000001"/>
  </r>
  <r>
    <x v="3"/>
    <n v="1"/>
    <n v="181327"/>
    <n v="10965"/>
    <n v="1"/>
    <n v="920"/>
    <x v="11"/>
    <s v="Blown Cellulose"/>
    <s v=""/>
    <n v="4.5000001788139343E-2"/>
    <n v="4956.4930000000004"/>
  </r>
  <r>
    <x v="3"/>
    <n v="1"/>
    <n v="46397"/>
    <n v="20111"/>
    <n v="1"/>
    <n v="770"/>
    <x v="11"/>
    <s v="Batt Fiberglass"/>
    <s v=""/>
    <n v="4.5000001788139343E-2"/>
    <n v="2079.9929999999999"/>
  </r>
  <r>
    <x v="3"/>
    <n v="1"/>
    <n v="232058"/>
    <n v="12738"/>
    <n v="1"/>
    <n v="1345"/>
    <x v="11"/>
    <s v="Blown FB"/>
    <s v=""/>
    <n v="4.5000001788139343E-2"/>
    <n v="1464.694"/>
  </r>
  <r>
    <x v="3"/>
    <n v="1"/>
    <n v="224072"/>
    <n v="10710"/>
    <n v="1"/>
    <n v="2690"/>
    <x v="18"/>
    <s v="Mixed"/>
    <s v=""/>
    <n v="4.5000001788139343E-2"/>
    <n v="6932.7380000000003"/>
  </r>
  <r>
    <x v="3"/>
    <n v="1"/>
    <n v="199742"/>
    <n v="12213"/>
    <n v="1"/>
    <n v="738"/>
    <x v="5"/>
    <s v="Batt Fiberglass"/>
    <s v=""/>
    <n v="4.5000001788139343E-2"/>
    <n v="1464.694"/>
  </r>
  <r>
    <x v="3"/>
    <n v="1"/>
    <n v="45753"/>
    <n v="23835"/>
    <n v="1"/>
    <n v="1020"/>
    <x v="11"/>
    <s v="Batt Fiberglass"/>
    <s v=""/>
    <n v="4.5000001788139343E-2"/>
    <n v="8264.9449999999997"/>
  </r>
  <r>
    <x v="3"/>
    <n v="1"/>
    <n v="91139"/>
    <n v="13141"/>
    <n v="1"/>
    <n v="730"/>
    <x v="40"/>
    <s v="Blown FB"/>
    <s v=""/>
    <n v="4.5000001788139343E-2"/>
    <n v="4956.4930000000004"/>
  </r>
  <r>
    <x v="3"/>
    <n v="1"/>
    <n v="239393"/>
    <n v="23368"/>
    <n v="1"/>
    <n v="1766"/>
    <x v="5"/>
    <s v="Blown FB"/>
    <s v=""/>
    <n v="4.5000001788139343E-2"/>
    <n v="1612.692"/>
  </r>
  <r>
    <x v="3"/>
    <n v="1"/>
    <n v="181713"/>
    <n v="13019"/>
    <n v="1"/>
    <n v="2229"/>
    <x v="8"/>
    <s v="Blown Cellulose"/>
    <s v=""/>
    <n v="4.5000001788139343E-2"/>
    <n v="6932.7380000000003"/>
  </r>
  <r>
    <x v="3"/>
    <n v="1"/>
    <n v="104497"/>
    <n v="21469"/>
    <n v="1"/>
    <n v="1187"/>
    <x v="13"/>
    <s v="Blown Cellulose"/>
    <s v=""/>
    <n v="4.5000001788139343E-2"/>
    <n v="1904.288"/>
  </r>
  <r>
    <x v="3"/>
    <n v="1"/>
    <n v="140579"/>
    <n v="21951"/>
    <n v="1"/>
    <n v="1370"/>
    <x v="9"/>
    <s v="Batt Fiberglass"/>
    <s v=""/>
    <n v="4.5000001788139343E-2"/>
    <n v="1192.4649999999999"/>
  </r>
  <r>
    <x v="3"/>
    <n v="1"/>
    <n v="683738"/>
    <n v="20230"/>
    <n v="1"/>
    <n v="1239"/>
    <x v="40"/>
    <s v="Blown Cellulose"/>
    <s v=""/>
    <n v="4.5000001788139343E-2"/>
    <n v="1144.6790000000001"/>
  </r>
  <r>
    <x v="3"/>
    <n v="1"/>
    <n v="803333"/>
    <n v="22187"/>
    <n v="1"/>
    <n v="1574"/>
    <x v="26"/>
    <s v="Batt Fiberglass"/>
    <s v=""/>
    <n v="4.5000001788139343E-2"/>
    <n v="1612.692"/>
  </r>
  <r>
    <x v="3"/>
    <n v="1"/>
    <n v="119026"/>
    <n v="24713"/>
    <n v="1"/>
    <n v="1624"/>
    <x v="8"/>
    <s v="Blown Cellulose"/>
    <s v=""/>
    <n v="4.5000001788139343E-2"/>
    <n v="1925.059"/>
  </r>
  <r>
    <x v="3"/>
    <n v="1"/>
    <n v="33212"/>
    <n v="13451"/>
    <n v="1"/>
    <n v="1100"/>
    <x v="5"/>
    <s v="Blown Cellulose"/>
    <s v=""/>
    <n v="4.5000001788139343E-2"/>
    <n v="1150.8789999999999"/>
  </r>
  <r>
    <x v="3"/>
    <n v="1"/>
    <n v="35973"/>
    <n v="12307"/>
    <n v="1"/>
    <n v="1488"/>
    <x v="38"/>
    <s v="Blown Rock Wool"/>
    <s v="garage ceiling uninsulated"/>
    <n v="4.5000001788139343E-2"/>
    <n v="1524.7619999999999"/>
  </r>
  <r>
    <x v="3"/>
    <n v="1"/>
    <n v="73980"/>
    <n v="12956"/>
    <n v="1"/>
    <n v="2788"/>
    <x v="9"/>
    <s v="Blown Cellulose"/>
    <s v=""/>
    <n v="4.5000001788139343E-2"/>
    <n v="2003.7159999999999"/>
  </r>
  <r>
    <x v="3"/>
    <n v="1"/>
    <n v="231854"/>
    <n v="23446"/>
    <n v="1"/>
    <n v="1200"/>
    <x v="10"/>
    <s v="Blown FB"/>
    <s v=""/>
    <n v="4.5000001788139343E-2"/>
    <n v="2079.9929999999999"/>
  </r>
  <r>
    <x v="3"/>
    <n v="1"/>
    <n v="34041"/>
    <n v="11645"/>
    <n v="1"/>
    <n v="1500"/>
    <x v="31"/>
    <s v="Blown Cellulose"/>
    <s v=""/>
    <n v="4.5000001788139343E-2"/>
    <n v="1524.7619999999999"/>
  </r>
  <r>
    <x v="3"/>
    <n v="1"/>
    <n v="96234"/>
    <n v="10174"/>
    <n v="1"/>
    <n v="1840"/>
    <x v="40"/>
    <s v="Blown Rock Wool"/>
    <s v=""/>
    <n v="4.5000001788139343E-2"/>
    <n v="4956.4930000000004"/>
  </r>
  <r>
    <x v="3"/>
    <n v="1"/>
    <n v="95097"/>
    <n v="21233"/>
    <n v="1"/>
    <n v="884"/>
    <x v="25"/>
    <s v="Blown FB"/>
    <s v=""/>
    <n v="4.5000001788139343E-2"/>
    <n v="2130.886"/>
  </r>
  <r>
    <x v="3"/>
    <n v="1"/>
    <n v="260629"/>
    <n v="23857"/>
    <n v="2"/>
    <n v="1358"/>
    <x v="1"/>
    <s v="Blown FB"/>
    <s v=""/>
    <n v="4.5000001788139343E-2"/>
    <n v="1144.6790000000001"/>
  </r>
  <r>
    <x v="3"/>
    <n v="1"/>
    <n v="215814"/>
    <n v="24807"/>
    <n v="1"/>
    <n v="1632"/>
    <x v="37"/>
    <s v="Batt Fiberglass"/>
    <s v=""/>
    <n v="4.5000001788139343E-2"/>
    <n v="2079.9929999999999"/>
  </r>
  <r>
    <x v="3"/>
    <n v="1"/>
    <n v="200182"/>
    <n v="21390"/>
    <n v="1"/>
    <n v="1980"/>
    <x v="37"/>
    <s v="Mixed"/>
    <s v=""/>
    <n v="4.5000001788139343E-2"/>
    <n v="2130.886"/>
  </r>
  <r>
    <x v="3"/>
    <n v="1"/>
    <n v="70412"/>
    <n v="20360"/>
    <n v="1"/>
    <n v="1008"/>
    <x v="13"/>
    <s v="Blown Cellulose"/>
    <s v=""/>
    <n v="4.5000001788139343E-2"/>
    <n v="1904.288"/>
  </r>
  <r>
    <x v="3"/>
    <n v="1"/>
    <n v="189921"/>
    <n v="21981"/>
    <n v="1"/>
    <n v="990"/>
    <x v="37"/>
    <s v="Batt Fiberglass"/>
    <s v=""/>
    <n v="4.5000001788139343E-2"/>
    <n v="2079.9929999999999"/>
  </r>
  <r>
    <x v="3"/>
    <n v="1"/>
    <n v="29934"/>
    <n v="14457"/>
    <n v="1"/>
    <n v="1600"/>
    <x v="5"/>
    <s v="Batt Fiberglass"/>
    <s v=""/>
    <n v="4.5000001788139343E-2"/>
    <n v="1150.8789999999999"/>
  </r>
  <r>
    <x v="3"/>
    <n v="1"/>
    <n v="78305"/>
    <n v="23408"/>
    <n v="1"/>
    <n v="1062"/>
    <x v="1"/>
    <s v="Blown FB"/>
    <s v=""/>
    <n v="4.5000001788139343E-2"/>
    <n v="3785.7640000000001"/>
  </r>
  <r>
    <x v="3"/>
    <n v="1"/>
    <n v="212964"/>
    <n v="11544"/>
    <n v="1"/>
    <n v="960"/>
    <x v="14"/>
    <s v="Blown FB"/>
    <s v=""/>
    <n v="4.5000001788139343E-2"/>
    <n v="4956.4930000000004"/>
  </r>
  <r>
    <x v="3"/>
    <n v="1"/>
    <n v="223253"/>
    <n v="10696"/>
    <n v="1"/>
    <n v="1310"/>
    <x v="5"/>
    <s v="Mixed"/>
    <s v=""/>
    <n v="4.5000001788139343E-2"/>
    <n v="1464.694"/>
  </r>
  <r>
    <x v="3"/>
    <n v="1"/>
    <n v="223977"/>
    <n v="24614"/>
    <n v="1"/>
    <n v="1968"/>
    <x v="0"/>
    <s v="Mixed"/>
    <s v=""/>
    <n v="4.5000001788139343E-2"/>
    <n v="2079.9929999999999"/>
  </r>
  <r>
    <x v="3"/>
    <n v="1"/>
    <n v="137646"/>
    <n v="12773"/>
    <n v="1"/>
    <n v="1163"/>
    <x v="14"/>
    <s v="Blown Cellulose"/>
    <s v=""/>
    <n v="4.5000001788139343E-2"/>
    <n v="4956.4930000000004"/>
  </r>
  <r>
    <x v="3"/>
    <n v="1"/>
    <n v="676222"/>
    <n v="10055"/>
    <n v="1"/>
    <n v="1185"/>
    <x v="18"/>
    <s v="Batt Fiberglass"/>
    <s v=""/>
    <n v="4.5000001788139343E-2"/>
    <n v="4956.4930000000004"/>
  </r>
  <r>
    <x v="3"/>
    <n v="1"/>
    <n v="70282"/>
    <n v="24445"/>
    <n v="1"/>
    <n v="1080"/>
    <x v="13"/>
    <s v="Blown Cellulose"/>
    <s v=""/>
    <n v="4.5000001788139343E-2"/>
    <n v="1904.288"/>
  </r>
  <r>
    <x v="4"/>
    <n v="0.75"/>
    <n v="684110"/>
    <n v="20553"/>
    <n v="1"/>
    <n v="1582"/>
    <x v="40"/>
    <s v="Blown Cellulose"/>
    <s v=""/>
    <n v="0.14499999582767487"/>
    <n v="3785.7640000000001"/>
  </r>
  <r>
    <x v="4"/>
    <n v="0.75"/>
    <n v="36873"/>
    <n v="12376"/>
    <n v="1"/>
    <n v="1000"/>
    <x v="8"/>
    <s v="Mixed"/>
    <s v=""/>
    <n v="0.14499999582767487"/>
    <n v="1188.027"/>
  </r>
  <r>
    <x v="4"/>
    <n v="0.75"/>
    <n v="187937"/>
    <n v="23119"/>
    <n v="1"/>
    <n v="696"/>
    <x v="14"/>
    <s v="Batt Fiberglass"/>
    <s v=""/>
    <n v="0.14499999582767487"/>
    <n v="1612.692"/>
  </r>
  <r>
    <x v="4"/>
    <n v="0.75"/>
    <n v="104021"/>
    <n v="11512"/>
    <n v="1"/>
    <n v="147"/>
    <x v="14"/>
    <s v="Blown FB"/>
    <s v=""/>
    <n v="0.14499999582767487"/>
    <n v="2003.7159999999999"/>
  </r>
  <r>
    <x v="4"/>
    <n v="0.75"/>
    <n v="187583"/>
    <n v="24467"/>
    <n v="1"/>
    <n v="1600"/>
    <x v="14"/>
    <s v="Blown FB"/>
    <s v=""/>
    <n v="0.14499999582767487"/>
    <n v="1612.692"/>
  </r>
  <r>
    <x v="4"/>
    <n v="0.75"/>
    <n v="218688"/>
    <n v="23932"/>
    <n v="1"/>
    <n v="1133"/>
    <x v="1"/>
    <s v="Blown FB"/>
    <s v=""/>
    <n v="0.14499999582767487"/>
    <n v="3785.7640000000001"/>
  </r>
  <r>
    <x v="4"/>
    <n v="0.75"/>
    <n v="172623"/>
    <n v="10348"/>
    <n v="1"/>
    <n v="1056"/>
    <x v="14"/>
    <s v="Blown FB"/>
    <s v=""/>
    <n v="0.14499999582767487"/>
    <n v="6932.7380000000003"/>
  </r>
  <r>
    <x v="4"/>
    <n v="0.75"/>
    <n v="74988"/>
    <n v="20930"/>
    <n v="1"/>
    <n v="2919"/>
    <x v="13"/>
    <s v="Mixed"/>
    <s v=""/>
    <n v="0.14499999582767487"/>
    <n v="1904.288"/>
  </r>
  <r>
    <x v="4"/>
    <n v="0.75"/>
    <n v="722484"/>
    <n v="22177"/>
    <n v="1"/>
    <n v="609"/>
    <x v="14"/>
    <s v="Batt Fiberglass"/>
    <s v="based on participant response"/>
    <n v="0.14499999582767487"/>
    <n v="1612.692"/>
  </r>
  <r>
    <x v="4"/>
    <n v="0.75"/>
    <n v="165079"/>
    <n v="20905"/>
    <n v="1"/>
    <n v="860"/>
    <x v="14"/>
    <s v="Blown FB"/>
    <s v=""/>
    <n v="0.14499999582767487"/>
    <n v="8264.9449999999997"/>
  </r>
  <r>
    <x v="4"/>
    <n v="0.75"/>
    <n v="170631"/>
    <n v="24408"/>
    <n v="1"/>
    <n v="1094"/>
    <x v="26"/>
    <s v="Blown FB"/>
    <s v=""/>
    <n v="0.14499999582767487"/>
    <n v="1612.692"/>
  </r>
  <r>
    <x v="4"/>
    <n v="0.9"/>
    <n v="221475"/>
    <n v="13956"/>
    <n v="1"/>
    <n v="1219"/>
    <x v="14"/>
    <s v="Batt Fiberglass"/>
    <s v=""/>
    <n v="7.9999998211860657E-2"/>
    <n v="1524.7619999999999"/>
  </r>
  <r>
    <x v="4"/>
    <n v="0.9"/>
    <n v="158880"/>
    <n v="23358"/>
    <n v="1"/>
    <n v="1200"/>
    <x v="14"/>
    <s v="Blown Rock Wool"/>
    <s v=""/>
    <n v="7.9999998211860657E-2"/>
    <n v="2130.886"/>
  </r>
  <r>
    <x v="4"/>
    <n v="0.9"/>
    <n v="238157"/>
    <n v="12478"/>
    <n v="1"/>
    <n v="1558"/>
    <x v="5"/>
    <s v="Blown FB"/>
    <s v=""/>
    <n v="7.9999998211860657E-2"/>
    <n v="1150.8789999999999"/>
  </r>
  <r>
    <x v="4"/>
    <n v="0.9"/>
    <n v="81264"/>
    <n v="20777"/>
    <n v="1"/>
    <n v="1300"/>
    <x v="4"/>
    <s v="Mixed"/>
    <s v=""/>
    <n v="7.9999998211860657E-2"/>
    <n v="2079.9929999999999"/>
  </r>
  <r>
    <x v="4"/>
    <n v="0.9"/>
    <n v="680487"/>
    <n v="13248"/>
    <n v="1"/>
    <n v="1118"/>
    <x v="1"/>
    <s v="Blown FB"/>
    <s v=""/>
    <n v="7.9999998211860657E-2"/>
    <n v="1464.694"/>
  </r>
  <r>
    <x v="4"/>
    <n v="0.9"/>
    <n v="125073"/>
    <n v="20574"/>
    <n v="1"/>
    <n v="1325"/>
    <x v="4"/>
    <s v="Blown FB"/>
    <s v=""/>
    <n v="7.9999998211860657E-2"/>
    <n v="2079.9929999999999"/>
  </r>
  <r>
    <x v="4"/>
    <n v="0.9"/>
    <n v="229086"/>
    <n v="14181"/>
    <n v="4"/>
    <n v="102"/>
    <x v="14"/>
    <s v="Batt Fiberglass"/>
    <s v=""/>
    <n v="7.9999998211860657E-2"/>
    <n v="1524.7619999999999"/>
  </r>
  <r>
    <x v="4"/>
    <n v="0.9"/>
    <n v="116874"/>
    <n v="12486"/>
    <n v="1"/>
    <n v="1276"/>
    <x v="14"/>
    <s v="Blown FB"/>
    <s v=""/>
    <n v="7.9999998211860657E-2"/>
    <n v="4956.4930000000004"/>
  </r>
  <r>
    <x v="4"/>
    <n v="0.9"/>
    <n v="116773"/>
    <n v="11871"/>
    <n v="1"/>
    <n v="455"/>
    <x v="14"/>
    <s v="Blown FB"/>
    <s v=""/>
    <n v="7.9999998211860657E-2"/>
    <n v="4956.4930000000004"/>
  </r>
  <r>
    <x v="4"/>
    <n v="0.9"/>
    <n v="680338"/>
    <n v="24495"/>
    <n v="1"/>
    <n v="2395"/>
    <x v="14"/>
    <s v="Blown Cellulose"/>
    <s v="per participant."/>
    <n v="7.9999998211860657E-2"/>
    <n v="4360.1880000000001"/>
  </r>
  <r>
    <x v="4"/>
    <n v="0.9"/>
    <n v="218205"/>
    <n v="23910"/>
    <n v="1"/>
    <n v="1940"/>
    <x v="1"/>
    <s v="Blown FB"/>
    <s v=""/>
    <n v="7.9999998211860657E-2"/>
    <n v="3785.7640000000001"/>
  </r>
  <r>
    <x v="4"/>
    <n v="0.9"/>
    <n v="161105"/>
    <n v="23870"/>
    <n v="1"/>
    <n v="427"/>
    <x v="14"/>
    <s v="Mixed"/>
    <s v=""/>
    <n v="7.9999998211860657E-2"/>
    <n v="2130.886"/>
  </r>
  <r>
    <x v="4"/>
    <n v="0.9"/>
    <n v="166789"/>
    <n v="21353"/>
    <n v="1"/>
    <n v="1288"/>
    <x v="4"/>
    <s v="Blown FB"/>
    <s v=""/>
    <n v="7.9999998211860657E-2"/>
    <n v="1192.4649999999999"/>
  </r>
  <r>
    <x v="4"/>
    <n v="0.9"/>
    <n v="194407"/>
    <n v="22295"/>
    <n v="1"/>
    <n v="993"/>
    <x v="14"/>
    <s v="Blown FB"/>
    <s v=""/>
    <n v="7.9999998211860657E-2"/>
    <n v="1925.059"/>
  </r>
  <r>
    <x v="4"/>
    <n v="0.9"/>
    <n v="139000"/>
    <n v="21006"/>
    <n v="1"/>
    <n v="1272"/>
    <x v="14"/>
    <s v="Blown Cellulose"/>
    <s v=""/>
    <n v="7.9999998211860657E-2"/>
    <n v="1192.4649999999999"/>
  </r>
  <r>
    <x v="4"/>
    <n v="0.9"/>
    <n v="111591"/>
    <n v="21828"/>
    <n v="1"/>
    <n v="1410"/>
    <x v="15"/>
    <s v=""/>
    <s v=""/>
    <n v="7.9999998211860657E-2"/>
    <n v="1904.288"/>
  </r>
  <r>
    <x v="4"/>
    <n v="0.9"/>
    <n v="71932"/>
    <n v="20547"/>
    <n v="1"/>
    <n v="1968"/>
    <x v="4"/>
    <s v="Mixed"/>
    <s v=""/>
    <n v="7.9999998211860657E-2"/>
    <n v="2079.9929999999999"/>
  </r>
  <r>
    <x v="4"/>
    <n v="0.9"/>
    <n v="149470"/>
    <n v="21741"/>
    <n v="1"/>
    <n v="1764"/>
    <x v="14"/>
    <s v="Blown FB"/>
    <s v=""/>
    <n v="7.9999998211860657E-2"/>
    <n v="4360.1880000000001"/>
  </r>
  <r>
    <x v="4"/>
    <n v="0.9"/>
    <n v="57950"/>
    <n v="23241"/>
    <n v="1"/>
    <n v="1800"/>
    <x v="32"/>
    <s v="Blown Cellulose"/>
    <s v=""/>
    <n v="7.9999998211860657E-2"/>
    <n v="2079.9929999999999"/>
  </r>
  <r>
    <x v="4"/>
    <n v="0.9"/>
    <n v="92520"/>
    <n v="12199"/>
    <n v="1"/>
    <n v="1172"/>
    <x v="14"/>
    <s v="Blown FB"/>
    <s v=""/>
    <n v="7.9999998211860657E-2"/>
    <n v="2003.7159999999999"/>
  </r>
  <r>
    <x v="4"/>
    <n v="0.9"/>
    <n v="29773"/>
    <n v="10191"/>
    <n v="2"/>
    <n v="500"/>
    <x v="2"/>
    <s v="Mixed"/>
    <s v=""/>
    <n v="7.9999998211860657E-2"/>
    <n v="1524.7619999999999"/>
  </r>
  <r>
    <x v="4"/>
    <n v="0.9"/>
    <n v="103119"/>
    <n v="22683"/>
    <n v="1"/>
    <n v="858"/>
    <x v="14"/>
    <s v="Batt Fiberglass"/>
    <s v=""/>
    <n v="7.9999998211860657E-2"/>
    <n v="2079.9929999999999"/>
  </r>
  <r>
    <x v="4"/>
    <n v="0.9"/>
    <n v="147242"/>
    <n v="20792"/>
    <n v="1"/>
    <n v="1222"/>
    <x v="14"/>
    <s v="Blown FB"/>
    <s v=""/>
    <n v="7.9999998211860657E-2"/>
    <n v="1192.4649999999999"/>
  </r>
  <r>
    <x v="4"/>
    <n v="0.9"/>
    <n v="235845"/>
    <n v="21672"/>
    <n v="1"/>
    <n v="552"/>
    <x v="4"/>
    <s v="Batt Fiberglass"/>
    <s v=""/>
    <n v="7.9999998211860657E-2"/>
    <n v="1144.6790000000001"/>
  </r>
  <r>
    <x v="4"/>
    <n v="0.9"/>
    <n v="166930"/>
    <n v="21464"/>
    <n v="1"/>
    <n v="1960"/>
    <x v="1"/>
    <s v="Mixed"/>
    <s v=""/>
    <n v="7.9999998211860657E-2"/>
    <n v="1192.4649999999999"/>
  </r>
  <r>
    <x v="4"/>
    <n v="0.9"/>
    <n v="94589"/>
    <n v="20288"/>
    <n v="2"/>
    <n v="1296"/>
    <x v="33"/>
    <s v="Batt Fiberglass"/>
    <s v=""/>
    <n v="7.9999998211860657E-2"/>
    <n v="1144.6790000000001"/>
  </r>
  <r>
    <x v="4"/>
    <n v="0.9"/>
    <n v="186470"/>
    <n v="12643"/>
    <n v="1"/>
    <n v="1401"/>
    <x v="13"/>
    <s v="Blown FB"/>
    <s v=""/>
    <n v="7.9999998211860657E-2"/>
    <n v="6932.7380000000003"/>
  </r>
  <r>
    <x v="4"/>
    <n v="0.9"/>
    <n v="181460"/>
    <n v="10306"/>
    <n v="1"/>
    <n v="1240"/>
    <x v="11"/>
    <s v="Blown Cellulose"/>
    <s v=""/>
    <n v="7.9999998211860657E-2"/>
    <n v="4956.4930000000004"/>
  </r>
  <r>
    <x v="4"/>
    <n v="0.9"/>
    <n v="101673"/>
    <n v="22688"/>
    <n v="1"/>
    <n v="1896"/>
    <x v="14"/>
    <s v="Blown FB"/>
    <s v=""/>
    <n v="7.9999998211860657E-2"/>
    <n v="1925.059"/>
  </r>
  <r>
    <x v="4"/>
    <n v="0.9"/>
    <n v="66996"/>
    <n v="11910"/>
    <n v="1"/>
    <n v="1624"/>
    <x v="12"/>
    <s v="Mixed"/>
    <s v=""/>
    <n v="7.9999998211860657E-2"/>
    <n v="2003.7159999999999"/>
  </r>
  <r>
    <x v="4"/>
    <n v="0.9"/>
    <n v="117598"/>
    <n v="10946"/>
    <n v="1"/>
    <n v="2953"/>
    <x v="14"/>
    <s v="Blown FB"/>
    <s v=""/>
    <n v="7.9999998211860657E-2"/>
    <n v="4956.4930000000004"/>
  </r>
  <r>
    <x v="4"/>
    <n v="0.9"/>
    <n v="724997"/>
    <n v="13191"/>
    <n v="1"/>
    <n v="891"/>
    <x v="11"/>
    <s v="Blown FB"/>
    <s v=""/>
    <n v="7.9999998211860657E-2"/>
    <n v="1524.7619999999999"/>
  </r>
  <r>
    <x v="4"/>
    <n v="0.9"/>
    <n v="121288"/>
    <n v="24790"/>
    <n v="1"/>
    <n v="2120"/>
    <x v="14"/>
    <s v="Mixed"/>
    <s v=""/>
    <n v="7.9999998211860657E-2"/>
    <n v="2079.9929999999999"/>
  </r>
  <r>
    <x v="4"/>
    <n v="0.9"/>
    <n v="63489"/>
    <n v="10192"/>
    <n v="1"/>
    <n v="750"/>
    <x v="4"/>
    <s v="Batt Fiberglass"/>
    <s v=""/>
    <n v="7.9999998211860657E-2"/>
    <n v="1524.7619999999999"/>
  </r>
  <r>
    <x v="4"/>
    <n v="0.9"/>
    <n v="726057"/>
    <n v="23960"/>
    <n v="1"/>
    <n v="1280"/>
    <x v="14"/>
    <s v="Batt Fiberglass"/>
    <s v=""/>
    <n v="7.9999998211860657E-2"/>
    <n v="1192.4649999999999"/>
  </r>
  <r>
    <x v="4"/>
    <n v="0.9"/>
    <n v="205433"/>
    <n v="24417"/>
    <n v="1"/>
    <n v="1060"/>
    <x v="14"/>
    <s v="Batt Fiberglass"/>
    <s v=""/>
    <n v="7.9999998211860657E-2"/>
    <n v="1904.288"/>
  </r>
  <r>
    <x v="4"/>
    <n v="0.9"/>
    <n v="802435"/>
    <n v="22124"/>
    <n v="1"/>
    <n v="1454"/>
    <x v="14"/>
    <s v="Batt Fiberglass"/>
    <s v=""/>
    <n v="7.9999998211860657E-2"/>
    <n v="4360.1880000000001"/>
  </r>
  <r>
    <x v="4"/>
    <n v="0.9"/>
    <n v="679558"/>
    <n v="10388"/>
    <n v="1"/>
    <n v="502"/>
    <x v="14"/>
    <s v="Blown FB"/>
    <s v=""/>
    <n v="7.9999998211860657E-2"/>
    <n v="1464.694"/>
  </r>
  <r>
    <x v="4"/>
    <n v="0.9"/>
    <n v="39983"/>
    <n v="13293"/>
    <n v="1"/>
    <n v="1582"/>
    <x v="8"/>
    <s v="Blown Cellulose"/>
    <s v=""/>
    <n v="7.9999998211860657E-2"/>
    <n v="1188.027"/>
  </r>
  <r>
    <x v="4"/>
    <n v="0.9"/>
    <n v="164516"/>
    <n v="23972"/>
    <n v="1"/>
    <n v="748"/>
    <x v="14"/>
    <s v="Other"/>
    <s v=""/>
    <n v="7.9999998211860657E-2"/>
    <n v="2130.886"/>
  </r>
  <r>
    <x v="4"/>
    <n v="0.9"/>
    <n v="122055"/>
    <n v="12315"/>
    <n v="1"/>
    <n v="930"/>
    <x v="14"/>
    <s v="Blown FB"/>
    <s v=""/>
    <n v="7.9999998211860657E-2"/>
    <n v="2003.7159999999999"/>
  </r>
  <r>
    <x v="4"/>
    <n v="0.9"/>
    <n v="197033"/>
    <n v="13863"/>
    <n v="1"/>
    <n v="1010"/>
    <x v="5"/>
    <s v="Blown Cellulose"/>
    <s v=""/>
    <n v="7.9999998211860657E-2"/>
    <n v="1464.694"/>
  </r>
  <r>
    <x v="4"/>
    <n v="0.9"/>
    <n v="122978"/>
    <n v="24027"/>
    <n v="1"/>
    <n v="1056"/>
    <x v="9"/>
    <s v="Batt Fiberglass"/>
    <s v=""/>
    <n v="7.9999998211860657E-2"/>
    <n v="1925.059"/>
  </r>
  <r>
    <x v="4"/>
    <n v="0.9"/>
    <n v="136006"/>
    <n v="10309"/>
    <n v="1"/>
    <n v="1013"/>
    <x v="14"/>
    <s v="Blown FB"/>
    <s v=""/>
    <n v="7.9999998211860657E-2"/>
    <n v="6932.7380000000003"/>
  </r>
  <r>
    <x v="4"/>
    <n v="0.9"/>
    <n v="823622"/>
    <n v="12060"/>
    <n v="1"/>
    <n v="1594"/>
    <x v="14"/>
    <s v="Mixed"/>
    <s v="blown Fiberglass/rockwool"/>
    <n v="7.9999998211860657E-2"/>
    <n v="1464.694"/>
  </r>
  <r>
    <x v="4"/>
    <n v="0.9"/>
    <n v="105377"/>
    <n v="11347"/>
    <n v="1"/>
    <n v="1380"/>
    <x v="14"/>
    <s v="Mixed"/>
    <s v=""/>
    <n v="7.9999998211860657E-2"/>
    <n v="4956.4930000000004"/>
  </r>
  <r>
    <x v="4"/>
    <n v="0.9"/>
    <n v="79122"/>
    <n v="22439"/>
    <n v="1"/>
    <n v="1485"/>
    <x v="11"/>
    <s v="Blown Cellulose"/>
    <s v=""/>
    <n v="7.9999998211860657E-2"/>
    <n v="2079.9929999999999"/>
  </r>
  <r>
    <x v="4"/>
    <n v="0.9"/>
    <n v="784537"/>
    <n v="22273"/>
    <n v="1"/>
    <n v="1039"/>
    <x v="14"/>
    <s v="Blown Rock Wool"/>
    <s v=""/>
    <n v="7.9999998211860657E-2"/>
    <n v="1904.288"/>
  </r>
  <r>
    <x v="4"/>
    <n v="0.9"/>
    <n v="68097"/>
    <n v="22369"/>
    <n v="1"/>
    <n v="1986"/>
    <x v="14"/>
    <s v="Mixed"/>
    <s v=""/>
    <n v="7.9999998211860657E-2"/>
    <n v="2130.886"/>
  </r>
  <r>
    <x v="4"/>
    <n v="0.9"/>
    <n v="220489"/>
    <n v="10466"/>
    <n v="1"/>
    <n v="1066"/>
    <x v="11"/>
    <s v="Mixed"/>
    <s v=""/>
    <n v="7.9999998211860657E-2"/>
    <n v="1464.694"/>
  </r>
  <r>
    <x v="4"/>
    <n v="0.9"/>
    <n v="112926"/>
    <n v="12489"/>
    <n v="1"/>
    <n v="1200"/>
    <x v="11"/>
    <s v="Batt Fiberglass"/>
    <s v=""/>
    <n v="7.9999998211860657E-2"/>
    <n v="4956.4930000000004"/>
  </r>
  <r>
    <x v="4"/>
    <n v="0.9"/>
    <n v="823799"/>
    <n v="12661"/>
    <n v="1"/>
    <n v="1177"/>
    <x v="14"/>
    <s v="Blown FB"/>
    <s v=""/>
    <n v="7.9999998211860657E-2"/>
    <n v="2003.7159999999999"/>
  </r>
  <r>
    <x v="4"/>
    <n v="0.9"/>
    <n v="63129"/>
    <n v="10005"/>
    <n v="1"/>
    <n v="1254"/>
    <x v="14"/>
    <s v="Blown FB"/>
    <s v=""/>
    <n v="7.9999998211860657E-2"/>
    <n v="1188.027"/>
  </r>
  <r>
    <x v="4"/>
    <n v="0.9"/>
    <n v="100323"/>
    <n v="13453"/>
    <n v="1"/>
    <n v="1070"/>
    <x v="11"/>
    <s v="Blown FB"/>
    <s v=""/>
    <n v="7.9999998211860657E-2"/>
    <n v="4956.4930000000004"/>
  </r>
  <r>
    <x v="4"/>
    <n v="0.9"/>
    <n v="194239"/>
    <n v="20081"/>
    <n v="1"/>
    <n v="1600"/>
    <x v="14"/>
    <s v="Blown FB"/>
    <s v=""/>
    <n v="7.9999998211860657E-2"/>
    <n v="2130.886"/>
  </r>
  <r>
    <x v="4"/>
    <n v="0.9"/>
    <n v="120202"/>
    <n v="22833"/>
    <n v="1"/>
    <n v="1290"/>
    <x v="1"/>
    <s v="Blown Cellulose"/>
    <s v=""/>
    <n v="7.9999998211860657E-2"/>
    <n v="3785.7640000000001"/>
  </r>
  <r>
    <x v="4"/>
    <n v="0.9"/>
    <n v="84447"/>
    <n v="10079"/>
    <n v="1"/>
    <n v="1035"/>
    <x v="32"/>
    <s v="Batt Fiberglass"/>
    <s v=""/>
    <n v="7.9999998211860657E-2"/>
    <n v="1524.7619999999999"/>
  </r>
  <r>
    <x v="4"/>
    <n v="0.9"/>
    <n v="66530"/>
    <n v="12724"/>
    <n v="1"/>
    <n v="1689"/>
    <x v="12"/>
    <s v="Blown FB"/>
    <s v=""/>
    <n v="7.9999998211860657E-2"/>
    <n v="2003.7159999999999"/>
  </r>
  <r>
    <x v="4"/>
    <n v="0.9"/>
    <n v="803222"/>
    <n v="11825"/>
    <n v="1"/>
    <n v="1080"/>
    <x v="14"/>
    <s v="Mixed"/>
    <s v=""/>
    <n v="7.9999998211860657E-2"/>
    <n v="1464.694"/>
  </r>
  <r>
    <x v="4"/>
    <n v="0.9"/>
    <n v="109834"/>
    <n v="11788"/>
    <n v="1"/>
    <n v="1200"/>
    <x v="32"/>
    <s v="Blown Cellulose"/>
    <s v=""/>
    <n v="7.9999998211860657E-2"/>
    <n v="4956.4930000000004"/>
  </r>
  <r>
    <x v="4"/>
    <n v="0.9"/>
    <n v="79615"/>
    <n v="12505"/>
    <n v="1"/>
    <n v="1377"/>
    <x v="18"/>
    <s v="Batt Fiberglass"/>
    <s v=""/>
    <n v="7.9999998211860657E-2"/>
    <n v="2003.7159999999999"/>
  </r>
  <r>
    <x v="4"/>
    <n v="0.9"/>
    <n v="802095"/>
    <n v="24119"/>
    <n v="1"/>
    <n v="1410"/>
    <x v="14"/>
    <s v="Mixed"/>
    <s v="batt fiberglass and blown fiberglass on top."/>
    <n v="7.9999998211860657E-2"/>
    <n v="2079.9929999999999"/>
  </r>
  <r>
    <x v="4"/>
    <n v="0.9"/>
    <n v="218042"/>
    <n v="14285"/>
    <n v="1"/>
    <n v="1035"/>
    <x v="14"/>
    <s v="Blown FB"/>
    <s v=""/>
    <n v="7.9999998211860657E-2"/>
    <n v="1524.7619999999999"/>
  </r>
  <r>
    <x v="4"/>
    <n v="0.9"/>
    <n v="232819"/>
    <n v="22632"/>
    <n v="1"/>
    <n v="856"/>
    <x v="15"/>
    <s v="Mixed"/>
    <s v="resident reported 1' depth of vermiculite asbestos (3% tremolite) covered with fiberglass batts (unknown R value)    I did not inspect the attic"/>
    <n v="7.9999998211860657E-2"/>
    <n v="1144.6790000000001"/>
  </r>
  <r>
    <x v="4"/>
    <n v="0.9"/>
    <n v="206489"/>
    <n v="11904"/>
    <n v="1"/>
    <n v="1230"/>
    <x v="11"/>
    <s v="Blown FB"/>
    <s v=""/>
    <n v="7.9999998211860657E-2"/>
    <n v="1464.694"/>
  </r>
  <r>
    <x v="4"/>
    <n v="0.9"/>
    <n v="54290"/>
    <n v="11499"/>
    <n v="1"/>
    <n v="600"/>
    <x v="8"/>
    <s v="Blown Cellulose"/>
    <s v=""/>
    <n v="7.9999998211860657E-2"/>
    <n v="1188.027"/>
  </r>
  <r>
    <x v="4"/>
    <n v="0.9"/>
    <n v="133488"/>
    <n v="23122"/>
    <n v="1"/>
    <n v="1400"/>
    <x v="11"/>
    <s v="Blown FB"/>
    <s v=""/>
    <n v="7.9999998211860657E-2"/>
    <n v="2079.9929999999999"/>
  </r>
  <r>
    <x v="4"/>
    <n v="0.9"/>
    <n v="124501"/>
    <n v="23734"/>
    <n v="1"/>
    <n v="1100"/>
    <x v="14"/>
    <s v="Blown FB"/>
    <s v=""/>
    <n v="7.9999998211860657E-2"/>
    <n v="2079.9929999999999"/>
  </r>
  <r>
    <x v="4"/>
    <n v="0.9"/>
    <n v="241402"/>
    <n v="10259"/>
    <n v="1"/>
    <n v="705"/>
    <x v="1"/>
    <s v="Blown Cellulose"/>
    <s v=""/>
    <n v="7.9999998211860657E-2"/>
    <n v="1524.7619999999999"/>
  </r>
  <r>
    <x v="4"/>
    <n v="0.9"/>
    <n v="783086"/>
    <n v="21684"/>
    <n v="1"/>
    <n v="2211"/>
    <x v="14"/>
    <s v="Mixed"/>
    <s v=""/>
    <n v="7.9999998211860657E-2"/>
    <n v="8264.9449999999997"/>
  </r>
  <r>
    <x v="4"/>
    <n v="0.9"/>
    <n v="119477"/>
    <n v="23936"/>
    <n v="1"/>
    <n v="1245"/>
    <x v="1"/>
    <s v="Mixed"/>
    <s v=""/>
    <n v="7.9999998211860657E-2"/>
    <n v="3785.7640000000001"/>
  </r>
  <r>
    <x v="4"/>
    <n v="1"/>
    <n v="232931"/>
    <n v="13365"/>
    <n v="1"/>
    <n v="1710"/>
    <x v="11"/>
    <s v="Blown FB"/>
    <s v=""/>
    <n v="3.5000000149011612E-2"/>
    <n v="4956.4930000000004"/>
  </r>
  <r>
    <x v="4"/>
    <n v="1"/>
    <n v="205517"/>
    <n v="23440"/>
    <n v="1"/>
    <n v="1356"/>
    <x v="14"/>
    <s v="Blown FB"/>
    <s v=""/>
    <n v="3.5000000149011612E-2"/>
    <n v="1904.288"/>
  </r>
  <r>
    <x v="4"/>
    <n v="1"/>
    <n v="137842"/>
    <n v="23824"/>
    <n v="1"/>
    <n v="1350"/>
    <x v="14"/>
    <s v="Batt Fiberglass"/>
    <s v=""/>
    <n v="3.5000000149011612E-2"/>
    <n v="1144.6790000000001"/>
  </r>
  <r>
    <x v="4"/>
    <n v="1"/>
    <n v="52012"/>
    <n v="24332"/>
    <n v="1"/>
    <n v="320"/>
    <x v="4"/>
    <s v="Batt Fiberglass"/>
    <s v=""/>
    <n v="3.5000000149011612E-2"/>
    <n v="2130.886"/>
  </r>
  <r>
    <x v="4"/>
    <n v="1"/>
    <n v="48493"/>
    <n v="11284"/>
    <n v="2"/>
    <n v="200"/>
    <x v="5"/>
    <s v="Batt Fiberglass"/>
    <s v="homeowner installed over addiiton"/>
    <n v="3.5000000149011612E-2"/>
    <n v="1524.7619999999999"/>
  </r>
  <r>
    <x v="4"/>
    <n v="1"/>
    <n v="72724"/>
    <n v="10843"/>
    <n v="1"/>
    <n v="1020"/>
    <x v="4"/>
    <s v="Batt Fiberglass"/>
    <s v=""/>
    <n v="3.5000000149011612E-2"/>
    <n v="2003.7159999999999"/>
  </r>
  <r>
    <x v="4"/>
    <n v="1"/>
    <n v="674574"/>
    <n v="14508"/>
    <n v="1"/>
    <n v="919"/>
    <x v="29"/>
    <s v="Blown FB"/>
    <s v=""/>
    <n v="3.5000000149011612E-2"/>
    <n v="4956.4930000000004"/>
  </r>
  <r>
    <x v="4"/>
    <n v="1"/>
    <n v="84317"/>
    <n v="21264"/>
    <n v="1"/>
    <n v="1304"/>
    <x v="13"/>
    <s v="Blown FB"/>
    <s v=""/>
    <n v="3.5000000149011612E-2"/>
    <n v="1904.288"/>
  </r>
  <r>
    <x v="4"/>
    <n v="1"/>
    <n v="135842"/>
    <n v="10699"/>
    <n v="1"/>
    <n v="1134"/>
    <x v="4"/>
    <s v="Blown FB"/>
    <s v=""/>
    <n v="3.5000000149011612E-2"/>
    <n v="6932.7380000000003"/>
  </r>
  <r>
    <x v="4"/>
    <n v="1"/>
    <n v="183732"/>
    <n v="24826"/>
    <n v="2"/>
    <n v="1256"/>
    <x v="14"/>
    <s v="Batt Fiberglass"/>
    <s v=""/>
    <n v="3.5000000149011612E-2"/>
    <n v="1612.692"/>
  </r>
  <r>
    <x v="4"/>
    <n v="1"/>
    <n v="659440"/>
    <n v="13903"/>
    <n v="1"/>
    <n v="2524"/>
    <x v="8"/>
    <s v="Mixed"/>
    <s v=""/>
    <n v="3.5000000149011612E-2"/>
    <n v="6932.7380000000003"/>
  </r>
  <r>
    <x v="4"/>
    <n v="1"/>
    <n v="686847"/>
    <n v="23084"/>
    <n v="1"/>
    <n v="2650"/>
    <x v="18"/>
    <s v="Blown FB"/>
    <s v=""/>
    <n v="3.5000000149011612E-2"/>
    <n v="2079.9929999999999"/>
  </r>
  <r>
    <x v="4"/>
    <n v="1"/>
    <n v="169304"/>
    <n v="22583"/>
    <n v="1"/>
    <n v="1100"/>
    <x v="14"/>
    <s v="Batt Mineral Wool"/>
    <s v=""/>
    <n v="3.5000000149011612E-2"/>
    <n v="2130.886"/>
  </r>
  <r>
    <x v="4"/>
    <n v="1"/>
    <n v="675273"/>
    <n v="24822"/>
    <n v="1"/>
    <n v="1120"/>
    <x v="14"/>
    <s v="Batt Fiberglass"/>
    <s v="8&quot; fiberglass and 1&quot; foam board"/>
    <n v="3.5000000149011612E-2"/>
    <n v="1144.6790000000001"/>
  </r>
  <r>
    <x v="4"/>
    <n v="1"/>
    <n v="197466"/>
    <n v="14277"/>
    <n v="1"/>
    <n v="774"/>
    <x v="14"/>
    <s v="Blown Rock Wool"/>
    <s v=""/>
    <n v="3.5000000149011612E-2"/>
    <n v="4956.4930000000004"/>
  </r>
  <r>
    <x v="4"/>
    <n v="1"/>
    <n v="85929"/>
    <n v="13678"/>
    <n v="1"/>
    <n v="500"/>
    <x v="38"/>
    <s v="Blown FB"/>
    <s v=""/>
    <n v="3.5000000149011612E-2"/>
    <n v="2003.7159999999999"/>
  </r>
  <r>
    <x v="4"/>
    <n v="1"/>
    <n v="69871"/>
    <n v="22966"/>
    <n v="1"/>
    <n v="1094"/>
    <x v="14"/>
    <s v="Batt Fiberglass"/>
    <s v=""/>
    <n v="3.5000000149011612E-2"/>
    <n v="2130.886"/>
  </r>
  <r>
    <x v="4"/>
    <n v="1"/>
    <n v="97430"/>
    <n v="10630"/>
    <n v="1"/>
    <n v="1242"/>
    <x v="5"/>
    <s v="Mixed"/>
    <s v=""/>
    <n v="3.5000000149011612E-2"/>
    <n v="4956.4930000000004"/>
  </r>
  <r>
    <x v="4"/>
    <n v="1"/>
    <n v="223513"/>
    <n v="12341"/>
    <n v="1"/>
    <n v="414"/>
    <x v="5"/>
    <s v="Mixed"/>
    <s v="couple inches old wood like stuff  under 10&quot; blown in fiberglass"/>
    <n v="3.5000000149011612E-2"/>
    <n v="1464.694"/>
  </r>
  <r>
    <x v="4"/>
    <n v="1"/>
    <n v="114240"/>
    <n v="22108"/>
    <n v="1"/>
    <n v="920"/>
    <x v="8"/>
    <s v="Mixed"/>
    <s v=""/>
    <n v="3.5000000149011612E-2"/>
    <n v="1612.692"/>
  </r>
  <r>
    <x v="4"/>
    <n v="1"/>
    <n v="61958"/>
    <n v="10299"/>
    <n v="1"/>
    <n v="3398"/>
    <x v="8"/>
    <s v="Other"/>
    <s v=""/>
    <n v="3.5000000149011612E-2"/>
    <n v="2003.7159999999999"/>
  </r>
  <r>
    <x v="4"/>
    <n v="1"/>
    <n v="727707"/>
    <n v="21298"/>
    <n v="1"/>
    <n v="1675"/>
    <x v="14"/>
    <s v="Blown FB"/>
    <s v=""/>
    <n v="3.5000000149011612E-2"/>
    <n v="3785.7640000000001"/>
  </r>
  <r>
    <x v="4"/>
    <n v="1"/>
    <n v="212739"/>
    <n v="11342"/>
    <n v="1"/>
    <n v="1580"/>
    <x v="32"/>
    <s v="Blown Cellulose"/>
    <s v=""/>
    <n v="3.5000000149011612E-2"/>
    <n v="4956.4930000000004"/>
  </r>
  <r>
    <x v="4"/>
    <n v="1"/>
    <n v="182372"/>
    <n v="13895"/>
    <n v="1"/>
    <n v="672"/>
    <x v="14"/>
    <s v="Blown Cellulose"/>
    <s v=""/>
    <n v="3.5000000149011612E-2"/>
    <n v="1524.7619999999999"/>
  </r>
  <r>
    <x v="4"/>
    <n v="1"/>
    <n v="65229"/>
    <n v="24816"/>
    <n v="1"/>
    <n v="1750"/>
    <x v="32"/>
    <s v="Mixed"/>
    <s v=""/>
    <n v="3.5000000149011612E-2"/>
    <n v="2079.9929999999999"/>
  </r>
  <r>
    <x v="4"/>
    <n v="1"/>
    <n v="658878"/>
    <n v="12207"/>
    <n v="1"/>
    <n v="646"/>
    <x v="11"/>
    <s v="Blown FB"/>
    <s v=""/>
    <n v="3.5000000149011612E-2"/>
    <n v="4956.4930000000004"/>
  </r>
  <r>
    <x v="4"/>
    <n v="1"/>
    <n v="230176"/>
    <n v="12203"/>
    <n v="1"/>
    <n v="816"/>
    <x v="4"/>
    <s v="Blown Cellulose"/>
    <s v="Insulation upgrades within last three years"/>
    <n v="3.5000000149011612E-2"/>
    <n v="1524.7619999999999"/>
  </r>
  <r>
    <x v="4"/>
    <n v="1"/>
    <n v="46204"/>
    <n v="12739"/>
    <n v="1"/>
    <n v="640"/>
    <x v="14"/>
    <s v="Batt Fiberglass"/>
    <s v=""/>
    <n v="3.5000000149011612E-2"/>
    <n v="1188.027"/>
  </r>
  <r>
    <x v="4"/>
    <n v="1"/>
    <n v="115525"/>
    <n v="21160"/>
    <n v="1"/>
    <n v="1330"/>
    <x v="14"/>
    <s v="Blown Rock Wool"/>
    <s v=""/>
    <n v="3.5000000149011612E-2"/>
    <n v="1925.059"/>
  </r>
  <r>
    <x v="4"/>
    <n v="1"/>
    <n v="70544"/>
    <n v="21978"/>
    <n v="1"/>
    <n v="1596"/>
    <x v="13"/>
    <s v="Blown Cellulose"/>
    <s v=""/>
    <n v="3.5000000149011612E-2"/>
    <n v="1904.288"/>
  </r>
  <r>
    <x v="4"/>
    <n v="1"/>
    <n v="680634"/>
    <n v="12507"/>
    <n v="2"/>
    <n v="256"/>
    <x v="14"/>
    <s v="Mixed"/>
    <s v=""/>
    <n v="3.5000000149011612E-2"/>
    <n v="1524.7619999999999"/>
  </r>
  <r>
    <x v="4"/>
    <n v="1"/>
    <n v="73678"/>
    <n v="23546"/>
    <n v="1"/>
    <n v="1125"/>
    <x v="14"/>
    <s v="Mixed"/>
    <s v=""/>
    <n v="3.5000000149011612E-2"/>
    <n v="2079.9929999999999"/>
  </r>
  <r>
    <x v="4"/>
    <n v="1"/>
    <n v="95608"/>
    <n v="21883"/>
    <n v="1"/>
    <n v="70"/>
    <x v="14"/>
    <s v="Blown FB"/>
    <s v=""/>
    <n v="3.5000000149011612E-2"/>
    <n v="1144.6790000000001"/>
  </r>
  <r>
    <x v="4"/>
    <n v="1"/>
    <n v="231450"/>
    <n v="21753"/>
    <n v="1"/>
    <n v="1375"/>
    <x v="11"/>
    <s v="Batt Fiberglass"/>
    <s v=""/>
    <n v="3.5000000149011612E-2"/>
    <n v="1612.692"/>
  </r>
  <r>
    <x v="4"/>
    <n v="1"/>
    <n v="671688"/>
    <n v="12226"/>
    <n v="1"/>
    <n v="1122"/>
    <x v="14"/>
    <s v="Blown FB"/>
    <s v="24 inch blown and 5in blown split evenly. they made a storage area and maybe moved sime insulation into theother area."/>
    <n v="3.5000000149011612E-2"/>
    <n v="6932.7380000000003"/>
  </r>
  <r>
    <x v="4"/>
    <n v="1"/>
    <n v="92627"/>
    <n v="12569"/>
    <n v="1"/>
    <n v="981"/>
    <x v="14"/>
    <s v="Mixed"/>
    <s v=""/>
    <n v="3.5000000149011612E-2"/>
    <n v="2003.7159999999999"/>
  </r>
  <r>
    <x v="4"/>
    <n v="1"/>
    <n v="95719"/>
    <n v="23502"/>
    <n v="1"/>
    <n v="1188"/>
    <x v="14"/>
    <s v="Batt Fiberglass"/>
    <s v=""/>
    <n v="3.5000000149011612E-2"/>
    <n v="1144.6790000000001"/>
  </r>
  <r>
    <x v="4"/>
    <n v="1"/>
    <n v="182075"/>
    <n v="10801"/>
    <n v="1"/>
    <n v="1725"/>
    <x v="4"/>
    <s v="Blown Cellulose"/>
    <s v=""/>
    <n v="3.5000000149011612E-2"/>
    <n v="4956.4930000000004"/>
  </r>
  <r>
    <x v="4"/>
    <n v="1"/>
    <n v="174290"/>
    <n v="10398"/>
    <n v="1"/>
    <n v="1920"/>
    <x v="14"/>
    <s v="Blown FB"/>
    <s v=""/>
    <n v="3.5000000149011612E-2"/>
    <n v="6932.7380000000003"/>
  </r>
  <r>
    <x v="4"/>
    <n v="1"/>
    <n v="126199"/>
    <n v="22205"/>
    <n v="1"/>
    <n v="1388"/>
    <x v="15"/>
    <s v="Blown FB"/>
    <s v=""/>
    <n v="3.5000000149011612E-2"/>
    <n v="1904.288"/>
  </r>
  <r>
    <x v="4"/>
    <n v="1"/>
    <n v="194676"/>
    <n v="21783"/>
    <n v="1"/>
    <n v="1440"/>
    <x v="8"/>
    <s v="Batt Mineral Wool"/>
    <s v=""/>
    <n v="3.5000000149011612E-2"/>
    <n v="8264.9449999999997"/>
  </r>
  <r>
    <x v="4"/>
    <n v="1"/>
    <n v="690172"/>
    <n v="22625"/>
    <n v="1"/>
    <n v="720"/>
    <x v="14"/>
    <s v="Blown FB"/>
    <s v=""/>
    <n v="3.5000000149011612E-2"/>
    <n v="1904.288"/>
  </r>
  <r>
    <x v="4"/>
    <n v="1"/>
    <n v="183615"/>
    <n v="23889"/>
    <n v="1"/>
    <n v="1366"/>
    <x v="12"/>
    <s v="Blown FB"/>
    <s v=""/>
    <n v="3.5000000149011612E-2"/>
    <n v="1612.692"/>
  </r>
  <r>
    <x v="4"/>
    <n v="1"/>
    <n v="170528"/>
    <n v="21089"/>
    <n v="1"/>
    <n v="1293"/>
    <x v="14"/>
    <s v="Blown FB"/>
    <s v=""/>
    <n v="3.5000000149011612E-2"/>
    <n v="3785.7640000000001"/>
  </r>
  <r>
    <x v="4"/>
    <n v="1"/>
    <n v="85929"/>
    <n v="13678"/>
    <n v="2"/>
    <n v="352"/>
    <x v="38"/>
    <s v="Blown FB"/>
    <s v=""/>
    <n v="3.5000000149011612E-2"/>
    <n v="2003.7159999999999"/>
  </r>
  <r>
    <x v="4"/>
    <n v="1"/>
    <n v="144272"/>
    <n v="21494"/>
    <n v="1"/>
    <n v="482"/>
    <x v="41"/>
    <s v="Blown Cellulose"/>
    <s v=""/>
    <n v="3.5000000149011612E-2"/>
    <n v="2130.886"/>
  </r>
  <r>
    <x v="4"/>
    <n v="1"/>
    <n v="176112"/>
    <n v="23387"/>
    <n v="1"/>
    <n v="3700"/>
    <x v="12"/>
    <s v="Blown Cellulose"/>
    <s v=""/>
    <n v="3.5000000149011612E-2"/>
    <n v="1144.6790000000001"/>
  </r>
  <r>
    <x v="4"/>
    <n v="1"/>
    <n v="208073"/>
    <n v="12029"/>
    <n v="1"/>
    <n v="472"/>
    <x v="4"/>
    <s v="Blown Cellulose"/>
    <s v=""/>
    <n v="3.5000000149011612E-2"/>
    <n v="1464.694"/>
  </r>
  <r>
    <x v="4"/>
    <n v="1"/>
    <n v="42591"/>
    <n v="23213"/>
    <n v="1"/>
    <n v="1440"/>
    <x v="4"/>
    <s v="Blown Cellulose"/>
    <s v=""/>
    <n v="3.5000000149011612E-2"/>
    <n v="2130.886"/>
  </r>
  <r>
    <x v="4"/>
    <n v="1"/>
    <n v="108898"/>
    <n v="11633"/>
    <n v="1"/>
    <n v="1276"/>
    <x v="14"/>
    <s v="Other"/>
    <s v=""/>
    <n v="3.5000000149011612E-2"/>
    <n v="4956.4930000000004"/>
  </r>
  <r>
    <x v="4"/>
    <n v="1"/>
    <n v="42236"/>
    <n v="20166"/>
    <n v="1"/>
    <n v="1843"/>
    <x v="42"/>
    <s v="Blown Cellulose"/>
    <s v=""/>
    <n v="3.5000000149011612E-2"/>
    <n v="2079.9929999999999"/>
  </r>
  <r>
    <x v="4"/>
    <n v="1"/>
    <n v="37353"/>
    <n v="23151"/>
    <n v="1"/>
    <n v="1386"/>
    <x v="13"/>
    <s v="Blown FB"/>
    <s v=""/>
    <n v="3.5000000149011612E-2"/>
    <n v="12271.31"/>
  </r>
  <r>
    <x v="4"/>
    <n v="1"/>
    <n v="164664"/>
    <n v="22993"/>
    <n v="1"/>
    <n v="1048"/>
    <x v="14"/>
    <s v="Batt Fiberglass"/>
    <s v=""/>
    <n v="3.5000000149011612E-2"/>
    <n v="8264.9449999999997"/>
  </r>
  <r>
    <x v="4"/>
    <n v="1"/>
    <n v="682824"/>
    <n v="22938"/>
    <n v="1"/>
    <n v="1100"/>
    <x v="29"/>
    <s v="Blown FB"/>
    <s v=""/>
    <n v="3.5000000149011612E-2"/>
    <n v="12271.31"/>
  </r>
  <r>
    <x v="4"/>
    <n v="1"/>
    <n v="33372"/>
    <n v="21605"/>
    <n v="1"/>
    <n v="1200"/>
    <x v="4"/>
    <s v="Blown FB"/>
    <s v=""/>
    <n v="3.5000000149011612E-2"/>
    <n v="2130.886"/>
  </r>
  <r>
    <x v="4"/>
    <n v="1"/>
    <n v="227331"/>
    <n v="12977"/>
    <n v="1"/>
    <n v="1250"/>
    <x v="4"/>
    <s v="Blown FB"/>
    <s v=""/>
    <n v="3.5000000149011612E-2"/>
    <n v="4956.4930000000004"/>
  </r>
  <r>
    <x v="4"/>
    <n v="1"/>
    <n v="209711"/>
    <n v="13495"/>
    <n v="1"/>
    <n v="1156"/>
    <x v="11"/>
    <s v="Blown FB"/>
    <s v=""/>
    <n v="3.5000000149011612E-2"/>
    <n v="1464.694"/>
  </r>
  <r>
    <x v="4"/>
    <n v="1"/>
    <n v="108175"/>
    <n v="10425"/>
    <n v="1"/>
    <n v="2134"/>
    <x v="10"/>
    <s v="Blown FB"/>
    <s v=""/>
    <n v="3.5000000149011612E-2"/>
    <n v="4956.4930000000004"/>
  </r>
  <r>
    <x v="4"/>
    <n v="1"/>
    <n v="119716"/>
    <n v="10658"/>
    <n v="1"/>
    <n v="750"/>
    <x v="4"/>
    <s v="Mixed"/>
    <s v=""/>
    <n v="3.5000000149011612E-2"/>
    <n v="1464.694"/>
  </r>
  <r>
    <x v="4"/>
    <n v="1"/>
    <n v="77784"/>
    <n v="22570"/>
    <n v="1"/>
    <n v="1315"/>
    <x v="14"/>
    <s v="Batt Fiberglass"/>
    <s v=""/>
    <n v="3.5000000149011612E-2"/>
    <n v="1144.6790000000001"/>
  </r>
  <r>
    <x v="4"/>
    <n v="1"/>
    <n v="186618"/>
    <n v="20825"/>
    <n v="1"/>
    <n v="798"/>
    <x v="13"/>
    <s v="Blown FB"/>
    <s v=""/>
    <n v="3.5000000149011612E-2"/>
    <n v="2079.9929999999999"/>
  </r>
  <r>
    <x v="4"/>
    <n v="1"/>
    <n v="174626"/>
    <n v="22175"/>
    <n v="1"/>
    <n v="1946"/>
    <x v="14"/>
    <s v="Blown FB"/>
    <s v=""/>
    <n v="3.5000000149011612E-2"/>
    <n v="2079.9929999999999"/>
  </r>
  <r>
    <x v="4"/>
    <n v="1"/>
    <n v="87206"/>
    <n v="10144"/>
    <n v="1"/>
    <n v="1150"/>
    <x v="32"/>
    <s v="Mixed"/>
    <s v=""/>
    <n v="3.5000000149011612E-2"/>
    <n v="2003.7159999999999"/>
  </r>
  <r>
    <x v="4"/>
    <n v="1"/>
    <n v="133095"/>
    <n v="20078"/>
    <n v="1"/>
    <n v="1287"/>
    <x v="14"/>
    <s v="Mixed"/>
    <s v=""/>
    <n v="3.5000000149011612E-2"/>
    <n v="1144.6790000000001"/>
  </r>
  <r>
    <x v="4"/>
    <n v="1"/>
    <n v="111247"/>
    <n v="22404"/>
    <n v="1"/>
    <n v="825"/>
    <x v="11"/>
    <s v="Blown FB"/>
    <s v=""/>
    <n v="3.5000000149011612E-2"/>
    <n v="2079.9929999999999"/>
  </r>
  <r>
    <x v="4"/>
    <n v="1"/>
    <n v="198810"/>
    <n v="11967"/>
    <n v="1"/>
    <n v="1624"/>
    <x v="12"/>
    <s v="Mixed"/>
    <s v=""/>
    <n v="3.5000000149011612E-2"/>
    <n v="6932.7380000000003"/>
  </r>
  <r>
    <x v="4"/>
    <n v="1"/>
    <n v="68641"/>
    <n v="23721"/>
    <n v="1"/>
    <n v="1053"/>
    <x v="14"/>
    <s v="Batt Fiberglass"/>
    <s v=""/>
    <n v="3.5000000149011612E-2"/>
    <n v="1144.6790000000001"/>
  </r>
  <r>
    <x v="4"/>
    <n v="1"/>
    <n v="106218"/>
    <n v="24342"/>
    <n v="1"/>
    <n v="1025"/>
    <x v="33"/>
    <s v="Batt Fiberglass"/>
    <s v=""/>
    <n v="3.5000000149011612E-2"/>
    <n v="2130.886"/>
  </r>
  <r>
    <x v="4"/>
    <n v="1"/>
    <n v="86521"/>
    <n v="12114"/>
    <n v="1"/>
    <n v="1316"/>
    <x v="29"/>
    <s v="Blown FB"/>
    <s v="12&quot; blow in"/>
    <n v="3.5000000149011612E-2"/>
    <n v="2003.7159999999999"/>
  </r>
  <r>
    <x v="4"/>
    <n v="1"/>
    <n v="203966"/>
    <n v="14140"/>
    <n v="1"/>
    <n v="1182"/>
    <x v="4"/>
    <s v="Batt Fiberglass"/>
    <s v=""/>
    <n v="3.5000000149011612E-2"/>
    <n v="2003.7159999999999"/>
  </r>
  <r>
    <x v="4"/>
    <n v="1"/>
    <n v="220590"/>
    <n v="22475"/>
    <n v="1"/>
    <n v="1250"/>
    <x v="5"/>
    <s v="Blown Cellulose"/>
    <s v=""/>
    <n v="3.5000000149011612E-2"/>
    <n v="2130.886"/>
  </r>
  <r>
    <x v="4"/>
    <n v="1"/>
    <n v="153592"/>
    <n v="24221"/>
    <n v="1"/>
    <n v="2060"/>
    <x v="14"/>
    <s v="Blown FB"/>
    <s v=""/>
    <n v="3.5000000149011612E-2"/>
    <n v="1192.4649999999999"/>
  </r>
  <r>
    <x v="4"/>
    <n v="1"/>
    <n v="202325"/>
    <n v="11835"/>
    <n v="1"/>
    <n v="414"/>
    <x v="4"/>
    <s v="Blown Cellulose"/>
    <s v=""/>
    <n v="3.5000000149011612E-2"/>
    <n v="1464.694"/>
  </r>
  <r>
    <x v="4"/>
    <n v="1"/>
    <n v="723059"/>
    <n v="21355"/>
    <n v="1"/>
    <n v="1040"/>
    <x v="14"/>
    <s v="Blown FB"/>
    <s v=""/>
    <n v="3.5000000149011612E-2"/>
    <n v="8264.9449999999997"/>
  </r>
  <r>
    <x v="4"/>
    <n v="1"/>
    <n v="91974"/>
    <n v="20936"/>
    <n v="1"/>
    <n v="1874"/>
    <x v="13"/>
    <s v="Blown Rock Wool"/>
    <s v=""/>
    <n v="3.5000000149011612E-2"/>
    <n v="1904.288"/>
  </r>
  <r>
    <x v="4"/>
    <n v="1"/>
    <n v="197736"/>
    <n v="14273"/>
    <n v="1"/>
    <n v="727"/>
    <x v="14"/>
    <s v="Blown FB"/>
    <s v=""/>
    <n v="3.5000000149011612E-2"/>
    <n v="4956.4930000000004"/>
  </r>
  <r>
    <x v="4"/>
    <n v="1"/>
    <n v="81373"/>
    <n v="22897"/>
    <n v="1"/>
    <n v="1440"/>
    <x v="11"/>
    <s v="Blown FB"/>
    <s v=""/>
    <n v="3.5000000149011612E-2"/>
    <n v="2079.9929999999999"/>
  </r>
  <r>
    <x v="4"/>
    <n v="1"/>
    <n v="165515"/>
    <n v="24540"/>
    <n v="1"/>
    <n v="934"/>
    <x v="8"/>
    <s v="Batt Fiberglass"/>
    <s v=""/>
    <n v="3.5000000149011612E-2"/>
    <n v="1612.692"/>
  </r>
  <r>
    <x v="4"/>
    <n v="1"/>
    <n v="32891"/>
    <n v="10852"/>
    <n v="1"/>
    <n v="800"/>
    <x v="8"/>
    <s v="Blown Cellulose"/>
    <s v=""/>
    <n v="3.5000000149011612E-2"/>
    <n v="1188.027"/>
  </r>
  <r>
    <x v="4"/>
    <n v="1"/>
    <n v="62173"/>
    <n v="12759"/>
    <n v="1"/>
    <n v="1450"/>
    <x v="4"/>
    <s v="Blown Cellulose"/>
    <s v=""/>
    <n v="3.5000000149011612E-2"/>
    <n v="2003.7159999999999"/>
  </r>
  <r>
    <x v="4"/>
    <n v="1"/>
    <n v="199596"/>
    <n v="13829"/>
    <n v="1"/>
    <n v="1240"/>
    <x v="11"/>
    <s v="Mixed"/>
    <s v=""/>
    <n v="3.5000000149011612E-2"/>
    <n v="1464.694"/>
  </r>
  <r>
    <x v="4"/>
    <n v="1"/>
    <n v="182210"/>
    <n v="14015"/>
    <n v="1"/>
    <n v="1685"/>
    <x v="29"/>
    <s v="Blown FB"/>
    <s v=""/>
    <n v="3.5000000149011612E-2"/>
    <n v="4956.4930000000004"/>
  </r>
  <r>
    <x v="4"/>
    <n v="1"/>
    <n v="47190"/>
    <n v="11653"/>
    <n v="1"/>
    <n v="360"/>
    <x v="4"/>
    <s v="Batt Fiberglass"/>
    <s v=""/>
    <n v="3.5000000149011612E-2"/>
    <n v="1524.7619999999999"/>
  </r>
  <r>
    <x v="4"/>
    <n v="1"/>
    <n v="77196"/>
    <n v="22319"/>
    <n v="1"/>
    <n v="1364"/>
    <x v="14"/>
    <s v="Blown FB"/>
    <s v=""/>
    <n v="3.5000000149011612E-2"/>
    <n v="3785.7640000000001"/>
  </r>
  <r>
    <x v="4"/>
    <n v="1"/>
    <n v="659853"/>
    <n v="11762"/>
    <n v="1"/>
    <n v="644"/>
    <x v="38"/>
    <s v="Blown FB"/>
    <s v="6&quot; blown fiberglass , very little mounding  , 3&quot; base of  cellulose "/>
    <n v="3.5000000149011612E-2"/>
    <n v="1464.694"/>
  </r>
  <r>
    <x v="4"/>
    <n v="1"/>
    <n v="31577"/>
    <n v="12153"/>
    <n v="1"/>
    <n v="736"/>
    <x v="14"/>
    <s v="Blown FB"/>
    <s v=""/>
    <n v="3.5000000149011612E-2"/>
    <n v="1524.7619999999999"/>
  </r>
  <r>
    <x v="4"/>
    <n v="1"/>
    <n v="68905"/>
    <n v="21367"/>
    <n v="1"/>
    <n v="893"/>
    <x v="14"/>
    <s v="Batt Fiberglass"/>
    <s v=""/>
    <n v="3.5000000149011612E-2"/>
    <n v="2130.886"/>
  </r>
  <r>
    <x v="4"/>
    <n v="1"/>
    <n v="227560"/>
    <n v="10705"/>
    <n v="1"/>
    <n v="1330"/>
    <x v="5"/>
    <s v="Mixed"/>
    <s v=""/>
    <n v="3.5000000149011612E-2"/>
    <n v="1464.694"/>
  </r>
  <r>
    <x v="4"/>
    <n v="1"/>
    <n v="74624"/>
    <n v="20200"/>
    <n v="1"/>
    <n v="850"/>
    <x v="1"/>
    <s v="Blown Cellulose"/>
    <s v=""/>
    <n v="3.5000000149011612E-2"/>
    <n v="1925.059"/>
  </r>
  <r>
    <x v="4"/>
    <n v="1"/>
    <n v="658760"/>
    <n v="12049"/>
    <n v="1"/>
    <n v="389"/>
    <x v="38"/>
    <s v="Mixed"/>
    <s v=""/>
    <n v="3.5000000149011612E-2"/>
    <n v="1464.694"/>
  </r>
  <r>
    <x v="4"/>
    <n v="1"/>
    <n v="235845"/>
    <n v="21672"/>
    <n v="3"/>
    <n v="416"/>
    <x v="14"/>
    <s v="Blown FB"/>
    <s v=""/>
    <n v="3.5000000149011612E-2"/>
    <n v="1144.6790000000001"/>
  </r>
  <r>
    <x v="4"/>
    <n v="1"/>
    <n v="156822"/>
    <n v="24607"/>
    <n v="1"/>
    <n v="1189"/>
    <x v="14"/>
    <s v="Blown Cellulose"/>
    <s v=""/>
    <n v="3.5000000149011612E-2"/>
    <n v="1192.4649999999999"/>
  </r>
  <r>
    <x v="4"/>
    <n v="1"/>
    <n v="129691"/>
    <n v="12745"/>
    <n v="1"/>
    <n v="900"/>
    <x v="4"/>
    <s v="Blown Cellulose"/>
    <s v=""/>
    <n v="3.5000000149011612E-2"/>
    <n v="1524.7619999999999"/>
  </r>
  <r>
    <x v="4"/>
    <n v="1"/>
    <n v="90005"/>
    <n v="13275"/>
    <n v="1"/>
    <n v="1092"/>
    <x v="14"/>
    <s v="Blown Cellulose"/>
    <s v=""/>
    <n v="3.5000000149011612E-2"/>
    <n v="2003.7159999999999"/>
  </r>
  <r>
    <x v="4"/>
    <n v="1"/>
    <n v="99886"/>
    <n v="12939"/>
    <n v="1"/>
    <n v="825"/>
    <x v="15"/>
    <s v=""/>
    <s v="No access, built to 1981 code, R-30 estimate"/>
    <n v="3.5000000149011612E-2"/>
    <n v="2003.7159999999999"/>
  </r>
  <r>
    <x v="4"/>
    <n v="1"/>
    <n v="65936"/>
    <n v="21350"/>
    <n v="1"/>
    <n v="1200"/>
    <x v="4"/>
    <s v="Batt Fiberglass"/>
    <s v=""/>
    <n v="3.5000000149011612E-2"/>
    <n v="8264.9449999999997"/>
  </r>
  <r>
    <x v="4"/>
    <n v="1"/>
    <n v="260629"/>
    <n v="23857"/>
    <n v="1"/>
    <n v="297"/>
    <x v="4"/>
    <s v="Batt Fiberglass"/>
    <s v=""/>
    <n v="3.5000000149011612E-2"/>
    <n v="1144.6790000000001"/>
  </r>
  <r>
    <x v="4"/>
    <n v="1"/>
    <n v="102170"/>
    <n v="21612"/>
    <n v="1"/>
    <n v="225"/>
    <x v="14"/>
    <s v="Blown FB"/>
    <s v=""/>
    <n v="3.5000000149011612E-2"/>
    <n v="2130.886"/>
  </r>
  <r>
    <x v="4"/>
    <n v="1"/>
    <n v="84885"/>
    <n v="12621"/>
    <n v="1"/>
    <n v="1700"/>
    <x v="32"/>
    <s v="Blown Cellulose"/>
    <s v=""/>
    <n v="3.5000000149011612E-2"/>
    <n v="2003.7159999999999"/>
  </r>
  <r>
    <x v="4"/>
    <n v="1"/>
    <n v="43629"/>
    <n v="21366"/>
    <n v="1"/>
    <n v="2800"/>
    <x v="40"/>
    <s v="Blown Cellulose"/>
    <s v=""/>
    <n v="3.5000000149011612E-2"/>
    <n v="2130.886"/>
  </r>
  <r>
    <x v="4"/>
    <n v="1"/>
    <n v="86186"/>
    <n v="11377"/>
    <n v="1"/>
    <n v="1152"/>
    <x v="38"/>
    <s v="Blown FB"/>
    <s v=""/>
    <n v="3.5000000149011612E-2"/>
    <n v="4956.4930000000004"/>
  </r>
  <r>
    <x v="4"/>
    <n v="1"/>
    <n v="233697"/>
    <n v="11602"/>
    <n v="1"/>
    <n v="1456"/>
    <x v="4"/>
    <s v="Other"/>
    <s v="Tin roof with 6&quot; rigid foam installed over existing roof in addition to the blown in ceiling insulation."/>
    <n v="3.5000000149011612E-2"/>
    <n v="1150.8789999999999"/>
  </r>
  <r>
    <x v="4"/>
    <n v="1"/>
    <n v="224219"/>
    <n v="23381"/>
    <n v="1"/>
    <n v="1473"/>
    <x v="14"/>
    <s v="Blown Cellulose"/>
    <s v=""/>
    <n v="3.5000000149011612E-2"/>
    <n v="2079.9929999999999"/>
  </r>
  <r>
    <x v="4"/>
    <n v="1"/>
    <n v="37715"/>
    <n v="11779"/>
    <n v="2"/>
    <n v="250"/>
    <x v="4"/>
    <s v="Batt Fiberglass"/>
    <s v=""/>
    <n v="3.5000000149011612E-2"/>
    <n v="1524.7619999999999"/>
  </r>
  <r>
    <x v="4"/>
    <n v="1"/>
    <n v="96780"/>
    <n v="12414"/>
    <n v="1"/>
    <n v="972"/>
    <x v="33"/>
    <s v="Batt (other)"/>
    <s v=""/>
    <n v="3.5000000149011612E-2"/>
    <n v="1524.7619999999999"/>
  </r>
  <r>
    <x v="4"/>
    <n v="1"/>
    <n v="724074"/>
    <n v="10052"/>
    <n v="1"/>
    <n v="1350"/>
    <x v="11"/>
    <s v="Blown FB"/>
    <s v=""/>
    <n v="3.5000000149011612E-2"/>
    <n v="4956.4930000000004"/>
  </r>
  <r>
    <x v="4"/>
    <n v="1"/>
    <n v="33975"/>
    <n v="23123"/>
    <n v="1"/>
    <n v="693"/>
    <x v="4"/>
    <s v="Batt Fiberglass"/>
    <s v=""/>
    <n v="3.5000000149011612E-2"/>
    <n v="2130.886"/>
  </r>
  <r>
    <x v="4"/>
    <n v="1"/>
    <n v="216548"/>
    <n v="10421"/>
    <n v="1"/>
    <n v="600"/>
    <x v="11"/>
    <s v="Blown Cellulose"/>
    <s v=""/>
    <n v="3.5000000149011612E-2"/>
    <n v="1464.694"/>
  </r>
  <r>
    <x v="4"/>
    <n v="1"/>
    <n v="33299"/>
    <n v="21045"/>
    <n v="1"/>
    <n v="480"/>
    <x v="14"/>
    <s v="Blown Cellulose"/>
    <s v=""/>
    <n v="3.5000000149011612E-2"/>
    <n v="2130.886"/>
  </r>
  <r>
    <x v="4"/>
    <n v="1"/>
    <n v="666815"/>
    <n v="14331"/>
    <n v="1"/>
    <n v="1892"/>
    <x v="8"/>
    <s v="Blown Rock Wool"/>
    <s v=""/>
    <n v="3.5000000149011612E-2"/>
    <n v="6932.7380000000003"/>
  </r>
  <r>
    <x v="4"/>
    <n v="1"/>
    <n v="42854"/>
    <n v="11375"/>
    <n v="1"/>
    <n v="1164"/>
    <x v="4"/>
    <s v="Blown FB"/>
    <s v=""/>
    <n v="3.5000000149011612E-2"/>
    <n v="1524.7619999999999"/>
  </r>
  <r>
    <x v="4"/>
    <n v="1"/>
    <n v="71708"/>
    <n v="21012"/>
    <n v="1"/>
    <n v="800"/>
    <x v="1"/>
    <s v="Blown FB"/>
    <s v=""/>
    <n v="3.5000000149011612E-2"/>
    <n v="3785.7640000000001"/>
  </r>
  <r>
    <x v="4"/>
    <n v="1"/>
    <n v="125182"/>
    <n v="20457"/>
    <n v="1"/>
    <n v="2250"/>
    <x v="11"/>
    <s v="Blown FB"/>
    <s v=""/>
    <n v="3.5000000149011612E-2"/>
    <n v="1612.692"/>
  </r>
  <r>
    <x v="4"/>
    <n v="1"/>
    <n v="153362"/>
    <n v="13242"/>
    <n v="1"/>
    <n v="1280"/>
    <x v="43"/>
    <s v="Mixed"/>
    <s v=""/>
    <n v="3.5000000149011612E-2"/>
    <n v="4956.4930000000004"/>
  </r>
  <r>
    <x v="4"/>
    <n v="1"/>
    <n v="97702"/>
    <n v="23428"/>
    <n v="1"/>
    <n v="1718"/>
    <x v="13"/>
    <s v="Blown FB"/>
    <s v=""/>
    <n v="3.5000000149011612E-2"/>
    <n v="12271.31"/>
  </r>
  <r>
    <x v="4"/>
    <n v="1"/>
    <n v="79482"/>
    <n v="13017"/>
    <n v="1"/>
    <n v="189"/>
    <x v="4"/>
    <s v="Blown Cellulose"/>
    <s v=""/>
    <n v="3.5000000149011612E-2"/>
    <n v="2003.7159999999999"/>
  </r>
  <r>
    <x v="4"/>
    <n v="1"/>
    <n v="198688"/>
    <n v="12230"/>
    <n v="1"/>
    <n v="1352"/>
    <x v="14"/>
    <s v="Batt Fiberglass"/>
    <s v=""/>
    <n v="3.5000000149011612E-2"/>
    <n v="6932.7380000000003"/>
  </r>
  <r>
    <x v="4"/>
    <n v="1"/>
    <n v="34321"/>
    <n v="21225"/>
    <n v="1"/>
    <n v="450"/>
    <x v="14"/>
    <s v="Batt Fiberglass"/>
    <s v=""/>
    <n v="3.5000000149011612E-2"/>
    <n v="2130.886"/>
  </r>
  <r>
    <x v="4"/>
    <n v="1"/>
    <n v="196031"/>
    <n v="11332"/>
    <n v="1"/>
    <n v="1326"/>
    <x v="32"/>
    <s v="Blown FB"/>
    <s v=""/>
    <n v="3.5000000149011612E-2"/>
    <n v="4956.4930000000004"/>
  </r>
  <r>
    <x v="4"/>
    <n v="1"/>
    <n v="74872"/>
    <n v="22059"/>
    <n v="1"/>
    <n v="1208"/>
    <x v="13"/>
    <s v="Blown Cellulose"/>
    <s v=""/>
    <n v="3.5000000149011612E-2"/>
    <n v="1904.288"/>
  </r>
  <r>
    <x v="4"/>
    <n v="1"/>
    <n v="204176"/>
    <n v="24623"/>
    <n v="1"/>
    <n v="1533"/>
    <x v="14"/>
    <s v="Blown Cellulose"/>
    <s v=""/>
    <n v="3.5000000149011612E-2"/>
    <n v="1612.692"/>
  </r>
  <r>
    <x v="4"/>
    <n v="1"/>
    <n v="95274"/>
    <n v="21777"/>
    <n v="1"/>
    <n v="1416"/>
    <x v="14"/>
    <s v="Batt Fiberglass"/>
    <s v=""/>
    <n v="3.5000000149011612E-2"/>
    <n v="2130.886"/>
  </r>
  <r>
    <x v="4"/>
    <n v="1"/>
    <n v="681001"/>
    <n v="13445"/>
    <n v="1"/>
    <n v="936"/>
    <x v="14"/>
    <s v="Blown FB"/>
    <s v=""/>
    <n v="3.5000000149011612E-2"/>
    <n v="4956.4930000000004"/>
  </r>
  <r>
    <x v="4"/>
    <n v="1"/>
    <n v="100852"/>
    <n v="13165"/>
    <n v="1"/>
    <n v="1445"/>
    <x v="11"/>
    <s v="Blown FB"/>
    <s v=""/>
    <n v="3.5000000149011612E-2"/>
    <n v="4956.4930000000004"/>
  </r>
  <r>
    <x v="4"/>
    <n v="1"/>
    <n v="77535"/>
    <n v="11838"/>
    <n v="1"/>
    <n v="2000"/>
    <x v="20"/>
    <s v="Batt Fiberglass"/>
    <s v=""/>
    <n v="3.5000000149011612E-2"/>
    <n v="2003.7159999999999"/>
  </r>
  <r>
    <x v="4"/>
    <n v="1"/>
    <n v="93592"/>
    <n v="13323"/>
    <n v="2"/>
    <n v="251"/>
    <x v="4"/>
    <s v="Batt Fiberglass"/>
    <s v=""/>
    <n v="3.5000000149011612E-2"/>
    <n v="1524.7619999999999"/>
  </r>
  <r>
    <x v="4"/>
    <n v="1"/>
    <n v="124958"/>
    <n v="20770"/>
    <n v="1"/>
    <n v="1100"/>
    <x v="11"/>
    <s v="Blown FB"/>
    <s v=""/>
    <n v="3.5000000149011612E-2"/>
    <n v="2079.9929999999999"/>
  </r>
  <r>
    <x v="4"/>
    <n v="1"/>
    <n v="149056"/>
    <n v="12743"/>
    <n v="1"/>
    <n v="196"/>
    <x v="14"/>
    <s v="Batt Fiberglass"/>
    <s v=""/>
    <n v="3.5000000149011612E-2"/>
    <n v="4956.4930000000004"/>
  </r>
  <r>
    <x v="4"/>
    <n v="1"/>
    <n v="47094"/>
    <n v="12263"/>
    <n v="1"/>
    <n v="825"/>
    <x v="4"/>
    <s v="Batt Fiberglass"/>
    <s v=""/>
    <n v="3.5000000149011612E-2"/>
    <n v="1524.7619999999999"/>
  </r>
  <r>
    <x v="4"/>
    <n v="1"/>
    <n v="113068"/>
    <n v="22694"/>
    <n v="1"/>
    <n v="1600"/>
    <x v="11"/>
    <s v="Blown FB"/>
    <s v=""/>
    <n v="3.5000000149011612E-2"/>
    <n v="2079.9929999999999"/>
  </r>
  <r>
    <x v="4"/>
    <n v="1"/>
    <n v="718804"/>
    <n v="13494"/>
    <n v="1"/>
    <n v="552"/>
    <x v="4"/>
    <s v="Blown Cellulose"/>
    <s v=""/>
    <n v="3.5000000149011612E-2"/>
    <n v="2003.7159999999999"/>
  </r>
  <r>
    <x v="4"/>
    <n v="1"/>
    <n v="681581"/>
    <n v="12434"/>
    <n v="1"/>
    <n v="1477"/>
    <x v="14"/>
    <s v="Mixed"/>
    <s v=""/>
    <n v="3.5000000149011612E-2"/>
    <n v="6932.7380000000003"/>
  </r>
  <r>
    <x v="4"/>
    <n v="1"/>
    <n v="724792"/>
    <n v="11021"/>
    <n v="1"/>
    <n v="1011"/>
    <x v="38"/>
    <s v="Mixed"/>
    <s v=""/>
    <n v="3.5000000149011612E-2"/>
    <n v="1464.694"/>
  </r>
  <r>
    <x v="4"/>
    <n v="1"/>
    <n v="200673"/>
    <n v="20863"/>
    <n v="1"/>
    <n v="1450"/>
    <x v="14"/>
    <s v="Batt Fiberglass"/>
    <s v=""/>
    <n v="3.5000000149011612E-2"/>
    <n v="8559.1039999999994"/>
  </r>
  <r>
    <x v="4"/>
    <n v="1"/>
    <n v="112056"/>
    <n v="20613"/>
    <n v="1"/>
    <n v="1981"/>
    <x v="13"/>
    <s v="Blown Cellulose"/>
    <s v=""/>
    <n v="3.5000000149011612E-2"/>
    <n v="1904.288"/>
  </r>
  <r>
    <x v="4"/>
    <n v="1"/>
    <n v="69947"/>
    <n v="20290"/>
    <n v="1"/>
    <n v="946"/>
    <x v="14"/>
    <s v="Batt Fiberglass"/>
    <s v=""/>
    <n v="3.5000000149011612E-2"/>
    <n v="1144.6790000000001"/>
  </r>
  <r>
    <x v="5"/>
    <n v="0.5"/>
    <n v="118260"/>
    <n v="10525"/>
    <n v="2"/>
    <n v="146"/>
    <x v="44"/>
    <s v="Batt Fiberglass"/>
    <s v=""/>
    <n v="0.23999999463558197"/>
    <n v="1464.694"/>
  </r>
  <r>
    <x v="5"/>
    <n v="0.5"/>
    <n v="118260"/>
    <n v="10525"/>
    <n v="1"/>
    <n v="322"/>
    <x v="44"/>
    <s v="Batt Fiberglass"/>
    <s v=""/>
    <n v="0.23999999463558197"/>
    <n v="1464.694"/>
  </r>
  <r>
    <x v="5"/>
    <n v="0.75"/>
    <n v="152775"/>
    <n v="22607"/>
    <n v="1"/>
    <n v="1191"/>
    <x v="12"/>
    <s v="Blown FB"/>
    <s v=""/>
    <n v="0.14499999582767487"/>
    <n v="1612.692"/>
  </r>
  <r>
    <x v="5"/>
    <n v="0.75"/>
    <n v="55136"/>
    <n v="23501"/>
    <n v="1"/>
    <n v="1412"/>
    <x v="4"/>
    <s v="Mixed"/>
    <s v=""/>
    <n v="0.14499999582767487"/>
    <n v="2079.9929999999999"/>
  </r>
  <r>
    <x v="5"/>
    <n v="0.75"/>
    <n v="82371"/>
    <n v="21796"/>
    <n v="1"/>
    <n v="3390"/>
    <x v="14"/>
    <s v="Blown Rock Wool"/>
    <s v=""/>
    <n v="0.14499999582767487"/>
    <n v="1192.4649999999999"/>
  </r>
  <r>
    <x v="5"/>
    <n v="0.75"/>
    <n v="193642"/>
    <n v="20206"/>
    <n v="1"/>
    <n v="1500"/>
    <x v="8"/>
    <s v="Blown Cellulose"/>
    <s v=""/>
    <n v="0.14499999582767487"/>
    <n v="1612.692"/>
  </r>
  <r>
    <x v="5"/>
    <n v="0.75"/>
    <n v="101571"/>
    <n v="22957"/>
    <n v="1"/>
    <n v="1316"/>
    <x v="5"/>
    <s v="Blown FB"/>
    <s v=""/>
    <n v="0.14499999582767487"/>
    <n v="1925.059"/>
  </r>
  <r>
    <x v="5"/>
    <n v="0.75"/>
    <n v="229356"/>
    <n v="13359"/>
    <n v="1"/>
    <n v="1040"/>
    <x v="13"/>
    <s v="Blown FB"/>
    <s v=""/>
    <n v="0.14499999582767487"/>
    <n v="1150.8789999999999"/>
  </r>
  <r>
    <x v="5"/>
    <n v="0.75"/>
    <n v="52205"/>
    <n v="21936"/>
    <n v="1"/>
    <n v="750"/>
    <x v="4"/>
    <s v="Blown FB"/>
    <s v=""/>
    <n v="0.14499999582767487"/>
    <n v="2130.886"/>
  </r>
  <r>
    <x v="5"/>
    <n v="0.75"/>
    <n v="238267"/>
    <n v="23710"/>
    <n v="1"/>
    <n v="3078"/>
    <x v="32"/>
    <s v="Blown FB"/>
    <s v=""/>
    <n v="0.14499999582767487"/>
    <n v="2079.9929999999999"/>
  </r>
  <r>
    <x v="5"/>
    <n v="0.75"/>
    <n v="240851"/>
    <n v="23624"/>
    <n v="1"/>
    <n v="1386"/>
    <x v="1"/>
    <s v="Blown FB"/>
    <s v=""/>
    <n v="0.14499999582767487"/>
    <n v="3785.7640000000001"/>
  </r>
  <r>
    <x v="5"/>
    <n v="0.75"/>
    <n v="231616"/>
    <n v="21546"/>
    <n v="1"/>
    <n v="2765"/>
    <x v="25"/>
    <s v="Batt Fiberglass"/>
    <s v="batts but not nicely laid &quot;r-38&quot;"/>
    <n v="0.14499999582767487"/>
    <n v="1612.692"/>
  </r>
  <r>
    <x v="5"/>
    <n v="0.75"/>
    <n v="148443"/>
    <n v="20559"/>
    <n v="1"/>
    <n v="756"/>
    <x v="14"/>
    <s v="Batt Fiberglass"/>
    <s v=""/>
    <n v="0.14499999582767487"/>
    <n v="1192.4649999999999"/>
  </r>
  <r>
    <x v="5"/>
    <n v="0.75"/>
    <n v="67925"/>
    <n v="21720"/>
    <n v="1"/>
    <n v="1450"/>
    <x v="14"/>
    <s v="Blown Rock Wool"/>
    <s v=""/>
    <n v="0.14499999582767487"/>
    <n v="3785.7640000000001"/>
  </r>
  <r>
    <x v="5"/>
    <n v="0.75"/>
    <n v="203792"/>
    <n v="20106"/>
    <n v="1"/>
    <n v="1008"/>
    <x v="12"/>
    <s v="Blown FB"/>
    <s v=""/>
    <n v="0.14499999582767487"/>
    <n v="3785.7640000000001"/>
  </r>
  <r>
    <x v="5"/>
    <n v="0.75"/>
    <n v="185740"/>
    <n v="24536"/>
    <n v="1"/>
    <n v="800"/>
    <x v="14"/>
    <s v="Batt Fiberglass"/>
    <s v=""/>
    <n v="0.14499999582767487"/>
    <n v="1192.4649999999999"/>
  </r>
  <r>
    <x v="5"/>
    <n v="0.75"/>
    <n v="720101"/>
    <n v="22086"/>
    <n v="1"/>
    <n v="1092"/>
    <x v="14"/>
    <s v="Blown FB"/>
    <s v=""/>
    <n v="0.14499999582767487"/>
    <n v="3785.7640000000001"/>
  </r>
  <r>
    <x v="5"/>
    <n v="0.75"/>
    <n v="229591"/>
    <n v="21391"/>
    <n v="1"/>
    <n v="1418"/>
    <x v="14"/>
    <s v="Blown FB"/>
    <s v=""/>
    <n v="0.14499999582767487"/>
    <n v="3785.7640000000001"/>
  </r>
  <r>
    <x v="5"/>
    <n v="0.75"/>
    <n v="49186"/>
    <n v="21471"/>
    <n v="1"/>
    <n v="2646"/>
    <x v="11"/>
    <s v="Blown FB"/>
    <s v=""/>
    <n v="0.14499999582767487"/>
    <n v="2079.9929999999999"/>
  </r>
  <r>
    <x v="5"/>
    <n v="0.75"/>
    <n v="213953"/>
    <n v="23952"/>
    <n v="1"/>
    <n v="2168"/>
    <x v="8"/>
    <s v="Blown Cellulose"/>
    <s v=""/>
    <n v="0.14499999582767487"/>
    <n v="1612.692"/>
  </r>
  <r>
    <x v="5"/>
    <n v="0.75"/>
    <n v="203690"/>
    <n v="24850"/>
    <n v="1"/>
    <n v="1760"/>
    <x v="14"/>
    <s v="Blown Rock Wool"/>
    <s v=""/>
    <n v="0.14499999582767487"/>
    <n v="1192.4649999999999"/>
  </r>
  <r>
    <x v="5"/>
    <n v="0.75"/>
    <n v="144706"/>
    <n v="23696"/>
    <n v="1"/>
    <n v="1200"/>
    <x v="1"/>
    <s v="Blown FB"/>
    <s v=""/>
    <n v="0.14499999582767487"/>
    <n v="3785.7640000000001"/>
  </r>
  <r>
    <x v="5"/>
    <n v="0.75"/>
    <n v="106293"/>
    <n v="20688"/>
    <n v="1"/>
    <n v="1360"/>
    <x v="14"/>
    <s v="Blown FB"/>
    <s v=""/>
    <n v="0.14499999582767487"/>
    <n v="3785.7640000000001"/>
  </r>
  <r>
    <x v="5"/>
    <n v="0.75"/>
    <n v="76662"/>
    <n v="13292"/>
    <n v="1"/>
    <n v="697"/>
    <x v="39"/>
    <s v="Mixed"/>
    <s v=""/>
    <n v="0.14499999582767487"/>
    <n v="2003.7159999999999"/>
  </r>
  <r>
    <x v="5"/>
    <n v="0.75"/>
    <n v="156215"/>
    <n v="22228"/>
    <n v="1"/>
    <n v="2192"/>
    <x v="12"/>
    <s v="Blown FB"/>
    <s v=""/>
    <n v="0.14499999582767487"/>
    <n v="1612.692"/>
  </r>
  <r>
    <x v="5"/>
    <n v="0.75"/>
    <n v="130296"/>
    <n v="13401"/>
    <n v="1"/>
    <n v="1162"/>
    <x v="5"/>
    <s v="Mixed"/>
    <s v=""/>
    <n v="0.14499999582767487"/>
    <n v="4956.4930000000004"/>
  </r>
  <r>
    <x v="5"/>
    <n v="0.75"/>
    <n v="208782"/>
    <n v="23145"/>
    <n v="1"/>
    <n v="1482"/>
    <x v="14"/>
    <s v="Blown FB"/>
    <s v=""/>
    <n v="0.14499999582767487"/>
    <n v="3785.7640000000001"/>
  </r>
  <r>
    <x v="5"/>
    <n v="0.75"/>
    <n v="179020"/>
    <n v="22225"/>
    <n v="1"/>
    <n v="1100"/>
    <x v="8"/>
    <s v="Blown Cellulose"/>
    <s v=""/>
    <n v="0.14499999582767487"/>
    <n v="1925.059"/>
  </r>
  <r>
    <x v="5"/>
    <n v="0.75"/>
    <n v="89366"/>
    <n v="11520"/>
    <n v="1"/>
    <n v="1456"/>
    <x v="11"/>
    <s v="Mixed"/>
    <s v=""/>
    <n v="0.14499999582767487"/>
    <n v="2003.7159999999999"/>
  </r>
  <r>
    <x v="5"/>
    <n v="0.9"/>
    <n v="197605"/>
    <n v="13975"/>
    <n v="1"/>
    <n v="810"/>
    <x v="11"/>
    <s v="Blown FB"/>
    <s v=""/>
    <n v="7.5000002980232239E-2"/>
    <n v="4956.4930000000004"/>
  </r>
  <r>
    <x v="5"/>
    <n v="0.9"/>
    <n v="89577"/>
    <n v="23674"/>
    <n v="1"/>
    <n v="972"/>
    <x v="12"/>
    <s v="Blown FB"/>
    <s v=""/>
    <n v="7.5000002980232239E-2"/>
    <n v="1144.6790000000001"/>
  </r>
  <r>
    <x v="5"/>
    <n v="0.9"/>
    <n v="142617"/>
    <n v="20188"/>
    <n v="1"/>
    <n v="1305"/>
    <x v="11"/>
    <s v="Blown FB"/>
    <s v=""/>
    <n v="7.5000002980232239E-2"/>
    <n v="1612.692"/>
  </r>
  <r>
    <x v="5"/>
    <n v="0.9"/>
    <n v="193508"/>
    <n v="20472"/>
    <n v="2"/>
    <n v="377"/>
    <x v="8"/>
    <s v="Blown Cellulose"/>
    <s v=""/>
    <n v="7.5000002980232239E-2"/>
    <n v="1612.692"/>
  </r>
  <r>
    <x v="5"/>
    <n v="0.9"/>
    <n v="211461"/>
    <n v="21070"/>
    <n v="1"/>
    <n v="1380"/>
    <x v="12"/>
    <s v="Blown FB"/>
    <s v=""/>
    <n v="7.5000002980232239E-2"/>
    <n v="1904.288"/>
  </r>
  <r>
    <x v="5"/>
    <n v="0.9"/>
    <n v="67601"/>
    <n v="20076"/>
    <n v="1"/>
    <n v="2136"/>
    <x v="25"/>
    <s v="Blown FB"/>
    <s v=""/>
    <n v="7.5000002980232239E-2"/>
    <n v="3785.7640000000001"/>
  </r>
  <r>
    <x v="5"/>
    <n v="0.9"/>
    <n v="168483"/>
    <n v="10245"/>
    <n v="1"/>
    <n v="1850"/>
    <x v="4"/>
    <s v="Blown FB"/>
    <s v=""/>
    <n v="7.5000002980232239E-2"/>
    <n v="6932.7380000000003"/>
  </r>
  <r>
    <x v="5"/>
    <n v="0.9"/>
    <n v="209010"/>
    <n v="22179"/>
    <n v="1"/>
    <n v="900"/>
    <x v="11"/>
    <s v="Blown Cellulose"/>
    <s v=""/>
    <n v="7.5000002980232239E-2"/>
    <n v="3785.7640000000001"/>
  </r>
  <r>
    <x v="5"/>
    <n v="0.9"/>
    <n v="116549"/>
    <n v="22212"/>
    <n v="1"/>
    <n v="1632"/>
    <x v="12"/>
    <s v="Mixed"/>
    <s v=""/>
    <n v="7.5000002980232239E-2"/>
    <n v="1612.692"/>
  </r>
  <r>
    <x v="5"/>
    <n v="0.9"/>
    <n v="70052"/>
    <n v="21459"/>
    <n v="1"/>
    <n v="625"/>
    <x v="15"/>
    <s v=""/>
    <s v="Sketch shows non-vaulted area as being 625 sq ft but does not provide other details, added missing ceiling area of 625, left other parameters unk"/>
    <n v="7.5000002980232239E-2"/>
    <n v="1144.6790000000001"/>
  </r>
  <r>
    <x v="5"/>
    <n v="0.9"/>
    <n v="192513"/>
    <n v="13490"/>
    <n v="1"/>
    <n v="1560"/>
    <x v="4"/>
    <s v="Blown Cellulose"/>
    <s v=""/>
    <n v="7.5000002980232239E-2"/>
    <n v="1464.694"/>
  </r>
  <r>
    <x v="5"/>
    <n v="0.9"/>
    <n v="59059"/>
    <n v="10401"/>
    <n v="1"/>
    <n v="1488"/>
    <x v="5"/>
    <s v="Mixed"/>
    <s v=""/>
    <n v="7.5000002980232239E-2"/>
    <n v="2003.7159999999999"/>
  </r>
  <r>
    <x v="5"/>
    <n v="0.9"/>
    <n v="159065"/>
    <n v="11914"/>
    <n v="1"/>
    <n v="1500"/>
    <x v="4"/>
    <s v="Blown Cellulose"/>
    <s v=""/>
    <n v="7.5000002980232239E-2"/>
    <n v="6932.7380000000003"/>
  </r>
  <r>
    <x v="5"/>
    <n v="0.9"/>
    <n v="180302"/>
    <n v="24093"/>
    <n v="1"/>
    <n v="1241"/>
    <x v="14"/>
    <s v="Blown FB"/>
    <s v=""/>
    <n v="7.5000002980232239E-2"/>
    <n v="1192.4649999999999"/>
  </r>
  <r>
    <x v="5"/>
    <n v="0.9"/>
    <n v="201901"/>
    <n v="22087"/>
    <n v="2"/>
    <n v="860"/>
    <x v="12"/>
    <s v="Batt Fiberglass"/>
    <s v=""/>
    <n v="7.5000002980232239E-2"/>
    <n v="1612.692"/>
  </r>
  <r>
    <x v="5"/>
    <n v="0.9"/>
    <n v="209139"/>
    <n v="23233"/>
    <n v="1"/>
    <n v="1972"/>
    <x v="12"/>
    <s v="Blown FB"/>
    <s v=""/>
    <n v="7.5000002980232239E-2"/>
    <n v="1904.288"/>
  </r>
  <r>
    <x v="5"/>
    <n v="0.9"/>
    <n v="203403"/>
    <n v="20976"/>
    <n v="1"/>
    <n v="1050"/>
    <x v="12"/>
    <s v="Mixed"/>
    <s v=""/>
    <n v="7.5000002980232239E-2"/>
    <n v="1192.4649999999999"/>
  </r>
  <r>
    <x v="5"/>
    <n v="0.9"/>
    <n v="41514"/>
    <n v="11971"/>
    <n v="1"/>
    <n v="1400"/>
    <x v="40"/>
    <s v="Blown Rock Wool"/>
    <s v=""/>
    <n v="7.5000002980232239E-2"/>
    <n v="1524.7619999999999"/>
  </r>
  <r>
    <x v="5"/>
    <n v="0.9"/>
    <n v="39591"/>
    <n v="12242"/>
    <n v="1"/>
    <n v="834"/>
    <x v="11"/>
    <s v="Mixed"/>
    <s v=""/>
    <n v="7.5000002980232239E-2"/>
    <n v="1524.7619999999999"/>
  </r>
  <r>
    <x v="5"/>
    <n v="0.9"/>
    <n v="116222"/>
    <n v="13154"/>
    <n v="1"/>
    <n v="1435"/>
    <x v="25"/>
    <s v="Blown FB"/>
    <s v=""/>
    <n v="7.5000002980232239E-2"/>
    <n v="4956.4930000000004"/>
  </r>
  <r>
    <x v="5"/>
    <n v="0.9"/>
    <n v="173875"/>
    <n v="22024"/>
    <n v="1"/>
    <n v="1540"/>
    <x v="12"/>
    <s v="Mixed"/>
    <s v=""/>
    <n v="7.5000002980232239E-2"/>
    <n v="1192.4649999999999"/>
  </r>
  <r>
    <x v="5"/>
    <n v="0.9"/>
    <n v="213625"/>
    <n v="23830"/>
    <n v="1"/>
    <n v="1968"/>
    <x v="8"/>
    <s v="Mixed"/>
    <s v=""/>
    <n v="7.5000002980232239E-2"/>
    <n v="1612.692"/>
  </r>
  <r>
    <x v="5"/>
    <n v="0.9"/>
    <n v="220365"/>
    <n v="23640"/>
    <n v="1"/>
    <n v="788"/>
    <x v="5"/>
    <s v="Blown FB"/>
    <s v=""/>
    <n v="7.5000002980232239E-2"/>
    <n v="2130.886"/>
  </r>
  <r>
    <x v="5"/>
    <n v="0.9"/>
    <n v="172715"/>
    <n v="11675"/>
    <n v="1"/>
    <n v="1622"/>
    <x v="5"/>
    <s v="Mixed"/>
    <s v=""/>
    <n v="7.5000002980232239E-2"/>
    <n v="6932.7380000000003"/>
  </r>
  <r>
    <x v="5"/>
    <n v="0.9"/>
    <n v="163967"/>
    <n v="24559"/>
    <n v="1"/>
    <n v="1500"/>
    <x v="14"/>
    <s v="Mixed"/>
    <s v=""/>
    <n v="7.5000002980232239E-2"/>
    <n v="2130.886"/>
  </r>
  <r>
    <x v="5"/>
    <n v="0.9"/>
    <n v="161361"/>
    <n v="20593"/>
    <n v="1"/>
    <n v="2455"/>
    <x v="4"/>
    <s v="Blown FB"/>
    <s v=""/>
    <n v="7.5000002980232239E-2"/>
    <n v="2130.886"/>
  </r>
  <r>
    <x v="5"/>
    <n v="0.9"/>
    <n v="41063"/>
    <n v="14017"/>
    <n v="1"/>
    <n v="1218"/>
    <x v="32"/>
    <s v="Blown FB"/>
    <s v=""/>
    <n v="7.5000002980232239E-2"/>
    <n v="1188.027"/>
  </r>
  <r>
    <x v="5"/>
    <n v="0.9"/>
    <n v="156022"/>
    <n v="20408"/>
    <n v="1"/>
    <n v="1075"/>
    <x v="12"/>
    <s v="Blown FB"/>
    <s v=""/>
    <n v="7.5000002980232239E-2"/>
    <n v="2079.9929999999999"/>
  </r>
  <r>
    <x v="5"/>
    <n v="0.9"/>
    <n v="68795"/>
    <n v="20716"/>
    <n v="1"/>
    <n v="822"/>
    <x v="14"/>
    <s v="Blown FB"/>
    <s v=""/>
    <n v="7.5000002980232239E-2"/>
    <n v="1144.6790000000001"/>
  </r>
  <r>
    <x v="5"/>
    <n v="0.9"/>
    <n v="230280"/>
    <n v="21003"/>
    <n v="1"/>
    <n v="2513"/>
    <x v="13"/>
    <s v="Blown FB"/>
    <s v=""/>
    <n v="7.5000002980232239E-2"/>
    <n v="2079.9929999999999"/>
  </r>
  <r>
    <x v="5"/>
    <n v="0.9"/>
    <n v="242119"/>
    <n v="22854"/>
    <n v="1"/>
    <n v="1222"/>
    <x v="15"/>
    <s v=""/>
    <s v="no attic access in whole house"/>
    <n v="7.5000002980232239E-2"/>
    <n v="1144.6790000000001"/>
  </r>
  <r>
    <x v="5"/>
    <n v="0.9"/>
    <n v="803121"/>
    <n v="14143"/>
    <n v="1"/>
    <n v="1152"/>
    <x v="12"/>
    <s v="Blown FB"/>
    <s v=""/>
    <n v="7.5000002980232239E-2"/>
    <n v="1464.694"/>
  </r>
  <r>
    <x v="5"/>
    <n v="0.9"/>
    <n v="802994"/>
    <n v="12111"/>
    <n v="2"/>
    <n v="300"/>
    <x v="12"/>
    <s v="Blown FB"/>
    <s v=""/>
    <n v="7.5000002980232239E-2"/>
    <n v="1464.694"/>
  </r>
  <r>
    <x v="5"/>
    <n v="0.9"/>
    <n v="80879"/>
    <n v="23178"/>
    <n v="1"/>
    <n v="1188"/>
    <x v="14"/>
    <s v="Blown Cellulose"/>
    <s v=""/>
    <n v="7.5000002980232239E-2"/>
    <n v="3785.7640000000001"/>
  </r>
  <r>
    <x v="5"/>
    <n v="0.9"/>
    <n v="229812"/>
    <n v="24770"/>
    <n v="1"/>
    <n v="1532"/>
    <x v="14"/>
    <s v="Blown FB"/>
    <s v=""/>
    <n v="7.5000002980232239E-2"/>
    <n v="3785.7640000000001"/>
  </r>
  <r>
    <x v="5"/>
    <n v="0.9"/>
    <n v="98607"/>
    <n v="20185"/>
    <n v="1"/>
    <n v="1008"/>
    <x v="13"/>
    <s v="Blown Cellulose"/>
    <s v=""/>
    <n v="7.5000002980232239E-2"/>
    <n v="1904.288"/>
  </r>
  <r>
    <x v="5"/>
    <n v="0.9"/>
    <n v="677473"/>
    <n v="13131"/>
    <n v="1"/>
    <n v="1324"/>
    <x v="11"/>
    <s v="Mixed"/>
    <s v="mixed 3&quot; blown rock wool and R30 fiberglass bats"/>
    <n v="7.5000002980232239E-2"/>
    <n v="1464.694"/>
  </r>
  <r>
    <x v="5"/>
    <n v="0.9"/>
    <n v="195921"/>
    <n v="22302"/>
    <n v="1"/>
    <n v="1953"/>
    <x v="12"/>
    <s v="Blown FB"/>
    <s v=""/>
    <n v="7.5000002980232239E-2"/>
    <n v="1612.692"/>
  </r>
  <r>
    <x v="5"/>
    <n v="0.9"/>
    <n v="229812"/>
    <n v="24770"/>
    <n v="2"/>
    <n v="78"/>
    <x v="4"/>
    <s v="Blown FB"/>
    <s v="FLAT CEILING IN ONUS ROOM"/>
    <n v="7.5000002980232239E-2"/>
    <n v="3785.7640000000001"/>
  </r>
  <r>
    <x v="5"/>
    <n v="0.9"/>
    <n v="71482"/>
    <n v="21436"/>
    <n v="1"/>
    <n v="816"/>
    <x v="14"/>
    <s v="Blown FB"/>
    <s v=""/>
    <n v="7.5000002980232239E-2"/>
    <n v="3785.7640000000001"/>
  </r>
  <r>
    <x v="5"/>
    <n v="0.9"/>
    <n v="143079"/>
    <n v="21176"/>
    <n v="1"/>
    <n v="789"/>
    <x v="14"/>
    <s v="Blown FB"/>
    <s v=""/>
    <n v="7.5000002980232239E-2"/>
    <n v="1192.4649999999999"/>
  </r>
  <r>
    <x v="5"/>
    <n v="0.9"/>
    <n v="205939"/>
    <n v="22181"/>
    <n v="2"/>
    <n v="638"/>
    <x v="11"/>
    <s v="Blown FB"/>
    <s v=""/>
    <n v="7.5000002980232239E-2"/>
    <n v="1192.4649999999999"/>
  </r>
  <r>
    <x v="5"/>
    <n v="0.9"/>
    <n v="202228"/>
    <n v="20156"/>
    <n v="1"/>
    <n v="691"/>
    <x v="12"/>
    <s v="Mixed"/>
    <s v=""/>
    <n v="7.5000002980232239E-2"/>
    <n v="1612.692"/>
  </r>
  <r>
    <x v="5"/>
    <n v="0.9"/>
    <n v="184889"/>
    <n v="20154"/>
    <n v="1"/>
    <n v="1620"/>
    <x v="12"/>
    <s v="Blown FB"/>
    <s v=""/>
    <n v="7.5000002980232239E-2"/>
    <n v="3785.7640000000001"/>
  </r>
  <r>
    <x v="5"/>
    <n v="0.9"/>
    <n v="48886"/>
    <n v="22612"/>
    <n v="1"/>
    <n v="1900"/>
    <x v="6"/>
    <s v="Blown FB"/>
    <s v=""/>
    <n v="7.5000002980232239E-2"/>
    <n v="3785.7640000000001"/>
  </r>
  <r>
    <x v="5"/>
    <n v="0.9"/>
    <n v="722484"/>
    <n v="22177"/>
    <n v="2"/>
    <n v="960"/>
    <x v="11"/>
    <s v="Batt Fiberglass"/>
    <s v="based on participant response"/>
    <n v="7.5000002980232239E-2"/>
    <n v="1612.692"/>
  </r>
  <r>
    <x v="5"/>
    <n v="0.9"/>
    <n v="229086"/>
    <n v="14181"/>
    <n v="3"/>
    <n v="66"/>
    <x v="14"/>
    <s v="Batt Fiberglass"/>
    <s v=""/>
    <n v="7.5000002980232239E-2"/>
    <n v="1524.7619999999999"/>
  </r>
  <r>
    <x v="5"/>
    <n v="0.9"/>
    <n v="113483"/>
    <n v="23946"/>
    <n v="1"/>
    <n v="832"/>
    <x v="12"/>
    <s v="Blown FB"/>
    <s v=""/>
    <n v="7.5000002980232239E-2"/>
    <n v="2079.9929999999999"/>
  </r>
  <r>
    <x v="5"/>
    <n v="0.9"/>
    <n v="121950"/>
    <n v="24245"/>
    <n v="1"/>
    <n v="864"/>
    <x v="12"/>
    <s v="Blown FB"/>
    <s v=""/>
    <n v="7.5000002980232239E-2"/>
    <n v="1612.692"/>
  </r>
  <r>
    <x v="5"/>
    <n v="0.9"/>
    <n v="168197"/>
    <n v="21791"/>
    <n v="1"/>
    <n v="1350"/>
    <x v="32"/>
    <s v="Blown FB"/>
    <s v=""/>
    <n v="7.5000002980232239E-2"/>
    <n v="1612.692"/>
  </r>
  <r>
    <x v="5"/>
    <n v="0.9"/>
    <n v="142538"/>
    <n v="20184"/>
    <n v="1"/>
    <n v="1135"/>
    <x v="5"/>
    <s v="Batt Fiberglass"/>
    <s v=""/>
    <n v="7.5000002980232239E-2"/>
    <n v="1612.692"/>
  </r>
  <r>
    <x v="5"/>
    <n v="0.9"/>
    <n v="151314"/>
    <n v="20448"/>
    <n v="1"/>
    <n v="1921"/>
    <x v="12"/>
    <s v="Batt Fiberglass"/>
    <s v=""/>
    <n v="7.5000002980232239E-2"/>
    <n v="1612.692"/>
  </r>
  <r>
    <x v="5"/>
    <n v="0.9"/>
    <n v="45192"/>
    <n v="21016"/>
    <n v="1"/>
    <n v="988"/>
    <x v="14"/>
    <s v="Blown FB"/>
    <s v=""/>
    <n v="7.5000002980232239E-2"/>
    <n v="3785.7640000000001"/>
  </r>
  <r>
    <x v="5"/>
    <n v="0.9"/>
    <n v="84545"/>
    <n v="13752"/>
    <n v="1"/>
    <n v="1800"/>
    <x v="4"/>
    <s v="Blown FB"/>
    <s v=""/>
    <n v="7.5000002980232239E-2"/>
    <n v="2003.7159999999999"/>
  </r>
  <r>
    <x v="5"/>
    <n v="0.9"/>
    <n v="229701"/>
    <n v="20108"/>
    <n v="1"/>
    <n v="1345"/>
    <x v="14"/>
    <s v="Blown FB"/>
    <s v=""/>
    <n v="7.5000002980232239E-2"/>
    <n v="3785.7640000000001"/>
  </r>
  <r>
    <x v="5"/>
    <n v="0.9"/>
    <n v="210199"/>
    <n v="12303"/>
    <n v="1"/>
    <n v="2376"/>
    <x v="11"/>
    <s v="Blown FB"/>
    <s v=""/>
    <n v="7.5000002980232239E-2"/>
    <n v="1464.694"/>
  </r>
  <r>
    <x v="5"/>
    <n v="0.9"/>
    <n v="36324"/>
    <n v="13756"/>
    <n v="1"/>
    <n v="1363"/>
    <x v="4"/>
    <s v="Blown Cellulose"/>
    <s v=""/>
    <n v="7.5000002980232239E-2"/>
    <n v="1188.027"/>
  </r>
  <r>
    <x v="5"/>
    <n v="0.9"/>
    <n v="177097"/>
    <n v="23355"/>
    <n v="1"/>
    <n v="2064"/>
    <x v="12"/>
    <s v="Blown FB"/>
    <s v=""/>
    <n v="7.5000002980232239E-2"/>
    <n v="1192.4649999999999"/>
  </r>
  <r>
    <x v="5"/>
    <n v="0.9"/>
    <n v="128292"/>
    <n v="22333"/>
    <n v="1"/>
    <n v="927"/>
    <x v="39"/>
    <s v="Batt Fiberglass"/>
    <s v=""/>
    <n v="7.5000002980232239E-2"/>
    <n v="1144.6790000000001"/>
  </r>
  <r>
    <x v="5"/>
    <n v="0.9"/>
    <n v="96069"/>
    <n v="14051"/>
    <n v="1"/>
    <n v="1344"/>
    <x v="14"/>
    <s v="Mixed"/>
    <s v=""/>
    <n v="7.5000002980232239E-2"/>
    <n v="1188.027"/>
  </r>
  <r>
    <x v="5"/>
    <n v="0.9"/>
    <n v="118358"/>
    <n v="12214"/>
    <n v="1"/>
    <n v="1100"/>
    <x v="4"/>
    <s v="Mixed"/>
    <s v=""/>
    <n v="7.5000002980232239E-2"/>
    <n v="4956.4930000000004"/>
  </r>
  <r>
    <x v="5"/>
    <n v="0.9"/>
    <n v="684002"/>
    <n v="21414"/>
    <n v="1"/>
    <n v="1369"/>
    <x v="12"/>
    <s v="Blown FB"/>
    <s v=""/>
    <n v="7.5000002980232239E-2"/>
    <n v="12271.31"/>
  </r>
  <r>
    <x v="5"/>
    <n v="0.9"/>
    <n v="211273"/>
    <n v="21483"/>
    <n v="1"/>
    <n v="1836"/>
    <x v="12"/>
    <s v="Blown FB"/>
    <s v=""/>
    <n v="7.5000002980232239E-2"/>
    <n v="1904.288"/>
  </r>
  <r>
    <x v="5"/>
    <n v="0.9"/>
    <n v="222586"/>
    <n v="24563"/>
    <n v="1"/>
    <n v="1412"/>
    <x v="6"/>
    <s v="Blown FB"/>
    <s v=""/>
    <n v="7.5000002980232239E-2"/>
    <n v="3785.7640000000001"/>
  </r>
  <r>
    <x v="5"/>
    <n v="0.9"/>
    <n v="208895"/>
    <n v="21484"/>
    <n v="1"/>
    <n v="991"/>
    <x v="14"/>
    <s v="Blown Cellulose"/>
    <s v=""/>
    <n v="7.5000002980232239E-2"/>
    <n v="3785.7640000000001"/>
  </r>
  <r>
    <x v="5"/>
    <n v="0.9"/>
    <n v="677818"/>
    <n v="22909"/>
    <n v="1"/>
    <n v="1160"/>
    <x v="11"/>
    <s v="Blown FB"/>
    <s v=""/>
    <n v="7.5000002980232239E-2"/>
    <n v="3785.7640000000001"/>
  </r>
  <r>
    <x v="5"/>
    <n v="0.9"/>
    <n v="221796"/>
    <n v="13912"/>
    <n v="1"/>
    <n v="1192"/>
    <x v="29"/>
    <s v="Blown FB"/>
    <s v=""/>
    <n v="7.5000002980232239E-2"/>
    <n v="2003.7159999999999"/>
  </r>
  <r>
    <x v="5"/>
    <n v="0.9"/>
    <n v="184651"/>
    <n v="21733"/>
    <n v="1"/>
    <n v="851"/>
    <x v="14"/>
    <s v="Blown FB"/>
    <s v=""/>
    <n v="7.5000002980232239E-2"/>
    <n v="1192.4649999999999"/>
  </r>
  <r>
    <x v="5"/>
    <n v="0.9"/>
    <n v="220979"/>
    <n v="24227"/>
    <n v="1"/>
    <n v="1260"/>
    <x v="5"/>
    <s v="Blown Cellulose"/>
    <s v=""/>
    <n v="7.5000002980232239E-2"/>
    <n v="2130.886"/>
  </r>
  <r>
    <x v="5"/>
    <n v="0.9"/>
    <n v="44967"/>
    <n v="14052"/>
    <n v="1"/>
    <n v="1978"/>
    <x v="8"/>
    <s v="Mixed"/>
    <s v=""/>
    <n v="7.5000002980232239E-2"/>
    <n v="1188.027"/>
  </r>
  <r>
    <x v="5"/>
    <n v="0.9"/>
    <n v="802596"/>
    <n v="10068"/>
    <n v="1"/>
    <n v="1537"/>
    <x v="5"/>
    <s v="Blown Cellulose"/>
    <s v=""/>
    <n v="7.5000002980232239E-2"/>
    <n v="2003.7159999999999"/>
  </r>
  <r>
    <x v="5"/>
    <n v="0.9"/>
    <n v="161218"/>
    <n v="22950"/>
    <n v="1"/>
    <n v="1740"/>
    <x v="14"/>
    <s v="Blown FB"/>
    <s v=""/>
    <n v="7.5000002980232239E-2"/>
    <n v="2130.886"/>
  </r>
  <r>
    <x v="5"/>
    <n v="0.9"/>
    <n v="204915"/>
    <n v="22869"/>
    <n v="1"/>
    <n v="1106"/>
    <x v="12"/>
    <s v="Batt Fiberglass"/>
    <s v=""/>
    <n v="7.5000002980232239E-2"/>
    <n v="2079.9929999999999"/>
  </r>
  <r>
    <x v="5"/>
    <n v="0.9"/>
    <n v="189026"/>
    <n v="23335"/>
    <n v="1"/>
    <n v="1719"/>
    <x v="14"/>
    <s v="Blown FB"/>
    <s v=""/>
    <n v="7.5000002980232239E-2"/>
    <n v="1192.4649999999999"/>
  </r>
  <r>
    <x v="5"/>
    <n v="0.9"/>
    <n v="151436"/>
    <n v="22566"/>
    <n v="1"/>
    <n v="849"/>
    <x v="20"/>
    <s v="Batt Fiberglass"/>
    <s v=""/>
    <n v="7.5000002980232239E-2"/>
    <n v="1144.6790000000001"/>
  </r>
  <r>
    <x v="5"/>
    <n v="0.9"/>
    <n v="172366"/>
    <n v="20485"/>
    <n v="1"/>
    <n v="2696"/>
    <x v="14"/>
    <s v="Mixed"/>
    <s v=""/>
    <n v="7.5000002980232239E-2"/>
    <n v="3785.7640000000001"/>
  </r>
  <r>
    <x v="5"/>
    <n v="0.9"/>
    <n v="102910"/>
    <n v="21320"/>
    <n v="1"/>
    <n v="1953"/>
    <x v="11"/>
    <s v="Blown FB"/>
    <s v=""/>
    <n v="7.5000002980232239E-2"/>
    <n v="2079.9929999999999"/>
  </r>
  <r>
    <x v="5"/>
    <n v="0.9"/>
    <n v="691695"/>
    <n v="22413"/>
    <n v="1"/>
    <n v="1218"/>
    <x v="12"/>
    <s v="Blown FB"/>
    <s v=""/>
    <n v="7.5000002980232239E-2"/>
    <n v="3785.7640000000001"/>
  </r>
  <r>
    <x v="5"/>
    <n v="0.9"/>
    <n v="168833"/>
    <n v="20861"/>
    <n v="1"/>
    <n v="960"/>
    <x v="4"/>
    <s v="Mixed"/>
    <s v=""/>
    <n v="7.5000002980232239E-2"/>
    <n v="2130.886"/>
  </r>
  <r>
    <x v="5"/>
    <n v="0.9"/>
    <n v="219677"/>
    <n v="11504"/>
    <n v="2"/>
    <n v="506"/>
    <x v="13"/>
    <s v="Batt Fiberglass"/>
    <s v=""/>
    <n v="7.5000002980232239E-2"/>
    <n v="6932.7380000000003"/>
  </r>
  <r>
    <x v="5"/>
    <n v="0.9"/>
    <n v="74724"/>
    <n v="20066"/>
    <n v="1"/>
    <n v="2300"/>
    <x v="25"/>
    <s v="Batt Fiberglass"/>
    <s v=""/>
    <n v="7.5000002980232239E-2"/>
    <n v="2079.9929999999999"/>
  </r>
  <r>
    <x v="5"/>
    <n v="0.9"/>
    <n v="30141"/>
    <n v="10288"/>
    <n v="1"/>
    <n v="1077"/>
    <x v="12"/>
    <s v="Blown FB"/>
    <s v=""/>
    <n v="7.5000002980232239E-2"/>
    <n v="1524.7619999999999"/>
  </r>
  <r>
    <x v="5"/>
    <n v="0.9"/>
    <n v="96480"/>
    <n v="22233"/>
    <n v="1"/>
    <n v="1728"/>
    <x v="12"/>
    <s v="Blown FB"/>
    <s v=""/>
    <n v="7.5000002980232239E-2"/>
    <n v="1925.059"/>
  </r>
  <r>
    <x v="5"/>
    <n v="0.9"/>
    <n v="65588"/>
    <n v="11980"/>
    <n v="1"/>
    <n v="395"/>
    <x v="11"/>
    <s v="Blown Rock Wool"/>
    <s v=""/>
    <n v="7.5000002980232239E-2"/>
    <n v="1524.7619999999999"/>
  </r>
  <r>
    <x v="5"/>
    <n v="0.9"/>
    <n v="229439"/>
    <n v="21961"/>
    <n v="1"/>
    <n v="1056"/>
    <x v="13"/>
    <s v="Mixed"/>
    <s v="The flat attic and kneewalls rakes were insulated to R38 in 1991.  The sloped portions of the attic (cathedral) are not insulated.  This information was taken from a previous homeowner's records since the kneewalls and attic were not accessible"/>
    <n v="7.5000002980232239E-2"/>
    <n v="2079.9929999999999"/>
  </r>
  <r>
    <x v="5"/>
    <n v="0.9"/>
    <n v="171802"/>
    <n v="21374"/>
    <n v="1"/>
    <n v="1289"/>
    <x v="8"/>
    <s v="Blown FB"/>
    <s v=""/>
    <n v="7.5000002980232239E-2"/>
    <n v="1612.692"/>
  </r>
  <r>
    <x v="5"/>
    <n v="0.9"/>
    <n v="231292"/>
    <n v="12146"/>
    <n v="1"/>
    <n v="2216"/>
    <x v="4"/>
    <s v="Blown Cellulose"/>
    <s v=""/>
    <n v="7.5000002980232239E-2"/>
    <n v="1464.694"/>
  </r>
  <r>
    <x v="5"/>
    <n v="0.9"/>
    <n v="205033"/>
    <n v="20970"/>
    <n v="1"/>
    <n v="1327"/>
    <x v="12"/>
    <s v="Blown FB"/>
    <s v=""/>
    <n v="7.5000002980232239E-2"/>
    <n v="2079.9929999999999"/>
  </r>
  <r>
    <x v="5"/>
    <n v="0.9"/>
    <n v="147338"/>
    <n v="20958"/>
    <n v="1"/>
    <n v="1200"/>
    <x v="1"/>
    <s v="Blown Cellulose"/>
    <s v=""/>
    <n v="7.5000002980232239E-2"/>
    <n v="1192.4649999999999"/>
  </r>
  <r>
    <x v="5"/>
    <n v="0.9"/>
    <n v="158163"/>
    <n v="20155"/>
    <n v="1"/>
    <n v="1676"/>
    <x v="8"/>
    <s v="Mixed"/>
    <s v=""/>
    <n v="7.5000002980232239E-2"/>
    <n v="1612.692"/>
  </r>
  <r>
    <x v="5"/>
    <n v="0.9"/>
    <n v="32175"/>
    <n v="20363"/>
    <n v="1"/>
    <n v="1386"/>
    <x v="2"/>
    <s v="Blown FB"/>
    <s v=""/>
    <n v="7.5000002980232239E-2"/>
    <n v="2130.886"/>
  </r>
  <r>
    <x v="5"/>
    <n v="0.9"/>
    <n v="720240"/>
    <n v="20411"/>
    <n v="1"/>
    <n v="1134"/>
    <x v="12"/>
    <s v="Blown FB"/>
    <s v=""/>
    <n v="7.5000002980232239E-2"/>
    <n v="3785.7640000000001"/>
  </r>
  <r>
    <x v="5"/>
    <n v="0.9"/>
    <n v="103331"/>
    <n v="20325"/>
    <n v="1"/>
    <n v="1107"/>
    <x v="12"/>
    <s v=""/>
    <s v="MAJORITY OF HOME HAS 8' CEILINGS, WHILE THE LIVING ROOM HAS A 14' VAULT   ATTIC ACCESS IS IN CLOSET AND BLOCKED BY BUILT IN SHELVING."/>
    <n v="7.5000002980232239E-2"/>
    <n v="1925.059"/>
  </r>
  <r>
    <x v="5"/>
    <n v="1"/>
    <n v="195500"/>
    <n v="13055"/>
    <n v="1"/>
    <n v="1622"/>
    <x v="4"/>
    <s v="Blown Cellulose"/>
    <s v=""/>
    <n v="2.500000037252903E-2"/>
    <n v="4956.4930000000004"/>
  </r>
  <r>
    <x v="5"/>
    <n v="1"/>
    <n v="233964"/>
    <n v="10411"/>
    <n v="1"/>
    <n v="1516"/>
    <x v="12"/>
    <s v="Mixed"/>
    <s v="Numbers based on Washington State code and homeowner information.  The attic was not accessible although I did locate a small hole in the garage that I could see into enough to get a pretty good educated guess to verify the above information."/>
    <n v="2.500000037252903E-2"/>
    <n v="1150.8789999999999"/>
  </r>
  <r>
    <x v="5"/>
    <n v="1"/>
    <n v="58469"/>
    <n v="11289"/>
    <n v="1"/>
    <n v="801"/>
    <x v="4"/>
    <s v="Mixed"/>
    <s v=""/>
    <n v="2.500000037252903E-2"/>
    <n v="1524.7619999999999"/>
  </r>
  <r>
    <x v="5"/>
    <n v="1"/>
    <n v="35702"/>
    <n v="12614"/>
    <n v="1"/>
    <n v="384"/>
    <x v="13"/>
    <s v="Batt Fiberglass"/>
    <s v=""/>
    <n v="2.500000037252903E-2"/>
    <n v="1524.7619999999999"/>
  </r>
  <r>
    <x v="5"/>
    <n v="1"/>
    <n v="235694"/>
    <n v="13166"/>
    <n v="1"/>
    <n v="335"/>
    <x v="4"/>
    <s v="Blown FB"/>
    <s v=""/>
    <n v="2.500000037252903E-2"/>
    <n v="1524.7619999999999"/>
  </r>
  <r>
    <x v="5"/>
    <n v="1"/>
    <n v="172917"/>
    <n v="13127"/>
    <n v="1"/>
    <n v="684"/>
    <x v="4"/>
    <s v="Blown FB"/>
    <s v=""/>
    <n v="2.500000037252903E-2"/>
    <n v="4956.4930000000004"/>
  </r>
  <r>
    <x v="5"/>
    <n v="1"/>
    <n v="140764"/>
    <n v="23504"/>
    <n v="1"/>
    <n v="1176"/>
    <x v="8"/>
    <s v="Blown Cellulose"/>
    <s v=""/>
    <n v="2.500000037252903E-2"/>
    <n v="1612.692"/>
  </r>
  <r>
    <x v="5"/>
    <n v="1"/>
    <n v="206960"/>
    <n v="11774"/>
    <n v="1"/>
    <n v="1386"/>
    <x v="13"/>
    <s v="Mixed"/>
    <s v=""/>
    <n v="2.500000037252903E-2"/>
    <n v="6932.7380000000003"/>
  </r>
  <r>
    <x v="5"/>
    <n v="1"/>
    <n v="222470"/>
    <n v="14577"/>
    <n v="1"/>
    <n v="1292"/>
    <x v="8"/>
    <s v="Mixed"/>
    <s v=""/>
    <n v="2.500000037252903E-2"/>
    <n v="6932.7380000000003"/>
  </r>
  <r>
    <x v="5"/>
    <n v="1"/>
    <n v="112196"/>
    <n v="24341"/>
    <n v="1"/>
    <n v="1888"/>
    <x v="13"/>
    <s v="Blown FB"/>
    <s v=""/>
    <n v="2.500000037252903E-2"/>
    <n v="1904.288"/>
  </r>
  <r>
    <x v="5"/>
    <n v="1"/>
    <n v="103188"/>
    <n v="10305"/>
    <n v="1"/>
    <n v="1695"/>
    <x v="4"/>
    <s v="Blown FB"/>
    <s v=""/>
    <n v="2.500000037252903E-2"/>
    <n v="2003.7159999999999"/>
  </r>
  <r>
    <x v="5"/>
    <n v="1"/>
    <n v="158509"/>
    <n v="11808"/>
    <n v="1"/>
    <n v="1000"/>
    <x v="4"/>
    <s v="Mixed"/>
    <s v=""/>
    <n v="2.500000037252903E-2"/>
    <n v="4956.4930000000004"/>
  </r>
  <r>
    <x v="5"/>
    <n v="1"/>
    <n v="60171"/>
    <n v="10605"/>
    <n v="1"/>
    <n v="1455"/>
    <x v="4"/>
    <s v="Blown FB"/>
    <s v=""/>
    <n v="2.500000037252903E-2"/>
    <n v="2003.7159999999999"/>
  </r>
  <r>
    <x v="5"/>
    <n v="1"/>
    <n v="681686"/>
    <n v="20028"/>
    <n v="1"/>
    <n v="1722"/>
    <x v="12"/>
    <s v="Blown FB"/>
    <s v=""/>
    <n v="2.500000037252903E-2"/>
    <n v="6932.7380000000003"/>
  </r>
  <r>
    <x v="5"/>
    <n v="1"/>
    <n v="143275"/>
    <n v="12889"/>
    <n v="2"/>
    <n v="822"/>
    <x v="4"/>
    <s v="Mixed"/>
    <s v=""/>
    <n v="2.500000037252903E-2"/>
    <n v="4956.4930000000004"/>
  </r>
  <r>
    <x v="5"/>
    <n v="1"/>
    <n v="192926"/>
    <n v="21638"/>
    <n v="1"/>
    <n v="956"/>
    <x v="14"/>
    <s v="Other"/>
    <s v=""/>
    <n v="2.500000037252903E-2"/>
    <n v="2130.886"/>
  </r>
  <r>
    <x v="5"/>
    <n v="1"/>
    <n v="110147"/>
    <n v="24224"/>
    <n v="1"/>
    <n v="1131"/>
    <x v="13"/>
    <s v="Blown FB"/>
    <s v=""/>
    <n v="2.500000037252903E-2"/>
    <n v="1904.288"/>
  </r>
  <r>
    <x v="5"/>
    <n v="1"/>
    <n v="672094"/>
    <n v="22703"/>
    <n v="1"/>
    <n v="806"/>
    <x v="12"/>
    <s v="Blown FB"/>
    <s v="476"/>
    <n v="2.500000037252903E-2"/>
    <n v="2079.9929999999999"/>
  </r>
  <r>
    <x v="5"/>
    <n v="1"/>
    <n v="205642"/>
    <n v="14211"/>
    <n v="1"/>
    <n v="990"/>
    <x v="12"/>
    <s v="Mixed"/>
    <s v=""/>
    <n v="2.500000037252903E-2"/>
    <n v="1524.7619999999999"/>
  </r>
  <r>
    <x v="5"/>
    <n v="1"/>
    <n v="169969"/>
    <n v="23886"/>
    <n v="1"/>
    <n v="1091"/>
    <x v="43"/>
    <s v="Batt Fiberglass"/>
    <s v=""/>
    <n v="2.500000037252903E-2"/>
    <n v="1192.4649999999999"/>
  </r>
  <r>
    <x v="5"/>
    <n v="1"/>
    <n v="47406"/>
    <n v="12398"/>
    <n v="1"/>
    <n v="1000"/>
    <x v="4"/>
    <s v="Mixed"/>
    <s v=""/>
    <n v="2.500000037252903E-2"/>
    <n v="1524.7619999999999"/>
  </r>
  <r>
    <x v="5"/>
    <n v="1"/>
    <n v="83238"/>
    <n v="12278"/>
    <n v="1"/>
    <n v="990"/>
    <x v="12"/>
    <s v="Blown FB"/>
    <s v=""/>
    <n v="2.500000037252903E-2"/>
    <n v="2003.7159999999999"/>
  </r>
  <r>
    <x v="5"/>
    <n v="1"/>
    <n v="682943"/>
    <n v="20807"/>
    <n v="1"/>
    <n v="2610"/>
    <x v="12"/>
    <s v="Blown FB"/>
    <s v=""/>
    <n v="2.500000037252903E-2"/>
    <n v="12271.31"/>
  </r>
  <r>
    <x v="5"/>
    <n v="1"/>
    <n v="89647"/>
    <n v="24655"/>
    <n v="1"/>
    <n v="648"/>
    <x v="12"/>
    <s v="Blown Cellulose"/>
    <s v=""/>
    <n v="2.500000037252903E-2"/>
    <n v="1144.6790000000001"/>
  </r>
  <r>
    <x v="5"/>
    <n v="1"/>
    <n v="726805"/>
    <n v="20612"/>
    <n v="1"/>
    <n v="1602"/>
    <x v="11"/>
    <s v="Mixed"/>
    <s v=""/>
    <n v="2.500000037252903E-2"/>
    <n v="2079.9929999999999"/>
  </r>
  <r>
    <x v="5"/>
    <n v="1"/>
    <n v="61410"/>
    <n v="10657"/>
    <n v="1"/>
    <n v="1140"/>
    <x v="11"/>
    <s v="Batt Fiberglass"/>
    <s v=""/>
    <n v="2.500000037252903E-2"/>
    <n v="1524.7619999999999"/>
  </r>
  <r>
    <x v="5"/>
    <n v="1"/>
    <n v="216905"/>
    <n v="10728"/>
    <n v="1"/>
    <n v="810"/>
    <x v="11"/>
    <s v="Mixed"/>
    <s v=""/>
    <n v="2.500000037252903E-2"/>
    <n v="2003.7159999999999"/>
  </r>
  <r>
    <x v="5"/>
    <n v="1"/>
    <n v="157919"/>
    <n v="12825"/>
    <n v="1"/>
    <n v="791"/>
    <x v="4"/>
    <s v="Mixed"/>
    <s v=""/>
    <n v="2.500000037252903E-2"/>
    <n v="1524.7619999999999"/>
  </r>
  <r>
    <x v="5"/>
    <n v="1"/>
    <n v="48246"/>
    <n v="22855"/>
    <n v="1"/>
    <n v="1520"/>
    <x v="4"/>
    <s v="Blown Cellulose"/>
    <s v=""/>
    <n v="2.500000037252903E-2"/>
    <n v="2079.9929999999999"/>
  </r>
  <r>
    <x v="5"/>
    <n v="1"/>
    <n v="64495"/>
    <n v="11896"/>
    <n v="1"/>
    <n v="760"/>
    <x v="4"/>
    <s v="Batt Fiberglass"/>
    <s v=""/>
    <n v="2.500000037252903E-2"/>
    <n v="2003.7159999999999"/>
  </r>
  <r>
    <x v="5"/>
    <n v="1"/>
    <n v="31445"/>
    <n v="22245"/>
    <n v="1"/>
    <n v="952"/>
    <x v="4"/>
    <s v="Blown Cellulose"/>
    <s v=""/>
    <n v="2.500000037252903E-2"/>
    <n v="12271.31"/>
  </r>
  <r>
    <x v="5"/>
    <n v="1"/>
    <n v="53543"/>
    <n v="10254"/>
    <n v="1"/>
    <n v="2498"/>
    <x v="39"/>
    <s v="Batt Fiberglass"/>
    <s v=""/>
    <n v="2.500000037252903E-2"/>
    <n v="1188.027"/>
  </r>
  <r>
    <x v="5"/>
    <n v="1"/>
    <n v="181870"/>
    <n v="13880"/>
    <n v="1"/>
    <n v="1300"/>
    <x v="12"/>
    <s v="Blown FB"/>
    <s v=""/>
    <n v="2.500000037252903E-2"/>
    <n v="4956.4930000000004"/>
  </r>
  <r>
    <x v="5"/>
    <n v="1"/>
    <n v="217174"/>
    <n v="12183"/>
    <n v="1"/>
    <n v="559"/>
    <x v="11"/>
    <s v="Blown FB"/>
    <s v=""/>
    <n v="2.500000037252903E-2"/>
    <n v="4956.4930000000004"/>
  </r>
  <r>
    <x v="5"/>
    <n v="1"/>
    <n v="36761"/>
    <n v="22445"/>
    <n v="1"/>
    <n v="1800"/>
    <x v="8"/>
    <s v="Blown FB"/>
    <s v=""/>
    <n v="2.500000037252903E-2"/>
    <n v="12271.31"/>
  </r>
  <r>
    <x v="5"/>
    <n v="1"/>
    <n v="178152"/>
    <n v="20819"/>
    <n v="1"/>
    <n v="1350"/>
    <x v="12"/>
    <s v="Blown FB"/>
    <s v=""/>
    <n v="2.500000037252903E-2"/>
    <n v="1192.4649999999999"/>
  </r>
  <r>
    <x v="5"/>
    <n v="1"/>
    <n v="66711"/>
    <n v="10435"/>
    <n v="1"/>
    <n v="1398"/>
    <x v="12"/>
    <s v="Mixed"/>
    <s v=""/>
    <n v="2.500000037252903E-2"/>
    <n v="1524.7619999999999"/>
  </r>
  <r>
    <x v="5"/>
    <n v="1"/>
    <n v="193268"/>
    <n v="22291"/>
    <n v="1"/>
    <n v="1380"/>
    <x v="12"/>
    <s v="Blown FB"/>
    <s v=""/>
    <n v="2.500000037252903E-2"/>
    <n v="1192.4649999999999"/>
  </r>
  <r>
    <x v="5"/>
    <n v="1"/>
    <n v="689946"/>
    <n v="21188"/>
    <n v="1"/>
    <n v="1311"/>
    <x v="12"/>
    <s v="Mixed"/>
    <s v=""/>
    <n v="2.500000037252903E-2"/>
    <n v="4360.1880000000001"/>
  </r>
  <r>
    <x v="5"/>
    <n v="1"/>
    <n v="121726"/>
    <n v="20626"/>
    <n v="1"/>
    <n v="1400"/>
    <x v="13"/>
    <s v="Blown FB"/>
    <s v=""/>
    <n v="2.500000037252903E-2"/>
    <n v="1904.288"/>
  </r>
  <r>
    <x v="5"/>
    <n v="1"/>
    <n v="110603"/>
    <n v="21503"/>
    <n v="1"/>
    <n v="1600"/>
    <x v="4"/>
    <s v="Blown FB"/>
    <s v=""/>
    <n v="2.500000037252903E-2"/>
    <n v="2079.9929999999999"/>
  </r>
  <r>
    <x v="5"/>
    <n v="1"/>
    <n v="180463"/>
    <n v="24733"/>
    <n v="1"/>
    <n v="1140"/>
    <x v="4"/>
    <s v="Blown Cellulose"/>
    <s v=""/>
    <n v="2.500000037252903E-2"/>
    <n v="4360.1880000000001"/>
  </r>
  <r>
    <x v="5"/>
    <n v="1"/>
    <n v="62395"/>
    <n v="10866"/>
    <n v="1"/>
    <n v="2256"/>
    <x v="6"/>
    <s v="Blown Cellulose"/>
    <s v=""/>
    <n v="2.500000037252903E-2"/>
    <n v="2003.7159999999999"/>
  </r>
  <r>
    <x v="5"/>
    <n v="1"/>
    <n v="114097"/>
    <n v="20895"/>
    <n v="1"/>
    <n v="1192"/>
    <x v="8"/>
    <s v="Mixed"/>
    <s v=""/>
    <n v="2.500000037252903E-2"/>
    <n v="1612.692"/>
  </r>
  <r>
    <x v="5"/>
    <n v="1"/>
    <n v="229933"/>
    <n v="21678"/>
    <n v="1"/>
    <n v="1756"/>
    <x v="12"/>
    <s v="Blown FB"/>
    <s v=""/>
    <n v="2.500000037252903E-2"/>
    <n v="3785.7640000000001"/>
  </r>
  <r>
    <x v="5"/>
    <n v="1"/>
    <n v="105499"/>
    <n v="12755"/>
    <n v="1"/>
    <n v="1622"/>
    <x v="5"/>
    <s v="Blown FB"/>
    <s v=""/>
    <n v="2.500000037252903E-2"/>
    <n v="4956.4930000000004"/>
  </r>
  <r>
    <x v="5"/>
    <n v="1"/>
    <n v="68314"/>
    <n v="22673"/>
    <n v="2"/>
    <n v="930"/>
    <x v="4"/>
    <s v="Blown FB"/>
    <s v=""/>
    <n v="2.500000037252903E-2"/>
    <n v="1144.6790000000001"/>
  </r>
  <r>
    <x v="5"/>
    <n v="1"/>
    <n v="102521"/>
    <n v="11496"/>
    <n v="1"/>
    <n v="980"/>
    <x v="4"/>
    <s v="Blown Cellulose"/>
    <s v=""/>
    <n v="2.500000037252903E-2"/>
    <n v="4956.4930000000004"/>
  </r>
  <r>
    <x v="5"/>
    <n v="1"/>
    <n v="156333"/>
    <n v="13427"/>
    <n v="1"/>
    <n v="1653"/>
    <x v="15"/>
    <s v="Batt Fiberglass"/>
    <s v="Attic not accessible."/>
    <n v="2.500000037252903E-2"/>
    <n v="4956.4930000000004"/>
  </r>
  <r>
    <x v="5"/>
    <n v="1"/>
    <n v="93750"/>
    <n v="21263"/>
    <n v="1"/>
    <n v="1164"/>
    <x v="13"/>
    <s v="Blown FB"/>
    <s v=""/>
    <n v="2.500000037252903E-2"/>
    <n v="1904.288"/>
  </r>
  <r>
    <x v="5"/>
    <n v="1"/>
    <n v="110795"/>
    <n v="21578"/>
    <n v="1"/>
    <n v="1600"/>
    <x v="4"/>
    <s v="Blown FB"/>
    <s v=""/>
    <n v="2.500000037252903E-2"/>
    <n v="2079.9929999999999"/>
  </r>
  <r>
    <x v="5"/>
    <n v="1"/>
    <n v="94411"/>
    <n v="20477"/>
    <n v="1"/>
    <n v="1741"/>
    <x v="13"/>
    <s v="Blown Cellulose"/>
    <s v=""/>
    <n v="2.500000037252903E-2"/>
    <n v="1904.288"/>
  </r>
  <r>
    <x v="5"/>
    <n v="1"/>
    <n v="45660"/>
    <n v="20395"/>
    <n v="1"/>
    <n v="1000"/>
    <x v="4"/>
    <s v="Blown FB"/>
    <s v=""/>
    <n v="2.500000037252903E-2"/>
    <n v="8264.9449999999997"/>
  </r>
  <r>
    <x v="5"/>
    <n v="1"/>
    <n v="718027"/>
    <n v="11894"/>
    <n v="1"/>
    <n v="1127"/>
    <x v="4"/>
    <s v="Blown FB"/>
    <s v=""/>
    <n v="2.500000037252903E-2"/>
    <n v="4956.4930000000004"/>
  </r>
  <r>
    <x v="5"/>
    <n v="1"/>
    <n v="91819"/>
    <n v="23192"/>
    <n v="1"/>
    <n v="1612"/>
    <x v="13"/>
    <s v="Blown FB"/>
    <s v=""/>
    <n v="2.500000037252903E-2"/>
    <n v="1904.288"/>
  </r>
  <r>
    <x v="5"/>
    <n v="1"/>
    <n v="66218"/>
    <n v="10681"/>
    <n v="1"/>
    <n v="1960"/>
    <x v="6"/>
    <s v="Batt Fiberglass"/>
    <s v=""/>
    <n v="2.500000037252903E-2"/>
    <n v="2003.7159999999999"/>
  </r>
  <r>
    <x v="5"/>
    <n v="1"/>
    <n v="100977"/>
    <n v="11769"/>
    <n v="1"/>
    <n v="1400"/>
    <x v="4"/>
    <s v="Mixed"/>
    <s v=""/>
    <n v="2.500000037252903E-2"/>
    <n v="4956.4930000000004"/>
  </r>
  <r>
    <x v="5"/>
    <n v="1"/>
    <n v="240611"/>
    <n v="14012"/>
    <n v="1"/>
    <n v="1490"/>
    <x v="12"/>
    <s v="Blown FB"/>
    <s v=""/>
    <n v="2.500000037252903E-2"/>
    <n v="2003.7159999999999"/>
  </r>
  <r>
    <x v="5"/>
    <n v="1"/>
    <n v="98331"/>
    <n v="20095"/>
    <n v="1"/>
    <n v="1247"/>
    <x v="13"/>
    <s v="Blown FB"/>
    <s v=""/>
    <n v="2.500000037252903E-2"/>
    <n v="1904.288"/>
  </r>
  <r>
    <x v="5"/>
    <n v="1"/>
    <n v="54535"/>
    <n v="23196"/>
    <n v="1"/>
    <n v="1512"/>
    <x v="4"/>
    <s v="Mixed"/>
    <s v=""/>
    <n v="2.500000037252903E-2"/>
    <n v="2079.9929999999999"/>
  </r>
  <r>
    <x v="5"/>
    <n v="1"/>
    <n v="169821"/>
    <n v="23788"/>
    <n v="1"/>
    <n v="1004"/>
    <x v="12"/>
    <s v="Blown FB"/>
    <s v=""/>
    <n v="2.500000037252903E-2"/>
    <n v="1192.4649999999999"/>
  </r>
  <r>
    <x v="5"/>
    <n v="1"/>
    <n v="155315"/>
    <n v="22739"/>
    <n v="1"/>
    <n v="1140"/>
    <x v="12"/>
    <s v="Mixed"/>
    <s v=""/>
    <n v="2.500000037252903E-2"/>
    <n v="1192.4649999999999"/>
  </r>
  <r>
    <x v="5"/>
    <n v="1"/>
    <n v="675687"/>
    <n v="22514"/>
    <n v="1"/>
    <n v="1108"/>
    <x v="12"/>
    <s v="Blown FB"/>
    <s v=""/>
    <n v="2.500000037252903E-2"/>
    <n v="3785.7640000000001"/>
  </r>
  <r>
    <x v="5"/>
    <n v="1"/>
    <n v="234274"/>
    <n v="11118"/>
    <n v="1"/>
    <n v="1870"/>
    <x v="12"/>
    <s v="Mixed"/>
    <s v=""/>
    <n v="2.500000037252903E-2"/>
    <n v="1150.8789999999999"/>
  </r>
  <r>
    <x v="5"/>
    <n v="1"/>
    <n v="683219"/>
    <n v="21905"/>
    <n v="1"/>
    <n v="2099"/>
    <x v="12"/>
    <s v="Blown Cellulose"/>
    <s v=""/>
    <n v="2.500000037252903E-2"/>
    <n v="12271.31"/>
  </r>
  <r>
    <x v="5"/>
    <n v="1"/>
    <n v="142235"/>
    <n v="21417"/>
    <n v="1"/>
    <n v="2130"/>
    <x v="12"/>
    <s v="Blown FB"/>
    <s v=""/>
    <n v="2.500000037252903E-2"/>
    <n v="1192.4649999999999"/>
  </r>
  <r>
    <x v="5"/>
    <n v="1"/>
    <n v="51676"/>
    <n v="12458"/>
    <n v="1"/>
    <n v="1082"/>
    <x v="12"/>
    <s v="Blown FB"/>
    <s v="blown r 38."/>
    <n v="2.500000037252903E-2"/>
    <n v="1188.027"/>
  </r>
  <r>
    <x v="5"/>
    <n v="1"/>
    <n v="107502"/>
    <n v="23607"/>
    <n v="1"/>
    <n v="2400"/>
    <x v="25"/>
    <s v="Blown FB"/>
    <s v=""/>
    <n v="2.500000037252903E-2"/>
    <n v="2079.9929999999999"/>
  </r>
  <r>
    <x v="5"/>
    <n v="1"/>
    <n v="185981"/>
    <n v="24207"/>
    <n v="1"/>
    <n v="910"/>
    <x v="12"/>
    <s v="Blown FB"/>
    <s v=""/>
    <n v="2.500000037252903E-2"/>
    <n v="1925.059"/>
  </r>
  <r>
    <x v="5"/>
    <n v="1"/>
    <n v="233400"/>
    <n v="22138"/>
    <n v="1"/>
    <n v="1608"/>
    <x v="8"/>
    <s v="Blown FB"/>
    <s v=""/>
    <n v="2.500000037252903E-2"/>
    <n v="3785.7640000000001"/>
  </r>
  <r>
    <x v="5"/>
    <n v="1"/>
    <n v="128551"/>
    <n v="24347"/>
    <n v="1"/>
    <n v="1532"/>
    <x v="12"/>
    <s v="Blown FB"/>
    <s v=""/>
    <n v="2.500000037252903E-2"/>
    <n v="1904.288"/>
  </r>
  <r>
    <x v="5"/>
    <n v="1"/>
    <n v="143818"/>
    <n v="21137"/>
    <n v="1"/>
    <n v="1064"/>
    <x v="12"/>
    <s v="Blown Rock Wool"/>
    <s v=""/>
    <n v="2.500000037252903E-2"/>
    <n v="2130.886"/>
  </r>
  <r>
    <x v="5"/>
    <n v="1"/>
    <n v="96677"/>
    <n v="12266"/>
    <n v="1"/>
    <n v="680"/>
    <x v="39"/>
    <s v="Batt Fiberglass"/>
    <s v=""/>
    <n v="2.500000037252903E-2"/>
    <n v="4956.4930000000004"/>
  </r>
  <r>
    <x v="5"/>
    <n v="1"/>
    <n v="107170"/>
    <n v="11417"/>
    <n v="1"/>
    <n v="898"/>
    <x v="11"/>
    <s v="Blown Cellulose"/>
    <s v="about 5-8 ft compressed by boxes that were being stored in the attic"/>
    <n v="2.500000037252903E-2"/>
    <n v="4956.4930000000004"/>
  </r>
  <r>
    <x v="5"/>
    <n v="1"/>
    <n v="204822"/>
    <n v="21701"/>
    <n v="1"/>
    <n v="826"/>
    <x v="11"/>
    <s v="Mixed"/>
    <s v=""/>
    <n v="2.500000037252903E-2"/>
    <n v="1144.6790000000001"/>
  </r>
  <r>
    <x v="5"/>
    <n v="1"/>
    <n v="689830"/>
    <n v="21531"/>
    <n v="1"/>
    <n v="1582"/>
    <x v="12"/>
    <s v="Blown FB"/>
    <s v=""/>
    <n v="2.500000037252903E-2"/>
    <n v="4360.1880000000001"/>
  </r>
  <r>
    <x v="5"/>
    <n v="1"/>
    <n v="195258"/>
    <n v="22756"/>
    <n v="1"/>
    <n v="1343"/>
    <x v="20"/>
    <s v="Blown FB"/>
    <s v=""/>
    <n v="2.500000037252903E-2"/>
    <n v="1904.288"/>
  </r>
  <r>
    <x v="5"/>
    <n v="1"/>
    <n v="167687"/>
    <n v="22724"/>
    <n v="1"/>
    <n v="641"/>
    <x v="12"/>
    <s v="Blown FB"/>
    <s v=""/>
    <n v="2.500000037252903E-2"/>
    <n v="3785.7640000000001"/>
  </r>
  <r>
    <x v="5"/>
    <n v="1"/>
    <n v="56350"/>
    <n v="22955"/>
    <n v="1"/>
    <n v="1097"/>
    <x v="14"/>
    <s v="Blown FB"/>
    <s v=""/>
    <n v="2.500000037252903E-2"/>
    <n v="3785.7640000000001"/>
  </r>
  <r>
    <x v="5"/>
    <n v="1"/>
    <n v="76221"/>
    <n v="21294"/>
    <n v="1"/>
    <n v="2600"/>
    <x v="4"/>
    <s v="Batt Fiberglass"/>
    <s v=""/>
    <n v="2.500000037252903E-2"/>
    <n v="2079.9929999999999"/>
  </r>
  <r>
    <x v="5"/>
    <n v="1"/>
    <n v="87479"/>
    <n v="20344"/>
    <n v="1"/>
    <n v="1368"/>
    <x v="12"/>
    <s v="Blown Cellulose"/>
    <s v=""/>
    <n v="2.500000037252903E-2"/>
    <n v="1144.6790000000001"/>
  </r>
  <r>
    <x v="5"/>
    <n v="1"/>
    <n v="225615"/>
    <n v="21122"/>
    <n v="1"/>
    <n v="1144"/>
    <x v="12"/>
    <s v="Blown FB"/>
    <s v=""/>
    <n v="2.500000037252903E-2"/>
    <n v="1904.288"/>
  </r>
  <r>
    <x v="5"/>
    <n v="1"/>
    <n v="208409"/>
    <n v="23756"/>
    <n v="1"/>
    <n v="1005"/>
    <x v="12"/>
    <s v="Batt Fiberglass"/>
    <s v=""/>
    <n v="2.500000037252903E-2"/>
    <n v="1904.288"/>
  </r>
  <r>
    <x v="5"/>
    <n v="1"/>
    <n v="221673"/>
    <n v="13974"/>
    <n v="2"/>
    <n v="100"/>
    <x v="12"/>
    <s v="Mixed"/>
    <s v="patch of batt laid on top of blown fiberglass"/>
    <n v="2.500000037252903E-2"/>
    <n v="2003.7159999999999"/>
  </r>
  <r>
    <x v="5"/>
    <n v="1"/>
    <n v="234145"/>
    <n v="21487"/>
    <n v="1"/>
    <n v="623"/>
    <x v="20"/>
    <s v="Mixed"/>
    <s v="Area was achieved by subtracting the upstair's square footage from the main floor's square footage.  The attic consisted of two knee walls."/>
    <n v="2.500000037252903E-2"/>
    <n v="8264.9449999999997"/>
  </r>
  <r>
    <x v="5"/>
    <n v="1"/>
    <n v="168944"/>
    <n v="22960"/>
    <n v="1"/>
    <n v="480"/>
    <x v="14"/>
    <s v="Blown Cellulose"/>
    <s v=""/>
    <n v="2.500000037252903E-2"/>
    <n v="2130.886"/>
  </r>
  <r>
    <x v="5"/>
    <n v="1"/>
    <n v="80120"/>
    <n v="21242"/>
    <n v="1"/>
    <n v="1200"/>
    <x v="11"/>
    <s v="Blown Cellulose"/>
    <s v=""/>
    <n v="2.500000037252903E-2"/>
    <n v="1925.059"/>
  </r>
  <r>
    <x v="5"/>
    <n v="1"/>
    <n v="725078"/>
    <n v="11346"/>
    <n v="1"/>
    <n v="1700"/>
    <x v="4"/>
    <s v="Blown FB"/>
    <s v=""/>
    <n v="2.500000037252903E-2"/>
    <n v="4956.4930000000004"/>
  </r>
  <r>
    <x v="5"/>
    <n v="1"/>
    <n v="84083"/>
    <n v="20182"/>
    <n v="1"/>
    <n v="1280"/>
    <x v="8"/>
    <s v="Blown FB"/>
    <s v=""/>
    <n v="2.500000037252903E-2"/>
    <n v="8559.1039999999994"/>
  </r>
  <r>
    <x v="5"/>
    <n v="1"/>
    <n v="227443"/>
    <n v="21787"/>
    <n v="1"/>
    <n v="800"/>
    <x v="4"/>
    <s v="Blown Cellulose"/>
    <s v=""/>
    <n v="2.500000037252903E-2"/>
    <n v="4360.1880000000001"/>
  </r>
  <r>
    <x v="5"/>
    <n v="1"/>
    <n v="83706"/>
    <n v="13023"/>
    <n v="1"/>
    <n v="377"/>
    <x v="5"/>
    <s v="Batt Fiberglass"/>
    <s v=""/>
    <n v="2.500000037252903E-2"/>
    <n v="2003.7159999999999"/>
  </r>
  <r>
    <x v="5"/>
    <n v="1"/>
    <n v="123072"/>
    <n v="12656"/>
    <n v="1"/>
    <n v="864"/>
    <x v="4"/>
    <s v="Blown FB"/>
    <s v=""/>
    <n v="2.500000037252903E-2"/>
    <n v="2003.7159999999999"/>
  </r>
  <r>
    <x v="5"/>
    <n v="1"/>
    <n v="211948"/>
    <n v="11794"/>
    <n v="1"/>
    <n v="700"/>
    <x v="4"/>
    <s v="Blown Cellulose"/>
    <s v=""/>
    <n v="2.500000037252903E-2"/>
    <n v="1464.694"/>
  </r>
  <r>
    <x v="5"/>
    <n v="1"/>
    <n v="233781"/>
    <n v="12460"/>
    <n v="1"/>
    <n v="1846"/>
    <x v="20"/>
    <s v="Mixed"/>
    <s v=""/>
    <n v="2.500000037252903E-2"/>
    <n v="1150.8789999999999"/>
  </r>
  <r>
    <x v="5"/>
    <n v="1"/>
    <n v="27365"/>
    <n v="10459"/>
    <n v="1"/>
    <n v="200"/>
    <x v="14"/>
    <s v="Batt Fiberglass"/>
    <s v=""/>
    <n v="2.500000037252903E-2"/>
    <n v="1524.7619999999999"/>
  </r>
  <r>
    <x v="5"/>
    <n v="1"/>
    <n v="55400"/>
    <n v="20294"/>
    <n v="1"/>
    <n v="3087"/>
    <x v="4"/>
    <s v="Batt Fiberglass"/>
    <s v=""/>
    <n v="2.500000037252903E-2"/>
    <n v="2079.9929999999999"/>
  </r>
  <r>
    <x v="5"/>
    <n v="1"/>
    <n v="89647"/>
    <n v="24655"/>
    <n v="2"/>
    <n v="891"/>
    <x v="39"/>
    <s v="Blown Cellulose"/>
    <s v=""/>
    <n v="2.500000037252903E-2"/>
    <n v="1144.6790000000001"/>
  </r>
  <r>
    <x v="5"/>
    <n v="1"/>
    <n v="200953"/>
    <n v="22246"/>
    <n v="1"/>
    <n v="1402"/>
    <x v="8"/>
    <s v="Blown Cellulose"/>
    <s v=""/>
    <n v="2.500000037252903E-2"/>
    <n v="1925.059"/>
  </r>
  <r>
    <x v="5"/>
    <n v="1"/>
    <n v="221160"/>
    <n v="21384"/>
    <n v="1"/>
    <n v="1832"/>
    <x v="4"/>
    <s v="Mixed"/>
    <s v=""/>
    <n v="2.500000037252903E-2"/>
    <n v="1904.288"/>
  </r>
  <r>
    <x v="5"/>
    <n v="1"/>
    <n v="657944"/>
    <n v="11780"/>
    <n v="1"/>
    <n v="1600"/>
    <x v="6"/>
    <s v="Batt Fiberglass"/>
    <s v=""/>
    <n v="2.500000037252903E-2"/>
    <n v="1150.8789999999999"/>
  </r>
  <r>
    <x v="5"/>
    <n v="1"/>
    <n v="91016"/>
    <n v="10585"/>
    <n v="1"/>
    <n v="1577"/>
    <x v="39"/>
    <s v="Mixed"/>
    <s v=""/>
    <n v="2.500000037252903E-2"/>
    <n v="2003.7159999999999"/>
  </r>
  <r>
    <x v="5"/>
    <n v="1"/>
    <n v="91552"/>
    <n v="11236"/>
    <n v="1"/>
    <n v="1794"/>
    <x v="11"/>
    <s v="Blown FB"/>
    <s v=""/>
    <n v="2.500000037252903E-2"/>
    <n v="4956.4930000000004"/>
  </r>
  <r>
    <x v="5"/>
    <n v="1"/>
    <n v="53306"/>
    <n v="21746"/>
    <n v="1"/>
    <n v="1600"/>
    <x v="4"/>
    <s v="Mixed"/>
    <s v=""/>
    <n v="2.500000037252903E-2"/>
    <n v="8264.9449999999997"/>
  </r>
  <r>
    <x v="5"/>
    <n v="1"/>
    <n v="726949"/>
    <n v="12190"/>
    <n v="4"/>
    <n v="180"/>
    <x v="11"/>
    <s v="Blown FB"/>
    <s v="2nd floor"/>
    <n v="2.500000037252903E-2"/>
    <n v="4956.4930000000004"/>
  </r>
  <r>
    <x v="5"/>
    <n v="1"/>
    <n v="88677"/>
    <n v="22203"/>
    <n v="1"/>
    <n v="1250"/>
    <x v="12"/>
    <s v="Blown FB"/>
    <s v=""/>
    <n v="2.500000037252903E-2"/>
    <n v="1925.059"/>
  </r>
  <r>
    <x v="5"/>
    <n v="1"/>
    <n v="681879"/>
    <n v="20311"/>
    <n v="1"/>
    <n v="1279"/>
    <x v="12"/>
    <s v="Blown FB"/>
    <s v=""/>
    <n v="2.500000037252903E-2"/>
    <n v="1612.692"/>
  </r>
  <r>
    <x v="5"/>
    <n v="1"/>
    <n v="71584"/>
    <n v="20974"/>
    <n v="1"/>
    <n v="2074"/>
    <x v="1"/>
    <s v="Blown Cellulose"/>
    <s v=""/>
    <n v="2.500000037252903E-2"/>
    <n v="3785.7640000000001"/>
  </r>
  <r>
    <x v="5"/>
    <n v="1"/>
    <n v="78978"/>
    <n v="21214"/>
    <n v="1"/>
    <n v="612"/>
    <x v="5"/>
    <s v="Blown FB"/>
    <s v=""/>
    <n v="2.500000037252903E-2"/>
    <n v="1144.6790000000001"/>
  </r>
  <r>
    <x v="5"/>
    <n v="1"/>
    <n v="126429"/>
    <n v="24205"/>
    <n v="1"/>
    <n v="1796"/>
    <x v="13"/>
    <s v="Blown FB"/>
    <s v=""/>
    <n v="2.500000037252903E-2"/>
    <n v="1192.4649999999999"/>
  </r>
  <r>
    <x v="5"/>
    <n v="1"/>
    <n v="141019"/>
    <n v="13051"/>
    <n v="1"/>
    <n v="904"/>
    <x v="4"/>
    <s v="Blown Cellulose"/>
    <s v=""/>
    <n v="2.500000037252903E-2"/>
    <n v="4956.4930000000004"/>
  </r>
  <r>
    <x v="5"/>
    <n v="1"/>
    <n v="115747"/>
    <n v="10552"/>
    <n v="1"/>
    <n v="675"/>
    <x v="4"/>
    <s v="Blown FB"/>
    <s v=""/>
    <n v="2.500000037252903E-2"/>
    <n v="1464.694"/>
  </r>
  <r>
    <x v="5"/>
    <n v="1"/>
    <n v="77960"/>
    <n v="10235"/>
    <n v="1"/>
    <n v="1465"/>
    <x v="4"/>
    <s v="Mixed"/>
    <s v=""/>
    <n v="2.500000037252903E-2"/>
    <n v="2003.7159999999999"/>
  </r>
  <r>
    <x v="5"/>
    <n v="1"/>
    <n v="239929"/>
    <n v="21394"/>
    <n v="1"/>
    <n v="1063"/>
    <x v="4"/>
    <s v="Blown FB"/>
    <s v=""/>
    <n v="2.500000037252903E-2"/>
    <n v="2079.9929999999999"/>
  </r>
  <r>
    <x v="5"/>
    <n v="1"/>
    <n v="40530"/>
    <n v="10807"/>
    <n v="1"/>
    <n v="1349"/>
    <x v="17"/>
    <s v="Blown Cellulose"/>
    <s v=""/>
    <n v="2.500000037252903E-2"/>
    <n v="1524.7619999999999"/>
  </r>
  <r>
    <x v="5"/>
    <n v="1"/>
    <n v="72606"/>
    <n v="11119"/>
    <n v="1"/>
    <n v="1600"/>
    <x v="4"/>
    <s v="Batt Fiberglass"/>
    <s v=""/>
    <n v="2.500000037252903E-2"/>
    <n v="2003.7159999999999"/>
  </r>
  <r>
    <x v="5"/>
    <n v="1"/>
    <n v="40074"/>
    <n v="12853"/>
    <n v="1"/>
    <n v="1300"/>
    <x v="32"/>
    <s v="Blown FB"/>
    <s v=""/>
    <n v="2.500000037252903E-2"/>
    <n v="1188.027"/>
  </r>
  <r>
    <x v="5"/>
    <n v="1"/>
    <n v="110352"/>
    <n v="24249"/>
    <n v="1"/>
    <n v="1421"/>
    <x v="13"/>
    <s v="Mixed"/>
    <s v=""/>
    <n v="2.500000037252903E-2"/>
    <n v="1904.288"/>
  </r>
  <r>
    <x v="5"/>
    <n v="1"/>
    <n v="232503"/>
    <n v="22479"/>
    <n v="1"/>
    <n v="2944"/>
    <x v="4"/>
    <s v="Mixed"/>
    <s v=""/>
    <n v="2.500000037252903E-2"/>
    <n v="1904.288"/>
  </r>
  <r>
    <x v="5"/>
    <n v="1"/>
    <n v="201387"/>
    <n v="12295"/>
    <n v="1"/>
    <n v="1337"/>
    <x v="13"/>
    <s v="Blown Cellulose"/>
    <s v=""/>
    <n v="2.500000037252903E-2"/>
    <n v="6932.7380000000003"/>
  </r>
  <r>
    <x v="5"/>
    <n v="1"/>
    <n v="152641"/>
    <n v="24699"/>
    <n v="1"/>
    <n v="660"/>
    <x v="42"/>
    <s v="Other"/>
    <s v="Blown fiberglass over R11 batt throughout entire attic"/>
    <n v="2.500000037252903E-2"/>
    <n v="1144.6790000000001"/>
  </r>
  <r>
    <x v="5"/>
    <n v="1"/>
    <n v="118131"/>
    <n v="12556"/>
    <n v="1"/>
    <n v="2360"/>
    <x v="4"/>
    <s v="Blown FB"/>
    <s v=""/>
    <n v="2.500000037252903E-2"/>
    <n v="4956.4930000000004"/>
  </r>
  <r>
    <x v="5"/>
    <n v="1"/>
    <n v="82663"/>
    <n v="21259"/>
    <n v="1"/>
    <n v="1530"/>
    <x v="11"/>
    <s v="Blown FB"/>
    <s v=""/>
    <n v="2.500000037252903E-2"/>
    <n v="3785.7640000000001"/>
  </r>
  <r>
    <x v="5"/>
    <n v="1"/>
    <n v="726949"/>
    <n v="12190"/>
    <n v="2"/>
    <n v="504"/>
    <x v="11"/>
    <s v="Blown FB"/>
    <s v=""/>
    <n v="2.500000037252903E-2"/>
    <n v="4956.4930000000004"/>
  </r>
  <r>
    <x v="5"/>
    <n v="1"/>
    <n v="91407"/>
    <n v="13455"/>
    <n v="1"/>
    <n v="2469"/>
    <x v="12"/>
    <s v="Mixed"/>
    <s v=""/>
    <n v="2.500000037252903E-2"/>
    <n v="2003.7159999999999"/>
  </r>
  <r>
    <x v="5"/>
    <n v="1"/>
    <n v="91016"/>
    <n v="10585"/>
    <n v="2"/>
    <n v="484"/>
    <x v="39"/>
    <s v="Mixed"/>
    <s v=""/>
    <n v="2.500000037252903E-2"/>
    <n v="2003.7159999999999"/>
  </r>
  <r>
    <x v="5"/>
    <n v="1"/>
    <n v="225718"/>
    <n v="24373"/>
    <n v="1"/>
    <n v="1737"/>
    <x v="12"/>
    <s v="Blown FB"/>
    <s v=""/>
    <n v="2.500000037252903E-2"/>
    <n v="1904.288"/>
  </r>
  <r>
    <x v="5"/>
    <n v="1"/>
    <n v="219951"/>
    <n v="24016"/>
    <n v="1"/>
    <n v="1073"/>
    <x v="12"/>
    <s v="Blown FB"/>
    <s v=""/>
    <n v="2.500000037252903E-2"/>
    <n v="12271.31"/>
  </r>
  <r>
    <x v="5"/>
    <n v="1"/>
    <n v="171642"/>
    <n v="22322"/>
    <n v="1"/>
    <n v="1913"/>
    <x v="8"/>
    <s v="Blown FB"/>
    <s v=""/>
    <n v="2.500000037252903E-2"/>
    <n v="1612.692"/>
  </r>
  <r>
    <x v="5"/>
    <n v="1"/>
    <n v="676108"/>
    <n v="24684"/>
    <n v="1"/>
    <n v="2091"/>
    <x v="12"/>
    <s v="Blown FB"/>
    <s v=""/>
    <n v="2.500000037252903E-2"/>
    <n v="1904.288"/>
  </r>
  <r>
    <x v="5"/>
    <n v="1"/>
    <n v="74361"/>
    <n v="22774"/>
    <n v="1"/>
    <n v="975"/>
    <x v="12"/>
    <s v="Blown FB"/>
    <s v=""/>
    <n v="2.500000037252903E-2"/>
    <n v="1144.6790000000001"/>
  </r>
  <r>
    <x v="5"/>
    <n v="1"/>
    <n v="677342"/>
    <n v="10011"/>
    <n v="1"/>
    <n v="256"/>
    <x v="11"/>
    <s v="Blown Cellulose"/>
    <s v=""/>
    <n v="2.500000037252903E-2"/>
    <n v="4956.4930000000004"/>
  </r>
  <r>
    <x v="5"/>
    <n v="1"/>
    <n v="77646"/>
    <n v="10319"/>
    <n v="1"/>
    <n v="2035"/>
    <x v="4"/>
    <s v="Blown Cellulose"/>
    <s v=""/>
    <n v="2.500000037252903E-2"/>
    <n v="2003.7159999999999"/>
  </r>
  <r>
    <x v="5"/>
    <n v="1"/>
    <n v="131321"/>
    <n v="21228"/>
    <n v="1"/>
    <n v="961"/>
    <x v="12"/>
    <s v="Blown Rock Wool"/>
    <s v=""/>
    <n v="2.500000037252903E-2"/>
    <n v="3785.7640000000001"/>
  </r>
  <r>
    <x v="5"/>
    <n v="1"/>
    <n v="210339"/>
    <n v="21132"/>
    <n v="1"/>
    <n v="1157"/>
    <x v="12"/>
    <s v="Blown FB"/>
    <s v=""/>
    <n v="2.500000037252903E-2"/>
    <n v="2079.9929999999999"/>
  </r>
  <r>
    <x v="5"/>
    <n v="1"/>
    <n v="184088"/>
    <n v="22153"/>
    <n v="1"/>
    <n v="1402"/>
    <x v="12"/>
    <s v="Blown FB"/>
    <s v=""/>
    <n v="2.500000037252903E-2"/>
    <n v="1192.4649999999999"/>
  </r>
  <r>
    <x v="5"/>
    <n v="1"/>
    <n v="113173"/>
    <n v="22652"/>
    <n v="1"/>
    <n v="2000"/>
    <x v="11"/>
    <s v="Blown FB"/>
    <s v=""/>
    <n v="2.500000037252903E-2"/>
    <n v="2079.9929999999999"/>
  </r>
  <r>
    <x v="5"/>
    <n v="1"/>
    <n v="173996"/>
    <n v="21180"/>
    <n v="1"/>
    <n v="2275"/>
    <x v="4"/>
    <s v="Blown Cellulose"/>
    <s v=""/>
    <n v="2.500000037252903E-2"/>
    <n v="2079.9929999999999"/>
  </r>
  <r>
    <x v="5"/>
    <n v="1"/>
    <n v="227118"/>
    <n v="22702"/>
    <n v="1"/>
    <n v="3565"/>
    <x v="4"/>
    <s v="Blown FB"/>
    <s v=""/>
    <n v="2.500000037252903E-2"/>
    <n v="4360.1880000000001"/>
  </r>
  <r>
    <x v="5"/>
    <n v="1"/>
    <n v="105618"/>
    <n v="10701"/>
    <n v="1"/>
    <n v="1590"/>
    <x v="12"/>
    <s v="Blown FB"/>
    <s v=""/>
    <n v="2.500000037252903E-2"/>
    <n v="4956.4930000000004"/>
  </r>
  <r>
    <x v="5"/>
    <n v="1"/>
    <n v="110915"/>
    <n v="22944"/>
    <n v="1"/>
    <n v="1090"/>
    <x v="11"/>
    <s v="Blown FB"/>
    <s v=""/>
    <n v="2.500000037252903E-2"/>
    <n v="2079.9929999999999"/>
  </r>
  <r>
    <x v="5"/>
    <n v="1"/>
    <n v="196711"/>
    <n v="13094"/>
    <n v="1"/>
    <n v="1625"/>
    <x v="4"/>
    <s v="Blown Cellulose"/>
    <s v=""/>
    <n v="2.500000037252903E-2"/>
    <n v="4956.4930000000004"/>
  </r>
  <r>
    <x v="5"/>
    <n v="1"/>
    <n v="43538"/>
    <n v="13746"/>
    <n v="1"/>
    <n v="650"/>
    <x v="8"/>
    <s v="Blown FB"/>
    <s v=""/>
    <n v="2.500000037252903E-2"/>
    <n v="1188.027"/>
  </r>
  <r>
    <x v="5"/>
    <n v="1"/>
    <n v="42103"/>
    <n v="24436"/>
    <n v="1"/>
    <n v="1700"/>
    <x v="19"/>
    <s v="Blown Cellulose"/>
    <s v=""/>
    <n v="2.500000037252903E-2"/>
    <n v="2079.9929999999999"/>
  </r>
  <r>
    <x v="5"/>
    <n v="1"/>
    <n v="202424"/>
    <n v="21722"/>
    <n v="1"/>
    <n v="800"/>
    <x v="11"/>
    <s v="Blown Cellulose"/>
    <s v=""/>
    <n v="2.500000037252903E-2"/>
    <n v="2130.886"/>
  </r>
  <r>
    <x v="5"/>
    <n v="1"/>
    <n v="111346"/>
    <n v="21922"/>
    <n v="1"/>
    <n v="1090"/>
    <x v="12"/>
    <s v="Blown FB"/>
    <s v=""/>
    <n v="2.500000037252903E-2"/>
    <n v="1904.288"/>
  </r>
  <r>
    <x v="5"/>
    <n v="1"/>
    <n v="159356"/>
    <n v="10540"/>
    <n v="1"/>
    <n v="1200"/>
    <x v="16"/>
    <s v="Mixed"/>
    <s v=""/>
    <n v="2.500000037252903E-2"/>
    <n v="6932.7380000000003"/>
  </r>
  <r>
    <x v="5"/>
    <n v="1"/>
    <n v="683112"/>
    <n v="21615"/>
    <n v="1"/>
    <n v="1743"/>
    <x v="12"/>
    <s v="Blown FB"/>
    <s v=""/>
    <n v="2.500000037252903E-2"/>
    <n v="12271.31"/>
  </r>
  <r>
    <x v="5"/>
    <n v="1"/>
    <n v="229217"/>
    <n v="23619"/>
    <n v="1"/>
    <n v="1315"/>
    <x v="13"/>
    <s v="Blown FB"/>
    <s v=""/>
    <n v="2.500000037252903E-2"/>
    <n v="2079.9929999999999"/>
  </r>
  <r>
    <x v="5"/>
    <n v="1"/>
    <n v="192843"/>
    <n v="22222"/>
    <n v="1"/>
    <n v="728"/>
    <x v="11"/>
    <s v="Blown FB"/>
    <s v=""/>
    <n v="2.500000037252903E-2"/>
    <n v="1904.288"/>
  </r>
  <r>
    <x v="5"/>
    <n v="1"/>
    <n v="35319"/>
    <n v="10741"/>
    <n v="1"/>
    <n v="725"/>
    <x v="4"/>
    <s v="Blown Cellulose"/>
    <s v=""/>
    <n v="2.500000037252903E-2"/>
    <n v="1524.7619999999999"/>
  </r>
  <r>
    <x v="5"/>
    <n v="1"/>
    <n v="114571"/>
    <n v="24689"/>
    <n v="1"/>
    <n v="1784"/>
    <x v="13"/>
    <s v="Blown FB"/>
    <s v=""/>
    <n v="2.500000037252903E-2"/>
    <n v="1904.288"/>
  </r>
  <r>
    <x v="5"/>
    <n v="1"/>
    <n v="200370"/>
    <n v="21950"/>
    <n v="1"/>
    <n v="2125"/>
    <x v="5"/>
    <s v="Blown FB"/>
    <s v=""/>
    <n v="2.500000037252903E-2"/>
    <n v="2130.886"/>
  </r>
  <r>
    <x v="5"/>
    <n v="1"/>
    <n v="73052"/>
    <n v="22474"/>
    <n v="1"/>
    <n v="2053"/>
    <x v="13"/>
    <s v="Blown Cellulose"/>
    <s v=""/>
    <n v="2.500000037252903E-2"/>
    <n v="1904.288"/>
  </r>
  <r>
    <x v="5"/>
    <n v="1"/>
    <n v="169888"/>
    <n v="23926"/>
    <n v="1"/>
    <n v="1107"/>
    <x v="20"/>
    <s v="Blown FB"/>
    <s v=""/>
    <n v="2.500000037252903E-2"/>
    <n v="3785.7640000000001"/>
  </r>
  <r>
    <x v="5"/>
    <n v="1"/>
    <n v="75741"/>
    <n v="10811"/>
    <n v="1"/>
    <n v="1308"/>
    <x v="8"/>
    <s v="Mixed"/>
    <s v=""/>
    <n v="2.500000037252903E-2"/>
    <n v="2003.7159999999999"/>
  </r>
  <r>
    <x v="5"/>
    <n v="1"/>
    <n v="93896"/>
    <n v="22039"/>
    <n v="1"/>
    <n v="1440"/>
    <x v="13"/>
    <s v="Blown FB"/>
    <s v=""/>
    <n v="2.500000037252903E-2"/>
    <n v="1904.288"/>
  </r>
  <r>
    <x v="5"/>
    <n v="1"/>
    <n v="107634"/>
    <n v="24033"/>
    <n v="1"/>
    <n v="1100"/>
    <x v="25"/>
    <s v="Blown FB"/>
    <s v=""/>
    <n v="2.500000037252903E-2"/>
    <n v="2079.9929999999999"/>
  </r>
  <r>
    <x v="5"/>
    <n v="1"/>
    <n v="104198"/>
    <n v="12176"/>
    <n v="1"/>
    <n v="711"/>
    <x v="18"/>
    <s v="Batt Fiberglass"/>
    <s v=""/>
    <n v="2.500000037252903E-2"/>
    <n v="1524.7619999999999"/>
  </r>
  <r>
    <x v="5"/>
    <n v="1"/>
    <n v="101977"/>
    <n v="24547"/>
    <n v="1"/>
    <n v="1260"/>
    <x v="11"/>
    <s v="Blown FB"/>
    <s v=""/>
    <n v="2.500000037252903E-2"/>
    <n v="1144.6790000000001"/>
  </r>
  <r>
    <x v="5"/>
    <n v="1"/>
    <n v="62277"/>
    <n v="11416"/>
    <n v="1"/>
    <n v="1230"/>
    <x v="4"/>
    <s v="Blown FB"/>
    <s v=""/>
    <n v="2.500000037252903E-2"/>
    <n v="2003.7159999999999"/>
  </r>
  <r>
    <x v="5"/>
    <n v="1"/>
    <n v="167768"/>
    <n v="20603"/>
    <n v="1"/>
    <n v="1495"/>
    <x v="12"/>
    <s v="Blown FB"/>
    <s v=""/>
    <n v="2.500000037252903E-2"/>
    <n v="1192.4649999999999"/>
  </r>
  <r>
    <x v="5"/>
    <n v="1"/>
    <n v="196826"/>
    <n v="24866"/>
    <n v="1"/>
    <n v="1508"/>
    <x v="4"/>
    <s v="Blown Cellulose"/>
    <s v=""/>
    <n v="2.500000037252903E-2"/>
    <n v="4360.1880000000001"/>
  </r>
  <r>
    <x v="5"/>
    <n v="1"/>
    <n v="96677"/>
    <n v="12266"/>
    <n v="2"/>
    <n v="264"/>
    <x v="39"/>
    <s v="Batt Fiberglass"/>
    <s v=""/>
    <n v="2.500000037252903E-2"/>
    <n v="4956.4930000000004"/>
  </r>
  <r>
    <x v="5"/>
    <n v="1"/>
    <n v="81568"/>
    <n v="21668"/>
    <n v="1"/>
    <n v="920"/>
    <x v="25"/>
    <s v="Blown Cellulose"/>
    <s v=""/>
    <n v="2.500000037252903E-2"/>
    <n v="3785.7640000000001"/>
  </r>
  <r>
    <x v="5"/>
    <n v="1"/>
    <n v="241895"/>
    <n v="22280"/>
    <n v="1"/>
    <n v="1428"/>
    <x v="12"/>
    <s v="Blown FB"/>
    <s v=""/>
    <n v="2.500000037252903E-2"/>
    <n v="12271.31"/>
  </r>
  <r>
    <x v="5"/>
    <n v="1"/>
    <n v="223381"/>
    <n v="13867"/>
    <n v="1"/>
    <n v="2619"/>
    <x v="4"/>
    <s v="Mixed"/>
    <s v=""/>
    <n v="2.500000037252903E-2"/>
    <n v="1464.694"/>
  </r>
  <r>
    <x v="5"/>
    <n v="1"/>
    <n v="240012"/>
    <n v="22576"/>
    <n v="1"/>
    <n v="1779"/>
    <x v="4"/>
    <s v="Blown FB"/>
    <s v=""/>
    <n v="2.500000037252903E-2"/>
    <n v="2079.9929999999999"/>
  </r>
  <r>
    <x v="5"/>
    <n v="1"/>
    <n v="97943"/>
    <n v="23744"/>
    <n v="1"/>
    <n v="1353"/>
    <x v="13"/>
    <s v="Blown FB"/>
    <s v=""/>
    <n v="2.500000037252903E-2"/>
    <n v="1904.288"/>
  </r>
  <r>
    <x v="5"/>
    <n v="1"/>
    <n v="675821"/>
    <n v="20998"/>
    <n v="1"/>
    <n v="1947"/>
    <x v="12"/>
    <s v="Blown FB"/>
    <s v=""/>
    <n v="2.500000037252903E-2"/>
    <n v="3785.7640000000001"/>
  </r>
  <r>
    <x v="5"/>
    <n v="1"/>
    <n v="168944"/>
    <n v="22960"/>
    <n v="2"/>
    <n v="450"/>
    <x v="11"/>
    <s v="Blown Cellulose"/>
    <s v=""/>
    <n v="2.500000037252903E-2"/>
    <n v="2130.886"/>
  </r>
  <r>
    <x v="5"/>
    <n v="1"/>
    <n v="206204"/>
    <n v="10627"/>
    <n v="1"/>
    <n v="1026"/>
    <x v="13"/>
    <s v="Blown FB"/>
    <s v=""/>
    <n v="2.500000037252903E-2"/>
    <n v="6932.7380000000003"/>
  </r>
  <r>
    <x v="5"/>
    <n v="1"/>
    <n v="106404"/>
    <n v="22743"/>
    <n v="1"/>
    <n v="1458"/>
    <x v="14"/>
    <s v="Blown FB"/>
    <s v=""/>
    <n v="2.500000037252903E-2"/>
    <n v="3785.7640000000001"/>
  </r>
  <r>
    <x v="5"/>
    <n v="1"/>
    <n v="202976"/>
    <n v="11639"/>
    <n v="1"/>
    <n v="1620"/>
    <x v="4"/>
    <s v="Blown FB"/>
    <s v=""/>
    <n v="2.500000037252903E-2"/>
    <n v="1464.694"/>
  </r>
  <r>
    <x v="5"/>
    <n v="1"/>
    <n v="211125"/>
    <n v="22109"/>
    <n v="1"/>
    <n v="1971"/>
    <x v="12"/>
    <s v="Mixed"/>
    <s v=""/>
    <n v="2.500000037252903E-2"/>
    <n v="1904.288"/>
  </r>
  <r>
    <x v="5"/>
    <n v="1"/>
    <n v="216905"/>
    <n v="10728"/>
    <n v="2"/>
    <n v="540"/>
    <x v="11"/>
    <s v="Mixed"/>
    <s v=""/>
    <n v="2.500000037252903E-2"/>
    <n v="2003.7159999999999"/>
  </r>
  <r>
    <x v="5"/>
    <n v="1"/>
    <n v="204326"/>
    <n v="22969"/>
    <n v="1"/>
    <n v="1424"/>
    <x v="38"/>
    <s v="Mixed"/>
    <s v=""/>
    <n v="2.500000037252903E-2"/>
    <n v="2079.9929999999999"/>
  </r>
  <r>
    <x v="5"/>
    <n v="1"/>
    <n v="29163"/>
    <n v="13871"/>
    <n v="1"/>
    <n v="2222"/>
    <x v="43"/>
    <s v="Mixed"/>
    <s v=""/>
    <n v="2.500000037252903E-2"/>
    <n v="1150.8789999999999"/>
  </r>
  <r>
    <x v="5"/>
    <n v="1"/>
    <n v="45531"/>
    <n v="13713"/>
    <n v="1"/>
    <n v="1269"/>
    <x v="4"/>
    <s v="Mixed"/>
    <s v="Batt over blown fb"/>
    <n v="2.500000037252903E-2"/>
    <n v="1150.8789999999999"/>
  </r>
  <r>
    <x v="5"/>
    <n v="1"/>
    <n v="669340"/>
    <n v="21143"/>
    <n v="1"/>
    <n v="1366"/>
    <x v="8"/>
    <s v="Batt Fiberglass"/>
    <s v=""/>
    <n v="2.500000037252903E-2"/>
    <n v="1612.692"/>
  </r>
  <r>
    <x v="5"/>
    <n v="1"/>
    <n v="93592"/>
    <n v="13323"/>
    <n v="1"/>
    <n v="392"/>
    <x v="11"/>
    <s v="Blown FB"/>
    <s v=""/>
    <n v="2.500000037252903E-2"/>
    <n v="1524.7619999999999"/>
  </r>
  <r>
    <x v="5"/>
    <n v="1"/>
    <n v="76747"/>
    <n v="12514"/>
    <n v="1"/>
    <n v="1012"/>
    <x v="8"/>
    <s v="Blown FB"/>
    <s v=""/>
    <n v="2.500000037252903E-2"/>
    <n v="1524.7619999999999"/>
  </r>
  <r>
    <x v="5"/>
    <n v="1"/>
    <n v="79717"/>
    <n v="13232"/>
    <n v="1"/>
    <n v="1404"/>
    <x v="11"/>
    <s v="Blown Cellulose"/>
    <s v=""/>
    <n v="2.500000037252903E-2"/>
    <n v="2003.7159999999999"/>
  </r>
  <r>
    <x v="5"/>
    <n v="1"/>
    <n v="66384"/>
    <n v="20859"/>
    <n v="1"/>
    <n v="1250"/>
    <x v="4"/>
    <s v="Blown Cellulose"/>
    <s v=""/>
    <n v="2.500000037252903E-2"/>
    <n v="2079.9929999999999"/>
  </r>
  <r>
    <x v="5"/>
    <n v="1"/>
    <n v="45322"/>
    <n v="11873"/>
    <n v="1"/>
    <n v="902"/>
    <x v="11"/>
    <s v="Mixed"/>
    <s v=""/>
    <n v="2.500000037252903E-2"/>
    <n v="1524.7619999999999"/>
  </r>
  <r>
    <x v="5"/>
    <n v="1"/>
    <n v="207861"/>
    <n v="23666"/>
    <n v="1"/>
    <n v="1332"/>
    <x v="12"/>
    <s v="Blown FB"/>
    <s v=""/>
    <n v="2.500000037252903E-2"/>
    <n v="1904.288"/>
  </r>
  <r>
    <x v="5"/>
    <n v="1"/>
    <n v="134922"/>
    <n v="20748"/>
    <n v="1"/>
    <n v="2323"/>
    <x v="12"/>
    <s v="Blown FB"/>
    <s v=""/>
    <n v="2.500000037252903E-2"/>
    <n v="1192.4649999999999"/>
  </r>
  <r>
    <x v="5"/>
    <n v="1"/>
    <n v="57812"/>
    <n v="24488"/>
    <n v="1"/>
    <n v="2035"/>
    <x v="4"/>
    <s v="Blown Cellulose"/>
    <s v=""/>
    <n v="2.500000037252903E-2"/>
    <n v="2079.9929999999999"/>
  </r>
  <r>
    <x v="5"/>
    <n v="1"/>
    <n v="110702"/>
    <n v="10322"/>
    <n v="1"/>
    <n v="1400"/>
    <x v="4"/>
    <s v="Blown FB"/>
    <s v=""/>
    <n v="2.500000037252903E-2"/>
    <n v="4956.4930000000004"/>
  </r>
  <r>
    <x v="5"/>
    <n v="1"/>
    <n v="88783"/>
    <n v="24671"/>
    <n v="1"/>
    <n v="1314"/>
    <x v="12"/>
    <s v="Blown FB"/>
    <s v=""/>
    <n v="2.500000037252903E-2"/>
    <n v="1925.059"/>
  </r>
  <r>
    <x v="5"/>
    <n v="1"/>
    <n v="683571"/>
    <n v="20775"/>
    <n v="1"/>
    <n v="1965"/>
    <x v="12"/>
    <s v="Blown FB"/>
    <s v=""/>
    <n v="2.500000037252903E-2"/>
    <n v="2130.886"/>
  </r>
  <r>
    <x v="5"/>
    <n v="1"/>
    <n v="198073"/>
    <n v="14222"/>
    <n v="1"/>
    <n v="1630"/>
    <x v="12"/>
    <s v="Blown FB"/>
    <s v=""/>
    <n v="2.500000037252903E-2"/>
    <n v="1524.7619999999999"/>
  </r>
  <r>
    <x v="5"/>
    <n v="1"/>
    <n v="87393"/>
    <n v="23846"/>
    <n v="1"/>
    <n v="996"/>
    <x v="12"/>
    <s v="Blown Cellulose"/>
    <s v=""/>
    <n v="2.500000037252903E-2"/>
    <n v="1144.6790000000001"/>
  </r>
  <r>
    <x v="5"/>
    <n v="1"/>
    <n v="111426"/>
    <n v="21967"/>
    <n v="1"/>
    <n v="2926"/>
    <x v="14"/>
    <s v="Blown FB"/>
    <s v=""/>
    <n v="2.500000037252903E-2"/>
    <n v="1904.288"/>
  </r>
  <r>
    <x v="5"/>
    <n v="1"/>
    <n v="160807"/>
    <n v="10795"/>
    <n v="1"/>
    <n v="988"/>
    <x v="4"/>
    <s v="Blown FB"/>
    <s v=""/>
    <n v="2.500000037252903E-2"/>
    <n v="6932.7380000000003"/>
  </r>
  <r>
    <x v="5"/>
    <n v="1"/>
    <n v="61143"/>
    <n v="12271"/>
    <n v="1"/>
    <n v="680"/>
    <x v="11"/>
    <s v="Blown FB"/>
    <s v=""/>
    <n v="2.500000037252903E-2"/>
    <n v="1524.7619999999999"/>
  </r>
  <r>
    <x v="5"/>
    <n v="1"/>
    <n v="98820"/>
    <n v="11194"/>
    <n v="1"/>
    <n v="832"/>
    <x v="12"/>
    <s v="Batt Mineral Wool"/>
    <s v=""/>
    <n v="2.500000037252903E-2"/>
    <n v="4956.4930000000004"/>
  </r>
  <r>
    <x v="5"/>
    <n v="1"/>
    <n v="72317"/>
    <n v="13347"/>
    <n v="1"/>
    <n v="2394"/>
    <x v="4"/>
    <s v="Blown FB"/>
    <s v=""/>
    <n v="2.500000037252903E-2"/>
    <n v="2003.7159999999999"/>
  </r>
  <r>
    <x v="5"/>
    <n v="1"/>
    <n v="42998"/>
    <n v="10369"/>
    <n v="1"/>
    <n v="576"/>
    <x v="11"/>
    <s v="Blown FB"/>
    <s v=""/>
    <n v="2.500000037252903E-2"/>
    <n v="1524.7619999999999"/>
  </r>
  <r>
    <x v="5"/>
    <n v="1"/>
    <n v="219055"/>
    <n v="13336"/>
    <n v="1"/>
    <n v="690"/>
    <x v="8"/>
    <s v="Blown FB"/>
    <s v=""/>
    <n v="2.500000037252903E-2"/>
    <n v="6932.7380000000003"/>
  </r>
  <r>
    <x v="5"/>
    <n v="1"/>
    <n v="82879"/>
    <n v="21293"/>
    <n v="1"/>
    <n v="1240"/>
    <x v="11"/>
    <s v="Blown Rock Wool"/>
    <s v=""/>
    <n v="2.500000037252903E-2"/>
    <n v="3785.7640000000001"/>
  </r>
  <r>
    <x v="5"/>
    <n v="1"/>
    <n v="170847"/>
    <n v="20180"/>
    <n v="1"/>
    <n v="1608"/>
    <x v="12"/>
    <s v="Batt Fiberglass"/>
    <s v=""/>
    <n v="2.500000037252903E-2"/>
    <n v="1612.692"/>
  </r>
  <r>
    <x v="5"/>
    <n v="1"/>
    <n v="260520"/>
    <n v="22284"/>
    <n v="1"/>
    <n v="2434"/>
    <x v="12"/>
    <s v="Blown FB"/>
    <s v=""/>
    <n v="2.500000037252903E-2"/>
    <n v="1144.6790000000001"/>
  </r>
  <r>
    <x v="5"/>
    <n v="1"/>
    <n v="209484"/>
    <n v="10244"/>
    <n v="1"/>
    <n v="688"/>
    <x v="13"/>
    <s v="Blown FB"/>
    <s v=""/>
    <n v="2.500000037252903E-2"/>
    <n v="6932.7380000000003"/>
  </r>
  <r>
    <x v="5"/>
    <n v="1"/>
    <n v="54637"/>
    <n v="12105"/>
    <n v="1"/>
    <n v="2200"/>
    <x v="11"/>
    <s v="Blown FB"/>
    <s v=""/>
    <n v="2.500000037252903E-2"/>
    <n v="1188.027"/>
  </r>
  <r>
    <x v="5"/>
    <n v="1"/>
    <n v="226902"/>
    <n v="13113"/>
    <n v="1"/>
    <n v="700"/>
    <x v="4"/>
    <s v="Blown Cellulose"/>
    <s v=""/>
    <n v="2.500000037252903E-2"/>
    <n v="1464.694"/>
  </r>
  <r>
    <x v="5"/>
    <n v="1"/>
    <n v="726949"/>
    <n v="12190"/>
    <n v="1"/>
    <n v="617"/>
    <x v="11"/>
    <s v="Blown FB"/>
    <s v=""/>
    <n v="2.500000037252903E-2"/>
    <n v="4956.4930000000004"/>
  </r>
  <r>
    <x v="5"/>
    <n v="1"/>
    <n v="784415"/>
    <n v="21899"/>
    <n v="1"/>
    <n v="1980"/>
    <x v="6"/>
    <s v="Blown FB"/>
    <s v=""/>
    <n v="2.500000037252903E-2"/>
    <n v="8264.9449999999997"/>
  </r>
  <r>
    <x v="5"/>
    <n v="1"/>
    <n v="81481"/>
    <n v="20414"/>
    <n v="1"/>
    <n v="900"/>
    <x v="4"/>
    <s v="Batt Fiberglass"/>
    <s v=""/>
    <n v="2.500000037252903E-2"/>
    <n v="2079.9929999999999"/>
  </r>
  <r>
    <x v="5"/>
    <n v="1"/>
    <n v="101179"/>
    <n v="22557"/>
    <n v="1"/>
    <n v="1530"/>
    <x v="12"/>
    <s v="Blown FB"/>
    <s v=""/>
    <n v="2.500000037252903E-2"/>
    <n v="2079.9929999999999"/>
  </r>
  <r>
    <x v="5"/>
    <n v="1"/>
    <n v="678776"/>
    <n v="10490"/>
    <n v="1"/>
    <n v="1208"/>
    <x v="4"/>
    <s v="Batt Fiberglass"/>
    <s v=""/>
    <n v="2.500000037252903E-2"/>
    <n v="4956.4930000000004"/>
  </r>
  <r>
    <x v="5"/>
    <n v="1"/>
    <n v="135622"/>
    <n v="22375"/>
    <n v="1"/>
    <n v="2030"/>
    <x v="4"/>
    <s v="Mixed"/>
    <s v=""/>
    <n v="2.500000037252903E-2"/>
    <n v="1612.692"/>
  </r>
  <r>
    <x v="5"/>
    <n v="1"/>
    <n v="51475"/>
    <n v="12033"/>
    <n v="1"/>
    <n v="979"/>
    <x v="12"/>
    <s v="Blown FB"/>
    <s v=""/>
    <n v="2.500000037252903E-2"/>
    <n v="1188.027"/>
  </r>
  <r>
    <x v="5"/>
    <n v="1"/>
    <n v="115371"/>
    <n v="21889"/>
    <n v="1"/>
    <n v="1836"/>
    <x v="41"/>
    <s v="Blown Rock Wool"/>
    <s v=""/>
    <n v="2.500000037252903E-2"/>
    <n v="1925.059"/>
  </r>
  <r>
    <x v="5"/>
    <n v="1"/>
    <n v="164288"/>
    <n v="22902"/>
    <n v="1"/>
    <n v="912"/>
    <x v="5"/>
    <s v="Blown Cellulose"/>
    <s v=""/>
    <n v="2.500000037252903E-2"/>
    <n v="2130.886"/>
  </r>
  <r>
    <x v="5"/>
    <n v="1"/>
    <n v="125935"/>
    <n v="11233"/>
    <n v="1"/>
    <n v="1145"/>
    <x v="4"/>
    <s v="Blown FB"/>
    <s v=""/>
    <n v="2.500000037252903E-2"/>
    <n v="4956.4930000000004"/>
  </r>
  <r>
    <x v="5"/>
    <n v="1"/>
    <n v="241580"/>
    <n v="21405"/>
    <n v="1"/>
    <n v="2459"/>
    <x v="12"/>
    <s v="Blown FB"/>
    <s v=""/>
    <n v="2.500000037252903E-2"/>
    <n v="12271.31"/>
  </r>
  <r>
    <x v="5"/>
    <n v="1"/>
    <n v="87060"/>
    <n v="24686"/>
    <n v="1"/>
    <n v="1200"/>
    <x v="5"/>
    <s v="Blown Cellulose"/>
    <s v=""/>
    <n v="2.500000037252903E-2"/>
    <n v="1144.6790000000001"/>
  </r>
  <r>
    <x v="5"/>
    <n v="1"/>
    <n v="221081"/>
    <n v="24785"/>
    <n v="1"/>
    <n v="880"/>
    <x v="4"/>
    <s v="Batt Fiberglass"/>
    <s v=""/>
    <n v="2.500000037252903E-2"/>
    <n v="1904.288"/>
  </r>
  <r>
    <x v="5"/>
    <n v="1"/>
    <n v="163547"/>
    <n v="10809"/>
    <n v="1"/>
    <n v="766"/>
    <x v="4"/>
    <s v="Batt Fiberglass"/>
    <s v=""/>
    <n v="2.500000037252903E-2"/>
    <n v="4956.4930000000004"/>
  </r>
  <r>
    <x v="5"/>
    <n v="1"/>
    <n v="120761"/>
    <n v="12018"/>
    <n v="1"/>
    <n v="1555"/>
    <x v="11"/>
    <s v="Blown FB"/>
    <s v=""/>
    <n v="2.500000037252903E-2"/>
    <n v="6932.7380000000003"/>
  </r>
  <r>
    <x v="5"/>
    <n v="1"/>
    <n v="140860"/>
    <n v="11414"/>
    <n v="1"/>
    <n v="1440"/>
    <x v="45"/>
    <s v="Mixed"/>
    <s v=""/>
    <n v="2.500000037252903E-2"/>
    <n v="4956.4930000000004"/>
  </r>
  <r>
    <x v="5"/>
    <n v="1"/>
    <n v="38948"/>
    <n v="10413"/>
    <n v="1"/>
    <n v="921"/>
    <x v="11"/>
    <s v="Mixed"/>
    <s v=""/>
    <n v="2.500000037252903E-2"/>
    <n v="1524.7619999999999"/>
  </r>
  <r>
    <x v="5"/>
    <n v="1"/>
    <n v="162383"/>
    <n v="23314"/>
    <n v="1"/>
    <n v="1458"/>
    <x v="5"/>
    <s v="Mixed"/>
    <s v=""/>
    <n v="2.500000037252903E-2"/>
    <n v="2130.886"/>
  </r>
  <r>
    <x v="5"/>
    <n v="1"/>
    <n v="117162"/>
    <n v="24706"/>
    <n v="1"/>
    <n v="414"/>
    <x v="8"/>
    <s v="Blown Cellulose"/>
    <s v=""/>
    <n v="2.500000037252903E-2"/>
    <n v="1612.692"/>
  </r>
  <r>
    <x v="5"/>
    <n v="1"/>
    <n v="88237"/>
    <n v="22005"/>
    <n v="1"/>
    <n v="2200"/>
    <x v="11"/>
    <s v="Blown FB"/>
    <s v=""/>
    <n v="2.500000037252903E-2"/>
    <n v="1144.6790000000001"/>
  </r>
  <r>
    <x v="5"/>
    <n v="1"/>
    <n v="235477"/>
    <n v="24203"/>
    <n v="1"/>
    <n v="1008"/>
    <x v="12"/>
    <s v="Blown FB"/>
    <s v=""/>
    <n v="2.500000037252903E-2"/>
    <n v="1904.288"/>
  </r>
  <r>
    <x v="5"/>
    <n v="1"/>
    <n v="107401"/>
    <n v="23913"/>
    <n v="1"/>
    <n v="900"/>
    <x v="4"/>
    <s v="Blown FB"/>
    <s v=""/>
    <n v="2.500000037252903E-2"/>
    <n v="2079.9929999999999"/>
  </r>
  <r>
    <x v="5"/>
    <n v="1"/>
    <n v="690065"/>
    <n v="24310"/>
    <n v="1"/>
    <n v="1442"/>
    <x v="12"/>
    <s v="Blown FB"/>
    <s v=""/>
    <n v="2.500000037252903E-2"/>
    <n v="1904.288"/>
  </r>
  <r>
    <x v="5"/>
    <n v="1"/>
    <n v="216191"/>
    <n v="10713"/>
    <n v="1"/>
    <n v="2992"/>
    <x v="12"/>
    <s v="Blown FB"/>
    <s v=""/>
    <n v="2.500000037252903E-2"/>
    <n v="6932.7380000000003"/>
  </r>
  <r>
    <x v="5"/>
    <n v="1"/>
    <n v="207110"/>
    <n v="12572"/>
    <n v="1"/>
    <n v="425"/>
    <x v="13"/>
    <s v="Batt Fiberglass"/>
    <s v=""/>
    <n v="2.500000037252903E-2"/>
    <n v="6932.7380000000003"/>
  </r>
  <r>
    <x v="5"/>
    <n v="1"/>
    <n v="168735"/>
    <n v="23538"/>
    <n v="1"/>
    <n v="1800"/>
    <x v="4"/>
    <s v="Batt Fiberglass"/>
    <s v=""/>
    <n v="2.500000037252903E-2"/>
    <n v="4360.1880000000001"/>
  </r>
  <r>
    <x v="5"/>
    <n v="1"/>
    <n v="69692"/>
    <n v="11908"/>
    <n v="1"/>
    <n v="1200"/>
    <x v="4"/>
    <s v="Batt Fiberglass"/>
    <s v=""/>
    <n v="2.500000037252903E-2"/>
    <n v="2003.7159999999999"/>
  </r>
  <r>
    <x v="5"/>
    <n v="1"/>
    <n v="176658"/>
    <n v="23211"/>
    <n v="1"/>
    <n v="3019"/>
    <x v="11"/>
    <s v="Mixed"/>
    <s v=""/>
    <n v="2.500000037252903E-2"/>
    <n v="2130.886"/>
  </r>
  <r>
    <x v="5"/>
    <n v="1"/>
    <n v="687327"/>
    <n v="11418"/>
    <n v="1"/>
    <n v="1326"/>
    <x v="8"/>
    <s v="Mixed"/>
    <s v=""/>
    <n v="2.500000037252903E-2"/>
    <n v="6932.7380000000003"/>
  </r>
  <r>
    <x v="5"/>
    <n v="1"/>
    <n v="88875"/>
    <n v="11753"/>
    <n v="1"/>
    <n v="2670"/>
    <x v="4"/>
    <s v="Batt Fiberglass"/>
    <s v=""/>
    <n v="2.500000037252903E-2"/>
    <n v="2003.7159999999999"/>
  </r>
  <r>
    <x v="5"/>
    <n v="1"/>
    <n v="194766"/>
    <n v="21219"/>
    <n v="1"/>
    <n v="949"/>
    <x v="12"/>
    <s v="Blown FB"/>
    <s v=""/>
    <n v="2.500000037252903E-2"/>
    <n v="8559.1039999999994"/>
  </r>
  <r>
    <x v="5"/>
    <n v="1"/>
    <n v="46087"/>
    <n v="11536"/>
    <n v="1"/>
    <n v="1104"/>
    <x v="11"/>
    <s v="Blown Cellulose"/>
    <s v=""/>
    <n v="2.500000037252903E-2"/>
    <n v="1188.027"/>
  </r>
  <r>
    <x v="5"/>
    <n v="1"/>
    <n v="154476"/>
    <n v="22985"/>
    <n v="1"/>
    <n v="2400"/>
    <x v="11"/>
    <s v="Mixed"/>
    <s v=""/>
    <n v="2.500000037252903E-2"/>
    <n v="6932.7380000000003"/>
  </r>
  <r>
    <x v="5"/>
    <n v="1"/>
    <n v="226636"/>
    <n v="22061"/>
    <n v="1"/>
    <n v="1352"/>
    <x v="4"/>
    <s v="Mixed"/>
    <s v="10 inches of fiberglass batt and 1.5-2 inches of blown in with remnants of vermiculite, not enough to affect R value."/>
    <n v="2.500000037252903E-2"/>
    <n v="1904.288"/>
  </r>
  <r>
    <x v="5"/>
    <n v="1"/>
    <n v="207297"/>
    <n v="23138"/>
    <n v="1"/>
    <n v="1262"/>
    <x v="12"/>
    <s v="Mixed"/>
    <s v=""/>
    <n v="2.500000037252903E-2"/>
    <n v="1904.288"/>
  </r>
  <r>
    <x v="5"/>
    <n v="1"/>
    <n v="191828"/>
    <n v="20215"/>
    <n v="1"/>
    <n v="1790"/>
    <x v="8"/>
    <s v="Blown FB"/>
    <s v=""/>
    <n v="2.500000037252903E-2"/>
    <n v="1612.692"/>
  </r>
  <r>
    <x v="5"/>
    <n v="1"/>
    <n v="154144"/>
    <n v="23705"/>
    <n v="1"/>
    <n v="1350"/>
    <x v="4"/>
    <s v="Blown Cellulose"/>
    <s v=""/>
    <n v="2.500000037252903E-2"/>
    <n v="1612.692"/>
  </r>
  <r>
    <x v="5"/>
    <n v="1"/>
    <n v="65814"/>
    <n v="12108"/>
    <n v="1"/>
    <n v="1200"/>
    <x v="4"/>
    <s v="Batt Fiberglass"/>
    <s v=""/>
    <n v="2.500000037252903E-2"/>
    <n v="1524.7619999999999"/>
  </r>
  <r>
    <x v="5"/>
    <n v="1"/>
    <n v="718148"/>
    <n v="22198"/>
    <n v="1"/>
    <n v="1577"/>
    <x v="12"/>
    <s v="Blown FB"/>
    <s v=""/>
    <n v="2.500000037252903E-2"/>
    <n v="3785.7640000000001"/>
  </r>
  <r>
    <x v="5"/>
    <n v="1"/>
    <n v="115246"/>
    <n v="21109"/>
    <n v="1"/>
    <n v="1716"/>
    <x v="41"/>
    <s v="Blown FB"/>
    <s v=""/>
    <n v="2.500000037252903E-2"/>
    <n v="1925.059"/>
  </r>
  <r>
    <x v="5"/>
    <n v="1"/>
    <n v="94104"/>
    <n v="22602"/>
    <n v="1"/>
    <n v="1619"/>
    <x v="6"/>
    <s v="Blown FB"/>
    <s v=""/>
    <n v="2.500000037252903E-2"/>
    <n v="1904.288"/>
  </r>
  <r>
    <x v="5"/>
    <n v="1"/>
    <n v="104754"/>
    <n v="12992"/>
    <n v="1"/>
    <n v="1300"/>
    <x v="4"/>
    <s v="Blown FB"/>
    <s v=""/>
    <n v="2.500000037252903E-2"/>
    <n v="4956.4930000000004"/>
  </r>
  <r>
    <x v="5"/>
    <n v="1"/>
    <n v="139128"/>
    <n v="22681"/>
    <n v="1"/>
    <n v="1522"/>
    <x v="12"/>
    <s v="Blown FB"/>
    <s v=""/>
    <n v="2.500000037252903E-2"/>
    <n v="1192.4649999999999"/>
  </r>
  <r>
    <x v="5"/>
    <n v="1"/>
    <n v="181601"/>
    <n v="11145"/>
    <n v="1"/>
    <n v="1500"/>
    <x v="4"/>
    <s v="Blown Cellulose"/>
    <s v=""/>
    <n v="2.500000037252903E-2"/>
    <n v="4956.4930000000004"/>
  </r>
  <r>
    <x v="5"/>
    <n v="1"/>
    <n v="208510"/>
    <n v="12264"/>
    <n v="1"/>
    <n v="2001"/>
    <x v="25"/>
    <s v="Mixed"/>
    <s v=""/>
    <n v="2.500000037252903E-2"/>
    <n v="1464.694"/>
  </r>
  <r>
    <x v="5"/>
    <n v="1"/>
    <n v="48038"/>
    <n v="12054"/>
    <n v="1"/>
    <n v="510"/>
    <x v="11"/>
    <s v="Blown Cellulose"/>
    <s v=""/>
    <n v="2.500000037252903E-2"/>
    <n v="1524.7619999999999"/>
  </r>
  <r>
    <x v="5"/>
    <n v="1"/>
    <n v="671947"/>
    <n v="10384"/>
    <n v="1"/>
    <n v="1258"/>
    <x v="12"/>
    <s v="Blown FB"/>
    <s v=""/>
    <n v="2.500000037252903E-2"/>
    <n v="6932.7380000000003"/>
  </r>
  <r>
    <x v="5"/>
    <n v="1"/>
    <n v="198229"/>
    <n v="14102"/>
    <n v="1"/>
    <n v="1615"/>
    <x v="11"/>
    <s v="Blown FB"/>
    <s v=""/>
    <n v="2.500000037252903E-2"/>
    <n v="4956.4930000000004"/>
  </r>
  <r>
    <x v="5"/>
    <n v="1"/>
    <n v="135745"/>
    <n v="10612"/>
    <n v="1"/>
    <n v="1748"/>
    <x v="4"/>
    <s v="Mixed"/>
    <s v=""/>
    <n v="2.500000037252903E-2"/>
    <n v="6932.7380000000003"/>
  </r>
  <r>
    <x v="5"/>
    <n v="1"/>
    <n v="123249"/>
    <n v="21372"/>
    <n v="1"/>
    <n v="3096"/>
    <x v="8"/>
    <s v="Batt Fiberglass"/>
    <s v=""/>
    <n v="2.500000037252903E-2"/>
    <n v="1612.692"/>
  </r>
  <r>
    <x v="5"/>
    <n v="1"/>
    <n v="189276"/>
    <n v="22965"/>
    <n v="1"/>
    <n v="1540"/>
    <x v="12"/>
    <s v="Blown Cellulose"/>
    <s v=""/>
    <n v="2.500000037252903E-2"/>
    <n v="1612.692"/>
  </r>
  <r>
    <x v="5"/>
    <n v="1"/>
    <n v="81661"/>
    <n v="22977"/>
    <n v="1"/>
    <n v="525"/>
    <x v="8"/>
    <s v="Blown Cellulose"/>
    <s v=""/>
    <n v="2.500000037252903E-2"/>
    <n v="1925.059"/>
  </r>
  <r>
    <x v="5"/>
    <n v="1"/>
    <n v="108061"/>
    <n v="10338"/>
    <n v="1"/>
    <n v="1482"/>
    <x v="11"/>
    <s v="Mixed"/>
    <s v=""/>
    <n v="2.500000037252903E-2"/>
    <n v="4956.4930000000004"/>
  </r>
  <r>
    <x v="5"/>
    <n v="1"/>
    <n v="205132"/>
    <n v="20305"/>
    <n v="1"/>
    <n v="1922"/>
    <x v="20"/>
    <s v="Blown FB"/>
    <s v=""/>
    <n v="2.500000037252903E-2"/>
    <n v="1192.4649999999999"/>
  </r>
  <r>
    <x v="5"/>
    <n v="1"/>
    <n v="726949"/>
    <n v="12190"/>
    <n v="3"/>
    <n v="1004"/>
    <x v="4"/>
    <s v="Batt Fiberglass"/>
    <s v="addition"/>
    <n v="2.500000037252903E-2"/>
    <n v="4956.4930000000004"/>
  </r>
  <r>
    <x v="5"/>
    <n v="1"/>
    <n v="106836"/>
    <n v="22903"/>
    <n v="1"/>
    <n v="2378"/>
    <x v="13"/>
    <s v="Blown FB"/>
    <s v=""/>
    <n v="2.500000037252903E-2"/>
    <n v="1904.288"/>
  </r>
  <r>
    <x v="5"/>
    <n v="1"/>
    <n v="126323"/>
    <n v="23554"/>
    <n v="1"/>
    <n v="2156"/>
    <x v="13"/>
    <s v="Blown FB"/>
    <s v=""/>
    <n v="2.500000037252903E-2"/>
    <n v="1192.4649999999999"/>
  </r>
  <r>
    <x v="5"/>
    <n v="1"/>
    <n v="178503"/>
    <n v="23034"/>
    <n v="1"/>
    <n v="2303"/>
    <x v="12"/>
    <s v="Blown FB"/>
    <s v=""/>
    <n v="2.500000037252903E-2"/>
    <n v="1192.4649999999999"/>
  </r>
  <r>
    <x v="5"/>
    <n v="1"/>
    <n v="157371"/>
    <n v="21862"/>
    <n v="1"/>
    <n v="3413"/>
    <x v="12"/>
    <s v="Blown FB"/>
    <s v=""/>
    <n v="2.500000037252903E-2"/>
    <n v="1192.4649999999999"/>
  </r>
  <r>
    <x v="5"/>
    <n v="1"/>
    <n v="39714"/>
    <n v="12321"/>
    <n v="2"/>
    <n v="642"/>
    <x v="11"/>
    <s v="Blown FB"/>
    <s v="addition in 2006, R-38"/>
    <n v="2.500000037252903E-2"/>
    <n v="1524.7619999999999"/>
  </r>
  <r>
    <x v="5"/>
    <n v="1"/>
    <n v="163848"/>
    <n v="23547"/>
    <n v="1"/>
    <n v="552"/>
    <x v="14"/>
    <s v="Batt Mineral Wool"/>
    <s v=""/>
    <n v="2.500000037252903E-2"/>
    <n v="2130.886"/>
  </r>
  <r>
    <x v="5"/>
    <n v="1"/>
    <n v="248412"/>
    <n v="22615"/>
    <n v="1"/>
    <n v="1729"/>
    <x v="12"/>
    <s v="Blown FB"/>
    <s v=""/>
    <n v="2.500000037252903E-2"/>
    <n v="2130.886"/>
  </r>
  <r>
    <x v="5"/>
    <n v="1"/>
    <n v="690390"/>
    <n v="24366"/>
    <n v="1"/>
    <n v="1486"/>
    <x v="12"/>
    <s v="Blown FB"/>
    <s v=""/>
    <n v="2.500000037252903E-2"/>
    <n v="12271.31"/>
  </r>
  <r>
    <x v="5"/>
    <n v="1"/>
    <n v="232312"/>
    <n v="23112"/>
    <n v="1"/>
    <n v="1880"/>
    <x v="4"/>
    <s v="Batt Fiberglass"/>
    <s v=""/>
    <n v="2.500000037252903E-2"/>
    <n v="1904.288"/>
  </r>
  <r>
    <x v="5"/>
    <n v="1"/>
    <n v="234827"/>
    <n v="22288"/>
    <n v="1"/>
    <n v="2294"/>
    <x v="12"/>
    <s v="Blown FB"/>
    <s v=""/>
    <n v="2.500000037252903E-2"/>
    <n v="2079.9929999999999"/>
  </r>
  <r>
    <x v="5"/>
    <n v="1"/>
    <n v="74451"/>
    <n v="23931"/>
    <n v="1"/>
    <n v="699"/>
    <x v="14"/>
    <s v="Blown FB"/>
    <s v=""/>
    <n v="2.500000037252903E-2"/>
    <n v="1144.6790000000001"/>
  </r>
  <r>
    <x v="5"/>
    <n v="1"/>
    <n v="141640"/>
    <n v="23449"/>
    <n v="1"/>
    <n v="646"/>
    <x v="12"/>
    <s v="Blown FB"/>
    <s v=""/>
    <n v="2.500000037252903E-2"/>
    <n v="8264.9449999999997"/>
  </r>
  <r>
    <x v="5"/>
    <n v="1"/>
    <n v="90393"/>
    <n v="13250"/>
    <n v="1"/>
    <n v="1024"/>
    <x v="4"/>
    <s v="Mixed"/>
    <s v=""/>
    <n v="2.500000037252903E-2"/>
    <n v="2003.7159999999999"/>
  </r>
  <r>
    <x v="5"/>
    <n v="1"/>
    <n v="28014"/>
    <n v="12496"/>
    <n v="1"/>
    <n v="975"/>
    <x v="12"/>
    <s v="Blown FB"/>
    <s v=""/>
    <n v="2.500000037252903E-2"/>
    <n v="1150.8789999999999"/>
  </r>
  <r>
    <x v="5"/>
    <n v="1"/>
    <n v="720710"/>
    <n v="11219"/>
    <n v="1"/>
    <n v="1412"/>
    <x v="11"/>
    <s v="Blown Cellulose"/>
    <s v="R38-40 Including garage ceiling"/>
    <n v="2.500000037252903E-2"/>
    <n v="4956.4930000000004"/>
  </r>
  <r>
    <x v="5"/>
    <n v="1"/>
    <n v="55703"/>
    <n v="10709"/>
    <n v="1"/>
    <n v="1208"/>
    <x v="4"/>
    <s v="Batt Fiberglass"/>
    <s v=""/>
    <n v="2.500000037252903E-2"/>
    <n v="1524.7619999999999"/>
  </r>
  <r>
    <x v="5"/>
    <n v="1"/>
    <n v="199232"/>
    <n v="11349"/>
    <n v="1"/>
    <n v="944"/>
    <x v="4"/>
    <s v="Blown FB"/>
    <s v=""/>
    <n v="2.500000037252903E-2"/>
    <n v="4956.4930000000004"/>
  </r>
  <r>
    <x v="5"/>
    <n v="1"/>
    <n v="230043"/>
    <n v="20020"/>
    <n v="1"/>
    <n v="2026"/>
    <x v="12"/>
    <s v="Blown FB"/>
    <s v=""/>
    <n v="2.500000037252903E-2"/>
    <n v="1904.288"/>
  </r>
  <r>
    <x v="5"/>
    <n v="1"/>
    <n v="191734"/>
    <n v="14545"/>
    <n v="1"/>
    <n v="1300"/>
    <x v="8"/>
    <s v="Blown FB"/>
    <s v=""/>
    <n v="2.500000037252903E-2"/>
    <n v="1188.027"/>
  </r>
  <r>
    <x v="5"/>
    <n v="1"/>
    <n v="106959"/>
    <n v="22186"/>
    <n v="1"/>
    <n v="1400"/>
    <x v="14"/>
    <s v="Blown FB"/>
    <s v=""/>
    <n v="2.500000037252903E-2"/>
    <n v="3785.7640000000001"/>
  </r>
  <r>
    <x v="5"/>
    <n v="1"/>
    <n v="64021"/>
    <n v="22019"/>
    <n v="1"/>
    <n v="984"/>
    <x v="13"/>
    <s v="Blown FB"/>
    <s v=""/>
    <n v="2.500000037252903E-2"/>
    <n v="1904.288"/>
  </r>
  <r>
    <x v="5"/>
    <n v="1"/>
    <n v="104345"/>
    <n v="10030"/>
    <n v="1"/>
    <n v="1449"/>
    <x v="39"/>
    <s v="Mixed"/>
    <s v=""/>
    <n v="2.500000037252903E-2"/>
    <n v="4956.4930000000004"/>
  </r>
  <r>
    <x v="5"/>
    <n v="1"/>
    <n v="212301"/>
    <n v="20516"/>
    <n v="1"/>
    <n v="1400"/>
    <x v="4"/>
    <s v="Blown FB"/>
    <s v=""/>
    <n v="2.500000037252903E-2"/>
    <n v="2079.9929999999999"/>
  </r>
  <r>
    <x v="5"/>
    <n v="1"/>
    <n v="125441"/>
    <n v="12693"/>
    <n v="1"/>
    <n v="1272"/>
    <x v="11"/>
    <s v="Blown FB"/>
    <s v=""/>
    <n v="2.500000037252903E-2"/>
    <n v="4956.4930000000004"/>
  </r>
  <r>
    <x v="5"/>
    <n v="1"/>
    <n v="46304"/>
    <n v="12064"/>
    <n v="1"/>
    <n v="950"/>
    <x v="4"/>
    <s v="Blown Cellulose"/>
    <s v=""/>
    <n v="2.500000037252903E-2"/>
    <n v="1524.7619999999999"/>
  </r>
  <r>
    <x v="5"/>
    <n v="1"/>
    <n v="689715"/>
    <n v="10715"/>
    <n v="1"/>
    <n v="2352"/>
    <x v="12"/>
    <s v="Blown FB"/>
    <s v=""/>
    <n v="2.500000037252903E-2"/>
    <n v="4956.4930000000004"/>
  </r>
  <r>
    <x v="5"/>
    <n v="1"/>
    <n v="683397"/>
    <n v="23028"/>
    <n v="1"/>
    <n v="1510"/>
    <x v="12"/>
    <s v="Blown FB"/>
    <s v=""/>
    <n v="2.500000037252903E-2"/>
    <n v="12271.31"/>
  </r>
  <r>
    <x v="5"/>
    <n v="1"/>
    <n v="226274"/>
    <n v="22052"/>
    <n v="1"/>
    <n v="1644"/>
    <x v="4"/>
    <s v="Blown Cellulose"/>
    <s v=""/>
    <n v="2.500000037252903E-2"/>
    <n v="1904.288"/>
  </r>
  <r>
    <x v="5"/>
    <n v="1"/>
    <n v="50114"/>
    <n v="22215"/>
    <n v="1"/>
    <n v="2200"/>
    <x v="2"/>
    <s v="Blown Cellulose"/>
    <s v=""/>
    <n v="2.500000037252903E-2"/>
    <n v="3785.7640000000001"/>
  </r>
  <r>
    <x v="5"/>
    <n v="1"/>
    <n v="187174"/>
    <n v="12955"/>
    <n v="1"/>
    <n v="600"/>
    <x v="4"/>
    <s v="Blown Cellulose"/>
    <s v=""/>
    <n v="2.500000037252903E-2"/>
    <n v="1524.7619999999999"/>
  </r>
  <r>
    <x v="5"/>
    <n v="1"/>
    <n v="162696"/>
    <n v="24672"/>
    <n v="1"/>
    <n v="1938"/>
    <x v="6"/>
    <s v="Blown FB"/>
    <s v=""/>
    <n v="2.500000037252903E-2"/>
    <n v="3785.7640000000001"/>
  </r>
  <r>
    <x v="5"/>
    <n v="1"/>
    <n v="54762"/>
    <n v="11409"/>
    <n v="1"/>
    <n v="606"/>
    <x v="11"/>
    <s v="Blown FB"/>
    <s v=""/>
    <n v="2.500000037252903E-2"/>
    <n v="1188.027"/>
  </r>
  <r>
    <x v="5"/>
    <n v="1"/>
    <n v="227000"/>
    <n v="11925"/>
    <n v="1"/>
    <n v="2010"/>
    <x v="4"/>
    <s v="Blown Cellulose"/>
    <s v=""/>
    <n v="2.500000037252903E-2"/>
    <n v="4956.4930000000004"/>
  </r>
  <r>
    <x v="5"/>
    <n v="1"/>
    <n v="182731"/>
    <n v="11679"/>
    <n v="1"/>
    <n v="2173"/>
    <x v="5"/>
    <s v="Blown FB"/>
    <s v=""/>
    <n v="2.500000037252903E-2"/>
    <n v="6932.7380000000003"/>
  </r>
  <r>
    <x v="5"/>
    <n v="1"/>
    <n v="724536"/>
    <n v="11503"/>
    <n v="1"/>
    <n v="850"/>
    <x v="4"/>
    <s v="Blown FB"/>
    <s v=""/>
    <n v="2.500000037252903E-2"/>
    <n v="1524.7619999999999"/>
  </r>
  <r>
    <x v="5"/>
    <n v="1"/>
    <n v="98193"/>
    <n v="24209"/>
    <n v="1"/>
    <n v="1120"/>
    <x v="13"/>
    <s v="Blown Cellulose"/>
    <s v=""/>
    <n v="2.500000037252903E-2"/>
    <n v="1904.288"/>
  </r>
  <r>
    <x v="5"/>
    <n v="1"/>
    <n v="239692"/>
    <n v="23879"/>
    <n v="1"/>
    <n v="1402"/>
    <x v="11"/>
    <s v="Blown FB"/>
    <s v="INCLUDES ROOF OVER GARAGE, CODE 2007"/>
    <n v="2.500000037252903E-2"/>
    <n v="2079.9929999999999"/>
  </r>
  <r>
    <x v="5"/>
    <n v="1"/>
    <n v="660178"/>
    <n v="12063"/>
    <n v="1"/>
    <n v="1402"/>
    <x v="12"/>
    <s v="Mixed"/>
    <s v=""/>
    <n v="2.500000037252903E-2"/>
    <n v="1464.694"/>
  </r>
  <r>
    <x v="5"/>
    <n v="1"/>
    <n v="178597"/>
    <n v="23283"/>
    <n v="1"/>
    <n v="736"/>
    <x v="8"/>
    <s v="Blown Cellulose"/>
    <s v=""/>
    <n v="2.500000037252903E-2"/>
    <n v="1925.059"/>
  </r>
  <r>
    <x v="5"/>
    <n v="1"/>
    <n v="139258"/>
    <n v="20565"/>
    <n v="1"/>
    <n v="1431"/>
    <x v="12"/>
    <s v="Blown FB"/>
    <s v=""/>
    <n v="2.500000037252903E-2"/>
    <n v="1192.4649999999999"/>
  </r>
  <r>
    <x v="5"/>
    <n v="1"/>
    <n v="182875"/>
    <n v="11815"/>
    <n v="1"/>
    <n v="2702"/>
    <x v="12"/>
    <s v="Blown Cellulose"/>
    <s v=""/>
    <n v="2.500000037252903E-2"/>
    <n v="6932.7380000000003"/>
  </r>
  <r>
    <x v="5"/>
    <n v="1"/>
    <n v="214075"/>
    <n v="12086"/>
    <n v="1"/>
    <n v="1250"/>
    <x v="4"/>
    <s v="Blown Cellulose"/>
    <s v=""/>
    <n v="2.500000037252903E-2"/>
    <n v="1464.694"/>
  </r>
  <r>
    <x v="5"/>
    <n v="1"/>
    <n v="178742"/>
    <n v="22733"/>
    <n v="1"/>
    <n v="1789"/>
    <x v="12"/>
    <s v="Blown FB"/>
    <s v=""/>
    <n v="2.500000037252903E-2"/>
    <n v="1192.4649999999999"/>
  </r>
  <r>
    <x v="5"/>
    <n v="1"/>
    <n v="231174"/>
    <n v="22214"/>
    <n v="1"/>
    <n v="1036"/>
    <x v="11"/>
    <s v="Mixed"/>
    <s v=""/>
    <n v="2.500000037252903E-2"/>
    <n v="2130.886"/>
  </r>
  <r>
    <x v="5"/>
    <n v="1"/>
    <n v="104975"/>
    <n v="22047"/>
    <n v="1"/>
    <n v="912"/>
    <x v="14"/>
    <s v="Blown Cellulose"/>
    <s v=""/>
    <n v="2.500000037252903E-2"/>
    <n v="3785.7640000000001"/>
  </r>
  <r>
    <x v="5"/>
    <n v="1"/>
    <n v="78580"/>
    <n v="12215"/>
    <n v="1"/>
    <n v="1089"/>
    <x v="25"/>
    <s v="Blown Rock Wool"/>
    <s v=""/>
    <n v="2.500000037252903E-2"/>
    <n v="2003.7159999999999"/>
  </r>
  <r>
    <x v="5"/>
    <n v="1"/>
    <n v="184223"/>
    <n v="22872"/>
    <n v="1"/>
    <n v="754"/>
    <x v="12"/>
    <s v="Blown FB"/>
    <s v=""/>
    <n v="2.500000037252903E-2"/>
    <n v="3785.7640000000001"/>
  </r>
  <r>
    <x v="5"/>
    <n v="1"/>
    <n v="108898"/>
    <n v="11633"/>
    <n v="2"/>
    <n v="860"/>
    <x v="12"/>
    <s v="Batt Fiberglass"/>
    <s v=""/>
    <n v="2.500000037252903E-2"/>
    <n v="4956.4930000000004"/>
  </r>
  <r>
    <x v="5"/>
    <n v="1"/>
    <n v="119161"/>
    <n v="21452"/>
    <n v="1"/>
    <n v="1290"/>
    <x v="13"/>
    <s v="Blown FB"/>
    <s v=""/>
    <n v="2.500000037252903E-2"/>
    <n v="1904.288"/>
  </r>
  <r>
    <x v="5"/>
    <n v="1"/>
    <n v="675572"/>
    <n v="22144"/>
    <n v="1"/>
    <n v="1416"/>
    <x v="12"/>
    <s v="Blown FB"/>
    <s v=""/>
    <n v="2.500000037252903E-2"/>
    <n v="3785.7640000000001"/>
  </r>
  <r>
    <x v="5"/>
    <n v="1"/>
    <n v="111024"/>
    <n v="22023"/>
    <n v="1"/>
    <n v="1278"/>
    <x v="4"/>
    <s v="Blown FB"/>
    <s v=""/>
    <n v="2.500000037252903E-2"/>
    <n v="2079.9929999999999"/>
  </r>
  <r>
    <x v="5"/>
    <n v="1"/>
    <n v="207770"/>
    <n v="20426"/>
    <n v="1"/>
    <n v="764"/>
    <x v="12"/>
    <s v="Blown FB"/>
    <s v=""/>
    <n v="2.500000037252903E-2"/>
    <n v="1904.288"/>
  </r>
  <r>
    <x v="5"/>
    <n v="1"/>
    <n v="718382"/>
    <n v="12305"/>
    <n v="1"/>
    <n v="940"/>
    <x v="4"/>
    <s v="Blown FB"/>
    <s v=""/>
    <n v="2.500000037252903E-2"/>
    <n v="4956.4930000000004"/>
  </r>
  <r>
    <x v="5"/>
    <n v="1"/>
    <n v="682165"/>
    <n v="23017"/>
    <n v="1"/>
    <n v="1392"/>
    <x v="11"/>
    <s v="Blown Cellulose"/>
    <s v=""/>
    <n v="2.500000037252903E-2"/>
    <n v="3785.7640000000001"/>
  </r>
  <r>
    <x v="5"/>
    <n v="1"/>
    <n v="73199"/>
    <n v="20540"/>
    <n v="1"/>
    <n v="1750"/>
    <x v="13"/>
    <s v="Blown Cellulose"/>
    <s v=""/>
    <n v="2.500000037252903E-2"/>
    <n v="1904.288"/>
  </r>
  <r>
    <x v="5"/>
    <n v="1"/>
    <n v="175908"/>
    <n v="22649"/>
    <n v="1"/>
    <n v="165"/>
    <x v="8"/>
    <s v="Mixed"/>
    <s v=""/>
    <n v="2.500000037252903E-2"/>
    <n v="1925.059"/>
  </r>
  <r>
    <x v="5"/>
    <n v="1"/>
    <n v="35702"/>
    <n v="12614"/>
    <n v="2"/>
    <n v="162"/>
    <x v="6"/>
    <s v="Blown Cellulose"/>
    <s v=""/>
    <n v="2.500000037252903E-2"/>
    <n v="1524.7619999999999"/>
  </r>
  <r>
    <x v="5"/>
    <n v="1"/>
    <n v="27365"/>
    <n v="10459"/>
    <n v="2"/>
    <n v="1035"/>
    <x v="5"/>
    <s v="Blown FB"/>
    <s v=""/>
    <n v="2.500000037252903E-2"/>
    <n v="1524.7619999999999"/>
  </r>
  <r>
    <x v="5"/>
    <n v="1"/>
    <n v="220844"/>
    <n v="21524"/>
    <n v="1"/>
    <n v="2542"/>
    <x v="4"/>
    <s v="Blown FB"/>
    <s v=""/>
    <n v="2.500000037252903E-2"/>
    <n v="1904.288"/>
  </r>
  <r>
    <x v="5"/>
    <n v="1"/>
    <n v="116344"/>
    <n v="12648"/>
    <n v="1"/>
    <n v="1344"/>
    <x v="12"/>
    <s v="Blown FB"/>
    <s v=""/>
    <n v="2.500000037252903E-2"/>
    <n v="4956.4930000000004"/>
  </r>
  <r>
    <x v="5"/>
    <n v="1"/>
    <n v="113387"/>
    <n v="24158"/>
    <n v="1"/>
    <n v="1209"/>
    <x v="25"/>
    <s v="Blown FB"/>
    <s v=""/>
    <n v="2.500000037252903E-2"/>
    <n v="2079.9929999999999"/>
  </r>
  <r>
    <x v="6"/>
    <n v="0.75"/>
    <n v="193508"/>
    <n v="20472"/>
    <n v="1"/>
    <n v="1326"/>
    <x v="8"/>
    <s v="Blown Cellulose"/>
    <s v=""/>
    <n v="0.14000000059604645"/>
    <n v="1612.692"/>
  </r>
  <r>
    <x v="6"/>
    <n v="0.75"/>
    <n v="151574"/>
    <n v="23380"/>
    <n v="1"/>
    <n v="1056"/>
    <x v="14"/>
    <s v="Mixed"/>
    <s v=""/>
    <n v="0.14000000059604645"/>
    <n v="3785.7640000000001"/>
  </r>
  <r>
    <x v="6"/>
    <n v="0.9"/>
    <n v="183732"/>
    <n v="24826"/>
    <n v="1"/>
    <n v="448"/>
    <x v="46"/>
    <s v="Blown FB"/>
    <s v=""/>
    <n v="7.0000000298023224E-2"/>
    <n v="1612.692"/>
  </r>
  <r>
    <x v="6"/>
    <n v="0.9"/>
    <n v="166608"/>
    <n v="23111"/>
    <n v="2"/>
    <n v="1500"/>
    <x v="11"/>
    <s v="Blown Cellulose"/>
    <s v=""/>
    <n v="7.0000000298023224E-2"/>
    <n v="1192.4649999999999"/>
  </r>
  <r>
    <x v="6"/>
    <n v="0.9"/>
    <n v="56572"/>
    <n v="11110"/>
    <n v="1"/>
    <n v="500"/>
    <x v="8"/>
    <s v="Blown FB"/>
    <s v=""/>
    <n v="7.0000000298023224E-2"/>
    <n v="1188.027"/>
  </r>
  <r>
    <x v="6"/>
    <n v="0.9"/>
    <n v="148757"/>
    <n v="22597"/>
    <n v="1"/>
    <n v="1012"/>
    <x v="46"/>
    <s v="Blown FB"/>
    <s v=""/>
    <n v="7.0000000298023224E-2"/>
    <n v="8264.9449999999997"/>
  </r>
  <r>
    <x v="6"/>
    <n v="0.9"/>
    <n v="67175"/>
    <n v="11327"/>
    <n v="1"/>
    <n v="1240"/>
    <x v="25"/>
    <s v="Mixed"/>
    <s v=""/>
    <n v="7.0000000298023224E-2"/>
    <n v="2003.7159999999999"/>
  </r>
  <r>
    <x v="6"/>
    <n v="0.9"/>
    <n v="33543"/>
    <n v="22460"/>
    <n v="1"/>
    <n v="2100"/>
    <x v="11"/>
    <s v="Batt Fiberglass"/>
    <s v=""/>
    <n v="7.0000000298023224E-2"/>
    <n v="3785.7640000000001"/>
  </r>
  <r>
    <x v="6"/>
    <n v="0.9"/>
    <n v="131678"/>
    <n v="23667"/>
    <n v="1"/>
    <n v="1124"/>
    <x v="8"/>
    <s v="Blown Cellulose"/>
    <s v=""/>
    <n v="7.0000000298023224E-2"/>
    <n v="8264.9449999999997"/>
  </r>
  <r>
    <x v="6"/>
    <n v="0.9"/>
    <n v="160997"/>
    <n v="21906"/>
    <n v="1"/>
    <n v="732"/>
    <x v="11"/>
    <s v="Blown Cellulose"/>
    <s v=""/>
    <n v="7.0000000298023224E-2"/>
    <n v="2130.886"/>
  </r>
  <r>
    <x v="6"/>
    <n v="0.9"/>
    <n v="233537"/>
    <n v="20685"/>
    <n v="1"/>
    <n v="1631"/>
    <x v="4"/>
    <s v="Blown Cellulose"/>
    <s v=""/>
    <n v="7.0000000298023224E-2"/>
    <n v="3785.7640000000001"/>
  </r>
  <r>
    <x v="6"/>
    <n v="0.9"/>
    <n v="222905"/>
    <n v="24419"/>
    <n v="1"/>
    <n v="1500"/>
    <x v="4"/>
    <s v="Blown FB"/>
    <s v=""/>
    <n v="7.0000000298023224E-2"/>
    <n v="1612.692"/>
  </r>
  <r>
    <x v="6"/>
    <n v="0.9"/>
    <n v="185038"/>
    <n v="22935"/>
    <n v="1"/>
    <n v="2295"/>
    <x v="4"/>
    <s v="Mixed"/>
    <s v=""/>
    <n v="7.0000000298023224E-2"/>
    <n v="1192.4649999999999"/>
  </r>
  <r>
    <x v="6"/>
    <n v="1"/>
    <n v="36473"/>
    <n v="13817"/>
    <n v="1"/>
    <n v="2050"/>
    <x v="1"/>
    <s v="Blown Cellulose"/>
    <s v=""/>
    <n v="1.9999999552965164E-2"/>
    <n v="1188.027"/>
  </r>
  <r>
    <x v="6"/>
    <n v="1"/>
    <n v="201217"/>
    <n v="11282"/>
    <n v="1"/>
    <n v="2002"/>
    <x v="4"/>
    <s v="Blown FB"/>
    <s v=""/>
    <n v="1.9999999552965164E-2"/>
    <n v="6932.7380000000003"/>
  </r>
  <r>
    <x v="6"/>
    <n v="1"/>
    <n v="219427"/>
    <n v="14423"/>
    <n v="1"/>
    <n v="676"/>
    <x v="4"/>
    <s v="Blown FB"/>
    <s v=""/>
    <n v="1.9999999552965164E-2"/>
    <n v="4956.4930000000004"/>
  </r>
  <r>
    <x v="6"/>
    <n v="1"/>
    <n v="87879"/>
    <n v="20089"/>
    <n v="1"/>
    <n v="1240"/>
    <x v="11"/>
    <s v="Batt Fiberglass"/>
    <s v=""/>
    <n v="1.9999999552965164E-2"/>
    <n v="1144.6790000000001"/>
  </r>
  <r>
    <x v="6"/>
    <n v="1"/>
    <n v="36214"/>
    <n v="10637"/>
    <n v="1"/>
    <n v="1805"/>
    <x v="4"/>
    <s v="Mixed"/>
    <s v=""/>
    <n v="1.9999999552965164E-2"/>
    <n v="1188.027"/>
  </r>
  <r>
    <x v="6"/>
    <n v="1"/>
    <n v="855946"/>
    <n v="20469"/>
    <n v="1"/>
    <n v="1137"/>
    <x v="4"/>
    <s v="Blown FB"/>
    <s v=""/>
    <n v="1.9999999552965164E-2"/>
    <n v="1904.288"/>
  </r>
  <r>
    <x v="6"/>
    <n v="1"/>
    <n v="68314"/>
    <n v="22673"/>
    <n v="1"/>
    <n v="600"/>
    <x v="11"/>
    <s v="Blown FB"/>
    <s v=""/>
    <n v="1.9999999552965164E-2"/>
    <n v="1144.6790000000001"/>
  </r>
  <r>
    <x v="6"/>
    <n v="1"/>
    <n v="178873"/>
    <n v="22312"/>
    <n v="1"/>
    <n v="1422"/>
    <x v="4"/>
    <s v="Blown FB"/>
    <s v=""/>
    <n v="1.9999999552965164E-2"/>
    <n v="3785.7640000000001"/>
  </r>
  <r>
    <x v="6"/>
    <n v="1"/>
    <n v="133954"/>
    <n v="12499"/>
    <n v="1"/>
    <n v="1770"/>
    <x v="4"/>
    <s v="Blown FB"/>
    <s v=""/>
    <n v="1.9999999552965164E-2"/>
    <n v="6932.7380000000003"/>
  </r>
  <r>
    <x v="6"/>
    <n v="1"/>
    <n v="184784"/>
    <n v="20965"/>
    <n v="1"/>
    <n v="1400"/>
    <x v="4"/>
    <s v="Mixed"/>
    <s v=""/>
    <n v="1.9999999552965164E-2"/>
    <n v="3785.7640000000001"/>
  </r>
  <r>
    <x v="6"/>
    <n v="1"/>
    <n v="726301"/>
    <n v="12482"/>
    <n v="1"/>
    <n v="1044"/>
    <x v="4"/>
    <s v="Blown FB"/>
    <s v=""/>
    <n v="1.9999999552965164E-2"/>
    <n v="4956.4930000000004"/>
  </r>
  <r>
    <x v="6"/>
    <n v="1"/>
    <n v="132295"/>
    <n v="23021"/>
    <n v="1"/>
    <n v="1628"/>
    <x v="43"/>
    <s v="Mixed"/>
    <s v=""/>
    <n v="1.9999999552965164E-2"/>
    <n v="1144.6790000000001"/>
  </r>
  <r>
    <x v="6"/>
    <n v="1"/>
    <n v="176472"/>
    <n v="24740"/>
    <n v="1"/>
    <n v="1584"/>
    <x v="4"/>
    <s v="Blown Cellulose"/>
    <s v=""/>
    <n v="1.9999999552965164E-2"/>
    <n v="2130.886"/>
  </r>
  <r>
    <x v="6"/>
    <n v="1"/>
    <n v="88467"/>
    <n v="20650"/>
    <n v="1"/>
    <n v="1008"/>
    <x v="8"/>
    <s v="Blown FB"/>
    <s v=""/>
    <n v="1.9999999552965164E-2"/>
    <n v="1925.059"/>
  </r>
  <r>
    <x v="6"/>
    <n v="1"/>
    <n v="82219"/>
    <n v="12510"/>
    <n v="2"/>
    <n v="2308"/>
    <x v="32"/>
    <s v="Blown Cellulose"/>
    <s v=""/>
    <n v="1.9999999552965164E-2"/>
    <n v="2003.7159999999999"/>
  </r>
  <r>
    <x v="6"/>
    <n v="1"/>
    <n v="63855"/>
    <n v="20392"/>
    <n v="1"/>
    <n v="3100"/>
    <x v="4"/>
    <s v="Blown FB"/>
    <s v=""/>
    <n v="1.9999999552965164E-2"/>
    <n v="1904.288"/>
  </r>
  <r>
    <x v="6"/>
    <n v="1"/>
    <n v="685699"/>
    <n v="14560"/>
    <n v="1"/>
    <n v="1055"/>
    <x v="4"/>
    <s v="Blown Cellulose"/>
    <s v=""/>
    <n v="1.9999999552965164E-2"/>
    <n v="6932.7380000000003"/>
  </r>
  <r>
    <x v="6"/>
    <n v="1"/>
    <n v="130027"/>
    <n v="22172"/>
    <n v="1"/>
    <n v="1498"/>
    <x v="4"/>
    <s v="Mixed"/>
    <s v=""/>
    <n v="1.9999999552965164E-2"/>
    <n v="1904.288"/>
  </r>
  <r>
    <x v="6"/>
    <n v="1"/>
    <n v="198385"/>
    <n v="13948"/>
    <n v="1"/>
    <n v="624"/>
    <x v="4"/>
    <s v="Blown Cellulose"/>
    <s v=""/>
    <n v="1.9999999552965164E-2"/>
    <n v="1524.7619999999999"/>
  </r>
  <r>
    <x v="6"/>
    <n v="1"/>
    <n v="86942"/>
    <n v="23113"/>
    <n v="1"/>
    <n v="1377"/>
    <x v="47"/>
    <s v="Blown FB"/>
    <s v=""/>
    <n v="1.9999999552965164E-2"/>
    <n v="1144.6790000000001"/>
  </r>
  <r>
    <x v="6"/>
    <n v="1"/>
    <n v="94891"/>
    <n v="13643"/>
    <n v="1"/>
    <n v="1645"/>
    <x v="4"/>
    <s v="Mixed"/>
    <s v=""/>
    <n v="1.9999999552965164E-2"/>
    <n v="2003.7159999999999"/>
  </r>
  <r>
    <x v="6"/>
    <n v="1"/>
    <n v="212191"/>
    <n v="10016"/>
    <n v="1"/>
    <n v="1618"/>
    <x v="4"/>
    <s v="Blown Cellulose"/>
    <s v=""/>
    <n v="1.9999999552965164E-2"/>
    <n v="6932.7380000000003"/>
  </r>
  <r>
    <x v="6"/>
    <n v="1"/>
    <n v="678471"/>
    <n v="23267"/>
    <n v="1"/>
    <n v="953"/>
    <x v="8"/>
    <s v="Blown Rock Wool"/>
    <s v=""/>
    <n v="1.9999999552965164E-2"/>
    <n v="8264.9449999999997"/>
  </r>
  <r>
    <x v="6"/>
    <n v="1"/>
    <n v="104870"/>
    <n v="11217"/>
    <n v="1"/>
    <n v="950"/>
    <x v="4"/>
    <s v="Batt Fiberglass"/>
    <s v=""/>
    <n v="1.9999999552965164E-2"/>
    <n v="4956.4930000000004"/>
  </r>
  <r>
    <x v="6"/>
    <n v="1"/>
    <n v="181165"/>
    <n v="20601"/>
    <n v="1"/>
    <n v="1248"/>
    <x v="4"/>
    <s v="Blown Cellulose"/>
    <s v=""/>
    <n v="1.9999999552965164E-2"/>
    <n v="2130.886"/>
  </r>
  <r>
    <x v="6"/>
    <n v="1"/>
    <n v="199893"/>
    <n v="20746"/>
    <n v="1"/>
    <n v="1200"/>
    <x v="42"/>
    <s v="Batt Fiberglass"/>
    <s v=""/>
    <n v="1.9999999552965164E-2"/>
    <n v="2130.886"/>
  </r>
  <r>
    <x v="6"/>
    <n v="1"/>
    <n v="133427"/>
    <n v="20245"/>
    <n v="1"/>
    <n v="400"/>
    <x v="4"/>
    <s v="Mixed"/>
    <s v=""/>
    <n v="1.9999999552965164E-2"/>
    <n v="2079.9929999999999"/>
  </r>
  <r>
    <x v="6"/>
    <n v="1"/>
    <n v="222378"/>
    <n v="22129"/>
    <n v="1"/>
    <n v="1540"/>
    <x v="8"/>
    <s v="Batt Fiberglass"/>
    <s v=""/>
    <n v="1.9999999552965164E-2"/>
    <n v="1925.059"/>
  </r>
  <r>
    <x v="6"/>
    <n v="1"/>
    <n v="46915"/>
    <n v="24550"/>
    <n v="1"/>
    <n v="1700"/>
    <x v="4"/>
    <s v="Mixed"/>
    <s v=""/>
    <n v="1.9999999552965164E-2"/>
    <n v="8264.9449999999997"/>
  </r>
  <r>
    <x v="6"/>
    <n v="1"/>
    <n v="88049"/>
    <n v="22728"/>
    <n v="1"/>
    <n v="620"/>
    <x v="11"/>
    <s v="Blown FB"/>
    <s v=""/>
    <n v="1.9999999552965164E-2"/>
    <n v="1144.6790000000001"/>
  </r>
  <r>
    <x v="6"/>
    <n v="1"/>
    <n v="719021"/>
    <n v="11772"/>
    <n v="1"/>
    <n v="668"/>
    <x v="4"/>
    <s v="Mixed"/>
    <s v=""/>
    <n v="1.9999999552965164E-2"/>
    <n v="1464.694"/>
  </r>
  <r>
    <x v="6"/>
    <n v="1"/>
    <n v="173481"/>
    <n v="23631"/>
    <n v="1"/>
    <n v="840"/>
    <x v="8"/>
    <s v="Blown Cellulose"/>
    <s v=""/>
    <n v="1.9999999552965164E-2"/>
    <n v="1925.059"/>
  </r>
  <r>
    <x v="6"/>
    <n v="1"/>
    <n v="177215"/>
    <n v="23973"/>
    <n v="1"/>
    <n v="750"/>
    <x v="4"/>
    <s v="Mixed"/>
    <s v=""/>
    <n v="1.9999999552965164E-2"/>
    <n v="1192.4649999999999"/>
  </r>
  <r>
    <x v="6"/>
    <n v="1"/>
    <n v="100507"/>
    <n v="13315"/>
    <n v="1"/>
    <n v="497"/>
    <x v="32"/>
    <s v="Batt Fiberglass"/>
    <s v=""/>
    <n v="1.9999999552965164E-2"/>
    <n v="4956.4930000000004"/>
  </r>
  <r>
    <x v="6"/>
    <n v="1"/>
    <n v="131493"/>
    <n v="23391"/>
    <n v="1"/>
    <n v="696"/>
    <x v="25"/>
    <s v="Blown FB"/>
    <s v=""/>
    <n v="1.9999999552965164E-2"/>
    <n v="1612.692"/>
  </r>
  <r>
    <x v="6"/>
    <n v="1"/>
    <n v="683866"/>
    <n v="21799"/>
    <n v="1"/>
    <n v="1243"/>
    <x v="4"/>
    <s v="Blown FB"/>
    <s v=""/>
    <n v="1.9999999552965164E-2"/>
    <n v="1904.288"/>
  </r>
  <r>
    <x v="6"/>
    <n v="1"/>
    <n v="184512"/>
    <n v="20152"/>
    <n v="1"/>
    <n v="1428"/>
    <x v="11"/>
    <s v="Blown FB"/>
    <s v=""/>
    <n v="1.9999999552965164E-2"/>
    <n v="3785.7640000000001"/>
  </r>
  <r>
    <x v="6"/>
    <n v="1"/>
    <n v="195624"/>
    <n v="13400"/>
    <n v="1"/>
    <n v="2200"/>
    <x v="8"/>
    <s v="Batt Fiberglass"/>
    <s v=""/>
    <n v="1.9999999552965164E-2"/>
    <n v="6932.7380000000003"/>
  </r>
  <r>
    <x v="6"/>
    <n v="1"/>
    <n v="82219"/>
    <n v="12510"/>
    <n v="1"/>
    <n v="185"/>
    <x v="32"/>
    <s v="Batt Fiberglass"/>
    <s v=""/>
    <n v="1.9999999552965164E-2"/>
    <n v="2003.7159999999999"/>
  </r>
  <r>
    <x v="6"/>
    <n v="1"/>
    <n v="724647"/>
    <n v="10764"/>
    <n v="1"/>
    <n v="1344"/>
    <x v="4"/>
    <s v="Blown FB"/>
    <s v="18&quot; blown in fiberglass"/>
    <n v="1.9999999552965164E-2"/>
    <n v="1524.7619999999999"/>
  </r>
  <r>
    <x v="6"/>
    <n v="1"/>
    <n v="166044"/>
    <n v="23403"/>
    <n v="1"/>
    <n v="1344"/>
    <x v="4"/>
    <s v="Blown FB"/>
    <s v=""/>
    <n v="1.9999999552965164E-2"/>
    <n v="3785.7640000000001"/>
  </r>
  <r>
    <x v="6"/>
    <n v="1"/>
    <n v="68557"/>
    <n v="20100"/>
    <n v="1"/>
    <n v="1656"/>
    <x v="47"/>
    <s v="Blown FB"/>
    <s v=""/>
    <n v="1.9999999552965164E-2"/>
    <n v="2130.886"/>
  </r>
  <r>
    <x v="6"/>
    <n v="1"/>
    <n v="101813"/>
    <n v="21654"/>
    <n v="1"/>
    <n v="3500"/>
    <x v="11"/>
    <s v="Other"/>
    <s v=""/>
    <n v="1.9999999552965164E-2"/>
    <n v="1144.6790000000001"/>
  </r>
  <r>
    <x v="6"/>
    <n v="1"/>
    <n v="89041"/>
    <n v="11860"/>
    <n v="1"/>
    <n v="1642"/>
    <x v="12"/>
    <s v="Blown FB"/>
    <s v=""/>
    <n v="1.9999999552965164E-2"/>
    <n v="2003.7159999999999"/>
  </r>
  <r>
    <x v="6"/>
    <n v="1"/>
    <n v="226506"/>
    <n v="23965"/>
    <n v="1"/>
    <n v="1527"/>
    <x v="4"/>
    <s v="Blown Cellulose"/>
    <s v=""/>
    <n v="1.9999999552965164E-2"/>
    <n v="1904.288"/>
  </r>
  <r>
    <x v="6"/>
    <n v="1"/>
    <n v="138123"/>
    <n v="12897"/>
    <n v="1"/>
    <n v="870"/>
    <x v="4"/>
    <s v="Blown Cellulose"/>
    <s v=""/>
    <n v="1.9999999552965164E-2"/>
    <n v="1524.7619999999999"/>
  </r>
  <r>
    <x v="6"/>
    <n v="1"/>
    <n v="95399"/>
    <n v="22398"/>
    <n v="1"/>
    <n v="1012"/>
    <x v="4"/>
    <s v="Blown FB"/>
    <s v=""/>
    <n v="1.9999999552965164E-2"/>
    <n v="1144.6790000000001"/>
  </r>
  <r>
    <x v="6"/>
    <n v="1"/>
    <n v="732586"/>
    <n v="24808"/>
    <n v="1"/>
    <n v="1238"/>
    <x v="4"/>
    <s v="Blown FB"/>
    <s v=""/>
    <n v="1.9999999552965164E-2"/>
    <n v="3785.7640000000001"/>
  </r>
  <r>
    <x v="6"/>
    <n v="1"/>
    <n v="90601"/>
    <n v="21692"/>
    <n v="1"/>
    <n v="1067"/>
    <x v="8"/>
    <s v="Mixed"/>
    <s v=""/>
    <n v="1.9999999552965164E-2"/>
    <n v="8559.1039999999994"/>
  </r>
  <r>
    <x v="6"/>
    <n v="1"/>
    <n v="669456"/>
    <n v="24375"/>
    <n v="1"/>
    <n v="1401"/>
    <x v="8"/>
    <s v="Mixed"/>
    <s v=""/>
    <n v="1.9999999552965164E-2"/>
    <n v="1612.692"/>
  </r>
  <r>
    <x v="6"/>
    <n v="1"/>
    <n v="123752"/>
    <n v="21401"/>
    <n v="1"/>
    <n v="1900"/>
    <x v="11"/>
    <s v="Blown FB"/>
    <s v=""/>
    <n v="1.9999999552965164E-2"/>
    <n v="2130.886"/>
  </r>
  <r>
    <x v="6"/>
    <n v="1"/>
    <n v="173630"/>
    <n v="20338"/>
    <n v="1"/>
    <n v="1530"/>
    <x v="4"/>
    <s v="Blown FB"/>
    <s v=""/>
    <n v="1.9999999552965164E-2"/>
    <n v="1192.4649999999999"/>
  </r>
  <r>
    <x v="6"/>
    <n v="1"/>
    <n v="144155"/>
    <n v="22095"/>
    <n v="1"/>
    <n v="1503"/>
    <x v="4"/>
    <s v="Mixed"/>
    <s v=""/>
    <n v="1.9999999552965164E-2"/>
    <n v="2130.886"/>
  </r>
  <r>
    <x v="6"/>
    <n v="1"/>
    <n v="82219"/>
    <n v="12510"/>
    <n v="3"/>
    <n v="328"/>
    <x v="32"/>
    <s v="Batt Fiberglass"/>
    <s v=""/>
    <n v="1.9999999552965164E-2"/>
    <n v="2003.7159999999999"/>
  </r>
  <r>
    <x v="6"/>
    <n v="1"/>
    <n v="216353"/>
    <n v="23444"/>
    <n v="1"/>
    <n v="1909"/>
    <x v="4"/>
    <s v="Blown FB"/>
    <s v=""/>
    <n v="1.9999999552965164E-2"/>
    <n v="2079.9929999999999"/>
  </r>
  <r>
    <x v="6"/>
    <n v="1"/>
    <n v="55590"/>
    <n v="10337"/>
    <n v="1"/>
    <n v="800"/>
    <x v="4"/>
    <s v="Blown FB"/>
    <s v=""/>
    <n v="1.9999999552965164E-2"/>
    <n v="1188.027"/>
  </r>
  <r>
    <x v="6"/>
    <n v="1"/>
    <n v="45980"/>
    <n v="20374"/>
    <n v="1"/>
    <n v="1590"/>
    <x v="4"/>
    <s v="Mixed"/>
    <s v=""/>
    <n v="1.9999999552965164E-2"/>
    <n v="8264.9449999999997"/>
  </r>
  <r>
    <x v="6"/>
    <n v="1"/>
    <n v="143709"/>
    <n v="24456"/>
    <n v="1"/>
    <n v="1424"/>
    <x v="4"/>
    <s v="Blown FB"/>
    <s v=""/>
    <n v="1.9999999552965164E-2"/>
    <n v="2130.886"/>
  </r>
  <r>
    <x v="6"/>
    <n v="1"/>
    <n v="143936"/>
    <n v="22041"/>
    <n v="1"/>
    <n v="864"/>
    <x v="32"/>
    <s v="Blown FB"/>
    <s v=""/>
    <n v="1.9999999552965164E-2"/>
    <n v="2130.886"/>
  </r>
  <r>
    <x v="6"/>
    <n v="1"/>
    <n v="105818"/>
    <n v="21431"/>
    <n v="1"/>
    <n v="1380"/>
    <x v="4"/>
    <s v="Mixed"/>
    <s v=""/>
    <n v="1.9999999552965164E-2"/>
    <n v="1144.6790000000001"/>
  </r>
  <r>
    <x v="6"/>
    <n v="1"/>
    <n v="150144"/>
    <n v="21486"/>
    <n v="1"/>
    <n v="1225"/>
    <x v="4"/>
    <s v="Blown FB"/>
    <s v=""/>
    <n v="1.9999999552965164E-2"/>
    <n v="1612.692"/>
  </r>
  <r>
    <x v="6"/>
    <n v="1"/>
    <n v="106711"/>
    <n v="23424"/>
    <n v="1"/>
    <n v="1708"/>
    <x v="4"/>
    <s v="Blown FB"/>
    <s v=""/>
    <n v="1.9999999552965164E-2"/>
    <n v="3785.7640000000001"/>
  </r>
  <r>
    <x v="6"/>
    <n v="1"/>
    <n v="204457"/>
    <n v="14329"/>
    <n v="1"/>
    <n v="1953"/>
    <x v="8"/>
    <s v="Blown FB"/>
    <s v=""/>
    <n v="1.9999999552965164E-2"/>
    <n v="6932.7380000000003"/>
  </r>
  <r>
    <x v="6"/>
    <n v="1"/>
    <n v="163346"/>
    <n v="23602"/>
    <n v="1"/>
    <n v="2195"/>
    <x v="4"/>
    <s v="Batt Fiberglass"/>
    <s v=""/>
    <n v="1.9999999552965164E-2"/>
    <n v="1192.4649999999999"/>
  </r>
  <r>
    <x v="6"/>
    <n v="1"/>
    <n v="179384"/>
    <n v="22306"/>
    <n v="1"/>
    <n v="1008"/>
    <x v="32"/>
    <s v="Mixed"/>
    <s v=""/>
    <n v="1.9999999552965164E-2"/>
    <n v="2130.886"/>
  </r>
  <r>
    <x v="6"/>
    <n v="1"/>
    <n v="28230"/>
    <n v="12407"/>
    <n v="1"/>
    <n v="1787"/>
    <x v="4"/>
    <s v="Mixed"/>
    <s v=""/>
    <n v="1.9999999552965164E-2"/>
    <n v="1150.8789999999999"/>
  </r>
  <r>
    <x v="6"/>
    <n v="1"/>
    <n v="678196"/>
    <n v="10887"/>
    <n v="4"/>
    <n v="639"/>
    <x v="12"/>
    <s v="Blown FB"/>
    <s v=""/>
    <n v="1.9999999552965164E-2"/>
    <n v="1464.694"/>
  </r>
  <r>
    <x v="6"/>
    <n v="1"/>
    <n v="226383"/>
    <n v="23791"/>
    <n v="1"/>
    <n v="1508"/>
    <x v="4"/>
    <s v="Batt Fiberglass"/>
    <s v=""/>
    <n v="1.9999999552965164E-2"/>
    <n v="1904.288"/>
  </r>
  <r>
    <x v="6"/>
    <n v="1"/>
    <n v="151659"/>
    <n v="21816"/>
    <n v="1"/>
    <n v="1326"/>
    <x v="14"/>
    <s v="Blown FB"/>
    <s v=""/>
    <n v="1.9999999552965164E-2"/>
    <n v="1192.4649999999999"/>
  </r>
  <r>
    <x v="6"/>
    <n v="1"/>
    <n v="180878"/>
    <n v="23392"/>
    <n v="1"/>
    <n v="645"/>
    <x v="8"/>
    <s v="Blown Cellulose"/>
    <s v=""/>
    <n v="1.9999999552965164E-2"/>
    <n v="1925.059"/>
  </r>
  <r>
    <x v="6"/>
    <n v="1"/>
    <n v="194945"/>
    <n v="21532"/>
    <n v="1"/>
    <n v="1709"/>
    <x v="8"/>
    <s v="Batt Fiberglass"/>
    <s v=""/>
    <n v="1.9999999552965164E-2"/>
    <n v="1925.059"/>
  </r>
  <r>
    <x v="6"/>
    <n v="1"/>
    <n v="166608"/>
    <n v="23111"/>
    <n v="1"/>
    <n v="1057"/>
    <x v="11"/>
    <s v="Blown Cellulose"/>
    <s v=""/>
    <n v="1.9999999552965164E-2"/>
    <n v="1192.4649999999999"/>
  </r>
  <r>
    <x v="6"/>
    <n v="1"/>
    <n v="199336"/>
    <n v="22699"/>
    <n v="1"/>
    <n v="820"/>
    <x v="8"/>
    <s v="Blown FB"/>
    <s v=""/>
    <n v="1.9999999552965164E-2"/>
    <n v="1612.692"/>
  </r>
  <r>
    <x v="6"/>
    <n v="1"/>
    <n v="87690"/>
    <n v="22845"/>
    <n v="1"/>
    <n v="273"/>
    <x v="11"/>
    <s v="Blown Cellulose"/>
    <s v=""/>
    <n v="1.9999999552965164E-2"/>
    <n v="1144.6790000000001"/>
  </r>
  <r>
    <x v="6"/>
    <n v="1"/>
    <n v="177906"/>
    <n v="14646"/>
    <n v="1"/>
    <n v="1125"/>
    <x v="8"/>
    <s v="Blown FB"/>
    <s v=""/>
    <n v="1.9999999552965164E-2"/>
    <n v="1188.027"/>
  </r>
  <r>
    <x v="6"/>
    <n v="1"/>
    <n v="197879"/>
    <n v="13554"/>
    <n v="1"/>
    <n v="1898"/>
    <x v="4"/>
    <s v="Blown FB"/>
    <s v=""/>
    <n v="1.9999999552965164E-2"/>
    <n v="4956.4930000000004"/>
  </r>
  <r>
    <x v="6"/>
    <n v="1"/>
    <n v="138834"/>
    <n v="20264"/>
    <n v="1"/>
    <n v="2401"/>
    <x v="4"/>
    <s v="Blown FB"/>
    <s v=""/>
    <n v="1.9999999552965164E-2"/>
    <n v="1192.4649999999999"/>
  </r>
  <r>
    <x v="6"/>
    <n v="1"/>
    <n v="162525"/>
    <n v="24120"/>
    <n v="1"/>
    <n v="1520"/>
    <x v="47"/>
    <s v="Blown Cellulose"/>
    <s v=""/>
    <n v="1.9999999552965164E-2"/>
    <n v="2130.886"/>
  </r>
  <r>
    <x v="6"/>
    <n v="1"/>
    <n v="130394"/>
    <n v="23545"/>
    <n v="1"/>
    <n v="1675"/>
    <x v="8"/>
    <s v="Blown Cellulose"/>
    <s v=""/>
    <n v="1.9999999552965164E-2"/>
    <n v="1612.692"/>
  </r>
  <r>
    <x v="6"/>
    <n v="1"/>
    <n v="124829"/>
    <n v="21437"/>
    <n v="1"/>
    <n v="2100"/>
    <x v="4"/>
    <s v="Blown FB"/>
    <s v=""/>
    <n v="1.9999999552965164E-2"/>
    <n v="2079.9929999999999"/>
  </r>
  <r>
    <x v="6"/>
    <n v="1"/>
    <n v="60853"/>
    <n v="20287"/>
    <n v="1"/>
    <n v="2077"/>
    <x v="4"/>
    <s v="Batt Fiberglass"/>
    <s v=""/>
    <n v="1.9999999552965164E-2"/>
    <n v="2079.9929999999999"/>
  </r>
  <r>
    <x v="6"/>
    <n v="1"/>
    <n v="226171"/>
    <n v="21877"/>
    <n v="1"/>
    <n v="1200"/>
    <x v="4"/>
    <s v="Batt Fiberglass"/>
    <s v=""/>
    <n v="1.9999999552965164E-2"/>
    <n v="1904.288"/>
  </r>
  <r>
    <x v="6"/>
    <n v="1"/>
    <n v="32608"/>
    <n v="11535"/>
    <n v="1"/>
    <n v="1244"/>
    <x v="32"/>
    <s v="Blown Cellulose"/>
    <s v=""/>
    <n v="1.9999999552965164E-2"/>
    <n v="1524.7619999999999"/>
  </r>
  <r>
    <x v="6"/>
    <n v="1"/>
    <n v="76422"/>
    <n v="21768"/>
    <n v="1"/>
    <n v="1182"/>
    <x v="28"/>
    <s v="Blown FB"/>
    <s v=""/>
    <n v="1.9999999552965164E-2"/>
    <n v="1925.059"/>
  </r>
  <r>
    <x v="6"/>
    <n v="1"/>
    <n v="122514"/>
    <n v="23995"/>
    <n v="1"/>
    <n v="2354"/>
    <x v="11"/>
    <s v="Blown FB"/>
    <s v=""/>
    <n v="1.9999999552965164E-2"/>
    <n v="2130.886"/>
  </r>
  <r>
    <x v="6"/>
    <n v="1"/>
    <n v="176219"/>
    <n v="22176"/>
    <n v="1"/>
    <n v="2226"/>
    <x v="25"/>
    <s v="Mixed"/>
    <s v=""/>
    <n v="1.9999999552965164E-2"/>
    <n v="2130.886"/>
  </r>
  <r>
    <x v="6"/>
    <n v="1"/>
    <n v="138278"/>
    <n v="22131"/>
    <n v="1"/>
    <n v="1004"/>
    <x v="4"/>
    <s v="Blown Cellulose"/>
    <s v=""/>
    <n v="1.9999999552965164E-2"/>
    <n v="8264.9449999999997"/>
  </r>
  <r>
    <x v="7"/>
    <n v="0.9"/>
    <n v="209852"/>
    <n v="21708"/>
    <n v="1"/>
    <n v="666"/>
    <x v="4"/>
    <s v="Blown FB"/>
    <s v=""/>
    <n v="7.0000000298023224E-2"/>
    <n v="3785.7640000000001"/>
  </r>
  <r>
    <x v="7"/>
    <n v="0.9"/>
    <n v="40223"/>
    <n v="10462"/>
    <n v="1"/>
    <n v="1385"/>
    <x v="4"/>
    <s v="Blown Cellulose"/>
    <s v=""/>
    <n v="7.0000000298023224E-2"/>
    <n v="1524.7619999999999"/>
  </r>
  <r>
    <x v="7"/>
    <n v="1"/>
    <n v="191168"/>
    <n v="23939"/>
    <n v="1"/>
    <n v="800"/>
    <x v="4"/>
    <s v="Mixed"/>
    <s v=""/>
    <n v="1.9999999552965164E-2"/>
    <n v="2130.886"/>
  </r>
  <r>
    <x v="7"/>
    <n v="1"/>
    <n v="180545"/>
    <n v="23465"/>
    <n v="1"/>
    <n v="1020"/>
    <x v="15"/>
    <s v="Blown Cellulose"/>
    <s v=""/>
    <n v="1.9999999552965164E-2"/>
    <n v="1925.059"/>
  </r>
  <r>
    <x v="7"/>
    <n v="1"/>
    <n v="106042"/>
    <n v="22641"/>
    <n v="1"/>
    <n v="2318"/>
    <x v="4"/>
    <s v="Blown FB"/>
    <s v=""/>
    <n v="1.9999999552965164E-2"/>
    <n v="1144.6790000000001"/>
  </r>
  <r>
    <x v="7"/>
    <n v="1"/>
    <n v="132742"/>
    <n v="21680"/>
    <n v="1"/>
    <n v="1911"/>
    <x v="4"/>
    <s v="Batt Fiberglass"/>
    <s v=""/>
    <n v="1.9999999552965164E-2"/>
    <n v="1144.6790000000001"/>
  </r>
  <r>
    <x v="7"/>
    <n v="1"/>
    <n v="95935"/>
    <n v="24317"/>
    <n v="1"/>
    <n v="1416"/>
    <x v="4"/>
    <s v="Blown FB"/>
    <s v=""/>
    <n v="1.9999999552965164E-2"/>
    <n v="1144.6790000000001"/>
  </r>
  <r>
    <x v="7"/>
    <n v="1"/>
    <n v="130138"/>
    <n v="24401"/>
    <n v="1"/>
    <n v="2232"/>
    <x v="4"/>
    <s v="Mixed"/>
    <s v=""/>
    <n v="1.9999999552965164E-2"/>
    <n v="1612.692"/>
  </r>
  <r>
    <x v="7"/>
    <n v="1"/>
    <n v="234575"/>
    <n v="20753"/>
    <n v="1"/>
    <n v="1352"/>
    <x v="4"/>
    <s v="Blown Cellulose"/>
    <s v=""/>
    <n v="1.9999999552965164E-2"/>
    <n v="3785.7640000000001"/>
  </r>
  <r>
    <x v="7"/>
    <n v="1"/>
    <n v="129007"/>
    <n v="24246"/>
    <n v="1"/>
    <n v="1058"/>
    <x v="4"/>
    <s v="Mixed"/>
    <s v=""/>
    <n v="1.9999999552965164E-2"/>
    <n v="3785.7640000000001"/>
  </r>
  <r>
    <x v="7"/>
    <n v="1"/>
    <n v="193999"/>
    <n v="21566"/>
    <n v="1"/>
    <n v="988"/>
    <x v="4"/>
    <s v="Blown FB"/>
    <s v=""/>
    <n v="1.9999999552965164E-2"/>
    <n v="2130.886"/>
  </r>
  <r>
    <x v="7"/>
    <n v="1"/>
    <n v="79218"/>
    <n v="12320"/>
    <n v="1"/>
    <n v="1694"/>
    <x v="4"/>
    <s v="Blown FB"/>
    <s v=""/>
    <n v="1.9999999552965164E-2"/>
    <n v="2003.7159999999999"/>
  </r>
  <r>
    <x v="7"/>
    <n v="1"/>
    <n v="94589"/>
    <n v="20288"/>
    <n v="1"/>
    <n v="1764"/>
    <x v="4"/>
    <s v="Mixed"/>
    <s v=""/>
    <n v="1.9999999552965164E-2"/>
    <n v="1144.6790000000001"/>
  </r>
  <r>
    <x v="7"/>
    <n v="1"/>
    <n v="87797"/>
    <n v="22533"/>
    <n v="1"/>
    <n v="1257"/>
    <x v="4"/>
    <s v="Blown Rock Wool"/>
    <s v=""/>
    <n v="1.9999999552965164E-2"/>
    <n v="1144.6790000000001"/>
  </r>
  <r>
    <x v="7"/>
    <n v="1"/>
    <n v="132562"/>
    <n v="23185"/>
    <n v="1"/>
    <n v="1394"/>
    <x v="4"/>
    <s v="Blown FB"/>
    <s v=""/>
    <n v="1.9999999552965164E-2"/>
    <n v="1144.6790000000001"/>
  </r>
  <r>
    <x v="7"/>
    <n v="1"/>
    <n v="71256"/>
    <n v="20817"/>
    <n v="1"/>
    <n v="955"/>
    <x v="4"/>
    <s v="Other"/>
    <s v=""/>
    <n v="1.9999999552965164E-2"/>
    <n v="2079.9929999999999"/>
  </r>
  <r>
    <x v="7"/>
    <n v="1"/>
    <n v="68989"/>
    <n v="24521"/>
    <n v="1"/>
    <n v="925"/>
    <x v="4"/>
    <s v="Blown Cellulose"/>
    <s v=""/>
    <n v="1.9999999552965164E-2"/>
    <n v="2130.886"/>
  </r>
  <r>
    <x v="7"/>
    <n v="1"/>
    <n v="100004"/>
    <n v="23611"/>
    <n v="1"/>
    <n v="1808"/>
    <x v="4"/>
    <s v="Blown FB"/>
    <s v=""/>
    <n v="1.9999999552965164E-2"/>
    <n v="1144.6790000000001"/>
  </r>
  <r>
    <x v="7"/>
    <n v="1"/>
    <n v="219282"/>
    <n v="21343"/>
    <n v="1"/>
    <n v="2100"/>
    <x v="4"/>
    <s v="Mixed"/>
    <s v=""/>
    <n v="1.9999999552965164E-2"/>
    <n v="8264.9449999999997"/>
  </r>
  <r>
    <x v="7"/>
    <n v="1"/>
    <n v="134606"/>
    <n v="24196"/>
    <n v="1"/>
    <n v="1485"/>
    <x v="4"/>
    <s v="Blown FB"/>
    <s v=""/>
    <n v="1.9999999552965164E-2"/>
    <n v="1904.288"/>
  </r>
  <r>
    <x v="7"/>
    <n v="1"/>
    <n v="89720"/>
    <n v="13246"/>
    <n v="1"/>
    <n v="1836"/>
    <x v="4"/>
    <s v="Batt Fiberglass"/>
    <s v=""/>
    <n v="1.9999999552965164E-2"/>
    <n v="2003.7159999999999"/>
  </r>
  <r>
    <x v="7"/>
    <n v="1"/>
    <n v="198577"/>
    <n v="12777"/>
    <n v="1"/>
    <n v="1692"/>
    <x v="8"/>
    <s v="Blown FB"/>
    <s v=""/>
    <n v="1.9999999552965164E-2"/>
    <n v="1188.027"/>
  </r>
  <r>
    <x v="7"/>
    <n v="1"/>
    <n v="176806"/>
    <n v="22084"/>
    <n v="1"/>
    <n v="1040"/>
    <x v="4"/>
    <s v="Blown FB"/>
    <s v=""/>
    <n v="1.9999999552965164E-2"/>
    <n v="2130.886"/>
  </r>
  <r>
    <x v="7"/>
    <n v="1"/>
    <n v="725915"/>
    <n v="24378"/>
    <n v="1"/>
    <n v="1274"/>
    <x v="4"/>
    <s v="Blown FB"/>
    <s v="attic cavity *completely* full of blown fiberglass. Estimated R55-60 averaged over roof line."/>
    <n v="1.9999999552965164E-2"/>
    <n v="12271.31"/>
  </r>
  <r>
    <x v="7"/>
    <n v="1"/>
    <n v="219182"/>
    <n v="14150"/>
    <n v="1"/>
    <n v="998"/>
    <x v="8"/>
    <s v="Blown Cellulose"/>
    <s v=""/>
    <n v="1.9999999552965164E-2"/>
    <n v="6932.7380000000003"/>
  </r>
  <r>
    <x v="7"/>
    <n v="1"/>
    <n v="201520"/>
    <n v="20266"/>
    <n v="1"/>
    <n v="1672"/>
    <x v="4"/>
    <s v="Blown Rock Wool"/>
    <s v=""/>
    <n v="1.9999999552965164E-2"/>
    <n v="1925.059"/>
  </r>
  <r>
    <x v="7"/>
    <n v="1"/>
    <n v="155878"/>
    <n v="21252"/>
    <n v="1"/>
    <n v="2790"/>
    <x v="4"/>
    <s v="Blown FB"/>
    <s v=""/>
    <n v="1.9999999552965164E-2"/>
    <n v="1612.692"/>
  </r>
  <r>
    <x v="7"/>
    <n v="1"/>
    <n v="226033"/>
    <n v="24510"/>
    <n v="1"/>
    <n v="1288"/>
    <x v="4"/>
    <s v="Blown FB"/>
    <s v=""/>
    <n v="1.9999999552965164E-2"/>
    <n v="1904.288"/>
  </r>
  <r>
    <x v="7"/>
    <n v="1"/>
    <n v="34166"/>
    <n v="24288"/>
    <n v="1"/>
    <n v="1470"/>
    <x v="4"/>
    <s v="Blown FB"/>
    <s v=""/>
    <n v="1.9999999552965164E-2"/>
    <n v="2130.886"/>
  </r>
  <r>
    <x v="7"/>
    <n v="1"/>
    <n v="234471"/>
    <n v="23618"/>
    <n v="1"/>
    <n v="1196"/>
    <x v="4"/>
    <s v="Mixed"/>
    <s v=""/>
    <n v="1.9999999552965164E-2"/>
    <n v="3785.7640000000001"/>
  </r>
  <r>
    <x v="7"/>
    <n v="1"/>
    <n v="71387"/>
    <n v="21103"/>
    <n v="1"/>
    <n v="1150"/>
    <x v="4"/>
    <s v="Mixed"/>
    <s v=""/>
    <n v="1.9999999552965164E-2"/>
    <n v="2079.9929999999999"/>
  </r>
  <r>
    <x v="7"/>
    <n v="1"/>
    <n v="44337"/>
    <n v="13011"/>
    <n v="1"/>
    <n v="1536"/>
    <x v="4"/>
    <s v="Batt Fiberglass"/>
    <s v=""/>
    <n v="1.9999999552965164E-2"/>
    <n v="1188.027"/>
  </r>
  <r>
    <x v="7"/>
    <n v="1"/>
    <n v="687188"/>
    <n v="14174"/>
    <n v="1"/>
    <n v="1326"/>
    <x v="4"/>
    <s v="Batt Fiberglass"/>
    <s v=""/>
    <n v="1.9999999552965164E-2"/>
    <n v="6932.7380000000003"/>
  </r>
  <r>
    <x v="7"/>
    <n v="1"/>
    <n v="176920"/>
    <n v="24622"/>
    <n v="1"/>
    <n v="696"/>
    <x v="4"/>
    <s v="Blown Cellulose"/>
    <s v=""/>
    <n v="1.9999999552965164E-2"/>
    <n v="2130.886"/>
  </r>
  <r>
    <x v="7"/>
    <n v="1"/>
    <n v="103568"/>
    <n v="23318"/>
    <n v="1"/>
    <n v="873"/>
    <x v="4"/>
    <s v="Blown FB"/>
    <s v=""/>
    <n v="1.9999999552965164E-2"/>
    <n v="1144.6790000000001"/>
  </r>
  <r>
    <x v="7"/>
    <n v="1"/>
    <n v="109257"/>
    <n v="24418"/>
    <n v="1"/>
    <n v="1230"/>
    <x v="4"/>
    <s v="Batt Fiberglass"/>
    <s v=""/>
    <n v="1.9999999552965164E-2"/>
    <n v="1144.6790000000001"/>
  </r>
  <r>
    <x v="7"/>
    <n v="1"/>
    <n v="191041"/>
    <n v="20946"/>
    <n v="1"/>
    <n v="1400"/>
    <x v="4"/>
    <s v="Blown Cellulose"/>
    <s v=""/>
    <n v="1.9999999552965164E-2"/>
    <n v="2130.886"/>
  </r>
  <r>
    <x v="7"/>
    <n v="1"/>
    <n v="193745"/>
    <n v="22618"/>
    <n v="1"/>
    <n v="900"/>
    <x v="4"/>
    <s v="Mixed"/>
    <s v=""/>
    <n v="1.9999999552965164E-2"/>
    <n v="2130.886"/>
  </r>
  <r>
    <x v="7"/>
    <n v="1"/>
    <n v="73893"/>
    <n v="11752"/>
    <n v="1"/>
    <n v="1240"/>
    <x v="4"/>
    <s v="Mixed"/>
    <s v=""/>
    <n v="1.9999999552965164E-2"/>
    <n v="2003.7159999999999"/>
  </r>
  <r>
    <x v="7"/>
    <n v="1"/>
    <n v="193919"/>
    <n v="21419"/>
    <n v="1"/>
    <n v="1008"/>
    <x v="4"/>
    <s v="Mixed"/>
    <s v=""/>
    <n v="1.9999999552965164E-2"/>
    <n v="2130.886"/>
  </r>
</pivotCacheRecords>
</file>

<file path=xl/pivotCache/pivotCacheRecords4.xml><?xml version="1.0" encoding="utf-8"?>
<pivotCacheRecords xmlns="http://schemas.openxmlformats.org/spreadsheetml/2006/main" xmlns:r="http://schemas.openxmlformats.org/officeDocument/2006/relationships" count="1799">
  <r>
    <x v="0"/>
    <n v="10002"/>
    <s v="Primary"/>
    <n v="159"/>
    <s v="no"/>
    <s v="Wood-Vinyl-Fiberglass:Double:low-e"/>
    <x v="0"/>
    <x v="0"/>
    <n v="1"/>
    <x v="0"/>
  </r>
  <r>
    <x v="1"/>
    <n v="10005"/>
    <s v="Primary"/>
    <n v="279"/>
    <s v="no"/>
    <s v="Wood-Vinyl-Fiberglass:Double:low-e"/>
    <x v="0"/>
    <x v="0"/>
    <n v="1"/>
    <x v="1"/>
  </r>
  <r>
    <x v="2"/>
    <n v="10011"/>
    <s v="Primary"/>
    <n v="228"/>
    <s v="no"/>
    <s v="Wood-Vinyl-Fiberglass:Double:low-e"/>
    <x v="1"/>
    <x v="0"/>
    <n v="1"/>
    <x v="2"/>
  </r>
  <r>
    <x v="3"/>
    <n v="10016"/>
    <s v="Primary"/>
    <n v="180"/>
    <s v="no"/>
    <s v="Wood-Vinyl-Fiberglass:Double:low-e"/>
    <x v="1"/>
    <x v="0"/>
    <n v="1"/>
    <x v="3"/>
  </r>
  <r>
    <x v="4"/>
    <n v="10021"/>
    <s v="Primary"/>
    <n v="184"/>
    <s v="yes"/>
    <s v="Metal:Double"/>
    <x v="2"/>
    <x v="1"/>
    <n v="1"/>
    <x v="4"/>
  </r>
  <r>
    <x v="5"/>
    <n v="10030"/>
    <s v="Primary"/>
    <n v="183"/>
    <s v="yes"/>
    <s v="Wood-Vinyl-Fiberglass:Double"/>
    <x v="3"/>
    <x v="0"/>
    <n v="1"/>
    <x v="2"/>
  </r>
  <r>
    <x v="6"/>
    <n v="10040"/>
    <s v="Primary"/>
    <n v="151"/>
    <s v="no"/>
    <s v="Wood-Vinyl-Fiberglass:Double"/>
    <x v="0"/>
    <x v="0"/>
    <n v="1"/>
    <x v="0"/>
  </r>
  <r>
    <x v="7"/>
    <n v="10044"/>
    <s v="Primary"/>
    <n v="246"/>
    <s v="yes"/>
    <s v="Wood-Vinyl-Fiberglass:Double:low-e"/>
    <x v="4"/>
    <x v="0"/>
    <n v="1"/>
    <x v="5"/>
  </r>
  <r>
    <x v="8"/>
    <n v="10052"/>
    <s v="Primary"/>
    <n v="164"/>
    <s v="no"/>
    <s v="Metal:Double"/>
    <x v="5"/>
    <x v="1"/>
    <n v="1"/>
    <x v="2"/>
  </r>
  <r>
    <x v="9"/>
    <n v="10055"/>
    <s v="Primary"/>
    <n v="409"/>
    <s v="no"/>
    <s v="Wood-Vinyl-Fiberglass:Double:low-e"/>
    <x v="1"/>
    <x v="0"/>
    <n v="1"/>
    <x v="2"/>
  </r>
  <r>
    <x v="10"/>
    <n v="10062"/>
    <s v="Primary"/>
    <n v="210"/>
    <s v="no"/>
    <s v="Wood-Vinyl-Fiberglass:Double"/>
    <x v="6"/>
    <x v="0"/>
    <n v="1"/>
    <x v="2"/>
  </r>
  <r>
    <x v="11"/>
    <n v="10068"/>
    <s v="Primary"/>
    <n v="315"/>
    <s v="no"/>
    <s v="Wood-Vinyl-Fiberglass:Double:low-e"/>
    <x v="1"/>
    <x v="0"/>
    <n v="1"/>
    <x v="5"/>
  </r>
  <r>
    <x v="12"/>
    <n v="10079"/>
    <s v="Primary"/>
    <n v="153"/>
    <s v="no"/>
    <s v="Wood-Vinyl-Fiberglass:Double"/>
    <x v="6"/>
    <x v="0"/>
    <n v="1"/>
    <x v="0"/>
  </r>
  <r>
    <x v="13"/>
    <n v="10082"/>
    <s v="Primary"/>
    <n v="70"/>
    <s v="no"/>
    <s v="Wood-Vinyl-Fiberglass:Single"/>
    <x v="7"/>
    <x v="2"/>
    <n v="1"/>
    <x v="2"/>
  </r>
  <r>
    <x v="14"/>
    <n v="10083"/>
    <s v="Primary"/>
    <n v="341"/>
    <s v="no"/>
    <s v="Wood-Vinyl-Fiberglass:Double"/>
    <x v="6"/>
    <x v="0"/>
    <n v="1"/>
    <x v="2"/>
  </r>
  <r>
    <x v="15"/>
    <n v="10087"/>
    <s v="Primary"/>
    <n v="211"/>
    <s v="no"/>
    <s v="Wood-Vinyl-Fiberglass:Double"/>
    <x v="6"/>
    <x v="0"/>
    <n v="1"/>
    <x v="6"/>
  </r>
  <r>
    <x v="16"/>
    <n v="10096"/>
    <s v="Primary"/>
    <n v="399"/>
    <s v="no"/>
    <s v="Metal:Double:low-e"/>
    <x v="2"/>
    <x v="1"/>
    <n v="1"/>
    <x v="1"/>
  </r>
  <r>
    <x v="17"/>
    <n v="10100"/>
    <s v="Primary"/>
    <n v="183"/>
    <s v="yes"/>
    <s v="Wood-Vinyl-Fiberglass:Double:low-e"/>
    <x v="4"/>
    <x v="0"/>
    <n v="1"/>
    <x v="6"/>
  </r>
  <r>
    <x v="18"/>
    <n v="10134"/>
    <s v="Primary"/>
    <n v="122"/>
    <s v="yes"/>
    <s v="Metal:Double"/>
    <x v="2"/>
    <x v="1"/>
    <n v="1"/>
    <x v="6"/>
  </r>
  <r>
    <x v="19"/>
    <n v="10141"/>
    <s v="Primary"/>
    <n v="306"/>
    <s v="yes"/>
    <s v="Wood-Vinyl-Fiberglass:Double:low-e"/>
    <x v="4"/>
    <x v="0"/>
    <n v="1"/>
    <x v="2"/>
  </r>
  <r>
    <x v="20"/>
    <n v="10144"/>
    <s v="Primary"/>
    <n v="117"/>
    <s v="yes"/>
    <s v="Metal:Single"/>
    <x v="5"/>
    <x v="3"/>
    <n v="1"/>
    <x v="5"/>
  </r>
  <r>
    <x v="21"/>
    <n v="10150"/>
    <s v="Primary"/>
    <n v="136"/>
    <s v="yes"/>
    <s v="Wood-Vinyl-Fiberglass:Single"/>
    <x v="2"/>
    <x v="2"/>
    <n v="1"/>
    <x v="1"/>
  </r>
  <r>
    <x v="22"/>
    <n v="10172"/>
    <s v="Primary"/>
    <n v="54"/>
    <s v="no"/>
    <s v="Metal:Single"/>
    <x v="8"/>
    <x v="3"/>
    <n v="1"/>
    <x v="0"/>
  </r>
  <r>
    <x v="23"/>
    <n v="10174"/>
    <s v="Primary"/>
    <n v="203"/>
    <s v="no"/>
    <s v="Wood-Vinyl-Fiberglass:Double:low-e"/>
    <x v="1"/>
    <x v="0"/>
    <n v="1"/>
    <x v="2"/>
  </r>
  <r>
    <x v="24"/>
    <n v="10176"/>
    <s v="Primary"/>
    <n v="72"/>
    <s v="no"/>
    <s v="Metal:Double"/>
    <x v="5"/>
    <x v="1"/>
    <n v="1"/>
    <x v="4"/>
  </r>
  <r>
    <x v="25"/>
    <n v="10178"/>
    <s v="Primary"/>
    <n v="124"/>
    <s v="no"/>
    <s v="Wood-Vinyl-Fiberglass:Double:low-e"/>
    <x v="1"/>
    <x v="0"/>
    <n v="1"/>
    <x v="3"/>
  </r>
  <r>
    <x v="26"/>
    <n v="10186"/>
    <s v="Primary"/>
    <n v="241"/>
    <s v="no"/>
    <s v="Wood-Vinyl-Fiberglass:Double:low-e"/>
    <x v="0"/>
    <x v="0"/>
    <n v="1"/>
    <x v="0"/>
  </r>
  <r>
    <x v="27"/>
    <n v="10191"/>
    <s v="Primary"/>
    <n v="140"/>
    <s v="no"/>
    <s v="Wood-Vinyl-Fiberglass:Double:low-e"/>
    <x v="0"/>
    <x v="0"/>
    <n v="1"/>
    <x v="0"/>
  </r>
  <r>
    <x v="28"/>
    <n v="10192"/>
    <s v="Primary"/>
    <n v="135"/>
    <s v="no"/>
    <s v="Wood-Vinyl-Fiberglass:Double:low-e"/>
    <x v="0"/>
    <x v="0"/>
    <n v="1"/>
    <x v="0"/>
  </r>
  <r>
    <x v="29"/>
    <n v="10211"/>
    <s v="Primary"/>
    <n v="156"/>
    <s v="no"/>
    <s v="Wood-Vinyl-Fiberglass:Double"/>
    <x v="6"/>
    <x v="0"/>
    <n v="1"/>
    <x v="0"/>
  </r>
  <r>
    <x v="30"/>
    <n v="10229"/>
    <s v="Primary"/>
    <n v="318"/>
    <s v="yes"/>
    <s v="Metal:Double"/>
    <x v="9"/>
    <x v="1"/>
    <n v="1"/>
    <x v="2"/>
  </r>
  <r>
    <x v="31"/>
    <n v="10230"/>
    <s v="Primary"/>
    <n v="649"/>
    <s v="no"/>
    <s v="Metal:Double"/>
    <x v="5"/>
    <x v="1"/>
    <n v="1"/>
    <x v="6"/>
  </r>
  <r>
    <x v="32"/>
    <n v="10231"/>
    <s v="Primary"/>
    <n v="227"/>
    <s v="no"/>
    <s v="Metal:Double"/>
    <x v="5"/>
    <x v="1"/>
    <n v="1"/>
    <x v="0"/>
  </r>
  <r>
    <x v="33"/>
    <n v="10235"/>
    <s v="Primary"/>
    <n v="157"/>
    <s v="no"/>
    <s v="Wood-Vinyl-Fiberglass:Double"/>
    <x v="0"/>
    <x v="0"/>
    <n v="1"/>
    <x v="5"/>
  </r>
  <r>
    <x v="34"/>
    <n v="10244"/>
    <s v="Primary"/>
    <n v="194"/>
    <s v="no"/>
    <s v="Wood-Vinyl-Fiberglass:Double:low-e"/>
    <x v="1"/>
    <x v="0"/>
    <n v="1"/>
    <x v="3"/>
  </r>
  <r>
    <x v="35"/>
    <n v="10245"/>
    <s v="Primary"/>
    <n v="179"/>
    <s v="no"/>
    <s v="Wood-Vinyl-Fiberglass:Double:low-e"/>
    <x v="0"/>
    <x v="0"/>
    <n v="1"/>
    <x v="3"/>
  </r>
  <r>
    <x v="36"/>
    <n v="10254"/>
    <s v="Primary"/>
    <n v="451"/>
    <s v="no"/>
    <s v="Wood-Vinyl-Fiberglass:Double:low-e"/>
    <x v="1"/>
    <x v="0"/>
    <n v="1"/>
    <x v="1"/>
  </r>
  <r>
    <x v="37"/>
    <n v="10259"/>
    <s v="Primary"/>
    <n v="88"/>
    <s v="no"/>
    <s v="Wood-Vinyl-Fiberglass:Double"/>
    <x v="6"/>
    <x v="0"/>
    <n v="1"/>
    <x v="0"/>
  </r>
  <r>
    <x v="38"/>
    <n v="10265"/>
    <s v="Primary"/>
    <n v="260"/>
    <s v="no"/>
    <s v="Wood-Vinyl-Fiberglass:Double:low-e"/>
    <x v="0"/>
    <x v="0"/>
    <n v="1"/>
    <x v="5"/>
  </r>
  <r>
    <x v="39"/>
    <n v="10268"/>
    <s v="Primary"/>
    <n v="125"/>
    <s v="no"/>
    <s v="Wood-Vinyl-Fiberglass:Single"/>
    <x v="7"/>
    <x v="2"/>
    <n v="1"/>
    <x v="6"/>
  </r>
  <r>
    <x v="40"/>
    <n v="10282"/>
    <s v="Primary"/>
    <n v="180"/>
    <s v="no"/>
    <s v="Metal:Double"/>
    <x v="10"/>
    <x v="1"/>
    <n v="1"/>
    <x v="4"/>
  </r>
  <r>
    <x v="41"/>
    <n v="10288"/>
    <s v="Primary"/>
    <n v="133"/>
    <s v="yes"/>
    <s v="Wood-Vinyl-Fiberglass:Single"/>
    <x v="2"/>
    <x v="2"/>
    <n v="1"/>
    <x v="0"/>
  </r>
  <r>
    <x v="42"/>
    <n v="10289"/>
    <s v="Primary"/>
    <n v="95"/>
    <s v="no"/>
    <s v="Wood-Vinyl-Fiberglass:Double"/>
    <x v="0"/>
    <x v="0"/>
    <n v="1"/>
    <x v="0"/>
  </r>
  <r>
    <x v="43"/>
    <n v="10292"/>
    <s v="Primary"/>
    <n v="307"/>
    <s v="no"/>
    <s v="Metal:Double"/>
    <x v="9"/>
    <x v="1"/>
    <n v="1"/>
    <x v="2"/>
  </r>
  <r>
    <x v="44"/>
    <n v="10298"/>
    <s v="Primary"/>
    <n v="126"/>
    <s v="no"/>
    <s v="Wood-Vinyl-Fiberglass:Single"/>
    <x v="7"/>
    <x v="2"/>
    <n v="1"/>
    <x v="0"/>
  </r>
  <r>
    <x v="45"/>
    <n v="10299"/>
    <s v="Primary"/>
    <n v="635"/>
    <s v="no"/>
    <s v="Wood-Vinyl-Fiberglass:Double"/>
    <x v="0"/>
    <x v="0"/>
    <n v="1"/>
    <x v="5"/>
  </r>
  <r>
    <x v="46"/>
    <n v="10305"/>
    <s v="Primary"/>
    <n v="804"/>
    <s v="no"/>
    <s v="Wood-Vinyl-Fiberglass:Double:low-e"/>
    <x v="1"/>
    <x v="0"/>
    <n v="1"/>
    <x v="5"/>
  </r>
  <r>
    <x v="47"/>
    <n v="10306"/>
    <s v="Primary"/>
    <n v="534"/>
    <s v="no"/>
    <s v="Wood-Vinyl-Fiberglass:Double:low-e"/>
    <x v="0"/>
    <x v="0"/>
    <n v="1"/>
    <x v="2"/>
  </r>
  <r>
    <x v="48"/>
    <n v="10309"/>
    <s v="Primary"/>
    <n v="185"/>
    <s v="no"/>
    <s v="Wood-Vinyl-Fiberglass:Double:low-e"/>
    <x v="0"/>
    <x v="0"/>
    <n v="1"/>
    <x v="3"/>
  </r>
  <r>
    <x v="49"/>
    <n v="10313"/>
    <s v="Primary"/>
    <n v="436"/>
    <s v="no"/>
    <s v="Metal:Double"/>
    <x v="10"/>
    <x v="1"/>
    <n v="1"/>
    <x v="1"/>
  </r>
  <r>
    <x v="50"/>
    <n v="10318"/>
    <s v="Primary"/>
    <n v="466"/>
    <s v="no"/>
    <s v="Wood-Vinyl-Fiberglass:Double:low-e"/>
    <x v="1"/>
    <x v="0"/>
    <n v="1"/>
    <x v="0"/>
  </r>
  <r>
    <x v="51"/>
    <n v="10319"/>
    <s v="Primary"/>
    <n v="388"/>
    <s v="no"/>
    <s v="Wood-Vinyl-Fiberglass:Double:low-e"/>
    <x v="1"/>
    <x v="0"/>
    <n v="1"/>
    <x v="5"/>
  </r>
  <r>
    <x v="52"/>
    <n v="10322"/>
    <s v="Primary"/>
    <n v="169"/>
    <s v="no"/>
    <s v="Wood-Vinyl-Fiberglass:Double:low-e"/>
    <x v="0"/>
    <x v="0"/>
    <n v="1"/>
    <x v="2"/>
  </r>
  <r>
    <x v="53"/>
    <n v="10325"/>
    <s v="Primary"/>
    <n v="212"/>
    <s v="no"/>
    <s v="Wood-Vinyl-Fiberglass:Double"/>
    <x v="0"/>
    <x v="0"/>
    <n v="1"/>
    <x v="2"/>
  </r>
  <r>
    <x v="54"/>
    <n v="10332"/>
    <s v="Primary"/>
    <n v="513"/>
    <s v="yes"/>
    <s v="Wood-Vinyl-Fiberglass:Single"/>
    <x v="2"/>
    <x v="2"/>
    <n v="1"/>
    <x v="6"/>
  </r>
  <r>
    <x v="55"/>
    <n v="10334"/>
    <s v="Primary"/>
    <n v="362"/>
    <s v="no"/>
    <s v="Wood-Vinyl-Fiberglass:Double"/>
    <x v="0"/>
    <x v="0"/>
    <n v="1"/>
    <x v="2"/>
  </r>
  <r>
    <x v="56"/>
    <n v="10335"/>
    <s v="Primary"/>
    <n v="222"/>
    <s v="no"/>
    <s v="Metal:Double:low-e"/>
    <x v="2"/>
    <x v="1"/>
    <n v="1"/>
    <x v="0"/>
  </r>
  <r>
    <x v="57"/>
    <n v="10337"/>
    <s v="Primary"/>
    <n v="177"/>
    <s v="no"/>
    <s v="Metal:Double:low-e"/>
    <x v="2"/>
    <x v="1"/>
    <n v="1"/>
    <x v="1"/>
  </r>
  <r>
    <x v="58"/>
    <n v="10338"/>
    <s v="Primary"/>
    <n v="158"/>
    <s v="no"/>
    <s v="Wood-Vinyl-Fiberglass:Double:low-e"/>
    <x v="0"/>
    <x v="0"/>
    <n v="1"/>
    <x v="2"/>
  </r>
  <r>
    <x v="59"/>
    <n v="10348"/>
    <s v="Primary"/>
    <n v="168"/>
    <s v="no"/>
    <s v="Wood-Vinyl-Fiberglass:Double:low-e"/>
    <x v="1"/>
    <x v="0"/>
    <n v="1"/>
    <x v="3"/>
  </r>
  <r>
    <x v="60"/>
    <n v="10352"/>
    <s v="Primary"/>
    <n v="243"/>
    <s v="no"/>
    <s v="Wood-Vinyl-Fiberglass:Double:low-e"/>
    <x v="0"/>
    <x v="0"/>
    <n v="1"/>
    <x v="1"/>
  </r>
  <r>
    <x v="61"/>
    <n v="10369"/>
    <s v="Primary"/>
    <n v="418"/>
    <s v="no"/>
    <s v="Wood-Vinyl-Fiberglass:Double"/>
    <x v="6"/>
    <x v="0"/>
    <n v="1"/>
    <x v="0"/>
  </r>
  <r>
    <x v="62"/>
    <n v="10384"/>
    <s v="Primary"/>
    <n v="88"/>
    <s v="no"/>
    <s v="Wood-Vinyl-Fiberglass:Double"/>
    <x v="0"/>
    <x v="0"/>
    <n v="1"/>
    <x v="3"/>
  </r>
  <r>
    <x v="63"/>
    <n v="10388"/>
    <s v="Primary"/>
    <n v="165"/>
    <s v="no"/>
    <s v="Wood-Vinyl-Fiberglass:Double:low-e"/>
    <x v="1"/>
    <x v="0"/>
    <n v="1"/>
    <x v="6"/>
  </r>
  <r>
    <x v="64"/>
    <n v="10398"/>
    <s v="Primary"/>
    <n v="423"/>
    <s v="no"/>
    <s v="Wood-Vinyl-Fiberglass:Double:low-e"/>
    <x v="1"/>
    <x v="0"/>
    <n v="1"/>
    <x v="3"/>
  </r>
  <r>
    <x v="65"/>
    <n v="10401"/>
    <s v="Primary"/>
    <n v="138"/>
    <s v="no"/>
    <s v="Wood-Vinyl-Fiberglass:Double:low-e"/>
    <x v="0"/>
    <x v="0"/>
    <n v="1"/>
    <x v="5"/>
  </r>
  <r>
    <x v="66"/>
    <n v="10408"/>
    <s v="Primary"/>
    <n v="209"/>
    <s v="no"/>
    <s v="Wood-Vinyl-Fiberglass:Double"/>
    <x v="0"/>
    <x v="0"/>
    <n v="1"/>
    <x v="2"/>
  </r>
  <r>
    <x v="67"/>
    <n v="10411"/>
    <s v="Primary"/>
    <n v="120"/>
    <s v="no"/>
    <s v="Wood-Vinyl-Fiberglass:Double:low-e"/>
    <x v="1"/>
    <x v="0"/>
    <n v="1"/>
    <x v="4"/>
  </r>
  <r>
    <x v="68"/>
    <n v="10413"/>
    <s v="Primary"/>
    <n v="46"/>
    <s v="no"/>
    <s v="Metal:Double"/>
    <x v="5"/>
    <x v="1"/>
    <n v="1"/>
    <x v="0"/>
  </r>
  <r>
    <x v="69"/>
    <n v="10421"/>
    <s v="Primary"/>
    <n v="189"/>
    <s v="no"/>
    <s v="Wood-Vinyl-Fiberglass:Double"/>
    <x v="6"/>
    <x v="0"/>
    <n v="1"/>
    <x v="6"/>
  </r>
  <r>
    <x v="70"/>
    <n v="10425"/>
    <s v="Primary"/>
    <n v="193"/>
    <s v="yes"/>
    <s v="Wood-Vinyl-Fiberglass:Double"/>
    <x v="0"/>
    <x v="0"/>
    <n v="1"/>
    <x v="2"/>
  </r>
  <r>
    <x v="71"/>
    <n v="10430"/>
    <s v="Primary"/>
    <n v="224"/>
    <s v="no"/>
    <s v="Wood-Vinyl-Fiberglass:Double"/>
    <x v="6"/>
    <x v="0"/>
    <n v="1"/>
    <x v="6"/>
  </r>
  <r>
    <x v="72"/>
    <n v="10435"/>
    <s v="Primary"/>
    <n v="313"/>
    <s v="yes"/>
    <s v="Wood-Vinyl-Fiberglass:Double:low-e"/>
    <x v="3"/>
    <x v="0"/>
    <n v="1"/>
    <x v="0"/>
  </r>
  <r>
    <x v="73"/>
    <n v="10459"/>
    <s v="Primary"/>
    <n v="92"/>
    <s v="yes"/>
    <s v="Wood-Vinyl-Fiberglass:Double:low-e"/>
    <x v="4"/>
    <x v="0"/>
    <n v="1"/>
    <x v="0"/>
  </r>
  <r>
    <x v="74"/>
    <n v="10462"/>
    <s v="Primary"/>
    <n v="273"/>
    <s v="no"/>
    <s v="Wood-Vinyl-Fiberglass:Double:low-e"/>
    <x v="0"/>
    <x v="0"/>
    <n v="1"/>
    <x v="0"/>
  </r>
  <r>
    <x v="75"/>
    <n v="10466"/>
    <s v="Primary"/>
    <n v="132"/>
    <s v="no"/>
    <s v="Wood-Vinyl-Fiberglass:Double"/>
    <x v="6"/>
    <x v="0"/>
    <n v="1"/>
    <x v="6"/>
  </r>
  <r>
    <x v="76"/>
    <n v="10476"/>
    <s v="Primary"/>
    <n v="190"/>
    <s v="yes"/>
    <s v="Metal:Single"/>
    <x v="5"/>
    <x v="3"/>
    <n v="1"/>
    <x v="2"/>
  </r>
  <r>
    <x v="77"/>
    <n v="10486"/>
    <s v="Primary"/>
    <n v="156"/>
    <s v="no"/>
    <s v="Wood-Vinyl-Fiberglass:Double"/>
    <x v="6"/>
    <x v="0"/>
    <n v="1"/>
    <x v="3"/>
  </r>
  <r>
    <x v="78"/>
    <n v="10490"/>
    <s v="Primary"/>
    <n v="48"/>
    <s v="no"/>
    <s v="Wood-Vinyl-Fiberglass:Double"/>
    <x v="0"/>
    <x v="0"/>
    <n v="1"/>
    <x v="2"/>
  </r>
  <r>
    <x v="79"/>
    <n v="10491"/>
    <s v="Primary"/>
    <n v="92"/>
    <s v="yes"/>
    <s v="Wood-Vinyl-Fiberglass:Double"/>
    <x v="3"/>
    <x v="0"/>
    <n v="1"/>
    <x v="6"/>
  </r>
  <r>
    <x v="80"/>
    <n v="10493"/>
    <s v="Primary"/>
    <n v="200"/>
    <s v="no"/>
    <s v="Wood-Vinyl-Fiberglass:Double:low-e"/>
    <x v="1"/>
    <x v="0"/>
    <n v="1"/>
    <x v="0"/>
  </r>
  <r>
    <x v="81"/>
    <n v="10496"/>
    <s v="Primary"/>
    <n v="169"/>
    <s v="no"/>
    <s v="Wood-Vinyl-Fiberglass:Double:low-e"/>
    <x v="0"/>
    <x v="0"/>
    <n v="1"/>
    <x v="4"/>
  </r>
  <r>
    <x v="82"/>
    <n v="10510"/>
    <s v="Primary"/>
    <n v="336"/>
    <s v="no"/>
    <s v="Wood-Vinyl-Fiberglass:Double"/>
    <x v="6"/>
    <x v="0"/>
    <n v="1"/>
    <x v="6"/>
  </r>
  <r>
    <x v="83"/>
    <n v="10514"/>
    <s v="Primary"/>
    <n v="66"/>
    <s v="no"/>
    <s v="Wood-Vinyl-Fiberglass:Double"/>
    <x v="6"/>
    <x v="0"/>
    <n v="1"/>
    <x v="0"/>
  </r>
  <r>
    <x v="84"/>
    <n v="10516"/>
    <s v="Primary"/>
    <n v="162"/>
    <s v="no"/>
    <s v="Wood-Vinyl-Fiberglass:Double:low-e"/>
    <x v="1"/>
    <x v="0"/>
    <n v="1"/>
    <x v="3"/>
  </r>
  <r>
    <x v="85"/>
    <n v="10518"/>
    <s v="Primary"/>
    <n v="275"/>
    <s v="no"/>
    <s v="Wood-Vinyl-Fiberglass:Double:low-e"/>
    <x v="0"/>
    <x v="0"/>
    <n v="1"/>
    <x v="2"/>
  </r>
  <r>
    <x v="86"/>
    <n v="10525"/>
    <s v="Primary"/>
    <n v="110"/>
    <s v="yes"/>
    <s v="Wood-Vinyl-Fiberglass:Double:low-e"/>
    <x v="3"/>
    <x v="0"/>
    <n v="1"/>
    <x v="6"/>
  </r>
  <r>
    <x v="87"/>
    <n v="10537"/>
    <s v="Primary"/>
    <n v="213"/>
    <s v="yes"/>
    <s v="Wood-Vinyl-Fiberglass:Double:low-e"/>
    <x v="3"/>
    <x v="0"/>
    <n v="1"/>
    <x v="2"/>
  </r>
  <r>
    <x v="88"/>
    <n v="10540"/>
    <s v="Primary"/>
    <n v="375"/>
    <s v="no"/>
    <s v="Wood-Vinyl-Fiberglass:Double:low-e"/>
    <x v="0"/>
    <x v="0"/>
    <n v="1"/>
    <x v="3"/>
  </r>
  <r>
    <x v="89"/>
    <n v="10551"/>
    <s v="Primary"/>
    <n v="212"/>
    <s v="no"/>
    <s v="Wood-Vinyl-Fiberglass:Double:low-e"/>
    <x v="0"/>
    <x v="0"/>
    <n v="1"/>
    <x v="0"/>
  </r>
  <r>
    <x v="90"/>
    <n v="10552"/>
    <s v="Primary"/>
    <n v="225"/>
    <s v="no"/>
    <s v="Wood-Vinyl-Fiberglass:Double"/>
    <x v="6"/>
    <x v="0"/>
    <n v="1"/>
    <x v="6"/>
  </r>
  <r>
    <x v="91"/>
    <n v="10557"/>
    <s v="Primary"/>
    <n v="154"/>
    <s v="yes"/>
    <s v="Wood-Vinyl-Fiberglass:Single"/>
    <x v="2"/>
    <x v="2"/>
    <n v="1"/>
    <x v="0"/>
  </r>
  <r>
    <x v="92"/>
    <n v="10561"/>
    <s v="Primary"/>
    <n v="110"/>
    <s v="no"/>
    <s v="Metal:Single"/>
    <x v="8"/>
    <x v="3"/>
    <n v="1"/>
    <x v="5"/>
  </r>
  <r>
    <x v="93"/>
    <n v="10565"/>
    <s v="Primary"/>
    <n v="336"/>
    <s v="no"/>
    <s v="Wood-Vinyl-Fiberglass:Double"/>
    <x v="0"/>
    <x v="0"/>
    <n v="1"/>
    <x v="5"/>
  </r>
  <r>
    <x v="94"/>
    <n v="10567"/>
    <s v="Primary"/>
    <n v="249"/>
    <s v="no"/>
    <s v="Wood-Vinyl-Fiberglass:Double:low-e"/>
    <x v="0"/>
    <x v="0"/>
    <n v="1"/>
    <x v="5"/>
  </r>
  <r>
    <x v="95"/>
    <n v="10579"/>
    <s v="Primary"/>
    <n v="194"/>
    <s v="no"/>
    <s v="Wood-Vinyl-Fiberglass:Double"/>
    <x v="0"/>
    <x v="0"/>
    <n v="1"/>
    <x v="3"/>
  </r>
  <r>
    <x v="96"/>
    <n v="10580"/>
    <s v="Primary"/>
    <n v="152"/>
    <s v="no"/>
    <s v="Wood-Vinyl-Fiberglass:Double:low-e"/>
    <x v="0"/>
    <x v="0"/>
    <n v="1"/>
    <x v="0"/>
  </r>
  <r>
    <x v="97"/>
    <n v="10585"/>
    <s v="Primary"/>
    <n v="209"/>
    <s v="no"/>
    <s v="Wood-Vinyl-Fiberglass:Double"/>
    <x v="6"/>
    <x v="0"/>
    <n v="1"/>
    <x v="5"/>
  </r>
  <r>
    <x v="98"/>
    <n v="10595"/>
    <s v="Primary"/>
    <n v="189"/>
    <s v="no"/>
    <s v="Wood-Vinyl-Fiberglass:Double"/>
    <x v="0"/>
    <x v="0"/>
    <n v="1"/>
    <x v="0"/>
  </r>
  <r>
    <x v="99"/>
    <n v="10605"/>
    <s v="Primary"/>
    <n v="279"/>
    <s v="no"/>
    <s v="Wood-Vinyl-Fiberglass:Double"/>
    <x v="0"/>
    <x v="0"/>
    <n v="1"/>
    <x v="5"/>
  </r>
  <r>
    <x v="100"/>
    <n v="10612"/>
    <s v="Primary"/>
    <n v="290"/>
    <s v="no"/>
    <s v="Wood-Vinyl-Fiberglass:Double:low-e"/>
    <x v="0"/>
    <x v="0"/>
    <n v="1"/>
    <x v="3"/>
  </r>
  <r>
    <x v="101"/>
    <n v="10627"/>
    <s v="Primary"/>
    <n v="367"/>
    <s v="no"/>
    <s v="Wood-Vinyl-Fiberglass:Double:low-e"/>
    <x v="0"/>
    <x v="0"/>
    <n v="1"/>
    <x v="3"/>
  </r>
  <r>
    <x v="102"/>
    <n v="10629"/>
    <s v="Primary"/>
    <n v="171"/>
    <s v="yes"/>
    <s v="Metal:Single"/>
    <x v="5"/>
    <x v="3"/>
    <n v="1"/>
    <x v="2"/>
  </r>
  <r>
    <x v="103"/>
    <n v="10630"/>
    <s v="Primary"/>
    <n v="318"/>
    <s v="no"/>
    <s v="Wood-Vinyl-Fiberglass:Double"/>
    <x v="6"/>
    <x v="0"/>
    <n v="1"/>
    <x v="2"/>
  </r>
  <r>
    <x v="104"/>
    <n v="10636"/>
    <s v="Primary"/>
    <n v="128"/>
    <s v="no"/>
    <s v="Metal:Double"/>
    <x v="10"/>
    <x v="1"/>
    <n v="1"/>
    <x v="2"/>
  </r>
  <r>
    <x v="105"/>
    <n v="10637"/>
    <s v="Primary"/>
    <n v="288"/>
    <s v="no"/>
    <s v="Wood-Vinyl-Fiberglass:Double:low-e"/>
    <x v="1"/>
    <x v="0"/>
    <n v="1"/>
    <x v="1"/>
  </r>
  <r>
    <x v="106"/>
    <n v="10638"/>
    <s v="Primary"/>
    <n v="122"/>
    <s v="no"/>
    <s v="Metal:Double"/>
    <x v="5"/>
    <x v="1"/>
    <n v="1"/>
    <x v="0"/>
  </r>
  <r>
    <x v="107"/>
    <n v="10649"/>
    <s v="Primary"/>
    <n v="129"/>
    <s v="no"/>
    <s v="Wood-Vinyl-Fiberglass:Double:low-e"/>
    <x v="0"/>
    <x v="0"/>
    <n v="1"/>
    <x v="3"/>
  </r>
  <r>
    <x v="108"/>
    <n v="10657"/>
    <s v="Primary"/>
    <n v="164"/>
    <s v="no"/>
    <s v="Wood-Vinyl-Fiberglass:Double:low-e"/>
    <x v="1"/>
    <x v="0"/>
    <n v="1"/>
    <x v="0"/>
  </r>
  <r>
    <x v="109"/>
    <n v="10658"/>
    <s v="Primary"/>
    <n v="231"/>
    <s v="no"/>
    <s v="Wood-Vinyl-Fiberglass:Double"/>
    <x v="6"/>
    <x v="0"/>
    <n v="1"/>
    <x v="6"/>
  </r>
  <r>
    <x v="110"/>
    <n v="10661"/>
    <s v="Primary"/>
    <n v="188"/>
    <s v="no"/>
    <s v="Wood-Vinyl-Fiberglass:Double"/>
    <x v="6"/>
    <x v="0"/>
    <n v="1"/>
    <x v="0"/>
  </r>
  <r>
    <x v="111"/>
    <n v="10664"/>
    <s v="Primary"/>
    <n v="275"/>
    <s v="yes"/>
    <s v="Wood-Vinyl-Fiberglass:Single"/>
    <x v="2"/>
    <x v="2"/>
    <n v="1"/>
    <x v="7"/>
  </r>
  <r>
    <x v="112"/>
    <n v="10681"/>
    <s v="Primary"/>
    <n v="493"/>
    <s v="no"/>
    <s v="Metal:Double"/>
    <x v="5"/>
    <x v="1"/>
    <n v="1"/>
    <x v="5"/>
  </r>
  <r>
    <x v="113"/>
    <n v="10688"/>
    <s v="Primary"/>
    <n v="127"/>
    <s v="no"/>
    <s v="Wood-Vinyl-Fiberglass:Double:low-e"/>
    <x v="0"/>
    <x v="0"/>
    <n v="1"/>
    <x v="4"/>
  </r>
  <r>
    <x v="114"/>
    <n v="10690"/>
    <s v="Primary"/>
    <n v="205"/>
    <s v="yes"/>
    <s v="Wood-Vinyl-Fiberglass:Single"/>
    <x v="2"/>
    <x v="2"/>
    <n v="1"/>
    <x v="4"/>
  </r>
  <r>
    <x v="115"/>
    <n v="10695"/>
    <s v="Primary"/>
    <n v="104"/>
    <s v="no"/>
    <s v="Wood-Vinyl-Fiberglass:Single"/>
    <x v="7"/>
    <x v="2"/>
    <n v="1"/>
    <x v="6"/>
  </r>
  <r>
    <x v="116"/>
    <n v="10696"/>
    <s v="Primary"/>
    <n v="221"/>
    <s v="no"/>
    <s v="Metal:Double"/>
    <x v="5"/>
    <x v="1"/>
    <n v="1"/>
    <x v="6"/>
  </r>
  <r>
    <x v="117"/>
    <n v="10697"/>
    <s v="Primary"/>
    <n v="161"/>
    <s v="no"/>
    <s v="Wood-Vinyl-Fiberglass:Single"/>
    <x v="7"/>
    <x v="2"/>
    <n v="1"/>
    <x v="0"/>
  </r>
  <r>
    <x v="118"/>
    <n v="10699"/>
    <s v="Primary"/>
    <n v="90"/>
    <s v="yes"/>
    <s v="Metal:Single"/>
    <x v="5"/>
    <x v="3"/>
    <n v="1"/>
    <x v="3"/>
  </r>
  <r>
    <x v="119"/>
    <n v="10701"/>
    <s v="Primary"/>
    <n v="229"/>
    <s v="yes"/>
    <s v="Wood-Vinyl-Fiberglass:Double:low-e"/>
    <x v="4"/>
    <x v="0"/>
    <n v="1"/>
    <x v="2"/>
  </r>
  <r>
    <x v="120"/>
    <n v="10705"/>
    <s v="Primary"/>
    <n v="308"/>
    <s v="no"/>
    <s v="Metal:Double:low-e"/>
    <x v="2"/>
    <x v="1"/>
    <n v="1"/>
    <x v="6"/>
  </r>
  <r>
    <x v="121"/>
    <n v="10709"/>
    <s v="Primary"/>
    <n v="272"/>
    <s v="no"/>
    <s v="Wood-Vinyl-Fiberglass:Single"/>
    <x v="7"/>
    <x v="2"/>
    <n v="1"/>
    <x v="0"/>
  </r>
  <r>
    <x v="122"/>
    <n v="10710"/>
    <s v="Primary"/>
    <n v="311"/>
    <s v="no"/>
    <s v="Wood-Vinyl-Fiberglass:Double:low-e"/>
    <x v="1"/>
    <x v="0"/>
    <n v="1"/>
    <x v="3"/>
  </r>
  <r>
    <x v="123"/>
    <n v="10713"/>
    <s v="Primary"/>
    <n v="605"/>
    <s v="no"/>
    <s v="Wood-Vinyl-Fiberglass:Double:low-e"/>
    <x v="1"/>
    <x v="0"/>
    <n v="1"/>
    <x v="3"/>
  </r>
  <r>
    <x v="124"/>
    <n v="10715"/>
    <s v="Primary"/>
    <n v="320"/>
    <s v="no"/>
    <s v="Wood-Vinyl-Fiberglass:Double:low-e"/>
    <x v="0"/>
    <x v="0"/>
    <n v="1"/>
    <x v="2"/>
  </r>
  <r>
    <x v="125"/>
    <n v="10728"/>
    <s v="Primary"/>
    <n v="392"/>
    <s v="no"/>
    <s v="Metal:Double:low-e"/>
    <x v="2"/>
    <x v="1"/>
    <n v="1"/>
    <x v="5"/>
  </r>
  <r>
    <x v="126"/>
    <n v="10733"/>
    <s v="Primary"/>
    <n v="126"/>
    <s v="no"/>
    <s v="Wood-Vinyl-Fiberglass:Double:low-e"/>
    <x v="1"/>
    <x v="0"/>
    <n v="1"/>
    <x v="0"/>
  </r>
  <r>
    <x v="127"/>
    <n v="10738"/>
    <s v="Primary"/>
    <n v="96"/>
    <s v="no"/>
    <s v="Metal:Single"/>
    <x v="8"/>
    <x v="3"/>
    <n v="1"/>
    <x v="1"/>
  </r>
  <r>
    <x v="128"/>
    <n v="10741"/>
    <s v="Primary"/>
    <n v="111"/>
    <s v="no"/>
    <s v="Wood-Vinyl-Fiberglass:Double"/>
    <x v="6"/>
    <x v="0"/>
    <n v="1"/>
    <x v="0"/>
  </r>
  <r>
    <x v="129"/>
    <n v="10752"/>
    <s v="Primary"/>
    <n v="223"/>
    <s v="no"/>
    <s v="Metal:Double"/>
    <x v="5"/>
    <x v="1"/>
    <n v="1"/>
    <x v="2"/>
  </r>
  <r>
    <x v="130"/>
    <n v="10764"/>
    <s v="Primary"/>
    <n v="186"/>
    <s v="no"/>
    <s v="Wood-Vinyl-Fiberglass:Double:low-e"/>
    <x v="1"/>
    <x v="0"/>
    <n v="1"/>
    <x v="0"/>
  </r>
  <r>
    <x v="131"/>
    <n v="10786"/>
    <s v="Primary"/>
    <n v="180"/>
    <s v="no"/>
    <s v="Wood-Vinyl-Fiberglass:Single"/>
    <x v="7"/>
    <x v="2"/>
    <n v="1"/>
    <x v="5"/>
  </r>
  <r>
    <x v="132"/>
    <n v="10795"/>
    <s v="Primary"/>
    <n v="144"/>
    <s v="no"/>
    <s v="Wood-Vinyl-Fiberglass:Double:low-e"/>
    <x v="0"/>
    <x v="0"/>
    <n v="1"/>
    <x v="3"/>
  </r>
  <r>
    <x v="133"/>
    <n v="10801"/>
    <s v="Primary"/>
    <n v="158"/>
    <s v="no"/>
    <s v="Wood-Vinyl-Fiberglass:Double"/>
    <x v="6"/>
    <x v="0"/>
    <n v="1"/>
    <x v="2"/>
  </r>
  <r>
    <x v="134"/>
    <n v="10807"/>
    <s v="Primary"/>
    <n v="282"/>
    <s v="no"/>
    <s v="Wood-Vinyl-Fiberglass:Double:low-e"/>
    <x v="0"/>
    <x v="0"/>
    <n v="1"/>
    <x v="0"/>
  </r>
  <r>
    <x v="135"/>
    <n v="10809"/>
    <s v="Primary"/>
    <n v="434"/>
    <s v="no"/>
    <s v="Wood-Vinyl-Fiberglass:Double"/>
    <x v="0"/>
    <x v="0"/>
    <n v="1"/>
    <x v="2"/>
  </r>
  <r>
    <x v="136"/>
    <n v="10811"/>
    <s v="Primary"/>
    <n v="170"/>
    <s v="no"/>
    <s v="Wood-Vinyl-Fiberglass:Double"/>
    <x v="6"/>
    <x v="0"/>
    <n v="1"/>
    <x v="5"/>
  </r>
  <r>
    <x v="137"/>
    <n v="10822"/>
    <s v="Primary"/>
    <n v="207"/>
    <s v="yes"/>
    <s v="Wood-Vinyl-Fiberglass:Double"/>
    <x v="3"/>
    <x v="0"/>
    <n v="1"/>
    <x v="5"/>
  </r>
  <r>
    <x v="138"/>
    <n v="10823"/>
    <s v="Primary"/>
    <n v="381"/>
    <s v="no"/>
    <s v="Wood-Vinyl-Fiberglass:Double:low-e"/>
    <x v="0"/>
    <x v="0"/>
    <n v="1"/>
    <x v="0"/>
  </r>
  <r>
    <x v="139"/>
    <n v="10840"/>
    <s v="Primary"/>
    <n v="162"/>
    <s v="no"/>
    <s v="Wood-Vinyl-Fiberglass:Double:low-e"/>
    <x v="1"/>
    <x v="0"/>
    <n v="1"/>
    <x v="0"/>
  </r>
  <r>
    <x v="140"/>
    <n v="10843"/>
    <s v="Primary"/>
    <n v="214"/>
    <s v="no"/>
    <s v="Wood-Vinyl-Fiberglass:Double:low-e"/>
    <x v="0"/>
    <x v="0"/>
    <n v="1"/>
    <x v="5"/>
  </r>
  <r>
    <x v="141"/>
    <n v="10848"/>
    <s v="Primary"/>
    <n v="183"/>
    <s v="no"/>
    <s v="Wood-Vinyl-Fiberglass:Double"/>
    <x v="6"/>
    <x v="0"/>
    <n v="1"/>
    <x v="0"/>
  </r>
  <r>
    <x v="142"/>
    <n v="10852"/>
    <s v="Primary"/>
    <n v="68"/>
    <s v="no"/>
    <s v="Wood-Vinyl-Fiberglass:Double:low-e"/>
    <x v="0"/>
    <x v="0"/>
    <n v="1"/>
    <x v="1"/>
  </r>
  <r>
    <x v="143"/>
    <n v="10866"/>
    <s v="Primary"/>
    <n v="313"/>
    <s v="no"/>
    <s v="Wood-Vinyl-Fiberglass:Double"/>
    <x v="0"/>
    <x v="0"/>
    <n v="1"/>
    <x v="5"/>
  </r>
  <r>
    <x v="144"/>
    <n v="10887"/>
    <s v="Primary"/>
    <n v="332"/>
    <s v="no"/>
    <s v="Wood-Vinyl-Fiberglass:Single"/>
    <x v="7"/>
    <x v="2"/>
    <n v="1"/>
    <x v="6"/>
  </r>
  <r>
    <x v="145"/>
    <n v="10895"/>
    <s v="Primary"/>
    <n v="200"/>
    <s v="no"/>
    <s v="Wood-Vinyl-Fiberglass:Single"/>
    <x v="7"/>
    <x v="2"/>
    <n v="1"/>
    <x v="0"/>
  </r>
  <r>
    <x v="146"/>
    <n v="10911"/>
    <s v="Primary"/>
    <n v="149"/>
    <s v="no"/>
    <s v="Wood-Vinyl-Fiberglass:Double"/>
    <x v="0"/>
    <x v="0"/>
    <n v="1"/>
    <x v="6"/>
  </r>
  <r>
    <x v="147"/>
    <n v="10915"/>
    <s v="Primary"/>
    <n v="153"/>
    <s v="yes"/>
    <s v="Metal:Single"/>
    <x v="5"/>
    <x v="3"/>
    <n v="1"/>
    <x v="6"/>
  </r>
  <r>
    <x v="148"/>
    <n v="10927"/>
    <s v="Primary"/>
    <n v="128"/>
    <s v="no"/>
    <s v="Wood-Vinyl-Fiberglass:Double:low-e"/>
    <x v="1"/>
    <x v="0"/>
    <n v="1"/>
    <x v="0"/>
  </r>
  <r>
    <x v="149"/>
    <n v="10946"/>
    <s v="Primary"/>
    <n v="551"/>
    <s v="no"/>
    <s v="Metal:Double:low-e"/>
    <x v="2"/>
    <x v="1"/>
    <n v="1"/>
    <x v="2"/>
  </r>
  <r>
    <x v="150"/>
    <n v="10948"/>
    <s v="Primary"/>
    <n v="62"/>
    <s v="yes"/>
    <s v="Wood-Vinyl-Fiberglass:Double"/>
    <x v="3"/>
    <x v="0"/>
    <n v="1"/>
    <x v="5"/>
  </r>
  <r>
    <x v="151"/>
    <n v="10951"/>
    <s v="Primary"/>
    <n v="200"/>
    <s v="no"/>
    <s v="Metal:Double"/>
    <x v="5"/>
    <x v="1"/>
    <n v="1"/>
    <x v="2"/>
  </r>
  <r>
    <x v="152"/>
    <n v="10965"/>
    <s v="Primary"/>
    <n v="106"/>
    <s v="no"/>
    <s v="Wood-Vinyl-Fiberglass:Double"/>
    <x v="6"/>
    <x v="0"/>
    <n v="1"/>
    <x v="2"/>
  </r>
  <r>
    <x v="153"/>
    <n v="10978"/>
    <s v="Primary"/>
    <n v="99"/>
    <s v="yes"/>
    <s v="Wood-Vinyl-Fiberglass:Double"/>
    <x v="0"/>
    <x v="0"/>
    <n v="1"/>
    <x v="0"/>
  </r>
  <r>
    <x v="154"/>
    <n v="10986"/>
    <s v="Primary"/>
    <n v="294"/>
    <s v="no"/>
    <s v="Metal:Double"/>
    <x v="5"/>
    <x v="1"/>
    <n v="1"/>
    <x v="5"/>
  </r>
  <r>
    <x v="155"/>
    <n v="10990"/>
    <s v="Primary"/>
    <n v="180"/>
    <s v="no"/>
    <s v="Metal:Double"/>
    <x v="10"/>
    <x v="1"/>
    <n v="1"/>
    <x v="5"/>
  </r>
  <r>
    <x v="156"/>
    <n v="10995"/>
    <s v="Primary"/>
    <n v="186"/>
    <s v="no"/>
    <s v="Metal:Double"/>
    <x v="5"/>
    <x v="1"/>
    <n v="1"/>
    <x v="2"/>
  </r>
  <r>
    <x v="157"/>
    <n v="11003"/>
    <s v="Primary"/>
    <n v="143"/>
    <s v="no"/>
    <s v="Wood-Vinyl-Fiberglass:Double"/>
    <x v="6"/>
    <x v="0"/>
    <n v="1"/>
    <x v="5"/>
  </r>
  <r>
    <x v="158"/>
    <n v="11006"/>
    <s v="Primary"/>
    <n v="115"/>
    <s v="no"/>
    <s v="Wood-Vinyl-Fiberglass:Double:low-e"/>
    <x v="0"/>
    <x v="0"/>
    <n v="1"/>
    <x v="0"/>
  </r>
  <r>
    <x v="159"/>
    <n v="11014"/>
    <s v="Primary"/>
    <n v="379"/>
    <s v="no"/>
    <s v="Wood-Vinyl-Fiberglass:Double:low-e"/>
    <x v="0"/>
    <x v="0"/>
    <n v="1"/>
    <x v="1"/>
  </r>
  <r>
    <x v="160"/>
    <n v="11021"/>
    <s v="Primary"/>
    <n v="142"/>
    <s v="no"/>
    <s v="Wood-Vinyl-Fiberglass:Double:low-e"/>
    <x v="1"/>
    <x v="0"/>
    <n v="1"/>
    <x v="6"/>
  </r>
  <r>
    <x v="161"/>
    <n v="11030"/>
    <s v="Primary"/>
    <n v="107"/>
    <s v="no"/>
    <s v="Wood-Vinyl-Fiberglass:Single"/>
    <x v="7"/>
    <x v="2"/>
    <n v="1"/>
    <x v="6"/>
  </r>
  <r>
    <x v="162"/>
    <n v="11032"/>
    <s v="Primary"/>
    <n v="40"/>
    <s v="yes"/>
    <s v="Wood-Vinyl-Fiberglass:Single"/>
    <x v="2"/>
    <x v="2"/>
    <n v="1"/>
    <x v="1"/>
  </r>
  <r>
    <x v="163"/>
    <n v="11035"/>
    <s v="Primary"/>
    <n v="378"/>
    <s v="no"/>
    <s v="Metal:Double"/>
    <x v="5"/>
    <x v="1"/>
    <n v="1"/>
    <x v="4"/>
  </r>
  <r>
    <x v="164"/>
    <n v="11041"/>
    <s v="Primary"/>
    <n v="266"/>
    <s v="no"/>
    <s v="Wood-Vinyl-Fiberglass:Double:low-e"/>
    <x v="1"/>
    <x v="0"/>
    <n v="1"/>
    <x v="0"/>
  </r>
  <r>
    <x v="165"/>
    <n v="11047"/>
    <s v="Primary"/>
    <n v="134"/>
    <s v="no"/>
    <s v="Metal:Single"/>
    <x v="8"/>
    <x v="3"/>
    <n v="1"/>
    <x v="0"/>
  </r>
  <r>
    <x v="166"/>
    <n v="11048"/>
    <s v="Primary"/>
    <n v="332"/>
    <s v="no"/>
    <s v="Metal:Double"/>
    <x v="5"/>
    <x v="1"/>
    <n v="1"/>
    <x v="6"/>
  </r>
  <r>
    <x v="167"/>
    <n v="11051"/>
    <s v="Primary"/>
    <n v="140"/>
    <s v="no"/>
    <s v="Metal:Single"/>
    <x v="8"/>
    <x v="3"/>
    <n v="1"/>
    <x v="3"/>
  </r>
  <r>
    <x v="168"/>
    <n v="11054"/>
    <s v="Primary"/>
    <n v="531"/>
    <s v="no"/>
    <s v="Metal:Double"/>
    <x v="10"/>
    <x v="1"/>
    <n v="1"/>
    <x v="5"/>
  </r>
  <r>
    <x v="169"/>
    <n v="11055"/>
    <s v="Primary"/>
    <n v="631"/>
    <s v="no"/>
    <s v="Wood-Vinyl-Fiberglass:Double"/>
    <x v="0"/>
    <x v="0"/>
    <n v="1"/>
    <x v="6"/>
  </r>
  <r>
    <x v="170"/>
    <n v="11061"/>
    <s v="Primary"/>
    <n v="273"/>
    <s v="no"/>
    <s v="Wood-Vinyl-Fiberglass:Double:low-e"/>
    <x v="1"/>
    <x v="0"/>
    <n v="1"/>
    <x v="3"/>
  </r>
  <r>
    <x v="171"/>
    <n v="11084"/>
    <s v="Primary"/>
    <n v="339"/>
    <s v="no"/>
    <s v="Metal:Single"/>
    <x v="8"/>
    <x v="3"/>
    <n v="1"/>
    <x v="5"/>
  </r>
  <r>
    <x v="172"/>
    <n v="11086"/>
    <s v="Primary"/>
    <n v="353"/>
    <s v="no"/>
    <s v="Wood-Vinyl-Fiberglass:Double"/>
    <x v="6"/>
    <x v="0"/>
    <n v="1"/>
    <x v="2"/>
  </r>
  <r>
    <x v="173"/>
    <n v="11089"/>
    <s v="Primary"/>
    <n v="525"/>
    <s v="no"/>
    <s v="Metal:Double"/>
    <x v="5"/>
    <x v="1"/>
    <n v="1"/>
    <x v="5"/>
  </r>
  <r>
    <x v="174"/>
    <n v="11094"/>
    <s v="Primary"/>
    <n v="219"/>
    <s v="no"/>
    <s v="Wood-Vinyl-Fiberglass:Double:low-e"/>
    <x v="0"/>
    <x v="0"/>
    <n v="1"/>
    <x v="0"/>
  </r>
  <r>
    <x v="175"/>
    <n v="11110"/>
    <s v="Primary"/>
    <n v="139"/>
    <s v="no"/>
    <s v="Wood-Vinyl-Fiberglass:Double:low-e"/>
    <x v="0"/>
    <x v="0"/>
    <n v="1"/>
    <x v="1"/>
  </r>
  <r>
    <x v="176"/>
    <n v="11118"/>
    <s v="Primary"/>
    <n v="221"/>
    <s v="no"/>
    <s v="Wood-Vinyl-Fiberglass:Double:low-e"/>
    <x v="1"/>
    <x v="0"/>
    <n v="1"/>
    <x v="4"/>
  </r>
  <r>
    <x v="177"/>
    <n v="11119"/>
    <s v="Primary"/>
    <n v="400"/>
    <s v="no"/>
    <s v="Metal:Double"/>
    <x v="5"/>
    <x v="1"/>
    <n v="1"/>
    <x v="5"/>
  </r>
  <r>
    <x v="178"/>
    <n v="11138"/>
    <s v="Primary"/>
    <n v="337"/>
    <s v="yes"/>
    <s v="Wood-Vinyl-Fiberglass:Single"/>
    <x v="2"/>
    <x v="2"/>
    <n v="1"/>
    <x v="0"/>
  </r>
  <r>
    <x v="179"/>
    <n v="11145"/>
    <s v="Primary"/>
    <n v="193"/>
    <s v="no"/>
    <s v="Metal:Double"/>
    <x v="5"/>
    <x v="1"/>
    <n v="1"/>
    <x v="2"/>
  </r>
  <r>
    <x v="180"/>
    <n v="11154"/>
    <s v="Primary"/>
    <n v="607"/>
    <s v="no"/>
    <s v="Wood-Vinyl-Fiberglass:Double:low-e"/>
    <x v="1"/>
    <x v="0"/>
    <n v="1"/>
    <x v="3"/>
  </r>
  <r>
    <x v="181"/>
    <n v="11163"/>
    <s v="Primary"/>
    <n v="169"/>
    <s v="yes"/>
    <s v="Wood-Vinyl-Fiberglass:Double:low-e"/>
    <x v="3"/>
    <x v="0"/>
    <n v="1"/>
    <x v="2"/>
  </r>
  <r>
    <x v="182"/>
    <n v="11178"/>
    <s v="Primary"/>
    <n v="154"/>
    <s v="no"/>
    <s v="Metal:Double"/>
    <x v="5"/>
    <x v="1"/>
    <n v="1"/>
    <x v="0"/>
  </r>
  <r>
    <x v="183"/>
    <n v="11187"/>
    <s v="Primary"/>
    <n v="141"/>
    <s v="no"/>
    <s v="Metal:Single"/>
    <x v="8"/>
    <x v="3"/>
    <n v="1"/>
    <x v="0"/>
  </r>
  <r>
    <x v="184"/>
    <n v="11194"/>
    <s v="Primary"/>
    <n v="149"/>
    <s v="yes"/>
    <s v="Wood-Vinyl-Fiberglass:Double:low-e"/>
    <x v="3"/>
    <x v="0"/>
    <n v="1"/>
    <x v="2"/>
  </r>
  <r>
    <x v="185"/>
    <n v="11210"/>
    <s v="Primary"/>
    <n v="285"/>
    <s v="no"/>
    <s v="Metal:Double"/>
    <x v="5"/>
    <x v="1"/>
    <n v="1"/>
    <x v="0"/>
  </r>
  <r>
    <x v="186"/>
    <n v="11217"/>
    <s v="Primary"/>
    <n v="190"/>
    <s v="no"/>
    <s v="Wood-Vinyl-Fiberglass:Double"/>
    <x v="6"/>
    <x v="0"/>
    <n v="1"/>
    <x v="2"/>
  </r>
  <r>
    <x v="187"/>
    <n v="11219"/>
    <s v="Primary"/>
    <n v="130"/>
    <s v="no"/>
    <s v="Wood-Vinyl-Fiberglass:Double:low-e"/>
    <x v="1"/>
    <x v="0"/>
    <n v="1"/>
    <x v="2"/>
  </r>
  <r>
    <x v="188"/>
    <n v="11221"/>
    <s v="Primary"/>
    <n v="195"/>
    <s v="no"/>
    <s v="Wood-Vinyl-Fiberglass:Double:low-e"/>
    <x v="0"/>
    <x v="0"/>
    <n v="1"/>
    <x v="3"/>
  </r>
  <r>
    <x v="189"/>
    <n v="11222"/>
    <s v="Primary"/>
    <n v="122"/>
    <s v="yes"/>
    <s v="Wood-Vinyl-Fiberglass:Single"/>
    <x v="2"/>
    <x v="2"/>
    <n v="1"/>
    <x v="2"/>
  </r>
  <r>
    <x v="190"/>
    <n v="11233"/>
    <s v="Primary"/>
    <n v="191"/>
    <s v="no"/>
    <s v="Wood-Vinyl-Fiberglass:Double:low-e"/>
    <x v="1"/>
    <x v="0"/>
    <n v="1"/>
    <x v="2"/>
  </r>
  <r>
    <x v="191"/>
    <n v="11236"/>
    <s v="Primary"/>
    <n v="213"/>
    <s v="no"/>
    <s v="Wood-Vinyl-Fiberglass:Double:low-e"/>
    <x v="0"/>
    <x v="0"/>
    <n v="1"/>
    <x v="2"/>
  </r>
  <r>
    <x v="192"/>
    <n v="11246"/>
    <s v="Primary"/>
    <n v="240"/>
    <s v="yes"/>
    <s v="Wood-Vinyl-Fiberglass:Double:low-e"/>
    <x v="4"/>
    <x v="0"/>
    <n v="1"/>
    <x v="0"/>
  </r>
  <r>
    <x v="193"/>
    <n v="11273"/>
    <s v="Primary"/>
    <n v="160"/>
    <s v="no"/>
    <s v="Wood-Vinyl-Fiberglass:Single"/>
    <x v="7"/>
    <x v="2"/>
    <n v="1"/>
    <x v="0"/>
  </r>
  <r>
    <x v="194"/>
    <n v="11282"/>
    <s v="Primary"/>
    <n v="188"/>
    <s v="no"/>
    <s v="Wood-Vinyl-Fiberglass:Double:low-e"/>
    <x v="1"/>
    <x v="0"/>
    <n v="1"/>
    <x v="3"/>
  </r>
  <r>
    <x v="195"/>
    <n v="11283"/>
    <s v="Primary"/>
    <n v="394"/>
    <s v="no"/>
    <s v="Wood-Vinyl-Fiberglass:Double:low-e"/>
    <x v="1"/>
    <x v="0"/>
    <n v="1"/>
    <x v="3"/>
  </r>
  <r>
    <x v="196"/>
    <n v="11284"/>
    <s v="Primary"/>
    <n v="225"/>
    <s v="no"/>
    <s v="Wood-Vinyl-Fiberglass:Double"/>
    <x v="0"/>
    <x v="0"/>
    <n v="1"/>
    <x v="0"/>
  </r>
  <r>
    <x v="197"/>
    <n v="11289"/>
    <s v="Primary"/>
    <n v="110"/>
    <s v="no"/>
    <s v="Wood-Vinyl-Fiberglass:Double"/>
    <x v="0"/>
    <x v="0"/>
    <n v="1"/>
    <x v="0"/>
  </r>
  <r>
    <x v="198"/>
    <n v="11302"/>
    <s v="Primary"/>
    <n v="330"/>
    <s v="yes"/>
    <s v="Wood-Vinyl-Fiberglass:Single"/>
    <x v="2"/>
    <x v="2"/>
    <n v="1"/>
    <x v="0"/>
  </r>
  <r>
    <x v="199"/>
    <n v="11315"/>
    <s v="Primary"/>
    <n v="235"/>
    <s v="no"/>
    <s v="Wood-Vinyl-Fiberglass:Double"/>
    <x v="6"/>
    <x v="0"/>
    <n v="1"/>
    <x v="1"/>
  </r>
  <r>
    <x v="200"/>
    <n v="11317"/>
    <s v="Primary"/>
    <n v="184"/>
    <s v="no"/>
    <s v="Wood-Vinyl-Fiberglass:Double:low-e"/>
    <x v="1"/>
    <x v="0"/>
    <n v="1"/>
    <x v="3"/>
  </r>
  <r>
    <x v="201"/>
    <n v="11323"/>
    <s v="Primary"/>
    <n v="302"/>
    <s v="yes"/>
    <s v="Wood-Vinyl-Fiberglass:Double"/>
    <x v="3"/>
    <x v="0"/>
    <n v="1"/>
    <x v="5"/>
  </r>
  <r>
    <x v="202"/>
    <n v="11327"/>
    <s v="Primary"/>
    <n v="160"/>
    <s v="yes"/>
    <s v="Wood-Vinyl-Fiberglass:Double"/>
    <x v="3"/>
    <x v="0"/>
    <n v="1"/>
    <x v="5"/>
  </r>
  <r>
    <x v="203"/>
    <n v="11332"/>
    <s v="Primary"/>
    <n v="145"/>
    <s v="no"/>
    <s v="Metal:Double"/>
    <x v="5"/>
    <x v="1"/>
    <n v="1"/>
    <x v="2"/>
  </r>
  <r>
    <x v="204"/>
    <n v="11339"/>
    <s v="Primary"/>
    <n v="170"/>
    <s v="yes"/>
    <s v="Wood-Vinyl-Fiberglass:Single"/>
    <x v="2"/>
    <x v="2"/>
    <n v="1"/>
    <x v="0"/>
  </r>
  <r>
    <x v="205"/>
    <n v="11341"/>
    <s v="Primary"/>
    <n v="272"/>
    <s v="no"/>
    <s v="Wood-Vinyl-Fiberglass:Double"/>
    <x v="6"/>
    <x v="0"/>
    <n v="1"/>
    <x v="6"/>
  </r>
  <r>
    <x v="206"/>
    <n v="11342"/>
    <s v="Primary"/>
    <n v="283"/>
    <s v="no"/>
    <s v="Metal:Double"/>
    <x v="5"/>
    <x v="1"/>
    <n v="1"/>
    <x v="2"/>
  </r>
  <r>
    <x v="207"/>
    <n v="11346"/>
    <s v="Primary"/>
    <n v="163"/>
    <s v="no"/>
    <s v="Wood-Vinyl-Fiberglass:Double"/>
    <x v="6"/>
    <x v="0"/>
    <n v="1"/>
    <x v="2"/>
  </r>
  <r>
    <x v="208"/>
    <n v="11347"/>
    <s v="Primary"/>
    <n v="201"/>
    <s v="yes"/>
    <s v="Wood-Vinyl-Fiberglass:Double:low-e"/>
    <x v="4"/>
    <x v="0"/>
    <n v="1"/>
    <x v="2"/>
  </r>
  <r>
    <x v="209"/>
    <n v="11349"/>
    <s v="Primary"/>
    <n v="167"/>
    <s v="no"/>
    <s v="Wood-Vinyl-Fiberglass:Double:low-e"/>
    <x v="1"/>
    <x v="0"/>
    <n v="1"/>
    <x v="2"/>
  </r>
  <r>
    <x v="210"/>
    <n v="11352"/>
    <s v="Primary"/>
    <n v="108"/>
    <s v="no"/>
    <s v="Wood-Vinyl-Fiberglass:Double:low-e"/>
    <x v="0"/>
    <x v="0"/>
    <n v="1"/>
    <x v="3"/>
  </r>
  <r>
    <x v="211"/>
    <n v="11375"/>
    <s v="Primary"/>
    <n v="238"/>
    <s v="no"/>
    <s v="Wood-Vinyl-Fiberglass:Double:low-e"/>
    <x v="0"/>
    <x v="0"/>
    <n v="1"/>
    <x v="0"/>
  </r>
  <r>
    <x v="212"/>
    <n v="11377"/>
    <s v="Primary"/>
    <n v="364"/>
    <s v="no"/>
    <s v="Wood-Vinyl-Fiberglass:Double:low-e"/>
    <x v="0"/>
    <x v="0"/>
    <n v="1"/>
    <x v="2"/>
  </r>
  <r>
    <x v="213"/>
    <n v="11409"/>
    <s v="Primary"/>
    <n v="198"/>
    <s v="no"/>
    <s v="Wood-Vinyl-Fiberglass:Double:low-e"/>
    <x v="0"/>
    <x v="0"/>
    <n v="1"/>
    <x v="1"/>
  </r>
  <r>
    <x v="214"/>
    <n v="11411"/>
    <s v="Primary"/>
    <n v="228"/>
    <s v="no"/>
    <s v="Wood-Vinyl-Fiberglass:Double:low-e"/>
    <x v="1"/>
    <x v="0"/>
    <n v="1"/>
    <x v="6"/>
  </r>
  <r>
    <x v="215"/>
    <n v="11414"/>
    <s v="Primary"/>
    <n v="321"/>
    <s v="no"/>
    <s v="Wood-Vinyl-Fiberglass:Double"/>
    <x v="0"/>
    <x v="0"/>
    <n v="1"/>
    <x v="2"/>
  </r>
  <r>
    <x v="216"/>
    <n v="11416"/>
    <s v="Primary"/>
    <n v="192"/>
    <s v="no"/>
    <s v="Wood-Vinyl-Fiberglass:Double:low-e"/>
    <x v="1"/>
    <x v="0"/>
    <n v="1"/>
    <x v="5"/>
  </r>
  <r>
    <x v="217"/>
    <n v="11417"/>
    <s v="Primary"/>
    <n v="182"/>
    <s v="no"/>
    <s v="Metal:Double"/>
    <x v="5"/>
    <x v="1"/>
    <n v="1"/>
    <x v="2"/>
  </r>
  <r>
    <x v="218"/>
    <n v="11418"/>
    <s v="Primary"/>
    <n v="210"/>
    <s v="no"/>
    <s v="Wood-Vinyl-Fiberglass:Double:low-e"/>
    <x v="1"/>
    <x v="0"/>
    <n v="1"/>
    <x v="3"/>
  </r>
  <r>
    <x v="219"/>
    <n v="11420"/>
    <s v="Primary"/>
    <n v="154"/>
    <s v="yes"/>
    <s v="Wood-Vinyl-Fiberglass:Single"/>
    <x v="2"/>
    <x v="2"/>
    <n v="1"/>
    <x v="3"/>
  </r>
  <r>
    <x v="220"/>
    <n v="11437"/>
    <s v="Primary"/>
    <n v="265"/>
    <s v="no"/>
    <s v="Wood-Vinyl-Fiberglass:Double:low-e"/>
    <x v="1"/>
    <x v="0"/>
    <n v="1"/>
    <x v="0"/>
  </r>
  <r>
    <x v="221"/>
    <n v="11439"/>
    <s v="Primary"/>
    <n v="197"/>
    <s v="no"/>
    <s v="Wood-Vinyl-Fiberglass:Double:low-e"/>
    <x v="1"/>
    <x v="0"/>
    <n v="1"/>
    <x v="3"/>
  </r>
  <r>
    <x v="222"/>
    <n v="11452"/>
    <s v="Primary"/>
    <n v="592"/>
    <s v="yes"/>
    <s v="Wood-Vinyl-Fiberglass:Single"/>
    <x v="2"/>
    <x v="2"/>
    <n v="1"/>
    <x v="3"/>
  </r>
  <r>
    <x v="223"/>
    <n v="11467"/>
    <s v="Primary"/>
    <n v="421"/>
    <s v="yes"/>
    <s v="Wood-Vinyl-Fiberglass:Single:low-e"/>
    <x v="9"/>
    <x v="2"/>
    <n v="1"/>
    <x v="0"/>
  </r>
  <r>
    <x v="224"/>
    <n v="11472"/>
    <s v="Primary"/>
    <n v="966"/>
    <s v="no"/>
    <s v="Wood-Vinyl-Fiberglass:Double:low-e"/>
    <x v="0"/>
    <x v="0"/>
    <n v="1"/>
    <x v="0"/>
  </r>
  <r>
    <x v="225"/>
    <n v="11475"/>
    <s v="Primary"/>
    <n v="306"/>
    <s v="no"/>
    <s v="Wood-Vinyl-Fiberglass:Double:low-e"/>
    <x v="1"/>
    <x v="0"/>
    <n v="1"/>
    <x v="3"/>
  </r>
  <r>
    <x v="226"/>
    <n v="11476"/>
    <s v="Primary"/>
    <n v="361"/>
    <s v="no"/>
    <s v="Wood-Vinyl-Fiberglass:Double"/>
    <x v="6"/>
    <x v="0"/>
    <n v="1"/>
    <x v="0"/>
  </r>
  <r>
    <x v="227"/>
    <n v="11478"/>
    <s v="Primary"/>
    <n v="245"/>
    <s v="no"/>
    <s v="Wood-Vinyl-Fiberglass:Double:low-e"/>
    <x v="1"/>
    <x v="0"/>
    <n v="1"/>
    <x v="5"/>
  </r>
  <r>
    <x v="228"/>
    <n v="11494"/>
    <s v="Primary"/>
    <n v="228"/>
    <s v="no"/>
    <s v="Wood-Vinyl-Fiberglass:Double:low-e"/>
    <x v="0"/>
    <x v="0"/>
    <n v="1"/>
    <x v="0"/>
  </r>
  <r>
    <x v="229"/>
    <n v="11496"/>
    <s v="Primary"/>
    <n v="279"/>
    <s v="no"/>
    <s v="Wood-Vinyl-Fiberglass:Single"/>
    <x v="7"/>
    <x v="2"/>
    <n v="1"/>
    <x v="2"/>
  </r>
  <r>
    <x v="230"/>
    <n v="11499"/>
    <s v="Primary"/>
    <n v="91"/>
    <s v="no"/>
    <s v="Wood-Vinyl-Fiberglass:Double"/>
    <x v="6"/>
    <x v="0"/>
    <n v="1"/>
    <x v="1"/>
  </r>
  <r>
    <x v="231"/>
    <n v="11503"/>
    <s v="Primary"/>
    <n v="108"/>
    <s v="no"/>
    <s v="Wood-Vinyl-Fiberglass:Double:low-e"/>
    <x v="1"/>
    <x v="0"/>
    <n v="1"/>
    <x v="0"/>
  </r>
  <r>
    <x v="232"/>
    <n v="11504"/>
    <s v="Primary"/>
    <n v="103"/>
    <s v="no"/>
    <s v="Metal:Double"/>
    <x v="5"/>
    <x v="1"/>
    <n v="1"/>
    <x v="3"/>
  </r>
  <r>
    <x v="233"/>
    <n v="11512"/>
    <s v="Primary"/>
    <n v="69"/>
    <s v="yes"/>
    <s v="Wood-Vinyl-Fiberglass:Double:low-e"/>
    <x v="4"/>
    <x v="0"/>
    <n v="1"/>
    <x v="5"/>
  </r>
  <r>
    <x v="234"/>
    <n v="11516"/>
    <s v="Primary"/>
    <n v="142"/>
    <s v="no"/>
    <s v="Metal:Double"/>
    <x v="10"/>
    <x v="1"/>
    <n v="1"/>
    <x v="2"/>
  </r>
  <r>
    <x v="235"/>
    <n v="11520"/>
    <s v="Primary"/>
    <n v="88"/>
    <s v="no"/>
    <s v="Wood-Vinyl-Fiberglass:Double:low-e"/>
    <x v="1"/>
    <x v="0"/>
    <n v="1"/>
    <x v="5"/>
  </r>
  <r>
    <x v="236"/>
    <n v="11531"/>
    <s v="Primary"/>
    <n v="187"/>
    <s v="no"/>
    <s v="Wood-Vinyl-Fiberglass:Double"/>
    <x v="6"/>
    <x v="0"/>
    <n v="1"/>
    <x v="2"/>
  </r>
  <r>
    <x v="237"/>
    <n v="11533"/>
    <s v="Primary"/>
    <n v="234"/>
    <s v="no"/>
    <s v="Metal:Double"/>
    <x v="5"/>
    <x v="1"/>
    <n v="1"/>
    <x v="5"/>
  </r>
  <r>
    <x v="238"/>
    <n v="11535"/>
    <s v="Primary"/>
    <n v="182"/>
    <s v="no"/>
    <s v="Wood-Vinyl-Fiberglass:Double:low-e"/>
    <x v="1"/>
    <x v="0"/>
    <n v="1"/>
    <x v="0"/>
  </r>
  <r>
    <x v="239"/>
    <n v="11536"/>
    <s v="Primary"/>
    <n v="107"/>
    <s v="no"/>
    <s v="Wood-Vinyl-Fiberglass:Double:low-e"/>
    <x v="0"/>
    <x v="0"/>
    <n v="1"/>
    <x v="1"/>
  </r>
  <r>
    <x v="240"/>
    <n v="11539"/>
    <s v="Primary"/>
    <n v="151"/>
    <s v="no"/>
    <s v="Metal:Double"/>
    <x v="5"/>
    <x v="1"/>
    <n v="1"/>
    <x v="5"/>
  </r>
  <r>
    <x v="241"/>
    <n v="11544"/>
    <s v="Primary"/>
    <n v="137"/>
    <s v="no"/>
    <s v="Metal:Double"/>
    <x v="5"/>
    <x v="1"/>
    <n v="1"/>
    <x v="2"/>
  </r>
  <r>
    <x v="242"/>
    <n v="11549"/>
    <s v="Primary"/>
    <n v="128"/>
    <s v="no"/>
    <s v="Wood-Vinyl-Fiberglass:Double"/>
    <x v="6"/>
    <x v="0"/>
    <n v="1"/>
    <x v="0"/>
  </r>
  <r>
    <x v="243"/>
    <n v="11552"/>
    <s v="Primary"/>
    <n v="181"/>
    <s v="no"/>
    <s v="Wood-Vinyl-Fiberglass:Double:low-e"/>
    <x v="0"/>
    <x v="0"/>
    <n v="1"/>
    <x v="6"/>
  </r>
  <r>
    <x v="244"/>
    <n v="11555"/>
    <s v="Primary"/>
    <n v="195"/>
    <s v="yes"/>
    <s v="Metal:Single"/>
    <x v="5"/>
    <x v="3"/>
    <n v="1"/>
    <x v="5"/>
  </r>
  <r>
    <x v="245"/>
    <n v="11574"/>
    <s v="Primary"/>
    <n v="742"/>
    <s v="no"/>
    <s v="Metal:Double"/>
    <x v="10"/>
    <x v="1"/>
    <n v="1"/>
    <x v="2"/>
  </r>
  <r>
    <x v="246"/>
    <n v="11585"/>
    <s v="Primary"/>
    <n v="135"/>
    <s v="no"/>
    <s v="Wood-Vinyl-Fiberglass:Double:low-e"/>
    <x v="1"/>
    <x v="0"/>
    <n v="1"/>
    <x v="0"/>
  </r>
  <r>
    <x v="247"/>
    <n v="11602"/>
    <s v="Primary"/>
    <n v="167"/>
    <s v="yes"/>
    <s v="Metal:Single"/>
    <x v="5"/>
    <x v="3"/>
    <n v="1"/>
    <x v="4"/>
  </r>
  <r>
    <x v="248"/>
    <n v="11633"/>
    <s v="Primary"/>
    <n v="256"/>
    <s v="yes"/>
    <s v="Wood-Vinyl-Fiberglass:Double"/>
    <x v="3"/>
    <x v="0"/>
    <n v="1"/>
    <x v="2"/>
  </r>
  <r>
    <x v="249"/>
    <n v="11636"/>
    <s v="Primary"/>
    <n v="117"/>
    <s v="yes"/>
    <s v="Wood-Vinyl-Fiberglass:Single"/>
    <x v="2"/>
    <x v="2"/>
    <n v="1"/>
    <x v="6"/>
  </r>
  <r>
    <x v="250"/>
    <n v="11639"/>
    <s v="Primary"/>
    <n v="437"/>
    <s v="no"/>
    <s v="Wood-Vinyl-Fiberglass:Single"/>
    <x v="7"/>
    <x v="2"/>
    <n v="1"/>
    <x v="6"/>
  </r>
  <r>
    <x v="251"/>
    <n v="11645"/>
    <s v="Primary"/>
    <n v="289"/>
    <s v="no"/>
    <s v="Metal:Double"/>
    <x v="5"/>
    <x v="1"/>
    <n v="1"/>
    <x v="0"/>
  </r>
  <r>
    <x v="252"/>
    <n v="11653"/>
    <s v="Primary"/>
    <n v="333"/>
    <s v="no"/>
    <s v="Wood-Vinyl-Fiberglass:Double"/>
    <x v="0"/>
    <x v="0"/>
    <n v="1"/>
    <x v="0"/>
  </r>
  <r>
    <x v="253"/>
    <n v="11670"/>
    <s v="Primary"/>
    <n v="130"/>
    <s v="no"/>
    <s v="Wood-Vinyl-Fiberglass:Single"/>
    <x v="7"/>
    <x v="2"/>
    <n v="1"/>
    <x v="0"/>
  </r>
  <r>
    <x v="254"/>
    <n v="11675"/>
    <s v="Primary"/>
    <n v="327"/>
    <s v="no"/>
    <s v="Wood-Vinyl-Fiberglass:Double:low-e"/>
    <x v="1"/>
    <x v="0"/>
    <n v="1"/>
    <x v="3"/>
  </r>
  <r>
    <x v="255"/>
    <n v="11677"/>
    <s v="Primary"/>
    <n v="172"/>
    <s v="yes"/>
    <s v="Wood-Vinyl-Fiberglass:Double:low-e"/>
    <x v="4"/>
    <x v="0"/>
    <n v="1"/>
    <x v="0"/>
  </r>
  <r>
    <x v="256"/>
    <n v="11679"/>
    <s v="Primary"/>
    <n v="416"/>
    <s v="no"/>
    <s v="Wood-Vinyl-Fiberglass:Double:low-e"/>
    <x v="1"/>
    <x v="0"/>
    <n v="1"/>
    <x v="3"/>
  </r>
  <r>
    <x v="257"/>
    <n v="11684"/>
    <s v="Primary"/>
    <n v="183"/>
    <s v="no"/>
    <s v="Metal:Double"/>
    <x v="5"/>
    <x v="1"/>
    <n v="1"/>
    <x v="5"/>
  </r>
  <r>
    <x v="258"/>
    <n v="11702"/>
    <s v="Primary"/>
    <n v="130"/>
    <s v="no"/>
    <s v="Wood-Vinyl-Fiberglass:Double"/>
    <x v="6"/>
    <x v="0"/>
    <n v="1"/>
    <x v="5"/>
  </r>
  <r>
    <x v="259"/>
    <n v="11705"/>
    <s v="Primary"/>
    <n v="160"/>
    <s v="no"/>
    <s v="Wood-Vinyl-Fiberglass:Double"/>
    <x v="0"/>
    <x v="0"/>
    <n v="1"/>
    <x v="6"/>
  </r>
  <r>
    <x v="260"/>
    <n v="11713"/>
    <s v="Primary"/>
    <n v="230"/>
    <s v="yes"/>
    <s v="Metal:Single"/>
    <x v="5"/>
    <x v="3"/>
    <n v="1"/>
    <x v="5"/>
  </r>
  <r>
    <x v="261"/>
    <n v="11717"/>
    <s v="Primary"/>
    <n v="134"/>
    <s v="yes"/>
    <s v="Wood-Vinyl-Fiberglass:Double"/>
    <x v="0"/>
    <x v="0"/>
    <n v="1"/>
    <x v="3"/>
  </r>
  <r>
    <x v="262"/>
    <n v="11725"/>
    <s v="Primary"/>
    <n v="241"/>
    <s v="no"/>
    <s v="Metal:Double"/>
    <x v="5"/>
    <x v="1"/>
    <n v="1"/>
    <x v="0"/>
  </r>
  <r>
    <x v="263"/>
    <n v="11729"/>
    <s v="Primary"/>
    <n v="174"/>
    <s v="no"/>
    <s v="Wood-Vinyl-Fiberglass:Double:low-e"/>
    <x v="1"/>
    <x v="0"/>
    <n v="1"/>
    <x v="3"/>
  </r>
  <r>
    <x v="264"/>
    <n v="11732"/>
    <s v="Primary"/>
    <n v="373"/>
    <s v="no"/>
    <s v="Wood-Vinyl-Fiberglass:Double:low-e"/>
    <x v="1"/>
    <x v="0"/>
    <n v="1"/>
    <x v="2"/>
  </r>
  <r>
    <x v="265"/>
    <n v="11734"/>
    <s v="Primary"/>
    <n v="169"/>
    <s v="no"/>
    <s v="Metal:Single"/>
    <x v="8"/>
    <x v="3"/>
    <n v="1"/>
    <x v="0"/>
  </r>
  <r>
    <x v="266"/>
    <n v="11739"/>
    <s v="Primary"/>
    <n v="203"/>
    <s v="no"/>
    <s v="Wood-Vinyl-Fiberglass:Double"/>
    <x v="6"/>
    <x v="0"/>
    <n v="1"/>
    <x v="0"/>
  </r>
  <r>
    <x v="267"/>
    <n v="11749"/>
    <s v="Primary"/>
    <n v="212"/>
    <s v="no"/>
    <s v="Wood-Vinyl-Fiberglass:Double"/>
    <x v="6"/>
    <x v="0"/>
    <n v="1"/>
    <x v="6"/>
  </r>
  <r>
    <x v="268"/>
    <n v="11752"/>
    <s v="Primary"/>
    <n v="194"/>
    <s v="no"/>
    <s v="Wood-Vinyl-Fiberglass:Double:low-e"/>
    <x v="1"/>
    <x v="0"/>
    <n v="1"/>
    <x v="5"/>
  </r>
  <r>
    <x v="269"/>
    <n v="11753"/>
    <s v="Primary"/>
    <n v="1015"/>
    <s v="no"/>
    <s v="Wood-Vinyl-Fiberglass:Double:low-e"/>
    <x v="1"/>
    <x v="0"/>
    <n v="1"/>
    <x v="5"/>
  </r>
  <r>
    <x v="270"/>
    <n v="11762"/>
    <s v="Primary"/>
    <n v="156"/>
    <s v="no"/>
    <s v="Wood-Vinyl-Fiberglass:Double:low-e"/>
    <x v="1"/>
    <x v="0"/>
    <n v="1"/>
    <x v="6"/>
  </r>
  <r>
    <x v="271"/>
    <n v="11766"/>
    <s v="Primary"/>
    <n v="288"/>
    <s v="no"/>
    <s v="Metal:Double"/>
    <x v="5"/>
    <x v="1"/>
    <n v="1"/>
    <x v="2"/>
  </r>
  <r>
    <x v="272"/>
    <n v="11769"/>
    <s v="Primary"/>
    <n v="455"/>
    <s v="no"/>
    <s v="Wood-Vinyl-Fiberglass:Double:low-e"/>
    <x v="0"/>
    <x v="0"/>
    <n v="1"/>
    <x v="2"/>
  </r>
  <r>
    <x v="273"/>
    <n v="11772"/>
    <s v="Primary"/>
    <n v="252"/>
    <s v="no"/>
    <s v="Wood-Vinyl-Fiberglass:Double:low-e"/>
    <x v="1"/>
    <x v="0"/>
    <n v="1"/>
    <x v="6"/>
  </r>
  <r>
    <x v="274"/>
    <n v="11774"/>
    <s v="Primary"/>
    <n v="244"/>
    <s v="no"/>
    <s v="Wood-Vinyl-Fiberglass:Double:low-e"/>
    <x v="1"/>
    <x v="0"/>
    <n v="1"/>
    <x v="3"/>
  </r>
  <r>
    <x v="275"/>
    <n v="11775"/>
    <s v="Primary"/>
    <n v="113"/>
    <s v="no"/>
    <s v="Wood-Vinyl-Fiberglass:Double:low-e"/>
    <x v="1"/>
    <x v="0"/>
    <n v="1"/>
    <x v="2"/>
  </r>
  <r>
    <x v="276"/>
    <n v="11779"/>
    <s v="Primary"/>
    <n v="100"/>
    <s v="no"/>
    <s v="Wood-Vinyl-Fiberglass:Double"/>
    <x v="6"/>
    <x v="0"/>
    <n v="1"/>
    <x v="0"/>
  </r>
  <r>
    <x v="277"/>
    <n v="11780"/>
    <s v="Primary"/>
    <n v="219"/>
    <s v="no"/>
    <s v="Wood-Vinyl-Fiberglass:Double"/>
    <x v="0"/>
    <x v="0"/>
    <n v="1"/>
    <x v="4"/>
  </r>
  <r>
    <x v="278"/>
    <n v="11788"/>
    <s v="Primary"/>
    <n v="429"/>
    <s v="no"/>
    <s v="Metal:Double"/>
    <x v="5"/>
    <x v="1"/>
    <n v="1"/>
    <x v="2"/>
  </r>
  <r>
    <x v="279"/>
    <n v="11794"/>
    <s v="Primary"/>
    <n v="50"/>
    <s v="no"/>
    <s v="Wood-Vinyl-Fiberglass:Double"/>
    <x v="6"/>
    <x v="0"/>
    <n v="1"/>
    <x v="6"/>
  </r>
  <r>
    <x v="280"/>
    <n v="11802"/>
    <s v="Primary"/>
    <n v="222"/>
    <s v="no"/>
    <s v="Wood-Vinyl-Fiberglass:Double:low-e"/>
    <x v="0"/>
    <x v="0"/>
    <n v="1"/>
    <x v="1"/>
  </r>
  <r>
    <x v="281"/>
    <n v="11808"/>
    <s v="Primary"/>
    <n v="227"/>
    <s v="no"/>
    <s v="Metal:Double"/>
    <x v="5"/>
    <x v="1"/>
    <n v="1"/>
    <x v="2"/>
  </r>
  <r>
    <x v="282"/>
    <n v="11815"/>
    <s v="Primary"/>
    <n v="125"/>
    <s v="no"/>
    <s v="Wood-Vinyl-Fiberglass:Triple:low-e"/>
    <x v="11"/>
    <x v="4"/>
    <n v="1"/>
    <x v="3"/>
  </r>
  <r>
    <x v="283"/>
    <n v="11825"/>
    <s v="Primary"/>
    <n v="157"/>
    <s v="no"/>
    <s v="Wood-Vinyl-Fiberglass:Double:low-e"/>
    <x v="1"/>
    <x v="0"/>
    <n v="1"/>
    <x v="6"/>
  </r>
  <r>
    <x v="284"/>
    <n v="11827"/>
    <s v="Primary"/>
    <n v="420"/>
    <s v="no"/>
    <s v="Wood-Vinyl-Fiberglass:Double:low-e"/>
    <x v="1"/>
    <x v="0"/>
    <n v="1"/>
    <x v="2"/>
  </r>
  <r>
    <x v="285"/>
    <n v="11835"/>
    <s v="Primary"/>
    <n v="163"/>
    <s v="no"/>
    <s v="Wood-Vinyl-Fiberglass:Double"/>
    <x v="6"/>
    <x v="0"/>
    <n v="1"/>
    <x v="6"/>
  </r>
  <r>
    <x v="286"/>
    <n v="11836"/>
    <s v="Primary"/>
    <n v="83"/>
    <s v="no"/>
    <s v="Wood-Vinyl-Fiberglass:Single"/>
    <x v="7"/>
    <x v="2"/>
    <n v="1"/>
    <x v="5"/>
  </r>
  <r>
    <x v="287"/>
    <n v="11838"/>
    <s v="Primary"/>
    <n v="142"/>
    <s v="no"/>
    <s v="Wood-Vinyl-Fiberglass:Double"/>
    <x v="6"/>
    <x v="0"/>
    <n v="1"/>
    <x v="5"/>
  </r>
  <r>
    <x v="288"/>
    <n v="11842"/>
    <s v="Primary"/>
    <n v="154"/>
    <s v="no"/>
    <s v="Wood-Vinyl-Fiberglass:Single"/>
    <x v="7"/>
    <x v="2"/>
    <n v="1"/>
    <x v="2"/>
  </r>
  <r>
    <x v="289"/>
    <n v="11844"/>
    <s v="Primary"/>
    <n v="118"/>
    <s v="yes"/>
    <s v="Metal:Single"/>
    <x v="5"/>
    <x v="3"/>
    <n v="1"/>
    <x v="2"/>
  </r>
  <r>
    <x v="290"/>
    <n v="11860"/>
    <s v="Primary"/>
    <n v="439"/>
    <s v="no"/>
    <s v="Wood-Vinyl-Fiberglass:Double:low-e"/>
    <x v="1"/>
    <x v="0"/>
    <n v="1"/>
    <x v="5"/>
  </r>
  <r>
    <x v="291"/>
    <n v="11871"/>
    <s v="Primary"/>
    <n v="174"/>
    <s v="yes"/>
    <s v="Metal:Double"/>
    <x v="9"/>
    <x v="1"/>
    <n v="1"/>
    <x v="2"/>
  </r>
  <r>
    <x v="292"/>
    <n v="11872"/>
    <s v="Primary"/>
    <n v="131"/>
    <s v="no"/>
    <s v="Wood-Vinyl-Fiberglass:Double"/>
    <x v="6"/>
    <x v="0"/>
    <n v="1"/>
    <x v="0"/>
  </r>
  <r>
    <x v="293"/>
    <n v="11873"/>
    <s v="Primary"/>
    <n v="171"/>
    <s v="no"/>
    <s v="Wood-Vinyl-Fiberglass:Double"/>
    <x v="0"/>
    <x v="0"/>
    <n v="1"/>
    <x v="0"/>
  </r>
  <r>
    <x v="294"/>
    <n v="11880"/>
    <s v="Primary"/>
    <n v="135"/>
    <s v="no"/>
    <s v="Metal:Double"/>
    <x v="5"/>
    <x v="1"/>
    <n v="1"/>
    <x v="5"/>
  </r>
  <r>
    <x v="295"/>
    <n v="11894"/>
    <s v="Primary"/>
    <n v="245"/>
    <s v="no"/>
    <s v="Wood-Vinyl-Fiberglass:Double:low-e"/>
    <x v="1"/>
    <x v="0"/>
    <n v="1"/>
    <x v="2"/>
  </r>
  <r>
    <x v="296"/>
    <n v="11896"/>
    <s v="Primary"/>
    <n v="135"/>
    <s v="no"/>
    <s v="Wood-Vinyl-Fiberglass:Double"/>
    <x v="6"/>
    <x v="0"/>
    <n v="1"/>
    <x v="5"/>
  </r>
  <r>
    <x v="297"/>
    <n v="11900"/>
    <s v="Primary"/>
    <n v="170"/>
    <s v="yes"/>
    <s v="Wood-Vinyl-Fiberglass:Double:low-e"/>
    <x v="3"/>
    <x v="0"/>
    <n v="1"/>
    <x v="0"/>
  </r>
  <r>
    <x v="298"/>
    <n v="11904"/>
    <s v="Primary"/>
    <n v="334"/>
    <s v="no"/>
    <s v="Wood-Vinyl-Fiberglass:Double"/>
    <x v="6"/>
    <x v="0"/>
    <n v="1"/>
    <x v="6"/>
  </r>
  <r>
    <x v="299"/>
    <n v="11908"/>
    <s v="Primary"/>
    <n v="120"/>
    <s v="no"/>
    <s v="Wood-Vinyl-Fiberglass:Double:low-e"/>
    <x v="1"/>
    <x v="0"/>
    <n v="1"/>
    <x v="5"/>
  </r>
  <r>
    <x v="300"/>
    <n v="11910"/>
    <s v="Primary"/>
    <n v="330"/>
    <s v="no"/>
    <s v="Wood-Vinyl-Fiberglass:Double"/>
    <x v="0"/>
    <x v="0"/>
    <n v="1"/>
    <x v="5"/>
  </r>
  <r>
    <x v="301"/>
    <n v="11914"/>
    <s v="Primary"/>
    <n v="409"/>
    <s v="no"/>
    <s v="Wood-Vinyl-Fiberglass:Double:low-e"/>
    <x v="1"/>
    <x v="0"/>
    <n v="1"/>
    <x v="3"/>
  </r>
  <r>
    <x v="302"/>
    <n v="11925"/>
    <s v="Primary"/>
    <n v="253"/>
    <s v="no"/>
    <s v="Wood-Vinyl-Fiberglass:Double:low-e"/>
    <x v="1"/>
    <x v="0"/>
    <n v="1"/>
    <x v="2"/>
  </r>
  <r>
    <x v="303"/>
    <n v="11933"/>
    <s v="Primary"/>
    <n v="206"/>
    <s v="no"/>
    <s v="Wood-Vinyl-Fiberglass:Double:low-e"/>
    <x v="0"/>
    <x v="0"/>
    <n v="1"/>
    <x v="5"/>
  </r>
  <r>
    <x v="304"/>
    <n v="11943"/>
    <s v="Primary"/>
    <n v="217"/>
    <s v="yes"/>
    <s v="Metal:Single"/>
    <x v="5"/>
    <x v="3"/>
    <n v="1"/>
    <x v="2"/>
  </r>
  <r>
    <x v="305"/>
    <n v="11953"/>
    <s v="Primary"/>
    <n v="48"/>
    <s v="yes"/>
    <s v="Wood-Vinyl-Fiberglass:Single"/>
    <x v="2"/>
    <x v="2"/>
    <n v="1"/>
    <x v="5"/>
  </r>
  <r>
    <x v="306"/>
    <n v="11954"/>
    <s v="Primary"/>
    <n v="123"/>
    <s v="no"/>
    <s v="Wood-Vinyl-Fiberglass:Single"/>
    <x v="7"/>
    <x v="2"/>
    <n v="1"/>
    <x v="0"/>
  </r>
  <r>
    <x v="307"/>
    <n v="11958"/>
    <s v="Primary"/>
    <n v="162"/>
    <s v="no"/>
    <s v="Wood-Vinyl-Fiberglass:Double:low-e"/>
    <x v="0"/>
    <x v="0"/>
    <n v="1"/>
    <x v="3"/>
  </r>
  <r>
    <x v="308"/>
    <n v="11967"/>
    <s v="Primary"/>
    <n v="195"/>
    <s v="no"/>
    <s v="Metal:Double:low-e"/>
    <x v="2"/>
    <x v="1"/>
    <n v="1"/>
    <x v="3"/>
  </r>
  <r>
    <x v="309"/>
    <n v="11971"/>
    <s v="Primary"/>
    <n v="252"/>
    <s v="no"/>
    <s v="Wood-Vinyl-Fiberglass:Double"/>
    <x v="6"/>
    <x v="0"/>
    <n v="1"/>
    <x v="0"/>
  </r>
  <r>
    <x v="310"/>
    <n v="11978"/>
    <s v="Primary"/>
    <n v="76"/>
    <s v="yes"/>
    <s v="Metal:Single"/>
    <x v="5"/>
    <x v="3"/>
    <n v="1"/>
    <x v="1"/>
  </r>
  <r>
    <x v="311"/>
    <n v="11980"/>
    <s v="Primary"/>
    <n v="225"/>
    <s v="no"/>
    <s v="Wood-Vinyl-Fiberglass:Double:low-e"/>
    <x v="1"/>
    <x v="0"/>
    <n v="1"/>
    <x v="0"/>
  </r>
  <r>
    <x v="312"/>
    <n v="11988"/>
    <s v="Primary"/>
    <n v="179"/>
    <s v="no"/>
    <s v="Wood-Vinyl-Fiberglass:Double"/>
    <x v="0"/>
    <x v="0"/>
    <n v="1"/>
    <x v="1"/>
  </r>
  <r>
    <x v="313"/>
    <n v="11992"/>
    <s v="Primary"/>
    <n v="305"/>
    <s v="no"/>
    <s v="Wood-Vinyl-Fiberglass:Single"/>
    <x v="7"/>
    <x v="2"/>
    <n v="1"/>
    <x v="0"/>
  </r>
  <r>
    <x v="314"/>
    <n v="11993"/>
    <s v="Primary"/>
    <n v="109"/>
    <s v="no"/>
    <s v="Metal:Double"/>
    <x v="5"/>
    <x v="1"/>
    <n v="1"/>
    <x v="5"/>
  </r>
  <r>
    <x v="315"/>
    <n v="12016"/>
    <s v="Primary"/>
    <n v="201"/>
    <s v="no"/>
    <s v="Wood-Vinyl-Fiberglass:Double:low-e"/>
    <x v="0"/>
    <x v="0"/>
    <n v="1"/>
    <x v="0"/>
  </r>
  <r>
    <x v="316"/>
    <n v="12018"/>
    <s v="Primary"/>
    <n v="380"/>
    <s v="no"/>
    <s v="Wood-Vinyl-Fiberglass:Double:low-e"/>
    <x v="1"/>
    <x v="0"/>
    <n v="1"/>
    <x v="3"/>
  </r>
  <r>
    <x v="317"/>
    <n v="12022"/>
    <s v="Primary"/>
    <n v="215"/>
    <s v="no"/>
    <s v="Wood-Vinyl-Fiberglass:Single"/>
    <x v="7"/>
    <x v="2"/>
    <n v="1"/>
    <x v="0"/>
  </r>
  <r>
    <x v="318"/>
    <n v="12029"/>
    <s v="Primary"/>
    <n v="101"/>
    <s v="no"/>
    <s v="Wood-Vinyl-Fiberglass:Double"/>
    <x v="6"/>
    <x v="0"/>
    <n v="1"/>
    <x v="6"/>
  </r>
  <r>
    <x v="319"/>
    <n v="12033"/>
    <s v="Primary"/>
    <n v="142"/>
    <s v="no"/>
    <s v="Wood-Vinyl-Fiberglass:Double:low-e"/>
    <x v="0"/>
    <x v="0"/>
    <n v="1"/>
    <x v="1"/>
  </r>
  <r>
    <x v="320"/>
    <n v="12035"/>
    <s v="Primary"/>
    <n v="198"/>
    <s v="no"/>
    <s v="Wood-Vinyl-Fiberglass:Double:low-e"/>
    <x v="1"/>
    <x v="0"/>
    <n v="1"/>
    <x v="5"/>
  </r>
  <r>
    <x v="321"/>
    <n v="12039"/>
    <s v="Primary"/>
    <n v="191"/>
    <s v="no"/>
    <s v="Metal:Double"/>
    <x v="5"/>
    <x v="1"/>
    <n v="1"/>
    <x v="2"/>
  </r>
  <r>
    <x v="322"/>
    <n v="12049"/>
    <s v="Primary"/>
    <n v="196"/>
    <s v="no"/>
    <s v="Wood-Vinyl-Fiberglass:Double:low-e"/>
    <x v="1"/>
    <x v="0"/>
    <n v="1"/>
    <x v="6"/>
  </r>
  <r>
    <x v="323"/>
    <n v="12054"/>
    <s v="Primary"/>
    <n v="284"/>
    <s v="no"/>
    <s v="Wood-Vinyl-Fiberglass:Single:low-e"/>
    <x v="12"/>
    <x v="2"/>
    <n v="1"/>
    <x v="0"/>
  </r>
  <r>
    <x v="324"/>
    <n v="12060"/>
    <s v="Primary"/>
    <n v="379"/>
    <s v="no"/>
    <s v="Wood-Vinyl-Fiberglass:Double:low-e"/>
    <x v="1"/>
    <x v="0"/>
    <n v="1"/>
    <x v="6"/>
  </r>
  <r>
    <x v="325"/>
    <n v="12062"/>
    <s v="Primary"/>
    <n v="127"/>
    <s v="no"/>
    <s v="Wood-Vinyl-Fiberglass:Double:low-e"/>
    <x v="1"/>
    <x v="0"/>
    <n v="1"/>
    <x v="3"/>
  </r>
  <r>
    <x v="326"/>
    <n v="12063"/>
    <s v="Primary"/>
    <n v="86"/>
    <s v="yes"/>
    <s v="Metal:Single"/>
    <x v="5"/>
    <x v="3"/>
    <n v="1"/>
    <x v="6"/>
  </r>
  <r>
    <x v="327"/>
    <n v="12064"/>
    <s v="Primary"/>
    <n v="138"/>
    <s v="yes"/>
    <s v="Wood-Vinyl-Fiberglass:Single"/>
    <x v="2"/>
    <x v="2"/>
    <n v="1"/>
    <x v="0"/>
  </r>
  <r>
    <x v="328"/>
    <n v="12086"/>
    <s v="Primary"/>
    <n v="89"/>
    <s v="no"/>
    <s v="Wood-Vinyl-Fiberglass:Double:low-e"/>
    <x v="1"/>
    <x v="0"/>
    <n v="1"/>
    <x v="6"/>
  </r>
  <r>
    <x v="329"/>
    <n v="12092"/>
    <s v="Primary"/>
    <n v="396"/>
    <s v="no"/>
    <s v="Wood-Vinyl-Fiberglass:Single"/>
    <x v="7"/>
    <x v="2"/>
    <n v="1"/>
    <x v="2"/>
  </r>
  <r>
    <x v="330"/>
    <n v="12101"/>
    <s v="Primary"/>
    <n v="359"/>
    <s v="no"/>
    <s v="Wood-Vinyl-Fiberglass:Double"/>
    <x v="6"/>
    <x v="0"/>
    <n v="1"/>
    <x v="2"/>
  </r>
  <r>
    <x v="331"/>
    <n v="12103"/>
    <s v="Primary"/>
    <n v="104"/>
    <s v="yes"/>
    <s v="Wood-Vinyl-Fiberglass:Double"/>
    <x v="0"/>
    <x v="0"/>
    <n v="1"/>
    <x v="2"/>
  </r>
  <r>
    <x v="332"/>
    <n v="12105"/>
    <s v="Primary"/>
    <n v="452"/>
    <s v="no"/>
    <s v="Wood-Vinyl-Fiberglass:Double:low-e"/>
    <x v="1"/>
    <x v="0"/>
    <n v="1"/>
    <x v="1"/>
  </r>
  <r>
    <x v="333"/>
    <n v="12107"/>
    <s v="Primary"/>
    <n v="99"/>
    <s v="yes"/>
    <s v="Wood-Vinyl-Fiberglass:Double:low-e"/>
    <x v="4"/>
    <x v="0"/>
    <n v="1"/>
    <x v="2"/>
  </r>
  <r>
    <x v="334"/>
    <n v="12108"/>
    <s v="Primary"/>
    <n v="284"/>
    <s v="no"/>
    <s v="Wood-Vinyl-Fiberglass:Double"/>
    <x v="0"/>
    <x v="0"/>
    <n v="1"/>
    <x v="0"/>
  </r>
  <r>
    <x v="335"/>
    <n v="12111"/>
    <s v="Primary"/>
    <n v="166"/>
    <s v="no"/>
    <s v="Wood-Vinyl-Fiberglass:Double:low-e"/>
    <x v="1"/>
    <x v="0"/>
    <n v="1"/>
    <x v="6"/>
  </r>
  <r>
    <x v="336"/>
    <n v="12114"/>
    <s v="Primary"/>
    <n v="294"/>
    <s v="no"/>
    <s v="Wood-Vinyl-Fiberglass:Double:low-e"/>
    <x v="1"/>
    <x v="0"/>
    <n v="1"/>
    <x v="5"/>
  </r>
  <r>
    <x v="337"/>
    <n v="12131"/>
    <s v="Primary"/>
    <n v="170"/>
    <s v="no"/>
    <s v="Wood-Vinyl-Fiberglass:Double:low-e"/>
    <x v="1"/>
    <x v="0"/>
    <n v="1"/>
    <x v="2"/>
  </r>
  <r>
    <x v="338"/>
    <n v="12142"/>
    <s v="Primary"/>
    <n v="159"/>
    <s v="no"/>
    <s v="Wood-Vinyl-Fiberglass:Single"/>
    <x v="7"/>
    <x v="2"/>
    <n v="1"/>
    <x v="0"/>
  </r>
  <r>
    <x v="339"/>
    <n v="12144"/>
    <s v="Primary"/>
    <n v="129"/>
    <s v="no"/>
    <s v="Metal:Double:low-e"/>
    <x v="2"/>
    <x v="1"/>
    <n v="1"/>
    <x v="3"/>
  </r>
  <r>
    <x v="340"/>
    <n v="12145"/>
    <s v="Primary"/>
    <n v="91"/>
    <s v="yes"/>
    <s v="Wood-Vinyl-Fiberglass:Double:low-e"/>
    <x v="4"/>
    <x v="0"/>
    <n v="1"/>
    <x v="0"/>
  </r>
  <r>
    <x v="341"/>
    <n v="12146"/>
    <s v="Primary"/>
    <n v="334"/>
    <s v="no"/>
    <s v="Wood-Vinyl-Fiberglass:Double"/>
    <x v="6"/>
    <x v="0"/>
    <n v="1"/>
    <x v="6"/>
  </r>
  <r>
    <x v="342"/>
    <n v="12148"/>
    <s v="Primary"/>
    <n v="176"/>
    <s v="no"/>
    <s v="Wood-Vinyl-Fiberglass:Single"/>
    <x v="7"/>
    <x v="2"/>
    <n v="1"/>
    <x v="3"/>
  </r>
  <r>
    <x v="343"/>
    <n v="12153"/>
    <s v="Primary"/>
    <n v="145"/>
    <s v="no"/>
    <s v="Wood-Vinyl-Fiberglass:Double:low-e"/>
    <x v="1"/>
    <x v="0"/>
    <n v="1"/>
    <x v="0"/>
  </r>
  <r>
    <x v="344"/>
    <n v="12163"/>
    <s v="Primary"/>
    <n v="90"/>
    <s v="no"/>
    <s v="Metal:Double"/>
    <x v="10"/>
    <x v="1"/>
    <n v="1"/>
    <x v="0"/>
  </r>
  <r>
    <x v="345"/>
    <n v="12169"/>
    <s v="Primary"/>
    <n v="213"/>
    <s v="no"/>
    <s v="Wood-Vinyl-Fiberglass:Double"/>
    <x v="0"/>
    <x v="0"/>
    <n v="1"/>
    <x v="0"/>
  </r>
  <r>
    <x v="346"/>
    <n v="12176"/>
    <s v="Primary"/>
    <n v="225"/>
    <s v="no"/>
    <s v="Wood-Vinyl-Fiberglass:Double"/>
    <x v="0"/>
    <x v="0"/>
    <n v="1"/>
    <x v="0"/>
  </r>
  <r>
    <x v="347"/>
    <n v="12183"/>
    <s v="Primary"/>
    <n v="174"/>
    <s v="no"/>
    <s v="Wood-Vinyl-Fiberglass:Double:low-e"/>
    <x v="1"/>
    <x v="0"/>
    <n v="1"/>
    <x v="2"/>
  </r>
  <r>
    <x v="348"/>
    <n v="12186"/>
    <s v="Primary"/>
    <n v="280"/>
    <s v="no"/>
    <s v="Wood-Vinyl-Fiberglass:Double"/>
    <x v="6"/>
    <x v="0"/>
    <n v="1"/>
    <x v="2"/>
  </r>
  <r>
    <x v="349"/>
    <n v="12190"/>
    <s v="Primary"/>
    <n v="401"/>
    <s v="no"/>
    <s v="Wood-Vinyl-Fiberglass:Double:low-e"/>
    <x v="1"/>
    <x v="0"/>
    <n v="1"/>
    <x v="2"/>
  </r>
  <r>
    <x v="350"/>
    <n v="12197"/>
    <s v="Primary"/>
    <n v="144"/>
    <s v="no"/>
    <s v="Wood-Vinyl-Fiberglass:Single"/>
    <x v="7"/>
    <x v="2"/>
    <n v="1"/>
    <x v="0"/>
  </r>
  <r>
    <x v="351"/>
    <n v="12199"/>
    <s v="Primary"/>
    <n v="167"/>
    <s v="no"/>
    <s v="Wood-Vinyl-Fiberglass:Double"/>
    <x v="0"/>
    <x v="0"/>
    <n v="1"/>
    <x v="5"/>
  </r>
  <r>
    <x v="352"/>
    <n v="12203"/>
    <s v="Primary"/>
    <n v="170"/>
    <s v="no"/>
    <s v="Wood-Vinyl-Fiberglass:Double"/>
    <x v="6"/>
    <x v="0"/>
    <n v="1"/>
    <x v="0"/>
  </r>
  <r>
    <x v="353"/>
    <n v="12207"/>
    <s v="Primary"/>
    <n v="174"/>
    <s v="no"/>
    <s v="Wood-Vinyl-Fiberglass:Double"/>
    <x v="6"/>
    <x v="0"/>
    <n v="1"/>
    <x v="2"/>
  </r>
  <r>
    <x v="354"/>
    <n v="12213"/>
    <s v="Primary"/>
    <n v="137"/>
    <s v="no"/>
    <s v="Wood-Vinyl-Fiberglass:Double"/>
    <x v="6"/>
    <x v="0"/>
    <n v="1"/>
    <x v="6"/>
  </r>
  <r>
    <x v="355"/>
    <n v="12214"/>
    <s v="Primary"/>
    <n v="170"/>
    <s v="no"/>
    <s v="Wood-Vinyl-Fiberglass:Double:low-e"/>
    <x v="0"/>
    <x v="0"/>
    <n v="1"/>
    <x v="2"/>
  </r>
  <r>
    <x v="356"/>
    <n v="12215"/>
    <s v="Primary"/>
    <n v="136"/>
    <s v="yes"/>
    <s v="Metal:Double:low-e"/>
    <x v="13"/>
    <x v="1"/>
    <n v="1"/>
    <x v="5"/>
  </r>
  <r>
    <x v="357"/>
    <n v="12226"/>
    <s v="Primary"/>
    <n v="427"/>
    <s v="no"/>
    <s v="Wood-Vinyl-Fiberglass:Double:low-e"/>
    <x v="1"/>
    <x v="0"/>
    <n v="1"/>
    <x v="3"/>
  </r>
  <r>
    <x v="358"/>
    <n v="12229"/>
    <s v="Primary"/>
    <n v="201"/>
    <s v="no"/>
    <s v="Wood-Vinyl-Fiberglass:Double:low-e"/>
    <x v="1"/>
    <x v="0"/>
    <n v="1"/>
    <x v="0"/>
  </r>
  <r>
    <x v="359"/>
    <n v="12230"/>
    <s v="Primary"/>
    <n v="306"/>
    <s v="no"/>
    <s v="Wood-Vinyl-Fiberglass:Double:low-e"/>
    <x v="1"/>
    <x v="0"/>
    <n v="1"/>
    <x v="3"/>
  </r>
  <r>
    <x v="360"/>
    <n v="12232"/>
    <s v="Primary"/>
    <n v="292"/>
    <s v="no"/>
    <s v="Wood-Vinyl-Fiberglass:Double:low-e"/>
    <x v="0"/>
    <x v="0"/>
    <n v="1"/>
    <x v="1"/>
  </r>
  <r>
    <x v="361"/>
    <n v="12242"/>
    <s v="Primary"/>
    <n v="126"/>
    <s v="no"/>
    <s v="Metal:Double:low-e"/>
    <x v="2"/>
    <x v="1"/>
    <n v="1"/>
    <x v="0"/>
  </r>
  <r>
    <x v="362"/>
    <n v="12247"/>
    <s v="Primary"/>
    <n v="186"/>
    <s v="no"/>
    <s v="Metal:Triple"/>
    <x v="14"/>
    <x v="5"/>
    <n v="1"/>
    <x v="5"/>
  </r>
  <r>
    <x v="363"/>
    <n v="12255"/>
    <s v="Primary"/>
    <n v="165"/>
    <s v="no"/>
    <s v="Metal:Double"/>
    <x v="5"/>
    <x v="1"/>
    <n v="1"/>
    <x v="1"/>
  </r>
  <r>
    <x v="364"/>
    <n v="12263"/>
    <s v="Primary"/>
    <n v="76"/>
    <s v="yes"/>
    <s v="Wood-Vinyl-Fiberglass:Double"/>
    <x v="3"/>
    <x v="0"/>
    <n v="1"/>
    <x v="0"/>
  </r>
  <r>
    <x v="365"/>
    <n v="12264"/>
    <s v="Primary"/>
    <n v="264"/>
    <s v="no"/>
    <s v="Wood-Vinyl-Fiberglass:Double:low-e"/>
    <x v="1"/>
    <x v="0"/>
    <n v="1"/>
    <x v="6"/>
  </r>
  <r>
    <x v="366"/>
    <n v="12266"/>
    <s v="Primary"/>
    <n v="150"/>
    <s v="no"/>
    <s v="Wood-Vinyl-Fiberglass:Double:low-e"/>
    <x v="1"/>
    <x v="0"/>
    <n v="1"/>
    <x v="2"/>
  </r>
  <r>
    <x v="367"/>
    <n v="12270"/>
    <s v="Primary"/>
    <n v="247"/>
    <s v="no"/>
    <s v="Wood-Vinyl-Fiberglass:Double:low-e"/>
    <x v="0"/>
    <x v="0"/>
    <n v="1"/>
    <x v="4"/>
  </r>
  <r>
    <x v="368"/>
    <n v="12271"/>
    <s v="Primary"/>
    <n v="215"/>
    <s v="no"/>
    <s v="Wood-Vinyl-Fiberglass:Single"/>
    <x v="7"/>
    <x v="2"/>
    <n v="1"/>
    <x v="0"/>
  </r>
  <r>
    <x v="369"/>
    <n v="12274"/>
    <s v="Primary"/>
    <n v="140"/>
    <s v="yes"/>
    <s v="Wood-Vinyl-Fiberglass:Single"/>
    <x v="2"/>
    <x v="2"/>
    <n v="1"/>
    <x v="2"/>
  </r>
  <r>
    <x v="370"/>
    <n v="12278"/>
    <s v="Primary"/>
    <n v="133"/>
    <s v="yes"/>
    <s v="Wood-Vinyl-Fiberglass:Double:low-e"/>
    <x v="4"/>
    <x v="0"/>
    <n v="1"/>
    <x v="5"/>
  </r>
  <r>
    <x v="371"/>
    <n v="12295"/>
    <s v="Primary"/>
    <n v="497"/>
    <s v="no"/>
    <s v="Wood-Vinyl-Fiberglass:Double:low-e"/>
    <x v="1"/>
    <x v="0"/>
    <n v="1"/>
    <x v="3"/>
  </r>
  <r>
    <x v="372"/>
    <n v="12303"/>
    <s v="Primary"/>
    <n v="243"/>
    <s v="no"/>
    <s v="Wood-Vinyl-Fiberglass:Double:low-e"/>
    <x v="1"/>
    <x v="0"/>
    <n v="1"/>
    <x v="6"/>
  </r>
  <r>
    <x v="373"/>
    <n v="12305"/>
    <s v="Primary"/>
    <n v="173"/>
    <s v="no"/>
    <s v="Wood-Vinyl-Fiberglass:Double"/>
    <x v="6"/>
    <x v="0"/>
    <n v="1"/>
    <x v="2"/>
  </r>
  <r>
    <x v="374"/>
    <n v="12307"/>
    <s v="Primary"/>
    <n v="200"/>
    <s v="no"/>
    <s v="Metal:Double"/>
    <x v="5"/>
    <x v="1"/>
    <n v="1"/>
    <x v="0"/>
  </r>
  <r>
    <x v="375"/>
    <n v="12315"/>
    <s v="Primary"/>
    <n v="362"/>
    <s v="no"/>
    <s v="Wood-Vinyl-Fiberglass:Double:low-e"/>
    <x v="1"/>
    <x v="0"/>
    <n v="1"/>
    <x v="5"/>
  </r>
  <r>
    <x v="376"/>
    <n v="12320"/>
    <s v="Primary"/>
    <n v="321"/>
    <s v="no"/>
    <s v="Wood-Vinyl-Fiberglass:Double:low-e"/>
    <x v="0"/>
    <x v="0"/>
    <n v="1"/>
    <x v="5"/>
  </r>
  <r>
    <x v="377"/>
    <n v="12321"/>
    <s v="Primary"/>
    <n v="104"/>
    <s v="no"/>
    <s v="Wood-Vinyl-Fiberglass:Double:low-e"/>
    <x v="1"/>
    <x v="0"/>
    <n v="1"/>
    <x v="0"/>
  </r>
  <r>
    <x v="378"/>
    <n v="12339"/>
    <s v="Primary"/>
    <n v="396"/>
    <s v="no"/>
    <s v="Wood-Vinyl-Fiberglass:Double"/>
    <x v="6"/>
    <x v="0"/>
    <n v="1"/>
    <x v="5"/>
  </r>
  <r>
    <x v="379"/>
    <n v="12341"/>
    <s v="Primary"/>
    <n v="205"/>
    <s v="no"/>
    <s v="Wood-Vinyl-Fiberglass:Double:low-e"/>
    <x v="0"/>
    <x v="0"/>
    <n v="1"/>
    <x v="6"/>
  </r>
  <r>
    <x v="380"/>
    <n v="12348"/>
    <s v="Primary"/>
    <n v="356"/>
    <s v="no"/>
    <s v="Wood-Vinyl-Fiberglass:Double"/>
    <x v="0"/>
    <x v="0"/>
    <n v="1"/>
    <x v="0"/>
  </r>
  <r>
    <x v="381"/>
    <n v="12358"/>
    <s v="Primary"/>
    <n v="366"/>
    <s v="no"/>
    <s v="Metal:Double"/>
    <x v="5"/>
    <x v="1"/>
    <n v="1"/>
    <x v="0"/>
  </r>
  <r>
    <x v="382"/>
    <n v="12370"/>
    <s v="Primary"/>
    <n v="260"/>
    <s v="no"/>
    <s v="Wood-Vinyl-Fiberglass:Double:low-e"/>
    <x v="0"/>
    <x v="0"/>
    <n v="1"/>
    <x v="3"/>
  </r>
  <r>
    <x v="383"/>
    <n v="12372"/>
    <s v="Primary"/>
    <n v="164"/>
    <s v="no"/>
    <s v="Metal:Double"/>
    <x v="5"/>
    <x v="1"/>
    <n v="1"/>
    <x v="2"/>
  </r>
  <r>
    <x v="384"/>
    <n v="12376"/>
    <s v="Primary"/>
    <n v="178"/>
    <s v="no"/>
    <s v="Wood-Vinyl-Fiberglass:Double:low-e"/>
    <x v="0"/>
    <x v="0"/>
    <n v="1"/>
    <x v="1"/>
  </r>
  <r>
    <x v="385"/>
    <n v="12377"/>
    <s v="Primary"/>
    <n v="163"/>
    <s v="yes"/>
    <s v="Wood-Vinyl-Fiberglass:Single"/>
    <x v="2"/>
    <x v="2"/>
    <n v="1"/>
    <x v="3"/>
  </r>
  <r>
    <x v="386"/>
    <n v="12398"/>
    <s v="Primary"/>
    <n v="417"/>
    <s v="no"/>
    <s v="Wood-Vinyl-Fiberglass:Single"/>
    <x v="7"/>
    <x v="2"/>
    <n v="1"/>
    <x v="0"/>
  </r>
  <r>
    <x v="387"/>
    <n v="12399"/>
    <s v="Primary"/>
    <n v="152"/>
    <s v="no"/>
    <s v="Wood-Vinyl-Fiberglass:Double:low-e"/>
    <x v="0"/>
    <x v="0"/>
    <n v="1"/>
    <x v="0"/>
  </r>
  <r>
    <x v="388"/>
    <n v="12404"/>
    <s v="Primary"/>
    <n v="241"/>
    <s v="no"/>
    <s v="Wood-Vinyl-Fiberglass:Double:low-e"/>
    <x v="0"/>
    <x v="0"/>
    <n v="1"/>
    <x v="5"/>
  </r>
  <r>
    <x v="389"/>
    <n v="12407"/>
    <s v="Primary"/>
    <n v="388"/>
    <s v="no"/>
    <s v="Wood-Vinyl-Fiberglass:Double:low-e"/>
    <x v="1"/>
    <x v="0"/>
    <n v="1"/>
    <x v="4"/>
  </r>
  <r>
    <x v="390"/>
    <n v="12408"/>
    <s v="Primary"/>
    <n v="340"/>
    <s v="no"/>
    <s v="Metal:Double"/>
    <x v="5"/>
    <x v="1"/>
    <n v="1"/>
    <x v="2"/>
  </r>
  <r>
    <x v="391"/>
    <n v="12414"/>
    <s v="Primary"/>
    <n v="109"/>
    <s v="no"/>
    <s v="Wood-Vinyl-Fiberglass:Double:low-e"/>
    <x v="0"/>
    <x v="0"/>
    <n v="1"/>
    <x v="0"/>
  </r>
  <r>
    <x v="392"/>
    <n v="12427"/>
    <s v="Primary"/>
    <n v="263"/>
    <s v="no"/>
    <s v="Wood-Vinyl-Fiberglass:Single"/>
    <x v="7"/>
    <x v="2"/>
    <n v="1"/>
    <x v="0"/>
  </r>
  <r>
    <x v="393"/>
    <n v="12434"/>
    <s v="Primary"/>
    <n v="177"/>
    <s v="no"/>
    <s v="Wood-Vinyl-Fiberglass:Double:low-e"/>
    <x v="1"/>
    <x v="0"/>
    <n v="1"/>
    <x v="3"/>
  </r>
  <r>
    <x v="394"/>
    <n v="12456"/>
    <s v="Primary"/>
    <n v="124"/>
    <s v="no"/>
    <s v="Metal:Double"/>
    <x v="5"/>
    <x v="1"/>
    <n v="1"/>
    <x v="5"/>
  </r>
  <r>
    <x v="395"/>
    <n v="12458"/>
    <s v="Primary"/>
    <n v="404"/>
    <s v="no"/>
    <s v="Wood-Vinyl-Fiberglass:Double:low-e"/>
    <x v="1"/>
    <x v="0"/>
    <n v="1"/>
    <x v="1"/>
  </r>
  <r>
    <x v="396"/>
    <n v="12460"/>
    <s v="Primary"/>
    <n v="172"/>
    <s v="no"/>
    <s v="Wood-Vinyl-Fiberglass:Double:low-e"/>
    <x v="1"/>
    <x v="0"/>
    <n v="1"/>
    <x v="4"/>
  </r>
  <r>
    <x v="397"/>
    <n v="12478"/>
    <s v="Primary"/>
    <n v="206"/>
    <s v="no"/>
    <s v="Wood-Vinyl-Fiberglass:Double"/>
    <x v="6"/>
    <x v="0"/>
    <n v="1"/>
    <x v="4"/>
  </r>
  <r>
    <x v="398"/>
    <n v="12482"/>
    <s v="Primary"/>
    <n v="424"/>
    <s v="no"/>
    <s v="Wood-Vinyl-Fiberglass:Double:low-e"/>
    <x v="1"/>
    <x v="0"/>
    <n v="1"/>
    <x v="2"/>
  </r>
  <r>
    <x v="399"/>
    <n v="12483"/>
    <s v="Primary"/>
    <n v="205"/>
    <s v="no"/>
    <s v="Wood-Vinyl-Fiberglass:Double"/>
    <x v="0"/>
    <x v="0"/>
    <n v="1"/>
    <x v="1"/>
  </r>
  <r>
    <x v="400"/>
    <n v="12486"/>
    <s v="Primary"/>
    <n v="284"/>
    <s v="yes"/>
    <s v="Metal:Double"/>
    <x v="9"/>
    <x v="1"/>
    <n v="1"/>
    <x v="2"/>
  </r>
  <r>
    <x v="401"/>
    <n v="12489"/>
    <s v="Primary"/>
    <n v="246"/>
    <s v="no"/>
    <s v="Wood-Vinyl-Fiberglass:Double"/>
    <x v="6"/>
    <x v="0"/>
    <n v="1"/>
    <x v="2"/>
  </r>
  <r>
    <x v="402"/>
    <n v="12494"/>
    <s v="Primary"/>
    <n v="319"/>
    <s v="no"/>
    <s v="Wood-Vinyl-Fiberglass:Single:low-e"/>
    <x v="12"/>
    <x v="2"/>
    <n v="1"/>
    <x v="0"/>
  </r>
  <r>
    <x v="403"/>
    <n v="12496"/>
    <s v="Primary"/>
    <n v="260"/>
    <s v="no"/>
    <s v="Metal:Single"/>
    <x v="8"/>
    <x v="3"/>
    <n v="1"/>
    <x v="4"/>
  </r>
  <r>
    <x v="404"/>
    <n v="12499"/>
    <s v="Primary"/>
    <n v="167"/>
    <s v="yes"/>
    <s v="Wood-Vinyl-Fiberglass:Single"/>
    <x v="2"/>
    <x v="2"/>
    <n v="1"/>
    <x v="3"/>
  </r>
  <r>
    <x v="405"/>
    <n v="12504"/>
    <s v="Primary"/>
    <n v="180"/>
    <s v="no"/>
    <s v="Wood-Vinyl-Fiberglass:Double"/>
    <x v="6"/>
    <x v="0"/>
    <n v="1"/>
    <x v="0"/>
  </r>
  <r>
    <x v="406"/>
    <n v="12505"/>
    <s v="Primary"/>
    <n v="119"/>
    <s v="no"/>
    <s v="Wood-Vinyl-Fiberglass:Double:low-e"/>
    <x v="0"/>
    <x v="0"/>
    <n v="1"/>
    <x v="5"/>
  </r>
  <r>
    <x v="407"/>
    <n v="12507"/>
    <s v="Primary"/>
    <n v="229"/>
    <s v="no"/>
    <s v="Wood-Vinyl-Fiberglass:Double:low-e"/>
    <x v="1"/>
    <x v="0"/>
    <n v="1"/>
    <x v="0"/>
  </r>
  <r>
    <x v="408"/>
    <n v="12510"/>
    <s v="Primary"/>
    <n v="257"/>
    <s v="no"/>
    <s v="Wood-Vinyl-Fiberglass:Double:low-e"/>
    <x v="1"/>
    <x v="0"/>
    <n v="1"/>
    <x v="5"/>
  </r>
  <r>
    <x v="409"/>
    <n v="12514"/>
    <s v="Primary"/>
    <n v="125"/>
    <s v="no"/>
    <s v="Wood-Vinyl-Fiberglass:Single:low-e"/>
    <x v="12"/>
    <x v="2"/>
    <n v="1"/>
    <x v="0"/>
  </r>
  <r>
    <x v="410"/>
    <n v="12524"/>
    <s v="Primary"/>
    <n v="187"/>
    <s v="no"/>
    <s v="Metal:Double:low-e"/>
    <x v="2"/>
    <x v="1"/>
    <n v="1"/>
    <x v="5"/>
  </r>
  <r>
    <x v="411"/>
    <n v="12556"/>
    <s v="Primary"/>
    <n v="250"/>
    <s v="no"/>
    <s v="Wood-Vinyl-Fiberglass:Double:low-e"/>
    <x v="1"/>
    <x v="0"/>
    <n v="1"/>
    <x v="2"/>
  </r>
  <r>
    <x v="412"/>
    <n v="12561"/>
    <s v="Primary"/>
    <n v="232"/>
    <s v="no"/>
    <s v="Wood-Vinyl-Fiberglass:Double:low-e"/>
    <x v="0"/>
    <x v="0"/>
    <n v="1"/>
    <x v="2"/>
  </r>
  <r>
    <x v="413"/>
    <n v="12564"/>
    <s v="Primary"/>
    <n v="116"/>
    <s v="yes"/>
    <s v="Wood-Vinyl-Fiberglass:Double:low-e"/>
    <x v="4"/>
    <x v="0"/>
    <n v="1"/>
    <x v="5"/>
  </r>
  <r>
    <x v="414"/>
    <n v="12569"/>
    <s v="Primary"/>
    <n v="107"/>
    <s v="yes"/>
    <s v="Wood-Vinyl-Fiberglass:Double:low-e"/>
    <x v="4"/>
    <x v="0"/>
    <n v="1"/>
    <x v="5"/>
  </r>
  <r>
    <x v="415"/>
    <n v="12572"/>
    <s v="Primary"/>
    <n v="159"/>
    <s v="no"/>
    <s v="Wood-Vinyl-Fiberglass:Double:low-e"/>
    <x v="0"/>
    <x v="0"/>
    <n v="1"/>
    <x v="3"/>
  </r>
  <r>
    <x v="416"/>
    <n v="12582"/>
    <s v="Primary"/>
    <n v="205"/>
    <s v="no"/>
    <s v="Metal:Single:low-e"/>
    <x v="7"/>
    <x v="3"/>
    <n v="1"/>
    <x v="5"/>
  </r>
  <r>
    <x v="417"/>
    <n v="12600"/>
    <s v="Primary"/>
    <n v="147"/>
    <s v="no"/>
    <s v="Wood-Vinyl-Fiberglass:Double"/>
    <x v="6"/>
    <x v="0"/>
    <n v="1"/>
    <x v="0"/>
  </r>
  <r>
    <x v="418"/>
    <n v="12614"/>
    <s v="Primary"/>
    <n v="284"/>
    <s v="no"/>
    <s v="Wood-Vinyl-Fiberglass:Double:low-e"/>
    <x v="0"/>
    <x v="0"/>
    <n v="1"/>
    <x v="0"/>
  </r>
  <r>
    <x v="419"/>
    <n v="12620"/>
    <s v="Primary"/>
    <n v="822"/>
    <s v="no"/>
    <s v="Wood-Vinyl-Fiberglass:Single:low-e"/>
    <x v="12"/>
    <x v="2"/>
    <n v="1"/>
    <x v="5"/>
  </r>
  <r>
    <x v="420"/>
    <n v="12621"/>
    <s v="Primary"/>
    <n v="179"/>
    <s v="no"/>
    <s v="Wood-Vinyl-Fiberglass:Double"/>
    <x v="6"/>
    <x v="0"/>
    <n v="1"/>
    <x v="5"/>
  </r>
  <r>
    <x v="421"/>
    <n v="12630"/>
    <s v="Primary"/>
    <n v="123"/>
    <s v="yes"/>
    <s v="Wood-Vinyl-Fiberglass:Double:low-e"/>
    <x v="4"/>
    <x v="0"/>
    <n v="1"/>
    <x v="5"/>
  </r>
  <r>
    <x v="422"/>
    <n v="12640"/>
    <s v="Primary"/>
    <n v="115"/>
    <s v="yes"/>
    <s v="Metal:Single"/>
    <x v="5"/>
    <x v="3"/>
    <n v="1"/>
    <x v="4"/>
  </r>
  <r>
    <x v="423"/>
    <n v="12643"/>
    <s v="Primary"/>
    <n v="424"/>
    <s v="no"/>
    <s v="Wood-Vinyl-Fiberglass:Double:low-e"/>
    <x v="0"/>
    <x v="0"/>
    <n v="1"/>
    <x v="3"/>
  </r>
  <r>
    <x v="424"/>
    <n v="12648"/>
    <s v="Primary"/>
    <n v="303"/>
    <s v="yes"/>
    <s v="Wood-Vinyl-Fiberglass:Double:low-e"/>
    <x v="4"/>
    <x v="0"/>
    <n v="1"/>
    <x v="2"/>
  </r>
  <r>
    <x v="425"/>
    <n v="12656"/>
    <s v="Primary"/>
    <n v="121"/>
    <s v="no"/>
    <s v="Wood-Vinyl-Fiberglass:Double:low-e"/>
    <x v="1"/>
    <x v="0"/>
    <n v="1"/>
    <x v="5"/>
  </r>
  <r>
    <x v="426"/>
    <n v="12657"/>
    <s v="Primary"/>
    <n v="160"/>
    <s v="no"/>
    <s v="Metal:Double"/>
    <x v="5"/>
    <x v="1"/>
    <n v="1"/>
    <x v="0"/>
  </r>
  <r>
    <x v="427"/>
    <n v="12661"/>
    <s v="Primary"/>
    <n v="177"/>
    <s v="no"/>
    <s v="Metal:Double"/>
    <x v="10"/>
    <x v="1"/>
    <n v="1"/>
    <x v="5"/>
  </r>
  <r>
    <x v="428"/>
    <n v="12669"/>
    <s v="Primary"/>
    <n v="249"/>
    <s v="yes"/>
    <s v="Wood-Vinyl-Fiberglass:Double"/>
    <x v="3"/>
    <x v="0"/>
    <n v="1"/>
    <x v="2"/>
  </r>
  <r>
    <x v="429"/>
    <n v="12670"/>
    <s v="Primary"/>
    <n v="190"/>
    <s v="no"/>
    <s v="Wood-Vinyl-Fiberglass:Single:low-e"/>
    <x v="12"/>
    <x v="2"/>
    <n v="1"/>
    <x v="0"/>
  </r>
  <r>
    <x v="430"/>
    <n v="12675"/>
    <s v="Primary"/>
    <n v="127"/>
    <s v="yes"/>
    <s v="Metal:Single"/>
    <x v="5"/>
    <x v="3"/>
    <n v="1"/>
    <x v="6"/>
  </r>
  <r>
    <x v="431"/>
    <n v="12678"/>
    <s v="Primary"/>
    <n v="178"/>
    <s v="yes"/>
    <s v="Wood-Vinyl-Fiberglass:Double:low-e"/>
    <x v="4"/>
    <x v="0"/>
    <n v="1"/>
    <x v="5"/>
  </r>
  <r>
    <x v="432"/>
    <n v="12679"/>
    <s v="Primary"/>
    <n v="174"/>
    <s v="no"/>
    <s v="Wood-Vinyl-Fiberglass:Double"/>
    <x v="0"/>
    <x v="0"/>
    <n v="1"/>
    <x v="0"/>
  </r>
  <r>
    <x v="433"/>
    <n v="12690"/>
    <s v="Primary"/>
    <n v="528"/>
    <s v="no"/>
    <s v="Metal:Double"/>
    <x v="9"/>
    <x v="1"/>
    <n v="1"/>
    <x v="2"/>
  </r>
  <r>
    <x v="434"/>
    <n v="12693"/>
    <s v="Primary"/>
    <n v="171"/>
    <s v="no"/>
    <s v="Wood-Vinyl-Fiberglass:Triple:low-e"/>
    <x v="11"/>
    <x v="4"/>
    <n v="1"/>
    <x v="2"/>
  </r>
  <r>
    <x v="435"/>
    <n v="12724"/>
    <s v="Primary"/>
    <n v="512"/>
    <s v="yes"/>
    <s v="Metal:Double"/>
    <x v="9"/>
    <x v="1"/>
    <n v="1"/>
    <x v="5"/>
  </r>
  <r>
    <x v="436"/>
    <n v="12730"/>
    <s v="Primary"/>
    <n v="60"/>
    <s v="no"/>
    <s v="Wood-Vinyl-Fiberglass:Double:low-e"/>
    <x v="1"/>
    <x v="0"/>
    <n v="1"/>
    <x v="4"/>
  </r>
  <r>
    <x v="437"/>
    <n v="12737"/>
    <s v="Primary"/>
    <n v="167"/>
    <s v="no"/>
    <s v="Wood-Vinyl-Fiberglass:Double:low-e"/>
    <x v="1"/>
    <x v="0"/>
    <n v="1"/>
    <x v="3"/>
  </r>
  <r>
    <x v="438"/>
    <n v="12738"/>
    <s v="Primary"/>
    <n v="206"/>
    <s v="no"/>
    <s v="Wood-Vinyl-Fiberglass:Double"/>
    <x v="6"/>
    <x v="0"/>
    <n v="1"/>
    <x v="6"/>
  </r>
  <r>
    <x v="439"/>
    <n v="12739"/>
    <s v="Primary"/>
    <n v="206"/>
    <s v="no"/>
    <s v="Wood-Vinyl-Fiberglass:Double:low-e"/>
    <x v="0"/>
    <x v="0"/>
    <n v="1"/>
    <x v="1"/>
  </r>
  <r>
    <x v="440"/>
    <n v="12743"/>
    <s v="Primary"/>
    <n v="221"/>
    <s v="no"/>
    <s v="Wood-Vinyl-Fiberglass:Double:low-e"/>
    <x v="1"/>
    <x v="0"/>
    <n v="1"/>
    <x v="2"/>
  </r>
  <r>
    <x v="441"/>
    <n v="12745"/>
    <s v="Primary"/>
    <n v="102"/>
    <s v="no"/>
    <s v="Wood-Vinyl-Fiberglass:Double"/>
    <x v="6"/>
    <x v="0"/>
    <n v="1"/>
    <x v="0"/>
  </r>
  <r>
    <x v="442"/>
    <n v="12753"/>
    <s v="Primary"/>
    <n v="360"/>
    <s v="no"/>
    <s v="Wood-Vinyl-Fiberglass:Double"/>
    <x v="6"/>
    <x v="0"/>
    <n v="1"/>
    <x v="0"/>
  </r>
  <r>
    <x v="443"/>
    <n v="12755"/>
    <s v="Primary"/>
    <n v="273"/>
    <s v="yes"/>
    <s v="Wood-Vinyl-Fiberglass:Double:low-e"/>
    <x v="4"/>
    <x v="0"/>
    <n v="1"/>
    <x v="2"/>
  </r>
  <r>
    <x v="444"/>
    <n v="12759"/>
    <s v="Primary"/>
    <n v="432"/>
    <s v="no"/>
    <s v="Wood-Vinyl-Fiberglass:Double"/>
    <x v="6"/>
    <x v="0"/>
    <n v="1"/>
    <x v="5"/>
  </r>
  <r>
    <x v="445"/>
    <n v="12771"/>
    <s v="Primary"/>
    <n v="209"/>
    <s v="no"/>
    <s v="Wood-Vinyl-Fiberglass:Double"/>
    <x v="6"/>
    <x v="0"/>
    <n v="1"/>
    <x v="6"/>
  </r>
  <r>
    <x v="446"/>
    <n v="12773"/>
    <s v="Primary"/>
    <n v="191"/>
    <s v="no"/>
    <s v="Wood-Vinyl-Fiberglass:Double:low-e"/>
    <x v="0"/>
    <x v="0"/>
    <n v="1"/>
    <x v="2"/>
  </r>
  <r>
    <x v="447"/>
    <n v="12777"/>
    <s v="Primary"/>
    <n v="195"/>
    <s v="no"/>
    <s v="Wood-Vinyl-Fiberglass:Double:low-e"/>
    <x v="1"/>
    <x v="0"/>
    <n v="1"/>
    <x v="1"/>
  </r>
  <r>
    <x v="448"/>
    <n v="12782"/>
    <s v="Primary"/>
    <n v="136"/>
    <s v="no"/>
    <s v="Wood-Vinyl-Fiberglass:Double"/>
    <x v="6"/>
    <x v="0"/>
    <n v="1"/>
    <x v="0"/>
  </r>
  <r>
    <x v="449"/>
    <n v="12814"/>
    <s v="Primary"/>
    <n v="204"/>
    <s v="no"/>
    <s v="Wood-Vinyl-Fiberglass:Double:low-e"/>
    <x v="0"/>
    <x v="0"/>
    <n v="1"/>
    <x v="0"/>
  </r>
  <r>
    <x v="450"/>
    <n v="12818"/>
    <s v="Primary"/>
    <n v="123"/>
    <s v="yes"/>
    <s v="Wood-Vinyl-Fiberglass:Single"/>
    <x v="2"/>
    <x v="2"/>
    <n v="1"/>
    <x v="0"/>
  </r>
  <r>
    <x v="451"/>
    <n v="12825"/>
    <s v="Primary"/>
    <n v="139"/>
    <s v="no"/>
    <s v="Wood-Vinyl-Fiberglass:Double"/>
    <x v="6"/>
    <x v="0"/>
    <n v="1"/>
    <x v="0"/>
  </r>
  <r>
    <x v="452"/>
    <n v="12833"/>
    <s v="Primary"/>
    <n v="255"/>
    <s v="no"/>
    <s v="Wood-Vinyl-Fiberglass:Double:low-e"/>
    <x v="1"/>
    <x v="0"/>
    <n v="1"/>
    <x v="5"/>
  </r>
  <r>
    <x v="453"/>
    <n v="12845"/>
    <s v="Primary"/>
    <n v="212"/>
    <s v="no"/>
    <s v="Metal:Single"/>
    <x v="8"/>
    <x v="3"/>
    <n v="1"/>
    <x v="6"/>
  </r>
  <r>
    <x v="454"/>
    <n v="12853"/>
    <s v="Primary"/>
    <n v="307"/>
    <s v="no"/>
    <s v="Wood-Vinyl-Fiberglass:Double:low-e"/>
    <x v="0"/>
    <x v="0"/>
    <n v="1"/>
    <x v="1"/>
  </r>
  <r>
    <x v="455"/>
    <n v="12856"/>
    <s v="Primary"/>
    <n v="135"/>
    <s v="no"/>
    <s v="Wood-Vinyl-Fiberglass:Double"/>
    <x v="6"/>
    <x v="0"/>
    <n v="1"/>
    <x v="2"/>
  </r>
  <r>
    <x v="456"/>
    <n v="12889"/>
    <s v="Primary"/>
    <n v="310"/>
    <s v="no"/>
    <s v="Wood-Vinyl-Fiberglass:Double"/>
    <x v="0"/>
    <x v="0"/>
    <n v="1"/>
    <x v="2"/>
  </r>
  <r>
    <x v="457"/>
    <n v="12895"/>
    <s v="Primary"/>
    <n v="413"/>
    <s v="no"/>
    <s v="Wood-Vinyl-Fiberglass:Double:low-e"/>
    <x v="0"/>
    <x v="0"/>
    <n v="1"/>
    <x v="2"/>
  </r>
  <r>
    <x v="458"/>
    <n v="12897"/>
    <s v="Primary"/>
    <n v="45"/>
    <s v="no"/>
    <s v="Wood-Vinyl-Fiberglass:Double:low-e"/>
    <x v="0"/>
    <x v="0"/>
    <n v="1"/>
    <x v="0"/>
  </r>
  <r>
    <x v="459"/>
    <n v="12898"/>
    <s v="Primary"/>
    <n v="256"/>
    <s v="no"/>
    <s v="Metal:Double"/>
    <x v="9"/>
    <x v="1"/>
    <n v="1"/>
    <x v="2"/>
  </r>
  <r>
    <x v="460"/>
    <n v="12902"/>
    <s v="Primary"/>
    <n v="312"/>
    <s v="yes"/>
    <s v="Wood-Vinyl-Fiberglass:Single"/>
    <x v="2"/>
    <x v="2"/>
    <n v="1"/>
    <x v="0"/>
  </r>
  <r>
    <x v="461"/>
    <n v="12906"/>
    <s v="Primary"/>
    <n v="252"/>
    <s v="no"/>
    <s v="Metal:Double:low-e"/>
    <x v="2"/>
    <x v="1"/>
    <n v="1"/>
    <x v="2"/>
  </r>
  <r>
    <x v="462"/>
    <n v="12908"/>
    <s v="Primary"/>
    <n v="155"/>
    <s v="no"/>
    <s v="Wood-Vinyl-Fiberglass:Single"/>
    <x v="7"/>
    <x v="2"/>
    <n v="1"/>
    <x v="0"/>
  </r>
  <r>
    <x v="463"/>
    <n v="12939"/>
    <s v="Primary"/>
    <n v="245"/>
    <s v="yes"/>
    <s v="Wood-Vinyl-Fiberglass:Double:low-e"/>
    <x v="4"/>
    <x v="0"/>
    <n v="1"/>
    <x v="5"/>
  </r>
  <r>
    <x v="464"/>
    <n v="12944"/>
    <s v="Primary"/>
    <n v="434"/>
    <s v="no"/>
    <s v="Metal:Single"/>
    <x v="8"/>
    <x v="3"/>
    <n v="1"/>
    <x v="2"/>
  </r>
  <r>
    <x v="465"/>
    <n v="12955"/>
    <s v="Primary"/>
    <n v="179"/>
    <s v="no"/>
    <s v="Wood-Vinyl-Fiberglass:Double:low-e"/>
    <x v="1"/>
    <x v="0"/>
    <n v="1"/>
    <x v="0"/>
  </r>
  <r>
    <x v="466"/>
    <n v="12956"/>
    <s v="Primary"/>
    <n v="270"/>
    <s v="no"/>
    <s v="Wood-Vinyl-Fiberglass:Double:low-e"/>
    <x v="1"/>
    <x v="0"/>
    <n v="1"/>
    <x v="5"/>
  </r>
  <r>
    <x v="467"/>
    <n v="12975"/>
    <s v="Primary"/>
    <n v="148"/>
    <s v="no"/>
    <s v="Wood-Vinyl-Fiberglass:Double:low-e"/>
    <x v="1"/>
    <x v="0"/>
    <n v="1"/>
    <x v="3"/>
  </r>
  <r>
    <x v="468"/>
    <n v="12977"/>
    <s v="Primary"/>
    <n v="326"/>
    <s v="no"/>
    <s v="Metal:Double"/>
    <x v="5"/>
    <x v="1"/>
    <n v="1"/>
    <x v="2"/>
  </r>
  <r>
    <x v="469"/>
    <n v="12992"/>
    <s v="Primary"/>
    <n v="305"/>
    <s v="no"/>
    <s v="Wood-Vinyl-Fiberglass:Double:low-e"/>
    <x v="0"/>
    <x v="0"/>
    <n v="1"/>
    <x v="2"/>
  </r>
  <r>
    <x v="470"/>
    <n v="12994"/>
    <s v="Primary"/>
    <n v="659"/>
    <s v="yes"/>
    <s v="Wood-Vinyl-Fiberglass:Single"/>
    <x v="2"/>
    <x v="2"/>
    <n v="1"/>
    <x v="3"/>
  </r>
  <r>
    <x v="471"/>
    <n v="13004"/>
    <s v="Primary"/>
    <n v="142"/>
    <s v="no"/>
    <s v="Wood-Vinyl-Fiberglass:Double"/>
    <x v="0"/>
    <x v="0"/>
    <n v="1"/>
    <x v="6"/>
  </r>
  <r>
    <x v="472"/>
    <n v="13011"/>
    <s v="Primary"/>
    <n v="169"/>
    <s v="no"/>
    <s v="Wood-Vinyl-Fiberglass:Double:low-e"/>
    <x v="0"/>
    <x v="0"/>
    <n v="1"/>
    <x v="1"/>
  </r>
  <r>
    <x v="473"/>
    <n v="13017"/>
    <s v="Primary"/>
    <n v="411"/>
    <s v="no"/>
    <s v="Wood-Vinyl-Fiberglass:Double"/>
    <x v="0"/>
    <x v="0"/>
    <n v="1"/>
    <x v="5"/>
  </r>
  <r>
    <x v="474"/>
    <n v="13019"/>
    <s v="Primary"/>
    <n v="359"/>
    <s v="no"/>
    <s v="Wood-Vinyl-Fiberglass:Triple:low-e"/>
    <x v="11"/>
    <x v="4"/>
    <n v="1"/>
    <x v="3"/>
  </r>
  <r>
    <x v="475"/>
    <n v="13023"/>
    <s v="Primary"/>
    <n v="180"/>
    <s v="no"/>
    <s v="Metal:Single"/>
    <x v="8"/>
    <x v="3"/>
    <n v="1"/>
    <x v="5"/>
  </r>
  <r>
    <x v="476"/>
    <n v="13041"/>
    <s v="Primary"/>
    <n v="345"/>
    <s v="no"/>
    <s v="Wood-Vinyl-Fiberglass:Double"/>
    <x v="6"/>
    <x v="0"/>
    <n v="1"/>
    <x v="2"/>
  </r>
  <r>
    <x v="477"/>
    <n v="13046"/>
    <s v="Primary"/>
    <n v="214"/>
    <s v="no"/>
    <s v="Wood-Vinyl-Fiberglass:Single"/>
    <x v="7"/>
    <x v="2"/>
    <n v="1"/>
    <x v="6"/>
  </r>
  <r>
    <x v="478"/>
    <n v="13051"/>
    <s v="Primary"/>
    <n v="53"/>
    <s v="no"/>
    <s v="Wood-Vinyl-Fiberglass:Double"/>
    <x v="6"/>
    <x v="0"/>
    <n v="1"/>
    <x v="2"/>
  </r>
  <r>
    <x v="479"/>
    <n v="13055"/>
    <s v="Primary"/>
    <n v="281"/>
    <s v="no"/>
    <s v="Wood-Vinyl-Fiberglass:Double:low-e"/>
    <x v="1"/>
    <x v="0"/>
    <n v="1"/>
    <x v="2"/>
  </r>
  <r>
    <x v="480"/>
    <n v="13094"/>
    <s v="Primary"/>
    <n v="344"/>
    <s v="no"/>
    <s v="Wood-Vinyl-Fiberglass:Double:low-e"/>
    <x v="1"/>
    <x v="0"/>
    <n v="1"/>
    <x v="2"/>
  </r>
  <r>
    <x v="481"/>
    <n v="13113"/>
    <s v="Primary"/>
    <n v="85"/>
    <s v="no"/>
    <s v="Metal:Double"/>
    <x v="5"/>
    <x v="1"/>
    <n v="1"/>
    <x v="6"/>
  </r>
  <r>
    <x v="482"/>
    <n v="13127"/>
    <s v="Primary"/>
    <n v="183"/>
    <s v="no"/>
    <s v="Wood-Vinyl-Fiberglass:Double"/>
    <x v="0"/>
    <x v="0"/>
    <n v="1"/>
    <x v="2"/>
  </r>
  <r>
    <x v="483"/>
    <n v="13129"/>
    <s v="Primary"/>
    <n v="313"/>
    <s v="no"/>
    <s v="Metal:Double"/>
    <x v="5"/>
    <x v="1"/>
    <n v="1"/>
    <x v="2"/>
  </r>
  <r>
    <x v="484"/>
    <n v="13131"/>
    <s v="Primary"/>
    <n v="188"/>
    <s v="no"/>
    <s v="Wood-Vinyl-Fiberglass:Double"/>
    <x v="0"/>
    <x v="0"/>
    <n v="1"/>
    <x v="6"/>
  </r>
  <r>
    <x v="485"/>
    <n v="13141"/>
    <s v="Primary"/>
    <n v="379"/>
    <s v="no"/>
    <s v="Wood-Vinyl-Fiberglass:Double:low-e"/>
    <x v="0"/>
    <x v="0"/>
    <n v="1"/>
    <x v="2"/>
  </r>
  <r>
    <x v="486"/>
    <n v="13154"/>
    <s v="Primary"/>
    <n v="172"/>
    <s v="yes"/>
    <s v="Wood-Vinyl-Fiberglass:Double:low-e"/>
    <x v="4"/>
    <x v="0"/>
    <n v="1"/>
    <x v="2"/>
  </r>
  <r>
    <x v="487"/>
    <n v="13165"/>
    <s v="Primary"/>
    <n v="351"/>
    <s v="no"/>
    <s v="Wood-Vinyl-Fiberglass:Double:low-e"/>
    <x v="0"/>
    <x v="0"/>
    <n v="1"/>
    <x v="2"/>
  </r>
  <r>
    <x v="488"/>
    <n v="13166"/>
    <s v="Primary"/>
    <n v="94"/>
    <s v="no"/>
    <s v="Wood-Vinyl-Fiberglass:Double:low-e"/>
    <x v="0"/>
    <x v="0"/>
    <n v="1"/>
    <x v="0"/>
  </r>
  <r>
    <x v="489"/>
    <n v="13169"/>
    <s v="Primary"/>
    <n v="520"/>
    <s v="no"/>
    <s v="Metal:Double"/>
    <x v="5"/>
    <x v="1"/>
    <n v="1"/>
    <x v="4"/>
  </r>
  <r>
    <x v="490"/>
    <n v="13188"/>
    <s v="Primary"/>
    <n v="195"/>
    <s v="no"/>
    <s v="Wood-Vinyl-Fiberglass:Single"/>
    <x v="7"/>
    <x v="2"/>
    <n v="1"/>
    <x v="0"/>
  </r>
  <r>
    <x v="491"/>
    <n v="13191"/>
    <s v="Primary"/>
    <n v="126"/>
    <s v="no"/>
    <s v="Wood-Vinyl-Fiberglass:Double"/>
    <x v="6"/>
    <x v="0"/>
    <n v="1"/>
    <x v="0"/>
  </r>
  <r>
    <x v="492"/>
    <n v="13222"/>
    <s v="Primary"/>
    <n v="226"/>
    <s v="no"/>
    <s v="Wood-Vinyl-Fiberglass:Double"/>
    <x v="0"/>
    <x v="0"/>
    <n v="1"/>
    <x v="5"/>
  </r>
  <r>
    <x v="493"/>
    <n v="13232"/>
    <s v="Primary"/>
    <n v="226"/>
    <s v="no"/>
    <s v="Wood-Vinyl-Fiberglass:Single"/>
    <x v="7"/>
    <x v="2"/>
    <n v="1"/>
    <x v="5"/>
  </r>
  <r>
    <x v="494"/>
    <n v="13242"/>
    <s v="Primary"/>
    <n v="172"/>
    <s v="no"/>
    <s v="Wood-Vinyl-Fiberglass:Double"/>
    <x v="0"/>
    <x v="0"/>
    <n v="1"/>
    <x v="2"/>
  </r>
  <r>
    <x v="495"/>
    <n v="13246"/>
    <s v="Primary"/>
    <n v="281"/>
    <s v="no"/>
    <s v="Wood-Vinyl-Fiberglass:Double:low-e"/>
    <x v="1"/>
    <x v="0"/>
    <n v="1"/>
    <x v="5"/>
  </r>
  <r>
    <x v="496"/>
    <n v="13248"/>
    <s v="Primary"/>
    <n v="166"/>
    <s v="no"/>
    <s v="Wood-Vinyl-Fiberglass:Double:low-e"/>
    <x v="1"/>
    <x v="0"/>
    <n v="1"/>
    <x v="6"/>
  </r>
  <r>
    <x v="497"/>
    <n v="13250"/>
    <s v="Primary"/>
    <n v="139"/>
    <s v="no"/>
    <s v="Wood-Vinyl-Fiberglass:Double"/>
    <x v="0"/>
    <x v="0"/>
    <n v="1"/>
    <x v="5"/>
  </r>
  <r>
    <x v="498"/>
    <n v="13261"/>
    <s v="Primary"/>
    <n v="303"/>
    <s v="no"/>
    <s v="Wood-Vinyl-Fiberglass:Double"/>
    <x v="6"/>
    <x v="0"/>
    <n v="1"/>
    <x v="3"/>
  </r>
  <r>
    <x v="499"/>
    <n v="13265"/>
    <s v="Primary"/>
    <n v="141"/>
    <s v="yes"/>
    <s v="Wood-Vinyl-Fiberglass:Double:low-e"/>
    <x v="4"/>
    <x v="0"/>
    <n v="1"/>
    <x v="5"/>
  </r>
  <r>
    <x v="500"/>
    <n v="13273"/>
    <s v="Primary"/>
    <n v="131"/>
    <s v="no"/>
    <s v="Metal:Double"/>
    <x v="5"/>
    <x v="1"/>
    <n v="1"/>
    <x v="2"/>
  </r>
  <r>
    <x v="501"/>
    <n v="13275"/>
    <s v="Primary"/>
    <n v="132"/>
    <s v="no"/>
    <s v="Wood-Vinyl-Fiberglass:Double:low-e"/>
    <x v="0"/>
    <x v="0"/>
    <n v="1"/>
    <x v="5"/>
  </r>
  <r>
    <x v="502"/>
    <n v="13292"/>
    <s v="Primary"/>
    <n v="91"/>
    <s v="no"/>
    <s v="Wood-Vinyl-Fiberglass:Double:low-e"/>
    <x v="1"/>
    <x v="0"/>
    <n v="1"/>
    <x v="5"/>
  </r>
  <r>
    <x v="503"/>
    <n v="13293"/>
    <s v="Primary"/>
    <n v="146"/>
    <s v="no"/>
    <s v="Metal:Double"/>
    <x v="5"/>
    <x v="1"/>
    <n v="1"/>
    <x v="1"/>
  </r>
  <r>
    <x v="504"/>
    <n v="13303"/>
    <s v="Primary"/>
    <n v="153"/>
    <s v="no"/>
    <s v="Wood-Vinyl-Fiberglass:Double"/>
    <x v="6"/>
    <x v="0"/>
    <n v="1"/>
    <x v="5"/>
  </r>
  <r>
    <x v="505"/>
    <n v="13310"/>
    <s v="Primary"/>
    <n v="84"/>
    <s v="no"/>
    <s v="Wood-Vinyl-Fiberglass:Double"/>
    <x v="0"/>
    <x v="0"/>
    <n v="1"/>
    <x v="5"/>
  </r>
  <r>
    <x v="506"/>
    <n v="13315"/>
    <s v="Primary"/>
    <n v="133"/>
    <s v="yes"/>
    <s v="Wood-Vinyl-Fiberglass:Double"/>
    <x v="3"/>
    <x v="0"/>
    <n v="1"/>
    <x v="2"/>
  </r>
  <r>
    <x v="507"/>
    <n v="13319"/>
    <s v="Primary"/>
    <n v="209"/>
    <s v="no"/>
    <s v="Wood-Vinyl-Fiberglass:Double:low-e"/>
    <x v="1"/>
    <x v="0"/>
    <n v="1"/>
    <x v="4"/>
  </r>
  <r>
    <x v="508"/>
    <n v="13323"/>
    <s v="Primary"/>
    <n v="181"/>
    <s v="yes"/>
    <s v="Wood-Vinyl-Fiberglass:Double:low-e"/>
    <x v="4"/>
    <x v="0"/>
    <n v="1"/>
    <x v="0"/>
  </r>
  <r>
    <x v="509"/>
    <n v="13327"/>
    <s v="Primary"/>
    <n v="121"/>
    <s v="no"/>
    <s v="Wood-Vinyl-Fiberglass:Single"/>
    <x v="7"/>
    <x v="2"/>
    <n v="1"/>
    <x v="6"/>
  </r>
  <r>
    <x v="510"/>
    <n v="13328"/>
    <s v="Primary"/>
    <n v="115"/>
    <s v="no"/>
    <s v="Metal:Double"/>
    <x v="5"/>
    <x v="1"/>
    <n v="1"/>
    <x v="5"/>
  </r>
  <r>
    <x v="511"/>
    <n v="13336"/>
    <s v="Primary"/>
    <n v="210"/>
    <s v="no"/>
    <s v="Wood-Vinyl-Fiberglass:Double"/>
    <x v="0"/>
    <x v="0"/>
    <n v="1"/>
    <x v="3"/>
  </r>
  <r>
    <x v="512"/>
    <n v="13347"/>
    <s v="Primary"/>
    <n v="358"/>
    <s v="no"/>
    <s v="Metal:Double"/>
    <x v="5"/>
    <x v="1"/>
    <n v="1"/>
    <x v="5"/>
  </r>
  <r>
    <x v="513"/>
    <n v="13359"/>
    <s v="Primary"/>
    <n v="163"/>
    <s v="no"/>
    <s v="Wood-Vinyl-Fiberglass:Double:low-e"/>
    <x v="0"/>
    <x v="0"/>
    <n v="1"/>
    <x v="4"/>
  </r>
  <r>
    <x v="514"/>
    <n v="13365"/>
    <s v="Primary"/>
    <n v="208"/>
    <s v="no"/>
    <s v="Wood-Vinyl-Fiberglass:Double"/>
    <x v="6"/>
    <x v="0"/>
    <n v="1"/>
    <x v="2"/>
  </r>
  <r>
    <x v="515"/>
    <n v="13400"/>
    <s v="Primary"/>
    <n v="316"/>
    <s v="no"/>
    <s v="Wood-Vinyl-Fiberglass:Double:low-e"/>
    <x v="1"/>
    <x v="0"/>
    <n v="1"/>
    <x v="3"/>
  </r>
  <r>
    <x v="516"/>
    <n v="13401"/>
    <s v="Primary"/>
    <n v="182"/>
    <s v="no"/>
    <s v="Wood-Vinyl-Fiberglass:Double:low-e"/>
    <x v="0"/>
    <x v="0"/>
    <n v="1"/>
    <x v="2"/>
  </r>
  <r>
    <x v="517"/>
    <n v="13420"/>
    <s v="Primary"/>
    <n v="112"/>
    <s v="no"/>
    <s v="Wood-Vinyl-Fiberglass:Double"/>
    <x v="6"/>
    <x v="0"/>
    <n v="1"/>
    <x v="2"/>
  </r>
  <r>
    <x v="518"/>
    <n v="13426"/>
    <s v="Primary"/>
    <n v="345"/>
    <s v="no"/>
    <s v="Wood-Vinyl-Fiberglass:Single"/>
    <x v="7"/>
    <x v="2"/>
    <n v="1"/>
    <x v="1"/>
  </r>
  <r>
    <x v="519"/>
    <n v="13427"/>
    <s v="Primary"/>
    <n v="427"/>
    <s v="no"/>
    <s v="Wood-Vinyl-Fiberglass:Double:low-e"/>
    <x v="0"/>
    <x v="0"/>
    <n v="1"/>
    <x v="2"/>
  </r>
  <r>
    <x v="520"/>
    <n v="13435"/>
    <s v="Primary"/>
    <n v="171"/>
    <s v="no"/>
    <s v="Wood-Vinyl-Fiberglass:Double"/>
    <x v="6"/>
    <x v="0"/>
    <n v="1"/>
    <x v="6"/>
  </r>
  <r>
    <x v="521"/>
    <n v="13445"/>
    <s v="Primary"/>
    <n v="532"/>
    <s v="no"/>
    <s v="Wood-Vinyl-Fiberglass:Double:low-e"/>
    <x v="1"/>
    <x v="0"/>
    <n v="1"/>
    <x v="2"/>
  </r>
  <r>
    <x v="522"/>
    <n v="13451"/>
    <s v="Primary"/>
    <n v="144"/>
    <s v="no"/>
    <s v="Wood-Vinyl-Fiberglass:Double"/>
    <x v="6"/>
    <x v="0"/>
    <n v="1"/>
    <x v="4"/>
  </r>
  <r>
    <x v="523"/>
    <n v="13453"/>
    <s v="Primary"/>
    <n v="152"/>
    <s v="no"/>
    <s v="Wood-Vinyl-Fiberglass:Double:low-e"/>
    <x v="1"/>
    <x v="0"/>
    <n v="1"/>
    <x v="2"/>
  </r>
  <r>
    <x v="524"/>
    <n v="13455"/>
    <s v="Primary"/>
    <n v="199"/>
    <s v="yes"/>
    <s v="Wood-Vinyl-Fiberglass:Double:low-e"/>
    <x v="3"/>
    <x v="0"/>
    <n v="1"/>
    <x v="5"/>
  </r>
  <r>
    <x v="525"/>
    <n v="13462"/>
    <s v="Primary"/>
    <n v="86"/>
    <s v="no"/>
    <s v="Wood-Vinyl-Fiberglass:Single"/>
    <x v="7"/>
    <x v="2"/>
    <n v="1"/>
    <x v="6"/>
  </r>
  <r>
    <x v="526"/>
    <n v="13474"/>
    <s v="Primary"/>
    <n v="217"/>
    <s v="no"/>
    <s v="Metal:Double"/>
    <x v="5"/>
    <x v="1"/>
    <n v="1"/>
    <x v="0"/>
  </r>
  <r>
    <x v="527"/>
    <n v="13490"/>
    <s v="Primary"/>
    <n v="168"/>
    <s v="no"/>
    <s v="Wood-Vinyl-Fiberglass:Double"/>
    <x v="6"/>
    <x v="0"/>
    <n v="1"/>
    <x v="6"/>
  </r>
  <r>
    <x v="528"/>
    <n v="13494"/>
    <s v="Primary"/>
    <n v="218"/>
    <s v="no"/>
    <s v="Wood-Vinyl-Fiberglass:Double"/>
    <x v="6"/>
    <x v="0"/>
    <n v="1"/>
    <x v="5"/>
  </r>
  <r>
    <x v="529"/>
    <n v="13495"/>
    <s v="Primary"/>
    <n v="289"/>
    <s v="no"/>
    <s v="Wood-Vinyl-Fiberglass:Double"/>
    <x v="0"/>
    <x v="0"/>
    <n v="1"/>
    <x v="6"/>
  </r>
  <r>
    <x v="530"/>
    <n v="13505"/>
    <s v="Primary"/>
    <n v="151"/>
    <s v="no"/>
    <s v="Wood-Vinyl-Fiberglass:Double"/>
    <x v="0"/>
    <x v="0"/>
    <n v="1"/>
    <x v="6"/>
  </r>
  <r>
    <x v="531"/>
    <n v="13514"/>
    <s v="Primary"/>
    <n v="132"/>
    <s v="yes"/>
    <s v="Metal:Single"/>
    <x v="5"/>
    <x v="3"/>
    <n v="1"/>
    <x v="2"/>
  </r>
  <r>
    <x v="532"/>
    <n v="13554"/>
    <s v="Primary"/>
    <n v="364"/>
    <s v="no"/>
    <s v="Wood-Vinyl-Fiberglass:Double:low-e"/>
    <x v="1"/>
    <x v="0"/>
    <n v="1"/>
    <x v="2"/>
  </r>
  <r>
    <x v="533"/>
    <n v="13621"/>
    <s v="Primary"/>
    <n v="206"/>
    <s v="no"/>
    <s v="Wood-Vinyl-Fiberglass:Double"/>
    <x v="6"/>
    <x v="0"/>
    <n v="1"/>
    <x v="6"/>
  </r>
  <r>
    <x v="534"/>
    <n v="13643"/>
    <s v="Primary"/>
    <n v="251"/>
    <s v="yes"/>
    <s v="Wood-Vinyl-Fiberglass:Double:low-e"/>
    <x v="4"/>
    <x v="0"/>
    <n v="1"/>
    <x v="5"/>
  </r>
  <r>
    <x v="535"/>
    <n v="13655"/>
    <s v="Primary"/>
    <n v="277"/>
    <s v="no"/>
    <s v="Wood-Vinyl-Fiberglass:Triple"/>
    <x v="11"/>
    <x v="4"/>
    <n v="1"/>
    <x v="6"/>
  </r>
  <r>
    <x v="536"/>
    <n v="13656"/>
    <s v="Primary"/>
    <n v="193"/>
    <s v="no"/>
    <s v="Wood-Vinyl-Fiberglass:Double:low-e"/>
    <x v="1"/>
    <x v="0"/>
    <n v="1"/>
    <x v="0"/>
  </r>
  <r>
    <x v="537"/>
    <n v="13672"/>
    <s v="Primary"/>
    <n v="140"/>
    <s v="yes"/>
    <s v="Wood-Vinyl-Fiberglass:Single"/>
    <x v="2"/>
    <x v="2"/>
    <n v="1"/>
    <x v="1"/>
  </r>
  <r>
    <x v="538"/>
    <n v="13678"/>
    <s v="Primary"/>
    <n v="325"/>
    <s v="no"/>
    <s v="Metal:Double"/>
    <x v="10"/>
    <x v="1"/>
    <n v="1"/>
    <x v="5"/>
  </r>
  <r>
    <x v="539"/>
    <n v="13691"/>
    <s v="Primary"/>
    <n v="698"/>
    <s v="no"/>
    <s v="Wood-Vinyl-Fiberglass:Double"/>
    <x v="6"/>
    <x v="0"/>
    <n v="1"/>
    <x v="3"/>
  </r>
  <r>
    <x v="540"/>
    <n v="13713"/>
    <s v="Primary"/>
    <n v="286"/>
    <s v="no"/>
    <s v="Wood-Vinyl-Fiberglass:Double:low-e"/>
    <x v="0"/>
    <x v="0"/>
    <n v="1"/>
    <x v="4"/>
  </r>
  <r>
    <x v="541"/>
    <n v="13746"/>
    <s v="Primary"/>
    <n v="111"/>
    <s v="yes"/>
    <s v="Metal:Single"/>
    <x v="5"/>
    <x v="3"/>
    <n v="1"/>
    <x v="1"/>
  </r>
  <r>
    <x v="542"/>
    <n v="13752"/>
    <s v="Primary"/>
    <n v="317"/>
    <s v="no"/>
    <s v="Wood-Vinyl-Fiberglass:Double:low-e"/>
    <x v="0"/>
    <x v="0"/>
    <n v="1"/>
    <x v="5"/>
  </r>
  <r>
    <x v="543"/>
    <n v="13756"/>
    <s v="Primary"/>
    <n v="381"/>
    <s v="no"/>
    <s v="Wood-Vinyl-Fiberglass:Double:low-e"/>
    <x v="0"/>
    <x v="0"/>
    <n v="1"/>
    <x v="1"/>
  </r>
  <r>
    <x v="544"/>
    <n v="13785"/>
    <s v="Primary"/>
    <n v="625"/>
    <s v="no"/>
    <s v="Metal:Double:low-e"/>
    <x v="2"/>
    <x v="1"/>
    <n v="1"/>
    <x v="4"/>
  </r>
  <r>
    <x v="545"/>
    <n v="13803"/>
    <s v="Primary"/>
    <n v="232"/>
    <s v="no"/>
    <s v="Wood-Vinyl-Fiberglass:Double:low-e"/>
    <x v="0"/>
    <x v="0"/>
    <n v="1"/>
    <x v="5"/>
  </r>
  <r>
    <x v="546"/>
    <n v="13817"/>
    <s v="Primary"/>
    <n v="170"/>
    <s v="no"/>
    <s v="Wood-Vinyl-Fiberglass:Double:low-e"/>
    <x v="1"/>
    <x v="0"/>
    <n v="1"/>
    <x v="1"/>
  </r>
  <r>
    <x v="547"/>
    <n v="13829"/>
    <s v="Primary"/>
    <n v="206"/>
    <s v="no"/>
    <s v="Wood-Vinyl-Fiberglass:Double"/>
    <x v="6"/>
    <x v="0"/>
    <n v="1"/>
    <x v="6"/>
  </r>
  <r>
    <x v="548"/>
    <n v="13863"/>
    <s v="Primary"/>
    <n v="124"/>
    <s v="no"/>
    <s v="Metal:Double"/>
    <x v="5"/>
    <x v="1"/>
    <n v="1"/>
    <x v="6"/>
  </r>
  <r>
    <x v="549"/>
    <n v="13867"/>
    <s v="Primary"/>
    <n v="256"/>
    <s v="no"/>
    <s v="Wood-Vinyl-Fiberglass:Double"/>
    <x v="6"/>
    <x v="0"/>
    <n v="1"/>
    <x v="6"/>
  </r>
  <r>
    <x v="550"/>
    <n v="13871"/>
    <s v="Primary"/>
    <n v="287"/>
    <s v="no"/>
    <s v="Wood-Vinyl-Fiberglass:Double:low-e"/>
    <x v="0"/>
    <x v="0"/>
    <n v="1"/>
    <x v="4"/>
  </r>
  <r>
    <x v="551"/>
    <n v="13880"/>
    <s v="Primary"/>
    <n v="378"/>
    <s v="yes"/>
    <s v="Wood-Vinyl-Fiberglass:Double:low-e"/>
    <x v="4"/>
    <x v="0"/>
    <n v="1"/>
    <x v="2"/>
  </r>
  <r>
    <x v="552"/>
    <n v="13895"/>
    <s v="Primary"/>
    <n v="101"/>
    <s v="yes"/>
    <s v="Wood-Vinyl-Fiberglass:Double:low-e"/>
    <x v="4"/>
    <x v="0"/>
    <n v="1"/>
    <x v="0"/>
  </r>
  <r>
    <x v="553"/>
    <n v="13898"/>
    <s v="Primary"/>
    <n v="252"/>
    <s v="no"/>
    <s v="Metal:Double"/>
    <x v="5"/>
    <x v="1"/>
    <n v="1"/>
    <x v="1"/>
  </r>
  <r>
    <x v="554"/>
    <n v="13903"/>
    <s v="Primary"/>
    <n v="487"/>
    <s v="no"/>
    <s v="Metal:Double"/>
    <x v="5"/>
    <x v="1"/>
    <n v="1"/>
    <x v="3"/>
  </r>
  <r>
    <x v="555"/>
    <n v="13912"/>
    <s v="Primary"/>
    <n v="167"/>
    <s v="no"/>
    <s v="Wood-Vinyl-Fiberglass:Double:low-e"/>
    <x v="1"/>
    <x v="0"/>
    <n v="1"/>
    <x v="5"/>
  </r>
  <r>
    <x v="556"/>
    <n v="13948"/>
    <s v="Primary"/>
    <n v="250"/>
    <s v="no"/>
    <s v="Wood-Vinyl-Fiberglass:Double"/>
    <x v="0"/>
    <x v="0"/>
    <n v="1"/>
    <x v="0"/>
  </r>
  <r>
    <x v="557"/>
    <n v="13956"/>
    <s v="Primary"/>
    <n v="271"/>
    <s v="no"/>
    <s v="Wood-Vinyl-Fiberglass:Double:low-e"/>
    <x v="1"/>
    <x v="0"/>
    <n v="1"/>
    <x v="0"/>
  </r>
  <r>
    <x v="558"/>
    <n v="13970"/>
    <s v="Primary"/>
    <n v="245"/>
    <s v="no"/>
    <s v="Wood-Vinyl-Fiberglass:Single"/>
    <x v="7"/>
    <x v="2"/>
    <n v="1"/>
    <x v="0"/>
  </r>
  <r>
    <x v="559"/>
    <n v="13974"/>
    <s v="Primary"/>
    <n v="151"/>
    <s v="no"/>
    <s v="Wood-Vinyl-Fiberglass:Double"/>
    <x v="0"/>
    <x v="0"/>
    <n v="1"/>
    <x v="5"/>
  </r>
  <r>
    <x v="560"/>
    <n v="13975"/>
    <s v="Primary"/>
    <n v="160"/>
    <s v="no"/>
    <s v="Wood-Vinyl-Fiberglass:Double"/>
    <x v="0"/>
    <x v="0"/>
    <n v="1"/>
    <x v="2"/>
  </r>
  <r>
    <x v="561"/>
    <n v="14000"/>
    <s v="Primary"/>
    <n v="138"/>
    <s v="no"/>
    <s v="Wood-Vinyl-Fiberglass:Double:low-e"/>
    <x v="0"/>
    <x v="0"/>
    <n v="1"/>
    <x v="0"/>
  </r>
  <r>
    <x v="562"/>
    <n v="14012"/>
    <s v="Primary"/>
    <n v="253"/>
    <s v="no"/>
    <s v="Wood-Vinyl-Fiberglass:Double:low-e"/>
    <x v="1"/>
    <x v="0"/>
    <n v="1"/>
    <x v="5"/>
  </r>
  <r>
    <x v="563"/>
    <n v="14015"/>
    <s v="Primary"/>
    <n v="244"/>
    <s v="yes"/>
    <s v="Wood-Vinyl-Fiberglass:Double"/>
    <x v="3"/>
    <x v="0"/>
    <n v="1"/>
    <x v="2"/>
  </r>
  <r>
    <x v="564"/>
    <n v="14017"/>
    <s v="Primary"/>
    <n v="121"/>
    <s v="yes"/>
    <s v="Wood-Vinyl-Fiberglass:Double:low-e"/>
    <x v="4"/>
    <x v="0"/>
    <n v="1"/>
    <x v="1"/>
  </r>
  <r>
    <x v="565"/>
    <n v="14037"/>
    <s v="Primary"/>
    <n v="216"/>
    <s v="no"/>
    <s v="Wood-Vinyl-Fiberglass:Double"/>
    <x v="6"/>
    <x v="0"/>
    <n v="1"/>
    <x v="0"/>
  </r>
  <r>
    <x v="566"/>
    <n v="14046"/>
    <s v="Primary"/>
    <n v="141"/>
    <s v="no"/>
    <s v="Metal:Double"/>
    <x v="5"/>
    <x v="1"/>
    <n v="1"/>
    <x v="6"/>
  </r>
  <r>
    <x v="567"/>
    <n v="14051"/>
    <s v="Primary"/>
    <n v="173"/>
    <s v="no"/>
    <s v="Wood-Vinyl-Fiberglass:Double:low-e"/>
    <x v="1"/>
    <x v="0"/>
    <n v="1"/>
    <x v="1"/>
  </r>
  <r>
    <x v="568"/>
    <n v="14052"/>
    <s v="Primary"/>
    <n v="177"/>
    <s v="no"/>
    <s v="Wood-Vinyl-Fiberglass:Double:low-e"/>
    <x v="0"/>
    <x v="0"/>
    <n v="1"/>
    <x v="1"/>
  </r>
  <r>
    <x v="569"/>
    <n v="14073"/>
    <s v="Primary"/>
    <n v="302"/>
    <s v="no"/>
    <s v="Metal:Double"/>
    <x v="10"/>
    <x v="1"/>
    <n v="1"/>
    <x v="5"/>
  </r>
  <r>
    <x v="570"/>
    <n v="14078"/>
    <s v="Primary"/>
    <n v="210"/>
    <s v="no"/>
    <s v="Wood-Vinyl-Fiberglass:Double:low-e"/>
    <x v="0"/>
    <x v="0"/>
    <n v="1"/>
    <x v="4"/>
  </r>
  <r>
    <x v="571"/>
    <n v="14102"/>
    <s v="Primary"/>
    <n v="413"/>
    <s v="no"/>
    <s v="Wood-Vinyl-Fiberglass:Double:low-e"/>
    <x v="1"/>
    <x v="0"/>
    <n v="1"/>
    <x v="2"/>
  </r>
  <r>
    <x v="572"/>
    <n v="14117"/>
    <s v="Primary"/>
    <n v="138"/>
    <s v="no"/>
    <s v="Metal:Single"/>
    <x v="8"/>
    <x v="3"/>
    <n v="1"/>
    <x v="4"/>
  </r>
  <r>
    <x v="573"/>
    <n v="14122"/>
    <s v="Primary"/>
    <n v="203"/>
    <s v="no"/>
    <s v="Wood-Vinyl-Fiberglass:Double"/>
    <x v="6"/>
    <x v="0"/>
    <n v="1"/>
    <x v="6"/>
  </r>
  <r>
    <x v="574"/>
    <n v="14129"/>
    <s v="Primary"/>
    <n v="99"/>
    <s v="no"/>
    <s v="Metal:Double"/>
    <x v="5"/>
    <x v="1"/>
    <n v="1"/>
    <x v="1"/>
  </r>
  <r>
    <x v="575"/>
    <n v="14140"/>
    <s v="Primary"/>
    <n v="101"/>
    <s v="no"/>
    <s v="Wood-Vinyl-Fiberglass:Triple:low-e"/>
    <x v="11"/>
    <x v="4"/>
    <n v="1"/>
    <x v="5"/>
  </r>
  <r>
    <x v="576"/>
    <n v="14143"/>
    <s v="Primary"/>
    <n v="140"/>
    <s v="no"/>
    <s v="Wood-Vinyl-Fiberglass:Double:low-e"/>
    <x v="1"/>
    <x v="0"/>
    <n v="1"/>
    <x v="6"/>
  </r>
  <r>
    <x v="577"/>
    <n v="14150"/>
    <s v="Primary"/>
    <n v="79"/>
    <s v="yes"/>
    <s v="Metal:Double"/>
    <x v="2"/>
    <x v="1"/>
    <n v="1"/>
    <x v="3"/>
  </r>
  <r>
    <x v="578"/>
    <n v="14153"/>
    <s v="Primary"/>
    <n v="202"/>
    <s v="no"/>
    <s v="Wood-Vinyl-Fiberglass:Double:low-e"/>
    <x v="1"/>
    <x v="0"/>
    <n v="1"/>
    <x v="3"/>
  </r>
  <r>
    <x v="579"/>
    <n v="14174"/>
    <s v="Primary"/>
    <n v="120"/>
    <s v="no"/>
    <s v="Metal:Single"/>
    <x v="8"/>
    <x v="3"/>
    <n v="1"/>
    <x v="3"/>
  </r>
  <r>
    <x v="580"/>
    <n v="14181"/>
    <s v="Primary"/>
    <n v="165"/>
    <s v="no"/>
    <s v="Wood-Vinyl-Fiberglass:Double:low-e"/>
    <x v="1"/>
    <x v="0"/>
    <n v="1"/>
    <x v="0"/>
  </r>
  <r>
    <x v="581"/>
    <n v="14210"/>
    <s v="Primary"/>
    <n v="122"/>
    <s v="no"/>
    <s v="Wood-Vinyl-Fiberglass:Single"/>
    <x v="7"/>
    <x v="2"/>
    <n v="1"/>
    <x v="6"/>
  </r>
  <r>
    <x v="582"/>
    <n v="14211"/>
    <s v="Primary"/>
    <n v="148"/>
    <s v="no"/>
    <s v="Wood-Vinyl-Fiberglass:Double"/>
    <x v="0"/>
    <x v="0"/>
    <n v="1"/>
    <x v="0"/>
  </r>
  <r>
    <x v="583"/>
    <n v="14222"/>
    <s v="Primary"/>
    <n v="235"/>
    <s v="no"/>
    <s v="Wood-Vinyl-Fiberglass:Double"/>
    <x v="0"/>
    <x v="0"/>
    <n v="1"/>
    <x v="0"/>
  </r>
  <r>
    <x v="584"/>
    <n v="14264"/>
    <s v="Primary"/>
    <n v="211"/>
    <s v="no"/>
    <s v="Wood-Vinyl-Fiberglass:Double"/>
    <x v="0"/>
    <x v="0"/>
    <n v="1"/>
    <x v="2"/>
  </r>
  <r>
    <x v="585"/>
    <n v="14273"/>
    <s v="Primary"/>
    <n v="295"/>
    <s v="no"/>
    <s v="Wood-Vinyl-Fiberglass:Double"/>
    <x v="0"/>
    <x v="0"/>
    <n v="1"/>
    <x v="2"/>
  </r>
  <r>
    <x v="586"/>
    <n v="14277"/>
    <s v="Primary"/>
    <n v="138"/>
    <s v="no"/>
    <s v="Metal:Double"/>
    <x v="10"/>
    <x v="1"/>
    <n v="1"/>
    <x v="2"/>
  </r>
  <r>
    <x v="587"/>
    <n v="14284"/>
    <s v="Primary"/>
    <n v="341"/>
    <s v="no"/>
    <s v="Wood-Vinyl-Fiberglass:Single"/>
    <x v="7"/>
    <x v="2"/>
    <n v="1"/>
    <x v="0"/>
  </r>
  <r>
    <x v="588"/>
    <n v="14285"/>
    <s v="Primary"/>
    <n v="228"/>
    <s v="no"/>
    <s v="Wood-Vinyl-Fiberglass:Single"/>
    <x v="7"/>
    <x v="2"/>
    <n v="1"/>
    <x v="0"/>
  </r>
  <r>
    <x v="589"/>
    <n v="14300"/>
    <s v="Primary"/>
    <n v="139"/>
    <s v="no"/>
    <s v="Wood-Vinyl-Fiberglass:Double:low-e"/>
    <x v="1"/>
    <x v="0"/>
    <n v="1"/>
    <x v="2"/>
  </r>
  <r>
    <x v="590"/>
    <n v="14329"/>
    <s v="Primary"/>
    <n v="244"/>
    <s v="no"/>
    <s v="Wood-Vinyl-Fiberglass:Double:low-e"/>
    <x v="0"/>
    <x v="0"/>
    <n v="1"/>
    <x v="3"/>
  </r>
  <r>
    <x v="591"/>
    <n v="14331"/>
    <s v="Primary"/>
    <n v="265"/>
    <s v="no"/>
    <s v="Wood-Vinyl-Fiberglass:Double:low-e"/>
    <x v="0"/>
    <x v="0"/>
    <n v="1"/>
    <x v="3"/>
  </r>
  <r>
    <x v="592"/>
    <n v="14423"/>
    <s v="Primary"/>
    <n v="180"/>
    <s v="no"/>
    <s v="Wood-Vinyl-Fiberglass:Double:low-e"/>
    <x v="1"/>
    <x v="0"/>
    <n v="1"/>
    <x v="2"/>
  </r>
  <r>
    <x v="593"/>
    <n v="14457"/>
    <s v="Primary"/>
    <n v="165"/>
    <s v="no"/>
    <s v="Wood-Vinyl-Fiberglass:Triple:low-e"/>
    <x v="11"/>
    <x v="4"/>
    <n v="1"/>
    <x v="4"/>
  </r>
  <r>
    <x v="594"/>
    <n v="14508"/>
    <s v="Primary"/>
    <n v="463"/>
    <s v="no"/>
    <s v="Wood-Vinyl-Fiberglass:Double:low-e"/>
    <x v="1"/>
    <x v="0"/>
    <n v="1"/>
    <x v="2"/>
  </r>
  <r>
    <x v="595"/>
    <n v="14542"/>
    <s v="Primary"/>
    <n v="579"/>
    <s v="no"/>
    <s v="Wood-Vinyl-Fiberglass:Double"/>
    <x v="6"/>
    <x v="0"/>
    <n v="1"/>
    <x v="1"/>
  </r>
  <r>
    <x v="596"/>
    <n v="14545"/>
    <s v="Primary"/>
    <n v="227"/>
    <s v="yes"/>
    <s v="Wood-Vinyl-Fiberglass:Single"/>
    <x v="2"/>
    <x v="2"/>
    <n v="1"/>
    <x v="1"/>
  </r>
  <r>
    <x v="597"/>
    <n v="14560"/>
    <s v="Primary"/>
    <n v="323"/>
    <s v="no"/>
    <s v="Wood-Vinyl-Fiberglass:Double:low-e"/>
    <x v="1"/>
    <x v="0"/>
    <n v="1"/>
    <x v="3"/>
  </r>
  <r>
    <x v="598"/>
    <n v="14577"/>
    <s v="Primary"/>
    <n v="232"/>
    <s v="no"/>
    <s v="Wood-Vinyl-Fiberglass:Double:low-e"/>
    <x v="0"/>
    <x v="0"/>
    <n v="1"/>
    <x v="3"/>
  </r>
  <r>
    <x v="599"/>
    <n v="14646"/>
    <s v="Primary"/>
    <n v="154"/>
    <s v="no"/>
    <s v="Wood-Vinyl-Fiberglass:Double:low-e"/>
    <x v="1"/>
    <x v="0"/>
    <n v="1"/>
    <x v="1"/>
  </r>
  <r>
    <x v="600"/>
    <n v="14674"/>
    <s v="Primary"/>
    <n v="141"/>
    <s v="no"/>
    <s v="Metal:Double:low-e"/>
    <x v="2"/>
    <x v="1"/>
    <n v="1"/>
    <x v="3"/>
  </r>
  <r>
    <x v="601"/>
    <n v="20007"/>
    <s v="Primary"/>
    <n v="307"/>
    <s v="no"/>
    <s v="Wood-Vinyl-Fiberglass:Double:low-e"/>
    <x v="0"/>
    <x v="0"/>
    <n v="1"/>
    <x v="8"/>
  </r>
  <r>
    <x v="602"/>
    <n v="20016"/>
    <s v="Primary"/>
    <n v="82"/>
    <s v="no"/>
    <s v="Wood-Vinyl-Fiberglass:Double:low-e"/>
    <x v="0"/>
    <x v="0"/>
    <n v="1"/>
    <x v="9"/>
  </r>
  <r>
    <x v="603"/>
    <n v="20020"/>
    <s v="Primary"/>
    <n v="273"/>
    <s v="no"/>
    <s v="Wood-Vinyl-Fiberglass:Double"/>
    <x v="0"/>
    <x v="0"/>
    <n v="1"/>
    <x v="10"/>
  </r>
  <r>
    <x v="604"/>
    <n v="20028"/>
    <s v="Primary"/>
    <n v="155"/>
    <s v="no"/>
    <s v="Wood-Vinyl-Fiberglass:Double:low-e"/>
    <x v="1"/>
    <x v="0"/>
    <n v="1"/>
    <x v="3"/>
  </r>
  <r>
    <x v="605"/>
    <n v="20034"/>
    <s v="Primary"/>
    <n v="117"/>
    <s v="yes"/>
    <s v="Wood-Vinyl-Fiberglass:Single"/>
    <x v="2"/>
    <x v="2"/>
    <n v="1"/>
    <x v="11"/>
  </r>
  <r>
    <x v="606"/>
    <n v="20038"/>
    <s v="Primary"/>
    <n v="164"/>
    <s v="no"/>
    <s v="Wood-Vinyl-Fiberglass:Double:low-e"/>
    <x v="1"/>
    <x v="0"/>
    <n v="1"/>
    <x v="12"/>
  </r>
  <r>
    <x v="607"/>
    <n v="20042"/>
    <s v="Primary"/>
    <n v="199"/>
    <s v="no"/>
    <s v="Wood-Vinyl-Fiberglass:Double"/>
    <x v="6"/>
    <x v="0"/>
    <n v="1"/>
    <x v="13"/>
  </r>
  <r>
    <x v="608"/>
    <n v="20043"/>
    <s v="Primary"/>
    <n v="111"/>
    <s v="no"/>
    <s v="Wood-Vinyl-Fiberglass:Double"/>
    <x v="6"/>
    <x v="0"/>
    <n v="1"/>
    <x v="10"/>
  </r>
  <r>
    <x v="609"/>
    <n v="20051"/>
    <s v="Primary"/>
    <n v="76"/>
    <s v="no"/>
    <s v="Wood-Vinyl-Fiberglass:Double"/>
    <x v="0"/>
    <x v="0"/>
    <n v="1"/>
    <x v="12"/>
  </r>
  <r>
    <x v="610"/>
    <n v="20058"/>
    <s v="Primary"/>
    <n v="136"/>
    <s v="no"/>
    <s v="Wood-Vinyl-Fiberglass:Double:low-e"/>
    <x v="1"/>
    <x v="0"/>
    <n v="1"/>
    <x v="11"/>
  </r>
  <r>
    <x v="611"/>
    <n v="20065"/>
    <s v="Primary"/>
    <n v="118"/>
    <s v="yes"/>
    <s v="Wood-Vinyl-Fiberglass:Single"/>
    <x v="2"/>
    <x v="2"/>
    <n v="1"/>
    <x v="11"/>
  </r>
  <r>
    <x v="612"/>
    <n v="20066"/>
    <s v="Primary"/>
    <n v="428"/>
    <s v="yes"/>
    <s v="Wood-Vinyl-Fiberglass:Double"/>
    <x v="0"/>
    <x v="0"/>
    <n v="1"/>
    <x v="8"/>
  </r>
  <r>
    <x v="613"/>
    <n v="20076"/>
    <s v="Primary"/>
    <n v="295"/>
    <s v="no"/>
    <s v="Wood-Vinyl-Fiberglass:Double:low-e"/>
    <x v="1"/>
    <x v="0"/>
    <n v="1"/>
    <x v="11"/>
  </r>
  <r>
    <x v="614"/>
    <n v="20078"/>
    <s v="Primary"/>
    <n v="207"/>
    <s v="yes"/>
    <s v="Wood-Vinyl-Fiberglass:Single"/>
    <x v="2"/>
    <x v="2"/>
    <n v="1"/>
    <x v="12"/>
  </r>
  <r>
    <x v="615"/>
    <n v="20080"/>
    <s v="Primary"/>
    <n v="223"/>
    <s v="no"/>
    <s v="Wood-Vinyl-Fiberglass:Double:low-e"/>
    <x v="0"/>
    <x v="0"/>
    <n v="1"/>
    <x v="10"/>
  </r>
  <r>
    <x v="616"/>
    <n v="20081"/>
    <s v="Primary"/>
    <n v="232"/>
    <s v="no"/>
    <s v="Wood-Vinyl-Fiberglass:Double:low-e"/>
    <x v="0"/>
    <x v="0"/>
    <n v="1"/>
    <x v="13"/>
  </r>
  <r>
    <x v="617"/>
    <n v="20085"/>
    <s v="Primary"/>
    <n v="343"/>
    <s v="no"/>
    <s v="Wood-Vinyl-Fiberglass:Double"/>
    <x v="0"/>
    <x v="0"/>
    <n v="1"/>
    <x v="14"/>
  </r>
  <r>
    <x v="618"/>
    <n v="20088"/>
    <s v="Primary"/>
    <n v="171"/>
    <s v="no"/>
    <s v="Metal:Double"/>
    <x v="5"/>
    <x v="1"/>
    <n v="1"/>
    <x v="11"/>
  </r>
  <r>
    <x v="619"/>
    <n v="20089"/>
    <s v="Primary"/>
    <n v="297"/>
    <s v="no"/>
    <s v="Wood-Vinyl-Fiberglass:Double:low-e"/>
    <x v="0"/>
    <x v="0"/>
    <n v="1"/>
    <x v="12"/>
  </r>
  <r>
    <x v="620"/>
    <n v="20095"/>
    <s v="Primary"/>
    <n v="185"/>
    <s v="no"/>
    <s v="Wood-Vinyl-Fiberglass:Double"/>
    <x v="0"/>
    <x v="0"/>
    <n v="1"/>
    <x v="10"/>
  </r>
  <r>
    <x v="621"/>
    <n v="20100"/>
    <s v="Primary"/>
    <n v="172"/>
    <s v="no"/>
    <s v="Wood-Vinyl-Fiberglass:Double:low-e"/>
    <x v="0"/>
    <x v="0"/>
    <n v="1"/>
    <x v="13"/>
  </r>
  <r>
    <x v="622"/>
    <n v="20106"/>
    <s v="Primary"/>
    <n v="21"/>
    <s v="yes"/>
    <s v="Metal:Double"/>
    <x v="2"/>
    <x v="1"/>
    <n v="1"/>
    <x v="11"/>
  </r>
  <r>
    <x v="623"/>
    <n v="20108"/>
    <s v="Primary"/>
    <n v="224"/>
    <s v="no"/>
    <s v="Wood-Vinyl-Fiberglass:Double:low-e"/>
    <x v="0"/>
    <x v="0"/>
    <n v="1"/>
    <x v="11"/>
  </r>
  <r>
    <x v="624"/>
    <n v="20109"/>
    <s v="Primary"/>
    <n v="62"/>
    <s v="no"/>
    <s v="Wood-Vinyl-Fiberglass:Double:low-e"/>
    <x v="0"/>
    <x v="0"/>
    <n v="1"/>
    <x v="15"/>
  </r>
  <r>
    <x v="625"/>
    <n v="20111"/>
    <s v="Primary"/>
    <n v="159"/>
    <s v="no"/>
    <s v="Wood-Vinyl-Fiberglass:Double"/>
    <x v="6"/>
    <x v="0"/>
    <n v="1"/>
    <x v="8"/>
  </r>
  <r>
    <x v="626"/>
    <n v="20117"/>
    <s v="Primary"/>
    <n v="90"/>
    <s v="yes"/>
    <s v="Wood-Vinyl-Fiberglass:Double"/>
    <x v="3"/>
    <x v="0"/>
    <n v="1"/>
    <x v="13"/>
  </r>
  <r>
    <x v="627"/>
    <n v="20125"/>
    <s v="Primary"/>
    <n v="111"/>
    <s v="no"/>
    <s v="Wood-Vinyl-Fiberglass:Double:low-e"/>
    <x v="0"/>
    <x v="0"/>
    <n v="1"/>
    <x v="11"/>
  </r>
  <r>
    <x v="628"/>
    <n v="20152"/>
    <s v="Primary"/>
    <n v="156"/>
    <s v="yes"/>
    <s v="Metal:Double"/>
    <x v="2"/>
    <x v="1"/>
    <n v="1"/>
    <x v="11"/>
  </r>
  <r>
    <x v="629"/>
    <n v="20154"/>
    <s v="Primary"/>
    <n v="327"/>
    <s v="no"/>
    <s v="Wood-Vinyl-Fiberglass:Double:low-e"/>
    <x v="0"/>
    <x v="0"/>
    <n v="1"/>
    <x v="11"/>
  </r>
  <r>
    <x v="630"/>
    <n v="20155"/>
    <s v="Primary"/>
    <n v="380"/>
    <s v="no"/>
    <s v="Metal:Double"/>
    <x v="10"/>
    <x v="1"/>
    <n v="1"/>
    <x v="15"/>
  </r>
  <r>
    <x v="631"/>
    <n v="20156"/>
    <s v="Primary"/>
    <n v="304"/>
    <s v="no"/>
    <s v="Wood-Vinyl-Fiberglass:Double:low-e"/>
    <x v="1"/>
    <x v="0"/>
    <n v="1"/>
    <x v="15"/>
  </r>
  <r>
    <x v="632"/>
    <n v="20163"/>
    <s v="Primary"/>
    <n v="70"/>
    <s v="no"/>
    <s v="Metal:Double"/>
    <x v="10"/>
    <x v="1"/>
    <n v="1"/>
    <x v="8"/>
  </r>
  <r>
    <x v="633"/>
    <n v="20166"/>
    <s v="Primary"/>
    <n v="271"/>
    <s v="no"/>
    <s v="Wood-Vinyl-Fiberglass:Double"/>
    <x v="0"/>
    <x v="0"/>
    <n v="1"/>
    <x v="8"/>
  </r>
  <r>
    <x v="634"/>
    <n v="20168"/>
    <s v="Primary"/>
    <n v="225"/>
    <s v="no"/>
    <s v="Wood-Vinyl-Fiberglass:Double:low-e"/>
    <x v="1"/>
    <x v="0"/>
    <n v="1"/>
    <x v="15"/>
  </r>
  <r>
    <x v="635"/>
    <n v="20180"/>
    <s v="Primary"/>
    <n v="278"/>
    <s v="no"/>
    <s v="Wood-Vinyl-Fiberglass:Double:low-e"/>
    <x v="0"/>
    <x v="0"/>
    <n v="1"/>
    <x v="15"/>
  </r>
  <r>
    <x v="636"/>
    <n v="20182"/>
    <s v="Primary"/>
    <n v="290"/>
    <s v="no"/>
    <s v="Wood-Vinyl-Fiberglass:Triple:low-e"/>
    <x v="11"/>
    <x v="4"/>
    <n v="1"/>
    <x v="16"/>
  </r>
  <r>
    <x v="637"/>
    <n v="20184"/>
    <s v="Primary"/>
    <n v="238"/>
    <s v="no"/>
    <s v="Wood-Vinyl-Fiberglass:Double:low-e"/>
    <x v="1"/>
    <x v="0"/>
    <n v="1"/>
    <x v="15"/>
  </r>
  <r>
    <x v="638"/>
    <n v="20185"/>
    <s v="Primary"/>
    <n v="231"/>
    <s v="no"/>
    <s v="Wood-Vinyl-Fiberglass:Double:low-e"/>
    <x v="1"/>
    <x v="0"/>
    <n v="1"/>
    <x v="10"/>
  </r>
  <r>
    <x v="639"/>
    <n v="20188"/>
    <s v="Primary"/>
    <n v="143"/>
    <s v="no"/>
    <s v="Wood-Vinyl-Fiberglass:Double:low-e"/>
    <x v="0"/>
    <x v="0"/>
    <n v="1"/>
    <x v="15"/>
  </r>
  <r>
    <x v="640"/>
    <n v="20200"/>
    <s v="Primary"/>
    <n v="255"/>
    <s v="no"/>
    <s v="Wood-Vinyl-Fiberglass:Double:low-e"/>
    <x v="1"/>
    <x v="0"/>
    <n v="1"/>
    <x v="17"/>
  </r>
  <r>
    <x v="641"/>
    <n v="20206"/>
    <s v="Primary"/>
    <n v="100"/>
    <s v="no"/>
    <s v="Wood-Vinyl-Fiberglass:Double:low-e"/>
    <x v="1"/>
    <x v="0"/>
    <n v="1"/>
    <x v="15"/>
  </r>
  <r>
    <x v="642"/>
    <n v="20215"/>
    <s v="Primary"/>
    <n v="325"/>
    <s v="no"/>
    <s v="Wood-Vinyl-Fiberglass:Double:low-e"/>
    <x v="1"/>
    <x v="0"/>
    <n v="1"/>
    <x v="15"/>
  </r>
  <r>
    <x v="643"/>
    <n v="20230"/>
    <s v="Primary"/>
    <n v="235"/>
    <s v="no"/>
    <s v="Metal:Double"/>
    <x v="5"/>
    <x v="1"/>
    <n v="1"/>
    <x v="12"/>
  </r>
  <r>
    <x v="644"/>
    <n v="20244"/>
    <s v="Primary"/>
    <n v="176"/>
    <s v="no"/>
    <s v="Wood-Vinyl-Fiberglass:Double"/>
    <x v="6"/>
    <x v="0"/>
    <n v="1"/>
    <x v="8"/>
  </r>
  <r>
    <x v="645"/>
    <n v="20245"/>
    <s v="Primary"/>
    <n v="50"/>
    <s v="no"/>
    <s v="Wood-Vinyl-Fiberglass:Double:low-e"/>
    <x v="0"/>
    <x v="0"/>
    <n v="1"/>
    <x v="8"/>
  </r>
  <r>
    <x v="646"/>
    <n v="20250"/>
    <s v="Primary"/>
    <n v="161"/>
    <s v="yes"/>
    <s v="Wood-Vinyl-Fiberglass:Single"/>
    <x v="2"/>
    <x v="2"/>
    <n v="1"/>
    <x v="9"/>
  </r>
  <r>
    <x v="647"/>
    <n v="20264"/>
    <s v="Primary"/>
    <n v="658"/>
    <s v="no"/>
    <s v="Wood-Vinyl-Fiberglass:Double:low-e"/>
    <x v="1"/>
    <x v="0"/>
    <n v="1"/>
    <x v="18"/>
  </r>
  <r>
    <x v="648"/>
    <n v="20265"/>
    <s v="Primary"/>
    <n v="248"/>
    <s v="no"/>
    <s v="Metal:Double"/>
    <x v="5"/>
    <x v="1"/>
    <n v="1"/>
    <x v="17"/>
  </r>
  <r>
    <x v="649"/>
    <n v="20266"/>
    <s v="Primary"/>
    <n v="523"/>
    <s v="no"/>
    <s v="Wood-Vinyl-Fiberglass:Double:low-e"/>
    <x v="1"/>
    <x v="0"/>
    <n v="1"/>
    <x v="17"/>
  </r>
  <r>
    <x v="650"/>
    <n v="20274"/>
    <s v="Primary"/>
    <n v="294"/>
    <s v="no"/>
    <s v="Wood-Vinyl-Fiberglass:Double:low-e"/>
    <x v="1"/>
    <x v="0"/>
    <n v="1"/>
    <x v="15"/>
  </r>
  <r>
    <x v="651"/>
    <n v="20287"/>
    <s v="Primary"/>
    <n v="299"/>
    <s v="no"/>
    <s v="Wood-Vinyl-Fiberglass:Double:low-e"/>
    <x v="1"/>
    <x v="0"/>
    <n v="1"/>
    <x v="8"/>
  </r>
  <r>
    <x v="652"/>
    <n v="20288"/>
    <s v="Primary"/>
    <n v="283"/>
    <s v="no"/>
    <s v="Wood-Vinyl-Fiberglass:Double:low-e"/>
    <x v="1"/>
    <x v="0"/>
    <n v="1"/>
    <x v="12"/>
  </r>
  <r>
    <x v="653"/>
    <n v="20290"/>
    <s v="Primary"/>
    <n v="106"/>
    <s v="no"/>
    <s v="Wood-Vinyl-Fiberglass:Double"/>
    <x v="6"/>
    <x v="0"/>
    <n v="1"/>
    <x v="12"/>
  </r>
  <r>
    <x v="654"/>
    <n v="20294"/>
    <s v="Primary"/>
    <n v="412"/>
    <s v="no"/>
    <s v="Wood-Vinyl-Fiberglass:Double:low-e"/>
    <x v="0"/>
    <x v="0"/>
    <n v="1"/>
    <x v="8"/>
  </r>
  <r>
    <x v="655"/>
    <n v="20297"/>
    <s v="Primary"/>
    <n v="178"/>
    <s v="no"/>
    <s v="Wood-Vinyl-Fiberglass:Double:low-e"/>
    <x v="0"/>
    <x v="0"/>
    <n v="1"/>
    <x v="15"/>
  </r>
  <r>
    <x v="656"/>
    <n v="20303"/>
    <s v="Primary"/>
    <n v="170"/>
    <s v="no"/>
    <s v="Wood-Vinyl-Fiberglass:Double:low-e"/>
    <x v="1"/>
    <x v="0"/>
    <n v="1"/>
    <x v="13"/>
  </r>
  <r>
    <x v="657"/>
    <n v="20305"/>
    <s v="Primary"/>
    <n v="368"/>
    <s v="no"/>
    <s v="Wood-Vinyl-Fiberglass:Double:low-e"/>
    <x v="0"/>
    <x v="0"/>
    <n v="1"/>
    <x v="18"/>
  </r>
  <r>
    <x v="658"/>
    <n v="20311"/>
    <s v="Primary"/>
    <n v="123"/>
    <s v="no"/>
    <s v="Wood-Vinyl-Fiberglass:Double:low-e"/>
    <x v="1"/>
    <x v="0"/>
    <n v="1"/>
    <x v="15"/>
  </r>
  <r>
    <x v="659"/>
    <n v="20324"/>
    <s v="Primary"/>
    <n v="154"/>
    <s v="yes"/>
    <s v="Metal:Single"/>
    <x v="5"/>
    <x v="3"/>
    <n v="1"/>
    <x v="17"/>
  </r>
  <r>
    <x v="660"/>
    <n v="20325"/>
    <s v="Primary"/>
    <n v="322"/>
    <s v="no"/>
    <s v="Wood-Vinyl-Fiberglass:Double:low-e"/>
    <x v="1"/>
    <x v="0"/>
    <n v="1"/>
    <x v="17"/>
  </r>
  <r>
    <x v="661"/>
    <n v="20338"/>
    <s v="Primary"/>
    <n v="129"/>
    <s v="no"/>
    <s v="Wood-Vinyl-Fiberglass:Double"/>
    <x v="6"/>
    <x v="0"/>
    <n v="1"/>
    <x v="18"/>
  </r>
  <r>
    <x v="662"/>
    <n v="20340"/>
    <s v="Primary"/>
    <n v="120"/>
    <s v="yes"/>
    <s v="Metal:Single"/>
    <x v="5"/>
    <x v="3"/>
    <n v="1"/>
    <x v="15"/>
  </r>
  <r>
    <x v="663"/>
    <n v="20344"/>
    <s v="Primary"/>
    <n v="158"/>
    <s v="no"/>
    <s v="Wood-Vinyl-Fiberglass:Double"/>
    <x v="6"/>
    <x v="0"/>
    <n v="1"/>
    <x v="12"/>
  </r>
  <r>
    <x v="664"/>
    <n v="20351"/>
    <s v="Primary"/>
    <n v="80"/>
    <s v="yes"/>
    <s v="Wood-Vinyl-Fiberglass:Double:low-e"/>
    <x v="3"/>
    <x v="0"/>
    <n v="1"/>
    <x v="13"/>
  </r>
  <r>
    <x v="665"/>
    <n v="20357"/>
    <s v="Primary"/>
    <n v="190"/>
    <s v="no"/>
    <s v="Wood-Vinyl-Fiberglass:Single"/>
    <x v="7"/>
    <x v="2"/>
    <n v="1"/>
    <x v="15"/>
  </r>
  <r>
    <x v="666"/>
    <n v="20360"/>
    <s v="Primary"/>
    <n v="128"/>
    <s v="no"/>
    <s v="Wood-Vinyl-Fiberglass:Double"/>
    <x v="6"/>
    <x v="0"/>
    <n v="1"/>
    <x v="10"/>
  </r>
  <r>
    <x v="667"/>
    <n v="20363"/>
    <s v="Primary"/>
    <n v="281"/>
    <s v="no"/>
    <s v="Wood-Vinyl-Fiberglass:Double"/>
    <x v="0"/>
    <x v="0"/>
    <n v="1"/>
    <x v="13"/>
  </r>
  <r>
    <x v="668"/>
    <n v="20371"/>
    <s v="Primary"/>
    <n v="89"/>
    <s v="no"/>
    <s v="Metal:Single"/>
    <x v="8"/>
    <x v="3"/>
    <n v="1"/>
    <x v="17"/>
  </r>
  <r>
    <x v="669"/>
    <n v="20374"/>
    <s v="Primary"/>
    <n v="218"/>
    <s v="no"/>
    <s v="Wood-Vinyl-Fiberglass:Double:low-e"/>
    <x v="0"/>
    <x v="0"/>
    <n v="1"/>
    <x v="7"/>
  </r>
  <r>
    <x v="670"/>
    <n v="20381"/>
    <s v="Primary"/>
    <n v="187"/>
    <s v="no"/>
    <s v="Metal:Double"/>
    <x v="5"/>
    <x v="1"/>
    <n v="1"/>
    <x v="18"/>
  </r>
  <r>
    <x v="671"/>
    <n v="20384"/>
    <s v="Primary"/>
    <n v="137"/>
    <s v="no"/>
    <s v="Wood-Vinyl-Fiberglass:Double:low-e"/>
    <x v="0"/>
    <x v="0"/>
    <n v="1"/>
    <x v="13"/>
  </r>
  <r>
    <x v="672"/>
    <n v="20390"/>
    <s v="Primary"/>
    <n v="66"/>
    <s v="no"/>
    <s v="Wood-Vinyl-Fiberglass:Single"/>
    <x v="7"/>
    <x v="2"/>
    <n v="1"/>
    <x v="7"/>
  </r>
  <r>
    <x v="673"/>
    <n v="20392"/>
    <s v="Primary"/>
    <n v="466"/>
    <s v="no"/>
    <s v="Wood-Vinyl-Fiberglass:Double:low-e"/>
    <x v="0"/>
    <x v="0"/>
    <n v="1"/>
    <x v="10"/>
  </r>
  <r>
    <x v="674"/>
    <n v="20395"/>
    <s v="Primary"/>
    <n v="70"/>
    <s v="no"/>
    <s v="Wood-Vinyl-Fiberglass:Double:low-e"/>
    <x v="0"/>
    <x v="0"/>
    <n v="1"/>
    <x v="7"/>
  </r>
  <r>
    <x v="675"/>
    <n v="20408"/>
    <s v="Primary"/>
    <n v="130"/>
    <s v="no"/>
    <s v="Wood-Vinyl-Fiberglass:Double:low-e"/>
    <x v="0"/>
    <x v="0"/>
    <n v="1"/>
    <x v="8"/>
  </r>
  <r>
    <x v="676"/>
    <n v="20411"/>
    <s v="Primary"/>
    <n v="114"/>
    <s v="no"/>
    <s v="Wood-Vinyl-Fiberglass:Double"/>
    <x v="6"/>
    <x v="0"/>
    <n v="1"/>
    <x v="11"/>
  </r>
  <r>
    <x v="677"/>
    <n v="20414"/>
    <s v="Primary"/>
    <n v="130"/>
    <s v="no"/>
    <s v="Wood-Vinyl-Fiberglass:Double:low-e"/>
    <x v="0"/>
    <x v="0"/>
    <n v="1"/>
    <x v="8"/>
  </r>
  <r>
    <x v="678"/>
    <n v="20426"/>
    <s v="Primary"/>
    <n v="97"/>
    <s v="no"/>
    <s v="Wood-Vinyl-Fiberglass:Double:low-e"/>
    <x v="0"/>
    <x v="0"/>
    <n v="1"/>
    <x v="10"/>
  </r>
  <r>
    <x v="679"/>
    <n v="20430"/>
    <s v="Primary"/>
    <n v="124"/>
    <s v="no"/>
    <s v="Wood-Vinyl-Fiberglass:Double:low-e"/>
    <x v="0"/>
    <x v="0"/>
    <n v="1"/>
    <x v="8"/>
  </r>
  <r>
    <x v="680"/>
    <n v="20433"/>
    <s v="Primary"/>
    <n v="167"/>
    <s v="no"/>
    <s v="Metal:Double"/>
    <x v="5"/>
    <x v="1"/>
    <n v="1"/>
    <x v="15"/>
  </r>
  <r>
    <x v="681"/>
    <n v="20440"/>
    <s v="Primary"/>
    <n v="181"/>
    <s v="no"/>
    <s v="Metal:Double"/>
    <x v="10"/>
    <x v="1"/>
    <n v="1"/>
    <x v="17"/>
  </r>
  <r>
    <x v="682"/>
    <n v="20445"/>
    <s v="Primary"/>
    <n v="121"/>
    <s v="yes"/>
    <s v="Wood-Vinyl-Fiberglass:Double"/>
    <x v="3"/>
    <x v="0"/>
    <n v="1"/>
    <x v="12"/>
  </r>
  <r>
    <x v="683"/>
    <n v="20446"/>
    <s v="Primary"/>
    <n v="80"/>
    <s v="no"/>
    <s v="Wood-Vinyl-Fiberglass:Double"/>
    <x v="6"/>
    <x v="0"/>
    <n v="1"/>
    <x v="15"/>
  </r>
  <r>
    <x v="684"/>
    <n v="20448"/>
    <s v="Primary"/>
    <n v="178"/>
    <s v="no"/>
    <s v="Wood-Vinyl-Fiberglass:Double:low-e"/>
    <x v="1"/>
    <x v="0"/>
    <n v="1"/>
    <x v="15"/>
  </r>
  <r>
    <x v="685"/>
    <n v="20457"/>
    <s v="Primary"/>
    <n v="190"/>
    <s v="no"/>
    <s v="Wood-Vinyl-Fiberglass:Double:low-e"/>
    <x v="0"/>
    <x v="0"/>
    <n v="1"/>
    <x v="15"/>
  </r>
  <r>
    <x v="686"/>
    <n v="20458"/>
    <s v="Primary"/>
    <n v="219"/>
    <s v="yes"/>
    <s v="Wood-Vinyl-Fiberglass:Single"/>
    <x v="2"/>
    <x v="2"/>
    <n v="1"/>
    <x v="11"/>
  </r>
  <r>
    <x v="687"/>
    <n v="20466"/>
    <s v="Primary"/>
    <n v="210"/>
    <s v="no"/>
    <s v="Wood-Vinyl-Fiberglass:Double:low-e"/>
    <x v="0"/>
    <x v="0"/>
    <n v="1"/>
    <x v="13"/>
  </r>
  <r>
    <x v="688"/>
    <n v="20469"/>
    <s v="Primary"/>
    <n v="310"/>
    <s v="no"/>
    <s v="Wood-Vinyl-Fiberglass:Double"/>
    <x v="0"/>
    <x v="0"/>
    <n v="1"/>
    <x v="10"/>
  </r>
  <r>
    <x v="689"/>
    <n v="20472"/>
    <s v="Primary"/>
    <n v="126"/>
    <s v="no"/>
    <s v="Wood-Vinyl-Fiberglass:Double:low-e"/>
    <x v="1"/>
    <x v="0"/>
    <n v="1"/>
    <x v="15"/>
  </r>
  <r>
    <x v="690"/>
    <n v="20477"/>
    <s v="Primary"/>
    <n v="116"/>
    <s v="no"/>
    <s v="Wood-Vinyl-Fiberglass:Double:low-e"/>
    <x v="0"/>
    <x v="0"/>
    <n v="1"/>
    <x v="10"/>
  </r>
  <r>
    <x v="691"/>
    <n v="20485"/>
    <s v="Primary"/>
    <n v="485"/>
    <s v="no"/>
    <s v="Wood-Vinyl-Fiberglass:Double:low-e"/>
    <x v="1"/>
    <x v="0"/>
    <n v="1"/>
    <x v="11"/>
  </r>
  <r>
    <x v="692"/>
    <n v="20491"/>
    <s v="Primary"/>
    <n v="190"/>
    <s v="no"/>
    <s v="Wood-Vinyl-Fiberglass:Double"/>
    <x v="6"/>
    <x v="0"/>
    <n v="1"/>
    <x v="18"/>
  </r>
  <r>
    <x v="693"/>
    <n v="20505"/>
    <s v="Primary"/>
    <n v="385"/>
    <s v="no"/>
    <s v="Wood-Vinyl-Fiberglass:Double:low-e"/>
    <x v="0"/>
    <x v="0"/>
    <n v="1"/>
    <x v="15"/>
  </r>
  <r>
    <x v="694"/>
    <n v="20516"/>
    <s v="Primary"/>
    <n v="169"/>
    <s v="no"/>
    <s v="Wood-Vinyl-Fiberglass:Double"/>
    <x v="0"/>
    <x v="0"/>
    <n v="1"/>
    <x v="8"/>
  </r>
  <r>
    <x v="695"/>
    <n v="20540"/>
    <s v="Primary"/>
    <n v="469"/>
    <s v="no"/>
    <s v="Wood-Vinyl-Fiberglass:Double"/>
    <x v="6"/>
    <x v="0"/>
    <n v="1"/>
    <x v="10"/>
  </r>
  <r>
    <x v="696"/>
    <n v="20547"/>
    <s v="Primary"/>
    <n v="260"/>
    <s v="no"/>
    <s v="Wood-Vinyl-Fiberglass:Double:low-e"/>
    <x v="0"/>
    <x v="0"/>
    <n v="1"/>
    <x v="8"/>
  </r>
  <r>
    <x v="697"/>
    <n v="20553"/>
    <s v="Primary"/>
    <n v="427"/>
    <s v="yes"/>
    <s v="Wood-Vinyl-Fiberglass:Single"/>
    <x v="2"/>
    <x v="2"/>
    <n v="1"/>
    <x v="11"/>
  </r>
  <r>
    <x v="698"/>
    <n v="20559"/>
    <s v="Primary"/>
    <n v="86"/>
    <s v="yes"/>
    <s v="Metal:Double"/>
    <x v="2"/>
    <x v="1"/>
    <n v="1"/>
    <x v="18"/>
  </r>
  <r>
    <x v="699"/>
    <n v="20565"/>
    <s v="Primary"/>
    <n v="272"/>
    <s v="no"/>
    <s v="Wood-Vinyl-Fiberglass:Double"/>
    <x v="0"/>
    <x v="0"/>
    <n v="1"/>
    <x v="18"/>
  </r>
  <r>
    <x v="700"/>
    <n v="20574"/>
    <s v="Primary"/>
    <n v="157"/>
    <s v="no"/>
    <s v="Wood-Vinyl-Fiberglass:Double:low-e"/>
    <x v="0"/>
    <x v="0"/>
    <n v="1"/>
    <x v="8"/>
  </r>
  <r>
    <x v="701"/>
    <n v="20586"/>
    <s v="Primary"/>
    <n v="191"/>
    <s v="no"/>
    <s v="Wood-Vinyl-Fiberglass:Double:low-e"/>
    <x v="0"/>
    <x v="0"/>
    <n v="1"/>
    <x v="18"/>
  </r>
  <r>
    <x v="702"/>
    <n v="20593"/>
    <s v="Primary"/>
    <n v="281"/>
    <s v="no"/>
    <s v="Wood-Vinyl-Fiberglass:Double:low-e"/>
    <x v="1"/>
    <x v="0"/>
    <n v="1"/>
    <x v="13"/>
  </r>
  <r>
    <x v="703"/>
    <n v="20595"/>
    <s v="Primary"/>
    <n v="164"/>
    <s v="no"/>
    <s v="Metal:Double"/>
    <x v="10"/>
    <x v="1"/>
    <n v="1"/>
    <x v="18"/>
  </r>
  <r>
    <x v="704"/>
    <n v="20601"/>
    <s v="Primary"/>
    <n v="161"/>
    <s v="yes"/>
    <s v="Wood-Vinyl-Fiberglass:Single"/>
    <x v="2"/>
    <x v="2"/>
    <n v="1"/>
    <x v="13"/>
  </r>
  <r>
    <x v="705"/>
    <n v="20603"/>
    <s v="Primary"/>
    <n v="418"/>
    <s v="no"/>
    <s v="Wood-Vinyl-Fiberglass:Double"/>
    <x v="6"/>
    <x v="0"/>
    <n v="1"/>
    <x v="18"/>
  </r>
  <r>
    <x v="706"/>
    <n v="20606"/>
    <s v="Primary"/>
    <n v="264"/>
    <s v="no"/>
    <s v="Wood-Vinyl-Fiberglass:Double:low-e"/>
    <x v="1"/>
    <x v="0"/>
    <n v="1"/>
    <x v="15"/>
  </r>
  <r>
    <x v="707"/>
    <n v="20612"/>
    <s v="Primary"/>
    <n v="306"/>
    <s v="no"/>
    <s v="Wood-Vinyl-Fiberglass:Double:low-e"/>
    <x v="1"/>
    <x v="0"/>
    <n v="1"/>
    <x v="8"/>
  </r>
  <r>
    <x v="708"/>
    <n v="20613"/>
    <s v="Primary"/>
    <n v="372"/>
    <s v="no"/>
    <s v="Wood-Vinyl-Fiberglass:Double:low-e"/>
    <x v="0"/>
    <x v="0"/>
    <n v="1"/>
    <x v="10"/>
  </r>
  <r>
    <x v="709"/>
    <n v="20618"/>
    <s v="Primary"/>
    <n v="126"/>
    <s v="no"/>
    <s v="Wood-Vinyl-Fiberglass:Double:low-e"/>
    <x v="1"/>
    <x v="0"/>
    <n v="1"/>
    <x v="15"/>
  </r>
  <r>
    <x v="710"/>
    <n v="20619"/>
    <s v="Primary"/>
    <n v="233"/>
    <s v="no"/>
    <s v="Wood-Vinyl-Fiberglass:Double:low-e"/>
    <x v="0"/>
    <x v="0"/>
    <n v="1"/>
    <x v="8"/>
  </r>
  <r>
    <x v="711"/>
    <n v="20626"/>
    <s v="Primary"/>
    <n v="330"/>
    <s v="no"/>
    <s v="Wood-Vinyl-Fiberglass:Double:low-e"/>
    <x v="1"/>
    <x v="0"/>
    <n v="1"/>
    <x v="10"/>
  </r>
  <r>
    <x v="712"/>
    <n v="20632"/>
    <s v="Primary"/>
    <n v="273"/>
    <s v="no"/>
    <s v="Metal:Double"/>
    <x v="5"/>
    <x v="1"/>
    <n v="1"/>
    <x v="18"/>
  </r>
  <r>
    <x v="713"/>
    <n v="20635"/>
    <s v="Primary"/>
    <n v="194"/>
    <s v="no"/>
    <s v="Wood-Vinyl-Fiberglass:Double"/>
    <x v="6"/>
    <x v="0"/>
    <n v="1"/>
    <x v="13"/>
  </r>
  <r>
    <x v="714"/>
    <n v="20646"/>
    <s v="Primary"/>
    <n v="84"/>
    <s v="no"/>
    <s v="Wood-Vinyl-Fiberglass:Single"/>
    <x v="7"/>
    <x v="2"/>
    <n v="1"/>
    <x v="10"/>
  </r>
  <r>
    <x v="715"/>
    <n v="20650"/>
    <s v="Primary"/>
    <n v="81"/>
    <s v="no"/>
    <s v="Wood-Vinyl-Fiberglass:Double:low-e"/>
    <x v="0"/>
    <x v="0"/>
    <n v="1"/>
    <x v="17"/>
  </r>
  <r>
    <x v="716"/>
    <n v="20671"/>
    <s v="Primary"/>
    <n v="40"/>
    <s v="no"/>
    <s v="Wood-Vinyl-Fiberglass:Double:low-e"/>
    <x v="1"/>
    <x v="0"/>
    <n v="1"/>
    <x v="7"/>
  </r>
  <r>
    <x v="717"/>
    <n v="20685"/>
    <s v="Primary"/>
    <n v="228"/>
    <s v="no"/>
    <s v="Wood-Vinyl-Fiberglass:Double:low-e"/>
    <x v="0"/>
    <x v="0"/>
    <n v="1"/>
    <x v="11"/>
  </r>
  <r>
    <x v="718"/>
    <n v="20688"/>
    <s v="Primary"/>
    <n v="151"/>
    <s v="no"/>
    <s v="Wood-Vinyl-Fiberglass:Double"/>
    <x v="6"/>
    <x v="0"/>
    <n v="1"/>
    <x v="11"/>
  </r>
  <r>
    <x v="719"/>
    <n v="20702"/>
    <s v="Primary"/>
    <n v="152"/>
    <s v="no"/>
    <s v="Wood-Vinyl-Fiberglass:Double"/>
    <x v="0"/>
    <x v="0"/>
    <n v="1"/>
    <x v="13"/>
  </r>
  <r>
    <x v="720"/>
    <n v="20707"/>
    <s v="Primary"/>
    <n v="98"/>
    <s v="no"/>
    <s v="Wood-Vinyl-Fiberglass:Double"/>
    <x v="6"/>
    <x v="0"/>
    <n v="1"/>
    <x v="11"/>
  </r>
  <r>
    <x v="721"/>
    <n v="20712"/>
    <s v="Primary"/>
    <n v="420"/>
    <s v="no"/>
    <s v="Wood-Vinyl-Fiberglass:Double"/>
    <x v="0"/>
    <x v="0"/>
    <n v="1"/>
    <x v="8"/>
  </r>
  <r>
    <x v="722"/>
    <n v="20716"/>
    <s v="Primary"/>
    <n v="141"/>
    <s v="no"/>
    <s v="Wood-Vinyl-Fiberglass:Double"/>
    <x v="6"/>
    <x v="0"/>
    <n v="1"/>
    <x v="12"/>
  </r>
  <r>
    <x v="723"/>
    <n v="20746"/>
    <s v="Primary"/>
    <n v="362"/>
    <s v="no"/>
    <s v="Wood-Vinyl-Fiberglass:Double:low-e"/>
    <x v="1"/>
    <x v="0"/>
    <n v="1"/>
    <x v="13"/>
  </r>
  <r>
    <x v="724"/>
    <n v="20748"/>
    <s v="Primary"/>
    <n v="259"/>
    <s v="no"/>
    <s v="Wood-Vinyl-Fiberglass:Double:low-e"/>
    <x v="1"/>
    <x v="0"/>
    <n v="1"/>
    <x v="18"/>
  </r>
  <r>
    <x v="725"/>
    <n v="20753"/>
    <s v="Primary"/>
    <n v="186"/>
    <s v="no"/>
    <s v="Wood-Vinyl-Fiberglass:Double:low-e"/>
    <x v="0"/>
    <x v="0"/>
    <n v="1"/>
    <x v="11"/>
  </r>
  <r>
    <x v="726"/>
    <n v="20758"/>
    <s v="Primary"/>
    <n v="175"/>
    <s v="no"/>
    <s v="Wood-Vinyl-Fiberglass:Double"/>
    <x v="6"/>
    <x v="0"/>
    <n v="1"/>
    <x v="10"/>
  </r>
  <r>
    <x v="727"/>
    <n v="20770"/>
    <s v="Primary"/>
    <n v="198"/>
    <s v="no"/>
    <s v="Wood-Vinyl-Fiberglass:Double:low-e"/>
    <x v="1"/>
    <x v="0"/>
    <n v="1"/>
    <x v="8"/>
  </r>
  <r>
    <x v="728"/>
    <n v="20775"/>
    <s v="Primary"/>
    <n v="577"/>
    <s v="no"/>
    <s v="Wood-Vinyl-Fiberglass:Double:low-e"/>
    <x v="0"/>
    <x v="0"/>
    <n v="1"/>
    <x v="13"/>
  </r>
  <r>
    <x v="729"/>
    <n v="20777"/>
    <s v="Primary"/>
    <n v="240"/>
    <s v="no"/>
    <s v="Wood-Vinyl-Fiberglass:Double:low-e"/>
    <x v="0"/>
    <x v="0"/>
    <n v="1"/>
    <x v="8"/>
  </r>
  <r>
    <x v="730"/>
    <n v="20778"/>
    <s v="Primary"/>
    <n v="317"/>
    <s v="no"/>
    <s v="Wood-Vinyl-Fiberglass:Double"/>
    <x v="6"/>
    <x v="0"/>
    <n v="1"/>
    <x v="12"/>
  </r>
  <r>
    <x v="731"/>
    <n v="20779"/>
    <s v="Primary"/>
    <n v="318"/>
    <s v="no"/>
    <s v="Wood-Vinyl-Fiberglass:Double:low-e"/>
    <x v="0"/>
    <x v="0"/>
    <n v="1"/>
    <x v="8"/>
  </r>
  <r>
    <x v="732"/>
    <n v="20783"/>
    <s v="Primary"/>
    <n v="90"/>
    <s v="yes"/>
    <s v="Wood-Vinyl-Fiberglass:Single"/>
    <x v="2"/>
    <x v="2"/>
    <n v="1"/>
    <x v="12"/>
  </r>
  <r>
    <x v="733"/>
    <n v="20792"/>
    <s v="Primary"/>
    <n v="199"/>
    <s v="yes"/>
    <s v="Metal:Double"/>
    <x v="2"/>
    <x v="1"/>
    <n v="1"/>
    <x v="18"/>
  </r>
  <r>
    <x v="734"/>
    <n v="20807"/>
    <s v="Primary"/>
    <n v="193"/>
    <s v="no"/>
    <s v="Wood-Vinyl-Fiberglass:Double:low-e"/>
    <x v="1"/>
    <x v="0"/>
    <n v="1"/>
    <x v="9"/>
  </r>
  <r>
    <x v="735"/>
    <n v="20808"/>
    <s v="Primary"/>
    <n v="176"/>
    <s v="no"/>
    <s v="Wood-Vinyl-Fiberglass:Double:low-e"/>
    <x v="1"/>
    <x v="0"/>
    <n v="1"/>
    <x v="11"/>
  </r>
  <r>
    <x v="736"/>
    <n v="20809"/>
    <s v="Primary"/>
    <n v="154"/>
    <s v="no"/>
    <s v="Metal:Double"/>
    <x v="5"/>
    <x v="1"/>
    <n v="1"/>
    <x v="18"/>
  </r>
  <r>
    <x v="737"/>
    <n v="20814"/>
    <s v="Primary"/>
    <n v="174"/>
    <s v="no"/>
    <s v="Wood-Vinyl-Fiberglass:Double"/>
    <x v="6"/>
    <x v="0"/>
    <n v="1"/>
    <x v="8"/>
  </r>
  <r>
    <x v="738"/>
    <n v="20817"/>
    <s v="Primary"/>
    <n v="236"/>
    <s v="no"/>
    <s v="Wood-Vinyl-Fiberglass:Double:low-e"/>
    <x v="1"/>
    <x v="0"/>
    <n v="1"/>
    <x v="8"/>
  </r>
  <r>
    <x v="739"/>
    <n v="20819"/>
    <s v="Primary"/>
    <n v="198"/>
    <s v="no"/>
    <s v="Wood-Vinyl-Fiberglass:Double:low-e"/>
    <x v="0"/>
    <x v="0"/>
    <n v="1"/>
    <x v="18"/>
  </r>
  <r>
    <x v="740"/>
    <n v="20825"/>
    <s v="Primary"/>
    <n v="146"/>
    <s v="no"/>
    <s v="Wood-Vinyl-Fiberglass:Double:low-e"/>
    <x v="1"/>
    <x v="0"/>
    <n v="1"/>
    <x v="8"/>
  </r>
  <r>
    <x v="741"/>
    <n v="20839"/>
    <s v="Primary"/>
    <n v="359"/>
    <s v="no"/>
    <s v="Wood-Vinyl-Fiberglass:Double:low-e"/>
    <x v="1"/>
    <x v="0"/>
    <n v="1"/>
    <x v="10"/>
  </r>
  <r>
    <x v="742"/>
    <n v="20853"/>
    <s v="Primary"/>
    <n v="398"/>
    <s v="no"/>
    <s v="Metal:Double:low-e"/>
    <x v="2"/>
    <x v="1"/>
    <n v="1"/>
    <x v="15"/>
  </r>
  <r>
    <x v="743"/>
    <n v="20859"/>
    <s v="Primary"/>
    <n v="110"/>
    <s v="no"/>
    <s v="Wood-Vinyl-Fiberglass:Double:low-e"/>
    <x v="0"/>
    <x v="0"/>
    <n v="1"/>
    <x v="8"/>
  </r>
  <r>
    <x v="744"/>
    <n v="20861"/>
    <s v="Primary"/>
    <n v="106"/>
    <s v="no"/>
    <s v="Wood-Vinyl-Fiberglass:Double:low-e"/>
    <x v="1"/>
    <x v="0"/>
    <n v="1"/>
    <x v="13"/>
  </r>
  <r>
    <x v="745"/>
    <n v="20863"/>
    <s v="Primary"/>
    <n v="257"/>
    <s v="no"/>
    <s v="Wood-Vinyl-Fiberglass:Double:low-e"/>
    <x v="0"/>
    <x v="0"/>
    <n v="1"/>
    <x v="16"/>
  </r>
  <r>
    <x v="746"/>
    <n v="20878"/>
    <s v="Primary"/>
    <n v="272"/>
    <s v="no"/>
    <s v="Metal:Double:low-e"/>
    <x v="2"/>
    <x v="1"/>
    <n v="1"/>
    <x v="10"/>
  </r>
  <r>
    <x v="747"/>
    <n v="20894"/>
    <s v="Primary"/>
    <n v="116"/>
    <s v="no"/>
    <s v="Wood-Vinyl-Fiberglass:Double:low-e"/>
    <x v="1"/>
    <x v="0"/>
    <n v="1"/>
    <x v="8"/>
  </r>
  <r>
    <x v="748"/>
    <n v="20895"/>
    <s v="Primary"/>
    <n v="119"/>
    <s v="no"/>
    <s v="Wood-Vinyl-Fiberglass:Double"/>
    <x v="6"/>
    <x v="0"/>
    <n v="1"/>
    <x v="15"/>
  </r>
  <r>
    <x v="749"/>
    <n v="20902"/>
    <s v="Primary"/>
    <n v="294"/>
    <s v="no"/>
    <s v="Wood-Vinyl-Fiberglass:Double"/>
    <x v="0"/>
    <x v="0"/>
    <n v="1"/>
    <x v="13"/>
  </r>
  <r>
    <x v="750"/>
    <n v="20905"/>
    <s v="Primary"/>
    <n v="108"/>
    <s v="no"/>
    <s v="Wood-Vinyl-Fiberglass:Single"/>
    <x v="7"/>
    <x v="2"/>
    <n v="1"/>
    <x v="7"/>
  </r>
  <r>
    <x v="751"/>
    <n v="20920"/>
    <s v="Primary"/>
    <n v="142"/>
    <s v="no"/>
    <s v="Metal:Double"/>
    <x v="5"/>
    <x v="1"/>
    <n v="1"/>
    <x v="8"/>
  </r>
  <r>
    <x v="752"/>
    <n v="20930"/>
    <s v="Primary"/>
    <n v="362"/>
    <s v="no"/>
    <s v="Wood-Vinyl-Fiberglass:Double:low-e"/>
    <x v="0"/>
    <x v="0"/>
    <n v="1"/>
    <x v="10"/>
  </r>
  <r>
    <x v="753"/>
    <n v="20936"/>
    <s v="Primary"/>
    <n v="243"/>
    <s v="no"/>
    <s v="Wood-Vinyl-Fiberglass:Double"/>
    <x v="6"/>
    <x v="0"/>
    <n v="1"/>
    <x v="10"/>
  </r>
  <r>
    <x v="754"/>
    <n v="20941"/>
    <s v="Primary"/>
    <n v="65"/>
    <s v="no"/>
    <s v="Wood-Vinyl-Fiberglass:Double:low-e"/>
    <x v="1"/>
    <x v="0"/>
    <n v="1"/>
    <x v="11"/>
  </r>
  <r>
    <x v="755"/>
    <n v="20946"/>
    <s v="Primary"/>
    <n v="235"/>
    <s v="no"/>
    <s v="Wood-Vinyl-Fiberglass:Double:low-e"/>
    <x v="1"/>
    <x v="0"/>
    <n v="1"/>
    <x v="13"/>
  </r>
  <r>
    <x v="756"/>
    <n v="20958"/>
    <s v="Primary"/>
    <n v="327"/>
    <s v="no"/>
    <s v="Wood-Vinyl-Fiberglass:Double:low-e"/>
    <x v="1"/>
    <x v="0"/>
    <n v="1"/>
    <x v="18"/>
  </r>
  <r>
    <x v="757"/>
    <n v="20965"/>
    <s v="Primary"/>
    <n v="92"/>
    <s v="no"/>
    <s v="Wood-Vinyl-Fiberglass:Double:low-e"/>
    <x v="1"/>
    <x v="0"/>
    <n v="1"/>
    <x v="11"/>
  </r>
  <r>
    <x v="758"/>
    <n v="20968"/>
    <s v="Primary"/>
    <n v="424"/>
    <s v="no"/>
    <s v="Wood-Vinyl-Fiberglass:Double:low-e"/>
    <x v="1"/>
    <x v="0"/>
    <n v="1"/>
    <x v="15"/>
  </r>
  <r>
    <x v="759"/>
    <n v="20970"/>
    <s v="Primary"/>
    <n v="196"/>
    <s v="no"/>
    <s v="Wood-Vinyl-Fiberglass:Double:low-e"/>
    <x v="1"/>
    <x v="0"/>
    <n v="1"/>
    <x v="8"/>
  </r>
  <r>
    <x v="760"/>
    <n v="20974"/>
    <s v="Primary"/>
    <n v="213"/>
    <s v="no"/>
    <s v="Wood-Vinyl-Fiberglass:Double:low-e"/>
    <x v="0"/>
    <x v="0"/>
    <n v="1"/>
    <x v="11"/>
  </r>
  <r>
    <x v="761"/>
    <n v="20976"/>
    <s v="Primary"/>
    <n v="133"/>
    <s v="no"/>
    <s v="Wood-Vinyl-Fiberglass:Double:low-e"/>
    <x v="0"/>
    <x v="0"/>
    <n v="1"/>
    <x v="18"/>
  </r>
  <r>
    <x v="762"/>
    <n v="20995"/>
    <s v="Primary"/>
    <n v="63"/>
    <s v="no"/>
    <s v="Wood-Vinyl-Fiberglass:Single"/>
    <x v="7"/>
    <x v="2"/>
    <n v="1"/>
    <x v="13"/>
  </r>
  <r>
    <x v="763"/>
    <n v="20998"/>
    <s v="Primary"/>
    <n v="234"/>
    <s v="no"/>
    <s v="Wood-Vinyl-Fiberglass:Double:low-e"/>
    <x v="1"/>
    <x v="0"/>
    <n v="1"/>
    <x v="11"/>
  </r>
  <r>
    <x v="764"/>
    <n v="21002"/>
    <s v="Primary"/>
    <n v="132"/>
    <s v="no"/>
    <s v="Wood-Vinyl-Fiberglass:Double"/>
    <x v="6"/>
    <x v="0"/>
    <n v="1"/>
    <x v="12"/>
  </r>
  <r>
    <x v="765"/>
    <n v="21003"/>
    <s v="Primary"/>
    <n v="394"/>
    <s v="no"/>
    <s v="Wood-Vinyl-Fiberglass:Double:low-e"/>
    <x v="0"/>
    <x v="0"/>
    <n v="1"/>
    <x v="8"/>
  </r>
  <r>
    <x v="766"/>
    <n v="21006"/>
    <s v="Primary"/>
    <n v="187"/>
    <s v="no"/>
    <s v="Wood-Vinyl-Fiberglass:Double:low-e"/>
    <x v="1"/>
    <x v="0"/>
    <n v="1"/>
    <x v="18"/>
  </r>
  <r>
    <x v="767"/>
    <n v="21012"/>
    <s v="Primary"/>
    <n v="139"/>
    <s v="no"/>
    <s v="Wood-Vinyl-Fiberglass:Double:low-e"/>
    <x v="0"/>
    <x v="0"/>
    <n v="1"/>
    <x v="11"/>
  </r>
  <r>
    <x v="768"/>
    <n v="21016"/>
    <s v="Primary"/>
    <n v="186"/>
    <s v="no"/>
    <s v="Wood-Vinyl-Fiberglass:Double"/>
    <x v="6"/>
    <x v="0"/>
    <n v="1"/>
    <x v="11"/>
  </r>
  <r>
    <x v="769"/>
    <n v="21018"/>
    <s v="Primary"/>
    <n v="68"/>
    <s v="no"/>
    <s v="Wood-Vinyl-Fiberglass:Double:low-e"/>
    <x v="1"/>
    <x v="0"/>
    <n v="1"/>
    <x v="13"/>
  </r>
  <r>
    <x v="770"/>
    <n v="21021"/>
    <s v="Primary"/>
    <n v="195"/>
    <s v="no"/>
    <s v="Wood-Vinyl-Fiberglass:Double:low-e"/>
    <x v="0"/>
    <x v="0"/>
    <n v="1"/>
    <x v="7"/>
  </r>
  <r>
    <x v="771"/>
    <n v="21026"/>
    <s v="Primary"/>
    <n v="67"/>
    <s v="no"/>
    <s v="Metal:Double"/>
    <x v="10"/>
    <x v="1"/>
    <n v="1"/>
    <x v="7"/>
  </r>
  <r>
    <x v="772"/>
    <n v="21038"/>
    <s v="Primary"/>
    <n v="139"/>
    <s v="no"/>
    <s v="Wood-Vinyl-Fiberglass:Double:low-e"/>
    <x v="0"/>
    <x v="0"/>
    <n v="1"/>
    <x v="10"/>
  </r>
  <r>
    <x v="773"/>
    <n v="21045"/>
    <s v="Primary"/>
    <n v="134"/>
    <s v="no"/>
    <s v="Wood-Vinyl-Fiberglass:Double:low-e"/>
    <x v="1"/>
    <x v="0"/>
    <n v="1"/>
    <x v="13"/>
  </r>
  <r>
    <x v="774"/>
    <n v="21049"/>
    <s v="Primary"/>
    <n v="313"/>
    <s v="no"/>
    <s v="Wood-Vinyl-Fiberglass:Double:low-e"/>
    <x v="1"/>
    <x v="0"/>
    <n v="1"/>
    <x v="13"/>
  </r>
  <r>
    <x v="775"/>
    <n v="21070"/>
    <s v="Primary"/>
    <n v="272"/>
    <s v="no"/>
    <s v="Wood-Vinyl-Fiberglass:Double:low-e"/>
    <x v="0"/>
    <x v="0"/>
    <n v="1"/>
    <x v="10"/>
  </r>
  <r>
    <x v="776"/>
    <n v="21085"/>
    <s v="Primary"/>
    <n v="103"/>
    <s v="no"/>
    <s v="Wood-Vinyl-Fiberglass:Double"/>
    <x v="6"/>
    <x v="0"/>
    <n v="1"/>
    <x v="11"/>
  </r>
  <r>
    <x v="777"/>
    <n v="21089"/>
    <s v="Primary"/>
    <n v="140"/>
    <s v="no"/>
    <s v="Wood-Vinyl-Fiberglass:Double"/>
    <x v="0"/>
    <x v="0"/>
    <n v="1"/>
    <x v="11"/>
  </r>
  <r>
    <x v="778"/>
    <n v="21091"/>
    <s v="Primary"/>
    <n v="209"/>
    <s v="no"/>
    <s v="Wood-Vinyl-Fiberglass:Double"/>
    <x v="0"/>
    <x v="0"/>
    <n v="1"/>
    <x v="16"/>
  </r>
  <r>
    <x v="779"/>
    <n v="21103"/>
    <s v="Primary"/>
    <n v="102"/>
    <s v="no"/>
    <s v="Wood-Vinyl-Fiberglass:Double:low-e"/>
    <x v="1"/>
    <x v="0"/>
    <n v="1"/>
    <x v="8"/>
  </r>
  <r>
    <x v="780"/>
    <n v="21107"/>
    <s v="Primary"/>
    <n v="194"/>
    <s v="no"/>
    <s v="Wood-Vinyl-Fiberglass:Double"/>
    <x v="0"/>
    <x v="0"/>
    <n v="1"/>
    <x v="12"/>
  </r>
  <r>
    <x v="781"/>
    <n v="21109"/>
    <s v="Primary"/>
    <n v="164"/>
    <s v="no"/>
    <s v="Wood-Vinyl-Fiberglass:Double:low-e"/>
    <x v="0"/>
    <x v="0"/>
    <n v="1"/>
    <x v="17"/>
  </r>
  <r>
    <x v="782"/>
    <n v="21112"/>
    <s v="Primary"/>
    <n v="243"/>
    <s v="no"/>
    <s v="Wood-Vinyl-Fiberglass:Double:low-e"/>
    <x v="0"/>
    <x v="0"/>
    <n v="1"/>
    <x v="15"/>
  </r>
  <r>
    <x v="783"/>
    <n v="21122"/>
    <s v="Primary"/>
    <n v="133"/>
    <s v="no"/>
    <s v="Wood-Vinyl-Fiberglass:Double:low-e"/>
    <x v="1"/>
    <x v="0"/>
    <n v="1"/>
    <x v="10"/>
  </r>
  <r>
    <x v="784"/>
    <n v="21132"/>
    <s v="Primary"/>
    <n v="231"/>
    <s v="no"/>
    <s v="Wood-Vinyl-Fiberglass:Double:low-e"/>
    <x v="1"/>
    <x v="0"/>
    <n v="1"/>
    <x v="8"/>
  </r>
  <r>
    <x v="785"/>
    <n v="21137"/>
    <s v="Primary"/>
    <n v="146"/>
    <s v="no"/>
    <s v="Metal:Double"/>
    <x v="5"/>
    <x v="1"/>
    <n v="1"/>
    <x v="13"/>
  </r>
  <r>
    <x v="786"/>
    <n v="21143"/>
    <s v="Primary"/>
    <n v="153"/>
    <s v="yes"/>
    <s v="Metal:Double"/>
    <x v="2"/>
    <x v="1"/>
    <n v="1"/>
    <x v="15"/>
  </r>
  <r>
    <x v="787"/>
    <n v="21155"/>
    <s v="Primary"/>
    <n v="348"/>
    <s v="yes"/>
    <s v="Metal:Double"/>
    <x v="2"/>
    <x v="1"/>
    <n v="1"/>
    <x v="18"/>
  </r>
  <r>
    <x v="788"/>
    <n v="21160"/>
    <s v="Primary"/>
    <n v="306"/>
    <s v="yes"/>
    <s v="Wood-Vinyl-Fiberglass:Single"/>
    <x v="2"/>
    <x v="2"/>
    <n v="1"/>
    <x v="17"/>
  </r>
  <r>
    <x v="789"/>
    <n v="21176"/>
    <s v="Primary"/>
    <n v="270"/>
    <s v="no"/>
    <s v="Wood-Vinyl-Fiberglass:Double:low-e"/>
    <x v="1"/>
    <x v="0"/>
    <n v="1"/>
    <x v="18"/>
  </r>
  <r>
    <x v="790"/>
    <n v="21180"/>
    <s v="Primary"/>
    <n v="485"/>
    <s v="no"/>
    <s v="Wood-Vinyl-Fiberglass:Double:low-e"/>
    <x v="1"/>
    <x v="0"/>
    <n v="1"/>
    <x v="8"/>
  </r>
  <r>
    <x v="791"/>
    <n v="21188"/>
    <s v="Primary"/>
    <n v="217"/>
    <s v="yes"/>
    <s v="Metal:Single"/>
    <x v="5"/>
    <x v="3"/>
    <n v="1"/>
    <x v="14"/>
  </r>
  <r>
    <x v="792"/>
    <n v="21201"/>
    <s v="Primary"/>
    <n v="289"/>
    <s v="no"/>
    <s v="Wood-Vinyl-Fiberglass:Double:low-e"/>
    <x v="1"/>
    <x v="0"/>
    <n v="1"/>
    <x v="8"/>
  </r>
  <r>
    <x v="793"/>
    <n v="21203"/>
    <s v="Primary"/>
    <n v="144"/>
    <s v="yes"/>
    <s v="Wood-Vinyl-Fiberglass:Double"/>
    <x v="0"/>
    <x v="0"/>
    <n v="1"/>
    <x v="8"/>
  </r>
  <r>
    <x v="794"/>
    <n v="21214"/>
    <s v="Primary"/>
    <n v="404"/>
    <s v="no"/>
    <s v="Wood-Vinyl-Fiberglass:Double:low-e"/>
    <x v="1"/>
    <x v="0"/>
    <n v="1"/>
    <x v="12"/>
  </r>
  <r>
    <x v="795"/>
    <n v="21218"/>
    <s v="Primary"/>
    <n v="1164"/>
    <s v="no"/>
    <s v="Wood-Vinyl-Fiberglass:Double:low-e"/>
    <x v="1"/>
    <x v="0"/>
    <n v="1"/>
    <x v="18"/>
  </r>
  <r>
    <x v="796"/>
    <n v="21219"/>
    <s v="Primary"/>
    <n v="188"/>
    <s v="no"/>
    <s v="Wood-Vinyl-Fiberglass:Double:low-e"/>
    <x v="1"/>
    <x v="0"/>
    <n v="1"/>
    <x v="16"/>
  </r>
  <r>
    <x v="797"/>
    <n v="21225"/>
    <s v="Primary"/>
    <n v="464"/>
    <s v="no"/>
    <s v="Wood-Vinyl-Fiberglass:Double:low-e"/>
    <x v="1"/>
    <x v="0"/>
    <n v="1"/>
    <x v="13"/>
  </r>
  <r>
    <x v="798"/>
    <n v="21228"/>
    <s v="Primary"/>
    <n v="120"/>
    <s v="no"/>
    <s v="Wood-Vinyl-Fiberglass:Double"/>
    <x v="0"/>
    <x v="0"/>
    <n v="1"/>
    <x v="11"/>
  </r>
  <r>
    <x v="799"/>
    <n v="21231"/>
    <s v="Primary"/>
    <n v="325"/>
    <s v="no"/>
    <s v="Wood-Vinyl-Fiberglass:Double:low-e"/>
    <x v="0"/>
    <x v="0"/>
    <n v="1"/>
    <x v="15"/>
  </r>
  <r>
    <x v="800"/>
    <n v="21233"/>
    <s v="Primary"/>
    <n v="124"/>
    <s v="no"/>
    <s v="Wood-Vinyl-Fiberglass:Double:low-e"/>
    <x v="1"/>
    <x v="0"/>
    <n v="1"/>
    <x v="13"/>
  </r>
  <r>
    <x v="801"/>
    <n v="21238"/>
    <s v="Primary"/>
    <n v="221"/>
    <s v="no"/>
    <s v="Wood-Vinyl-Fiberglass:Double:low-e"/>
    <x v="1"/>
    <x v="0"/>
    <n v="1"/>
    <x v="13"/>
  </r>
  <r>
    <x v="802"/>
    <n v="21242"/>
    <s v="Primary"/>
    <n v="297"/>
    <s v="no"/>
    <s v="Metal:Double:low-e"/>
    <x v="2"/>
    <x v="1"/>
    <n v="1"/>
    <x v="17"/>
  </r>
  <r>
    <x v="803"/>
    <n v="21252"/>
    <s v="Primary"/>
    <n v="697"/>
    <s v="no"/>
    <s v="Wood-Vinyl-Fiberglass:Double:low-e"/>
    <x v="1"/>
    <x v="0"/>
    <n v="1"/>
    <x v="15"/>
  </r>
  <r>
    <x v="804"/>
    <n v="21258"/>
    <s v="Primary"/>
    <n v="225"/>
    <s v="no"/>
    <s v="Wood-Vinyl-Fiberglass:Double:low-e"/>
    <x v="1"/>
    <x v="0"/>
    <n v="1"/>
    <x v="15"/>
  </r>
  <r>
    <x v="805"/>
    <n v="21259"/>
    <s v="Primary"/>
    <n v="169"/>
    <s v="no"/>
    <s v="Wood-Vinyl-Fiberglass:Double"/>
    <x v="6"/>
    <x v="0"/>
    <n v="1"/>
    <x v="11"/>
  </r>
  <r>
    <x v="806"/>
    <n v="21263"/>
    <s v="Primary"/>
    <n v="227"/>
    <s v="no"/>
    <s v="Wood-Vinyl-Fiberglass:Double"/>
    <x v="6"/>
    <x v="0"/>
    <n v="1"/>
    <x v="10"/>
  </r>
  <r>
    <x v="807"/>
    <n v="21264"/>
    <s v="Primary"/>
    <n v="202"/>
    <s v="no"/>
    <s v="Wood-Vinyl-Fiberglass:Double:low-e"/>
    <x v="1"/>
    <x v="0"/>
    <n v="1"/>
    <x v="10"/>
  </r>
  <r>
    <x v="808"/>
    <n v="21277"/>
    <s v="Primary"/>
    <n v="290"/>
    <s v="no"/>
    <s v="Wood-Vinyl-Fiberglass:Single"/>
    <x v="7"/>
    <x v="2"/>
    <n v="1"/>
    <x v="15"/>
  </r>
  <r>
    <x v="809"/>
    <n v="21291"/>
    <s v="Primary"/>
    <n v="468"/>
    <s v="no"/>
    <s v="Wood-Vinyl-Fiberglass:Double"/>
    <x v="6"/>
    <x v="0"/>
    <n v="1"/>
    <x v="8"/>
  </r>
  <r>
    <x v="810"/>
    <n v="21293"/>
    <s v="Primary"/>
    <n v="246"/>
    <s v="no"/>
    <s v="Wood-Vinyl-Fiberglass:Double:low-e"/>
    <x v="0"/>
    <x v="0"/>
    <n v="1"/>
    <x v="11"/>
  </r>
  <r>
    <x v="811"/>
    <n v="21294"/>
    <s v="Primary"/>
    <n v="377"/>
    <s v="no"/>
    <s v="Wood-Vinyl-Fiberglass:Double"/>
    <x v="0"/>
    <x v="0"/>
    <n v="1"/>
    <x v="8"/>
  </r>
  <r>
    <x v="812"/>
    <n v="21295"/>
    <s v="Primary"/>
    <n v="83"/>
    <s v="no"/>
    <s v="Wood-Vinyl-Fiberglass:Double"/>
    <x v="0"/>
    <x v="0"/>
    <n v="1"/>
    <x v="15"/>
  </r>
  <r>
    <x v="813"/>
    <n v="21296"/>
    <s v="Primary"/>
    <n v="72"/>
    <s v="yes"/>
    <s v="Wood-Vinyl-Fiberglass:Single"/>
    <x v="2"/>
    <x v="2"/>
    <n v="1"/>
    <x v="17"/>
  </r>
  <r>
    <x v="814"/>
    <n v="21298"/>
    <s v="Primary"/>
    <n v="395"/>
    <s v="no"/>
    <s v="Wood-Vinyl-Fiberglass:Double:low-e"/>
    <x v="1"/>
    <x v="0"/>
    <n v="1"/>
    <x v="11"/>
  </r>
  <r>
    <x v="815"/>
    <n v="21305"/>
    <s v="Primary"/>
    <n v="58"/>
    <s v="no"/>
    <s v="Wood-Vinyl-Fiberglass:Double:low-e"/>
    <x v="1"/>
    <x v="0"/>
    <n v="1"/>
    <x v="15"/>
  </r>
  <r>
    <x v="816"/>
    <n v="21316"/>
    <s v="Primary"/>
    <n v="91"/>
    <s v="no"/>
    <s v="Metal:Double"/>
    <x v="5"/>
    <x v="1"/>
    <n v="1"/>
    <x v="11"/>
  </r>
  <r>
    <x v="817"/>
    <n v="21319"/>
    <s v="Primary"/>
    <n v="117"/>
    <s v="no"/>
    <s v="Wood-Vinyl-Fiberglass:Double"/>
    <x v="6"/>
    <x v="0"/>
    <n v="1"/>
    <x v="13"/>
  </r>
  <r>
    <x v="818"/>
    <n v="21320"/>
    <s v="Primary"/>
    <n v="178"/>
    <s v="no"/>
    <s v="Wood-Vinyl-Fiberglass:Double:low-e"/>
    <x v="0"/>
    <x v="0"/>
    <n v="1"/>
    <x v="8"/>
  </r>
  <r>
    <x v="819"/>
    <n v="21326"/>
    <s v="Primary"/>
    <n v="338"/>
    <s v="no"/>
    <s v="Wood-Vinyl-Fiberglass:Double:low-e"/>
    <x v="0"/>
    <x v="0"/>
    <n v="1"/>
    <x v="17"/>
  </r>
  <r>
    <x v="820"/>
    <n v="21334"/>
    <s v="Primary"/>
    <n v="113"/>
    <s v="no"/>
    <s v="Metal:Double"/>
    <x v="5"/>
    <x v="1"/>
    <n v="1"/>
    <x v="9"/>
  </r>
  <r>
    <x v="821"/>
    <n v="21343"/>
    <s v="Primary"/>
    <n v="198"/>
    <s v="no"/>
    <s v="Wood-Vinyl-Fiberglass:Double:low-e"/>
    <x v="0"/>
    <x v="0"/>
    <n v="1"/>
    <x v="7"/>
  </r>
  <r>
    <x v="822"/>
    <n v="21345"/>
    <s v="Primary"/>
    <n v="82"/>
    <s v="no"/>
    <s v="Metal:Single"/>
    <x v="8"/>
    <x v="3"/>
    <n v="1"/>
    <x v="15"/>
  </r>
  <r>
    <x v="823"/>
    <n v="21350"/>
    <s v="Primary"/>
    <n v="347"/>
    <s v="no"/>
    <s v="Wood-Vinyl-Fiberglass:Double:low-e"/>
    <x v="1"/>
    <x v="0"/>
    <n v="1"/>
    <x v="7"/>
  </r>
  <r>
    <x v="824"/>
    <n v="21353"/>
    <s v="Primary"/>
    <n v="168"/>
    <s v="no"/>
    <s v="Wood-Vinyl-Fiberglass:Double:low-e"/>
    <x v="1"/>
    <x v="0"/>
    <n v="1"/>
    <x v="18"/>
  </r>
  <r>
    <x v="825"/>
    <n v="21355"/>
    <s v="Primary"/>
    <n v="110"/>
    <s v="no"/>
    <s v="Metal:Single"/>
    <x v="8"/>
    <x v="3"/>
    <n v="1"/>
    <x v="7"/>
  </r>
  <r>
    <x v="826"/>
    <n v="21366"/>
    <s v="Primary"/>
    <n v="343"/>
    <s v="no"/>
    <s v="Wood-Vinyl-Fiberglass:Double:low-e"/>
    <x v="1"/>
    <x v="0"/>
    <n v="1"/>
    <x v="13"/>
  </r>
  <r>
    <x v="827"/>
    <n v="21367"/>
    <s v="Primary"/>
    <n v="72"/>
    <s v="no"/>
    <s v="Wood-Vinyl-Fiberglass:Single"/>
    <x v="7"/>
    <x v="2"/>
    <n v="1"/>
    <x v="13"/>
  </r>
  <r>
    <x v="828"/>
    <n v="21372"/>
    <s v="Primary"/>
    <n v="542"/>
    <s v="no"/>
    <s v="Wood-Vinyl-Fiberglass:Double:low-e"/>
    <x v="0"/>
    <x v="0"/>
    <n v="1"/>
    <x v="15"/>
  </r>
  <r>
    <x v="829"/>
    <n v="21374"/>
    <s v="Primary"/>
    <n v="186"/>
    <s v="no"/>
    <s v="Wood-Vinyl-Fiberglass:Double:low-e"/>
    <x v="1"/>
    <x v="0"/>
    <n v="1"/>
    <x v="15"/>
  </r>
  <r>
    <x v="830"/>
    <n v="21376"/>
    <s v="Primary"/>
    <n v="253"/>
    <s v="no"/>
    <s v="Metal:Double"/>
    <x v="5"/>
    <x v="1"/>
    <n v="1"/>
    <x v="11"/>
  </r>
  <r>
    <x v="831"/>
    <n v="21384"/>
    <s v="Primary"/>
    <n v="261"/>
    <s v="no"/>
    <s v="Wood-Vinyl-Fiberglass:Double:low-e"/>
    <x v="1"/>
    <x v="0"/>
    <n v="1"/>
    <x v="10"/>
  </r>
  <r>
    <x v="832"/>
    <n v="21390"/>
    <s v="Primary"/>
    <n v="278"/>
    <s v="no"/>
    <s v="Wood-Vinyl-Fiberglass:Double:low-e"/>
    <x v="1"/>
    <x v="0"/>
    <n v="1"/>
    <x v="13"/>
  </r>
  <r>
    <x v="833"/>
    <n v="21391"/>
    <s v="Primary"/>
    <n v="182"/>
    <s v="no"/>
    <s v="Wood-Vinyl-Fiberglass:Double:low-e"/>
    <x v="0"/>
    <x v="0"/>
    <n v="1"/>
    <x v="11"/>
  </r>
  <r>
    <x v="834"/>
    <n v="21394"/>
    <s v="Primary"/>
    <n v="182"/>
    <s v="no"/>
    <s v="Wood-Vinyl-Fiberglass:Double"/>
    <x v="6"/>
    <x v="0"/>
    <n v="1"/>
    <x v="8"/>
  </r>
  <r>
    <x v="835"/>
    <n v="21401"/>
    <s v="Primary"/>
    <n v="257"/>
    <s v="no"/>
    <s v="Wood-Vinyl-Fiberglass:Double:low-e"/>
    <x v="1"/>
    <x v="0"/>
    <n v="1"/>
    <x v="13"/>
  </r>
  <r>
    <x v="836"/>
    <n v="21403"/>
    <s v="Primary"/>
    <n v="187"/>
    <s v="no"/>
    <s v="Wood-Vinyl-Fiberglass:Double"/>
    <x v="6"/>
    <x v="0"/>
    <n v="1"/>
    <x v="9"/>
  </r>
  <r>
    <x v="837"/>
    <n v="21405"/>
    <s v="Primary"/>
    <n v="475"/>
    <s v="no"/>
    <s v="Wood-Vinyl-Fiberglass:Double"/>
    <x v="6"/>
    <x v="0"/>
    <n v="1"/>
    <x v="9"/>
  </r>
  <r>
    <x v="838"/>
    <n v="21408"/>
    <s v="Primary"/>
    <n v="187"/>
    <s v="no"/>
    <s v="Wood-Vinyl-Fiberglass:Double:low-e"/>
    <x v="1"/>
    <x v="0"/>
    <n v="1"/>
    <x v="11"/>
  </r>
  <r>
    <x v="839"/>
    <n v="21411"/>
    <s v="Primary"/>
    <n v="270"/>
    <s v="yes"/>
    <s v="Wood-Vinyl-Fiberglass:Single"/>
    <x v="2"/>
    <x v="2"/>
    <n v="1"/>
    <x v="13"/>
  </r>
  <r>
    <x v="840"/>
    <n v="21414"/>
    <s v="Primary"/>
    <n v="151"/>
    <s v="no"/>
    <s v="Wood-Vinyl-Fiberglass:Double:low-e"/>
    <x v="0"/>
    <x v="0"/>
    <n v="1"/>
    <x v="9"/>
  </r>
  <r>
    <x v="841"/>
    <n v="21417"/>
    <s v="Primary"/>
    <n v="253"/>
    <s v="no"/>
    <s v="Wood-Vinyl-Fiberglass:Double:low-e"/>
    <x v="1"/>
    <x v="0"/>
    <n v="1"/>
    <x v="18"/>
  </r>
  <r>
    <x v="842"/>
    <n v="21419"/>
    <s v="Primary"/>
    <n v="181"/>
    <s v="yes"/>
    <s v="Wood-Vinyl-Fiberglass:Single"/>
    <x v="2"/>
    <x v="2"/>
    <n v="1"/>
    <x v="13"/>
  </r>
  <r>
    <x v="843"/>
    <n v="21427"/>
    <s v="Primary"/>
    <n v="120"/>
    <s v="no"/>
    <s v="Metal:Double"/>
    <x v="5"/>
    <x v="1"/>
    <n v="1"/>
    <x v="15"/>
  </r>
  <r>
    <x v="844"/>
    <n v="21431"/>
    <s v="Primary"/>
    <n v="208"/>
    <s v="no"/>
    <s v="Wood-Vinyl-Fiberglass:Double"/>
    <x v="0"/>
    <x v="0"/>
    <n v="1"/>
    <x v="12"/>
  </r>
  <r>
    <x v="845"/>
    <n v="21436"/>
    <s v="Primary"/>
    <n v="103"/>
    <s v="yes"/>
    <s v="Wood-Vinyl-Fiberglass:Single"/>
    <x v="2"/>
    <x v="2"/>
    <n v="1"/>
    <x v="11"/>
  </r>
  <r>
    <x v="846"/>
    <n v="21437"/>
    <s v="Primary"/>
    <n v="274"/>
    <s v="no"/>
    <s v="Wood-Vinyl-Fiberglass:Double:low-e"/>
    <x v="0"/>
    <x v="0"/>
    <n v="1"/>
    <x v="8"/>
  </r>
  <r>
    <x v="847"/>
    <n v="21438"/>
    <s v="Primary"/>
    <n v="132"/>
    <s v="no"/>
    <s v="Metal:Double"/>
    <x v="10"/>
    <x v="1"/>
    <n v="1"/>
    <x v="15"/>
  </r>
  <r>
    <x v="848"/>
    <n v="21452"/>
    <s v="Primary"/>
    <n v="253"/>
    <s v="no"/>
    <s v="Wood-Vinyl-Fiberglass:Double"/>
    <x v="6"/>
    <x v="0"/>
    <n v="1"/>
    <x v="10"/>
  </r>
  <r>
    <x v="849"/>
    <n v="21456"/>
    <s v="Primary"/>
    <n v="58"/>
    <s v="no"/>
    <s v="Wood-Vinyl-Fiberglass:Double:low-e"/>
    <x v="0"/>
    <x v="0"/>
    <n v="1"/>
    <x v="15"/>
  </r>
  <r>
    <x v="850"/>
    <n v="21459"/>
    <s v="Primary"/>
    <n v="238"/>
    <s v="no"/>
    <s v="Wood-Vinyl-Fiberglass:Double:low-e"/>
    <x v="1"/>
    <x v="0"/>
    <n v="1"/>
    <x v="12"/>
  </r>
  <r>
    <x v="851"/>
    <n v="21460"/>
    <s v="Primary"/>
    <n v="132"/>
    <s v="no"/>
    <s v="Wood-Vinyl-Fiberglass:Double:low-e"/>
    <x v="0"/>
    <x v="0"/>
    <n v="1"/>
    <x v="11"/>
  </r>
  <r>
    <x v="852"/>
    <n v="21463"/>
    <s v="Primary"/>
    <n v="375"/>
    <s v="no"/>
    <s v="Wood-Vinyl-Fiberglass:Single"/>
    <x v="7"/>
    <x v="2"/>
    <n v="1"/>
    <x v="8"/>
  </r>
  <r>
    <x v="853"/>
    <n v="21464"/>
    <s v="Primary"/>
    <n v="162"/>
    <s v="no"/>
    <s v="Wood-Vinyl-Fiberglass:Double:low-e"/>
    <x v="0"/>
    <x v="0"/>
    <n v="1"/>
    <x v="18"/>
  </r>
  <r>
    <x v="854"/>
    <n v="21469"/>
    <s v="Primary"/>
    <n v="217"/>
    <s v="no"/>
    <s v="Metal:Double"/>
    <x v="5"/>
    <x v="1"/>
    <n v="1"/>
    <x v="10"/>
  </r>
  <r>
    <x v="855"/>
    <n v="21471"/>
    <s v="Primary"/>
    <n v="255"/>
    <s v="no"/>
    <s v="Wood-Vinyl-Fiberglass:Double"/>
    <x v="6"/>
    <x v="0"/>
    <n v="1"/>
    <x v="8"/>
  </r>
  <r>
    <x v="856"/>
    <n v="21483"/>
    <s v="Primary"/>
    <n v="215"/>
    <s v="no"/>
    <s v="Wood-Vinyl-Fiberglass:Double"/>
    <x v="0"/>
    <x v="0"/>
    <n v="1"/>
    <x v="10"/>
  </r>
  <r>
    <x v="857"/>
    <n v="21484"/>
    <s v="Primary"/>
    <n v="137"/>
    <s v="yes"/>
    <s v="Wood-Vinyl-Fiberglass:Single"/>
    <x v="2"/>
    <x v="2"/>
    <n v="1"/>
    <x v="11"/>
  </r>
  <r>
    <x v="858"/>
    <n v="21486"/>
    <s v="Primary"/>
    <n v="193"/>
    <s v="no"/>
    <s v="Wood-Vinyl-Fiberglass:Double:low-e"/>
    <x v="0"/>
    <x v="0"/>
    <n v="1"/>
    <x v="15"/>
  </r>
  <r>
    <x v="859"/>
    <n v="21487"/>
    <s v="Primary"/>
    <n v="206"/>
    <s v="no"/>
    <s v="Wood-Vinyl-Fiberglass:Double:low-e"/>
    <x v="1"/>
    <x v="0"/>
    <n v="1"/>
    <x v="7"/>
  </r>
  <r>
    <x v="860"/>
    <n v="21494"/>
    <s v="Primary"/>
    <n v="107"/>
    <s v="no"/>
    <s v="Wood-Vinyl-Fiberglass:Double"/>
    <x v="0"/>
    <x v="0"/>
    <n v="1"/>
    <x v="13"/>
  </r>
  <r>
    <x v="861"/>
    <n v="21499"/>
    <s v="Primary"/>
    <n v="119"/>
    <s v="no"/>
    <s v="Wood-Vinyl-Fiberglass:Double:low-e"/>
    <x v="1"/>
    <x v="0"/>
    <n v="1"/>
    <x v="10"/>
  </r>
  <r>
    <x v="862"/>
    <n v="21501"/>
    <s v="Primary"/>
    <n v="183"/>
    <s v="no"/>
    <s v="Wood-Vinyl-Fiberglass:Double:low-e"/>
    <x v="1"/>
    <x v="0"/>
    <n v="1"/>
    <x v="11"/>
  </r>
  <r>
    <x v="863"/>
    <n v="21503"/>
    <s v="Primary"/>
    <n v="167"/>
    <s v="no"/>
    <s v="Wood-Vinyl-Fiberglass:Double:low-e"/>
    <x v="1"/>
    <x v="0"/>
    <n v="1"/>
    <x v="8"/>
  </r>
  <r>
    <x v="864"/>
    <n v="21504"/>
    <s v="Primary"/>
    <n v="98"/>
    <s v="no"/>
    <s v="Wood-Vinyl-Fiberglass:Double:low-e"/>
    <x v="1"/>
    <x v="0"/>
    <n v="1"/>
    <x v="12"/>
  </r>
  <r>
    <x v="865"/>
    <n v="21524"/>
    <s v="Primary"/>
    <n v="399"/>
    <s v="no"/>
    <s v="Wood-Vinyl-Fiberglass:Double:low-e"/>
    <x v="1"/>
    <x v="0"/>
    <n v="1"/>
    <x v="10"/>
  </r>
  <r>
    <x v="866"/>
    <n v="21531"/>
    <s v="Primary"/>
    <n v="253"/>
    <s v="no"/>
    <s v="Metal:Double"/>
    <x v="10"/>
    <x v="1"/>
    <n v="1"/>
    <x v="14"/>
  </r>
  <r>
    <x v="867"/>
    <n v="21532"/>
    <s v="Primary"/>
    <n v="286"/>
    <s v="no"/>
    <s v="Wood-Vinyl-Fiberglass:Double:low-e"/>
    <x v="1"/>
    <x v="0"/>
    <n v="1"/>
    <x v="17"/>
  </r>
  <r>
    <x v="868"/>
    <n v="21537"/>
    <s v="Primary"/>
    <n v="175"/>
    <s v="no"/>
    <s v="Wood-Vinyl-Fiberglass:Double:low-e"/>
    <x v="0"/>
    <x v="0"/>
    <n v="1"/>
    <x v="15"/>
  </r>
  <r>
    <x v="869"/>
    <n v="21546"/>
    <s v="Primary"/>
    <n v="672"/>
    <s v="no"/>
    <s v="Wood-Vinyl-Fiberglass:Double:low-e"/>
    <x v="0"/>
    <x v="0"/>
    <n v="1"/>
    <x v="15"/>
  </r>
  <r>
    <x v="870"/>
    <n v="21566"/>
    <s v="Primary"/>
    <n v="202"/>
    <s v="yes"/>
    <s v="Wood-Vinyl-Fiberglass:Double"/>
    <x v="3"/>
    <x v="0"/>
    <n v="1"/>
    <x v="13"/>
  </r>
  <r>
    <x v="871"/>
    <n v="21578"/>
    <s v="Primary"/>
    <n v="327"/>
    <s v="no"/>
    <s v="Wood-Vinyl-Fiberglass:Double:low-e"/>
    <x v="0"/>
    <x v="0"/>
    <n v="1"/>
    <x v="8"/>
  </r>
  <r>
    <x v="872"/>
    <n v="21588"/>
    <s v="Primary"/>
    <n v="80"/>
    <s v="no"/>
    <s v="Wood-Vinyl-Fiberglass:Double"/>
    <x v="6"/>
    <x v="0"/>
    <n v="1"/>
    <x v="11"/>
  </r>
  <r>
    <x v="873"/>
    <n v="21598"/>
    <s v="Primary"/>
    <n v="243"/>
    <s v="yes"/>
    <s v="Wood-Vinyl-Fiberglass:Single"/>
    <x v="2"/>
    <x v="2"/>
    <n v="1"/>
    <x v="16"/>
  </r>
  <r>
    <x v="874"/>
    <n v="21601"/>
    <s v="Primary"/>
    <n v="159"/>
    <s v="no"/>
    <s v="Metal:Single"/>
    <x v="8"/>
    <x v="3"/>
    <n v="1"/>
    <x v="8"/>
  </r>
  <r>
    <x v="875"/>
    <n v="21605"/>
    <s v="Primary"/>
    <n v="111"/>
    <s v="yes"/>
    <s v="Wood-Vinyl-Fiberglass:Single"/>
    <x v="2"/>
    <x v="2"/>
    <n v="1"/>
    <x v="13"/>
  </r>
  <r>
    <x v="876"/>
    <n v="21612"/>
    <s v="Primary"/>
    <n v="118"/>
    <s v="yes"/>
    <s v="Wood-Vinyl-Fiberglass:Single"/>
    <x v="2"/>
    <x v="2"/>
    <n v="1"/>
    <x v="13"/>
  </r>
  <r>
    <x v="877"/>
    <n v="21615"/>
    <s v="Primary"/>
    <n v="173"/>
    <s v="no"/>
    <s v="Wood-Vinyl-Fiberglass:Double:low-e"/>
    <x v="0"/>
    <x v="0"/>
    <n v="1"/>
    <x v="9"/>
  </r>
  <r>
    <x v="878"/>
    <n v="21623"/>
    <s v="Primary"/>
    <n v="418"/>
    <s v="no"/>
    <s v="Wood-Vinyl-Fiberglass:Double:low-e"/>
    <x v="1"/>
    <x v="0"/>
    <n v="1"/>
    <x v="8"/>
  </r>
  <r>
    <x v="879"/>
    <n v="21638"/>
    <s v="Primary"/>
    <n v="185"/>
    <s v="no"/>
    <s v="Wood-Vinyl-Fiberglass:Double:low-e"/>
    <x v="0"/>
    <x v="0"/>
    <n v="1"/>
    <x v="13"/>
  </r>
  <r>
    <x v="880"/>
    <n v="21647"/>
    <s v="Primary"/>
    <n v="118"/>
    <s v="no"/>
    <s v="Metal:Double"/>
    <x v="5"/>
    <x v="1"/>
    <n v="1"/>
    <x v="15"/>
  </r>
  <r>
    <x v="881"/>
    <n v="21654"/>
    <s v="Primary"/>
    <n v="156"/>
    <s v="no"/>
    <s v="Wood-Vinyl-Fiberglass:Double:low-e"/>
    <x v="1"/>
    <x v="0"/>
    <n v="1"/>
    <x v="12"/>
  </r>
  <r>
    <x v="882"/>
    <n v="21668"/>
    <s v="Primary"/>
    <n v="162"/>
    <s v="no"/>
    <s v="Wood-Vinyl-Fiberglass:Double"/>
    <x v="6"/>
    <x v="0"/>
    <n v="1"/>
    <x v="11"/>
  </r>
  <r>
    <x v="883"/>
    <n v="21672"/>
    <s v="Primary"/>
    <n v="224"/>
    <s v="no"/>
    <s v="Wood-Vinyl-Fiberglass:Double:low-e"/>
    <x v="1"/>
    <x v="0"/>
    <n v="1"/>
    <x v="12"/>
  </r>
  <r>
    <x v="884"/>
    <n v="21678"/>
    <s v="Primary"/>
    <n v="188"/>
    <s v="no"/>
    <s v="Wood-Vinyl-Fiberglass:Double"/>
    <x v="6"/>
    <x v="0"/>
    <n v="1"/>
    <x v="11"/>
  </r>
  <r>
    <x v="885"/>
    <n v="21680"/>
    <s v="Primary"/>
    <n v="319"/>
    <s v="no"/>
    <s v="Wood-Vinyl-Fiberglass:Double:low-e"/>
    <x v="1"/>
    <x v="0"/>
    <n v="1"/>
    <x v="12"/>
  </r>
  <r>
    <x v="886"/>
    <n v="21684"/>
    <s v="Primary"/>
    <n v="381"/>
    <s v="no"/>
    <s v="Wood-Vinyl-Fiberglass:Double:low-e"/>
    <x v="1"/>
    <x v="0"/>
    <n v="1"/>
    <x v="7"/>
  </r>
  <r>
    <x v="887"/>
    <n v="21689"/>
    <s v="Primary"/>
    <n v="208"/>
    <s v="yes"/>
    <s v="Metal:Single"/>
    <x v="5"/>
    <x v="3"/>
    <n v="1"/>
    <x v="11"/>
  </r>
  <r>
    <x v="888"/>
    <n v="21692"/>
    <s v="Primary"/>
    <n v="161"/>
    <s v="no"/>
    <s v="Metal:Double"/>
    <x v="5"/>
    <x v="1"/>
    <n v="1"/>
    <x v="16"/>
  </r>
  <r>
    <x v="889"/>
    <n v="21700"/>
    <s v="Primary"/>
    <n v="158"/>
    <s v="no"/>
    <s v="Wood-Vinyl-Fiberglass:Double:low-e"/>
    <x v="1"/>
    <x v="0"/>
    <n v="1"/>
    <x v="7"/>
  </r>
  <r>
    <x v="890"/>
    <n v="21701"/>
    <s v="Primary"/>
    <n v="105"/>
    <s v="no"/>
    <s v="Wood-Vinyl-Fiberglass:Double:low-e"/>
    <x v="1"/>
    <x v="0"/>
    <n v="1"/>
    <x v="12"/>
  </r>
  <r>
    <x v="891"/>
    <n v="21703"/>
    <s v="Primary"/>
    <n v="204"/>
    <s v="no"/>
    <s v="Wood-Vinyl-Fiberglass:Double:low-e"/>
    <x v="0"/>
    <x v="0"/>
    <n v="1"/>
    <x v="10"/>
  </r>
  <r>
    <x v="892"/>
    <n v="21707"/>
    <s v="Primary"/>
    <n v="307"/>
    <s v="no"/>
    <s v="Wood-Vinyl-Fiberglass:Double"/>
    <x v="6"/>
    <x v="0"/>
    <n v="1"/>
    <x v="10"/>
  </r>
  <r>
    <x v="893"/>
    <n v="21708"/>
    <s v="Primary"/>
    <n v="147"/>
    <s v="no"/>
    <s v="Wood-Vinyl-Fiberglass:Double"/>
    <x v="0"/>
    <x v="0"/>
    <n v="1"/>
    <x v="11"/>
  </r>
  <r>
    <x v="894"/>
    <n v="21710"/>
    <s v="Primary"/>
    <n v="180"/>
    <s v="no"/>
    <s v="Wood-Vinyl-Fiberglass:Double:low-e"/>
    <x v="0"/>
    <x v="0"/>
    <n v="1"/>
    <x v="8"/>
  </r>
  <r>
    <x v="895"/>
    <n v="21719"/>
    <s v="Primary"/>
    <n v="112"/>
    <s v="no"/>
    <s v="Wood-Vinyl-Fiberglass:Double"/>
    <x v="6"/>
    <x v="0"/>
    <n v="1"/>
    <x v="13"/>
  </r>
  <r>
    <x v="896"/>
    <n v="21720"/>
    <s v="Primary"/>
    <n v="159"/>
    <s v="no"/>
    <s v="Metal:Double"/>
    <x v="5"/>
    <x v="1"/>
    <n v="1"/>
    <x v="11"/>
  </r>
  <r>
    <x v="897"/>
    <n v="21722"/>
    <s v="Primary"/>
    <n v="145"/>
    <s v="no"/>
    <s v="Wood-Vinyl-Fiberglass:Double:low-e"/>
    <x v="1"/>
    <x v="0"/>
    <n v="1"/>
    <x v="13"/>
  </r>
  <r>
    <x v="898"/>
    <n v="21733"/>
    <s v="Primary"/>
    <n v="203"/>
    <s v="no"/>
    <s v="Wood-Vinyl-Fiberglass:Double:low-e"/>
    <x v="1"/>
    <x v="0"/>
    <n v="1"/>
    <x v="18"/>
  </r>
  <r>
    <x v="899"/>
    <n v="21741"/>
    <s v="Primary"/>
    <n v="304"/>
    <s v="no"/>
    <s v="Metal:Double"/>
    <x v="5"/>
    <x v="1"/>
    <n v="1"/>
    <x v="14"/>
  </r>
  <r>
    <x v="900"/>
    <n v="21746"/>
    <s v="Primary"/>
    <n v="228"/>
    <s v="no"/>
    <s v="Wood-Vinyl-Fiberglass:Double:low-e"/>
    <x v="0"/>
    <x v="0"/>
    <n v="1"/>
    <x v="7"/>
  </r>
  <r>
    <x v="901"/>
    <n v="21748"/>
    <s v="Primary"/>
    <n v="171"/>
    <s v="no"/>
    <s v="Metal:Double"/>
    <x v="5"/>
    <x v="1"/>
    <n v="1"/>
    <x v="18"/>
  </r>
  <r>
    <x v="902"/>
    <n v="21753"/>
    <s v="Primary"/>
    <n v="126"/>
    <s v="no"/>
    <s v="Wood-Vinyl-Fiberglass:Double"/>
    <x v="6"/>
    <x v="0"/>
    <n v="1"/>
    <x v="15"/>
  </r>
  <r>
    <x v="903"/>
    <n v="21768"/>
    <s v="Primary"/>
    <n v="172"/>
    <s v="no"/>
    <s v="Wood-Vinyl-Fiberglass:Double:low-e"/>
    <x v="0"/>
    <x v="0"/>
    <n v="1"/>
    <x v="17"/>
  </r>
  <r>
    <x v="904"/>
    <n v="21777"/>
    <s v="Primary"/>
    <n v="196"/>
    <s v="no"/>
    <s v="Wood-Vinyl-Fiberglass:Double"/>
    <x v="6"/>
    <x v="0"/>
    <n v="1"/>
    <x v="13"/>
  </r>
  <r>
    <x v="905"/>
    <n v="21781"/>
    <s v="Primary"/>
    <n v="930"/>
    <s v="no"/>
    <s v="Metal:Double:low-e"/>
    <x v="2"/>
    <x v="1"/>
    <n v="1"/>
    <x v="15"/>
  </r>
  <r>
    <x v="906"/>
    <n v="21783"/>
    <s v="Primary"/>
    <n v="133"/>
    <s v="no"/>
    <s v="Wood-Vinyl-Fiberglass:Double:low-e"/>
    <x v="1"/>
    <x v="0"/>
    <n v="1"/>
    <x v="7"/>
  </r>
  <r>
    <x v="907"/>
    <n v="21787"/>
    <s v="Primary"/>
    <n v="302"/>
    <s v="no"/>
    <s v="Wood-Vinyl-Fiberglass:Double:low-e"/>
    <x v="1"/>
    <x v="0"/>
    <n v="1"/>
    <x v="14"/>
  </r>
  <r>
    <x v="908"/>
    <n v="21791"/>
    <s v="Primary"/>
    <n v="168"/>
    <s v="no"/>
    <s v="Wood-Vinyl-Fiberglass:Double:low-e"/>
    <x v="0"/>
    <x v="0"/>
    <n v="1"/>
    <x v="15"/>
  </r>
  <r>
    <x v="909"/>
    <n v="21796"/>
    <s v="Primary"/>
    <n v="853"/>
    <s v="no"/>
    <s v="Wood-Vinyl-Fiberglass:Double:low-e"/>
    <x v="0"/>
    <x v="0"/>
    <n v="1"/>
    <x v="18"/>
  </r>
  <r>
    <x v="910"/>
    <n v="21799"/>
    <s v="Primary"/>
    <n v="234"/>
    <s v="no"/>
    <s v="Wood-Vinyl-Fiberglass:Double:low-e"/>
    <x v="1"/>
    <x v="0"/>
    <n v="1"/>
    <x v="10"/>
  </r>
  <r>
    <x v="911"/>
    <n v="21816"/>
    <s v="Primary"/>
    <n v="165"/>
    <s v="no"/>
    <s v="Wood-Vinyl-Fiberglass:Double"/>
    <x v="6"/>
    <x v="0"/>
    <n v="1"/>
    <x v="18"/>
  </r>
  <r>
    <x v="912"/>
    <n v="21818"/>
    <s v="Primary"/>
    <n v="32"/>
    <s v="no"/>
    <s v="Wood-Vinyl-Fiberglass:Double"/>
    <x v="6"/>
    <x v="0"/>
    <n v="1"/>
    <x v="13"/>
  </r>
  <r>
    <x v="913"/>
    <n v="21828"/>
    <s v="Primary"/>
    <n v="166"/>
    <s v="no"/>
    <s v="Wood-Vinyl-Fiberglass:Double:low-e"/>
    <x v="0"/>
    <x v="0"/>
    <n v="1"/>
    <x v="10"/>
  </r>
  <r>
    <x v="914"/>
    <n v="21831"/>
    <s v="Primary"/>
    <n v="99"/>
    <s v="no"/>
    <s v="Metal:Double"/>
    <x v="10"/>
    <x v="1"/>
    <n v="1"/>
    <x v="12"/>
  </r>
  <r>
    <x v="915"/>
    <n v="21856"/>
    <s v="Primary"/>
    <n v="91"/>
    <s v="yes"/>
    <s v="Wood-Vinyl-Fiberglass:Double:low-e"/>
    <x v="4"/>
    <x v="0"/>
    <n v="1"/>
    <x v="13"/>
  </r>
  <r>
    <x v="916"/>
    <n v="21862"/>
    <s v="Primary"/>
    <n v="494"/>
    <s v="no"/>
    <s v="Wood-Vinyl-Fiberglass:Double:low-e"/>
    <x v="0"/>
    <x v="0"/>
    <n v="1"/>
    <x v="18"/>
  </r>
  <r>
    <x v="917"/>
    <n v="21877"/>
    <s v="Primary"/>
    <n v="181"/>
    <s v="no"/>
    <s v="Wood-Vinyl-Fiberglass:Double:low-e"/>
    <x v="1"/>
    <x v="0"/>
    <n v="1"/>
    <x v="10"/>
  </r>
  <r>
    <x v="918"/>
    <n v="21881"/>
    <s v="Primary"/>
    <n v="106"/>
    <s v="no"/>
    <s v="Wood-Vinyl-Fiberglass:Double"/>
    <x v="6"/>
    <x v="0"/>
    <n v="1"/>
    <x v="18"/>
  </r>
  <r>
    <x v="919"/>
    <n v="21883"/>
    <s v="Primary"/>
    <n v="228"/>
    <s v="yes"/>
    <s v="Wood-Vinyl-Fiberglass:Single"/>
    <x v="2"/>
    <x v="2"/>
    <n v="1"/>
    <x v="12"/>
  </r>
  <r>
    <x v="920"/>
    <n v="21888"/>
    <s v="Primary"/>
    <n v="149"/>
    <s v="no"/>
    <s v="Wood-Vinyl-Fiberglass:Double"/>
    <x v="6"/>
    <x v="0"/>
    <n v="1"/>
    <x v="16"/>
  </r>
  <r>
    <x v="921"/>
    <n v="21889"/>
    <s v="Primary"/>
    <n v="306"/>
    <s v="no"/>
    <s v="Wood-Vinyl-Fiberglass:Double:low-e"/>
    <x v="0"/>
    <x v="0"/>
    <n v="1"/>
    <x v="17"/>
  </r>
  <r>
    <x v="922"/>
    <n v="21896"/>
    <s v="Primary"/>
    <n v="106"/>
    <s v="yes"/>
    <s v="Wood-Vinyl-Fiberglass:Double"/>
    <x v="0"/>
    <x v="0"/>
    <n v="1"/>
    <x v="12"/>
  </r>
  <r>
    <x v="923"/>
    <n v="21898"/>
    <s v="Primary"/>
    <n v="326"/>
    <s v="no"/>
    <s v="Wood-Vinyl-Fiberglass:Double"/>
    <x v="0"/>
    <x v="0"/>
    <n v="1"/>
    <x v="11"/>
  </r>
  <r>
    <x v="924"/>
    <n v="21899"/>
    <s v="Primary"/>
    <n v="321"/>
    <s v="no"/>
    <s v="Wood-Vinyl-Fiberglass:Double:low-e"/>
    <x v="1"/>
    <x v="0"/>
    <n v="1"/>
    <x v="7"/>
  </r>
  <r>
    <x v="925"/>
    <n v="21905"/>
    <s v="Primary"/>
    <n v="347"/>
    <s v="no"/>
    <s v="Wood-Vinyl-Fiberglass:Double"/>
    <x v="6"/>
    <x v="0"/>
    <n v="1"/>
    <x v="9"/>
  </r>
  <r>
    <x v="926"/>
    <n v="21906"/>
    <s v="Primary"/>
    <n v="228"/>
    <s v="no"/>
    <s v="Wood-Vinyl-Fiberglass:Single:low-e"/>
    <x v="12"/>
    <x v="2"/>
    <n v="1"/>
    <x v="13"/>
  </r>
  <r>
    <x v="927"/>
    <n v="21914"/>
    <s v="Primary"/>
    <n v="885"/>
    <s v="no"/>
    <s v="Wood-Vinyl-Fiberglass:Double:low-e"/>
    <x v="1"/>
    <x v="0"/>
    <n v="1"/>
    <x v="15"/>
  </r>
  <r>
    <x v="928"/>
    <n v="21922"/>
    <s v="Primary"/>
    <n v="122"/>
    <s v="no"/>
    <s v="Wood-Vinyl-Fiberglass:Double:low-e"/>
    <x v="0"/>
    <x v="0"/>
    <n v="1"/>
    <x v="10"/>
  </r>
  <r>
    <x v="929"/>
    <n v="21934"/>
    <s v="Primary"/>
    <n v="66"/>
    <s v="no"/>
    <s v="Metal:Double"/>
    <x v="5"/>
    <x v="1"/>
    <n v="1"/>
    <x v="11"/>
  </r>
  <r>
    <x v="930"/>
    <n v="21936"/>
    <s v="Primary"/>
    <n v="57"/>
    <s v="no"/>
    <s v="Wood-Vinyl-Fiberglass:Single"/>
    <x v="7"/>
    <x v="2"/>
    <n v="1"/>
    <x v="13"/>
  </r>
  <r>
    <x v="931"/>
    <n v="21950"/>
    <s v="Primary"/>
    <n v="342"/>
    <s v="no"/>
    <s v="Wood-Vinyl-Fiberglass:Double"/>
    <x v="0"/>
    <x v="0"/>
    <n v="1"/>
    <x v="13"/>
  </r>
  <r>
    <x v="932"/>
    <n v="21951"/>
    <s v="Primary"/>
    <n v="176"/>
    <s v="no"/>
    <s v="Wood-Vinyl-Fiberglass:Double:low-e"/>
    <x v="1"/>
    <x v="0"/>
    <n v="1"/>
    <x v="18"/>
  </r>
  <r>
    <x v="933"/>
    <n v="21961"/>
    <s v="Primary"/>
    <n v="275"/>
    <s v="no"/>
    <s v="Wood-Vinyl-Fiberglass:Double:low-e"/>
    <x v="1"/>
    <x v="0"/>
    <n v="1"/>
    <x v="8"/>
  </r>
  <r>
    <x v="934"/>
    <n v="21967"/>
    <s v="Primary"/>
    <n v="301"/>
    <s v="no"/>
    <s v="Wood-Vinyl-Fiberglass:Double:low-e"/>
    <x v="1"/>
    <x v="0"/>
    <n v="1"/>
    <x v="10"/>
  </r>
  <r>
    <x v="935"/>
    <n v="21974"/>
    <s v="Primary"/>
    <n v="191"/>
    <s v="no"/>
    <s v="Metal:Single"/>
    <x v="8"/>
    <x v="3"/>
    <n v="1"/>
    <x v="11"/>
  </r>
  <r>
    <x v="936"/>
    <n v="21977"/>
    <s v="Primary"/>
    <n v="16"/>
    <s v="no"/>
    <s v="Wood-Vinyl-Fiberglass:Double:low-e"/>
    <x v="0"/>
    <x v="0"/>
    <n v="1"/>
    <x v="16"/>
  </r>
  <r>
    <x v="937"/>
    <n v="21978"/>
    <s v="Primary"/>
    <n v="256"/>
    <s v="no"/>
    <s v="Wood-Vinyl-Fiberglass:Double"/>
    <x v="6"/>
    <x v="0"/>
    <n v="1"/>
    <x v="10"/>
  </r>
  <r>
    <x v="938"/>
    <n v="21979"/>
    <s v="Primary"/>
    <n v="246"/>
    <s v="no"/>
    <s v="Wood-Vinyl-Fiberglass:Double:low-e"/>
    <x v="1"/>
    <x v="0"/>
    <n v="1"/>
    <x v="15"/>
  </r>
  <r>
    <x v="939"/>
    <n v="21981"/>
    <s v="Primary"/>
    <n v="65"/>
    <s v="no"/>
    <s v="Wood-Vinyl-Fiberglass:Double:low-e"/>
    <x v="1"/>
    <x v="0"/>
    <n v="1"/>
    <x v="8"/>
  </r>
  <r>
    <x v="940"/>
    <n v="21988"/>
    <s v="Primary"/>
    <n v="232"/>
    <s v="no"/>
    <s v="Wood-Vinyl-Fiberglass:Double"/>
    <x v="6"/>
    <x v="0"/>
    <n v="1"/>
    <x v="8"/>
  </r>
  <r>
    <x v="941"/>
    <n v="22000"/>
    <s v="Primary"/>
    <n v="195"/>
    <s v="yes"/>
    <s v="Wood-Vinyl-Fiberglass:Single"/>
    <x v="2"/>
    <x v="2"/>
    <n v="1"/>
    <x v="11"/>
  </r>
  <r>
    <x v="942"/>
    <n v="22005"/>
    <s v="Primary"/>
    <n v="298"/>
    <s v="no"/>
    <s v="Wood-Vinyl-Fiberglass:Double:low-e"/>
    <x v="1"/>
    <x v="0"/>
    <n v="1"/>
    <x v="12"/>
  </r>
  <r>
    <x v="943"/>
    <n v="22015"/>
    <s v="Primary"/>
    <n v="117"/>
    <s v="no"/>
    <s v="Wood-Vinyl-Fiberglass:Single"/>
    <x v="7"/>
    <x v="2"/>
    <n v="1"/>
    <x v="13"/>
  </r>
  <r>
    <x v="944"/>
    <n v="22019"/>
    <s v="Primary"/>
    <n v="205"/>
    <s v="no"/>
    <s v="Wood-Vinyl-Fiberglass:Double"/>
    <x v="6"/>
    <x v="0"/>
    <n v="1"/>
    <x v="10"/>
  </r>
  <r>
    <x v="945"/>
    <n v="22021"/>
    <s v="Primary"/>
    <n v="47"/>
    <s v="no"/>
    <s v="Wood-Vinyl-Fiberglass:Double:low-e"/>
    <x v="0"/>
    <x v="0"/>
    <n v="1"/>
    <x v="18"/>
  </r>
  <r>
    <x v="946"/>
    <n v="22023"/>
    <s v="Primary"/>
    <n v="226"/>
    <s v="no"/>
    <s v="Wood-Vinyl-Fiberglass:Double:low-e"/>
    <x v="0"/>
    <x v="0"/>
    <n v="1"/>
    <x v="8"/>
  </r>
  <r>
    <x v="947"/>
    <n v="22024"/>
    <s v="Primary"/>
    <n v="278"/>
    <s v="no"/>
    <s v="Wood-Vinyl-Fiberglass:Double:low-e"/>
    <x v="0"/>
    <x v="0"/>
    <n v="1"/>
    <x v="18"/>
  </r>
  <r>
    <x v="948"/>
    <n v="22039"/>
    <s v="Primary"/>
    <n v="242"/>
    <s v="no"/>
    <s v="Wood-Vinyl-Fiberglass:Double:low-e"/>
    <x v="0"/>
    <x v="0"/>
    <n v="1"/>
    <x v="10"/>
  </r>
  <r>
    <x v="949"/>
    <n v="22041"/>
    <s v="Primary"/>
    <n v="112"/>
    <s v="no"/>
    <s v="Wood-Vinyl-Fiberglass:Double"/>
    <x v="6"/>
    <x v="0"/>
    <n v="1"/>
    <x v="13"/>
  </r>
  <r>
    <x v="950"/>
    <n v="22047"/>
    <s v="Primary"/>
    <n v="119"/>
    <s v="no"/>
    <s v="Wood-Vinyl-Fiberglass:Double:low-e"/>
    <x v="0"/>
    <x v="0"/>
    <n v="1"/>
    <x v="11"/>
  </r>
  <r>
    <x v="951"/>
    <n v="22052"/>
    <s v="Primary"/>
    <n v="190"/>
    <s v="no"/>
    <s v="Wood-Vinyl-Fiberglass:Double:low-e"/>
    <x v="1"/>
    <x v="0"/>
    <n v="1"/>
    <x v="10"/>
  </r>
  <r>
    <x v="952"/>
    <n v="22053"/>
    <s v="Primary"/>
    <n v="332"/>
    <s v="no"/>
    <s v="Wood-Vinyl-Fiberglass:Double"/>
    <x v="6"/>
    <x v="0"/>
    <n v="1"/>
    <x v="8"/>
  </r>
  <r>
    <x v="953"/>
    <n v="22059"/>
    <s v="Primary"/>
    <n v="117"/>
    <s v="no"/>
    <s v="Wood-Vinyl-Fiberglass:Double"/>
    <x v="0"/>
    <x v="0"/>
    <n v="1"/>
    <x v="10"/>
  </r>
  <r>
    <x v="954"/>
    <n v="22061"/>
    <s v="Primary"/>
    <n v="296"/>
    <s v="no"/>
    <s v="Wood-Vinyl-Fiberglass:Double:low-e"/>
    <x v="1"/>
    <x v="0"/>
    <n v="1"/>
    <x v="10"/>
  </r>
  <r>
    <x v="955"/>
    <n v="22077"/>
    <s v="Primary"/>
    <n v="154"/>
    <s v="no"/>
    <s v="Wood-Vinyl-Fiberglass:Single"/>
    <x v="7"/>
    <x v="2"/>
    <n v="1"/>
    <x v="11"/>
  </r>
  <r>
    <x v="956"/>
    <n v="22084"/>
    <s v="Primary"/>
    <n v="314"/>
    <s v="no"/>
    <s v="Wood-Vinyl-Fiberglass:Double:low-e"/>
    <x v="1"/>
    <x v="0"/>
    <n v="1"/>
    <x v="13"/>
  </r>
  <r>
    <x v="957"/>
    <n v="22086"/>
    <s v="Primary"/>
    <n v="341"/>
    <s v="no"/>
    <s v="Wood-Vinyl-Fiberglass:Double:low-e"/>
    <x v="1"/>
    <x v="0"/>
    <n v="1"/>
    <x v="11"/>
  </r>
  <r>
    <x v="958"/>
    <n v="22087"/>
    <s v="Primary"/>
    <n v="404"/>
    <s v="no"/>
    <s v="Wood-Vinyl-Fiberglass:Double:low-e"/>
    <x v="1"/>
    <x v="0"/>
    <n v="1"/>
    <x v="15"/>
  </r>
  <r>
    <x v="959"/>
    <n v="22095"/>
    <s v="Primary"/>
    <n v="180"/>
    <s v="no"/>
    <s v="Wood-Vinyl-Fiberglass:Double"/>
    <x v="6"/>
    <x v="0"/>
    <n v="1"/>
    <x v="13"/>
  </r>
  <r>
    <x v="960"/>
    <n v="22096"/>
    <s v="Primary"/>
    <n v="225"/>
    <s v="no"/>
    <s v="Wood-Vinyl-Fiberglass:Double:low-e"/>
    <x v="0"/>
    <x v="0"/>
    <n v="1"/>
    <x v="11"/>
  </r>
  <r>
    <x v="961"/>
    <n v="22108"/>
    <s v="Primary"/>
    <n v="238"/>
    <s v="no"/>
    <s v="Wood-Vinyl-Fiberglass:Double:low-e"/>
    <x v="0"/>
    <x v="0"/>
    <n v="1"/>
    <x v="15"/>
  </r>
  <r>
    <x v="962"/>
    <n v="22109"/>
    <s v="Primary"/>
    <n v="436"/>
    <s v="no"/>
    <s v="Wood-Vinyl-Fiberglass:Double:low-e"/>
    <x v="0"/>
    <x v="0"/>
    <n v="1"/>
    <x v="10"/>
  </r>
  <r>
    <x v="963"/>
    <n v="22123"/>
    <s v="Primary"/>
    <n v="42"/>
    <s v="no"/>
    <s v="Metal:Single"/>
    <x v="8"/>
    <x v="3"/>
    <n v="1"/>
    <x v="18"/>
  </r>
  <r>
    <x v="964"/>
    <n v="22124"/>
    <s v="Primary"/>
    <n v="363"/>
    <s v="no"/>
    <s v="Wood-Vinyl-Fiberglass:Double:low-e"/>
    <x v="1"/>
    <x v="0"/>
    <n v="1"/>
    <x v="14"/>
  </r>
  <r>
    <x v="965"/>
    <n v="22125"/>
    <s v="Primary"/>
    <n v="297"/>
    <s v="yes"/>
    <s v="Metal:Single"/>
    <x v="5"/>
    <x v="3"/>
    <n v="1"/>
    <x v="8"/>
  </r>
  <r>
    <x v="966"/>
    <n v="22127"/>
    <s v="Primary"/>
    <n v="209"/>
    <s v="no"/>
    <s v="Wood-Vinyl-Fiberglass:Single"/>
    <x v="7"/>
    <x v="2"/>
    <n v="1"/>
    <x v="11"/>
  </r>
  <r>
    <x v="967"/>
    <n v="22129"/>
    <s v="Primary"/>
    <n v="423"/>
    <s v="no"/>
    <s v="Wood-Vinyl-Fiberglass:Double:low-e"/>
    <x v="0"/>
    <x v="0"/>
    <n v="1"/>
    <x v="17"/>
  </r>
  <r>
    <x v="968"/>
    <n v="22131"/>
    <s v="Primary"/>
    <n v="120"/>
    <s v="no"/>
    <s v="Wood-Vinyl-Fiberglass:Double:low-e"/>
    <x v="1"/>
    <x v="0"/>
    <n v="1"/>
    <x v="7"/>
  </r>
  <r>
    <x v="969"/>
    <n v="22138"/>
    <s v="Primary"/>
    <n v="528"/>
    <s v="no"/>
    <s v="Wood-Vinyl-Fiberglass:Double"/>
    <x v="6"/>
    <x v="0"/>
    <n v="1"/>
    <x v="11"/>
  </r>
  <r>
    <x v="970"/>
    <n v="22144"/>
    <s v="Primary"/>
    <n v="229"/>
    <s v="no"/>
    <s v="Wood-Vinyl-Fiberglass:Double"/>
    <x v="0"/>
    <x v="0"/>
    <n v="1"/>
    <x v="11"/>
  </r>
  <r>
    <x v="971"/>
    <n v="22153"/>
    <s v="Primary"/>
    <n v="277"/>
    <s v="no"/>
    <s v="Wood-Vinyl-Fiberglass:Double:low-e"/>
    <x v="0"/>
    <x v="0"/>
    <n v="1"/>
    <x v="18"/>
  </r>
  <r>
    <x v="972"/>
    <n v="22159"/>
    <s v="Primary"/>
    <n v="351"/>
    <s v="no"/>
    <s v="Wood-Vinyl-Fiberglass:Double:low-e"/>
    <x v="1"/>
    <x v="0"/>
    <n v="1"/>
    <x v="18"/>
  </r>
  <r>
    <x v="973"/>
    <n v="22172"/>
    <s v="Primary"/>
    <n v="204"/>
    <s v="no"/>
    <s v="Wood-Vinyl-Fiberglass:Double:low-e"/>
    <x v="1"/>
    <x v="0"/>
    <n v="1"/>
    <x v="10"/>
  </r>
  <r>
    <x v="974"/>
    <n v="22175"/>
    <s v="Primary"/>
    <n v="316"/>
    <s v="no"/>
    <s v="Wood-Vinyl-Fiberglass:Double:low-e"/>
    <x v="1"/>
    <x v="0"/>
    <n v="1"/>
    <x v="8"/>
  </r>
  <r>
    <x v="975"/>
    <n v="22176"/>
    <s v="Primary"/>
    <n v="425"/>
    <s v="no"/>
    <s v="Wood-Vinyl-Fiberglass:Double:low-e"/>
    <x v="1"/>
    <x v="0"/>
    <n v="1"/>
    <x v="13"/>
  </r>
  <r>
    <x v="976"/>
    <n v="22177"/>
    <s v="Primary"/>
    <n v="376"/>
    <s v="no"/>
    <s v="Wood-Vinyl-Fiberglass:Double:low-e"/>
    <x v="1"/>
    <x v="0"/>
    <n v="1"/>
    <x v="15"/>
  </r>
  <r>
    <x v="977"/>
    <n v="22179"/>
    <s v="Primary"/>
    <n v="171"/>
    <s v="no"/>
    <s v="Wood-Vinyl-Fiberglass:Double:low-e"/>
    <x v="1"/>
    <x v="0"/>
    <n v="1"/>
    <x v="11"/>
  </r>
  <r>
    <x v="978"/>
    <n v="22180"/>
    <s v="Primary"/>
    <n v="182"/>
    <s v="no"/>
    <s v="Wood-Vinyl-Fiberglass:Triple:low-e"/>
    <x v="11"/>
    <x v="4"/>
    <n v="1"/>
    <x v="8"/>
  </r>
  <r>
    <x v="979"/>
    <n v="22181"/>
    <s v="Primary"/>
    <n v="135"/>
    <s v="no"/>
    <s v="Wood-Vinyl-Fiberglass:Double"/>
    <x v="0"/>
    <x v="0"/>
    <n v="1"/>
    <x v="18"/>
  </r>
  <r>
    <x v="980"/>
    <n v="22186"/>
    <s v="Primary"/>
    <n v="139"/>
    <s v="no"/>
    <s v="Wood-Vinyl-Fiberglass:Double:low-e"/>
    <x v="0"/>
    <x v="0"/>
    <n v="1"/>
    <x v="11"/>
  </r>
  <r>
    <x v="981"/>
    <n v="22191"/>
    <s v="Primary"/>
    <n v="81"/>
    <s v="no"/>
    <s v="Wood-Vinyl-Fiberglass:Double:low-e"/>
    <x v="1"/>
    <x v="0"/>
    <n v="1"/>
    <x v="16"/>
  </r>
  <r>
    <x v="982"/>
    <n v="22198"/>
    <s v="Primary"/>
    <n v="428"/>
    <s v="no"/>
    <s v="Wood-Vinyl-Fiberglass:Double:low-e"/>
    <x v="1"/>
    <x v="0"/>
    <n v="1"/>
    <x v="11"/>
  </r>
  <r>
    <x v="983"/>
    <n v="22200"/>
    <s v="Primary"/>
    <n v="111"/>
    <s v="no"/>
    <s v="Wood-Vinyl-Fiberglass:Double:low-e"/>
    <x v="0"/>
    <x v="0"/>
    <n v="1"/>
    <x v="18"/>
  </r>
  <r>
    <x v="984"/>
    <n v="22203"/>
    <s v="Primary"/>
    <n v="218"/>
    <s v="no"/>
    <s v="Wood-Vinyl-Fiberglass:Double:low-e"/>
    <x v="0"/>
    <x v="0"/>
    <n v="1"/>
    <x v="17"/>
  </r>
  <r>
    <x v="985"/>
    <n v="22205"/>
    <s v="Primary"/>
    <n v="248"/>
    <s v="no"/>
    <s v="Wood-Vinyl-Fiberglass:Double:low-e"/>
    <x v="0"/>
    <x v="0"/>
    <n v="1"/>
    <x v="10"/>
  </r>
  <r>
    <x v="986"/>
    <n v="22212"/>
    <s v="Primary"/>
    <n v="122"/>
    <s v="yes"/>
    <s v="Wood-Vinyl-Fiberglass:Single"/>
    <x v="2"/>
    <x v="2"/>
    <n v="1"/>
    <x v="15"/>
  </r>
  <r>
    <x v="987"/>
    <n v="22214"/>
    <s v="Primary"/>
    <n v="152"/>
    <s v="no"/>
    <s v="Wood-Vinyl-Fiberglass:Double:low-e"/>
    <x v="1"/>
    <x v="0"/>
    <n v="1"/>
    <x v="13"/>
  </r>
  <r>
    <x v="988"/>
    <n v="22215"/>
    <s v="Primary"/>
    <n v="181"/>
    <s v="no"/>
    <s v="Wood-Vinyl-Fiberglass:Double:low-e"/>
    <x v="0"/>
    <x v="0"/>
    <n v="1"/>
    <x v="11"/>
  </r>
  <r>
    <x v="989"/>
    <n v="22222"/>
    <s v="Primary"/>
    <n v="62"/>
    <s v="yes"/>
    <s v="Metal:Double"/>
    <x v="9"/>
    <x v="1"/>
    <n v="1"/>
    <x v="10"/>
  </r>
  <r>
    <x v="990"/>
    <n v="22225"/>
    <s v="Primary"/>
    <n v="111"/>
    <s v="no"/>
    <s v="Metal:Double"/>
    <x v="5"/>
    <x v="1"/>
    <n v="1"/>
    <x v="17"/>
  </r>
  <r>
    <x v="991"/>
    <n v="22226"/>
    <s v="Primary"/>
    <n v="332"/>
    <s v="no"/>
    <s v="Wood-Vinyl-Fiberglass:Double:low-e"/>
    <x v="0"/>
    <x v="0"/>
    <n v="1"/>
    <x v="11"/>
  </r>
  <r>
    <x v="992"/>
    <n v="22228"/>
    <s v="Primary"/>
    <n v="224"/>
    <s v="no"/>
    <s v="Wood-Vinyl-Fiberglass:Double:low-e"/>
    <x v="0"/>
    <x v="0"/>
    <n v="1"/>
    <x v="15"/>
  </r>
  <r>
    <x v="993"/>
    <n v="22232"/>
    <s v="Primary"/>
    <n v="132"/>
    <s v="no"/>
    <s v="Wood-Vinyl-Fiberglass:Double:low-e"/>
    <x v="1"/>
    <x v="0"/>
    <n v="1"/>
    <x v="10"/>
  </r>
  <r>
    <x v="994"/>
    <n v="22233"/>
    <s v="Primary"/>
    <n v="185"/>
    <s v="no"/>
    <s v="Wood-Vinyl-Fiberglass:Double:low-e"/>
    <x v="1"/>
    <x v="0"/>
    <n v="1"/>
    <x v="17"/>
  </r>
  <r>
    <x v="995"/>
    <n v="22240"/>
    <s v="Primary"/>
    <n v="170"/>
    <s v="no"/>
    <s v="Wood-Vinyl-Fiberglass:Double:low-e"/>
    <x v="0"/>
    <x v="0"/>
    <n v="1"/>
    <x v="11"/>
  </r>
  <r>
    <x v="996"/>
    <n v="22245"/>
    <s v="Primary"/>
    <n v="84"/>
    <s v="no"/>
    <s v="Wood-Vinyl-Fiberglass:Double"/>
    <x v="0"/>
    <x v="0"/>
    <n v="1"/>
    <x v="9"/>
  </r>
  <r>
    <x v="997"/>
    <n v="22246"/>
    <s v="Primary"/>
    <n v="120"/>
    <s v="no"/>
    <s v="Wood-Vinyl-Fiberglass:Double"/>
    <x v="0"/>
    <x v="0"/>
    <n v="1"/>
    <x v="17"/>
  </r>
  <r>
    <x v="998"/>
    <n v="22250"/>
    <s v="Primary"/>
    <n v="135"/>
    <s v="no"/>
    <s v="Metal:Single"/>
    <x v="8"/>
    <x v="3"/>
    <n v="1"/>
    <x v="10"/>
  </r>
  <r>
    <x v="999"/>
    <n v="22273"/>
    <s v="Primary"/>
    <n v="92"/>
    <s v="no"/>
    <s v="Metal:Double"/>
    <x v="10"/>
    <x v="1"/>
    <n v="1"/>
    <x v="10"/>
  </r>
  <r>
    <x v="1000"/>
    <n v="22280"/>
    <s v="Primary"/>
    <n v="585"/>
    <s v="no"/>
    <s v="Wood-Vinyl-Fiberglass:Double:low-e"/>
    <x v="0"/>
    <x v="0"/>
    <n v="1"/>
    <x v="9"/>
  </r>
  <r>
    <x v="1001"/>
    <n v="22284"/>
    <s v="Primary"/>
    <n v="173"/>
    <s v="no"/>
    <s v="Wood-Vinyl-Fiberglass:Double:low-e"/>
    <x v="0"/>
    <x v="0"/>
    <n v="1"/>
    <x v="12"/>
  </r>
  <r>
    <x v="1002"/>
    <n v="22288"/>
    <s v="Primary"/>
    <n v="383"/>
    <s v="no"/>
    <s v="Wood-Vinyl-Fiberglass:Double:low-e"/>
    <x v="0"/>
    <x v="0"/>
    <n v="1"/>
    <x v="8"/>
  </r>
  <r>
    <x v="1003"/>
    <n v="22289"/>
    <s v="Primary"/>
    <n v="202"/>
    <s v="yes"/>
    <s v="Metal:Double"/>
    <x v="2"/>
    <x v="1"/>
    <n v="1"/>
    <x v="14"/>
  </r>
  <r>
    <x v="1004"/>
    <n v="22291"/>
    <s v="Primary"/>
    <n v="143"/>
    <s v="no"/>
    <s v="Wood-Vinyl-Fiberglass:Double"/>
    <x v="6"/>
    <x v="0"/>
    <n v="1"/>
    <x v="18"/>
  </r>
  <r>
    <x v="1005"/>
    <n v="22293"/>
    <s v="Primary"/>
    <n v="251"/>
    <s v="no"/>
    <s v="Metal:Single"/>
    <x v="8"/>
    <x v="3"/>
    <n v="1"/>
    <x v="17"/>
  </r>
  <r>
    <x v="1006"/>
    <n v="22295"/>
    <s v="Primary"/>
    <n v="60"/>
    <s v="no"/>
    <s v="Wood-Vinyl-Fiberglass:Double:low-e"/>
    <x v="1"/>
    <x v="0"/>
    <n v="1"/>
    <x v="17"/>
  </r>
  <r>
    <x v="1007"/>
    <n v="22302"/>
    <s v="Primary"/>
    <n v="279"/>
    <s v="no"/>
    <s v="Wood-Vinyl-Fiberglass:Double:low-e"/>
    <x v="1"/>
    <x v="0"/>
    <n v="1"/>
    <x v="15"/>
  </r>
  <r>
    <x v="1008"/>
    <n v="22306"/>
    <s v="Primary"/>
    <n v="97"/>
    <s v="yes"/>
    <s v="Wood-Vinyl-Fiberglass:Double:low-e"/>
    <x v="4"/>
    <x v="0"/>
    <n v="1"/>
    <x v="13"/>
  </r>
  <r>
    <x v="1009"/>
    <n v="22312"/>
    <s v="Primary"/>
    <n v="503"/>
    <s v="no"/>
    <s v="Wood-Vinyl-Fiberglass:Double"/>
    <x v="6"/>
    <x v="0"/>
    <n v="1"/>
    <x v="11"/>
  </r>
  <r>
    <x v="1010"/>
    <n v="22319"/>
    <s v="Primary"/>
    <n v="199"/>
    <s v="no"/>
    <s v="Wood-Vinyl-Fiberglass:Double:low-e"/>
    <x v="0"/>
    <x v="0"/>
    <n v="1"/>
    <x v="11"/>
  </r>
  <r>
    <x v="1011"/>
    <n v="22322"/>
    <s v="Primary"/>
    <n v="422"/>
    <s v="no"/>
    <s v="Wood-Vinyl-Fiberglass:Double:low-e"/>
    <x v="1"/>
    <x v="0"/>
    <n v="1"/>
    <x v="15"/>
  </r>
  <r>
    <x v="1012"/>
    <n v="22333"/>
    <s v="Primary"/>
    <n v="146"/>
    <s v="no"/>
    <s v="Wood-Vinyl-Fiberglass:Double:low-e"/>
    <x v="0"/>
    <x v="0"/>
    <n v="1"/>
    <x v="12"/>
  </r>
  <r>
    <x v="1013"/>
    <n v="22352"/>
    <s v="Primary"/>
    <n v="129"/>
    <s v="no"/>
    <s v="Metal:Double"/>
    <x v="5"/>
    <x v="1"/>
    <n v="1"/>
    <x v="18"/>
  </r>
  <r>
    <x v="1014"/>
    <n v="22369"/>
    <s v="Primary"/>
    <n v="294"/>
    <s v="no"/>
    <s v="Wood-Vinyl-Fiberglass:Double"/>
    <x v="6"/>
    <x v="0"/>
    <n v="1"/>
    <x v="13"/>
  </r>
  <r>
    <x v="1015"/>
    <n v="22375"/>
    <s v="Primary"/>
    <n v="234"/>
    <s v="no"/>
    <s v="Wood-Vinyl-Fiberglass:Double:low-e"/>
    <x v="1"/>
    <x v="0"/>
    <n v="1"/>
    <x v="15"/>
  </r>
  <r>
    <x v="1016"/>
    <n v="22398"/>
    <s v="Primary"/>
    <n v="191"/>
    <s v="no"/>
    <s v="Wood-Vinyl-Fiberglass:Double"/>
    <x v="6"/>
    <x v="0"/>
    <n v="1"/>
    <x v="12"/>
  </r>
  <r>
    <x v="1017"/>
    <n v="22404"/>
    <s v="Primary"/>
    <n v="82"/>
    <s v="no"/>
    <s v="Wood-Vinyl-Fiberglass:Double:low-e"/>
    <x v="0"/>
    <x v="0"/>
    <n v="1"/>
    <x v="8"/>
  </r>
  <r>
    <x v="1018"/>
    <n v="22411"/>
    <s v="Primary"/>
    <n v="200"/>
    <s v="no"/>
    <s v="Wood-Vinyl-Fiberglass:Single"/>
    <x v="7"/>
    <x v="2"/>
    <n v="1"/>
    <x v="8"/>
  </r>
  <r>
    <x v="1019"/>
    <n v="22413"/>
    <s v="Primary"/>
    <n v="192"/>
    <s v="no"/>
    <s v="Wood-Vinyl-Fiberglass:Double"/>
    <x v="0"/>
    <x v="0"/>
    <n v="1"/>
    <x v="11"/>
  </r>
  <r>
    <x v="1020"/>
    <n v="22425"/>
    <s v="Primary"/>
    <n v="143"/>
    <s v="yes"/>
    <s v="Metal:Double"/>
    <x v="2"/>
    <x v="1"/>
    <n v="1"/>
    <x v="11"/>
  </r>
  <r>
    <x v="1021"/>
    <n v="22432"/>
    <s v="Primary"/>
    <n v="453"/>
    <s v="no"/>
    <s v="Wood-Vinyl-Fiberglass:Double:low-e"/>
    <x v="1"/>
    <x v="0"/>
    <n v="1"/>
    <x v="17"/>
  </r>
  <r>
    <x v="1022"/>
    <n v="22439"/>
    <s v="Primary"/>
    <n v="200"/>
    <s v="no"/>
    <s v="Wood-Vinyl-Fiberglass:Double"/>
    <x v="0"/>
    <x v="0"/>
    <n v="1"/>
    <x v="8"/>
  </r>
  <r>
    <x v="1023"/>
    <n v="22445"/>
    <s v="Primary"/>
    <n v="255"/>
    <s v="no"/>
    <s v="Wood-Vinyl-Fiberglass:Double:low-e"/>
    <x v="1"/>
    <x v="0"/>
    <n v="1"/>
    <x v="9"/>
  </r>
  <r>
    <x v="1024"/>
    <n v="22458"/>
    <s v="Primary"/>
    <n v="156"/>
    <s v="no"/>
    <s v="Wood-Vinyl-Fiberglass:Double:low-e"/>
    <x v="0"/>
    <x v="0"/>
    <n v="1"/>
    <x v="11"/>
  </r>
  <r>
    <x v="1025"/>
    <n v="22460"/>
    <s v="Primary"/>
    <n v="212"/>
    <s v="no"/>
    <s v="Wood-Vinyl-Fiberglass:Double"/>
    <x v="0"/>
    <x v="0"/>
    <n v="1"/>
    <x v="11"/>
  </r>
  <r>
    <x v="1026"/>
    <n v="22474"/>
    <s v="Primary"/>
    <n v="302"/>
    <s v="no"/>
    <s v="Wood-Vinyl-Fiberglass:Double"/>
    <x v="6"/>
    <x v="0"/>
    <n v="1"/>
    <x v="10"/>
  </r>
  <r>
    <x v="1027"/>
    <n v="22475"/>
    <s v="Primary"/>
    <n v="230"/>
    <s v="no"/>
    <s v="Wood-Vinyl-Fiberglass:Double:low-e"/>
    <x v="1"/>
    <x v="0"/>
    <n v="1"/>
    <x v="13"/>
  </r>
  <r>
    <x v="1028"/>
    <n v="22479"/>
    <s v="Primary"/>
    <n v="319"/>
    <s v="no"/>
    <s v="Wood-Vinyl-Fiberglass:Double"/>
    <x v="0"/>
    <x v="0"/>
    <n v="1"/>
    <x v="10"/>
  </r>
  <r>
    <x v="1029"/>
    <n v="22493"/>
    <s v="Primary"/>
    <n v="622"/>
    <s v="no"/>
    <s v="Wood-Vinyl-Fiberglass:Double:low-e"/>
    <x v="0"/>
    <x v="0"/>
    <n v="1"/>
    <x v="17"/>
  </r>
  <r>
    <x v="1030"/>
    <n v="22509"/>
    <s v="Primary"/>
    <n v="140"/>
    <s v="no"/>
    <s v="Wood-Vinyl-Fiberglass:Double:low-e"/>
    <x v="1"/>
    <x v="0"/>
    <n v="1"/>
    <x v="8"/>
  </r>
  <r>
    <x v="1031"/>
    <n v="22514"/>
    <s v="Primary"/>
    <n v="148"/>
    <s v="no"/>
    <s v="Wood-Vinyl-Fiberglass:Double:low-e"/>
    <x v="1"/>
    <x v="0"/>
    <n v="1"/>
    <x v="11"/>
  </r>
  <r>
    <x v="1032"/>
    <n v="22515"/>
    <s v="Primary"/>
    <n v="164"/>
    <s v="no"/>
    <s v="Metal:Double"/>
    <x v="5"/>
    <x v="1"/>
    <n v="1"/>
    <x v="8"/>
  </r>
  <r>
    <x v="1033"/>
    <n v="22519"/>
    <s v="Primary"/>
    <n v="88"/>
    <s v="no"/>
    <s v="Wood-Vinyl-Fiberglass:Double:low-e"/>
    <x v="1"/>
    <x v="0"/>
    <n v="1"/>
    <x v="13"/>
  </r>
  <r>
    <x v="1034"/>
    <n v="22521"/>
    <s v="Primary"/>
    <n v="126"/>
    <s v="no"/>
    <s v="Wood-Vinyl-Fiberglass:Double:low-e"/>
    <x v="1"/>
    <x v="0"/>
    <n v="1"/>
    <x v="15"/>
  </r>
  <r>
    <x v="1035"/>
    <n v="22530"/>
    <s v="Primary"/>
    <n v="145"/>
    <s v="no"/>
    <s v="Wood-Vinyl-Fiberglass:Double"/>
    <x v="0"/>
    <x v="0"/>
    <n v="1"/>
    <x v="15"/>
  </r>
  <r>
    <x v="1036"/>
    <n v="22533"/>
    <s v="Primary"/>
    <n v="111"/>
    <s v="no"/>
    <s v="Wood-Vinyl-Fiberglass:Double:low-e"/>
    <x v="1"/>
    <x v="0"/>
    <n v="1"/>
    <x v="12"/>
  </r>
  <r>
    <x v="1037"/>
    <n v="22546"/>
    <s v="Primary"/>
    <n v="78"/>
    <s v="yes"/>
    <s v="Wood-Vinyl-Fiberglass:Double:low-e"/>
    <x v="4"/>
    <x v="0"/>
    <n v="1"/>
    <x v="8"/>
  </r>
  <r>
    <x v="1038"/>
    <n v="22557"/>
    <s v="Primary"/>
    <n v="268"/>
    <s v="no"/>
    <s v="Metal:Double"/>
    <x v="10"/>
    <x v="1"/>
    <n v="1"/>
    <x v="8"/>
  </r>
  <r>
    <x v="1039"/>
    <n v="22559"/>
    <s v="Primary"/>
    <n v="252"/>
    <s v="no"/>
    <s v="Wood-Vinyl-Fiberglass:Double:low-e"/>
    <x v="1"/>
    <x v="0"/>
    <n v="1"/>
    <x v="18"/>
  </r>
  <r>
    <x v="1040"/>
    <n v="22566"/>
    <s v="Primary"/>
    <n v="38"/>
    <s v="no"/>
    <s v="Wood-Vinyl-Fiberglass:Double"/>
    <x v="6"/>
    <x v="0"/>
    <n v="1"/>
    <x v="12"/>
  </r>
  <r>
    <x v="1041"/>
    <n v="22570"/>
    <s v="Primary"/>
    <n v="100"/>
    <s v="no"/>
    <s v="Wood-Vinyl-Fiberglass:Double:low-e"/>
    <x v="1"/>
    <x v="0"/>
    <n v="1"/>
    <x v="12"/>
  </r>
  <r>
    <x v="1042"/>
    <n v="22571"/>
    <s v="Primary"/>
    <n v="197"/>
    <s v="no"/>
    <s v="Wood-Vinyl-Fiberglass:Double:low-e"/>
    <x v="0"/>
    <x v="0"/>
    <n v="1"/>
    <x v="11"/>
  </r>
  <r>
    <x v="1043"/>
    <n v="22576"/>
    <s v="Primary"/>
    <n v="261"/>
    <s v="no"/>
    <s v="Wood-Vinyl-Fiberglass:Double:low-e"/>
    <x v="0"/>
    <x v="0"/>
    <n v="1"/>
    <x v="8"/>
  </r>
  <r>
    <x v="1044"/>
    <n v="22577"/>
    <s v="Primary"/>
    <n v="107"/>
    <s v="no"/>
    <s v="Wood-Vinyl-Fiberglass:Double:low-e"/>
    <x v="1"/>
    <x v="0"/>
    <n v="1"/>
    <x v="17"/>
  </r>
  <r>
    <x v="1045"/>
    <n v="22580"/>
    <s v="Primary"/>
    <n v="223"/>
    <s v="no"/>
    <s v="Wood-Vinyl-Fiberglass:Double:low-e"/>
    <x v="0"/>
    <x v="0"/>
    <n v="1"/>
    <x v="9"/>
  </r>
  <r>
    <x v="1046"/>
    <n v="22583"/>
    <s v="Primary"/>
    <n v="133"/>
    <s v="no"/>
    <s v="Wood-Vinyl-Fiberglass:Double:low-e"/>
    <x v="0"/>
    <x v="0"/>
    <n v="1"/>
    <x v="13"/>
  </r>
  <r>
    <x v="1047"/>
    <n v="22590"/>
    <s v="Primary"/>
    <n v="243"/>
    <s v="no"/>
    <s v="Wood-Vinyl-Fiberglass:Double"/>
    <x v="0"/>
    <x v="0"/>
    <n v="1"/>
    <x v="18"/>
  </r>
  <r>
    <x v="1048"/>
    <n v="22597"/>
    <s v="Primary"/>
    <n v="82"/>
    <s v="yes"/>
    <s v="Metal:Single"/>
    <x v="5"/>
    <x v="3"/>
    <n v="1"/>
    <x v="7"/>
  </r>
  <r>
    <x v="1049"/>
    <n v="22598"/>
    <s v="Primary"/>
    <n v="785"/>
    <s v="no"/>
    <s v="Wood-Vinyl-Fiberglass:Double:low-e"/>
    <x v="1"/>
    <x v="0"/>
    <n v="1"/>
    <x v="13"/>
  </r>
  <r>
    <x v="1050"/>
    <n v="22602"/>
    <s v="Primary"/>
    <n v="337"/>
    <s v="no"/>
    <s v="Wood-Vinyl-Fiberglass:Double"/>
    <x v="0"/>
    <x v="0"/>
    <n v="1"/>
    <x v="10"/>
  </r>
  <r>
    <x v="1051"/>
    <n v="22607"/>
    <s v="Primary"/>
    <n v="136"/>
    <s v="yes"/>
    <s v="Metal:Single"/>
    <x v="5"/>
    <x v="3"/>
    <n v="1"/>
    <x v="15"/>
  </r>
  <r>
    <x v="1052"/>
    <n v="22612"/>
    <s v="Primary"/>
    <n v="225"/>
    <s v="no"/>
    <s v="Wood-Vinyl-Fiberglass:Double:low-e"/>
    <x v="0"/>
    <x v="0"/>
    <n v="1"/>
    <x v="11"/>
  </r>
  <r>
    <x v="1053"/>
    <n v="22615"/>
    <s v="Primary"/>
    <n v="134"/>
    <s v="no"/>
    <s v="Wood-Vinyl-Fiberglass:Double:low-e"/>
    <x v="1"/>
    <x v="0"/>
    <n v="1"/>
    <x v="13"/>
  </r>
  <r>
    <x v="1054"/>
    <n v="22618"/>
    <s v="Primary"/>
    <n v="88"/>
    <s v="no"/>
    <s v="Wood-Vinyl-Fiberglass:Double"/>
    <x v="0"/>
    <x v="0"/>
    <n v="1"/>
    <x v="13"/>
  </r>
  <r>
    <x v="1055"/>
    <n v="22620"/>
    <s v="Primary"/>
    <n v="286"/>
    <s v="no"/>
    <s v="Wood-Vinyl-Fiberglass:Double:low-e"/>
    <x v="1"/>
    <x v="0"/>
    <n v="1"/>
    <x v="8"/>
  </r>
  <r>
    <x v="1056"/>
    <n v="22625"/>
    <s v="Primary"/>
    <n v="131"/>
    <s v="no"/>
    <s v="Metal:Double"/>
    <x v="10"/>
    <x v="1"/>
    <n v="1"/>
    <x v="10"/>
  </r>
  <r>
    <x v="1057"/>
    <n v="22627"/>
    <s v="Primary"/>
    <n v="49"/>
    <s v="no"/>
    <s v="Wood-Vinyl-Fiberglass:Double:low-e"/>
    <x v="0"/>
    <x v="0"/>
    <n v="1"/>
    <x v="13"/>
  </r>
  <r>
    <x v="1058"/>
    <n v="22632"/>
    <s v="Primary"/>
    <n v="97"/>
    <s v="no"/>
    <s v="Wood-Vinyl-Fiberglass:Double:low-e"/>
    <x v="1"/>
    <x v="0"/>
    <n v="1"/>
    <x v="12"/>
  </r>
  <r>
    <x v="1059"/>
    <n v="22641"/>
    <s v="Primary"/>
    <n v="832"/>
    <s v="no"/>
    <s v="Wood-Vinyl-Fiberglass:Triple:low-e"/>
    <x v="11"/>
    <x v="4"/>
    <n v="1"/>
    <x v="12"/>
  </r>
  <r>
    <x v="1060"/>
    <n v="22649"/>
    <s v="Primary"/>
    <n v="157"/>
    <s v="no"/>
    <s v="Wood-Vinyl-Fiberglass:Double"/>
    <x v="0"/>
    <x v="0"/>
    <n v="1"/>
    <x v="17"/>
  </r>
  <r>
    <x v="1061"/>
    <n v="22652"/>
    <s v="Primary"/>
    <n v="321"/>
    <s v="no"/>
    <s v="Wood-Vinyl-Fiberglass:Double:low-e"/>
    <x v="0"/>
    <x v="0"/>
    <n v="1"/>
    <x v="8"/>
  </r>
  <r>
    <x v="1062"/>
    <n v="22663"/>
    <s v="Primary"/>
    <n v="163"/>
    <s v="no"/>
    <s v="Wood-Vinyl-Fiberglass:Double"/>
    <x v="0"/>
    <x v="0"/>
    <n v="1"/>
    <x v="10"/>
  </r>
  <r>
    <x v="1063"/>
    <n v="22671"/>
    <s v="Primary"/>
    <n v="110"/>
    <s v="no"/>
    <s v="Metal:Single"/>
    <x v="8"/>
    <x v="3"/>
    <n v="1"/>
    <x v="15"/>
  </r>
  <r>
    <x v="1064"/>
    <n v="22673"/>
    <s v="Primary"/>
    <n v="452"/>
    <s v="no"/>
    <s v="Wood-Vinyl-Fiberglass:Double:low-e"/>
    <x v="1"/>
    <x v="0"/>
    <n v="1"/>
    <x v="12"/>
  </r>
  <r>
    <x v="1065"/>
    <n v="22679"/>
    <s v="Primary"/>
    <n v="234"/>
    <s v="no"/>
    <s v="Wood-Vinyl-Fiberglass:Double:low-e"/>
    <x v="1"/>
    <x v="0"/>
    <n v="1"/>
    <x v="13"/>
  </r>
  <r>
    <x v="1066"/>
    <n v="22681"/>
    <s v="Primary"/>
    <n v="280"/>
    <s v="no"/>
    <s v="Wood-Vinyl-Fiberglass:Double"/>
    <x v="0"/>
    <x v="0"/>
    <n v="1"/>
    <x v="18"/>
  </r>
  <r>
    <x v="1067"/>
    <n v="22683"/>
    <s v="Primary"/>
    <n v="90"/>
    <s v="no"/>
    <s v="Wood-Vinyl-Fiberglass:Double:low-e"/>
    <x v="0"/>
    <x v="0"/>
    <n v="1"/>
    <x v="8"/>
  </r>
  <r>
    <x v="1068"/>
    <n v="22688"/>
    <s v="Primary"/>
    <n v="97"/>
    <s v="no"/>
    <s v="Metal:Double"/>
    <x v="5"/>
    <x v="1"/>
    <n v="1"/>
    <x v="17"/>
  </r>
  <r>
    <x v="1069"/>
    <n v="22693"/>
    <s v="Primary"/>
    <n v="116"/>
    <s v="no"/>
    <s v="Wood-Vinyl-Fiberglass:Double:low-e"/>
    <x v="1"/>
    <x v="0"/>
    <n v="1"/>
    <x v="9"/>
  </r>
  <r>
    <x v="1070"/>
    <n v="22694"/>
    <s v="Primary"/>
    <n v="214"/>
    <s v="no"/>
    <s v="Metal:Single"/>
    <x v="8"/>
    <x v="3"/>
    <n v="1"/>
    <x v="8"/>
  </r>
  <r>
    <x v="1071"/>
    <n v="22699"/>
    <s v="Primary"/>
    <n v="216"/>
    <s v="no"/>
    <s v="Wood-Vinyl-Fiberglass:Double:low-e"/>
    <x v="0"/>
    <x v="0"/>
    <n v="1"/>
    <x v="15"/>
  </r>
  <r>
    <x v="1072"/>
    <n v="22701"/>
    <s v="Primary"/>
    <n v="166"/>
    <s v="no"/>
    <s v="Wood-Vinyl-Fiberglass:Single"/>
    <x v="7"/>
    <x v="2"/>
    <n v="1"/>
    <x v="17"/>
  </r>
  <r>
    <x v="1073"/>
    <n v="22702"/>
    <s v="Primary"/>
    <n v="626"/>
    <s v="no"/>
    <s v="Wood-Vinyl-Fiberglass:Double:low-e"/>
    <x v="0"/>
    <x v="0"/>
    <n v="1"/>
    <x v="14"/>
  </r>
  <r>
    <x v="1074"/>
    <n v="22703"/>
    <s v="Primary"/>
    <n v="115"/>
    <s v="no"/>
    <s v="Wood-Vinyl-Fiberglass:Double"/>
    <x v="0"/>
    <x v="0"/>
    <n v="1"/>
    <x v="8"/>
  </r>
  <r>
    <x v="1075"/>
    <n v="22705"/>
    <s v="Primary"/>
    <n v="233"/>
    <s v="no"/>
    <s v="Wood-Vinyl-Fiberglass:Double:low-e"/>
    <x v="1"/>
    <x v="0"/>
    <n v="1"/>
    <x v="12"/>
  </r>
  <r>
    <x v="1076"/>
    <n v="22721"/>
    <s v="Primary"/>
    <n v="91"/>
    <s v="no"/>
    <s v="Metal:Double"/>
    <x v="10"/>
    <x v="1"/>
    <n v="1"/>
    <x v="13"/>
  </r>
  <r>
    <x v="1077"/>
    <n v="22724"/>
    <s v="Primary"/>
    <n v="55"/>
    <s v="no"/>
    <s v="Wood-Vinyl-Fiberglass:Double"/>
    <x v="6"/>
    <x v="0"/>
    <n v="1"/>
    <x v="11"/>
  </r>
  <r>
    <x v="1078"/>
    <n v="22728"/>
    <s v="Primary"/>
    <n v="161"/>
    <s v="no"/>
    <s v="Wood-Vinyl-Fiberglass:Double:low-e"/>
    <x v="1"/>
    <x v="0"/>
    <n v="1"/>
    <x v="12"/>
  </r>
  <r>
    <x v="1079"/>
    <n v="22733"/>
    <s v="Primary"/>
    <n v="294"/>
    <s v="no"/>
    <s v="Wood-Vinyl-Fiberglass:Double:low-e"/>
    <x v="1"/>
    <x v="0"/>
    <n v="1"/>
    <x v="18"/>
  </r>
  <r>
    <x v="1080"/>
    <n v="22739"/>
    <s v="Primary"/>
    <n v="476"/>
    <s v="no"/>
    <s v="Wood-Vinyl-Fiberglass:Double"/>
    <x v="6"/>
    <x v="0"/>
    <n v="1"/>
    <x v="18"/>
  </r>
  <r>
    <x v="1081"/>
    <n v="22743"/>
    <s v="Primary"/>
    <n v="486"/>
    <s v="no"/>
    <s v="Wood-Vinyl-Fiberglass:Double:low-e"/>
    <x v="0"/>
    <x v="0"/>
    <n v="1"/>
    <x v="11"/>
  </r>
  <r>
    <x v="1082"/>
    <n v="22751"/>
    <s v="Primary"/>
    <n v="80"/>
    <s v="no"/>
    <s v="Wood-Vinyl-Fiberglass:Double:low-e"/>
    <x v="1"/>
    <x v="0"/>
    <n v="1"/>
    <x v="17"/>
  </r>
  <r>
    <x v="1083"/>
    <n v="22756"/>
    <s v="Primary"/>
    <n v="277"/>
    <s v="no"/>
    <s v="Wood-Vinyl-Fiberglass:Double"/>
    <x v="6"/>
    <x v="0"/>
    <n v="1"/>
    <x v="10"/>
  </r>
  <r>
    <x v="1084"/>
    <n v="22767"/>
    <s v="Primary"/>
    <n v="196"/>
    <s v="no"/>
    <s v="Wood-Vinyl-Fiberglass:Double:low-e"/>
    <x v="0"/>
    <x v="0"/>
    <n v="1"/>
    <x v="8"/>
  </r>
  <r>
    <x v="1085"/>
    <n v="22774"/>
    <s v="Primary"/>
    <n v="118"/>
    <s v="no"/>
    <s v="Wood-Vinyl-Fiberglass:Double:low-e"/>
    <x v="1"/>
    <x v="0"/>
    <n v="1"/>
    <x v="12"/>
  </r>
  <r>
    <x v="1086"/>
    <n v="22785"/>
    <s v="Primary"/>
    <n v="146"/>
    <s v="yes"/>
    <s v="Metal:Single"/>
    <x v="5"/>
    <x v="3"/>
    <n v="1"/>
    <x v="8"/>
  </r>
  <r>
    <x v="1087"/>
    <n v="22787"/>
    <s v="Primary"/>
    <n v="304"/>
    <s v="no"/>
    <s v="Wood-Vinyl-Fiberglass:Double:low-e"/>
    <x v="0"/>
    <x v="0"/>
    <n v="1"/>
    <x v="11"/>
  </r>
  <r>
    <x v="1088"/>
    <n v="22822"/>
    <s v="Primary"/>
    <n v="111"/>
    <s v="yes"/>
    <s v="Metal:Single"/>
    <x v="5"/>
    <x v="3"/>
    <n v="1"/>
    <x v="10"/>
  </r>
  <r>
    <x v="1089"/>
    <n v="22832"/>
    <s v="Primary"/>
    <n v="130"/>
    <s v="no"/>
    <s v="Wood-Vinyl-Fiberglass:Double:low-e"/>
    <x v="0"/>
    <x v="0"/>
    <n v="1"/>
    <x v="15"/>
  </r>
  <r>
    <x v="1090"/>
    <n v="22833"/>
    <s v="Primary"/>
    <n v="315"/>
    <s v="no"/>
    <s v="Wood-Vinyl-Fiberglass:Double:low-e"/>
    <x v="0"/>
    <x v="0"/>
    <n v="1"/>
    <x v="11"/>
  </r>
  <r>
    <x v="1091"/>
    <n v="22845"/>
    <s v="Primary"/>
    <n v="184"/>
    <s v="no"/>
    <s v="Wood-Vinyl-Fiberglass:Double:low-e"/>
    <x v="1"/>
    <x v="0"/>
    <n v="1"/>
    <x v="12"/>
  </r>
  <r>
    <x v="1092"/>
    <n v="22854"/>
    <s v="Primary"/>
    <n v="441"/>
    <s v="no"/>
    <s v="Wood-Vinyl-Fiberglass:Double:low-e"/>
    <x v="0"/>
    <x v="0"/>
    <n v="1"/>
    <x v="12"/>
  </r>
  <r>
    <x v="1093"/>
    <n v="22855"/>
    <s v="Primary"/>
    <n v="246"/>
    <s v="no"/>
    <s v="Wood-Vinyl-Fiberglass:Double"/>
    <x v="6"/>
    <x v="0"/>
    <n v="1"/>
    <x v="8"/>
  </r>
  <r>
    <x v="1094"/>
    <n v="22869"/>
    <s v="Primary"/>
    <n v="280"/>
    <s v="no"/>
    <s v="Wood-Vinyl-Fiberglass:Double:low-e"/>
    <x v="0"/>
    <x v="0"/>
    <n v="1"/>
    <x v="8"/>
  </r>
  <r>
    <x v="1095"/>
    <n v="22872"/>
    <s v="Primary"/>
    <n v="172"/>
    <s v="no"/>
    <s v="Wood-Vinyl-Fiberglass:Double"/>
    <x v="0"/>
    <x v="0"/>
    <n v="1"/>
    <x v="11"/>
  </r>
  <r>
    <x v="1096"/>
    <n v="22878"/>
    <s v="Primary"/>
    <n v="413"/>
    <s v="no"/>
    <s v="Wood-Vinyl-Fiberglass:Double:low-e"/>
    <x v="0"/>
    <x v="0"/>
    <n v="1"/>
    <x v="11"/>
  </r>
  <r>
    <x v="1097"/>
    <n v="22880"/>
    <s v="Primary"/>
    <n v="117"/>
    <s v="no"/>
    <s v="Wood-Vinyl-Fiberglass:Double:low-e"/>
    <x v="1"/>
    <x v="0"/>
    <n v="1"/>
    <x v="15"/>
  </r>
  <r>
    <x v="1098"/>
    <n v="22890"/>
    <s v="Primary"/>
    <n v="184"/>
    <s v="no"/>
    <s v="Wood-Vinyl-Fiberglass:Double:low-e"/>
    <x v="0"/>
    <x v="0"/>
    <n v="1"/>
    <x v="10"/>
  </r>
  <r>
    <x v="1099"/>
    <n v="22891"/>
    <s v="Primary"/>
    <n v="185"/>
    <s v="no"/>
    <s v="Wood-Vinyl-Fiberglass:Double"/>
    <x v="6"/>
    <x v="0"/>
    <n v="1"/>
    <x v="11"/>
  </r>
  <r>
    <x v="1100"/>
    <n v="22897"/>
    <s v="Primary"/>
    <n v="168"/>
    <s v="no"/>
    <s v="Wood-Vinyl-Fiberglass:Double:low-e"/>
    <x v="0"/>
    <x v="0"/>
    <n v="1"/>
    <x v="8"/>
  </r>
  <r>
    <x v="1101"/>
    <n v="22902"/>
    <s v="Primary"/>
    <n v="215"/>
    <s v="yes"/>
    <s v="Wood-Vinyl-Fiberglass:Single"/>
    <x v="2"/>
    <x v="2"/>
    <n v="1"/>
    <x v="13"/>
  </r>
  <r>
    <x v="1102"/>
    <n v="22903"/>
    <s v="Primary"/>
    <n v="277"/>
    <s v="no"/>
    <s v="Wood-Vinyl-Fiberglass:Double:low-e"/>
    <x v="1"/>
    <x v="0"/>
    <n v="1"/>
    <x v="10"/>
  </r>
  <r>
    <x v="1103"/>
    <n v="22904"/>
    <s v="Primary"/>
    <n v="429"/>
    <s v="no"/>
    <s v="Wood-Vinyl-Fiberglass:Double:low-e"/>
    <x v="1"/>
    <x v="0"/>
    <n v="1"/>
    <x v="15"/>
  </r>
  <r>
    <x v="1104"/>
    <n v="22909"/>
    <s v="Primary"/>
    <n v="237"/>
    <s v="no"/>
    <s v="Wood-Vinyl-Fiberglass:Double:low-e"/>
    <x v="1"/>
    <x v="0"/>
    <n v="1"/>
    <x v="11"/>
  </r>
  <r>
    <x v="1105"/>
    <n v="22919"/>
    <s v="Primary"/>
    <n v="215"/>
    <s v="no"/>
    <s v="Metal:Double"/>
    <x v="5"/>
    <x v="1"/>
    <n v="1"/>
    <x v="8"/>
  </r>
  <r>
    <x v="1106"/>
    <n v="22935"/>
    <s v="Primary"/>
    <n v="193"/>
    <s v="no"/>
    <s v="Metal:Double:low-e"/>
    <x v="2"/>
    <x v="1"/>
    <n v="1"/>
    <x v="18"/>
  </r>
  <r>
    <x v="1107"/>
    <n v="22938"/>
    <s v="Primary"/>
    <n v="217"/>
    <s v="no"/>
    <s v="Metal:Double"/>
    <x v="5"/>
    <x v="1"/>
    <n v="1"/>
    <x v="9"/>
  </r>
  <r>
    <x v="1108"/>
    <n v="22944"/>
    <s v="Primary"/>
    <n v="132"/>
    <s v="yes"/>
    <s v="Metal:Double"/>
    <x v="2"/>
    <x v="1"/>
    <n v="1"/>
    <x v="8"/>
  </r>
  <r>
    <x v="1109"/>
    <n v="22950"/>
    <s v="Primary"/>
    <n v="333"/>
    <s v="no"/>
    <s v="Wood-Vinyl-Fiberglass:Double:low-e"/>
    <x v="0"/>
    <x v="0"/>
    <n v="1"/>
    <x v="13"/>
  </r>
  <r>
    <x v="1110"/>
    <n v="22953"/>
    <s v="Primary"/>
    <n v="226"/>
    <s v="yes"/>
    <s v="Wood-Vinyl-Fiberglass:Single"/>
    <x v="2"/>
    <x v="2"/>
    <n v="1"/>
    <x v="12"/>
  </r>
  <r>
    <x v="1111"/>
    <n v="22955"/>
    <s v="Primary"/>
    <n v="113"/>
    <s v="no"/>
    <s v="Wood-Vinyl-Fiberglass:Double"/>
    <x v="0"/>
    <x v="0"/>
    <n v="1"/>
    <x v="11"/>
  </r>
  <r>
    <x v="1112"/>
    <n v="22957"/>
    <s v="Primary"/>
    <n v="204"/>
    <s v="no"/>
    <s v="Wood-Vinyl-Fiberglass:Double:low-e"/>
    <x v="0"/>
    <x v="0"/>
    <n v="1"/>
    <x v="17"/>
  </r>
  <r>
    <x v="1113"/>
    <n v="22960"/>
    <s v="Primary"/>
    <n v="313"/>
    <s v="no"/>
    <s v="Wood-Vinyl-Fiberglass:Double:low-e"/>
    <x v="1"/>
    <x v="0"/>
    <n v="1"/>
    <x v="13"/>
  </r>
  <r>
    <x v="1114"/>
    <n v="22965"/>
    <s v="Primary"/>
    <n v="253"/>
    <s v="no"/>
    <s v="Wood-Vinyl-Fiberglass:Double:low-e"/>
    <x v="1"/>
    <x v="0"/>
    <n v="1"/>
    <x v="15"/>
  </r>
  <r>
    <x v="1115"/>
    <n v="22966"/>
    <s v="Primary"/>
    <n v="121"/>
    <s v="no"/>
    <s v="Wood-Vinyl-Fiberglass:Double:low-e"/>
    <x v="1"/>
    <x v="0"/>
    <n v="1"/>
    <x v="13"/>
  </r>
  <r>
    <x v="1116"/>
    <n v="22969"/>
    <s v="Primary"/>
    <n v="326"/>
    <s v="no"/>
    <s v="Wood-Vinyl-Fiberglass:Double:low-e"/>
    <x v="1"/>
    <x v="0"/>
    <n v="1"/>
    <x v="8"/>
  </r>
  <r>
    <x v="1117"/>
    <n v="22977"/>
    <s v="Primary"/>
    <n v="444"/>
    <s v="no"/>
    <s v="Wood-Vinyl-Fiberglass:Double:low-e"/>
    <x v="0"/>
    <x v="0"/>
    <n v="1"/>
    <x v="17"/>
  </r>
  <r>
    <x v="1118"/>
    <n v="22982"/>
    <s v="Primary"/>
    <n v="364"/>
    <s v="no"/>
    <s v="Wood-Vinyl-Fiberglass:Double:low-e"/>
    <x v="1"/>
    <x v="0"/>
    <n v="1"/>
    <x v="8"/>
  </r>
  <r>
    <x v="1119"/>
    <n v="22985"/>
    <s v="Primary"/>
    <n v="405"/>
    <s v="no"/>
    <s v="Wood-Vinyl-Fiberglass:Double:low-e"/>
    <x v="1"/>
    <x v="0"/>
    <n v="1"/>
    <x v="3"/>
  </r>
  <r>
    <x v="1120"/>
    <n v="22993"/>
    <s v="Primary"/>
    <n v="169"/>
    <s v="no"/>
    <s v="Metal:Double"/>
    <x v="10"/>
    <x v="1"/>
    <n v="1"/>
    <x v="7"/>
  </r>
  <r>
    <x v="1121"/>
    <n v="22994"/>
    <s v="Primary"/>
    <n v="167"/>
    <s v="no"/>
    <s v="Metal:Double:low-e"/>
    <x v="2"/>
    <x v="1"/>
    <n v="1"/>
    <x v="15"/>
  </r>
  <r>
    <x v="1122"/>
    <n v="23003"/>
    <s v="Primary"/>
    <n v="129"/>
    <s v="no"/>
    <s v="Wood-Vinyl-Fiberglass:Double:low-e"/>
    <x v="0"/>
    <x v="0"/>
    <n v="1"/>
    <x v="8"/>
  </r>
  <r>
    <x v="1123"/>
    <n v="23017"/>
    <s v="Primary"/>
    <n v="258"/>
    <s v="no"/>
    <s v="Wood-Vinyl-Fiberglass:Double:low-e"/>
    <x v="1"/>
    <x v="0"/>
    <n v="1"/>
    <x v="11"/>
  </r>
  <r>
    <x v="1124"/>
    <n v="23021"/>
    <s v="Primary"/>
    <n v="186"/>
    <s v="no"/>
    <s v="Wood-Vinyl-Fiberglass:Double:low-e"/>
    <x v="1"/>
    <x v="0"/>
    <n v="1"/>
    <x v="12"/>
  </r>
  <r>
    <x v="1125"/>
    <n v="23028"/>
    <s v="Primary"/>
    <n v="325"/>
    <s v="no"/>
    <s v="Wood-Vinyl-Fiberglass:Double"/>
    <x v="6"/>
    <x v="0"/>
    <n v="1"/>
    <x v="9"/>
  </r>
  <r>
    <x v="1126"/>
    <n v="23029"/>
    <s v="Primary"/>
    <n v="365"/>
    <s v="no"/>
    <s v="Wood-Vinyl-Fiberglass:Double:low-e"/>
    <x v="1"/>
    <x v="0"/>
    <n v="1"/>
    <x v="15"/>
  </r>
  <r>
    <x v="1127"/>
    <n v="23034"/>
    <s v="Primary"/>
    <n v="607"/>
    <s v="no"/>
    <s v="Wood-Vinyl-Fiberglass:Double:low-e"/>
    <x v="1"/>
    <x v="0"/>
    <n v="1"/>
    <x v="18"/>
  </r>
  <r>
    <x v="1128"/>
    <n v="23049"/>
    <s v="Primary"/>
    <n v="273"/>
    <s v="no"/>
    <s v="Wood-Vinyl-Fiberglass:Double:low-e"/>
    <x v="1"/>
    <x v="0"/>
    <n v="1"/>
    <x v="11"/>
  </r>
  <r>
    <x v="1129"/>
    <n v="23084"/>
    <s v="Primary"/>
    <n v="227"/>
    <s v="no"/>
    <s v="Wood-Vinyl-Fiberglass:Double"/>
    <x v="6"/>
    <x v="0"/>
    <n v="1"/>
    <x v="8"/>
  </r>
  <r>
    <x v="1130"/>
    <n v="23110"/>
    <s v="Primary"/>
    <n v="89"/>
    <s v="no"/>
    <s v="Metal:Double"/>
    <x v="5"/>
    <x v="1"/>
    <n v="1"/>
    <x v="11"/>
  </r>
  <r>
    <x v="1131"/>
    <n v="23111"/>
    <s v="Primary"/>
    <n v="328"/>
    <s v="no"/>
    <s v="Wood-Vinyl-Fiberglass:Double:low-e"/>
    <x v="1"/>
    <x v="0"/>
    <n v="1"/>
    <x v="18"/>
  </r>
  <r>
    <x v="1132"/>
    <n v="23112"/>
    <s v="Primary"/>
    <n v="280"/>
    <s v="no"/>
    <s v="Wood-Vinyl-Fiberglass:Double:low-e"/>
    <x v="1"/>
    <x v="0"/>
    <n v="1"/>
    <x v="10"/>
  </r>
  <r>
    <x v="1133"/>
    <n v="23113"/>
    <s v="Primary"/>
    <n v="293"/>
    <s v="no"/>
    <s v="Wood-Vinyl-Fiberglass:Double"/>
    <x v="0"/>
    <x v="0"/>
    <n v="1"/>
    <x v="12"/>
  </r>
  <r>
    <x v="1134"/>
    <n v="23119"/>
    <s v="Primary"/>
    <n v="450"/>
    <s v="no"/>
    <s v="Wood-Vinyl-Fiberglass:Double:low-e"/>
    <x v="1"/>
    <x v="0"/>
    <n v="1"/>
    <x v="15"/>
  </r>
  <r>
    <x v="1135"/>
    <n v="23122"/>
    <s v="Primary"/>
    <n v="284"/>
    <s v="no"/>
    <s v="Wood-Vinyl-Fiberglass:Double:low-e"/>
    <x v="1"/>
    <x v="0"/>
    <n v="1"/>
    <x v="8"/>
  </r>
  <r>
    <x v="1136"/>
    <n v="23123"/>
    <s v="Primary"/>
    <n v="192"/>
    <s v="no"/>
    <s v="Wood-Vinyl-Fiberglass:Triple:low-e"/>
    <x v="11"/>
    <x v="4"/>
    <n v="1"/>
    <x v="13"/>
  </r>
  <r>
    <x v="1137"/>
    <n v="23138"/>
    <s v="Primary"/>
    <n v="171"/>
    <s v="no"/>
    <s v="Wood-Vinyl-Fiberglass:Double"/>
    <x v="0"/>
    <x v="0"/>
    <n v="1"/>
    <x v="10"/>
  </r>
  <r>
    <x v="1138"/>
    <n v="23145"/>
    <s v="Primary"/>
    <n v="252"/>
    <s v="no"/>
    <s v="Wood-Vinyl-Fiberglass:Double:low-e"/>
    <x v="0"/>
    <x v="0"/>
    <n v="1"/>
    <x v="11"/>
  </r>
  <r>
    <x v="1139"/>
    <n v="23151"/>
    <s v="Primary"/>
    <n v="327"/>
    <s v="no"/>
    <s v="Wood-Vinyl-Fiberglass:Double"/>
    <x v="0"/>
    <x v="0"/>
    <n v="1"/>
    <x v="9"/>
  </r>
  <r>
    <x v="1140"/>
    <n v="23155"/>
    <s v="Primary"/>
    <n v="356"/>
    <s v="no"/>
    <s v="Metal:Double"/>
    <x v="5"/>
    <x v="1"/>
    <n v="1"/>
    <x v="8"/>
  </r>
  <r>
    <x v="1141"/>
    <n v="23178"/>
    <s v="Primary"/>
    <n v="108"/>
    <s v="no"/>
    <s v="Wood-Vinyl-Fiberglass:Double:low-e"/>
    <x v="1"/>
    <x v="0"/>
    <n v="1"/>
    <x v="11"/>
  </r>
  <r>
    <x v="1142"/>
    <n v="23183"/>
    <s v="Primary"/>
    <n v="226"/>
    <s v="no"/>
    <s v="Wood-Vinyl-Fiberglass:Double"/>
    <x v="6"/>
    <x v="0"/>
    <n v="1"/>
    <x v="11"/>
  </r>
  <r>
    <x v="1143"/>
    <n v="23185"/>
    <s v="Primary"/>
    <n v="364"/>
    <s v="no"/>
    <s v="Wood-Vinyl-Fiberglass:Double:low-e"/>
    <x v="1"/>
    <x v="0"/>
    <n v="1"/>
    <x v="12"/>
  </r>
  <r>
    <x v="1144"/>
    <n v="23188"/>
    <s v="Primary"/>
    <n v="124"/>
    <s v="no"/>
    <s v="Metal:Single"/>
    <x v="8"/>
    <x v="3"/>
    <n v="1"/>
    <x v="8"/>
  </r>
  <r>
    <x v="1145"/>
    <n v="23192"/>
    <s v="Primary"/>
    <n v="266"/>
    <s v="no"/>
    <s v="Wood-Vinyl-Fiberglass:Double:low-e"/>
    <x v="1"/>
    <x v="0"/>
    <n v="1"/>
    <x v="10"/>
  </r>
  <r>
    <x v="1146"/>
    <n v="23196"/>
    <s v="Primary"/>
    <n v="164"/>
    <s v="yes"/>
    <s v="Wood-Vinyl-Fiberglass:Double:low-e"/>
    <x v="4"/>
    <x v="0"/>
    <n v="1"/>
    <x v="8"/>
  </r>
  <r>
    <x v="1147"/>
    <n v="23211"/>
    <s v="Primary"/>
    <n v="533"/>
    <s v="yes"/>
    <s v="Metal:Double:low-e"/>
    <x v="13"/>
    <x v="1"/>
    <n v="1"/>
    <x v="13"/>
  </r>
  <r>
    <x v="1148"/>
    <n v="23213"/>
    <s v="Primary"/>
    <n v="374"/>
    <s v="no"/>
    <s v="Wood-Vinyl-Fiberglass:Double:low-e"/>
    <x v="1"/>
    <x v="0"/>
    <n v="1"/>
    <x v="13"/>
  </r>
  <r>
    <x v="1149"/>
    <n v="23233"/>
    <s v="Primary"/>
    <n v="174"/>
    <s v="no"/>
    <s v="Wood-Vinyl-Fiberglass:Double"/>
    <x v="6"/>
    <x v="0"/>
    <n v="1"/>
    <x v="10"/>
  </r>
  <r>
    <x v="1150"/>
    <n v="23235"/>
    <s v="Primary"/>
    <n v="86"/>
    <s v="no"/>
    <s v="Wood-Vinyl-Fiberglass:Single"/>
    <x v="7"/>
    <x v="2"/>
    <n v="1"/>
    <x v="15"/>
  </r>
  <r>
    <x v="1151"/>
    <n v="23241"/>
    <s v="Primary"/>
    <n v="250"/>
    <s v="no"/>
    <s v="Wood-Vinyl-Fiberglass:Double"/>
    <x v="6"/>
    <x v="0"/>
    <n v="1"/>
    <x v="8"/>
  </r>
  <r>
    <x v="1152"/>
    <n v="23260"/>
    <s v="Primary"/>
    <n v="267"/>
    <s v="no"/>
    <s v="Wood-Vinyl-Fiberglass:Double:low-e"/>
    <x v="1"/>
    <x v="0"/>
    <n v="1"/>
    <x v="10"/>
  </r>
  <r>
    <x v="1153"/>
    <n v="23262"/>
    <s v="Primary"/>
    <n v="195"/>
    <s v="no"/>
    <s v="Wood-Vinyl-Fiberglass:Double:low-e"/>
    <x v="0"/>
    <x v="0"/>
    <n v="1"/>
    <x v="15"/>
  </r>
  <r>
    <x v="1154"/>
    <n v="23267"/>
    <s v="Primary"/>
    <n v="379"/>
    <s v="no"/>
    <s v="Wood-Vinyl-Fiberglass:Double:low-e"/>
    <x v="0"/>
    <x v="0"/>
    <n v="1"/>
    <x v="7"/>
  </r>
  <r>
    <x v="1155"/>
    <n v="23274"/>
    <s v="Primary"/>
    <n v="223"/>
    <s v="no"/>
    <s v="Wood-Vinyl-Fiberglass:Double:low-e"/>
    <x v="1"/>
    <x v="0"/>
    <n v="1"/>
    <x v="12"/>
  </r>
  <r>
    <x v="1156"/>
    <n v="23278"/>
    <s v="Primary"/>
    <n v="127"/>
    <s v="no"/>
    <s v="Wood-Vinyl-Fiberglass:Double:low-e"/>
    <x v="0"/>
    <x v="0"/>
    <n v="1"/>
    <x v="15"/>
  </r>
  <r>
    <x v="1157"/>
    <n v="23282"/>
    <s v="Primary"/>
    <n v="261"/>
    <s v="no"/>
    <s v="Metal:Double:low-e"/>
    <x v="2"/>
    <x v="1"/>
    <n v="1"/>
    <x v="11"/>
  </r>
  <r>
    <x v="1158"/>
    <n v="23283"/>
    <s v="Primary"/>
    <n v="244"/>
    <s v="no"/>
    <s v="Wood-Vinyl-Fiberglass:Double:low-e"/>
    <x v="1"/>
    <x v="0"/>
    <n v="1"/>
    <x v="17"/>
  </r>
  <r>
    <x v="1159"/>
    <n v="23284"/>
    <s v="Primary"/>
    <n v="198"/>
    <s v="no"/>
    <s v="Metal:Double"/>
    <x v="5"/>
    <x v="1"/>
    <n v="1"/>
    <x v="11"/>
  </r>
  <r>
    <x v="1160"/>
    <n v="23287"/>
    <s v="Primary"/>
    <n v="327"/>
    <s v="no"/>
    <s v="Wood-Vinyl-Fiberglass:Double:low-e"/>
    <x v="1"/>
    <x v="0"/>
    <n v="1"/>
    <x v="15"/>
  </r>
  <r>
    <x v="1161"/>
    <n v="23294"/>
    <s v="Primary"/>
    <n v="224"/>
    <s v="no"/>
    <s v="Wood-Vinyl-Fiberglass:Double"/>
    <x v="0"/>
    <x v="0"/>
    <n v="1"/>
    <x v="10"/>
  </r>
  <r>
    <x v="1162"/>
    <n v="23300"/>
    <s v="Primary"/>
    <n v="195"/>
    <s v="no"/>
    <s v="Wood-Vinyl-Fiberglass:Double:low-e"/>
    <x v="1"/>
    <x v="0"/>
    <n v="1"/>
    <x v="17"/>
  </r>
  <r>
    <x v="1163"/>
    <n v="23314"/>
    <s v="Primary"/>
    <n v="194"/>
    <s v="no"/>
    <s v="Wood-Vinyl-Fiberglass:Double"/>
    <x v="6"/>
    <x v="0"/>
    <n v="1"/>
    <x v="13"/>
  </r>
  <r>
    <x v="1164"/>
    <n v="23318"/>
    <s v="Primary"/>
    <n v="89"/>
    <s v="no"/>
    <s v="Wood-Vinyl-Fiberglass:Double:low-e"/>
    <x v="1"/>
    <x v="0"/>
    <n v="1"/>
    <x v="12"/>
  </r>
  <r>
    <x v="1165"/>
    <n v="23335"/>
    <s v="Primary"/>
    <n v="422"/>
    <s v="no"/>
    <s v="Wood-Vinyl-Fiberglass:Double:low-e"/>
    <x v="1"/>
    <x v="0"/>
    <n v="1"/>
    <x v="18"/>
  </r>
  <r>
    <x v="1166"/>
    <n v="23345"/>
    <s v="Primary"/>
    <n v="435"/>
    <s v="no"/>
    <s v="Wood-Vinyl-Fiberglass:Double:low-e"/>
    <x v="1"/>
    <x v="0"/>
    <n v="1"/>
    <x v="8"/>
  </r>
  <r>
    <x v="1167"/>
    <n v="23355"/>
    <s v="Primary"/>
    <n v="143"/>
    <s v="no"/>
    <s v="Wood-Vinyl-Fiberglass:Double:low-e"/>
    <x v="0"/>
    <x v="0"/>
    <n v="1"/>
    <x v="18"/>
  </r>
  <r>
    <x v="1168"/>
    <n v="23358"/>
    <s v="Primary"/>
    <n v="120"/>
    <s v="no"/>
    <s v="Wood-Vinyl-Fiberglass:Double:low-e"/>
    <x v="0"/>
    <x v="0"/>
    <n v="1"/>
    <x v="13"/>
  </r>
  <r>
    <x v="1169"/>
    <n v="23366"/>
    <s v="Primary"/>
    <n v="263"/>
    <s v="no"/>
    <s v="Wood-Vinyl-Fiberglass:Double:low-e"/>
    <x v="1"/>
    <x v="0"/>
    <n v="1"/>
    <x v="17"/>
  </r>
  <r>
    <x v="1170"/>
    <n v="23368"/>
    <s v="Primary"/>
    <n v="258"/>
    <s v="no"/>
    <s v="Wood-Vinyl-Fiberglass:Double:low-e"/>
    <x v="0"/>
    <x v="0"/>
    <n v="1"/>
    <x v="15"/>
  </r>
  <r>
    <x v="1171"/>
    <n v="23379"/>
    <s v="Primary"/>
    <n v="212"/>
    <s v="no"/>
    <s v="Metal:Double"/>
    <x v="10"/>
    <x v="1"/>
    <n v="1"/>
    <x v="9"/>
  </r>
  <r>
    <x v="1172"/>
    <n v="23380"/>
    <s v="Primary"/>
    <n v="149"/>
    <s v="yes"/>
    <s v="Wood-Vinyl-Fiberglass:Single"/>
    <x v="2"/>
    <x v="2"/>
    <n v="1"/>
    <x v="11"/>
  </r>
  <r>
    <x v="1173"/>
    <n v="23381"/>
    <s v="Primary"/>
    <n v="400"/>
    <s v="no"/>
    <s v="Wood-Vinyl-Fiberglass:Double:low-e"/>
    <x v="1"/>
    <x v="0"/>
    <n v="1"/>
    <x v="8"/>
  </r>
  <r>
    <x v="1174"/>
    <n v="23384"/>
    <s v="Primary"/>
    <n v="170"/>
    <s v="no"/>
    <s v="Wood-Vinyl-Fiberglass:Double:low-e"/>
    <x v="1"/>
    <x v="0"/>
    <n v="1"/>
    <x v="7"/>
  </r>
  <r>
    <x v="1175"/>
    <n v="23387"/>
    <s v="Primary"/>
    <n v="389"/>
    <s v="no"/>
    <s v="Wood-Vinyl-Fiberglass:Double:low-e"/>
    <x v="0"/>
    <x v="0"/>
    <n v="1"/>
    <x v="12"/>
  </r>
  <r>
    <x v="1176"/>
    <n v="23390"/>
    <s v="Primary"/>
    <n v="173"/>
    <s v="no"/>
    <s v="Wood-Vinyl-Fiberglass:Double:low-e"/>
    <x v="1"/>
    <x v="0"/>
    <n v="1"/>
    <x v="13"/>
  </r>
  <r>
    <x v="1177"/>
    <n v="23391"/>
    <s v="Primary"/>
    <n v="172"/>
    <s v="no"/>
    <s v="Wood-Vinyl-Fiberglass:Double:low-e"/>
    <x v="1"/>
    <x v="0"/>
    <n v="1"/>
    <x v="15"/>
  </r>
  <r>
    <x v="1178"/>
    <n v="23392"/>
    <s v="Primary"/>
    <n v="484"/>
    <s v="no"/>
    <s v="Wood-Vinyl-Fiberglass:Double:low-e"/>
    <x v="1"/>
    <x v="0"/>
    <n v="1"/>
    <x v="17"/>
  </r>
  <r>
    <x v="1179"/>
    <n v="23400"/>
    <s v="Primary"/>
    <n v="26"/>
    <s v="no"/>
    <s v="Wood-Vinyl-Fiberglass:Double:low-e"/>
    <x v="0"/>
    <x v="0"/>
    <n v="1"/>
    <x v="11"/>
  </r>
  <r>
    <x v="1180"/>
    <n v="23403"/>
    <s v="Primary"/>
    <n v="205"/>
    <s v="no"/>
    <s v="Wood-Vinyl-Fiberglass:Double:low-e"/>
    <x v="1"/>
    <x v="0"/>
    <n v="1"/>
    <x v="11"/>
  </r>
  <r>
    <x v="1181"/>
    <n v="23408"/>
    <s v="Primary"/>
    <n v="204"/>
    <s v="no"/>
    <s v="Wood-Vinyl-Fiberglass:Double:low-e"/>
    <x v="0"/>
    <x v="0"/>
    <n v="1"/>
    <x v="11"/>
  </r>
  <r>
    <x v="1182"/>
    <n v="23414"/>
    <s v="Primary"/>
    <n v="237"/>
    <s v="no"/>
    <s v="Wood-Vinyl-Fiberglass:Double:low-e"/>
    <x v="0"/>
    <x v="0"/>
    <n v="1"/>
    <x v="8"/>
  </r>
  <r>
    <x v="1183"/>
    <n v="23424"/>
    <s v="Primary"/>
    <n v="147"/>
    <s v="yes"/>
    <s v="Metal:Double"/>
    <x v="2"/>
    <x v="1"/>
    <n v="1"/>
    <x v="11"/>
  </r>
  <r>
    <x v="1184"/>
    <n v="23427"/>
    <s v="Primary"/>
    <n v="274"/>
    <s v="no"/>
    <s v="Wood-Vinyl-Fiberglass:Double"/>
    <x v="6"/>
    <x v="0"/>
    <n v="1"/>
    <x v="13"/>
  </r>
  <r>
    <x v="1185"/>
    <n v="23428"/>
    <s v="Primary"/>
    <n v="282"/>
    <s v="no"/>
    <s v="Wood-Vinyl-Fiberglass:Double:low-e"/>
    <x v="0"/>
    <x v="0"/>
    <n v="1"/>
    <x v="9"/>
  </r>
  <r>
    <x v="1186"/>
    <n v="23439"/>
    <s v="Primary"/>
    <n v="172"/>
    <s v="no"/>
    <s v="Metal:Double"/>
    <x v="5"/>
    <x v="1"/>
    <n v="1"/>
    <x v="17"/>
  </r>
  <r>
    <x v="1187"/>
    <n v="23440"/>
    <s v="Primary"/>
    <n v="308"/>
    <s v="no"/>
    <s v="Wood-Vinyl-Fiberglass:Double:low-e"/>
    <x v="1"/>
    <x v="0"/>
    <n v="1"/>
    <x v="10"/>
  </r>
  <r>
    <x v="1188"/>
    <n v="23444"/>
    <s v="Primary"/>
    <n v="216"/>
    <s v="no"/>
    <s v="Wood-Vinyl-Fiberglass:Double:low-e"/>
    <x v="0"/>
    <x v="0"/>
    <n v="1"/>
    <x v="8"/>
  </r>
  <r>
    <x v="1189"/>
    <n v="23446"/>
    <s v="Primary"/>
    <n v="172"/>
    <s v="yes"/>
    <s v="Wood-Vinyl-Fiberglass:Single"/>
    <x v="2"/>
    <x v="2"/>
    <n v="1"/>
    <x v="8"/>
  </r>
  <r>
    <x v="1190"/>
    <n v="23449"/>
    <s v="Primary"/>
    <n v="136"/>
    <s v="no"/>
    <s v="Wood-Vinyl-Fiberglass:Double:low-e"/>
    <x v="0"/>
    <x v="0"/>
    <n v="1"/>
    <x v="7"/>
  </r>
  <r>
    <x v="1191"/>
    <n v="23465"/>
    <s v="Primary"/>
    <n v="209"/>
    <s v="no"/>
    <s v="Wood-Vinyl-Fiberglass:Double:low-e"/>
    <x v="1"/>
    <x v="0"/>
    <n v="1"/>
    <x v="17"/>
  </r>
  <r>
    <x v="1192"/>
    <n v="23480"/>
    <s v="Primary"/>
    <n v="160"/>
    <s v="no"/>
    <s v="Wood-Vinyl-Fiberglass:Double:low-e"/>
    <x v="1"/>
    <x v="0"/>
    <n v="1"/>
    <x v="15"/>
  </r>
  <r>
    <x v="1193"/>
    <n v="23482"/>
    <s v="Primary"/>
    <n v="266"/>
    <s v="no"/>
    <s v="Metal:Double"/>
    <x v="10"/>
    <x v="1"/>
    <n v="1"/>
    <x v="8"/>
  </r>
  <r>
    <x v="1194"/>
    <n v="23486"/>
    <s v="Primary"/>
    <n v="150"/>
    <s v="no"/>
    <s v="Wood-Vinyl-Fiberglass:Double:low-e"/>
    <x v="1"/>
    <x v="0"/>
    <n v="1"/>
    <x v="15"/>
  </r>
  <r>
    <x v="1195"/>
    <n v="23489"/>
    <s v="Primary"/>
    <n v="266"/>
    <s v="no"/>
    <s v="Metal:Double:low-e"/>
    <x v="2"/>
    <x v="1"/>
    <n v="1"/>
    <x v="11"/>
  </r>
  <r>
    <x v="1196"/>
    <n v="23501"/>
    <s v="Primary"/>
    <n v="217"/>
    <s v="no"/>
    <s v="Wood-Vinyl-Fiberglass:Double:low-e"/>
    <x v="1"/>
    <x v="0"/>
    <n v="1"/>
    <x v="8"/>
  </r>
  <r>
    <x v="1197"/>
    <n v="23502"/>
    <s v="Primary"/>
    <n v="114"/>
    <s v="no"/>
    <s v="Wood-Vinyl-Fiberglass:Double:low-e"/>
    <x v="0"/>
    <x v="0"/>
    <n v="1"/>
    <x v="12"/>
  </r>
  <r>
    <x v="1198"/>
    <n v="23504"/>
    <s v="Primary"/>
    <n v="172"/>
    <s v="no"/>
    <s v="Wood-Vinyl-Fiberglass:Double:low-e"/>
    <x v="1"/>
    <x v="0"/>
    <n v="1"/>
    <x v="15"/>
  </r>
  <r>
    <x v="1199"/>
    <n v="23511"/>
    <s v="Primary"/>
    <n v="154"/>
    <s v="no"/>
    <s v="Wood-Vinyl-Fiberglass:Double:low-e"/>
    <x v="1"/>
    <x v="0"/>
    <n v="1"/>
    <x v="11"/>
  </r>
  <r>
    <x v="1200"/>
    <n v="23526"/>
    <s v="Primary"/>
    <n v="296"/>
    <s v="yes"/>
    <s v="Wood-Vinyl-Fiberglass:Single"/>
    <x v="2"/>
    <x v="2"/>
    <n v="1"/>
    <x v="17"/>
  </r>
  <r>
    <x v="1201"/>
    <n v="23538"/>
    <s v="Primary"/>
    <n v="334"/>
    <s v="no"/>
    <s v="Wood-Vinyl-Fiberglass:Double:low-e"/>
    <x v="1"/>
    <x v="0"/>
    <n v="1"/>
    <x v="14"/>
  </r>
  <r>
    <x v="1202"/>
    <n v="23539"/>
    <s v="Primary"/>
    <n v="156"/>
    <s v="yes"/>
    <s v="Wood-Vinyl-Fiberglass:Single"/>
    <x v="2"/>
    <x v="2"/>
    <n v="1"/>
    <x v="8"/>
  </r>
  <r>
    <x v="1203"/>
    <n v="23544"/>
    <s v="Primary"/>
    <n v="106"/>
    <s v="no"/>
    <s v="Wood-Vinyl-Fiberglass:Double:low-e"/>
    <x v="0"/>
    <x v="0"/>
    <n v="1"/>
    <x v="18"/>
  </r>
  <r>
    <x v="1204"/>
    <n v="23545"/>
    <s v="Primary"/>
    <n v="205"/>
    <s v="no"/>
    <s v="Wood-Vinyl-Fiberglass:Double:low-e"/>
    <x v="1"/>
    <x v="0"/>
    <n v="1"/>
    <x v="15"/>
  </r>
  <r>
    <x v="1205"/>
    <n v="23546"/>
    <s v="Primary"/>
    <n v="115"/>
    <s v="no"/>
    <s v="Wood-Vinyl-Fiberglass:Double:low-e"/>
    <x v="1"/>
    <x v="0"/>
    <n v="1"/>
    <x v="8"/>
  </r>
  <r>
    <x v="1206"/>
    <n v="23547"/>
    <s v="Primary"/>
    <n v="198"/>
    <s v="no"/>
    <s v="Wood-Vinyl-Fiberglass:Double:low-e"/>
    <x v="0"/>
    <x v="0"/>
    <n v="1"/>
    <x v="13"/>
  </r>
  <r>
    <x v="1207"/>
    <n v="23554"/>
    <s v="Primary"/>
    <n v="258"/>
    <s v="no"/>
    <s v="Wood-Vinyl-Fiberglass:Double:low-e"/>
    <x v="1"/>
    <x v="0"/>
    <n v="1"/>
    <x v="18"/>
  </r>
  <r>
    <x v="1208"/>
    <n v="23556"/>
    <s v="Primary"/>
    <n v="163"/>
    <s v="no"/>
    <s v="Wood-Vinyl-Fiberglass:Double:low-e"/>
    <x v="0"/>
    <x v="0"/>
    <n v="1"/>
    <x v="7"/>
  </r>
  <r>
    <x v="1209"/>
    <n v="23559"/>
    <s v="Primary"/>
    <n v="174"/>
    <s v="no"/>
    <s v="Wood-Vinyl-Fiberglass:Double:low-e"/>
    <x v="0"/>
    <x v="0"/>
    <n v="1"/>
    <x v="7"/>
  </r>
  <r>
    <x v="1210"/>
    <n v="23564"/>
    <s v="Primary"/>
    <n v="52"/>
    <s v="no"/>
    <s v="Wood-Vinyl-Fiberglass:Single"/>
    <x v="7"/>
    <x v="2"/>
    <n v="1"/>
    <x v="13"/>
  </r>
  <r>
    <x v="1211"/>
    <n v="23566"/>
    <s v="Primary"/>
    <n v="306"/>
    <s v="no"/>
    <s v="Wood-Vinyl-Fiberglass:Double:low-e"/>
    <x v="1"/>
    <x v="0"/>
    <n v="1"/>
    <x v="12"/>
  </r>
  <r>
    <x v="1212"/>
    <n v="23581"/>
    <s v="Primary"/>
    <n v="286"/>
    <s v="no"/>
    <s v="Metal:Single"/>
    <x v="8"/>
    <x v="3"/>
    <n v="1"/>
    <x v="15"/>
  </r>
  <r>
    <x v="1213"/>
    <n v="23602"/>
    <s v="Primary"/>
    <n v="210"/>
    <s v="no"/>
    <s v="Wood-Vinyl-Fiberglass:Double:low-e"/>
    <x v="1"/>
    <x v="0"/>
    <n v="1"/>
    <x v="18"/>
  </r>
  <r>
    <x v="1214"/>
    <n v="23607"/>
    <s v="Primary"/>
    <n v="417"/>
    <s v="no"/>
    <s v="Wood-Vinyl-Fiberglass:Double:low-e"/>
    <x v="0"/>
    <x v="0"/>
    <n v="1"/>
    <x v="8"/>
  </r>
  <r>
    <x v="1215"/>
    <n v="23611"/>
    <s v="Primary"/>
    <n v="216"/>
    <s v="no"/>
    <s v="Wood-Vinyl-Fiberglass:Double"/>
    <x v="0"/>
    <x v="0"/>
    <n v="1"/>
    <x v="12"/>
  </r>
  <r>
    <x v="1216"/>
    <n v="23618"/>
    <s v="Primary"/>
    <n v="140"/>
    <s v="no"/>
    <s v="Wood-Vinyl-Fiberglass:Double:low-e"/>
    <x v="0"/>
    <x v="0"/>
    <n v="1"/>
    <x v="11"/>
  </r>
  <r>
    <x v="1217"/>
    <n v="23619"/>
    <s v="Primary"/>
    <n v="287"/>
    <s v="no"/>
    <s v="Wood-Vinyl-Fiberglass:Double:low-e"/>
    <x v="1"/>
    <x v="0"/>
    <n v="1"/>
    <x v="8"/>
  </r>
  <r>
    <x v="1218"/>
    <n v="23621"/>
    <s v="Primary"/>
    <n v="155"/>
    <s v="no"/>
    <s v="Wood-Vinyl-Fiberglass:Double:low-e"/>
    <x v="1"/>
    <x v="0"/>
    <n v="1"/>
    <x v="13"/>
  </r>
  <r>
    <x v="1219"/>
    <n v="23624"/>
    <s v="Primary"/>
    <n v="153"/>
    <s v="no"/>
    <s v="Wood-Vinyl-Fiberglass:Double:low-e"/>
    <x v="0"/>
    <x v="0"/>
    <n v="1"/>
    <x v="11"/>
  </r>
  <r>
    <x v="1220"/>
    <n v="23627"/>
    <s v="Primary"/>
    <n v="317"/>
    <s v="no"/>
    <s v="Wood-Vinyl-Fiberglass:Double:low-e"/>
    <x v="1"/>
    <x v="0"/>
    <n v="1"/>
    <x v="18"/>
  </r>
  <r>
    <x v="1221"/>
    <n v="23631"/>
    <s v="Primary"/>
    <n v="263"/>
    <s v="no"/>
    <s v="Wood-Vinyl-Fiberglass:Double:low-e"/>
    <x v="1"/>
    <x v="0"/>
    <n v="1"/>
    <x v="17"/>
  </r>
  <r>
    <x v="1222"/>
    <n v="23640"/>
    <s v="Primary"/>
    <n v="215"/>
    <s v="no"/>
    <s v="Wood-Vinyl-Fiberglass:Double:low-e"/>
    <x v="1"/>
    <x v="0"/>
    <n v="1"/>
    <x v="13"/>
  </r>
  <r>
    <x v="1223"/>
    <n v="23645"/>
    <s v="Primary"/>
    <n v="160"/>
    <s v="no"/>
    <s v="Metal:Double"/>
    <x v="5"/>
    <x v="1"/>
    <n v="1"/>
    <x v="15"/>
  </r>
  <r>
    <x v="1224"/>
    <n v="23666"/>
    <s v="Primary"/>
    <n v="297"/>
    <s v="no"/>
    <s v="Wood-Vinyl-Fiberglass:Double:low-e"/>
    <x v="0"/>
    <x v="0"/>
    <n v="1"/>
    <x v="10"/>
  </r>
  <r>
    <x v="1225"/>
    <n v="23667"/>
    <s v="Primary"/>
    <n v="141"/>
    <s v="no"/>
    <s v="Wood-Vinyl-Fiberglass:Double:low-e"/>
    <x v="0"/>
    <x v="0"/>
    <n v="1"/>
    <x v="7"/>
  </r>
  <r>
    <x v="1226"/>
    <n v="23674"/>
    <s v="Primary"/>
    <n v="119"/>
    <s v="no"/>
    <s v="Wood-Vinyl-Fiberglass:Double"/>
    <x v="0"/>
    <x v="0"/>
    <n v="1"/>
    <x v="12"/>
  </r>
  <r>
    <x v="1227"/>
    <n v="23676"/>
    <s v="Primary"/>
    <n v="215"/>
    <s v="no"/>
    <s v="Wood-Vinyl-Fiberglass:Double:low-e"/>
    <x v="0"/>
    <x v="0"/>
    <n v="1"/>
    <x v="8"/>
  </r>
  <r>
    <x v="1228"/>
    <n v="23696"/>
    <s v="Primary"/>
    <n v="247"/>
    <s v="no"/>
    <s v="Wood-Vinyl-Fiberglass:Double:low-e"/>
    <x v="1"/>
    <x v="0"/>
    <n v="1"/>
    <x v="11"/>
  </r>
  <r>
    <x v="1229"/>
    <n v="23704"/>
    <s v="Primary"/>
    <n v="368"/>
    <s v="no"/>
    <s v="Metal:Single"/>
    <x v="8"/>
    <x v="3"/>
    <n v="1"/>
    <x v="15"/>
  </r>
  <r>
    <x v="1230"/>
    <n v="23705"/>
    <s v="Primary"/>
    <n v="168"/>
    <s v="yes"/>
    <s v="Metal:Double"/>
    <x v="2"/>
    <x v="1"/>
    <n v="1"/>
    <x v="15"/>
  </r>
  <r>
    <x v="1231"/>
    <n v="23710"/>
    <s v="Primary"/>
    <n v="314"/>
    <s v="no"/>
    <s v="Wood-Vinyl-Fiberglass:Double:low-e"/>
    <x v="0"/>
    <x v="0"/>
    <n v="1"/>
    <x v="8"/>
  </r>
  <r>
    <x v="1232"/>
    <n v="23714"/>
    <s v="Primary"/>
    <n v="163"/>
    <s v="no"/>
    <s v="Wood-Vinyl-Fiberglass:Double"/>
    <x v="6"/>
    <x v="0"/>
    <n v="1"/>
    <x v="7"/>
  </r>
  <r>
    <x v="1233"/>
    <n v="23720"/>
    <s v="Primary"/>
    <n v="433"/>
    <s v="no"/>
    <s v="Metal:Double"/>
    <x v="5"/>
    <x v="1"/>
    <n v="1"/>
    <x v="10"/>
  </r>
  <r>
    <x v="1234"/>
    <n v="23721"/>
    <s v="Primary"/>
    <n v="95"/>
    <s v="no"/>
    <s v="Wood-Vinyl-Fiberglass:Single"/>
    <x v="7"/>
    <x v="2"/>
    <n v="1"/>
    <x v="12"/>
  </r>
  <r>
    <x v="1235"/>
    <n v="23724"/>
    <s v="Primary"/>
    <n v="163"/>
    <s v="no"/>
    <s v="Wood-Vinyl-Fiberglass:Double:low-e"/>
    <x v="0"/>
    <x v="0"/>
    <n v="1"/>
    <x v="15"/>
  </r>
  <r>
    <x v="1236"/>
    <n v="23734"/>
    <s v="Primary"/>
    <n v="116"/>
    <s v="no"/>
    <s v="Metal:Double"/>
    <x v="5"/>
    <x v="1"/>
    <n v="1"/>
    <x v="8"/>
  </r>
  <r>
    <x v="1237"/>
    <n v="23742"/>
    <s v="Primary"/>
    <n v="490"/>
    <s v="no"/>
    <s v="Wood-Vinyl-Fiberglass:Double:low-e"/>
    <x v="0"/>
    <x v="0"/>
    <n v="1"/>
    <x v="11"/>
  </r>
  <r>
    <x v="1238"/>
    <n v="23744"/>
    <s v="Primary"/>
    <n v="75"/>
    <s v="no"/>
    <s v="Wood-Vinyl-Fiberglass:Double"/>
    <x v="6"/>
    <x v="0"/>
    <n v="1"/>
    <x v="10"/>
  </r>
  <r>
    <x v="1239"/>
    <n v="23746"/>
    <s v="Primary"/>
    <n v="173"/>
    <s v="no"/>
    <s v="Wood-Vinyl-Fiberglass:Double:low-e"/>
    <x v="0"/>
    <x v="0"/>
    <n v="1"/>
    <x v="16"/>
  </r>
  <r>
    <x v="1240"/>
    <n v="23756"/>
    <s v="Primary"/>
    <n v="155"/>
    <s v="no"/>
    <s v="Metal:Double"/>
    <x v="10"/>
    <x v="1"/>
    <n v="1"/>
    <x v="10"/>
  </r>
  <r>
    <x v="1241"/>
    <n v="23762"/>
    <s v="Primary"/>
    <n v="109"/>
    <s v="no"/>
    <s v="Wood-Vinyl-Fiberglass:Double:low-e"/>
    <x v="1"/>
    <x v="0"/>
    <n v="1"/>
    <x v="7"/>
  </r>
  <r>
    <x v="1242"/>
    <n v="23763"/>
    <s v="Primary"/>
    <n v="367"/>
    <s v="no"/>
    <s v="Wood-Vinyl-Fiberglass:Double"/>
    <x v="6"/>
    <x v="0"/>
    <n v="1"/>
    <x v="8"/>
  </r>
  <r>
    <x v="1243"/>
    <n v="23765"/>
    <s v="Primary"/>
    <n v="329"/>
    <s v="no"/>
    <s v="Wood-Vinyl-Fiberglass:Double"/>
    <x v="0"/>
    <x v="0"/>
    <n v="1"/>
    <x v="12"/>
  </r>
  <r>
    <x v="1244"/>
    <n v="23788"/>
    <s v="Primary"/>
    <n v="120"/>
    <s v="no"/>
    <s v="Wood-Vinyl-Fiberglass:Single"/>
    <x v="7"/>
    <x v="2"/>
    <n v="1"/>
    <x v="18"/>
  </r>
  <r>
    <x v="1245"/>
    <n v="23791"/>
    <s v="Primary"/>
    <n v="268"/>
    <s v="no"/>
    <s v="Wood-Vinyl-Fiberglass:Double:low-e"/>
    <x v="1"/>
    <x v="0"/>
    <n v="1"/>
    <x v="10"/>
  </r>
  <r>
    <x v="1246"/>
    <n v="23813"/>
    <s v="Primary"/>
    <n v="235"/>
    <s v="no"/>
    <s v="Metal:Double"/>
    <x v="10"/>
    <x v="1"/>
    <n v="1"/>
    <x v="10"/>
  </r>
  <r>
    <x v="1247"/>
    <n v="23824"/>
    <s v="Primary"/>
    <n v="236"/>
    <s v="no"/>
    <s v="Wood-Vinyl-Fiberglass:Double:low-e"/>
    <x v="0"/>
    <x v="0"/>
    <n v="1"/>
    <x v="12"/>
  </r>
  <r>
    <x v="1248"/>
    <n v="23830"/>
    <s v="Primary"/>
    <n v="282"/>
    <s v="no"/>
    <s v="Wood-Vinyl-Fiberglass:Double:low-e"/>
    <x v="1"/>
    <x v="0"/>
    <n v="1"/>
    <x v="15"/>
  </r>
  <r>
    <x v="1249"/>
    <n v="23835"/>
    <s v="Primary"/>
    <n v="401"/>
    <s v="yes"/>
    <s v="Wood-Vinyl-Fiberglass:Single"/>
    <x v="2"/>
    <x v="2"/>
    <n v="1"/>
    <x v="7"/>
  </r>
  <r>
    <x v="1250"/>
    <n v="23840"/>
    <s v="Primary"/>
    <n v="133"/>
    <s v="no"/>
    <s v="Wood-Vinyl-Fiberglass:Double"/>
    <x v="0"/>
    <x v="0"/>
    <n v="1"/>
    <x v="12"/>
  </r>
  <r>
    <x v="1251"/>
    <n v="23846"/>
    <s v="Primary"/>
    <n v="174"/>
    <s v="yes"/>
    <s v="Wood-Vinyl-Fiberglass:Double"/>
    <x v="3"/>
    <x v="0"/>
    <n v="1"/>
    <x v="12"/>
  </r>
  <r>
    <x v="1252"/>
    <n v="23847"/>
    <s v="Primary"/>
    <n v="163"/>
    <s v="no"/>
    <s v="Wood-Vinyl-Fiberglass:Double:low-e"/>
    <x v="0"/>
    <x v="0"/>
    <n v="1"/>
    <x v="8"/>
  </r>
  <r>
    <x v="1253"/>
    <n v="23857"/>
    <s v="Primary"/>
    <n v="158"/>
    <s v="no"/>
    <s v="Wood-Vinyl-Fiberglass:Double:low-e"/>
    <x v="1"/>
    <x v="0"/>
    <n v="1"/>
    <x v="12"/>
  </r>
  <r>
    <x v="1254"/>
    <n v="23859"/>
    <s v="Primary"/>
    <n v="95"/>
    <s v="no"/>
    <s v="Wood-Vinyl-Fiberglass:Double"/>
    <x v="6"/>
    <x v="0"/>
    <n v="1"/>
    <x v="13"/>
  </r>
  <r>
    <x v="1255"/>
    <n v="23860"/>
    <s v="Primary"/>
    <n v="389"/>
    <s v="no"/>
    <s v="Wood-Vinyl-Fiberglass:Double:low-e"/>
    <x v="0"/>
    <x v="0"/>
    <n v="1"/>
    <x v="17"/>
  </r>
  <r>
    <x v="1256"/>
    <n v="23870"/>
    <s v="Primary"/>
    <n v="164"/>
    <s v="yes"/>
    <s v="Wood-Vinyl-Fiberglass:Single"/>
    <x v="2"/>
    <x v="2"/>
    <n v="1"/>
    <x v="13"/>
  </r>
  <r>
    <x v="1257"/>
    <n v="23879"/>
    <s v="Primary"/>
    <n v="288"/>
    <s v="no"/>
    <s v="Wood-Vinyl-Fiberglass:Double:low-e"/>
    <x v="0"/>
    <x v="0"/>
    <n v="1"/>
    <x v="8"/>
  </r>
  <r>
    <x v="1258"/>
    <n v="23882"/>
    <s v="Primary"/>
    <n v="613"/>
    <s v="no"/>
    <s v="Wood-Vinyl-Fiberglass:Double"/>
    <x v="0"/>
    <x v="0"/>
    <n v="1"/>
    <x v="12"/>
  </r>
  <r>
    <x v="1259"/>
    <n v="23886"/>
    <s v="Primary"/>
    <n v="398"/>
    <s v="no"/>
    <s v="Wood-Vinyl-Fiberglass:Double:low-e"/>
    <x v="1"/>
    <x v="0"/>
    <n v="1"/>
    <x v="18"/>
  </r>
  <r>
    <x v="1260"/>
    <n v="23889"/>
    <s v="Primary"/>
    <n v="253"/>
    <s v="no"/>
    <s v="Wood-Vinyl-Fiberglass:Double:low-e"/>
    <x v="1"/>
    <x v="0"/>
    <n v="1"/>
    <x v="15"/>
  </r>
  <r>
    <x v="1261"/>
    <n v="23905"/>
    <s v="Primary"/>
    <n v="220"/>
    <s v="no"/>
    <s v="Wood-Vinyl-Fiberglass:Double:low-e"/>
    <x v="1"/>
    <x v="0"/>
    <n v="1"/>
    <x v="8"/>
  </r>
  <r>
    <x v="1262"/>
    <n v="23909"/>
    <s v="Primary"/>
    <n v="166"/>
    <s v="no"/>
    <s v="Wood-Vinyl-Fiberglass:Double"/>
    <x v="6"/>
    <x v="0"/>
    <n v="1"/>
    <x v="18"/>
  </r>
  <r>
    <x v="1263"/>
    <n v="23910"/>
    <s v="Primary"/>
    <n v="683"/>
    <s v="no"/>
    <s v="Wood-Vinyl-Fiberglass:Double:low-e"/>
    <x v="1"/>
    <x v="0"/>
    <n v="1"/>
    <x v="11"/>
  </r>
  <r>
    <x v="1264"/>
    <n v="23913"/>
    <s v="Primary"/>
    <n v="112"/>
    <s v="no"/>
    <s v="Wood-Vinyl-Fiberglass:Double:low-e"/>
    <x v="0"/>
    <x v="0"/>
    <n v="1"/>
    <x v="8"/>
  </r>
  <r>
    <x v="1265"/>
    <n v="23914"/>
    <s v="Primary"/>
    <n v="211"/>
    <s v="no"/>
    <s v="Wood-Vinyl-Fiberglass:Double:low-e"/>
    <x v="1"/>
    <x v="0"/>
    <n v="1"/>
    <x v="12"/>
  </r>
  <r>
    <x v="1266"/>
    <n v="23926"/>
    <s v="Primary"/>
    <n v="123"/>
    <s v="no"/>
    <s v="Wood-Vinyl-Fiberglass:Double"/>
    <x v="6"/>
    <x v="0"/>
    <n v="1"/>
    <x v="11"/>
  </r>
  <r>
    <x v="1267"/>
    <n v="23931"/>
    <s v="Primary"/>
    <n v="329"/>
    <s v="no"/>
    <s v="Wood-Vinyl-Fiberglass:Double:low-e"/>
    <x v="1"/>
    <x v="0"/>
    <n v="1"/>
    <x v="12"/>
  </r>
  <r>
    <x v="1268"/>
    <n v="23932"/>
    <s v="Primary"/>
    <n v="224"/>
    <s v="no"/>
    <s v="Wood-Vinyl-Fiberglass:Double"/>
    <x v="0"/>
    <x v="0"/>
    <n v="1"/>
    <x v="11"/>
  </r>
  <r>
    <x v="1269"/>
    <n v="23933"/>
    <s v="Primary"/>
    <n v="84"/>
    <s v="no"/>
    <s v="Metal:Triple"/>
    <x v="14"/>
    <x v="5"/>
    <n v="1"/>
    <x v="11"/>
  </r>
  <r>
    <x v="1270"/>
    <n v="23936"/>
    <s v="Primary"/>
    <n v="127"/>
    <s v="no"/>
    <s v="Wood-Vinyl-Fiberglass:Double:low-e"/>
    <x v="0"/>
    <x v="0"/>
    <n v="1"/>
    <x v="11"/>
  </r>
  <r>
    <x v="1271"/>
    <n v="23939"/>
    <s v="Primary"/>
    <n v="89"/>
    <s v="no"/>
    <s v="Wood-Vinyl-Fiberglass:Double:low-e"/>
    <x v="1"/>
    <x v="0"/>
    <n v="1"/>
    <x v="13"/>
  </r>
  <r>
    <x v="1272"/>
    <n v="23946"/>
    <s v="Primary"/>
    <n v="181"/>
    <s v="no"/>
    <s v="Wood-Vinyl-Fiberglass:Double"/>
    <x v="0"/>
    <x v="0"/>
    <n v="1"/>
    <x v="8"/>
  </r>
  <r>
    <x v="1273"/>
    <n v="23948"/>
    <s v="Primary"/>
    <n v="341"/>
    <s v="no"/>
    <s v="Metal:Double"/>
    <x v="10"/>
    <x v="1"/>
    <n v="1"/>
    <x v="15"/>
  </r>
  <r>
    <x v="1274"/>
    <n v="23952"/>
    <s v="Primary"/>
    <n v="292"/>
    <s v="no"/>
    <s v="Wood-Vinyl-Fiberglass:Double:low-e"/>
    <x v="1"/>
    <x v="0"/>
    <n v="1"/>
    <x v="15"/>
  </r>
  <r>
    <x v="1275"/>
    <n v="23960"/>
    <s v="Primary"/>
    <n v="148"/>
    <s v="yes"/>
    <s v="Wood-Vinyl-Fiberglass:Double:low-e"/>
    <x v="4"/>
    <x v="0"/>
    <n v="1"/>
    <x v="18"/>
  </r>
  <r>
    <x v="1276"/>
    <n v="23965"/>
    <s v="Primary"/>
    <n v="348"/>
    <s v="no"/>
    <s v="Wood-Vinyl-Fiberglass:Double:low-e"/>
    <x v="1"/>
    <x v="0"/>
    <n v="1"/>
    <x v="10"/>
  </r>
  <r>
    <x v="1277"/>
    <n v="23966"/>
    <s v="Primary"/>
    <n v="90"/>
    <s v="no"/>
    <s v="Wood-Vinyl-Fiberglass:Double"/>
    <x v="6"/>
    <x v="0"/>
    <n v="1"/>
    <x v="11"/>
  </r>
  <r>
    <x v="1278"/>
    <n v="23972"/>
    <s v="Primary"/>
    <n v="145"/>
    <s v="no"/>
    <s v="Wood-Vinyl-Fiberglass:Double"/>
    <x v="0"/>
    <x v="0"/>
    <n v="1"/>
    <x v="13"/>
  </r>
  <r>
    <x v="1279"/>
    <n v="23973"/>
    <s v="Primary"/>
    <n v="80"/>
    <s v="no"/>
    <s v="Wood-Vinyl-Fiberglass:Double"/>
    <x v="0"/>
    <x v="0"/>
    <n v="1"/>
    <x v="18"/>
  </r>
  <r>
    <x v="1280"/>
    <n v="23986"/>
    <s v="Primary"/>
    <n v="237"/>
    <s v="no"/>
    <s v="Wood-Vinyl-Fiberglass:Double:low-e"/>
    <x v="1"/>
    <x v="0"/>
    <n v="1"/>
    <x v="13"/>
  </r>
  <r>
    <x v="1281"/>
    <n v="23994"/>
    <s v="Primary"/>
    <n v="250"/>
    <s v="no"/>
    <s v="Metal:Double"/>
    <x v="5"/>
    <x v="1"/>
    <n v="1"/>
    <x v="11"/>
  </r>
  <r>
    <x v="1282"/>
    <n v="23995"/>
    <s v="Primary"/>
    <n v="174"/>
    <s v="no"/>
    <s v="Wood-Vinyl-Fiberglass:Double"/>
    <x v="0"/>
    <x v="0"/>
    <n v="1"/>
    <x v="13"/>
  </r>
  <r>
    <x v="1283"/>
    <n v="24016"/>
    <s v="Primary"/>
    <n v="119"/>
    <s v="no"/>
    <s v="Wood-Vinyl-Fiberglass:Double"/>
    <x v="6"/>
    <x v="0"/>
    <n v="1"/>
    <x v="9"/>
  </r>
  <r>
    <x v="1284"/>
    <n v="24027"/>
    <s v="Primary"/>
    <n v="87"/>
    <s v="no"/>
    <s v="Wood-Vinyl-Fiberglass:Double:low-e"/>
    <x v="0"/>
    <x v="0"/>
    <n v="1"/>
    <x v="17"/>
  </r>
  <r>
    <x v="1285"/>
    <n v="24033"/>
    <s v="Primary"/>
    <n v="164"/>
    <s v="no"/>
    <s v="Wood-Vinyl-Fiberglass:Double:low-e"/>
    <x v="0"/>
    <x v="0"/>
    <n v="1"/>
    <x v="8"/>
  </r>
  <r>
    <x v="1286"/>
    <n v="24040"/>
    <s v="Primary"/>
    <n v="112"/>
    <s v="no"/>
    <s v="Wood-Vinyl-Fiberglass:Double:low-e"/>
    <x v="0"/>
    <x v="0"/>
    <n v="1"/>
    <x v="8"/>
  </r>
  <r>
    <x v="1287"/>
    <n v="24048"/>
    <s v="Primary"/>
    <n v="323"/>
    <s v="no"/>
    <s v="Wood-Vinyl-Fiberglass:Double"/>
    <x v="6"/>
    <x v="0"/>
    <n v="1"/>
    <x v="11"/>
  </r>
  <r>
    <x v="1288"/>
    <n v="24083"/>
    <s v="Primary"/>
    <n v="146"/>
    <s v="no"/>
    <s v="Wood-Vinyl-Fiberglass:Double"/>
    <x v="6"/>
    <x v="0"/>
    <n v="1"/>
    <x v="10"/>
  </r>
  <r>
    <x v="1289"/>
    <n v="24093"/>
    <s v="Primary"/>
    <n v="375"/>
    <s v="no"/>
    <s v="Wood-Vinyl-Fiberglass:Double:low-e"/>
    <x v="1"/>
    <x v="0"/>
    <n v="1"/>
    <x v="18"/>
  </r>
  <r>
    <x v="1290"/>
    <n v="24119"/>
    <s v="Primary"/>
    <n v="205"/>
    <s v="no"/>
    <s v="Wood-Vinyl-Fiberglass:Double:low-e"/>
    <x v="1"/>
    <x v="0"/>
    <n v="1"/>
    <x v="8"/>
  </r>
  <r>
    <x v="1291"/>
    <n v="24120"/>
    <s v="Primary"/>
    <n v="123"/>
    <s v="no"/>
    <s v="Wood-Vinyl-Fiberglass:Double:low-e"/>
    <x v="1"/>
    <x v="0"/>
    <n v="1"/>
    <x v="13"/>
  </r>
  <r>
    <x v="1292"/>
    <n v="24151"/>
    <s v="Primary"/>
    <n v="142"/>
    <s v="no"/>
    <s v="Wood-Vinyl-Fiberglass:Double:low-e"/>
    <x v="0"/>
    <x v="0"/>
    <n v="1"/>
    <x v="17"/>
  </r>
  <r>
    <x v="1293"/>
    <n v="24153"/>
    <s v="Primary"/>
    <n v="163"/>
    <s v="no"/>
    <s v="Wood-Vinyl-Fiberglass:Double"/>
    <x v="6"/>
    <x v="0"/>
    <n v="1"/>
    <x v="12"/>
  </r>
  <r>
    <x v="1294"/>
    <n v="24158"/>
    <s v="Primary"/>
    <n v="189"/>
    <s v="no"/>
    <s v="Wood-Vinyl-Fiberglass:Double:low-e"/>
    <x v="0"/>
    <x v="0"/>
    <n v="1"/>
    <x v="8"/>
  </r>
  <r>
    <x v="1295"/>
    <n v="24171"/>
    <s v="Primary"/>
    <n v="308"/>
    <s v="no"/>
    <s v="Wood-Vinyl-Fiberglass:Double"/>
    <x v="6"/>
    <x v="0"/>
    <n v="1"/>
    <x v="8"/>
  </r>
  <r>
    <x v="1296"/>
    <n v="24184"/>
    <s v="Primary"/>
    <n v="527"/>
    <s v="no"/>
    <s v="Wood-Vinyl-Fiberglass:Double"/>
    <x v="6"/>
    <x v="0"/>
    <n v="1"/>
    <x v="14"/>
  </r>
  <r>
    <x v="1297"/>
    <n v="24196"/>
    <s v="Primary"/>
    <n v="250"/>
    <s v="no"/>
    <s v="Wood-Vinyl-Fiberglass:Double:low-e"/>
    <x v="1"/>
    <x v="0"/>
    <n v="1"/>
    <x v="10"/>
  </r>
  <r>
    <x v="1298"/>
    <n v="24202"/>
    <s v="Primary"/>
    <n v="258"/>
    <s v="no"/>
    <s v="Wood-Vinyl-Fiberglass:Double:low-e"/>
    <x v="1"/>
    <x v="0"/>
    <n v="1"/>
    <x v="18"/>
  </r>
  <r>
    <x v="1299"/>
    <n v="24203"/>
    <s v="Primary"/>
    <n v="178"/>
    <s v="no"/>
    <s v="Wood-Vinyl-Fiberglass:Double:low-e"/>
    <x v="1"/>
    <x v="0"/>
    <n v="1"/>
    <x v="10"/>
  </r>
  <r>
    <x v="1300"/>
    <n v="24205"/>
    <s v="Primary"/>
    <n v="625"/>
    <s v="no"/>
    <s v="Wood-Vinyl-Fiberglass:Double:low-e"/>
    <x v="0"/>
    <x v="0"/>
    <n v="1"/>
    <x v="18"/>
  </r>
  <r>
    <x v="1301"/>
    <n v="24207"/>
    <s v="Primary"/>
    <n v="116"/>
    <s v="no"/>
    <s v="Wood-Vinyl-Fiberglass:Double:low-e"/>
    <x v="1"/>
    <x v="0"/>
    <n v="1"/>
    <x v="17"/>
  </r>
  <r>
    <x v="1302"/>
    <n v="24209"/>
    <s v="Primary"/>
    <n v="295"/>
    <s v="no"/>
    <s v="Wood-Vinyl-Fiberglass:Double"/>
    <x v="6"/>
    <x v="0"/>
    <n v="1"/>
    <x v="10"/>
  </r>
  <r>
    <x v="1303"/>
    <n v="24221"/>
    <s v="Primary"/>
    <n v="207"/>
    <s v="no"/>
    <s v="Wood-Vinyl-Fiberglass:Double"/>
    <x v="0"/>
    <x v="0"/>
    <n v="1"/>
    <x v="18"/>
  </r>
  <r>
    <x v="1304"/>
    <n v="24224"/>
    <s v="Primary"/>
    <n v="187"/>
    <s v="no"/>
    <s v="Wood-Vinyl-Fiberglass:Double:low-e"/>
    <x v="0"/>
    <x v="0"/>
    <n v="1"/>
    <x v="10"/>
  </r>
  <r>
    <x v="1305"/>
    <n v="24227"/>
    <s v="Primary"/>
    <n v="138"/>
    <s v="no"/>
    <s v="Wood-Vinyl-Fiberglass:Double:low-e"/>
    <x v="0"/>
    <x v="0"/>
    <n v="1"/>
    <x v="13"/>
  </r>
  <r>
    <x v="1306"/>
    <n v="24232"/>
    <s v="Primary"/>
    <n v="221"/>
    <s v="yes"/>
    <s v="Metal:Single"/>
    <x v="5"/>
    <x v="3"/>
    <n v="1"/>
    <x v="8"/>
  </r>
  <r>
    <x v="1307"/>
    <n v="24242"/>
    <s v="Primary"/>
    <n v="149"/>
    <s v="yes"/>
    <s v="Wood-Vinyl-Fiberglass:Double"/>
    <x v="0"/>
    <x v="0"/>
    <n v="1"/>
    <x v="13"/>
  </r>
  <r>
    <x v="1308"/>
    <n v="24245"/>
    <s v="Primary"/>
    <n v="111"/>
    <s v="no"/>
    <s v="Wood-Vinyl-Fiberglass:Double:low-e"/>
    <x v="0"/>
    <x v="0"/>
    <n v="1"/>
    <x v="15"/>
  </r>
  <r>
    <x v="1309"/>
    <n v="24246"/>
    <s v="Primary"/>
    <n v="435"/>
    <s v="no"/>
    <s v="Wood-Vinyl-Fiberglass:Single"/>
    <x v="7"/>
    <x v="2"/>
    <n v="1"/>
    <x v="11"/>
  </r>
  <r>
    <x v="1310"/>
    <n v="24247"/>
    <s v="Primary"/>
    <n v="270"/>
    <s v="no"/>
    <s v="Wood-Vinyl-Fiberglass:Double:low-e"/>
    <x v="0"/>
    <x v="0"/>
    <n v="1"/>
    <x v="15"/>
  </r>
  <r>
    <x v="1311"/>
    <n v="24249"/>
    <s v="Primary"/>
    <n v="334"/>
    <s v="no"/>
    <s v="Wood-Vinyl-Fiberglass:Double:low-e"/>
    <x v="1"/>
    <x v="0"/>
    <n v="1"/>
    <x v="10"/>
  </r>
  <r>
    <x v="1312"/>
    <n v="24259"/>
    <s v="Primary"/>
    <n v="173"/>
    <s v="no"/>
    <s v="Wood-Vinyl-Fiberglass:Double"/>
    <x v="0"/>
    <x v="0"/>
    <n v="1"/>
    <x v="12"/>
  </r>
  <r>
    <x v="1313"/>
    <n v="24266"/>
    <s v="Primary"/>
    <n v="316"/>
    <s v="no"/>
    <s v="Wood-Vinyl-Fiberglass:Double"/>
    <x v="0"/>
    <x v="0"/>
    <n v="1"/>
    <x v="7"/>
  </r>
  <r>
    <x v="1314"/>
    <n v="24288"/>
    <s v="Primary"/>
    <n v="443"/>
    <s v="no"/>
    <s v="Wood-Vinyl-Fiberglass:Double:low-e"/>
    <x v="1"/>
    <x v="0"/>
    <n v="1"/>
    <x v="13"/>
  </r>
  <r>
    <x v="1315"/>
    <n v="24296"/>
    <s v="Primary"/>
    <n v="195"/>
    <s v="no"/>
    <s v="Wood-Vinyl-Fiberglass:Double:low-e"/>
    <x v="1"/>
    <x v="0"/>
    <n v="1"/>
    <x v="11"/>
  </r>
  <r>
    <x v="1316"/>
    <n v="24310"/>
    <s v="Primary"/>
    <n v="140"/>
    <s v="no"/>
    <s v="Wood-Vinyl-Fiberglass:Double"/>
    <x v="0"/>
    <x v="0"/>
    <n v="1"/>
    <x v="10"/>
  </r>
  <r>
    <x v="1317"/>
    <n v="24311"/>
    <s v="Primary"/>
    <n v="178"/>
    <s v="no"/>
    <s v="Wood-Vinyl-Fiberglass:Double"/>
    <x v="0"/>
    <x v="0"/>
    <n v="1"/>
    <x v="7"/>
  </r>
  <r>
    <x v="1318"/>
    <n v="24312"/>
    <s v="Primary"/>
    <n v="167"/>
    <s v="no"/>
    <s v="Wood-Vinyl-Fiberglass:Single"/>
    <x v="7"/>
    <x v="2"/>
    <n v="1"/>
    <x v="8"/>
  </r>
  <r>
    <x v="1319"/>
    <n v="24317"/>
    <s v="Primary"/>
    <n v="337"/>
    <s v="no"/>
    <s v="Wood-Vinyl-Fiberglass:Triple:low-e"/>
    <x v="11"/>
    <x v="4"/>
    <n v="1"/>
    <x v="12"/>
  </r>
  <r>
    <x v="1320"/>
    <n v="24332"/>
    <s v="Primary"/>
    <n v="156"/>
    <s v="no"/>
    <s v="Wood-Vinyl-Fiberglass:Double:low-e"/>
    <x v="1"/>
    <x v="0"/>
    <n v="1"/>
    <x v="13"/>
  </r>
  <r>
    <x v="1321"/>
    <n v="24341"/>
    <s v="Primary"/>
    <n v="235"/>
    <s v="no"/>
    <s v="Wood-Vinyl-Fiberglass:Double"/>
    <x v="6"/>
    <x v="0"/>
    <n v="1"/>
    <x v="10"/>
  </r>
  <r>
    <x v="1322"/>
    <n v="24342"/>
    <s v="Primary"/>
    <n v="140"/>
    <s v="no"/>
    <s v="Wood-Vinyl-Fiberglass:Double"/>
    <x v="6"/>
    <x v="0"/>
    <n v="1"/>
    <x v="13"/>
  </r>
  <r>
    <x v="1323"/>
    <n v="24347"/>
    <s v="Primary"/>
    <n v="415"/>
    <s v="no"/>
    <s v="Wood-Vinyl-Fiberglass:Double"/>
    <x v="6"/>
    <x v="0"/>
    <n v="1"/>
    <x v="10"/>
  </r>
  <r>
    <x v="1324"/>
    <n v="24349"/>
    <s v="Primary"/>
    <n v="172"/>
    <s v="yes"/>
    <s v="Wood-Vinyl-Fiberglass:Single"/>
    <x v="2"/>
    <x v="2"/>
    <n v="1"/>
    <x v="16"/>
  </r>
  <r>
    <x v="1325"/>
    <n v="24351"/>
    <s v="Primary"/>
    <n v="263"/>
    <s v="no"/>
    <s v="Wood-Vinyl-Fiberglass:Double:low-e"/>
    <x v="1"/>
    <x v="0"/>
    <n v="1"/>
    <x v="12"/>
  </r>
  <r>
    <x v="1326"/>
    <n v="24363"/>
    <s v="Primary"/>
    <n v="190"/>
    <s v="no"/>
    <s v="Wood-Vinyl-Fiberglass:Double:low-e"/>
    <x v="1"/>
    <x v="0"/>
    <n v="1"/>
    <x v="11"/>
  </r>
  <r>
    <x v="1327"/>
    <n v="24366"/>
    <s v="Primary"/>
    <n v="211"/>
    <s v="no"/>
    <s v="Wood-Vinyl-Fiberglass:Double:low-e"/>
    <x v="1"/>
    <x v="0"/>
    <n v="1"/>
    <x v="9"/>
  </r>
  <r>
    <x v="1328"/>
    <n v="24373"/>
    <s v="Primary"/>
    <n v="261"/>
    <s v="no"/>
    <s v="Wood-Vinyl-Fiberglass:Double:low-e"/>
    <x v="0"/>
    <x v="0"/>
    <n v="1"/>
    <x v="10"/>
  </r>
  <r>
    <x v="1329"/>
    <n v="24375"/>
    <s v="Primary"/>
    <n v="128"/>
    <s v="no"/>
    <s v="Wood-Vinyl-Fiberglass:Double:low-e"/>
    <x v="1"/>
    <x v="0"/>
    <n v="1"/>
    <x v="15"/>
  </r>
  <r>
    <x v="1330"/>
    <n v="24378"/>
    <s v="Primary"/>
    <n v="198"/>
    <s v="no"/>
    <s v="Wood-Vinyl-Fiberglass:Double:low-e"/>
    <x v="1"/>
    <x v="0"/>
    <n v="1"/>
    <x v="9"/>
  </r>
  <r>
    <x v="1331"/>
    <n v="24398"/>
    <s v="Primary"/>
    <n v="135"/>
    <s v="no"/>
    <s v="Wood-Vinyl-Fiberglass:Double:low-e"/>
    <x v="1"/>
    <x v="0"/>
    <n v="1"/>
    <x v="15"/>
  </r>
  <r>
    <x v="1332"/>
    <n v="24400"/>
    <s v="Primary"/>
    <n v="347"/>
    <s v="no"/>
    <s v="Metal:Double"/>
    <x v="5"/>
    <x v="1"/>
    <n v="1"/>
    <x v="15"/>
  </r>
  <r>
    <x v="1333"/>
    <n v="24401"/>
    <s v="Primary"/>
    <n v="362"/>
    <s v="no"/>
    <s v="Wood-Vinyl-Fiberglass:Double:low-e"/>
    <x v="0"/>
    <x v="0"/>
    <n v="1"/>
    <x v="15"/>
  </r>
  <r>
    <x v="1334"/>
    <n v="24402"/>
    <s v="Primary"/>
    <n v="231"/>
    <s v="no"/>
    <s v="Wood-Vinyl-Fiberglass:Double"/>
    <x v="0"/>
    <x v="0"/>
    <n v="1"/>
    <x v="14"/>
  </r>
  <r>
    <x v="1335"/>
    <n v="24408"/>
    <s v="Primary"/>
    <n v="344"/>
    <s v="no"/>
    <s v="Metal:Double"/>
    <x v="10"/>
    <x v="1"/>
    <n v="1"/>
    <x v="15"/>
  </r>
  <r>
    <x v="1336"/>
    <n v="24410"/>
    <s v="Primary"/>
    <n v="320"/>
    <s v="no"/>
    <s v="Wood-Vinyl-Fiberglass:Double:low-e"/>
    <x v="1"/>
    <x v="0"/>
    <n v="1"/>
    <x v="12"/>
  </r>
  <r>
    <x v="1337"/>
    <n v="24417"/>
    <s v="Primary"/>
    <n v="150"/>
    <s v="no"/>
    <s v="Metal:Double"/>
    <x v="5"/>
    <x v="1"/>
    <n v="1"/>
    <x v="10"/>
  </r>
  <r>
    <x v="1338"/>
    <n v="24418"/>
    <s v="Primary"/>
    <n v="581"/>
    <s v="no"/>
    <s v="Wood-Vinyl-Fiberglass:Double:low-e"/>
    <x v="1"/>
    <x v="0"/>
    <n v="1"/>
    <x v="12"/>
  </r>
  <r>
    <x v="1339"/>
    <n v="24419"/>
    <s v="Primary"/>
    <n v="250"/>
    <s v="no"/>
    <s v="Wood-Vinyl-Fiberglass:Double:low-e"/>
    <x v="0"/>
    <x v="0"/>
    <n v="1"/>
    <x v="15"/>
  </r>
  <r>
    <x v="1340"/>
    <n v="24436"/>
    <s v="Primary"/>
    <n v="326"/>
    <s v="no"/>
    <s v="Wood-Vinyl-Fiberglass:Double"/>
    <x v="6"/>
    <x v="0"/>
    <n v="1"/>
    <x v="8"/>
  </r>
  <r>
    <x v="1341"/>
    <n v="24445"/>
    <s v="Primary"/>
    <n v="249"/>
    <s v="no"/>
    <s v="Metal:Double"/>
    <x v="5"/>
    <x v="1"/>
    <n v="1"/>
    <x v="10"/>
  </r>
  <r>
    <x v="1342"/>
    <n v="24451"/>
    <s v="Primary"/>
    <n v="136"/>
    <s v="no"/>
    <s v="Metal:Double"/>
    <x v="5"/>
    <x v="1"/>
    <n v="1"/>
    <x v="8"/>
  </r>
  <r>
    <x v="1343"/>
    <n v="24456"/>
    <s v="Primary"/>
    <n v="212"/>
    <s v="no"/>
    <s v="Wood-Vinyl-Fiberglass:Double"/>
    <x v="0"/>
    <x v="0"/>
    <n v="1"/>
    <x v="13"/>
  </r>
  <r>
    <x v="1344"/>
    <n v="24462"/>
    <s v="Primary"/>
    <n v="213"/>
    <s v="no"/>
    <s v="Metal:Double"/>
    <x v="5"/>
    <x v="1"/>
    <n v="1"/>
    <x v="11"/>
  </r>
  <r>
    <x v="1345"/>
    <n v="24467"/>
    <s v="Primary"/>
    <n v="309"/>
    <s v="no"/>
    <s v="Wood-Vinyl-Fiberglass:Double:low-e"/>
    <x v="0"/>
    <x v="0"/>
    <n v="1"/>
    <x v="15"/>
  </r>
  <r>
    <x v="1346"/>
    <n v="24479"/>
    <s v="Primary"/>
    <n v="135"/>
    <s v="no"/>
    <s v="Wood-Vinyl-Fiberglass:Double:low-e"/>
    <x v="1"/>
    <x v="0"/>
    <n v="1"/>
    <x v="7"/>
  </r>
  <r>
    <x v="1347"/>
    <n v="24488"/>
    <s v="Primary"/>
    <n v="407"/>
    <s v="no"/>
    <s v="Wood-Vinyl-Fiberglass:Double"/>
    <x v="0"/>
    <x v="0"/>
    <n v="1"/>
    <x v="8"/>
  </r>
  <r>
    <x v="1348"/>
    <n v="24495"/>
    <s v="Primary"/>
    <n v="421"/>
    <s v="no"/>
    <s v="Wood-Vinyl-Fiberglass:Double"/>
    <x v="0"/>
    <x v="0"/>
    <n v="1"/>
    <x v="14"/>
  </r>
  <r>
    <x v="1349"/>
    <n v="24499"/>
    <s v="Primary"/>
    <n v="153"/>
    <s v="no"/>
    <s v="Metal:Double"/>
    <x v="5"/>
    <x v="1"/>
    <n v="1"/>
    <x v="18"/>
  </r>
  <r>
    <x v="1350"/>
    <n v="24500"/>
    <s v="Primary"/>
    <n v="197"/>
    <s v="no"/>
    <s v="Wood-Vinyl-Fiberglass:Double:low-e"/>
    <x v="0"/>
    <x v="0"/>
    <n v="1"/>
    <x v="18"/>
  </r>
  <r>
    <x v="1351"/>
    <n v="24510"/>
    <s v="Primary"/>
    <n v="342"/>
    <s v="no"/>
    <s v="Metal:Double:low-e"/>
    <x v="2"/>
    <x v="1"/>
    <n v="1"/>
    <x v="10"/>
  </r>
  <r>
    <x v="1352"/>
    <n v="24521"/>
    <s v="Primary"/>
    <n v="85"/>
    <s v="yes"/>
    <s v="Wood-Vinyl-Fiberglass:Single"/>
    <x v="2"/>
    <x v="2"/>
    <n v="1"/>
    <x v="13"/>
  </r>
  <r>
    <x v="1353"/>
    <n v="24522"/>
    <s v="Primary"/>
    <n v="341"/>
    <s v="no"/>
    <s v="Wood-Vinyl-Fiberglass:Double:low-e"/>
    <x v="1"/>
    <x v="0"/>
    <n v="1"/>
    <x v="8"/>
  </r>
  <r>
    <x v="1354"/>
    <n v="24524"/>
    <s v="Primary"/>
    <n v="204"/>
    <s v="no"/>
    <s v="Wood-Vinyl-Fiberglass:Double"/>
    <x v="6"/>
    <x v="0"/>
    <n v="1"/>
    <x v="17"/>
  </r>
  <r>
    <x v="1355"/>
    <n v="24533"/>
    <s v="Primary"/>
    <n v="222"/>
    <s v="no"/>
    <s v="Wood-Vinyl-Fiberglass:Double:low-e"/>
    <x v="1"/>
    <x v="0"/>
    <n v="1"/>
    <x v="15"/>
  </r>
  <r>
    <x v="1356"/>
    <n v="24536"/>
    <s v="Primary"/>
    <n v="180"/>
    <s v="yes"/>
    <s v="Wood-Vinyl-Fiberglass:Single"/>
    <x v="2"/>
    <x v="2"/>
    <n v="1"/>
    <x v="18"/>
  </r>
  <r>
    <x v="1357"/>
    <n v="24540"/>
    <s v="Primary"/>
    <n v="238"/>
    <s v="no"/>
    <s v="Wood-Vinyl-Fiberglass:Double"/>
    <x v="0"/>
    <x v="0"/>
    <n v="1"/>
    <x v="15"/>
  </r>
  <r>
    <x v="1358"/>
    <n v="24547"/>
    <s v="Primary"/>
    <n v="161"/>
    <s v="no"/>
    <s v="Wood-Vinyl-Fiberglass:Double:low-e"/>
    <x v="1"/>
    <x v="0"/>
    <n v="1"/>
    <x v="12"/>
  </r>
  <r>
    <x v="1359"/>
    <n v="24550"/>
    <s v="Primary"/>
    <n v="192"/>
    <s v="no"/>
    <s v="Wood-Vinyl-Fiberglass:Double"/>
    <x v="0"/>
    <x v="0"/>
    <n v="1"/>
    <x v="7"/>
  </r>
  <r>
    <x v="1360"/>
    <n v="24551"/>
    <s v="Primary"/>
    <n v="205"/>
    <s v="no"/>
    <s v="Wood-Vinyl-Fiberglass:Double:low-e"/>
    <x v="0"/>
    <x v="0"/>
    <n v="1"/>
    <x v="13"/>
  </r>
  <r>
    <x v="1361"/>
    <n v="24553"/>
    <s v="Primary"/>
    <n v="115"/>
    <s v="no"/>
    <s v="Metal:Single"/>
    <x v="8"/>
    <x v="3"/>
    <n v="1"/>
    <x v="17"/>
  </r>
  <r>
    <x v="1362"/>
    <n v="24559"/>
    <s v="Primary"/>
    <n v="182"/>
    <s v="no"/>
    <s v="Wood-Vinyl-Fiberglass:Double:low-e"/>
    <x v="1"/>
    <x v="0"/>
    <n v="1"/>
    <x v="13"/>
  </r>
  <r>
    <x v="1363"/>
    <n v="24563"/>
    <s v="Primary"/>
    <n v="176"/>
    <s v="no"/>
    <s v="Wood-Vinyl-Fiberglass:Double:low-e"/>
    <x v="0"/>
    <x v="0"/>
    <n v="1"/>
    <x v="11"/>
  </r>
  <r>
    <x v="1364"/>
    <n v="24572"/>
    <s v="Primary"/>
    <n v="105"/>
    <s v="no"/>
    <s v="Wood-Vinyl-Fiberglass:Single"/>
    <x v="7"/>
    <x v="2"/>
    <n v="1"/>
    <x v="14"/>
  </r>
  <r>
    <x v="1365"/>
    <n v="24594"/>
    <s v="Primary"/>
    <n v="385"/>
    <s v="no"/>
    <s v="Metal:Double"/>
    <x v="10"/>
    <x v="1"/>
    <n v="1"/>
    <x v="15"/>
  </r>
  <r>
    <x v="1366"/>
    <n v="24607"/>
    <s v="Primary"/>
    <n v="169"/>
    <s v="no"/>
    <s v="Wood-Vinyl-Fiberglass:Double"/>
    <x v="0"/>
    <x v="0"/>
    <n v="1"/>
    <x v="18"/>
  </r>
  <r>
    <x v="1367"/>
    <n v="24614"/>
    <s v="Primary"/>
    <n v="202"/>
    <s v="no"/>
    <s v="Wood-Vinyl-Fiberglass:Double:low-e"/>
    <x v="1"/>
    <x v="0"/>
    <n v="1"/>
    <x v="8"/>
  </r>
  <r>
    <x v="1368"/>
    <n v="24622"/>
    <s v="Primary"/>
    <n v="88"/>
    <s v="yes"/>
    <s v="Wood-Vinyl-Fiberglass:Double"/>
    <x v="3"/>
    <x v="0"/>
    <n v="1"/>
    <x v="13"/>
  </r>
  <r>
    <x v="1369"/>
    <n v="24623"/>
    <s v="Primary"/>
    <n v="570"/>
    <s v="no"/>
    <s v="Metal:Double:low-e"/>
    <x v="2"/>
    <x v="1"/>
    <n v="1"/>
    <x v="15"/>
  </r>
  <r>
    <x v="1370"/>
    <n v="24647"/>
    <s v="Primary"/>
    <n v="123"/>
    <s v="no"/>
    <s v="Wood-Vinyl-Fiberglass:Single"/>
    <x v="7"/>
    <x v="2"/>
    <n v="1"/>
    <x v="10"/>
  </r>
  <r>
    <x v="1371"/>
    <n v="24655"/>
    <s v="Primary"/>
    <n v="182"/>
    <s v="no"/>
    <s v="Wood-Vinyl-Fiberglass:Double"/>
    <x v="0"/>
    <x v="0"/>
    <n v="1"/>
    <x v="12"/>
  </r>
  <r>
    <x v="1372"/>
    <n v="24662"/>
    <s v="Primary"/>
    <n v="304"/>
    <s v="no"/>
    <s v="Metal:Double"/>
    <x v="5"/>
    <x v="1"/>
    <n v="1"/>
    <x v="8"/>
  </r>
  <r>
    <x v="1373"/>
    <n v="24671"/>
    <s v="Primary"/>
    <n v="144"/>
    <s v="no"/>
    <s v="Wood-Vinyl-Fiberglass:Double:low-e"/>
    <x v="0"/>
    <x v="0"/>
    <n v="1"/>
    <x v="17"/>
  </r>
  <r>
    <x v="1374"/>
    <n v="24672"/>
    <s v="Primary"/>
    <n v="521"/>
    <s v="no"/>
    <s v="Wood-Vinyl-Fiberglass:Double:low-e"/>
    <x v="1"/>
    <x v="0"/>
    <n v="1"/>
    <x v="11"/>
  </r>
  <r>
    <x v="1375"/>
    <n v="24684"/>
    <s v="Primary"/>
    <n v="255"/>
    <s v="no"/>
    <s v="Wood-Vinyl-Fiberglass:Double:low-e"/>
    <x v="0"/>
    <x v="0"/>
    <n v="1"/>
    <x v="10"/>
  </r>
  <r>
    <x v="1376"/>
    <n v="24686"/>
    <s v="Primary"/>
    <n v="207"/>
    <s v="no"/>
    <s v="Metal:Double"/>
    <x v="5"/>
    <x v="1"/>
    <n v="1"/>
    <x v="12"/>
  </r>
  <r>
    <x v="1377"/>
    <n v="24689"/>
    <s v="Primary"/>
    <n v="257"/>
    <s v="no"/>
    <s v="Wood-Vinyl-Fiberglass:Double:low-e"/>
    <x v="0"/>
    <x v="0"/>
    <n v="1"/>
    <x v="10"/>
  </r>
  <r>
    <x v="1378"/>
    <n v="24696"/>
    <s v="Primary"/>
    <n v="115"/>
    <s v="yes"/>
    <s v="Wood-Vinyl-Fiberglass:Single"/>
    <x v="2"/>
    <x v="2"/>
    <n v="1"/>
    <x v="8"/>
  </r>
  <r>
    <x v="1379"/>
    <n v="24699"/>
    <s v="Primary"/>
    <n v="77"/>
    <s v="no"/>
    <s v="Wood-Vinyl-Fiberglass:Single"/>
    <x v="7"/>
    <x v="2"/>
    <n v="1"/>
    <x v="12"/>
  </r>
  <r>
    <x v="1380"/>
    <n v="24706"/>
    <s v="Primary"/>
    <n v="57"/>
    <s v="no"/>
    <s v="Metal:Double"/>
    <x v="5"/>
    <x v="1"/>
    <n v="1"/>
    <x v="15"/>
  </r>
  <r>
    <x v="1381"/>
    <n v="24713"/>
    <s v="Primary"/>
    <n v="176"/>
    <s v="no"/>
    <s v="Metal:Double"/>
    <x v="10"/>
    <x v="1"/>
    <n v="1"/>
    <x v="17"/>
  </r>
  <r>
    <x v="1382"/>
    <n v="24733"/>
    <s v="Primary"/>
    <n v="156"/>
    <s v="no"/>
    <s v="Wood-Vinyl-Fiberglass:Double"/>
    <x v="0"/>
    <x v="0"/>
    <n v="1"/>
    <x v="14"/>
  </r>
  <r>
    <x v="1383"/>
    <n v="24740"/>
    <s v="Primary"/>
    <n v="339"/>
    <s v="no"/>
    <s v="Wood-Vinyl-Fiberglass:Double"/>
    <x v="0"/>
    <x v="0"/>
    <n v="1"/>
    <x v="13"/>
  </r>
  <r>
    <x v="1384"/>
    <n v="24765"/>
    <s v="Primary"/>
    <n v="101"/>
    <s v="no"/>
    <s v="Wood-Vinyl-Fiberglass:Double:low-e"/>
    <x v="1"/>
    <x v="0"/>
    <n v="1"/>
    <x v="12"/>
  </r>
  <r>
    <x v="1385"/>
    <n v="24770"/>
    <s v="Primary"/>
    <n v="185"/>
    <s v="no"/>
    <s v="Wood-Vinyl-Fiberglass:Double:low-e"/>
    <x v="0"/>
    <x v="0"/>
    <n v="1"/>
    <x v="11"/>
  </r>
  <r>
    <x v="1386"/>
    <n v="24781"/>
    <s v="Primary"/>
    <n v="340"/>
    <s v="no"/>
    <s v="Wood-Vinyl-Fiberglass:Double"/>
    <x v="0"/>
    <x v="0"/>
    <n v="1"/>
    <x v="8"/>
  </r>
  <r>
    <x v="1387"/>
    <n v="24785"/>
    <s v="Primary"/>
    <n v="44"/>
    <s v="no"/>
    <s v="Wood-Vinyl-Fiberglass:Double"/>
    <x v="0"/>
    <x v="0"/>
    <n v="1"/>
    <x v="10"/>
  </r>
  <r>
    <x v="1388"/>
    <n v="24790"/>
    <s v="Primary"/>
    <n v="518"/>
    <s v="no"/>
    <s v="Wood-Vinyl-Fiberglass:Double:low-e"/>
    <x v="1"/>
    <x v="0"/>
    <n v="1"/>
    <x v="8"/>
  </r>
  <r>
    <x v="1389"/>
    <n v="24795"/>
    <s v="Primary"/>
    <n v="254"/>
    <s v="no"/>
    <s v="Wood-Vinyl-Fiberglass:Double:low-e"/>
    <x v="1"/>
    <x v="0"/>
    <n v="1"/>
    <x v="8"/>
  </r>
  <r>
    <x v="1390"/>
    <n v="24807"/>
    <s v="Primary"/>
    <n v="264"/>
    <s v="no"/>
    <s v="Wood-Vinyl-Fiberglass:Double:low-e"/>
    <x v="1"/>
    <x v="0"/>
    <n v="1"/>
    <x v="8"/>
  </r>
  <r>
    <x v="1391"/>
    <n v="24808"/>
    <s v="Primary"/>
    <n v="114"/>
    <s v="no"/>
    <s v="Wood-Vinyl-Fiberglass:Double:low-e"/>
    <x v="0"/>
    <x v="0"/>
    <n v="1"/>
    <x v="11"/>
  </r>
  <r>
    <x v="1392"/>
    <n v="24816"/>
    <s v="Primary"/>
    <n v="178"/>
    <s v="no"/>
    <s v="Wood-Vinyl-Fiberglass:Double"/>
    <x v="6"/>
    <x v="0"/>
    <n v="1"/>
    <x v="8"/>
  </r>
  <r>
    <x v="1393"/>
    <n v="24822"/>
    <s v="Primary"/>
    <n v="198"/>
    <s v="yes"/>
    <s v="Wood-Vinyl-Fiberglass:Double"/>
    <x v="0"/>
    <x v="0"/>
    <n v="1"/>
    <x v="12"/>
  </r>
  <r>
    <x v="1394"/>
    <n v="24826"/>
    <s v="Primary"/>
    <n v="203"/>
    <s v="no"/>
    <s v="Wood-Vinyl-Fiberglass:Double:low-e"/>
    <x v="1"/>
    <x v="0"/>
    <n v="1"/>
    <x v="15"/>
  </r>
  <r>
    <x v="1395"/>
    <n v="24827"/>
    <s v="Primary"/>
    <n v="1185"/>
    <s v="no"/>
    <s v="Wood-Vinyl-Fiberglass:Double:low-e"/>
    <x v="0"/>
    <x v="0"/>
    <n v="1"/>
    <x v="12"/>
  </r>
  <r>
    <x v="1396"/>
    <n v="24833"/>
    <s v="Primary"/>
    <n v="108"/>
    <s v="no"/>
    <s v="Wood-Vinyl-Fiberglass:Double:low-e"/>
    <x v="1"/>
    <x v="0"/>
    <n v="1"/>
    <x v="9"/>
  </r>
  <r>
    <x v="1397"/>
    <n v="24844"/>
    <s v="Primary"/>
    <n v="81"/>
    <s v="no"/>
    <s v="Wood-Vinyl-Fiberglass:Double"/>
    <x v="0"/>
    <x v="0"/>
    <n v="1"/>
    <x v="11"/>
  </r>
  <r>
    <x v="1398"/>
    <n v="24850"/>
    <s v="Primary"/>
    <n v="180"/>
    <s v="no"/>
    <s v="Wood-Vinyl-Fiberglass:Double:low-e"/>
    <x v="1"/>
    <x v="0"/>
    <n v="1"/>
    <x v="18"/>
  </r>
  <r>
    <x v="1399"/>
    <n v="24863"/>
    <s v="Primary"/>
    <n v="288"/>
    <s v="yes"/>
    <s v="Wood-Vinyl-Fiberglass:Single"/>
    <x v="2"/>
    <x v="2"/>
    <n v="1"/>
    <x v="11"/>
  </r>
  <r>
    <x v="1400"/>
    <n v="24866"/>
    <s v="Primary"/>
    <n v="314"/>
    <s v="no"/>
    <s v="Metal:Double"/>
    <x v="5"/>
    <x v="1"/>
    <n v="1"/>
    <x v="14"/>
  </r>
  <r>
    <x v="0"/>
    <n v="10002"/>
    <s v="Secondary"/>
    <n v="18"/>
    <s v="no"/>
    <s v="Metal:Double"/>
    <x v="5"/>
    <x v="1"/>
    <n v="2"/>
    <x v="0"/>
  </r>
  <r>
    <x v="10"/>
    <n v="10062"/>
    <s v="Secondary"/>
    <n v="125"/>
    <s v="no"/>
    <s v="Metal:Double"/>
    <x v="5"/>
    <x v="1"/>
    <n v="2"/>
    <x v="2"/>
  </r>
  <r>
    <x v="11"/>
    <n v="10068"/>
    <s v="Secondary"/>
    <n v="5"/>
    <s v="no"/>
    <s v="Wood-Vinyl-Fiberglass:Double:low-e"/>
    <x v="0"/>
    <x v="0"/>
    <n v="2"/>
    <x v="5"/>
  </r>
  <r>
    <x v="13"/>
    <n v="10082"/>
    <s v="Secondary"/>
    <n v="52"/>
    <s v="no"/>
    <s v="Wood-Vinyl-Fiberglass:Double"/>
    <x v="6"/>
    <x v="0"/>
    <n v="2"/>
    <x v="2"/>
  </r>
  <r>
    <x v="16"/>
    <n v="10096"/>
    <s v="Secondary"/>
    <n v="15"/>
    <s v="no"/>
    <s v="Metal:Single:low-e"/>
    <x v="7"/>
    <x v="3"/>
    <n v="2"/>
    <x v="1"/>
  </r>
  <r>
    <x v="17"/>
    <n v="10100"/>
    <s v="Secondary"/>
    <n v="65"/>
    <s v="yes"/>
    <s v="Wood-Vinyl-Fiberglass:Single"/>
    <x v="2"/>
    <x v="2"/>
    <n v="2"/>
    <x v="6"/>
  </r>
  <r>
    <x v="18"/>
    <n v="10134"/>
    <s v="Secondary"/>
    <n v="24"/>
    <s v="no"/>
    <s v="Wood-Vinyl-Fiberglass:Single"/>
    <x v="7"/>
    <x v="2"/>
    <n v="2"/>
    <x v="6"/>
  </r>
  <r>
    <x v="19"/>
    <n v="10141"/>
    <s v="Secondary"/>
    <n v="46"/>
    <s v="yes"/>
    <s v="Metal:Double"/>
    <x v="9"/>
    <x v="1"/>
    <n v="2"/>
    <x v="2"/>
  </r>
  <r>
    <x v="22"/>
    <n v="10172"/>
    <s v="Secondary"/>
    <n v="7"/>
    <s v="no"/>
    <s v="Metal:Single"/>
    <x v="8"/>
    <x v="3"/>
    <n v="2"/>
    <x v="0"/>
  </r>
  <r>
    <x v="26"/>
    <n v="10186"/>
    <s v="Secondary"/>
    <n v="40"/>
    <s v="no"/>
    <s v="Wood-Vinyl-Fiberglass:Double"/>
    <x v="6"/>
    <x v="0"/>
    <n v="2"/>
    <x v="0"/>
  </r>
  <r>
    <x v="30"/>
    <n v="10229"/>
    <s v="Secondary"/>
    <n v="18"/>
    <s v="no"/>
    <s v="Wood-Vinyl-Fiberglass:Single"/>
    <x v="7"/>
    <x v="2"/>
    <n v="2"/>
    <x v="2"/>
  </r>
  <r>
    <x v="35"/>
    <n v="10245"/>
    <s v="Secondary"/>
    <n v="120"/>
    <s v="no"/>
    <s v="Metal:Single"/>
    <x v="8"/>
    <x v="3"/>
    <n v="2"/>
    <x v="3"/>
  </r>
  <r>
    <x v="38"/>
    <n v="10265"/>
    <s v="Secondary"/>
    <n v="17"/>
    <s v="no"/>
    <s v="Metal:Single"/>
    <x v="8"/>
    <x v="3"/>
    <n v="2"/>
    <x v="5"/>
  </r>
  <r>
    <x v="39"/>
    <n v="10268"/>
    <s v="Secondary"/>
    <n v="100"/>
    <s v="no"/>
    <s v="Wood-Vinyl-Fiberglass:Double"/>
    <x v="6"/>
    <x v="0"/>
    <n v="2"/>
    <x v="6"/>
  </r>
  <r>
    <x v="41"/>
    <n v="10288"/>
    <s v="Secondary"/>
    <n v="94"/>
    <s v="no"/>
    <s v="Wood-Vinyl-Fiberglass:Double"/>
    <x v="0"/>
    <x v="0"/>
    <n v="2"/>
    <x v="0"/>
  </r>
  <r>
    <x v="42"/>
    <n v="10289"/>
    <s v="Secondary"/>
    <n v="91"/>
    <s v="no"/>
    <s v="Metal:Single"/>
    <x v="8"/>
    <x v="3"/>
    <n v="2"/>
    <x v="0"/>
  </r>
  <r>
    <x v="44"/>
    <n v="10298"/>
    <s v="Secondary"/>
    <n v="202"/>
    <s v="no"/>
    <s v="Wood-Vinyl-Fiberglass:Double:low-e"/>
    <x v="1"/>
    <x v="0"/>
    <n v="2"/>
    <x v="0"/>
  </r>
  <r>
    <x v="50"/>
    <n v="10318"/>
    <s v="Secondary"/>
    <n v="190"/>
    <s v="no"/>
    <s v="Wood-Vinyl-Fiberglass:Double:low-e"/>
    <x v="1"/>
    <x v="0"/>
    <n v="2"/>
    <x v="0"/>
  </r>
  <r>
    <x v="55"/>
    <n v="10334"/>
    <s v="Secondary"/>
    <n v="18"/>
    <s v="no"/>
    <s v="Wood-Vinyl-Fiberglass:Single"/>
    <x v="7"/>
    <x v="2"/>
    <n v="2"/>
    <x v="2"/>
  </r>
  <r>
    <x v="56"/>
    <n v="10335"/>
    <s v="Secondary"/>
    <n v="4"/>
    <s v="no"/>
    <s v="Wood-Vinyl-Fiberglass:Single"/>
    <x v="7"/>
    <x v="2"/>
    <n v="2"/>
    <x v="0"/>
  </r>
  <r>
    <x v="60"/>
    <n v="10352"/>
    <s v="Secondary"/>
    <n v="38"/>
    <s v="no"/>
    <s v="Wood-Vinyl-Fiberglass:Double"/>
    <x v="6"/>
    <x v="0"/>
    <n v="2"/>
    <x v="1"/>
  </r>
  <r>
    <x v="64"/>
    <n v="10398"/>
    <s v="Secondary"/>
    <n v="9"/>
    <s v="no"/>
    <s v="Wood-Vinyl-Fiberglass:Double:low-e"/>
    <x v="1"/>
    <x v="0"/>
    <n v="2"/>
    <x v="3"/>
  </r>
  <r>
    <x v="65"/>
    <n v="10401"/>
    <s v="Secondary"/>
    <n v="124"/>
    <s v="no"/>
    <s v="Metal:Single"/>
    <x v="8"/>
    <x v="3"/>
    <n v="2"/>
    <x v="5"/>
  </r>
  <r>
    <x v="68"/>
    <n v="10413"/>
    <s v="Secondary"/>
    <n v="89"/>
    <s v="no"/>
    <s v="Wood-Vinyl-Fiberglass:Single"/>
    <x v="7"/>
    <x v="2"/>
    <n v="2"/>
    <x v="0"/>
  </r>
  <r>
    <x v="70"/>
    <n v="10425"/>
    <s v="Secondary"/>
    <n v="76"/>
    <s v="yes"/>
    <s v="Wood-Vinyl-Fiberglass:Double"/>
    <x v="0"/>
    <x v="0"/>
    <n v="2"/>
    <x v="2"/>
  </r>
  <r>
    <x v="71"/>
    <n v="10430"/>
    <s v="Secondary"/>
    <n v="48"/>
    <s v="no"/>
    <s v="Metal:Single"/>
    <x v="8"/>
    <x v="3"/>
    <n v="2"/>
    <x v="6"/>
  </r>
  <r>
    <x v="72"/>
    <n v="10435"/>
    <s v="Secondary"/>
    <n v="7"/>
    <s v="no"/>
    <s v="Wood-Vinyl-Fiberglass:Single"/>
    <x v="7"/>
    <x v="2"/>
    <n v="2"/>
    <x v="0"/>
  </r>
  <r>
    <x v="73"/>
    <n v="10459"/>
    <s v="Secondary"/>
    <n v="15"/>
    <s v="no"/>
    <s v="Wood-Vinyl-Fiberglass:Single"/>
    <x v="7"/>
    <x v="2"/>
    <n v="2"/>
    <x v="0"/>
  </r>
  <r>
    <x v="76"/>
    <n v="10476"/>
    <s v="Secondary"/>
    <n v="47"/>
    <s v="no"/>
    <s v="Wood-Vinyl-Fiberglass:Double"/>
    <x v="0"/>
    <x v="0"/>
    <n v="2"/>
    <x v="2"/>
  </r>
  <r>
    <x v="78"/>
    <n v="10490"/>
    <s v="Secondary"/>
    <n v="77"/>
    <s v="no"/>
    <s v="Metal:Double"/>
    <x v="5"/>
    <x v="1"/>
    <n v="2"/>
    <x v="2"/>
  </r>
  <r>
    <x v="80"/>
    <n v="10493"/>
    <s v="Secondary"/>
    <n v="76"/>
    <s v="no"/>
    <s v="Metal:Single"/>
    <x v="8"/>
    <x v="3"/>
    <n v="2"/>
    <x v="0"/>
  </r>
  <r>
    <x v="85"/>
    <n v="10518"/>
    <s v="Secondary"/>
    <n v="160"/>
    <s v="no"/>
    <s v="Wood-Vinyl-Fiberglass:Double:low-e"/>
    <x v="0"/>
    <x v="0"/>
    <n v="2"/>
    <x v="2"/>
  </r>
  <r>
    <x v="86"/>
    <n v="10525"/>
    <s v="Secondary"/>
    <n v="2"/>
    <s v="no"/>
    <s v="Wood-Vinyl-Fiberglass:Single"/>
    <x v="7"/>
    <x v="2"/>
    <n v="2"/>
    <x v="6"/>
  </r>
  <r>
    <x v="89"/>
    <n v="10551"/>
    <s v="Secondary"/>
    <n v="50"/>
    <s v="no"/>
    <s v="Wood-Vinyl-Fiberglass:Single"/>
    <x v="7"/>
    <x v="2"/>
    <n v="2"/>
    <x v="0"/>
  </r>
  <r>
    <x v="90"/>
    <n v="10552"/>
    <s v="Secondary"/>
    <n v="54"/>
    <s v="yes"/>
    <s v="Wood-Vinyl-Fiberglass:Single"/>
    <x v="2"/>
    <x v="2"/>
    <n v="2"/>
    <x v="6"/>
  </r>
  <r>
    <x v="91"/>
    <n v="10557"/>
    <s v="Secondary"/>
    <n v="69"/>
    <s v="no"/>
    <s v="Wood-Vinyl-Fiberglass:Single"/>
    <x v="7"/>
    <x v="2"/>
    <n v="2"/>
    <x v="0"/>
  </r>
  <r>
    <x v="93"/>
    <n v="10565"/>
    <s v="Secondary"/>
    <n v="9"/>
    <s v="no"/>
    <s v="Wood-Vinyl-Fiberglass:Single"/>
    <x v="7"/>
    <x v="2"/>
    <n v="2"/>
    <x v="5"/>
  </r>
  <r>
    <x v="96"/>
    <n v="10580"/>
    <s v="Secondary"/>
    <n v="66"/>
    <s v="no"/>
    <s v="Wood-Vinyl-Fiberglass:Double:low-e"/>
    <x v="0"/>
    <x v="0"/>
    <n v="2"/>
    <x v="0"/>
  </r>
  <r>
    <x v="98"/>
    <n v="10595"/>
    <s v="Secondary"/>
    <n v="26"/>
    <s v="no"/>
    <s v="Wood-Vinyl-Fiberglass:Single"/>
    <x v="7"/>
    <x v="2"/>
    <n v="2"/>
    <x v="0"/>
  </r>
  <r>
    <x v="100"/>
    <n v="10612"/>
    <s v="Secondary"/>
    <n v="9"/>
    <s v="no"/>
    <s v="Wood-Vinyl-Fiberglass:Single:low-e"/>
    <x v="12"/>
    <x v="2"/>
    <n v="2"/>
    <x v="3"/>
  </r>
  <r>
    <x v="107"/>
    <n v="10649"/>
    <s v="Secondary"/>
    <n v="42"/>
    <s v="no"/>
    <s v="Metal:Double:low-e"/>
    <x v="2"/>
    <x v="1"/>
    <n v="2"/>
    <x v="3"/>
  </r>
  <r>
    <x v="111"/>
    <n v="10664"/>
    <s v="Secondary"/>
    <n v="23"/>
    <s v="no"/>
    <s v="Wood-Vinyl-Fiberglass:Double:low-e"/>
    <x v="0"/>
    <x v="0"/>
    <n v="2"/>
    <x v="7"/>
  </r>
  <r>
    <x v="115"/>
    <n v="10695"/>
    <s v="Secondary"/>
    <n v="42"/>
    <s v="no"/>
    <s v="Wood-Vinyl-Fiberglass:Double"/>
    <x v="6"/>
    <x v="0"/>
    <n v="2"/>
    <x v="6"/>
  </r>
  <r>
    <x v="117"/>
    <n v="10697"/>
    <s v="Secondary"/>
    <n v="13"/>
    <s v="no"/>
    <s v="Wood-Vinyl-Fiberglass:Single"/>
    <x v="7"/>
    <x v="2"/>
    <n v="2"/>
    <x v="0"/>
  </r>
  <r>
    <x v="122"/>
    <n v="10710"/>
    <s v="Secondary"/>
    <n v="134"/>
    <s v="yes"/>
    <s v="Wood-Vinyl-Fiberglass:Single"/>
    <x v="2"/>
    <x v="2"/>
    <n v="2"/>
    <x v="3"/>
  </r>
  <r>
    <x v="125"/>
    <n v="10728"/>
    <s v="Secondary"/>
    <n v="38"/>
    <s v="no"/>
    <s v="Wood-Vinyl-Fiberglass:Single"/>
    <x v="7"/>
    <x v="2"/>
    <n v="2"/>
    <x v="5"/>
  </r>
  <r>
    <x v="126"/>
    <n v="10733"/>
    <s v="Secondary"/>
    <n v="64"/>
    <s v="no"/>
    <s v="Wood-Vinyl-Fiberglass:Double:low-e"/>
    <x v="1"/>
    <x v="0"/>
    <n v="2"/>
    <x v="0"/>
  </r>
  <r>
    <x v="127"/>
    <n v="10738"/>
    <s v="Secondary"/>
    <n v="21"/>
    <s v="no"/>
    <s v="Metal:Single"/>
    <x v="8"/>
    <x v="3"/>
    <n v="2"/>
    <x v="1"/>
  </r>
  <r>
    <x v="128"/>
    <n v="10741"/>
    <s v="Secondary"/>
    <n v="39"/>
    <s v="no"/>
    <s v="Wood-Vinyl-Fiberglass:Single"/>
    <x v="7"/>
    <x v="2"/>
    <n v="2"/>
    <x v="0"/>
  </r>
  <r>
    <x v="129"/>
    <n v="10752"/>
    <s v="Secondary"/>
    <n v="147"/>
    <s v="no"/>
    <s v="Wood-Vinyl-Fiberglass:Double"/>
    <x v="6"/>
    <x v="0"/>
    <n v="2"/>
    <x v="2"/>
  </r>
  <r>
    <x v="131"/>
    <n v="10786"/>
    <s v="Secondary"/>
    <n v="25"/>
    <s v="no"/>
    <s v="Wood-Vinyl-Fiberglass:Double"/>
    <x v="6"/>
    <x v="0"/>
    <n v="2"/>
    <x v="5"/>
  </r>
  <r>
    <x v="133"/>
    <n v="10801"/>
    <s v="Secondary"/>
    <n v="36"/>
    <s v="no"/>
    <s v="Metal:Double"/>
    <x v="5"/>
    <x v="1"/>
    <n v="2"/>
    <x v="2"/>
  </r>
  <r>
    <x v="135"/>
    <n v="10809"/>
    <s v="Secondary"/>
    <n v="16"/>
    <s v="no"/>
    <s v="Wood-Vinyl-Fiberglass:Single"/>
    <x v="7"/>
    <x v="2"/>
    <n v="2"/>
    <x v="2"/>
  </r>
  <r>
    <x v="137"/>
    <n v="10822"/>
    <s v="Secondary"/>
    <n v="63"/>
    <s v="no"/>
    <s v="Metal:Double:low-e"/>
    <x v="2"/>
    <x v="1"/>
    <n v="2"/>
    <x v="5"/>
  </r>
  <r>
    <x v="138"/>
    <n v="10823"/>
    <s v="Secondary"/>
    <n v="24"/>
    <s v="no"/>
    <s v="Wood-Vinyl-Fiberglass:Single"/>
    <x v="7"/>
    <x v="2"/>
    <n v="2"/>
    <x v="0"/>
  </r>
  <r>
    <x v="139"/>
    <n v="10840"/>
    <s v="Secondary"/>
    <n v="35"/>
    <s v="no"/>
    <s v="Metal:Single"/>
    <x v="8"/>
    <x v="3"/>
    <n v="2"/>
    <x v="0"/>
  </r>
  <r>
    <x v="144"/>
    <n v="10887"/>
    <s v="Secondary"/>
    <n v="87"/>
    <s v="no"/>
    <s v="Wood-Vinyl-Fiberglass:Double:low-e"/>
    <x v="1"/>
    <x v="0"/>
    <n v="2"/>
    <x v="6"/>
  </r>
  <r>
    <x v="150"/>
    <n v="10948"/>
    <s v="Secondary"/>
    <n v="66"/>
    <s v="no"/>
    <s v="Wood-Vinyl-Fiberglass:Double:low-e"/>
    <x v="1"/>
    <x v="0"/>
    <n v="2"/>
    <x v="5"/>
  </r>
  <r>
    <x v="153"/>
    <n v="10978"/>
    <s v="Secondary"/>
    <n v="25"/>
    <s v="no"/>
    <s v="Wood-Vinyl-Fiberglass:Single"/>
    <x v="7"/>
    <x v="2"/>
    <n v="2"/>
    <x v="0"/>
  </r>
  <r>
    <x v="158"/>
    <n v="11006"/>
    <s v="Secondary"/>
    <n v="28"/>
    <s v="no"/>
    <s v="Wood-Vinyl-Fiberglass:Single"/>
    <x v="7"/>
    <x v="2"/>
    <n v="2"/>
    <x v="0"/>
  </r>
  <r>
    <x v="160"/>
    <n v="11021"/>
    <s v="Secondary"/>
    <n v="55"/>
    <s v="no"/>
    <s v="Wood-Vinyl-Fiberglass:Single"/>
    <x v="7"/>
    <x v="2"/>
    <n v="2"/>
    <x v="6"/>
  </r>
  <r>
    <x v="162"/>
    <n v="11032"/>
    <s v="Secondary"/>
    <n v="16"/>
    <s v="no"/>
    <s v="Wood-Vinyl-Fiberglass:Double"/>
    <x v="6"/>
    <x v="0"/>
    <n v="2"/>
    <x v="1"/>
  </r>
  <r>
    <x v="163"/>
    <n v="11035"/>
    <s v="Secondary"/>
    <n v="4"/>
    <s v="no"/>
    <s v="Wood-Vinyl-Fiberglass:Double:low-e"/>
    <x v="0"/>
    <x v="0"/>
    <n v="2"/>
    <x v="4"/>
  </r>
  <r>
    <x v="168"/>
    <n v="11054"/>
    <s v="Secondary"/>
    <n v="30"/>
    <s v="no"/>
    <s v="Metal:Single"/>
    <x v="8"/>
    <x v="3"/>
    <n v="2"/>
    <x v="5"/>
  </r>
  <r>
    <x v="169"/>
    <n v="11055"/>
    <s v="Secondary"/>
    <n v="22"/>
    <s v="no"/>
    <s v="Wood-Vinyl-Fiberglass:Double"/>
    <x v="6"/>
    <x v="0"/>
    <n v="2"/>
    <x v="6"/>
  </r>
  <r>
    <x v="180"/>
    <n v="11154"/>
    <s v="Secondary"/>
    <n v="76"/>
    <s v="no"/>
    <s v="Wood-Vinyl-Fiberglass:Single"/>
    <x v="7"/>
    <x v="2"/>
    <n v="2"/>
    <x v="3"/>
  </r>
  <r>
    <x v="181"/>
    <n v="11163"/>
    <s v="Secondary"/>
    <n v="63"/>
    <s v="yes"/>
    <s v="Wood-Vinyl-Fiberglass:Double:low-e"/>
    <x v="3"/>
    <x v="0"/>
    <n v="2"/>
    <x v="2"/>
  </r>
  <r>
    <x v="182"/>
    <n v="11178"/>
    <s v="Secondary"/>
    <n v="12"/>
    <s v="no"/>
    <s v="Wood-Vinyl-Fiberglass:Double"/>
    <x v="6"/>
    <x v="0"/>
    <n v="2"/>
    <x v="0"/>
  </r>
  <r>
    <x v="185"/>
    <n v="11210"/>
    <s v="Secondary"/>
    <n v="8"/>
    <s v="no"/>
    <s v="Wood-Vinyl-Fiberglass:Single"/>
    <x v="7"/>
    <x v="2"/>
    <n v="2"/>
    <x v="0"/>
  </r>
  <r>
    <x v="189"/>
    <n v="11222"/>
    <s v="Secondary"/>
    <n v="213"/>
    <s v="no"/>
    <s v="Metal:Double"/>
    <x v="5"/>
    <x v="1"/>
    <n v="2"/>
    <x v="2"/>
  </r>
  <r>
    <x v="191"/>
    <n v="11236"/>
    <s v="Secondary"/>
    <n v="84"/>
    <s v="no"/>
    <s v="Wood-Vinyl-Fiberglass:Double:low-e"/>
    <x v="0"/>
    <x v="0"/>
    <n v="2"/>
    <x v="2"/>
  </r>
  <r>
    <x v="193"/>
    <n v="11273"/>
    <s v="Secondary"/>
    <n v="100"/>
    <s v="no"/>
    <s v="Wood-Vinyl-Fiberglass:Single"/>
    <x v="7"/>
    <x v="2"/>
    <n v="2"/>
    <x v="0"/>
  </r>
  <r>
    <x v="194"/>
    <n v="11282"/>
    <s v="Secondary"/>
    <n v="295"/>
    <s v="no"/>
    <s v="Metal:Single"/>
    <x v="8"/>
    <x v="3"/>
    <n v="2"/>
    <x v="3"/>
  </r>
  <r>
    <x v="195"/>
    <n v="11283"/>
    <s v="Secondary"/>
    <n v="65"/>
    <s v="yes"/>
    <s v="Wood-Vinyl-Fiberglass:Single"/>
    <x v="2"/>
    <x v="2"/>
    <n v="2"/>
    <x v="3"/>
  </r>
  <r>
    <x v="198"/>
    <n v="11302"/>
    <s v="Secondary"/>
    <n v="18"/>
    <s v="no"/>
    <s v="Wood-Vinyl-Fiberglass:Single"/>
    <x v="7"/>
    <x v="2"/>
    <n v="2"/>
    <x v="0"/>
  </r>
  <r>
    <x v="208"/>
    <n v="11347"/>
    <s v="Secondary"/>
    <n v="6"/>
    <s v="no"/>
    <s v="Wood-Vinyl-Fiberglass:Single"/>
    <x v="7"/>
    <x v="2"/>
    <n v="2"/>
    <x v="2"/>
  </r>
  <r>
    <x v="210"/>
    <n v="11352"/>
    <s v="Secondary"/>
    <n v="112"/>
    <s v="no"/>
    <s v="Wood-Vinyl-Fiberglass:Single"/>
    <x v="7"/>
    <x v="2"/>
    <n v="2"/>
    <x v="3"/>
  </r>
  <r>
    <x v="215"/>
    <n v="11414"/>
    <s v="Secondary"/>
    <n v="167"/>
    <s v="no"/>
    <s v="Metal:Single"/>
    <x v="8"/>
    <x v="3"/>
    <n v="2"/>
    <x v="2"/>
  </r>
  <r>
    <x v="220"/>
    <n v="11437"/>
    <s v="Secondary"/>
    <n v="24"/>
    <s v="no"/>
    <s v="Wood-Vinyl-Fiberglass:Double"/>
    <x v="6"/>
    <x v="0"/>
    <n v="2"/>
    <x v="0"/>
  </r>
  <r>
    <x v="222"/>
    <n v="11452"/>
    <s v="Secondary"/>
    <n v="16"/>
    <s v="no"/>
    <s v="Metal:Single"/>
    <x v="8"/>
    <x v="3"/>
    <n v="2"/>
    <x v="3"/>
  </r>
  <r>
    <x v="223"/>
    <n v="11467"/>
    <s v="Secondary"/>
    <n v="6"/>
    <s v="no"/>
    <s v="Wood-Vinyl-Fiberglass:Single"/>
    <x v="7"/>
    <x v="2"/>
    <n v="2"/>
    <x v="0"/>
  </r>
  <r>
    <x v="230"/>
    <n v="11499"/>
    <s v="Secondary"/>
    <n v="10"/>
    <s v="no"/>
    <s v="Wood-Vinyl-Fiberglass:Single"/>
    <x v="7"/>
    <x v="2"/>
    <n v="2"/>
    <x v="1"/>
  </r>
  <r>
    <x v="232"/>
    <n v="11504"/>
    <s v="Secondary"/>
    <n v="246"/>
    <s v="no"/>
    <s v="Wood-Vinyl-Fiberglass:Double:low-e"/>
    <x v="1"/>
    <x v="0"/>
    <n v="2"/>
    <x v="3"/>
  </r>
  <r>
    <x v="237"/>
    <n v="11533"/>
    <s v="Secondary"/>
    <n v="81"/>
    <s v="no"/>
    <s v="Wood-Vinyl-Fiberglass:Double:low-e"/>
    <x v="1"/>
    <x v="0"/>
    <n v="2"/>
    <x v="5"/>
  </r>
  <r>
    <x v="239"/>
    <n v="11536"/>
    <s v="Secondary"/>
    <n v="8"/>
    <s v="no"/>
    <s v="Wood-Vinyl-Fiberglass:Single"/>
    <x v="7"/>
    <x v="2"/>
    <n v="2"/>
    <x v="1"/>
  </r>
  <r>
    <x v="245"/>
    <n v="11574"/>
    <s v="Secondary"/>
    <n v="26"/>
    <s v="no"/>
    <s v="Metal:Single"/>
    <x v="8"/>
    <x v="3"/>
    <n v="2"/>
    <x v="2"/>
  </r>
  <r>
    <x v="249"/>
    <n v="11636"/>
    <s v="Secondary"/>
    <n v="126"/>
    <s v="no"/>
    <s v="Metal:Double"/>
    <x v="5"/>
    <x v="1"/>
    <n v="2"/>
    <x v="6"/>
  </r>
  <r>
    <x v="252"/>
    <n v="11653"/>
    <s v="Secondary"/>
    <n v="158"/>
    <s v="no"/>
    <s v="Wood-Vinyl-Fiberglass:Double:low-e"/>
    <x v="1"/>
    <x v="0"/>
    <n v="2"/>
    <x v="0"/>
  </r>
  <r>
    <x v="256"/>
    <n v="11679"/>
    <s v="Secondary"/>
    <n v="39"/>
    <s v="no"/>
    <s v="Wood-Vinyl-Fiberglass:Double:low-e"/>
    <x v="0"/>
    <x v="0"/>
    <n v="2"/>
    <x v="3"/>
  </r>
  <r>
    <x v="259"/>
    <n v="11705"/>
    <s v="Secondary"/>
    <n v="17"/>
    <s v="no"/>
    <s v="Metal:Double"/>
    <x v="5"/>
    <x v="1"/>
    <n v="2"/>
    <x v="6"/>
  </r>
  <r>
    <x v="261"/>
    <n v="11717"/>
    <s v="Secondary"/>
    <n v="80"/>
    <s v="no"/>
    <s v="Wood-Vinyl-Fiberglass:Double"/>
    <x v="6"/>
    <x v="0"/>
    <n v="2"/>
    <x v="3"/>
  </r>
  <r>
    <x v="262"/>
    <n v="11725"/>
    <s v="Secondary"/>
    <n v="4"/>
    <s v="no"/>
    <s v="Wood-Vinyl-Fiberglass:Double:low-e"/>
    <x v="1"/>
    <x v="0"/>
    <n v="2"/>
    <x v="0"/>
  </r>
  <r>
    <x v="271"/>
    <n v="11766"/>
    <s v="Secondary"/>
    <n v="66"/>
    <s v="no"/>
    <s v="Wood-Vinyl-Fiberglass:Double:low-e"/>
    <x v="1"/>
    <x v="0"/>
    <n v="2"/>
    <x v="2"/>
  </r>
  <r>
    <x v="275"/>
    <n v="11775"/>
    <s v="Secondary"/>
    <n v="50"/>
    <s v="no"/>
    <s v="Metal:Double"/>
    <x v="5"/>
    <x v="1"/>
    <n v="2"/>
    <x v="2"/>
  </r>
  <r>
    <x v="276"/>
    <n v="11779"/>
    <s v="Secondary"/>
    <n v="94"/>
    <s v="no"/>
    <s v="Metal:Double"/>
    <x v="5"/>
    <x v="1"/>
    <n v="2"/>
    <x v="0"/>
  </r>
  <r>
    <x v="282"/>
    <n v="11815"/>
    <s v="Secondary"/>
    <n v="20"/>
    <s v="yes"/>
    <s v="Wood-Vinyl-Fiberglass:Double:low-e"/>
    <x v="4"/>
    <x v="0"/>
    <n v="2"/>
    <x v="3"/>
  </r>
  <r>
    <x v="283"/>
    <n v="11825"/>
    <s v="Secondary"/>
    <n v="21"/>
    <s v="yes"/>
    <s v="Wood-Vinyl-Fiberglass:Single"/>
    <x v="2"/>
    <x v="2"/>
    <n v="2"/>
    <x v="6"/>
  </r>
  <r>
    <x v="286"/>
    <n v="11836"/>
    <s v="Secondary"/>
    <n v="94"/>
    <s v="no"/>
    <s v="Wood-Vinyl-Fiberglass:Double"/>
    <x v="6"/>
    <x v="0"/>
    <n v="2"/>
    <x v="5"/>
  </r>
  <r>
    <x v="287"/>
    <n v="11838"/>
    <s v="Secondary"/>
    <n v="119"/>
    <s v="yes"/>
    <s v="Metal:Single"/>
    <x v="5"/>
    <x v="3"/>
    <n v="2"/>
    <x v="5"/>
  </r>
  <r>
    <x v="290"/>
    <n v="11860"/>
    <s v="Secondary"/>
    <n v="84"/>
    <s v="no"/>
    <s v="Wood-Vinyl-Fiberglass:Double"/>
    <x v="0"/>
    <x v="0"/>
    <n v="2"/>
    <x v="5"/>
  </r>
  <r>
    <x v="292"/>
    <n v="11872"/>
    <s v="Secondary"/>
    <n v="24"/>
    <s v="no"/>
    <s v="Metal:Double"/>
    <x v="5"/>
    <x v="1"/>
    <n v="2"/>
    <x v="0"/>
  </r>
  <r>
    <x v="294"/>
    <n v="11880"/>
    <s v="Secondary"/>
    <n v="52"/>
    <s v="no"/>
    <s v="Wood-Vinyl-Fiberglass:Single"/>
    <x v="7"/>
    <x v="2"/>
    <n v="2"/>
    <x v="5"/>
  </r>
  <r>
    <x v="300"/>
    <n v="11910"/>
    <s v="Secondary"/>
    <n v="157"/>
    <s v="no"/>
    <s v="Metal:Double"/>
    <x v="5"/>
    <x v="1"/>
    <n v="2"/>
    <x v="5"/>
  </r>
  <r>
    <x v="305"/>
    <n v="11953"/>
    <s v="Secondary"/>
    <n v="48"/>
    <s v="no"/>
    <s v="Wood-Vinyl-Fiberglass:Double:low-e"/>
    <x v="1"/>
    <x v="0"/>
    <n v="2"/>
    <x v="5"/>
  </r>
  <r>
    <x v="310"/>
    <n v="11978"/>
    <s v="Secondary"/>
    <n v="200"/>
    <s v="no"/>
    <s v="Wood-Vinyl-Fiberglass:Double"/>
    <x v="6"/>
    <x v="0"/>
    <n v="2"/>
    <x v="1"/>
  </r>
  <r>
    <x v="317"/>
    <n v="12022"/>
    <s v="Secondary"/>
    <n v="20"/>
    <s v="no"/>
    <s v="Metal:Single"/>
    <x v="8"/>
    <x v="3"/>
    <n v="2"/>
    <x v="0"/>
  </r>
  <r>
    <x v="318"/>
    <n v="12029"/>
    <s v="Secondary"/>
    <n v="70"/>
    <s v="no"/>
    <s v="Wood-Vinyl-Fiberglass:Double"/>
    <x v="0"/>
    <x v="0"/>
    <n v="2"/>
    <x v="6"/>
  </r>
  <r>
    <x v="320"/>
    <n v="12035"/>
    <s v="Secondary"/>
    <n v="72"/>
    <s v="no"/>
    <s v="Metal:Double"/>
    <x v="5"/>
    <x v="1"/>
    <n v="2"/>
    <x v="5"/>
  </r>
  <r>
    <x v="322"/>
    <n v="12049"/>
    <s v="Secondary"/>
    <n v="35"/>
    <s v="no"/>
    <s v="Wood-Vinyl-Fiberglass:Single"/>
    <x v="7"/>
    <x v="2"/>
    <n v="2"/>
    <x v="6"/>
  </r>
  <r>
    <x v="323"/>
    <n v="12054"/>
    <s v="Secondary"/>
    <n v="96"/>
    <s v="no"/>
    <s v="Metal:Double:low-e"/>
    <x v="2"/>
    <x v="1"/>
    <n v="2"/>
    <x v="0"/>
  </r>
  <r>
    <x v="324"/>
    <n v="12060"/>
    <s v="Secondary"/>
    <n v="10"/>
    <s v="no"/>
    <s v="Wood-Vinyl-Fiberglass:Double:low-e"/>
    <x v="0"/>
    <x v="0"/>
    <n v="2"/>
    <x v="6"/>
  </r>
  <r>
    <x v="325"/>
    <n v="12062"/>
    <s v="Secondary"/>
    <n v="50"/>
    <s v="yes"/>
    <s v="Metal:Single"/>
    <x v="5"/>
    <x v="3"/>
    <n v="2"/>
    <x v="3"/>
  </r>
  <r>
    <x v="326"/>
    <n v="12063"/>
    <s v="Secondary"/>
    <n v="65"/>
    <s v="no"/>
    <s v="Wood-Vinyl-Fiberglass:Double"/>
    <x v="0"/>
    <x v="0"/>
    <n v="2"/>
    <x v="6"/>
  </r>
  <r>
    <x v="330"/>
    <n v="12101"/>
    <s v="Secondary"/>
    <n v="12"/>
    <s v="no"/>
    <s v="Metal:Single"/>
    <x v="8"/>
    <x v="3"/>
    <n v="2"/>
    <x v="2"/>
  </r>
  <r>
    <x v="331"/>
    <n v="12103"/>
    <s v="Secondary"/>
    <n v="4"/>
    <s v="yes"/>
    <s v="Metal:Double"/>
    <x v="2"/>
    <x v="1"/>
    <n v="2"/>
    <x v="2"/>
  </r>
  <r>
    <x v="335"/>
    <n v="12111"/>
    <s v="Secondary"/>
    <n v="6"/>
    <s v="no"/>
    <s v="Wood-Vinyl-Fiberglass:Double"/>
    <x v="6"/>
    <x v="0"/>
    <n v="2"/>
    <x v="6"/>
  </r>
  <r>
    <x v="338"/>
    <n v="12142"/>
    <s v="Secondary"/>
    <n v="53"/>
    <s v="no"/>
    <s v="Wood-Vinyl-Fiberglass:Double:low-e"/>
    <x v="0"/>
    <x v="0"/>
    <n v="2"/>
    <x v="0"/>
  </r>
  <r>
    <x v="339"/>
    <n v="12144"/>
    <s v="Secondary"/>
    <n v="118"/>
    <s v="no"/>
    <s v="Wood-Vinyl-Fiberglass:Double:low-e"/>
    <x v="1"/>
    <x v="0"/>
    <n v="2"/>
    <x v="3"/>
  </r>
  <r>
    <x v="341"/>
    <n v="12146"/>
    <s v="Secondary"/>
    <n v="57"/>
    <s v="no"/>
    <s v="Wood-Vinyl-Fiberglass:Single"/>
    <x v="7"/>
    <x v="2"/>
    <n v="2"/>
    <x v="6"/>
  </r>
  <r>
    <x v="344"/>
    <n v="12163"/>
    <s v="Secondary"/>
    <n v="15"/>
    <s v="no"/>
    <s v="Wood-Vinyl-Fiberglass:Single"/>
    <x v="7"/>
    <x v="2"/>
    <n v="2"/>
    <x v="0"/>
  </r>
  <r>
    <x v="345"/>
    <n v="12169"/>
    <s v="Secondary"/>
    <n v="70"/>
    <s v="no"/>
    <s v="Metal:Single"/>
    <x v="8"/>
    <x v="3"/>
    <n v="2"/>
    <x v="0"/>
  </r>
  <r>
    <x v="348"/>
    <n v="12186"/>
    <s v="Secondary"/>
    <n v="63"/>
    <s v="no"/>
    <s v="Metal:Double"/>
    <x v="5"/>
    <x v="1"/>
    <n v="2"/>
    <x v="2"/>
  </r>
  <r>
    <x v="359"/>
    <n v="12230"/>
    <s v="Secondary"/>
    <n v="60"/>
    <s v="no"/>
    <s v="Wood-Vinyl-Fiberglass:Double:low-e"/>
    <x v="1"/>
    <x v="0"/>
    <n v="2"/>
    <x v="3"/>
  </r>
  <r>
    <x v="360"/>
    <n v="12232"/>
    <s v="Secondary"/>
    <n v="11"/>
    <s v="no"/>
    <s v="Wood-Vinyl-Fiberglass:Single"/>
    <x v="7"/>
    <x v="2"/>
    <n v="2"/>
    <x v="1"/>
  </r>
  <r>
    <x v="362"/>
    <n v="12247"/>
    <s v="Secondary"/>
    <n v="24"/>
    <s v="no"/>
    <s v="Wood-Vinyl-Fiberglass:Double"/>
    <x v="0"/>
    <x v="0"/>
    <n v="2"/>
    <x v="5"/>
  </r>
  <r>
    <x v="363"/>
    <n v="12255"/>
    <s v="Secondary"/>
    <n v="29"/>
    <s v="no"/>
    <s v="Wood-Vinyl-Fiberglass:Double:low-e"/>
    <x v="0"/>
    <x v="0"/>
    <n v="2"/>
    <x v="1"/>
  </r>
  <r>
    <x v="366"/>
    <n v="12266"/>
    <s v="Secondary"/>
    <n v="22"/>
    <s v="no"/>
    <s v="Wood-Vinyl-Fiberglass:Single"/>
    <x v="7"/>
    <x v="2"/>
    <n v="2"/>
    <x v="2"/>
  </r>
  <r>
    <x v="368"/>
    <n v="12271"/>
    <s v="Secondary"/>
    <n v="137"/>
    <s v="no"/>
    <s v="Wood-Vinyl-Fiberglass:Double"/>
    <x v="6"/>
    <x v="0"/>
    <n v="2"/>
    <x v="0"/>
  </r>
  <r>
    <x v="369"/>
    <n v="12274"/>
    <s v="Secondary"/>
    <n v="14"/>
    <s v="no"/>
    <s v="Wood-Vinyl-Fiberglass:Double"/>
    <x v="6"/>
    <x v="0"/>
    <n v="2"/>
    <x v="2"/>
  </r>
  <r>
    <x v="374"/>
    <n v="12307"/>
    <s v="Secondary"/>
    <n v="112"/>
    <s v="no"/>
    <s v="Wood-Vinyl-Fiberglass:Double:low-e"/>
    <x v="0"/>
    <x v="0"/>
    <n v="2"/>
    <x v="0"/>
  </r>
  <r>
    <x v="375"/>
    <n v="12315"/>
    <s v="Secondary"/>
    <n v="59"/>
    <s v="no"/>
    <s v="Metal:Double"/>
    <x v="10"/>
    <x v="1"/>
    <n v="2"/>
    <x v="5"/>
  </r>
  <r>
    <x v="376"/>
    <n v="12320"/>
    <s v="Secondary"/>
    <n v="33"/>
    <s v="no"/>
    <s v="Wood-Vinyl-Fiberglass:Double:low-e"/>
    <x v="0"/>
    <x v="0"/>
    <n v="2"/>
    <x v="5"/>
  </r>
  <r>
    <x v="379"/>
    <n v="12341"/>
    <s v="Secondary"/>
    <n v="37"/>
    <s v="no"/>
    <s v="Wood-Vinyl-Fiberglass:Single"/>
    <x v="7"/>
    <x v="2"/>
    <n v="2"/>
    <x v="6"/>
  </r>
  <r>
    <x v="381"/>
    <n v="12358"/>
    <s v="Secondary"/>
    <n v="33"/>
    <s v="no"/>
    <s v="Wood-Vinyl-Fiberglass:Double"/>
    <x v="6"/>
    <x v="0"/>
    <n v="2"/>
    <x v="0"/>
  </r>
  <r>
    <x v="382"/>
    <n v="12370"/>
    <s v="Secondary"/>
    <n v="309"/>
    <s v="no"/>
    <s v="Metal:Double"/>
    <x v="5"/>
    <x v="1"/>
    <n v="2"/>
    <x v="3"/>
  </r>
  <r>
    <x v="385"/>
    <n v="12377"/>
    <s v="Secondary"/>
    <n v="117"/>
    <s v="no"/>
    <s v="Wood-Vinyl-Fiberglass:Double:low-e"/>
    <x v="0"/>
    <x v="0"/>
    <n v="2"/>
    <x v="3"/>
  </r>
  <r>
    <x v="387"/>
    <n v="12399"/>
    <s v="Secondary"/>
    <n v="197"/>
    <s v="yes"/>
    <s v="Wood-Vinyl-Fiberglass:Single"/>
    <x v="2"/>
    <x v="2"/>
    <n v="2"/>
    <x v="0"/>
  </r>
  <r>
    <x v="392"/>
    <n v="12427"/>
    <s v="Secondary"/>
    <n v="169"/>
    <s v="no"/>
    <s v="Wood-Vinyl-Fiberglass:Double:low-e"/>
    <x v="0"/>
    <x v="0"/>
    <n v="2"/>
    <x v="0"/>
  </r>
  <r>
    <x v="402"/>
    <n v="12494"/>
    <s v="Secondary"/>
    <n v="112"/>
    <s v="no"/>
    <s v="Wood-Vinyl-Fiberglass:Double:low-e"/>
    <x v="1"/>
    <x v="0"/>
    <n v="2"/>
    <x v="0"/>
  </r>
  <r>
    <x v="404"/>
    <n v="12499"/>
    <s v="Secondary"/>
    <n v="44"/>
    <s v="no"/>
    <s v="Wood-Vinyl-Fiberglass:Double:low-e"/>
    <x v="1"/>
    <x v="0"/>
    <n v="2"/>
    <x v="3"/>
  </r>
  <r>
    <x v="409"/>
    <n v="12514"/>
    <s v="Secondary"/>
    <n v="102"/>
    <s v="no"/>
    <s v="Metal:Single"/>
    <x v="8"/>
    <x v="3"/>
    <n v="2"/>
    <x v="0"/>
  </r>
  <r>
    <x v="412"/>
    <n v="12561"/>
    <s v="Secondary"/>
    <n v="66"/>
    <s v="yes"/>
    <s v="Wood-Vinyl-Fiberglass:Single"/>
    <x v="2"/>
    <x v="2"/>
    <n v="2"/>
    <x v="2"/>
  </r>
  <r>
    <x v="413"/>
    <n v="12564"/>
    <s v="Secondary"/>
    <n v="6"/>
    <s v="yes"/>
    <s v="Metal:Single"/>
    <x v="5"/>
    <x v="3"/>
    <n v="2"/>
    <x v="5"/>
  </r>
  <r>
    <x v="416"/>
    <n v="12582"/>
    <s v="Secondary"/>
    <n v="304"/>
    <s v="no"/>
    <s v="Metal:Single"/>
    <x v="8"/>
    <x v="3"/>
    <n v="2"/>
    <x v="5"/>
  </r>
  <r>
    <x v="417"/>
    <n v="12600"/>
    <s v="Secondary"/>
    <n v="318"/>
    <s v="no"/>
    <s v="Metal:Double"/>
    <x v="5"/>
    <x v="1"/>
    <n v="2"/>
    <x v="0"/>
  </r>
  <r>
    <x v="419"/>
    <n v="12620"/>
    <s v="Secondary"/>
    <n v="72"/>
    <s v="no"/>
    <s v="Wood-Vinyl-Fiberglass:Double"/>
    <x v="0"/>
    <x v="0"/>
    <n v="2"/>
    <x v="5"/>
  </r>
  <r>
    <x v="421"/>
    <n v="12630"/>
    <s v="Secondary"/>
    <n v="2"/>
    <s v="no"/>
    <s v="Wood-Vinyl-Fiberglass:Single"/>
    <x v="7"/>
    <x v="2"/>
    <n v="2"/>
    <x v="5"/>
  </r>
  <r>
    <x v="422"/>
    <n v="12640"/>
    <s v="Secondary"/>
    <n v="40"/>
    <s v="yes"/>
    <s v="Metal:Double"/>
    <x v="9"/>
    <x v="1"/>
    <n v="2"/>
    <x v="4"/>
  </r>
  <r>
    <x v="423"/>
    <n v="12643"/>
    <s v="Secondary"/>
    <n v="18"/>
    <s v="no"/>
    <s v="Wood-Vinyl-Fiberglass:Double:low-e"/>
    <x v="0"/>
    <x v="0"/>
    <n v="2"/>
    <x v="3"/>
  </r>
  <r>
    <x v="427"/>
    <n v="12661"/>
    <s v="Secondary"/>
    <n v="8"/>
    <s v="no"/>
    <s v="Metal:Single"/>
    <x v="8"/>
    <x v="3"/>
    <n v="2"/>
    <x v="5"/>
  </r>
  <r>
    <x v="428"/>
    <n v="12669"/>
    <s v="Secondary"/>
    <n v="4"/>
    <s v="no"/>
    <s v="Wood-Vinyl-Fiberglass:Single"/>
    <x v="7"/>
    <x v="2"/>
    <n v="2"/>
    <x v="2"/>
  </r>
  <r>
    <x v="431"/>
    <n v="12678"/>
    <s v="Secondary"/>
    <n v="9"/>
    <s v="no"/>
    <s v="Wood-Vinyl-Fiberglass:Double"/>
    <x v="6"/>
    <x v="0"/>
    <n v="2"/>
    <x v="5"/>
  </r>
  <r>
    <x v="434"/>
    <n v="12693"/>
    <s v="Secondary"/>
    <n v="12"/>
    <s v="no"/>
    <s v="Metal:Double"/>
    <x v="10"/>
    <x v="1"/>
    <n v="2"/>
    <x v="2"/>
  </r>
  <r>
    <x v="437"/>
    <n v="12737"/>
    <s v="Secondary"/>
    <n v="99"/>
    <s v="no"/>
    <s v="Metal:Double"/>
    <x v="5"/>
    <x v="1"/>
    <n v="2"/>
    <x v="3"/>
  </r>
  <r>
    <x v="439"/>
    <n v="12739"/>
    <s v="Secondary"/>
    <n v="8"/>
    <s v="no"/>
    <s v="Wood-Vinyl-Fiberglass:Double"/>
    <x v="6"/>
    <x v="0"/>
    <n v="2"/>
    <x v="1"/>
  </r>
  <r>
    <x v="441"/>
    <n v="12745"/>
    <s v="Secondary"/>
    <n v="32"/>
    <s v="yes"/>
    <s v="Wood-Vinyl-Fiberglass:Double"/>
    <x v="3"/>
    <x v="0"/>
    <n v="2"/>
    <x v="0"/>
  </r>
  <r>
    <x v="450"/>
    <n v="12818"/>
    <s v="Secondary"/>
    <n v="15"/>
    <s v="no"/>
    <s v="Wood-Vinyl-Fiberglass:Single"/>
    <x v="7"/>
    <x v="2"/>
    <n v="2"/>
    <x v="0"/>
  </r>
  <r>
    <x v="452"/>
    <n v="12833"/>
    <s v="Secondary"/>
    <n v="117"/>
    <s v="no"/>
    <s v="Wood-Vinyl-Fiberglass:Double"/>
    <x v="0"/>
    <x v="0"/>
    <n v="2"/>
    <x v="5"/>
  </r>
  <r>
    <x v="455"/>
    <n v="12856"/>
    <s v="Secondary"/>
    <n v="11"/>
    <s v="no"/>
    <s v="Wood-Vinyl-Fiberglass:Single"/>
    <x v="7"/>
    <x v="2"/>
    <n v="2"/>
    <x v="2"/>
  </r>
  <r>
    <x v="457"/>
    <n v="12895"/>
    <s v="Secondary"/>
    <n v="60"/>
    <s v="no"/>
    <s v="Wood-Vinyl-Fiberglass:Double"/>
    <x v="6"/>
    <x v="0"/>
    <n v="2"/>
    <x v="2"/>
  </r>
  <r>
    <x v="458"/>
    <n v="12897"/>
    <s v="Secondary"/>
    <n v="85"/>
    <s v="yes"/>
    <s v="Wood-Vinyl-Fiberglass:Double"/>
    <x v="3"/>
    <x v="0"/>
    <n v="2"/>
    <x v="0"/>
  </r>
  <r>
    <x v="460"/>
    <n v="12902"/>
    <s v="Secondary"/>
    <n v="12"/>
    <s v="no"/>
    <s v="Metal:Single"/>
    <x v="8"/>
    <x v="3"/>
    <n v="2"/>
    <x v="0"/>
  </r>
  <r>
    <x v="461"/>
    <n v="12906"/>
    <s v="Secondary"/>
    <n v="21"/>
    <s v="no"/>
    <s v="Metal:Single"/>
    <x v="8"/>
    <x v="3"/>
    <n v="2"/>
    <x v="2"/>
  </r>
  <r>
    <x v="468"/>
    <n v="12977"/>
    <s v="Secondary"/>
    <n v="60"/>
    <s v="no"/>
    <s v="Wood-Vinyl-Fiberglass:Double:low-e"/>
    <x v="1"/>
    <x v="0"/>
    <n v="2"/>
    <x v="2"/>
  </r>
  <r>
    <x v="471"/>
    <n v="13004"/>
    <s v="Secondary"/>
    <n v="81"/>
    <s v="no"/>
    <s v="Wood-Vinyl-Fiberglass:Single"/>
    <x v="7"/>
    <x v="2"/>
    <n v="2"/>
    <x v="6"/>
  </r>
  <r>
    <x v="472"/>
    <n v="13011"/>
    <s v="Secondary"/>
    <n v="9"/>
    <s v="no"/>
    <s v="Metal:Single"/>
    <x v="8"/>
    <x v="3"/>
    <n v="2"/>
    <x v="1"/>
  </r>
  <r>
    <x v="473"/>
    <n v="13017"/>
    <s v="Secondary"/>
    <n v="53"/>
    <s v="no"/>
    <s v="Wood-Vinyl-Fiberglass:Single"/>
    <x v="7"/>
    <x v="2"/>
    <n v="2"/>
    <x v="5"/>
  </r>
  <r>
    <x v="474"/>
    <n v="13019"/>
    <s v="Secondary"/>
    <n v="32"/>
    <s v="no"/>
    <s v="Metal:Double"/>
    <x v="5"/>
    <x v="1"/>
    <n v="2"/>
    <x v="3"/>
  </r>
  <r>
    <x v="476"/>
    <n v="13041"/>
    <s v="Secondary"/>
    <n v="42"/>
    <s v="no"/>
    <s v="Wood-Vinyl-Fiberglass:Double"/>
    <x v="6"/>
    <x v="0"/>
    <n v="2"/>
    <x v="2"/>
  </r>
  <r>
    <x v="477"/>
    <n v="13046"/>
    <s v="Secondary"/>
    <n v="62"/>
    <s v="no"/>
    <s v="Wood-Vinyl-Fiberglass:Double"/>
    <x v="6"/>
    <x v="0"/>
    <n v="2"/>
    <x v="6"/>
  </r>
  <r>
    <x v="478"/>
    <n v="13051"/>
    <s v="Secondary"/>
    <n v="73"/>
    <s v="no"/>
    <s v="Wood-Vinyl-Fiberglass:Single"/>
    <x v="7"/>
    <x v="2"/>
    <n v="2"/>
    <x v="2"/>
  </r>
  <r>
    <x v="481"/>
    <n v="13113"/>
    <s v="Secondary"/>
    <n v="156"/>
    <s v="no"/>
    <s v="Wood-Vinyl-Fiberglass:Triple:low-e"/>
    <x v="11"/>
    <x v="4"/>
    <n v="2"/>
    <x v="6"/>
  </r>
  <r>
    <x v="483"/>
    <n v="13129"/>
    <s v="Secondary"/>
    <n v="303"/>
    <s v="no"/>
    <s v="Wood-Vinyl-Fiberglass:Single"/>
    <x v="7"/>
    <x v="2"/>
    <n v="2"/>
    <x v="2"/>
  </r>
  <r>
    <x v="488"/>
    <n v="13166"/>
    <s v="Secondary"/>
    <n v="148"/>
    <s v="no"/>
    <s v="Wood-Vinyl-Fiberglass:Single"/>
    <x v="7"/>
    <x v="2"/>
    <n v="2"/>
    <x v="0"/>
  </r>
  <r>
    <x v="489"/>
    <n v="13169"/>
    <s v="Secondary"/>
    <n v="84"/>
    <s v="no"/>
    <s v="Metal:Double"/>
    <x v="5"/>
    <x v="1"/>
    <n v="2"/>
    <x v="4"/>
  </r>
  <r>
    <x v="490"/>
    <n v="13188"/>
    <s v="Secondary"/>
    <n v="25"/>
    <s v="no"/>
    <s v="Metal:Single"/>
    <x v="8"/>
    <x v="3"/>
    <n v="2"/>
    <x v="0"/>
  </r>
  <r>
    <x v="492"/>
    <n v="13222"/>
    <s v="Secondary"/>
    <n v="10"/>
    <s v="no"/>
    <s v="Metal:Single"/>
    <x v="8"/>
    <x v="3"/>
    <n v="2"/>
    <x v="5"/>
  </r>
  <r>
    <x v="493"/>
    <n v="13232"/>
    <s v="Secondary"/>
    <n v="181"/>
    <s v="no"/>
    <s v="Wood-Vinyl-Fiberglass:Double:low-e"/>
    <x v="0"/>
    <x v="0"/>
    <n v="2"/>
    <x v="5"/>
  </r>
  <r>
    <x v="494"/>
    <n v="13242"/>
    <s v="Secondary"/>
    <n v="20"/>
    <s v="no"/>
    <s v="Wood-Vinyl-Fiberglass:Double"/>
    <x v="6"/>
    <x v="0"/>
    <n v="2"/>
    <x v="2"/>
  </r>
  <r>
    <x v="495"/>
    <n v="13246"/>
    <s v="Secondary"/>
    <n v="281"/>
    <s v="no"/>
    <s v="Wood-Vinyl-Fiberglass:Double"/>
    <x v="6"/>
    <x v="0"/>
    <n v="2"/>
    <x v="5"/>
  </r>
  <r>
    <x v="505"/>
    <n v="13310"/>
    <s v="Secondary"/>
    <n v="27"/>
    <s v="no"/>
    <s v="Metal:Single"/>
    <x v="8"/>
    <x v="3"/>
    <n v="2"/>
    <x v="5"/>
  </r>
  <r>
    <x v="506"/>
    <n v="13315"/>
    <s v="Secondary"/>
    <n v="10"/>
    <s v="no"/>
    <s v="Wood-Vinyl-Fiberglass:Double:low-e"/>
    <x v="0"/>
    <x v="0"/>
    <n v="2"/>
    <x v="2"/>
  </r>
  <r>
    <x v="510"/>
    <n v="13328"/>
    <s v="Secondary"/>
    <n v="147"/>
    <s v="no"/>
    <s v="Wood-Vinyl-Fiberglass:Double:low-e"/>
    <x v="0"/>
    <x v="0"/>
    <n v="2"/>
    <x v="5"/>
  </r>
  <r>
    <x v="516"/>
    <n v="13401"/>
    <s v="Secondary"/>
    <n v="24"/>
    <s v="no"/>
    <s v="Wood-Vinyl-Fiberglass:Double"/>
    <x v="6"/>
    <x v="0"/>
    <n v="2"/>
    <x v="2"/>
  </r>
  <r>
    <x v="518"/>
    <n v="13426"/>
    <s v="Secondary"/>
    <n v="66"/>
    <s v="no"/>
    <s v="Metal:Double"/>
    <x v="5"/>
    <x v="1"/>
    <n v="2"/>
    <x v="1"/>
  </r>
  <r>
    <x v="520"/>
    <n v="13435"/>
    <s v="Secondary"/>
    <n v="44"/>
    <s v="no"/>
    <s v="Wood-Vinyl-Fiberglass:Single"/>
    <x v="7"/>
    <x v="2"/>
    <n v="2"/>
    <x v="6"/>
  </r>
  <r>
    <x v="521"/>
    <n v="13445"/>
    <s v="Secondary"/>
    <n v="50"/>
    <s v="no"/>
    <s v="Wood-Vinyl-Fiberglass:Double:low-e"/>
    <x v="0"/>
    <x v="0"/>
    <n v="2"/>
    <x v="2"/>
  </r>
  <r>
    <x v="525"/>
    <n v="13462"/>
    <s v="Secondary"/>
    <n v="50"/>
    <s v="no"/>
    <s v="Wood-Vinyl-Fiberglass:Double"/>
    <x v="6"/>
    <x v="0"/>
    <n v="2"/>
    <x v="6"/>
  </r>
  <r>
    <x v="528"/>
    <n v="13494"/>
    <s v="Secondary"/>
    <n v="47"/>
    <s v="yes"/>
    <s v="Wood-Vinyl-Fiberglass:Single"/>
    <x v="2"/>
    <x v="2"/>
    <n v="2"/>
    <x v="5"/>
  </r>
  <r>
    <x v="529"/>
    <n v="13495"/>
    <s v="Secondary"/>
    <n v="53"/>
    <s v="no"/>
    <s v="Metal:Double"/>
    <x v="5"/>
    <x v="1"/>
    <n v="2"/>
    <x v="6"/>
  </r>
  <r>
    <x v="532"/>
    <n v="13554"/>
    <s v="Secondary"/>
    <n v="2"/>
    <s v="no"/>
    <s v="Wood-Vinyl-Fiberglass:Double"/>
    <x v="6"/>
    <x v="0"/>
    <n v="2"/>
    <x v="2"/>
  </r>
  <r>
    <x v="533"/>
    <n v="13621"/>
    <s v="Secondary"/>
    <n v="30"/>
    <s v="no"/>
    <s v="Wood-Vinyl-Fiberglass:Single"/>
    <x v="7"/>
    <x v="2"/>
    <n v="2"/>
    <x v="6"/>
  </r>
  <r>
    <x v="535"/>
    <n v="13655"/>
    <s v="Secondary"/>
    <n v="11"/>
    <s v="no"/>
    <s v="Wood-Vinyl-Fiberglass:Single"/>
    <x v="7"/>
    <x v="2"/>
    <n v="2"/>
    <x v="6"/>
  </r>
  <r>
    <x v="537"/>
    <n v="13672"/>
    <s v="Secondary"/>
    <n v="81"/>
    <s v="no"/>
    <s v="Wood-Vinyl-Fiberglass:Single"/>
    <x v="7"/>
    <x v="2"/>
    <n v="2"/>
    <x v="1"/>
  </r>
  <r>
    <x v="540"/>
    <n v="13713"/>
    <s v="Secondary"/>
    <n v="36"/>
    <s v="no"/>
    <s v="Metal:Double"/>
    <x v="5"/>
    <x v="1"/>
    <n v="2"/>
    <x v="4"/>
  </r>
  <r>
    <x v="541"/>
    <n v="13746"/>
    <s v="Secondary"/>
    <n v="36"/>
    <s v="no"/>
    <s v="Metal:Double"/>
    <x v="10"/>
    <x v="1"/>
    <n v="2"/>
    <x v="1"/>
  </r>
  <r>
    <x v="543"/>
    <n v="13756"/>
    <s v="Secondary"/>
    <n v="20"/>
    <s v="no"/>
    <s v="Wood-Vinyl-Fiberglass:Double"/>
    <x v="6"/>
    <x v="0"/>
    <n v="2"/>
    <x v="1"/>
  </r>
  <r>
    <x v="545"/>
    <n v="13803"/>
    <s v="Secondary"/>
    <n v="57"/>
    <s v="no"/>
    <s v="Wood-Vinyl-Fiberglass:Single"/>
    <x v="7"/>
    <x v="2"/>
    <n v="2"/>
    <x v="5"/>
  </r>
  <r>
    <x v="546"/>
    <n v="13817"/>
    <s v="Secondary"/>
    <n v="269"/>
    <s v="no"/>
    <s v="Metal:Double:low-e"/>
    <x v="2"/>
    <x v="1"/>
    <n v="2"/>
    <x v="1"/>
  </r>
  <r>
    <x v="553"/>
    <n v="13898"/>
    <s v="Secondary"/>
    <n v="19"/>
    <s v="no"/>
    <s v="Wood-Vinyl-Fiberglass:Single"/>
    <x v="7"/>
    <x v="2"/>
    <n v="2"/>
    <x v="1"/>
  </r>
  <r>
    <x v="555"/>
    <n v="13912"/>
    <s v="Secondary"/>
    <n v="3"/>
    <s v="no"/>
    <s v="Wood-Vinyl-Fiberglass:Double:low-e"/>
    <x v="0"/>
    <x v="0"/>
    <n v="2"/>
    <x v="5"/>
  </r>
  <r>
    <x v="556"/>
    <n v="13948"/>
    <s v="Secondary"/>
    <n v="15"/>
    <s v="no"/>
    <s v="Wood-Vinyl-Fiberglass:Single"/>
    <x v="7"/>
    <x v="2"/>
    <n v="2"/>
    <x v="0"/>
  </r>
  <r>
    <x v="557"/>
    <n v="13956"/>
    <s v="Secondary"/>
    <n v="106"/>
    <s v="no"/>
    <s v="Wood-Vinyl-Fiberglass:Single"/>
    <x v="7"/>
    <x v="2"/>
    <n v="2"/>
    <x v="0"/>
  </r>
  <r>
    <x v="558"/>
    <n v="13970"/>
    <s v="Secondary"/>
    <n v="86"/>
    <s v="no"/>
    <s v="Wood-Vinyl-Fiberglass:Double:low-e"/>
    <x v="1"/>
    <x v="0"/>
    <n v="2"/>
    <x v="0"/>
  </r>
  <r>
    <x v="559"/>
    <n v="13974"/>
    <s v="Secondary"/>
    <n v="32"/>
    <s v="no"/>
    <s v="Wood-Vinyl-Fiberglass:Double:low-e"/>
    <x v="1"/>
    <x v="0"/>
    <n v="2"/>
    <x v="5"/>
  </r>
  <r>
    <x v="560"/>
    <n v="13975"/>
    <s v="Secondary"/>
    <n v="1"/>
    <s v="no"/>
    <s v="Wood-Vinyl-Fiberglass:Double"/>
    <x v="6"/>
    <x v="0"/>
    <n v="2"/>
    <x v="2"/>
  </r>
  <r>
    <x v="561"/>
    <n v="14000"/>
    <s v="Secondary"/>
    <n v="74"/>
    <s v="no"/>
    <s v="Wood-Vinyl-Fiberglass:Single"/>
    <x v="7"/>
    <x v="2"/>
    <n v="2"/>
    <x v="0"/>
  </r>
  <r>
    <x v="563"/>
    <n v="14015"/>
    <s v="Secondary"/>
    <n v="189"/>
    <s v="yes"/>
    <s v="Wood-Vinyl-Fiberglass:Double:low-e"/>
    <x v="4"/>
    <x v="0"/>
    <n v="2"/>
    <x v="2"/>
  </r>
  <r>
    <x v="565"/>
    <n v="14037"/>
    <s v="Secondary"/>
    <n v="5"/>
    <s v="no"/>
    <s v="Wood-Vinyl-Fiberglass:Single"/>
    <x v="7"/>
    <x v="2"/>
    <n v="2"/>
    <x v="0"/>
  </r>
  <r>
    <x v="567"/>
    <n v="14051"/>
    <s v="Secondary"/>
    <n v="67"/>
    <s v="no"/>
    <s v="Wood-Vinyl-Fiberglass:Single"/>
    <x v="7"/>
    <x v="2"/>
    <n v="2"/>
    <x v="1"/>
  </r>
  <r>
    <x v="569"/>
    <n v="14073"/>
    <s v="Secondary"/>
    <n v="147"/>
    <s v="no"/>
    <s v="Wood-Vinyl-Fiberglass:Double:low-e"/>
    <x v="1"/>
    <x v="0"/>
    <n v="2"/>
    <x v="5"/>
  </r>
  <r>
    <x v="570"/>
    <n v="14078"/>
    <s v="Secondary"/>
    <n v="119"/>
    <s v="yes"/>
    <s v="Metal:Single"/>
    <x v="5"/>
    <x v="3"/>
    <n v="2"/>
    <x v="4"/>
  </r>
  <r>
    <x v="573"/>
    <n v="14122"/>
    <s v="Secondary"/>
    <n v="41"/>
    <s v="no"/>
    <s v="Metal:Double"/>
    <x v="5"/>
    <x v="1"/>
    <n v="2"/>
    <x v="6"/>
  </r>
  <r>
    <x v="575"/>
    <n v="14140"/>
    <s v="Secondary"/>
    <n v="91"/>
    <s v="no"/>
    <s v="Wood-Vinyl-Fiberglass:Double"/>
    <x v="0"/>
    <x v="0"/>
    <n v="2"/>
    <x v="5"/>
  </r>
  <r>
    <x v="577"/>
    <n v="14150"/>
    <s v="Secondary"/>
    <n v="93"/>
    <s v="yes"/>
    <s v="Wood-Vinyl-Fiberglass:Double"/>
    <x v="0"/>
    <x v="0"/>
    <n v="2"/>
    <x v="3"/>
  </r>
  <r>
    <x v="579"/>
    <n v="14174"/>
    <s v="Secondary"/>
    <n v="163"/>
    <s v="no"/>
    <s v="Wood-Vinyl-Fiberglass:Double:low-e"/>
    <x v="1"/>
    <x v="0"/>
    <n v="2"/>
    <x v="3"/>
  </r>
  <r>
    <x v="580"/>
    <n v="14181"/>
    <s v="Secondary"/>
    <n v="4"/>
    <s v="no"/>
    <s v="Wood-Vinyl-Fiberglass:Single"/>
    <x v="7"/>
    <x v="2"/>
    <n v="2"/>
    <x v="0"/>
  </r>
  <r>
    <x v="581"/>
    <n v="14210"/>
    <s v="Secondary"/>
    <n v="76"/>
    <s v="no"/>
    <s v="Metal:Double"/>
    <x v="5"/>
    <x v="1"/>
    <n v="2"/>
    <x v="6"/>
  </r>
  <r>
    <x v="582"/>
    <n v="14211"/>
    <s v="Secondary"/>
    <n v="49"/>
    <s v="no"/>
    <s v="Wood-Vinyl-Fiberglass:Single"/>
    <x v="7"/>
    <x v="2"/>
    <n v="2"/>
    <x v="0"/>
  </r>
  <r>
    <x v="584"/>
    <n v="14264"/>
    <s v="Secondary"/>
    <n v="29"/>
    <s v="no"/>
    <s v="Wood-Vinyl-Fiberglass:Single"/>
    <x v="7"/>
    <x v="2"/>
    <n v="2"/>
    <x v="2"/>
  </r>
  <r>
    <x v="586"/>
    <n v="14277"/>
    <s v="Secondary"/>
    <n v="109"/>
    <s v="no"/>
    <s v="Wood-Vinyl-Fiberglass:Double:low-e"/>
    <x v="1"/>
    <x v="0"/>
    <n v="2"/>
    <x v="2"/>
  </r>
  <r>
    <x v="589"/>
    <n v="14300"/>
    <s v="Secondary"/>
    <n v="20"/>
    <s v="no"/>
    <s v="Wood-Vinyl-Fiberglass:Single"/>
    <x v="7"/>
    <x v="2"/>
    <n v="2"/>
    <x v="2"/>
  </r>
  <r>
    <x v="594"/>
    <n v="14508"/>
    <s v="Secondary"/>
    <n v="41"/>
    <s v="yes"/>
    <s v="Wood-Vinyl-Fiberglass:Single"/>
    <x v="2"/>
    <x v="2"/>
    <n v="2"/>
    <x v="2"/>
  </r>
  <r>
    <x v="600"/>
    <n v="14674"/>
    <s v="Secondary"/>
    <n v="22"/>
    <s v="no"/>
    <s v="Wood-Vinyl-Fiberglass:Double:low-e"/>
    <x v="0"/>
    <x v="0"/>
    <n v="2"/>
    <x v="3"/>
  </r>
  <r>
    <x v="611"/>
    <n v="20065"/>
    <s v="Secondary"/>
    <n v="36"/>
    <s v="yes"/>
    <s v="Metal:Single"/>
    <x v="5"/>
    <x v="3"/>
    <n v="2"/>
    <x v="11"/>
  </r>
  <r>
    <x v="612"/>
    <n v="20066"/>
    <s v="Secondary"/>
    <n v="41"/>
    <s v="yes"/>
    <s v="Wood-Vinyl-Fiberglass:Double"/>
    <x v="0"/>
    <x v="0"/>
    <n v="2"/>
    <x v="8"/>
  </r>
  <r>
    <x v="614"/>
    <n v="20078"/>
    <s v="Secondary"/>
    <n v="20"/>
    <s v="no"/>
    <s v="Wood-Vinyl-Fiberglass:Double:low-e"/>
    <x v="1"/>
    <x v="0"/>
    <n v="2"/>
    <x v="12"/>
  </r>
  <r>
    <x v="615"/>
    <n v="20080"/>
    <s v="Secondary"/>
    <n v="121"/>
    <s v="no"/>
    <s v="Wood-Vinyl-Fiberglass:Double"/>
    <x v="0"/>
    <x v="0"/>
    <n v="2"/>
    <x v="10"/>
  </r>
  <r>
    <x v="617"/>
    <n v="20085"/>
    <s v="Secondary"/>
    <n v="33"/>
    <s v="no"/>
    <s v="Wood-Vinyl-Fiberglass:Single"/>
    <x v="7"/>
    <x v="2"/>
    <n v="2"/>
    <x v="14"/>
  </r>
  <r>
    <x v="618"/>
    <n v="20088"/>
    <s v="Secondary"/>
    <n v="20"/>
    <s v="no"/>
    <s v="Wood-Vinyl-Fiberglass:Single"/>
    <x v="7"/>
    <x v="2"/>
    <n v="2"/>
    <x v="11"/>
  </r>
  <r>
    <x v="620"/>
    <n v="20095"/>
    <s v="Secondary"/>
    <n v="222"/>
    <s v="no"/>
    <s v="Wood-Vinyl-Fiberglass:Double:low-e"/>
    <x v="1"/>
    <x v="0"/>
    <n v="2"/>
    <x v="10"/>
  </r>
  <r>
    <x v="622"/>
    <n v="20106"/>
    <s v="Secondary"/>
    <n v="84"/>
    <s v="no"/>
    <s v="Wood-Vinyl-Fiberglass:Double"/>
    <x v="6"/>
    <x v="0"/>
    <n v="2"/>
    <x v="11"/>
  </r>
  <r>
    <x v="624"/>
    <n v="20109"/>
    <s v="Secondary"/>
    <n v="4"/>
    <s v="no"/>
    <s v="Wood-Vinyl-Fiberglass:Single"/>
    <x v="7"/>
    <x v="2"/>
    <n v="2"/>
    <x v="15"/>
  </r>
  <r>
    <x v="627"/>
    <n v="20125"/>
    <s v="Secondary"/>
    <n v="28"/>
    <s v="no"/>
    <s v="Metal:Single"/>
    <x v="8"/>
    <x v="3"/>
    <n v="2"/>
    <x v="11"/>
  </r>
  <r>
    <x v="628"/>
    <n v="20152"/>
    <s v="Secondary"/>
    <n v="20"/>
    <s v="no"/>
    <s v="Metal:Single"/>
    <x v="8"/>
    <x v="3"/>
    <n v="2"/>
    <x v="11"/>
  </r>
  <r>
    <x v="637"/>
    <n v="20184"/>
    <s v="Secondary"/>
    <n v="28"/>
    <s v="no"/>
    <s v="Wood-Vinyl-Fiberglass:Single"/>
    <x v="7"/>
    <x v="2"/>
    <n v="2"/>
    <x v="15"/>
  </r>
  <r>
    <x v="639"/>
    <n v="20188"/>
    <s v="Secondary"/>
    <n v="130"/>
    <s v="no"/>
    <s v="Metal:Double:low-e"/>
    <x v="2"/>
    <x v="1"/>
    <n v="2"/>
    <x v="15"/>
  </r>
  <r>
    <x v="651"/>
    <n v="20287"/>
    <s v="Secondary"/>
    <n v="5"/>
    <s v="yes"/>
    <s v="Wood-Vinyl-Fiberglass:Double:low-e"/>
    <x v="4"/>
    <x v="0"/>
    <n v="2"/>
    <x v="8"/>
  </r>
  <r>
    <x v="656"/>
    <n v="20303"/>
    <s v="Secondary"/>
    <n v="89"/>
    <s v="no"/>
    <s v="Wood-Vinyl-Fiberglass:Single"/>
    <x v="7"/>
    <x v="2"/>
    <n v="2"/>
    <x v="13"/>
  </r>
  <r>
    <x v="660"/>
    <n v="20325"/>
    <s v="Secondary"/>
    <n v="130"/>
    <s v="no"/>
    <s v="Wood-Vinyl-Fiberglass:Double"/>
    <x v="6"/>
    <x v="0"/>
    <n v="2"/>
    <x v="17"/>
  </r>
  <r>
    <x v="662"/>
    <n v="20340"/>
    <s v="Secondary"/>
    <n v="39"/>
    <s v="no"/>
    <s v="Wood-Vinyl-Fiberglass:Triple:low-e"/>
    <x v="11"/>
    <x v="4"/>
    <n v="2"/>
    <x v="15"/>
  </r>
  <r>
    <x v="668"/>
    <n v="20371"/>
    <s v="Secondary"/>
    <n v="34"/>
    <s v="no"/>
    <s v="Metal:Double"/>
    <x v="5"/>
    <x v="1"/>
    <n v="2"/>
    <x v="17"/>
  </r>
  <r>
    <x v="669"/>
    <n v="20374"/>
    <s v="Secondary"/>
    <n v="2"/>
    <s v="no"/>
    <s v="Wood-Vinyl-Fiberglass:Single"/>
    <x v="7"/>
    <x v="2"/>
    <n v="2"/>
    <x v="7"/>
  </r>
  <r>
    <x v="671"/>
    <n v="20384"/>
    <s v="Secondary"/>
    <n v="28"/>
    <s v="yes"/>
    <s v="Metal:Single"/>
    <x v="5"/>
    <x v="3"/>
    <n v="2"/>
    <x v="13"/>
  </r>
  <r>
    <x v="674"/>
    <n v="20395"/>
    <s v="Secondary"/>
    <n v="77"/>
    <s v="no"/>
    <s v="Wood-Vinyl-Fiberglass:Single"/>
    <x v="7"/>
    <x v="2"/>
    <n v="2"/>
    <x v="7"/>
  </r>
  <r>
    <x v="676"/>
    <n v="20411"/>
    <s v="Secondary"/>
    <n v="33"/>
    <s v="no"/>
    <s v="Wood-Vinyl-Fiberglass:Double:low-e"/>
    <x v="0"/>
    <x v="0"/>
    <n v="2"/>
    <x v="11"/>
  </r>
  <r>
    <x v="681"/>
    <n v="20440"/>
    <s v="Secondary"/>
    <n v="16"/>
    <s v="no"/>
    <s v="Wood-Vinyl-Fiberglass:Double:low-e"/>
    <x v="1"/>
    <x v="0"/>
    <n v="2"/>
    <x v="17"/>
  </r>
  <r>
    <x v="682"/>
    <n v="20445"/>
    <s v="Secondary"/>
    <n v="32"/>
    <s v="no"/>
    <s v="Wood-Vinyl-Fiberglass:Double:low-e"/>
    <x v="0"/>
    <x v="0"/>
    <n v="2"/>
    <x v="12"/>
  </r>
  <r>
    <x v="689"/>
    <n v="20472"/>
    <s v="Secondary"/>
    <n v="160"/>
    <s v="yes"/>
    <s v="Wood-Vinyl-Fiberglass:Single"/>
    <x v="2"/>
    <x v="2"/>
    <n v="2"/>
    <x v="15"/>
  </r>
  <r>
    <x v="697"/>
    <n v="20553"/>
    <s v="Secondary"/>
    <n v="17"/>
    <s v="no"/>
    <s v="Metal:Single"/>
    <x v="8"/>
    <x v="3"/>
    <n v="2"/>
    <x v="11"/>
  </r>
  <r>
    <x v="714"/>
    <n v="20646"/>
    <s v="Secondary"/>
    <n v="15"/>
    <s v="no"/>
    <s v="Wood-Vinyl-Fiberglass:Double"/>
    <x v="0"/>
    <x v="0"/>
    <n v="2"/>
    <x v="10"/>
  </r>
  <r>
    <x v="719"/>
    <n v="20702"/>
    <s v="Secondary"/>
    <n v="32"/>
    <s v="no"/>
    <s v="Metal:Single"/>
    <x v="8"/>
    <x v="3"/>
    <n v="2"/>
    <x v="13"/>
  </r>
  <r>
    <x v="720"/>
    <n v="20707"/>
    <s v="Secondary"/>
    <n v="76"/>
    <s v="no"/>
    <s v="Wood-Vinyl-Fiberglass:Double:low-e"/>
    <x v="0"/>
    <x v="0"/>
    <n v="2"/>
    <x v="11"/>
  </r>
  <r>
    <x v="722"/>
    <n v="20716"/>
    <s v="Secondary"/>
    <n v="75"/>
    <s v="no"/>
    <s v="Wood-Vinyl-Fiberglass:Double"/>
    <x v="0"/>
    <x v="0"/>
    <n v="2"/>
    <x v="12"/>
  </r>
  <r>
    <x v="730"/>
    <n v="20778"/>
    <s v="Secondary"/>
    <n v="108"/>
    <s v="no"/>
    <s v="Wood-Vinyl-Fiberglass:Single"/>
    <x v="7"/>
    <x v="2"/>
    <n v="2"/>
    <x v="12"/>
  </r>
  <r>
    <x v="731"/>
    <n v="20779"/>
    <s v="Secondary"/>
    <n v="80"/>
    <s v="no"/>
    <s v="Metal:Double"/>
    <x v="5"/>
    <x v="1"/>
    <n v="2"/>
    <x v="8"/>
  </r>
  <r>
    <x v="732"/>
    <n v="20783"/>
    <s v="Secondary"/>
    <n v="80"/>
    <s v="yes"/>
    <s v="Wood-Vinyl-Fiberglass:Single"/>
    <x v="2"/>
    <x v="2"/>
    <n v="2"/>
    <x v="12"/>
  </r>
  <r>
    <x v="742"/>
    <n v="20853"/>
    <s v="Secondary"/>
    <n v="60"/>
    <s v="no"/>
    <s v="Wood-Vinyl-Fiberglass:Double:low-e"/>
    <x v="1"/>
    <x v="0"/>
    <n v="2"/>
    <x v="15"/>
  </r>
  <r>
    <x v="744"/>
    <n v="20861"/>
    <s v="Secondary"/>
    <n v="151"/>
    <s v="yes"/>
    <s v="Wood-Vinyl-Fiberglass:Single"/>
    <x v="2"/>
    <x v="2"/>
    <n v="2"/>
    <x v="13"/>
  </r>
  <r>
    <x v="747"/>
    <n v="20894"/>
    <s v="Secondary"/>
    <n v="100"/>
    <s v="yes"/>
    <s v="Wood-Vinyl-Fiberglass:Single"/>
    <x v="2"/>
    <x v="2"/>
    <n v="2"/>
    <x v="8"/>
  </r>
  <r>
    <x v="752"/>
    <n v="20930"/>
    <s v="Secondary"/>
    <n v="100"/>
    <s v="no"/>
    <s v="Wood-Vinyl-Fiberglass:Double"/>
    <x v="6"/>
    <x v="0"/>
    <n v="2"/>
    <x v="10"/>
  </r>
  <r>
    <x v="754"/>
    <n v="20941"/>
    <s v="Secondary"/>
    <n v="83"/>
    <s v="yes"/>
    <s v="Wood-Vinyl-Fiberglass:Single"/>
    <x v="2"/>
    <x v="2"/>
    <n v="2"/>
    <x v="11"/>
  </r>
  <r>
    <x v="757"/>
    <n v="20965"/>
    <s v="Secondary"/>
    <n v="71"/>
    <s v="no"/>
    <s v="Metal:Single"/>
    <x v="8"/>
    <x v="3"/>
    <n v="2"/>
    <x v="11"/>
  </r>
  <r>
    <x v="762"/>
    <n v="20995"/>
    <s v="Secondary"/>
    <n v="36"/>
    <s v="no"/>
    <s v="Metal:Double"/>
    <x v="5"/>
    <x v="1"/>
    <n v="2"/>
    <x v="13"/>
  </r>
  <r>
    <x v="767"/>
    <n v="21012"/>
    <s v="Secondary"/>
    <n v="6"/>
    <s v="no"/>
    <s v="Wood-Vinyl-Fiberglass:Double"/>
    <x v="0"/>
    <x v="0"/>
    <n v="2"/>
    <x v="11"/>
  </r>
  <r>
    <x v="769"/>
    <n v="21018"/>
    <s v="Secondary"/>
    <n v="46"/>
    <s v="no"/>
    <s v="Wood-Vinyl-Fiberglass:Double"/>
    <x v="6"/>
    <x v="0"/>
    <n v="2"/>
    <x v="13"/>
  </r>
  <r>
    <x v="779"/>
    <n v="21103"/>
    <s v="Secondary"/>
    <n v="41"/>
    <s v="no"/>
    <s v="Wood-Vinyl-Fiberglass:Single"/>
    <x v="7"/>
    <x v="2"/>
    <n v="2"/>
    <x v="8"/>
  </r>
  <r>
    <x v="780"/>
    <n v="21107"/>
    <s v="Secondary"/>
    <n v="57"/>
    <s v="no"/>
    <s v="Wood-Vinyl-Fiberglass:Double"/>
    <x v="0"/>
    <x v="0"/>
    <n v="2"/>
    <x v="12"/>
  </r>
  <r>
    <x v="781"/>
    <n v="21109"/>
    <s v="Secondary"/>
    <n v="16"/>
    <s v="no"/>
    <s v="Wood-Vinyl-Fiberglass:Double"/>
    <x v="6"/>
    <x v="0"/>
    <n v="2"/>
    <x v="17"/>
  </r>
  <r>
    <x v="785"/>
    <n v="21137"/>
    <s v="Secondary"/>
    <n v="22"/>
    <s v="no"/>
    <s v="Wood-Vinyl-Fiberglass:Double"/>
    <x v="6"/>
    <x v="0"/>
    <n v="2"/>
    <x v="13"/>
  </r>
  <r>
    <x v="787"/>
    <n v="21155"/>
    <s v="Secondary"/>
    <n v="36"/>
    <s v="no"/>
    <s v="Metal:Single"/>
    <x v="8"/>
    <x v="3"/>
    <n v="2"/>
    <x v="18"/>
  </r>
  <r>
    <x v="793"/>
    <n v="21203"/>
    <s v="Secondary"/>
    <n v="7"/>
    <s v="no"/>
    <s v="Metal:Double"/>
    <x v="5"/>
    <x v="1"/>
    <n v="2"/>
    <x v="8"/>
  </r>
  <r>
    <x v="794"/>
    <n v="21214"/>
    <s v="Secondary"/>
    <n v="54"/>
    <s v="no"/>
    <s v="Wood-Vinyl-Fiberglass:Double:low-e"/>
    <x v="1"/>
    <x v="0"/>
    <n v="2"/>
    <x v="12"/>
  </r>
  <r>
    <x v="799"/>
    <n v="21231"/>
    <s v="Secondary"/>
    <n v="170"/>
    <s v="no"/>
    <s v="Wood-Vinyl-Fiberglass:Double:low-e"/>
    <x v="1"/>
    <x v="0"/>
    <n v="2"/>
    <x v="15"/>
  </r>
  <r>
    <x v="801"/>
    <n v="21238"/>
    <s v="Secondary"/>
    <n v="24"/>
    <s v="no"/>
    <s v="Wood-Vinyl-Fiberglass:Double"/>
    <x v="0"/>
    <x v="0"/>
    <n v="2"/>
    <x v="13"/>
  </r>
  <r>
    <x v="802"/>
    <n v="21242"/>
    <s v="Secondary"/>
    <n v="48"/>
    <s v="no"/>
    <s v="Wood-Vinyl-Fiberglass:Double:low-e"/>
    <x v="1"/>
    <x v="0"/>
    <n v="2"/>
    <x v="17"/>
  </r>
  <r>
    <x v="804"/>
    <n v="21258"/>
    <s v="Secondary"/>
    <n v="146"/>
    <s v="no"/>
    <s v="Metal:Double:low-e"/>
    <x v="2"/>
    <x v="1"/>
    <n v="2"/>
    <x v="15"/>
  </r>
  <r>
    <x v="808"/>
    <n v="21277"/>
    <s v="Secondary"/>
    <n v="64"/>
    <s v="no"/>
    <s v="Wood-Vinyl-Fiberglass:Double:low-e"/>
    <x v="0"/>
    <x v="0"/>
    <n v="2"/>
    <x v="15"/>
  </r>
  <r>
    <x v="815"/>
    <n v="21305"/>
    <s v="Secondary"/>
    <n v="62"/>
    <s v="yes"/>
    <s v="Wood-Vinyl-Fiberglass:Single"/>
    <x v="2"/>
    <x v="2"/>
    <n v="2"/>
    <x v="15"/>
  </r>
  <r>
    <x v="816"/>
    <n v="21316"/>
    <s v="Secondary"/>
    <n v="42"/>
    <s v="no"/>
    <s v="Wood-Vinyl-Fiberglass:Double"/>
    <x v="0"/>
    <x v="0"/>
    <n v="2"/>
    <x v="11"/>
  </r>
  <r>
    <x v="824"/>
    <n v="21353"/>
    <s v="Secondary"/>
    <n v="4"/>
    <s v="no"/>
    <s v="Metal:Single"/>
    <x v="8"/>
    <x v="3"/>
    <n v="2"/>
    <x v="18"/>
  </r>
  <r>
    <x v="836"/>
    <n v="21403"/>
    <s v="Secondary"/>
    <n v="7"/>
    <s v="no"/>
    <s v="Metal:Single"/>
    <x v="8"/>
    <x v="3"/>
    <n v="2"/>
    <x v="9"/>
  </r>
  <r>
    <x v="838"/>
    <n v="21408"/>
    <s v="Secondary"/>
    <n v="8"/>
    <s v="no"/>
    <s v="Wood-Vinyl-Fiberglass:Single"/>
    <x v="7"/>
    <x v="2"/>
    <n v="2"/>
    <x v="11"/>
  </r>
  <r>
    <x v="839"/>
    <n v="21411"/>
    <s v="Secondary"/>
    <n v="24"/>
    <s v="no"/>
    <s v="Wood-Vinyl-Fiberglass:Double:low-e"/>
    <x v="0"/>
    <x v="0"/>
    <n v="2"/>
    <x v="13"/>
  </r>
  <r>
    <x v="845"/>
    <n v="21436"/>
    <s v="Secondary"/>
    <n v="40"/>
    <s v="no"/>
    <s v="Wood-Vinyl-Fiberglass:Double:low-e"/>
    <x v="0"/>
    <x v="0"/>
    <n v="2"/>
    <x v="11"/>
  </r>
  <r>
    <x v="847"/>
    <n v="21438"/>
    <s v="Secondary"/>
    <n v="215"/>
    <s v="no"/>
    <s v="Wood-Vinyl-Fiberglass:Double:low-e"/>
    <x v="0"/>
    <x v="0"/>
    <n v="2"/>
    <x v="15"/>
  </r>
  <r>
    <x v="850"/>
    <n v="21459"/>
    <s v="Secondary"/>
    <n v="18"/>
    <s v="no"/>
    <s v="Wood-Vinyl-Fiberglass:Double:low-e"/>
    <x v="1"/>
    <x v="0"/>
    <n v="2"/>
    <x v="12"/>
  </r>
  <r>
    <x v="851"/>
    <n v="21460"/>
    <s v="Secondary"/>
    <n v="12"/>
    <s v="no"/>
    <s v="Wood-Vinyl-Fiberglass:Single"/>
    <x v="7"/>
    <x v="2"/>
    <n v="2"/>
    <x v="11"/>
  </r>
  <r>
    <x v="857"/>
    <n v="21484"/>
    <s v="Secondary"/>
    <n v="140"/>
    <s v="no"/>
    <s v="Wood-Vinyl-Fiberglass:Double:low-e"/>
    <x v="1"/>
    <x v="0"/>
    <n v="2"/>
    <x v="11"/>
  </r>
  <r>
    <x v="859"/>
    <n v="21487"/>
    <s v="Secondary"/>
    <n v="51"/>
    <s v="no"/>
    <s v="Wood-Vinyl-Fiberglass:Double:low-e"/>
    <x v="1"/>
    <x v="0"/>
    <n v="2"/>
    <x v="7"/>
  </r>
  <r>
    <x v="860"/>
    <n v="21494"/>
    <s v="Secondary"/>
    <n v="40"/>
    <s v="no"/>
    <s v="Wood-Vinyl-Fiberglass:Double"/>
    <x v="0"/>
    <x v="0"/>
    <n v="2"/>
    <x v="13"/>
  </r>
  <r>
    <x v="863"/>
    <n v="21503"/>
    <s v="Secondary"/>
    <n v="164"/>
    <s v="yes"/>
    <s v="Metal:Single"/>
    <x v="5"/>
    <x v="3"/>
    <n v="2"/>
    <x v="8"/>
  </r>
  <r>
    <x v="880"/>
    <n v="21647"/>
    <s v="Secondary"/>
    <n v="75"/>
    <s v="no"/>
    <s v="Wood-Vinyl-Fiberglass:Double:low-e"/>
    <x v="0"/>
    <x v="0"/>
    <n v="2"/>
    <x v="15"/>
  </r>
  <r>
    <x v="883"/>
    <n v="21672"/>
    <s v="Secondary"/>
    <n v="14"/>
    <s v="no"/>
    <s v="Wood-Vinyl-Fiberglass:Single"/>
    <x v="7"/>
    <x v="2"/>
    <n v="2"/>
    <x v="12"/>
  </r>
  <r>
    <x v="888"/>
    <n v="21692"/>
    <s v="Secondary"/>
    <n v="40"/>
    <s v="no"/>
    <s v="Metal:Single"/>
    <x v="8"/>
    <x v="3"/>
    <n v="2"/>
    <x v="16"/>
  </r>
  <r>
    <x v="889"/>
    <n v="21700"/>
    <s v="Secondary"/>
    <n v="16"/>
    <s v="no"/>
    <s v="Metal:Single"/>
    <x v="8"/>
    <x v="3"/>
    <n v="2"/>
    <x v="7"/>
  </r>
  <r>
    <x v="895"/>
    <n v="21719"/>
    <s v="Secondary"/>
    <n v="32"/>
    <s v="no"/>
    <s v="Wood-Vinyl-Fiberglass:Double:low-e"/>
    <x v="1"/>
    <x v="0"/>
    <n v="2"/>
    <x v="13"/>
  </r>
  <r>
    <x v="897"/>
    <n v="21722"/>
    <s v="Secondary"/>
    <n v="104"/>
    <s v="no"/>
    <s v="Wood-Vinyl-Fiberglass:Double"/>
    <x v="0"/>
    <x v="0"/>
    <n v="2"/>
    <x v="13"/>
  </r>
  <r>
    <x v="899"/>
    <n v="21741"/>
    <s v="Secondary"/>
    <n v="11"/>
    <s v="no"/>
    <s v="Wood-Vinyl-Fiberglass:Single"/>
    <x v="7"/>
    <x v="2"/>
    <n v="2"/>
    <x v="14"/>
  </r>
  <r>
    <x v="911"/>
    <n v="21816"/>
    <s v="Secondary"/>
    <n v="4"/>
    <s v="no"/>
    <s v="Metal:Single"/>
    <x v="8"/>
    <x v="3"/>
    <n v="2"/>
    <x v="18"/>
  </r>
  <r>
    <x v="917"/>
    <n v="21877"/>
    <s v="Secondary"/>
    <n v="50"/>
    <s v="no"/>
    <s v="Metal:Double"/>
    <x v="5"/>
    <x v="1"/>
    <n v="2"/>
    <x v="10"/>
  </r>
  <r>
    <x v="918"/>
    <n v="21881"/>
    <s v="Secondary"/>
    <n v="78"/>
    <s v="no"/>
    <s v="Wood-Vinyl-Fiberglass:Double:low-e"/>
    <x v="0"/>
    <x v="0"/>
    <n v="2"/>
    <x v="18"/>
  </r>
  <r>
    <x v="921"/>
    <n v="21889"/>
    <s v="Secondary"/>
    <n v="181"/>
    <s v="no"/>
    <s v="Wood-Vinyl-Fiberglass:Single"/>
    <x v="7"/>
    <x v="2"/>
    <n v="2"/>
    <x v="17"/>
  </r>
  <r>
    <x v="932"/>
    <n v="21951"/>
    <s v="Secondary"/>
    <n v="47"/>
    <s v="no"/>
    <s v="Metal:Double"/>
    <x v="5"/>
    <x v="1"/>
    <n v="2"/>
    <x v="18"/>
  </r>
  <r>
    <x v="933"/>
    <n v="21961"/>
    <s v="Secondary"/>
    <n v="107"/>
    <s v="no"/>
    <s v="Wood-Vinyl-Fiberglass:Single"/>
    <x v="7"/>
    <x v="2"/>
    <n v="2"/>
    <x v="8"/>
  </r>
  <r>
    <x v="936"/>
    <n v="21977"/>
    <s v="Secondary"/>
    <n v="88"/>
    <s v="no"/>
    <s v="Metal:Single"/>
    <x v="8"/>
    <x v="3"/>
    <n v="2"/>
    <x v="16"/>
  </r>
  <r>
    <x v="943"/>
    <n v="22015"/>
    <s v="Secondary"/>
    <n v="56"/>
    <s v="no"/>
    <s v="Wood-Vinyl-Fiberglass:Double"/>
    <x v="6"/>
    <x v="0"/>
    <n v="2"/>
    <x v="13"/>
  </r>
  <r>
    <x v="945"/>
    <n v="22021"/>
    <s v="Secondary"/>
    <n v="30"/>
    <s v="no"/>
    <s v="Wood-Vinyl-Fiberglass:Single"/>
    <x v="7"/>
    <x v="2"/>
    <n v="2"/>
    <x v="18"/>
  </r>
  <r>
    <x v="949"/>
    <n v="22041"/>
    <s v="Secondary"/>
    <n v="51"/>
    <s v="no"/>
    <s v="Wood-Vinyl-Fiberglass:Double"/>
    <x v="6"/>
    <x v="0"/>
    <n v="2"/>
    <x v="13"/>
  </r>
  <r>
    <x v="953"/>
    <n v="22059"/>
    <s v="Secondary"/>
    <n v="34"/>
    <s v="no"/>
    <s v="Wood-Vinyl-Fiberglass:Double:low-e"/>
    <x v="1"/>
    <x v="0"/>
    <n v="2"/>
    <x v="10"/>
  </r>
  <r>
    <x v="954"/>
    <n v="22061"/>
    <s v="Secondary"/>
    <n v="56"/>
    <s v="no"/>
    <s v="Metal:Double"/>
    <x v="5"/>
    <x v="1"/>
    <n v="2"/>
    <x v="10"/>
  </r>
  <r>
    <x v="957"/>
    <n v="22086"/>
    <s v="Secondary"/>
    <n v="3"/>
    <s v="no"/>
    <s v="Wood-Vinyl-Fiberglass:Single"/>
    <x v="7"/>
    <x v="2"/>
    <n v="2"/>
    <x v="11"/>
  </r>
  <r>
    <x v="961"/>
    <n v="22108"/>
    <s v="Secondary"/>
    <n v="49"/>
    <s v="no"/>
    <s v="Metal:Single"/>
    <x v="8"/>
    <x v="3"/>
    <n v="2"/>
    <x v="15"/>
  </r>
  <r>
    <x v="964"/>
    <n v="22124"/>
    <s v="Secondary"/>
    <n v="76"/>
    <s v="no"/>
    <s v="Wood-Vinyl-Fiberglass:Double"/>
    <x v="0"/>
    <x v="0"/>
    <n v="2"/>
    <x v="14"/>
  </r>
  <r>
    <x v="973"/>
    <n v="22172"/>
    <s v="Secondary"/>
    <n v="17"/>
    <s v="no"/>
    <s v="Metal:Double"/>
    <x v="5"/>
    <x v="1"/>
    <n v="2"/>
    <x v="10"/>
  </r>
  <r>
    <x v="976"/>
    <n v="22177"/>
    <s v="Secondary"/>
    <n v="33"/>
    <s v="no"/>
    <s v="Wood-Vinyl-Fiberglass:Double"/>
    <x v="6"/>
    <x v="0"/>
    <n v="2"/>
    <x v="15"/>
  </r>
  <r>
    <x v="979"/>
    <n v="22181"/>
    <s v="Secondary"/>
    <n v="82"/>
    <s v="no"/>
    <s v="Wood-Vinyl-Fiberglass:Double:low-e"/>
    <x v="1"/>
    <x v="0"/>
    <n v="2"/>
    <x v="18"/>
  </r>
  <r>
    <x v="997"/>
    <n v="22246"/>
    <s v="Secondary"/>
    <n v="141"/>
    <s v="no"/>
    <s v="Metal:Double"/>
    <x v="10"/>
    <x v="1"/>
    <n v="2"/>
    <x v="17"/>
  </r>
  <r>
    <x v="998"/>
    <n v="22250"/>
    <s v="Secondary"/>
    <n v="51"/>
    <s v="no"/>
    <s v="Wood-Vinyl-Fiberglass:Double:low-e"/>
    <x v="1"/>
    <x v="0"/>
    <n v="2"/>
    <x v="10"/>
  </r>
  <r>
    <x v="1005"/>
    <n v="22293"/>
    <s v="Secondary"/>
    <n v="53"/>
    <s v="no"/>
    <s v="Metal:Double"/>
    <x v="5"/>
    <x v="1"/>
    <n v="2"/>
    <x v="17"/>
  </r>
  <r>
    <x v="1006"/>
    <n v="22295"/>
    <s v="Secondary"/>
    <n v="20"/>
    <s v="yes"/>
    <s v="Wood-Vinyl-Fiberglass:Single"/>
    <x v="2"/>
    <x v="2"/>
    <n v="2"/>
    <x v="17"/>
  </r>
  <r>
    <x v="1008"/>
    <n v="22306"/>
    <s v="Secondary"/>
    <n v="121"/>
    <s v="no"/>
    <s v="Wood-Vinyl-Fiberglass:Double"/>
    <x v="6"/>
    <x v="0"/>
    <n v="2"/>
    <x v="13"/>
  </r>
  <r>
    <x v="1010"/>
    <n v="22319"/>
    <s v="Secondary"/>
    <n v="23"/>
    <s v="yes"/>
    <s v="Metal:Single"/>
    <x v="5"/>
    <x v="3"/>
    <n v="2"/>
    <x v="11"/>
  </r>
  <r>
    <x v="1012"/>
    <n v="22333"/>
    <s v="Secondary"/>
    <n v="72"/>
    <s v="no"/>
    <s v="Wood-Vinyl-Fiberglass:Single:low-e"/>
    <x v="12"/>
    <x v="2"/>
    <n v="2"/>
    <x v="12"/>
  </r>
  <r>
    <x v="1015"/>
    <n v="22375"/>
    <s v="Secondary"/>
    <n v="25"/>
    <s v="no"/>
    <s v="Wood-Vinyl-Fiberglass:Single:low-e"/>
    <x v="12"/>
    <x v="2"/>
    <n v="2"/>
    <x v="15"/>
  </r>
  <r>
    <x v="1024"/>
    <n v="22458"/>
    <s v="Secondary"/>
    <n v="75"/>
    <s v="no"/>
    <s v="Wood-Vinyl-Fiberglass:Double"/>
    <x v="6"/>
    <x v="0"/>
    <n v="2"/>
    <x v="11"/>
  </r>
  <r>
    <x v="1028"/>
    <n v="22479"/>
    <s v="Secondary"/>
    <n v="334"/>
    <s v="no"/>
    <s v="Wood-Vinyl-Fiberglass:Double:low-e"/>
    <x v="1"/>
    <x v="0"/>
    <n v="2"/>
    <x v="10"/>
  </r>
  <r>
    <x v="1029"/>
    <n v="22493"/>
    <s v="Secondary"/>
    <n v="358"/>
    <s v="no"/>
    <s v="Wood-Vinyl-Fiberglass:Double:low-e"/>
    <x v="0"/>
    <x v="0"/>
    <n v="2"/>
    <x v="17"/>
  </r>
  <r>
    <x v="1030"/>
    <n v="22509"/>
    <s v="Secondary"/>
    <n v="45"/>
    <s v="no"/>
    <s v="Wood-Vinyl-Fiberglass:Single"/>
    <x v="7"/>
    <x v="2"/>
    <n v="2"/>
    <x v="8"/>
  </r>
  <r>
    <x v="1035"/>
    <n v="22530"/>
    <s v="Secondary"/>
    <n v="75"/>
    <s v="no"/>
    <s v="Wood-Vinyl-Fiberglass:Double:low-e"/>
    <x v="0"/>
    <x v="0"/>
    <n v="2"/>
    <x v="15"/>
  </r>
  <r>
    <x v="1044"/>
    <n v="22577"/>
    <s v="Secondary"/>
    <n v="3"/>
    <s v="yes"/>
    <s v="Metal:Single"/>
    <x v="5"/>
    <x v="3"/>
    <n v="2"/>
    <x v="17"/>
  </r>
  <r>
    <x v="1047"/>
    <n v="22590"/>
    <s v="Secondary"/>
    <n v="24"/>
    <s v="no"/>
    <s v="Wood-Vinyl-Fiberglass:Double:low-e"/>
    <x v="0"/>
    <x v="0"/>
    <n v="2"/>
    <x v="18"/>
  </r>
  <r>
    <x v="1060"/>
    <n v="22649"/>
    <s v="Secondary"/>
    <n v="124"/>
    <s v="no"/>
    <s v="Wood-Vinyl-Fiberglass:Double:low-e"/>
    <x v="1"/>
    <x v="0"/>
    <n v="2"/>
    <x v="17"/>
  </r>
  <r>
    <x v="1068"/>
    <n v="22688"/>
    <s v="Secondary"/>
    <n v="159"/>
    <s v="no"/>
    <s v="Metal:Double:low-e"/>
    <x v="2"/>
    <x v="1"/>
    <n v="2"/>
    <x v="17"/>
  </r>
  <r>
    <x v="1069"/>
    <n v="22693"/>
    <s v="Secondary"/>
    <n v="15"/>
    <s v="no"/>
    <s v="Wood-Vinyl-Fiberglass:Double"/>
    <x v="0"/>
    <x v="0"/>
    <n v="2"/>
    <x v="9"/>
  </r>
  <r>
    <x v="1071"/>
    <n v="22699"/>
    <s v="Secondary"/>
    <n v="15"/>
    <s v="no"/>
    <s v="Metal:Double"/>
    <x v="5"/>
    <x v="1"/>
    <n v="2"/>
    <x v="15"/>
  </r>
  <r>
    <x v="1075"/>
    <n v="22705"/>
    <s v="Secondary"/>
    <n v="92"/>
    <s v="no"/>
    <s v="Metal:Double"/>
    <x v="5"/>
    <x v="1"/>
    <n v="2"/>
    <x v="12"/>
  </r>
  <r>
    <x v="1082"/>
    <n v="22751"/>
    <s v="Secondary"/>
    <n v="20"/>
    <s v="no"/>
    <s v="Wood-Vinyl-Fiberglass:Single"/>
    <x v="7"/>
    <x v="2"/>
    <n v="2"/>
    <x v="17"/>
  </r>
  <r>
    <x v="1101"/>
    <n v="22902"/>
    <s v="Secondary"/>
    <n v="78"/>
    <s v="no"/>
    <s v="Wood-Vinyl-Fiberglass:Double:low-e"/>
    <x v="0"/>
    <x v="0"/>
    <n v="2"/>
    <x v="13"/>
  </r>
  <r>
    <x v="1106"/>
    <n v="22935"/>
    <s v="Secondary"/>
    <n v="96"/>
    <s v="no"/>
    <s v="Wood-Vinyl-Fiberglass:Double:low-e"/>
    <x v="0"/>
    <x v="0"/>
    <n v="2"/>
    <x v="18"/>
  </r>
  <r>
    <x v="1109"/>
    <n v="22950"/>
    <s v="Secondary"/>
    <n v="38"/>
    <s v="yes"/>
    <s v="Wood-Vinyl-Fiberglass:Single"/>
    <x v="2"/>
    <x v="2"/>
    <n v="2"/>
    <x v="13"/>
  </r>
  <r>
    <x v="1110"/>
    <n v="22953"/>
    <s v="Secondary"/>
    <n v="40"/>
    <s v="no"/>
    <s v="Wood-Vinyl-Fiberglass:Double"/>
    <x v="0"/>
    <x v="0"/>
    <n v="2"/>
    <x v="12"/>
  </r>
  <r>
    <x v="1113"/>
    <n v="22960"/>
    <s v="Secondary"/>
    <n v="34"/>
    <s v="no"/>
    <s v="Wood-Vinyl-Fiberglass:Double:low-e"/>
    <x v="0"/>
    <x v="0"/>
    <n v="2"/>
    <x v="13"/>
  </r>
  <r>
    <x v="1121"/>
    <n v="22994"/>
    <s v="Secondary"/>
    <n v="184"/>
    <s v="no"/>
    <s v="Wood-Vinyl-Fiberglass:Double:low-e"/>
    <x v="0"/>
    <x v="0"/>
    <n v="2"/>
    <x v="15"/>
  </r>
  <r>
    <x v="1124"/>
    <n v="23021"/>
    <s v="Secondary"/>
    <n v="83"/>
    <s v="no"/>
    <s v="Wood-Vinyl-Fiberglass:Double"/>
    <x v="6"/>
    <x v="0"/>
    <n v="2"/>
    <x v="12"/>
  </r>
  <r>
    <x v="1126"/>
    <n v="23029"/>
    <s v="Secondary"/>
    <n v="33"/>
    <s v="no"/>
    <s v="Metal:Single"/>
    <x v="8"/>
    <x v="3"/>
    <n v="2"/>
    <x v="15"/>
  </r>
  <r>
    <x v="1128"/>
    <n v="23049"/>
    <s v="Secondary"/>
    <n v="153"/>
    <s v="no"/>
    <s v="Metal:Double:low-e"/>
    <x v="2"/>
    <x v="1"/>
    <n v="2"/>
    <x v="11"/>
  </r>
  <r>
    <x v="1129"/>
    <n v="23084"/>
    <s v="Secondary"/>
    <n v="181"/>
    <s v="no"/>
    <s v="Wood-Vinyl-Fiberglass:Double"/>
    <x v="0"/>
    <x v="0"/>
    <n v="2"/>
    <x v="8"/>
  </r>
  <r>
    <x v="1137"/>
    <n v="23138"/>
    <s v="Secondary"/>
    <n v="24"/>
    <s v="no"/>
    <s v="Metal:Double"/>
    <x v="5"/>
    <x v="1"/>
    <n v="2"/>
    <x v="10"/>
  </r>
  <r>
    <x v="1141"/>
    <n v="23178"/>
    <s v="Secondary"/>
    <n v="24"/>
    <s v="yes"/>
    <s v="Wood-Vinyl-Fiberglass:Double"/>
    <x v="3"/>
    <x v="0"/>
    <n v="2"/>
    <x v="11"/>
  </r>
  <r>
    <x v="1142"/>
    <n v="23183"/>
    <s v="Secondary"/>
    <n v="6"/>
    <s v="no"/>
    <s v="Wood-Vinyl-Fiberglass:Single"/>
    <x v="7"/>
    <x v="2"/>
    <n v="2"/>
    <x v="11"/>
  </r>
  <r>
    <x v="1144"/>
    <n v="23188"/>
    <s v="Secondary"/>
    <n v="26"/>
    <s v="no"/>
    <s v="Wood-Vinyl-Fiberglass:Single"/>
    <x v="7"/>
    <x v="2"/>
    <n v="2"/>
    <x v="8"/>
  </r>
  <r>
    <x v="1150"/>
    <n v="23235"/>
    <s v="Secondary"/>
    <n v="10"/>
    <s v="no"/>
    <s v="Wood-Vinyl-Fiberglass:Double:low-e"/>
    <x v="0"/>
    <x v="0"/>
    <n v="2"/>
    <x v="15"/>
  </r>
  <r>
    <x v="1167"/>
    <n v="23355"/>
    <s v="Secondary"/>
    <n v="50"/>
    <s v="no"/>
    <s v="Wood-Vinyl-Fiberglass:Double"/>
    <x v="0"/>
    <x v="0"/>
    <n v="2"/>
    <x v="18"/>
  </r>
  <r>
    <x v="1172"/>
    <n v="23380"/>
    <s v="Secondary"/>
    <n v="44"/>
    <s v="no"/>
    <s v="Metal:Double"/>
    <x v="5"/>
    <x v="1"/>
    <n v="2"/>
    <x v="11"/>
  </r>
  <r>
    <x v="1174"/>
    <n v="23384"/>
    <s v="Secondary"/>
    <n v="1"/>
    <s v="no"/>
    <s v="Wood-Vinyl-Fiberglass:Single"/>
    <x v="7"/>
    <x v="2"/>
    <n v="2"/>
    <x v="7"/>
  </r>
  <r>
    <x v="1183"/>
    <n v="23424"/>
    <s v="Secondary"/>
    <n v="80"/>
    <s v="no"/>
    <s v="Wood-Vinyl-Fiberglass:Double:low-e"/>
    <x v="0"/>
    <x v="0"/>
    <n v="2"/>
    <x v="11"/>
  </r>
  <r>
    <x v="1185"/>
    <n v="23428"/>
    <s v="Secondary"/>
    <n v="12"/>
    <s v="no"/>
    <s v="Metal:Double"/>
    <x v="5"/>
    <x v="1"/>
    <n v="2"/>
    <x v="9"/>
  </r>
  <r>
    <x v="1196"/>
    <n v="23501"/>
    <s v="Secondary"/>
    <n v="16"/>
    <s v="no"/>
    <s v="Wood-Vinyl-Fiberglass:Single"/>
    <x v="7"/>
    <x v="2"/>
    <n v="2"/>
    <x v="8"/>
  </r>
  <r>
    <x v="1203"/>
    <n v="23544"/>
    <s v="Secondary"/>
    <n v="203"/>
    <s v="yes"/>
    <s v="Wood-Vinyl-Fiberglass:Single"/>
    <x v="2"/>
    <x v="2"/>
    <n v="2"/>
    <x v="18"/>
  </r>
  <r>
    <x v="1210"/>
    <n v="23564"/>
    <s v="Secondary"/>
    <n v="45"/>
    <s v="no"/>
    <s v="Wood-Vinyl-Fiberglass:Double:low-e"/>
    <x v="1"/>
    <x v="0"/>
    <n v="2"/>
    <x v="13"/>
  </r>
  <r>
    <x v="1212"/>
    <n v="23581"/>
    <s v="Secondary"/>
    <n v="11"/>
    <s v="no"/>
    <s v="Metal:Double"/>
    <x v="5"/>
    <x v="1"/>
    <n v="2"/>
    <x v="15"/>
  </r>
  <r>
    <x v="1223"/>
    <n v="23645"/>
    <s v="Secondary"/>
    <n v="35"/>
    <s v="no"/>
    <s v="Wood-Vinyl-Fiberglass:Double:low-e"/>
    <x v="1"/>
    <x v="0"/>
    <n v="2"/>
    <x v="15"/>
  </r>
  <r>
    <x v="1230"/>
    <n v="23705"/>
    <s v="Secondary"/>
    <n v="36"/>
    <s v="no"/>
    <s v="Wood-Vinyl-Fiberglass:Double"/>
    <x v="6"/>
    <x v="0"/>
    <n v="2"/>
    <x v="15"/>
  </r>
  <r>
    <x v="1238"/>
    <n v="23744"/>
    <s v="Secondary"/>
    <n v="191"/>
    <s v="no"/>
    <s v="Wood-Vinyl-Fiberglass:Double:low-e"/>
    <x v="0"/>
    <x v="0"/>
    <n v="2"/>
    <x v="10"/>
  </r>
  <r>
    <x v="1243"/>
    <n v="23765"/>
    <s v="Secondary"/>
    <n v="30"/>
    <s v="no"/>
    <s v="Wood-Vinyl-Fiberglass:Single"/>
    <x v="7"/>
    <x v="2"/>
    <n v="2"/>
    <x v="12"/>
  </r>
  <r>
    <x v="1250"/>
    <n v="23840"/>
    <s v="Secondary"/>
    <n v="12"/>
    <s v="no"/>
    <s v="Wood-Vinyl-Fiberglass:Double:low-e"/>
    <x v="1"/>
    <x v="0"/>
    <n v="2"/>
    <x v="12"/>
  </r>
  <r>
    <x v="1254"/>
    <n v="23859"/>
    <s v="Secondary"/>
    <n v="12"/>
    <s v="no"/>
    <s v="Wood-Vinyl-Fiberglass:Single"/>
    <x v="7"/>
    <x v="2"/>
    <n v="2"/>
    <x v="13"/>
  </r>
  <r>
    <x v="1256"/>
    <n v="23870"/>
    <s v="Secondary"/>
    <n v="31"/>
    <s v="no"/>
    <s v="Wood-Vinyl-Fiberglass:Single"/>
    <x v="7"/>
    <x v="2"/>
    <n v="2"/>
    <x v="13"/>
  </r>
  <r>
    <x v="1262"/>
    <n v="23909"/>
    <s v="Secondary"/>
    <n v="235"/>
    <s v="no"/>
    <s v="Wood-Vinyl-Fiberglass:Single"/>
    <x v="7"/>
    <x v="2"/>
    <n v="2"/>
    <x v="18"/>
  </r>
  <r>
    <x v="1269"/>
    <n v="23933"/>
    <s v="Secondary"/>
    <n v="28"/>
    <s v="no"/>
    <s v="Metal:Single"/>
    <x v="8"/>
    <x v="3"/>
    <n v="2"/>
    <x v="11"/>
  </r>
  <r>
    <x v="1270"/>
    <n v="23936"/>
    <s v="Secondary"/>
    <n v="95"/>
    <s v="no"/>
    <s v="Metal:Double"/>
    <x v="5"/>
    <x v="1"/>
    <n v="2"/>
    <x v="11"/>
  </r>
  <r>
    <x v="1271"/>
    <n v="23939"/>
    <s v="Secondary"/>
    <n v="87"/>
    <s v="yes"/>
    <s v="Wood-Vinyl-Fiberglass:Single"/>
    <x v="2"/>
    <x v="2"/>
    <n v="2"/>
    <x v="13"/>
  </r>
  <r>
    <x v="1278"/>
    <n v="23972"/>
    <s v="Secondary"/>
    <n v="24"/>
    <s v="no"/>
    <s v="Wood-Vinyl-Fiberglass:Double"/>
    <x v="6"/>
    <x v="0"/>
    <n v="2"/>
    <x v="13"/>
  </r>
  <r>
    <x v="1279"/>
    <n v="23973"/>
    <s v="Secondary"/>
    <n v="52"/>
    <s v="no"/>
    <s v="Wood-Vinyl-Fiberglass:Double:low-e"/>
    <x v="1"/>
    <x v="0"/>
    <n v="2"/>
    <x v="18"/>
  </r>
  <r>
    <x v="1283"/>
    <n v="24016"/>
    <s v="Secondary"/>
    <n v="54"/>
    <s v="no"/>
    <s v="Wood-Vinyl-Fiberglass:Double:low-e"/>
    <x v="1"/>
    <x v="0"/>
    <n v="2"/>
    <x v="9"/>
  </r>
  <r>
    <x v="1290"/>
    <n v="24119"/>
    <s v="Secondary"/>
    <n v="15"/>
    <s v="no"/>
    <s v="Wood-Vinyl-Fiberglass:Double"/>
    <x v="0"/>
    <x v="0"/>
    <n v="2"/>
    <x v="8"/>
  </r>
  <r>
    <x v="1291"/>
    <n v="24120"/>
    <s v="Secondary"/>
    <n v="28"/>
    <s v="no"/>
    <s v="Wood-Vinyl-Fiberglass:Double"/>
    <x v="0"/>
    <x v="0"/>
    <n v="2"/>
    <x v="13"/>
  </r>
  <r>
    <x v="1298"/>
    <n v="24202"/>
    <s v="Secondary"/>
    <n v="67"/>
    <s v="no"/>
    <s v="Wood-Vinyl-Fiberglass:Double"/>
    <x v="6"/>
    <x v="0"/>
    <n v="2"/>
    <x v="18"/>
  </r>
  <r>
    <x v="1302"/>
    <n v="24209"/>
    <s v="Secondary"/>
    <n v="49"/>
    <s v="no"/>
    <s v="Wood-Vinyl-Fiberglass:Double"/>
    <x v="6"/>
    <x v="0"/>
    <n v="2"/>
    <x v="10"/>
  </r>
  <r>
    <x v="1305"/>
    <n v="24227"/>
    <s v="Secondary"/>
    <n v="8"/>
    <s v="no"/>
    <s v="Metal:Single"/>
    <x v="8"/>
    <x v="3"/>
    <n v="2"/>
    <x v="13"/>
  </r>
  <r>
    <x v="1313"/>
    <n v="24266"/>
    <s v="Secondary"/>
    <n v="9"/>
    <s v="no"/>
    <s v="Wood-Vinyl-Fiberglass:Single:low-e"/>
    <x v="12"/>
    <x v="2"/>
    <n v="2"/>
    <x v="7"/>
  </r>
  <r>
    <x v="1318"/>
    <n v="24312"/>
    <s v="Secondary"/>
    <n v="51"/>
    <s v="no"/>
    <s v="Metal:Double"/>
    <x v="5"/>
    <x v="1"/>
    <n v="2"/>
    <x v="8"/>
  </r>
  <r>
    <x v="1326"/>
    <n v="24363"/>
    <s v="Secondary"/>
    <n v="20"/>
    <s v="no"/>
    <s v="Wood-Vinyl-Fiberglass:Double"/>
    <x v="6"/>
    <x v="0"/>
    <n v="2"/>
    <x v="11"/>
  </r>
  <r>
    <x v="1330"/>
    <n v="24378"/>
    <s v="Secondary"/>
    <n v="8"/>
    <s v="no"/>
    <s v="Metal:Single"/>
    <x v="8"/>
    <x v="3"/>
    <n v="2"/>
    <x v="9"/>
  </r>
  <r>
    <x v="1331"/>
    <n v="24398"/>
    <s v="Secondary"/>
    <n v="142"/>
    <s v="no"/>
    <s v="Metal:Double"/>
    <x v="5"/>
    <x v="1"/>
    <n v="2"/>
    <x v="15"/>
  </r>
  <r>
    <x v="1336"/>
    <n v="24410"/>
    <s v="Secondary"/>
    <n v="194"/>
    <s v="no"/>
    <s v="Metal:Double:low-e"/>
    <x v="2"/>
    <x v="1"/>
    <n v="2"/>
    <x v="12"/>
  </r>
  <r>
    <x v="1350"/>
    <n v="24500"/>
    <s v="Secondary"/>
    <n v="37"/>
    <s v="no"/>
    <s v="Metal:Double"/>
    <x v="5"/>
    <x v="1"/>
    <n v="2"/>
    <x v="18"/>
  </r>
  <r>
    <x v="1353"/>
    <n v="24522"/>
    <s v="Secondary"/>
    <n v="31"/>
    <s v="no"/>
    <s v="Wood-Vinyl-Fiberglass:Single"/>
    <x v="7"/>
    <x v="2"/>
    <n v="2"/>
    <x v="8"/>
  </r>
  <r>
    <x v="1355"/>
    <n v="24533"/>
    <s v="Secondary"/>
    <n v="69"/>
    <s v="no"/>
    <s v="Wood-Vinyl-Fiberglass:Single"/>
    <x v="7"/>
    <x v="2"/>
    <n v="2"/>
    <x v="15"/>
  </r>
  <r>
    <x v="1360"/>
    <n v="24551"/>
    <s v="Secondary"/>
    <n v="65"/>
    <s v="no"/>
    <s v="Wood-Vinyl-Fiberglass:Double:low-e"/>
    <x v="1"/>
    <x v="0"/>
    <n v="2"/>
    <x v="13"/>
  </r>
  <r>
    <x v="1361"/>
    <n v="24553"/>
    <s v="Secondary"/>
    <n v="80"/>
    <s v="no"/>
    <s v="Metal:Double:low-e"/>
    <x v="2"/>
    <x v="1"/>
    <n v="2"/>
    <x v="17"/>
  </r>
  <r>
    <x v="1364"/>
    <n v="24572"/>
    <s v="Secondary"/>
    <n v="85"/>
    <s v="no"/>
    <s v="Metal:Single"/>
    <x v="8"/>
    <x v="3"/>
    <n v="2"/>
    <x v="14"/>
  </r>
  <r>
    <x v="1368"/>
    <n v="24622"/>
    <s v="Secondary"/>
    <n v="30"/>
    <s v="no"/>
    <s v="Wood-Vinyl-Fiberglass:Single"/>
    <x v="7"/>
    <x v="2"/>
    <n v="2"/>
    <x v="13"/>
  </r>
  <r>
    <x v="1378"/>
    <n v="24696"/>
    <s v="Secondary"/>
    <n v="6"/>
    <s v="no"/>
    <s v="Wood-Vinyl-Fiberglass:Double:low-e"/>
    <x v="0"/>
    <x v="0"/>
    <n v="2"/>
    <x v="8"/>
  </r>
  <r>
    <x v="1379"/>
    <n v="24699"/>
    <s v="Secondary"/>
    <n v="37"/>
    <s v="yes"/>
    <s v="Wood-Vinyl-Fiberglass:Single"/>
    <x v="2"/>
    <x v="2"/>
    <n v="2"/>
    <x v="12"/>
  </r>
  <r>
    <x v="1381"/>
    <n v="24713"/>
    <s v="Secondary"/>
    <n v="21"/>
    <s v="no"/>
    <s v="Metal:Single"/>
    <x v="8"/>
    <x v="3"/>
    <n v="2"/>
    <x v="17"/>
  </r>
  <r>
    <x v="1384"/>
    <n v="24765"/>
    <s v="Secondary"/>
    <n v="94"/>
    <s v="no"/>
    <s v="Wood-Vinyl-Fiberglass:Double:low-e"/>
    <x v="1"/>
    <x v="0"/>
    <n v="2"/>
    <x v="12"/>
  </r>
</pivotCacheRecords>
</file>

<file path=xl/pivotCache/pivotCacheRecords5.xml><?xml version="1.0" encoding="utf-8"?>
<pivotCacheRecords xmlns="http://schemas.openxmlformats.org/spreadsheetml/2006/main" xmlns:r="http://schemas.openxmlformats.org/officeDocument/2006/relationships" count="960">
  <r>
    <x v="0"/>
    <n v="0"/>
    <n v="0"/>
    <x v="0"/>
    <n v="1"/>
    <n v="0"/>
    <n v="26786"/>
    <n v="10176"/>
    <n v="1"/>
    <n v="1200"/>
    <s v="Post and beam"/>
    <x v="0"/>
    <x v="0"/>
    <s v=""/>
    <s v=""/>
    <s v=""/>
    <n v="0.23000000417232513"/>
    <n v="3.0999999046325684"/>
    <n v="1150.8789999999999"/>
  </r>
  <r>
    <x v="1"/>
    <n v="0.25"/>
    <n v="1"/>
    <x v="1"/>
    <n v="1"/>
    <n v="0"/>
    <n v="659440"/>
    <n v="13903"/>
    <n v="1"/>
    <n v="1314"/>
    <s v="Post and beam"/>
    <x v="1"/>
    <x v="0"/>
    <s v=""/>
    <s v=""/>
    <s v=""/>
    <n v="0.20999999344348907"/>
    <n v="4.5"/>
    <n v="6932.7380000000003"/>
  </r>
  <r>
    <x v="1"/>
    <n v="0.75"/>
    <n v="0"/>
    <x v="0"/>
    <n v="1"/>
    <n v="0"/>
    <n v="79999"/>
    <n v="24553"/>
    <n v="1"/>
    <n v="1074"/>
    <s v="Post and beam"/>
    <x v="2"/>
    <x v="1"/>
    <s v=""/>
    <s v=""/>
    <s v="Fiberglass - Stapled"/>
    <n v="0.15999999642372131"/>
    <n v="3.0999999046325684"/>
    <n v="1925.059"/>
  </r>
  <r>
    <x v="1"/>
    <n v="0.9"/>
    <n v="0"/>
    <x v="0"/>
    <n v="0"/>
    <m/>
    <n v="225883"/>
    <n v="12101"/>
    <n v="1"/>
    <n v="1060"/>
    <s v="Post and beam"/>
    <x v="1"/>
    <x v="1"/>
    <s v=""/>
    <s v=""/>
    <s v=""/>
    <n v="0.15000000596046448"/>
    <n v="5"/>
    <n v="4956.4930000000004"/>
  </r>
  <r>
    <x v="1"/>
    <n v="1"/>
    <n v="0"/>
    <x v="0"/>
    <n v="1"/>
    <n v="1"/>
    <n v="175100"/>
    <n v="21091"/>
    <n v="1"/>
    <n v="1624"/>
    <s v="Post and beam"/>
    <x v="1"/>
    <x v="0"/>
    <s v=""/>
    <s v=""/>
    <s v=""/>
    <n v="0.14000000059604645"/>
    <n v="4.5"/>
    <n v="8559.1039999999994"/>
  </r>
  <r>
    <x v="2"/>
    <n v="0.25"/>
    <n v="0"/>
    <x v="0"/>
    <n v="1"/>
    <n v="0"/>
    <n v="802343"/>
    <n v="11953"/>
    <n v="1"/>
    <n v="1102"/>
    <s v="Joist"/>
    <x v="0"/>
    <x v="1"/>
    <s v=""/>
    <s v=""/>
    <s v=""/>
    <n v="0.18999999761581421"/>
    <n v="3.0999999046325684"/>
    <n v="2003.7159999999999"/>
  </r>
  <r>
    <x v="2"/>
    <n v="0.5"/>
    <n v="0"/>
    <x v="0"/>
    <n v="1"/>
    <n v="0"/>
    <n v="64407"/>
    <n v="11539"/>
    <n v="1"/>
    <n v="500"/>
    <s v="Joist"/>
    <x v="0"/>
    <x v="1"/>
    <s v=""/>
    <s v=""/>
    <s v="Fiberglass - Tied, stays"/>
    <n v="0.14499999582767487"/>
    <n v="3.0999999046325684"/>
    <n v="2003.7159999999999"/>
  </r>
  <r>
    <x v="2"/>
    <n v="0.75"/>
    <n v="0"/>
    <x v="0"/>
    <n v="0"/>
    <n v="1"/>
    <n v="27103"/>
    <n v="11094"/>
    <n v="2"/>
    <n v="1150"/>
    <s v="Joist"/>
    <x v="0"/>
    <x v="0"/>
    <s v=""/>
    <s v=""/>
    <s v="Fiberglass - Stapled"/>
    <n v="0.10000000149011612"/>
    <n v="5"/>
    <n v="1524.7619999999999"/>
  </r>
  <r>
    <x v="2"/>
    <n v="0.9"/>
    <n v="0"/>
    <x v="0"/>
    <n v="1"/>
    <n v="0"/>
    <n v="66996"/>
    <n v="11910"/>
    <n v="1"/>
    <n v="676"/>
    <s v="Joist"/>
    <x v="3"/>
    <x v="1"/>
    <s v=""/>
    <s v=""/>
    <s v="Fiberglass - Tied, stays"/>
    <n v="7.5000002980232239E-2"/>
    <n v="3.0999999046325684"/>
    <n v="2003.7159999999999"/>
  </r>
  <r>
    <x v="2"/>
    <n v="1"/>
    <n v="0"/>
    <x v="0"/>
    <n v="1"/>
    <n v="0"/>
    <n v="182585"/>
    <n v="23029"/>
    <n v="1"/>
    <n v="1085"/>
    <s v="Post and beam"/>
    <x v="1"/>
    <x v="1"/>
    <s v=""/>
    <s v=""/>
    <s v=""/>
    <n v="5.9999998658895493E-2"/>
    <n v="3.0999999046325684"/>
    <n v="1612.692"/>
  </r>
  <r>
    <x v="3"/>
    <n v="0"/>
    <n v="0"/>
    <x v="0"/>
    <n v="1"/>
    <n v="0"/>
    <n v="39591"/>
    <n v="12242"/>
    <n v="1"/>
    <n v="780"/>
    <s v="Joist"/>
    <x v="0"/>
    <x v="0"/>
    <s v=""/>
    <s v=""/>
    <s v=""/>
    <n v="0.23000000417232513"/>
    <n v="3.0999999046325684"/>
    <n v="1524.7619999999999"/>
  </r>
  <r>
    <x v="3"/>
    <n v="0.25"/>
    <n v="0"/>
    <x v="0"/>
    <n v="1"/>
    <n v="0"/>
    <n v="104021"/>
    <n v="11512"/>
    <n v="1"/>
    <n v="1186"/>
    <s v="Post and beam"/>
    <x v="0"/>
    <x v="1"/>
    <s v=""/>
    <s v=""/>
    <s v="Fiberglass - Tied, stays"/>
    <n v="0.18500000238418579"/>
    <n v="3.0999999046325684"/>
    <n v="2003.7159999999999"/>
  </r>
  <r>
    <x v="3"/>
    <n v="0.5"/>
    <n v="0"/>
    <x v="0"/>
    <n v="1"/>
    <n v="0"/>
    <n v="55136"/>
    <n v="23501"/>
    <n v="1"/>
    <n v="290"/>
    <s v="Post and beam"/>
    <x v="0"/>
    <x v="1"/>
    <s v=""/>
    <s v=""/>
    <s v="Fiberglass - Tied, stays"/>
    <n v="0.14000000059604645"/>
    <n v="3.0999999046325684"/>
    <n v="2079.9929999999999"/>
  </r>
  <r>
    <x v="3"/>
    <n v="0.75"/>
    <n v="0"/>
    <x v="0"/>
    <n v="1"/>
    <n v="1"/>
    <n v="49186"/>
    <n v="21471"/>
    <n v="2"/>
    <n v="1400"/>
    <s v="Post and beam"/>
    <x v="3"/>
    <x v="0"/>
    <s v=""/>
    <s v=""/>
    <s v="Fiberglass - Tied, stays"/>
    <n v="9.0000003576278687E-2"/>
    <n v="4.5"/>
    <n v="2079.9929999999999"/>
  </r>
  <r>
    <x v="3"/>
    <n v="0.9"/>
    <n v="0"/>
    <x v="0"/>
    <n v="1"/>
    <n v="1"/>
    <n v="111247"/>
    <n v="22404"/>
    <n v="1"/>
    <n v="500"/>
    <s v="Post and beam"/>
    <x v="0"/>
    <x v="0"/>
    <s v=""/>
    <s v=""/>
    <s v="Fiberglass - Tied, stays"/>
    <n v="6.4999997615814209E-2"/>
    <n v="4.5"/>
    <n v="2079.9929999999999"/>
  </r>
  <r>
    <x v="3"/>
    <n v="1"/>
    <n v="0"/>
    <x v="0"/>
    <n v="1"/>
    <n v="1"/>
    <n v="28102"/>
    <n v="10551"/>
    <n v="1"/>
    <n v="405"/>
    <s v="Joist"/>
    <x v="2"/>
    <x v="0"/>
    <s v=""/>
    <s v=""/>
    <s v=""/>
    <n v="4.5000001788139343E-2"/>
    <n v="4.5"/>
    <n v="1524.7619999999999"/>
  </r>
  <r>
    <x v="4"/>
    <n v="0.75"/>
    <n v="0"/>
    <x v="0"/>
    <n v="1"/>
    <n v="1"/>
    <n v="101673"/>
    <n v="22688"/>
    <n v="1"/>
    <n v="360"/>
    <s v="Joist"/>
    <x v="4"/>
    <x v="1"/>
    <s v=""/>
    <s v=""/>
    <s v="Fiberglass - Tied, stays"/>
    <n v="8.5000000894069672E-2"/>
    <n v="4.5"/>
    <n v="1925.059"/>
  </r>
  <r>
    <x v="4"/>
    <n v="0.9"/>
    <n v="0"/>
    <x v="0"/>
    <n v="0"/>
    <m/>
    <n v="202110"/>
    <n v="20606"/>
    <n v="1"/>
    <n v="112"/>
    <s v="Joist"/>
    <x v="3"/>
    <x v="1"/>
    <s v=""/>
    <s v=""/>
    <s v=""/>
    <n v="5.9999998658895493E-2"/>
    <n v="5"/>
    <n v="1612.692"/>
  </r>
  <r>
    <x v="4"/>
    <n v="1"/>
    <n v="0"/>
    <x v="0"/>
    <n v="1"/>
    <n v="0"/>
    <n v="173481"/>
    <n v="23631"/>
    <n v="1"/>
    <n v="1200"/>
    <s v="Joist"/>
    <x v="0"/>
    <x v="0"/>
    <s v=""/>
    <s v=""/>
    <s v=""/>
    <n v="3.5000000149011612E-2"/>
    <n v="3.0999999046325684"/>
    <n v="1925.059"/>
  </r>
  <r>
    <x v="5"/>
    <n v="0.75"/>
    <n v="0"/>
    <x v="0"/>
    <n v="0"/>
    <n v="0"/>
    <n v="34321"/>
    <n v="21225"/>
    <n v="1"/>
    <n v="1500"/>
    <s v="Joist"/>
    <x v="4"/>
    <x v="1"/>
    <s v=""/>
    <s v=""/>
    <s v="Fiberglass - Tied, stays"/>
    <n v="7.9999998211860657E-2"/>
    <n v="5"/>
    <n v="2130.886"/>
  </r>
  <r>
    <x v="5"/>
    <n v="0.9"/>
    <n v="0"/>
    <x v="0"/>
    <n v="0"/>
    <m/>
    <n v="231174"/>
    <n v="22214"/>
    <n v="1"/>
    <n v="518"/>
    <s v="Joist"/>
    <x v="4"/>
    <x v="0"/>
    <s v=""/>
    <s v=""/>
    <s v=""/>
    <n v="5.4999999701976776E-2"/>
    <n v="5"/>
    <n v="2130.886"/>
  </r>
  <r>
    <x v="5"/>
    <n v="1"/>
    <n v="0"/>
    <x v="0"/>
    <n v="1"/>
    <n v="0"/>
    <n v="157371"/>
    <n v="21862"/>
    <n v="1"/>
    <n v="1613"/>
    <s v="Joist"/>
    <x v="4"/>
    <x v="1"/>
    <s v=""/>
    <s v=""/>
    <s v=""/>
    <n v="2.9999999329447746E-2"/>
    <n v="3.0999999046325684"/>
    <n v="1192.4649999999999"/>
  </r>
  <r>
    <x v="6"/>
    <n v="0.9"/>
    <n v="0"/>
    <x v="0"/>
    <n v="1"/>
    <n v="0"/>
    <n v="182372"/>
    <n v="13895"/>
    <n v="1"/>
    <n v="672"/>
    <s v="Joist"/>
    <x v="4"/>
    <x v="1"/>
    <s v=""/>
    <s v=""/>
    <s v=""/>
    <n v="5.000000074505806E-2"/>
    <n v="3.0999999046325684"/>
    <n v="1524.7619999999999"/>
  </r>
  <r>
    <x v="6"/>
    <n v="1"/>
    <n v="1"/>
    <x v="2"/>
    <n v="1"/>
    <n v="0"/>
    <n v="195921"/>
    <n v="22302"/>
    <n v="1"/>
    <n v="1953"/>
    <s v="Joist"/>
    <x v="4"/>
    <x v="1"/>
    <s v=""/>
    <s v=""/>
    <s v=""/>
    <n v="2.9999999329447746E-2"/>
    <n v="4.5999999046325684"/>
    <n v="1612.692"/>
  </r>
  <r>
    <x v="7"/>
    <n v="0.25"/>
    <n v="0"/>
    <x v="0"/>
    <n v="1"/>
    <n v="1"/>
    <n v="27103"/>
    <n v="11094"/>
    <n v="1"/>
    <n v="550"/>
    <s v="Joist"/>
    <x v="0"/>
    <x v="0"/>
    <s v=""/>
    <s v=""/>
    <s v="Fiberglass - Stapled"/>
    <n v="0.19499999284744263"/>
    <n v="4.5"/>
    <n v="1524.7619999999999"/>
  </r>
  <r>
    <x v="7"/>
    <n v="0.5"/>
    <n v="0"/>
    <x v="0"/>
    <n v="0"/>
    <n v="1"/>
    <n v="60295"/>
    <n v="10561"/>
    <n v="1"/>
    <n v="940"/>
    <s v="Joist"/>
    <x v="0"/>
    <x v="0"/>
    <s v=""/>
    <s v=""/>
    <s v="Fiberglass - Stapled"/>
    <n v="0.15999999642372131"/>
    <n v="5"/>
    <n v="2003.7159999999999"/>
  </r>
  <r>
    <x v="7"/>
    <n v="0.75"/>
    <n v="0"/>
    <x v="0"/>
    <n v="1"/>
    <n v="0"/>
    <n v="177906"/>
    <n v="14646"/>
    <n v="1"/>
    <n v="1125"/>
    <s v="Post and beam"/>
    <x v="1"/>
    <x v="0"/>
    <s v=""/>
    <s v=""/>
    <s v=""/>
    <n v="0.11999999731779099"/>
    <n v="3.0999999046325684"/>
    <n v="1188.027"/>
  </r>
  <r>
    <x v="7"/>
    <n v="0.9"/>
    <n v="0"/>
    <x v="0"/>
    <n v="0"/>
    <m/>
    <n v="158955"/>
    <n v="20384"/>
    <n v="1"/>
    <n v="1152"/>
    <s v="Joist"/>
    <x v="4"/>
    <x v="1"/>
    <s v=""/>
    <s v=""/>
    <s v=""/>
    <n v="0.10000000149011612"/>
    <n v="5"/>
    <n v="2130.886"/>
  </r>
  <r>
    <x v="7"/>
    <n v="1"/>
    <n v="0"/>
    <x v="0"/>
    <n v="0"/>
    <n v="0"/>
    <n v="84685"/>
    <n v="11472"/>
    <n v="1"/>
    <n v="136"/>
    <s v="Post and beam"/>
    <x v="0"/>
    <x v="1"/>
    <s v=""/>
    <s v=""/>
    <s v=""/>
    <n v="9.0000003576278687E-2"/>
    <n v="5"/>
    <n v="1524.7619999999999"/>
  </r>
  <r>
    <x v="8"/>
    <n v="1"/>
    <n v="0"/>
    <x v="0"/>
    <n v="1"/>
    <n v="0"/>
    <n v="719021"/>
    <n v="11772"/>
    <n v="1"/>
    <n v="810"/>
    <s v=""/>
    <x v="1"/>
    <x v="0"/>
    <s v=""/>
    <s v="no access to crawl , see walk around notes "/>
    <s v=""/>
    <m/>
    <n v="3.0999999046325684"/>
    <n v="1464.694"/>
  </r>
  <r>
    <x v="8"/>
    <m/>
    <n v="0"/>
    <x v="0"/>
    <n v="1"/>
    <n v="0"/>
    <n v="195385"/>
    <n v="13655"/>
    <n v="1"/>
    <n v="1072"/>
    <s v=""/>
    <x v="1"/>
    <x v="0"/>
    <s v=""/>
    <s v=""/>
    <s v=""/>
    <m/>
    <n v="3.0999999046325684"/>
    <n v="1464.694"/>
  </r>
  <r>
    <x v="8"/>
    <m/>
    <n v="0"/>
    <x v="0"/>
    <n v="1"/>
    <n v="0"/>
    <n v="38694"/>
    <n v="11467"/>
    <n v="1"/>
    <n v="768"/>
    <s v=""/>
    <x v="1"/>
    <x v="2"/>
    <s v=""/>
    <s v=""/>
    <s v=""/>
    <m/>
    <n v="3.0999999046325684"/>
    <n v="1524.7619999999999"/>
  </r>
  <r>
    <x v="8"/>
    <m/>
    <n v="0"/>
    <x v="0"/>
    <n v="1"/>
    <n v="0"/>
    <n v="47570"/>
    <n v="11677"/>
    <n v="1"/>
    <n v="426"/>
    <s v=""/>
    <x v="1"/>
    <x v="0"/>
    <s v=""/>
    <s v=""/>
    <s v=""/>
    <m/>
    <n v="3.0999999046325684"/>
    <n v="1524.7619999999999"/>
  </r>
  <r>
    <x v="8"/>
    <m/>
    <n v="0"/>
    <x v="0"/>
    <n v="0"/>
    <m/>
    <n v="659853"/>
    <n v="11762"/>
    <n v="2"/>
    <n v="72"/>
    <s v=""/>
    <x v="1"/>
    <x v="0"/>
    <s v=""/>
    <s v="this is the extension , no access so unk insulation ,I would imagine it is insulated since the homeowner says the hardwood floors are not cold in the room "/>
    <s v=""/>
    <m/>
    <n v="5"/>
    <n v="1464.694"/>
  </r>
  <r>
    <x v="8"/>
    <m/>
    <n v="0"/>
    <x v="0"/>
    <n v="1"/>
    <n v="0"/>
    <n v="104345"/>
    <n v="10030"/>
    <n v="1"/>
    <n v="1743"/>
    <s v=""/>
    <x v="1"/>
    <x v="2"/>
    <s v=""/>
    <s v=""/>
    <s v=""/>
    <m/>
    <n v="3.0999999046325684"/>
    <n v="4956.4930000000004"/>
  </r>
  <r>
    <x v="8"/>
    <m/>
    <n v="0"/>
    <x v="0"/>
    <n v="1"/>
    <n v="0"/>
    <n v="29839"/>
    <n v="11006"/>
    <n v="1"/>
    <n v="375"/>
    <s v=""/>
    <x v="1"/>
    <x v="2"/>
    <s v=""/>
    <s v="Surveyor negelcted to capture entire home footprint. Based on photos, it is anticpated that a crawlspace was missed. Insulation levels and other details are unknown.  "/>
    <s v=""/>
    <m/>
    <n v="3.0999999046325684"/>
    <n v="1524.7619999999999"/>
  </r>
  <r>
    <x v="8"/>
    <m/>
    <n v="0"/>
    <x v="0"/>
    <n v="1"/>
    <n v="0"/>
    <n v="110465"/>
    <n v="11048"/>
    <n v="1"/>
    <n v="240"/>
    <s v=""/>
    <x v="1"/>
    <x v="2"/>
    <s v=""/>
    <s v="Unable to access crawl sufficiently to characterize"/>
    <s v=""/>
    <m/>
    <n v="3.0999999046325684"/>
    <n v="1464.694"/>
  </r>
  <r>
    <x v="8"/>
    <m/>
    <n v="0"/>
    <x v="0"/>
    <n v="1"/>
    <n v="0"/>
    <n v="677473"/>
    <n v="13131"/>
    <n v="1"/>
    <n v="1324"/>
    <s v=""/>
    <x v="1"/>
    <x v="0"/>
    <s v=""/>
    <s v="no access to crawl space , maybe under low deck but renter did not know. I used a vent to visually spot fiberglass insulation but could not determine R rating or floor framing "/>
    <s v=""/>
    <m/>
    <n v="3.0999999046325684"/>
    <n v="1464.694"/>
  </r>
  <r>
    <x v="9"/>
    <n v="0"/>
    <n v="0"/>
    <x v="0"/>
    <n v="1"/>
    <n v="0"/>
    <n v="33865"/>
    <n v="20125"/>
    <n v="2"/>
    <n v="300"/>
    <s v="Joist"/>
    <x v="0"/>
    <x v="1"/>
    <s v=""/>
    <s v=""/>
    <s v=""/>
    <n v="0.23000000417232513"/>
    <n v="3.0999999046325684"/>
    <n v="3785.7640000000001"/>
  </r>
  <r>
    <x v="9"/>
    <n v="0"/>
    <n v="0"/>
    <x v="0"/>
    <n v="1"/>
    <n v="0"/>
    <n v="35319"/>
    <n v="10741"/>
    <n v="1"/>
    <n v="725"/>
    <s v="Joist"/>
    <x v="2"/>
    <x v="0"/>
    <s v=""/>
    <s v=""/>
    <s v=""/>
    <n v="0.23000000417232513"/>
    <n v="3.0999999046325684"/>
    <n v="1524.7619999999999"/>
  </r>
  <r>
    <x v="9"/>
    <n v="0"/>
    <n v="0"/>
    <x v="0"/>
    <n v="1"/>
    <n v="1"/>
    <n v="37715"/>
    <n v="11779"/>
    <n v="1"/>
    <n v="1050"/>
    <s v="Joist"/>
    <x v="0"/>
    <x v="0"/>
    <s v=""/>
    <s v=""/>
    <s v=""/>
    <n v="0.23000000417232513"/>
    <n v="4.5"/>
    <n v="1524.7619999999999"/>
  </r>
  <r>
    <x v="9"/>
    <n v="0"/>
    <n v="0"/>
    <x v="0"/>
    <n v="1"/>
    <n v="0"/>
    <n v="27567"/>
    <n v="10595"/>
    <n v="1"/>
    <n v="520"/>
    <s v="Joist"/>
    <x v="0"/>
    <x v="1"/>
    <s v=""/>
    <s v=""/>
    <s v=""/>
    <n v="0.23000000417232513"/>
    <n v="3.0999999046325684"/>
    <n v="1524.7619999999999"/>
  </r>
  <r>
    <x v="9"/>
    <n v="0"/>
    <n v="0"/>
    <x v="0"/>
    <n v="1"/>
    <n v="0"/>
    <n v="27219"/>
    <n v="10496"/>
    <n v="1"/>
    <n v="1112"/>
    <s v="Post and beam"/>
    <x v="4"/>
    <x v="1"/>
    <s v=""/>
    <s v=""/>
    <s v=""/>
    <n v="0.23000000417232513"/>
    <n v="3.0999999046325684"/>
    <n v="1150.8789999999999"/>
  </r>
  <r>
    <x v="9"/>
    <n v="0"/>
    <n v="1"/>
    <x v="3"/>
    <n v="1"/>
    <n v="0"/>
    <n v="33686"/>
    <n v="23183"/>
    <n v="1"/>
    <n v="1702"/>
    <s v="Post and beam"/>
    <x v="3"/>
    <x v="1"/>
    <s v="Fiberglass - Tied, stays"/>
    <s v=""/>
    <s v=""/>
    <n v="0.23000000417232513"/>
    <n v="3.9000000953674316"/>
    <n v="3785.7640000000001"/>
  </r>
  <r>
    <x v="9"/>
    <n v="0"/>
    <n v="0"/>
    <x v="0"/>
    <n v="1"/>
    <n v="1"/>
    <n v="122390"/>
    <n v="20902"/>
    <n v="1"/>
    <n v="2350"/>
    <s v="Joist"/>
    <x v="3"/>
    <x v="1"/>
    <s v=""/>
    <s v=""/>
    <s v=""/>
    <n v="0.23000000417232513"/>
    <n v="4.5"/>
    <n v="2130.886"/>
  </r>
  <r>
    <x v="9"/>
    <n v="0"/>
    <n v="0"/>
    <x v="0"/>
    <n v="1"/>
    <n v="0"/>
    <n v="32493"/>
    <n v="24863"/>
    <n v="1"/>
    <n v="143"/>
    <s v="Joist"/>
    <x v="0"/>
    <x v="0"/>
    <s v=""/>
    <s v=""/>
    <s v=""/>
    <n v="0.23000000417232513"/>
    <n v="3.0999999046325684"/>
    <n v="3785.7640000000001"/>
  </r>
  <r>
    <x v="9"/>
    <n v="0"/>
    <n v="0"/>
    <x v="0"/>
    <n v="1"/>
    <n v="0"/>
    <n v="107056"/>
    <n v="22425"/>
    <n v="1"/>
    <n v="1296"/>
    <s v="Joist"/>
    <x v="0"/>
    <x v="0"/>
    <s v=""/>
    <s v=""/>
    <s v=""/>
    <n v="0.23000000417232513"/>
    <n v="3.0999999046325684"/>
    <n v="3785.7640000000001"/>
  </r>
  <r>
    <x v="9"/>
    <n v="0"/>
    <n v="0"/>
    <x v="0"/>
    <n v="0"/>
    <n v="0"/>
    <n v="32297"/>
    <n v="22015"/>
    <n v="1"/>
    <n v="1438"/>
    <s v="Joist"/>
    <x v="3"/>
    <x v="1"/>
    <s v=""/>
    <s v=""/>
    <s v=""/>
    <n v="0.23000000417232513"/>
    <n v="5"/>
    <n v="2130.886"/>
  </r>
  <r>
    <x v="9"/>
    <n v="0"/>
    <n v="0"/>
    <x v="0"/>
    <n v="0"/>
    <n v="0"/>
    <n v="27018"/>
    <n v="10688"/>
    <n v="1"/>
    <n v="923"/>
    <s v="Joist"/>
    <x v="0"/>
    <x v="0"/>
    <s v=""/>
    <s v=""/>
    <s v=""/>
    <n v="0.23000000417232513"/>
    <n v="5"/>
    <n v="1150.8789999999999"/>
  </r>
  <r>
    <x v="9"/>
    <n v="0"/>
    <n v="0"/>
    <x v="0"/>
    <n v="1"/>
    <n v="0"/>
    <n v="73678"/>
    <n v="23546"/>
    <n v="1"/>
    <n v="1098"/>
    <s v="Post and beam"/>
    <x v="1"/>
    <x v="0"/>
    <s v=""/>
    <s v=""/>
    <s v=""/>
    <n v="0.23000000417232513"/>
    <n v="3.0999999046325684"/>
    <n v="2079.9929999999999"/>
  </r>
  <r>
    <x v="9"/>
    <n v="0"/>
    <n v="0"/>
    <x v="0"/>
    <n v="0"/>
    <n v="0"/>
    <n v="34166"/>
    <n v="24288"/>
    <n v="1"/>
    <n v="1035"/>
    <s v="Joist"/>
    <x v="4"/>
    <x v="1"/>
    <s v=""/>
    <s v="Possible validation error under basement floor area actual figures were: Square ft. is 435, linear ft. is 88. Also in the crawl space there was no floor insulation yet it is still requiring a type and condition"/>
    <s v=""/>
    <n v="0.23000000417232513"/>
    <n v="5"/>
    <n v="2130.886"/>
  </r>
  <r>
    <x v="9"/>
    <n v="0"/>
    <n v="1"/>
    <x v="3"/>
    <n v="0"/>
    <n v="0"/>
    <n v="33299"/>
    <n v="21045"/>
    <n v="1"/>
    <n v="840"/>
    <s v="Joist"/>
    <x v="4"/>
    <x v="1"/>
    <s v="Spray Foam"/>
    <s v=""/>
    <s v=""/>
    <n v="0.23000000417232513"/>
    <n v="9.1000003814697266"/>
    <n v="2130.886"/>
  </r>
  <r>
    <x v="9"/>
    <n v="0"/>
    <n v="0"/>
    <x v="0"/>
    <n v="1"/>
    <n v="0"/>
    <n v="41423"/>
    <n v="10514"/>
    <n v="1"/>
    <n v="1053"/>
    <s v="Joist"/>
    <x v="0"/>
    <x v="1"/>
    <s v=""/>
    <s v=""/>
    <s v=""/>
    <n v="0.23000000417232513"/>
    <n v="3.0999999046325684"/>
    <n v="1524.7619999999999"/>
  </r>
  <r>
    <x v="9"/>
    <n v="0"/>
    <n v="0"/>
    <x v="0"/>
    <n v="1"/>
    <n v="0"/>
    <n v="122285"/>
    <n v="13462"/>
    <n v="1"/>
    <n v="1150"/>
    <s v="Joist"/>
    <x v="2"/>
    <x v="1"/>
    <s v=""/>
    <s v=""/>
    <s v=""/>
    <n v="0.23000000417232513"/>
    <n v="3.0999999046325684"/>
    <n v="1464.694"/>
  </r>
  <r>
    <x v="9"/>
    <n v="0"/>
    <n v="0"/>
    <x v="0"/>
    <n v="1"/>
    <n v="1"/>
    <n v="33865"/>
    <n v="20125"/>
    <n v="1"/>
    <n v="932"/>
    <s v="Post and beam"/>
    <x v="0"/>
    <x v="0"/>
    <s v=""/>
    <s v=""/>
    <s v=""/>
    <n v="0.23000000417232513"/>
    <n v="4.5"/>
    <n v="3785.7640000000001"/>
  </r>
  <r>
    <x v="9"/>
    <n v="0.5"/>
    <n v="0"/>
    <x v="0"/>
    <n v="1"/>
    <n v="0"/>
    <n v="29773"/>
    <n v="10191"/>
    <n v="1"/>
    <n v="364"/>
    <s v="Joist"/>
    <x v="2"/>
    <x v="0"/>
    <s v=""/>
    <s v=""/>
    <s v="Fiberglass - Stapled"/>
    <n v="0.23000000417232513"/>
    <n v="3.0999999046325684"/>
    <n v="1524.7619999999999"/>
  </r>
  <r>
    <x v="9"/>
    <n v="0.75"/>
    <n v="1"/>
    <x v="3"/>
    <n v="0"/>
    <m/>
    <n v="218688"/>
    <n v="23932"/>
    <n v="1"/>
    <n v="1848"/>
    <s v="Joist"/>
    <x v="3"/>
    <x v="1"/>
    <s v=""/>
    <s v=""/>
    <s v=""/>
    <n v="0.23000000417232513"/>
    <n v="9.1000003814697266"/>
    <n v="3785.7640000000001"/>
  </r>
  <r>
    <x v="9"/>
    <n v="0.9"/>
    <n v="1"/>
    <x v="4"/>
    <n v="1"/>
    <n v="0"/>
    <n v="132295"/>
    <n v="23021"/>
    <n v="1"/>
    <n v="1404"/>
    <s v="Joist"/>
    <x v="4"/>
    <x v="1"/>
    <s v=""/>
    <s v=""/>
    <s v=""/>
    <n v="0.23000000417232513"/>
    <n v="4.5999999046325684"/>
    <n v="1144.6790000000001"/>
  </r>
  <r>
    <x v="9"/>
    <n v="0.9"/>
    <n v="1"/>
    <x v="4"/>
    <n v="0"/>
    <n v="0"/>
    <n v="161361"/>
    <n v="20593"/>
    <n v="1"/>
    <n v="2455"/>
    <s v="Joist"/>
    <x v="3"/>
    <x v="0"/>
    <s v=""/>
    <s v=""/>
    <s v=""/>
    <n v="0.23000000417232513"/>
    <n v="11"/>
    <n v="2130.886"/>
  </r>
  <r>
    <x v="9"/>
    <n v="1"/>
    <n v="1"/>
    <x v="3"/>
    <n v="0"/>
    <m/>
    <n v="210747"/>
    <n v="13691"/>
    <n v="1"/>
    <n v="2375"/>
    <s v="Joist"/>
    <x v="0"/>
    <x v="0"/>
    <s v=""/>
    <s v=""/>
    <s v=""/>
    <n v="0.23000000417232513"/>
    <n v="9.1000003814697266"/>
    <n v="6932.7380000000003"/>
  </r>
  <r>
    <x v="9"/>
    <n v="1"/>
    <n v="1"/>
    <x v="3"/>
    <n v="1"/>
    <n v="0"/>
    <n v="718148"/>
    <n v="22198"/>
    <n v="1"/>
    <n v="1243"/>
    <s v="Joist"/>
    <x v="4"/>
    <x v="1"/>
    <s v=""/>
    <s v=""/>
    <s v=""/>
    <n v="0.23000000417232513"/>
    <n v="3.9000000953674316"/>
    <n v="3785.7640000000001"/>
  </r>
  <r>
    <x v="9"/>
    <n v="1"/>
    <n v="1"/>
    <x v="3"/>
    <n v="1"/>
    <n v="0"/>
    <n v="691821"/>
    <n v="21408"/>
    <n v="1"/>
    <n v="1536"/>
    <s v="Post and beam"/>
    <x v="1"/>
    <x v="0"/>
    <s v=""/>
    <s v=""/>
    <s v=""/>
    <n v="0.23000000417232513"/>
    <n v="3.9000000953674316"/>
    <n v="3785.7640000000001"/>
  </r>
  <r>
    <x v="9"/>
    <n v="1"/>
    <n v="0"/>
    <x v="0"/>
    <n v="1"/>
    <n v="0"/>
    <n v="50490"/>
    <n v="23155"/>
    <n v="1"/>
    <n v="1025"/>
    <s v="Joist"/>
    <x v="3"/>
    <x v="1"/>
    <s v=""/>
    <s v=""/>
    <s v=""/>
    <n v="0.23000000417232513"/>
    <n v="3.0999999046325684"/>
    <n v="2079.9929999999999"/>
  </r>
  <r>
    <x v="9"/>
    <n v="1"/>
    <n v="0"/>
    <x v="0"/>
    <n v="1"/>
    <n v="0"/>
    <n v="239929"/>
    <n v="21394"/>
    <n v="1"/>
    <n v="1063"/>
    <s v="Joist"/>
    <x v="0"/>
    <x v="0"/>
    <s v=""/>
    <s v="innaccessible"/>
    <s v=""/>
    <n v="0.23000000417232513"/>
    <n v="3.0999999046325684"/>
    <n v="2079.9929999999999"/>
  </r>
  <r>
    <x v="9"/>
    <n v="1"/>
    <n v="1"/>
    <x v="3"/>
    <n v="1"/>
    <n v="0"/>
    <n v="196173"/>
    <n v="22598"/>
    <n v="1"/>
    <n v="2319"/>
    <s v="Post and beam"/>
    <x v="1"/>
    <x v="1"/>
    <s v=""/>
    <s v=""/>
    <s v=""/>
    <n v="0.23000000417232513"/>
    <n v="3.9000000953674316"/>
    <n v="2130.886"/>
  </r>
  <r>
    <x v="9"/>
    <n v="1"/>
    <n v="0"/>
    <x v="0"/>
    <n v="1"/>
    <n v="1"/>
    <n v="158509"/>
    <n v="11808"/>
    <n v="1"/>
    <n v="960"/>
    <s v="Post and beam"/>
    <x v="1"/>
    <x v="1"/>
    <s v=""/>
    <s v=""/>
    <s v=""/>
    <n v="0.23000000417232513"/>
    <n v="4.5"/>
    <n v="4956.4930000000004"/>
  </r>
  <r>
    <x v="9"/>
    <n v="1"/>
    <n v="1"/>
    <x v="3"/>
    <n v="1"/>
    <n v="1"/>
    <n v="183449"/>
    <n v="21326"/>
    <n v="1"/>
    <n v="886"/>
    <s v="Post and beam"/>
    <x v="1"/>
    <x v="0"/>
    <s v=""/>
    <s v=""/>
    <s v=""/>
    <n v="0.23000000417232513"/>
    <n v="7.5999999046325684"/>
    <n v="1925.059"/>
  </r>
  <r>
    <x v="9"/>
    <n v="1"/>
    <n v="1"/>
    <x v="3"/>
    <n v="1"/>
    <n v="0"/>
    <n v="222586"/>
    <n v="24563"/>
    <n v="1"/>
    <n v="1412"/>
    <s v="Post and beam"/>
    <x v="1"/>
    <x v="0"/>
    <s v=""/>
    <s v=""/>
    <s v=""/>
    <n v="0.23000000417232513"/>
    <n v="3.9000000953674316"/>
    <n v="3785.7640000000001"/>
  </r>
  <r>
    <x v="9"/>
    <m/>
    <n v="1"/>
    <x v="3"/>
    <n v="1"/>
    <n v="0"/>
    <n v="78305"/>
    <n v="23408"/>
    <n v="1"/>
    <n v="1464"/>
    <s v="Joist"/>
    <x v="3"/>
    <x v="1"/>
    <s v="Fiberglass - Stapled"/>
    <s v=""/>
    <s v=""/>
    <n v="0.23000000417232513"/>
    <n v="3.9000000953674316"/>
    <n v="3785.7640000000001"/>
  </r>
  <r>
    <x v="9"/>
    <m/>
    <n v="0"/>
    <x v="0"/>
    <n v="1"/>
    <n v="0"/>
    <n v="91266"/>
    <n v="11084"/>
    <n v="1"/>
    <n v="540"/>
    <s v="Joist"/>
    <x v="0"/>
    <x v="1"/>
    <s v=""/>
    <s v=""/>
    <s v=""/>
    <n v="0.23000000417232513"/>
    <n v="3.0999999046325684"/>
    <n v="2003.7159999999999"/>
  </r>
  <r>
    <x v="9"/>
    <m/>
    <n v="0"/>
    <x v="0"/>
    <n v="0"/>
    <n v="0"/>
    <n v="103480"/>
    <n v="21831"/>
    <n v="1"/>
    <n v="345"/>
    <s v="Post and beam"/>
    <x v="0"/>
    <x v="1"/>
    <s v=""/>
    <s v=""/>
    <s v=""/>
    <n v="0.23000000417232513"/>
    <n v="5"/>
    <n v="1144.6790000000001"/>
  </r>
  <r>
    <x v="9"/>
    <m/>
    <n v="0"/>
    <x v="0"/>
    <n v="0"/>
    <m/>
    <n v="666928"/>
    <n v="14542"/>
    <n v="1"/>
    <n v="1035"/>
    <s v="Post and beam"/>
    <x v="1"/>
    <x v="0"/>
    <s v=""/>
    <s v=""/>
    <s v=""/>
    <n v="0.23000000417232513"/>
    <n v="5"/>
    <n v="1188.027"/>
  </r>
  <r>
    <x v="9"/>
    <m/>
    <n v="1"/>
    <x v="1"/>
    <n v="0"/>
    <m/>
    <n v="192926"/>
    <n v="21638"/>
    <n v="1"/>
    <n v="1140"/>
    <s v="Post and beam"/>
    <x v="4"/>
    <x v="1"/>
    <s v=""/>
    <s v=""/>
    <s v=""/>
    <n v="0.23000000417232513"/>
    <n v="10.300000190734863"/>
    <n v="2130.886"/>
  </r>
  <r>
    <x v="9"/>
    <m/>
    <n v="1"/>
    <x v="1"/>
    <n v="1"/>
    <n v="1"/>
    <n v="675821"/>
    <n v="20998"/>
    <n v="1"/>
    <n v="675"/>
    <s v="Joist"/>
    <x v="0"/>
    <x v="0"/>
    <s v=""/>
    <s v=""/>
    <s v=""/>
    <n v="0.23000000417232513"/>
    <n v="8.3999996185302734"/>
    <n v="3785.7640000000001"/>
  </r>
  <r>
    <x v="9"/>
    <m/>
    <n v="0"/>
    <x v="0"/>
    <n v="1"/>
    <n v="0"/>
    <n v="198909"/>
    <n v="24795"/>
    <n v="1"/>
    <n v="1675"/>
    <s v="Post and beam"/>
    <x v="1"/>
    <x v="1"/>
    <s v=""/>
    <s v=""/>
    <s v=""/>
    <n v="0.23000000417232513"/>
    <n v="3.0999999046325684"/>
    <n v="2079.9929999999999"/>
  </r>
  <r>
    <x v="9"/>
    <m/>
    <n v="0"/>
    <x v="0"/>
    <n v="0"/>
    <m/>
    <n v="150676"/>
    <n v="24765"/>
    <n v="1"/>
    <n v="1540"/>
    <s v="Joist"/>
    <x v="0"/>
    <x v="0"/>
    <s v=""/>
    <s v=""/>
    <s v=""/>
    <n v="0.23000000417232513"/>
    <n v="5"/>
    <n v="1144.6790000000001"/>
  </r>
  <r>
    <x v="9"/>
    <m/>
    <n v="1"/>
    <x v="1"/>
    <n v="1"/>
    <n v="1"/>
    <n v="172623"/>
    <n v="10348"/>
    <n v="1"/>
    <n v="1056"/>
    <s v="Post and beam"/>
    <x v="1"/>
    <x v="1"/>
    <s v=""/>
    <s v=""/>
    <s v=""/>
    <n v="0.23000000417232513"/>
    <n v="8.3999996185302734"/>
    <n v="6932.7380000000003"/>
  </r>
  <r>
    <x v="9"/>
    <m/>
    <n v="0"/>
    <x v="0"/>
    <n v="1"/>
    <n v="0"/>
    <n v="155424"/>
    <n v="13327"/>
    <n v="1"/>
    <n v="1196"/>
    <s v="Post and beam"/>
    <x v="0"/>
    <x v="1"/>
    <s v=""/>
    <s v=""/>
    <s v=""/>
    <n v="0.23000000417232513"/>
    <n v="3.0999999046325684"/>
    <n v="1464.694"/>
  </r>
  <r>
    <x v="9"/>
    <m/>
    <n v="0"/>
    <x v="0"/>
    <n v="1"/>
    <n v="0"/>
    <n v="239807"/>
    <n v="10690"/>
    <n v="1"/>
    <n v="910"/>
    <s v="Post and beam"/>
    <x v="2"/>
    <x v="0"/>
    <s v=""/>
    <s v=""/>
    <s v=""/>
    <n v="0.23000000417232513"/>
    <n v="3.0999999046325684"/>
    <n v="1150.8789999999999"/>
  </r>
  <r>
    <x v="9"/>
    <m/>
    <n v="0"/>
    <x v="0"/>
    <n v="1"/>
    <n v="0"/>
    <n v="232819"/>
    <n v="22632"/>
    <n v="1"/>
    <n v="220"/>
    <s v="Joist"/>
    <x v="4"/>
    <x v="0"/>
    <s v=""/>
    <s v="220 square feet, slab / crawl space has partial broken up concrete walls around it separating it from the dirt ground below house joists (crawls space2)"/>
    <s v=""/>
    <n v="0.23000000417232513"/>
    <n v="3.0999999046325684"/>
    <n v="1144.6790000000001"/>
  </r>
  <r>
    <x v="9"/>
    <m/>
    <n v="1"/>
    <x v="1"/>
    <n v="1"/>
    <n v="0"/>
    <n v="88237"/>
    <n v="22005"/>
    <n v="1"/>
    <n v="2480"/>
    <s v="Joist"/>
    <x v="4"/>
    <x v="1"/>
    <s v="Fiberglass - Tied, stays"/>
    <s v=""/>
    <s v=""/>
    <n v="0.23000000417232513"/>
    <n v="4.5"/>
    <n v="1144.6790000000001"/>
  </r>
  <r>
    <x v="9"/>
    <m/>
    <n v="0"/>
    <x v="0"/>
    <n v="1"/>
    <n v="0"/>
    <n v="149232"/>
    <n v="12561"/>
    <n v="1"/>
    <n v="800"/>
    <s v="Joist"/>
    <x v="2"/>
    <x v="0"/>
    <s v=""/>
    <s v=""/>
    <s v=""/>
    <n v="0.23000000417232513"/>
    <n v="3.0999999046325684"/>
    <n v="4956.4930000000004"/>
  </r>
  <r>
    <x v="9"/>
    <m/>
    <n v="0"/>
    <x v="0"/>
    <n v="1"/>
    <n v="0"/>
    <n v="83574"/>
    <n v="10822"/>
    <n v="1"/>
    <n v="1976"/>
    <s v="Post and beam"/>
    <x v="0"/>
    <x v="0"/>
    <s v=""/>
    <s v=""/>
    <s v=""/>
    <n v="0.23000000417232513"/>
    <n v="3.0999999046325684"/>
    <n v="2003.7159999999999"/>
  </r>
  <r>
    <x v="9"/>
    <m/>
    <n v="1"/>
    <x v="2"/>
    <n v="1"/>
    <n v="0"/>
    <n v="122514"/>
    <n v="23995"/>
    <n v="1"/>
    <n v="1287"/>
    <s v="Joist"/>
    <x v="4"/>
    <x v="1"/>
    <s v="Fiberglass - Stapled"/>
    <s v=""/>
    <s v=""/>
    <n v="0.23000000417232513"/>
    <n v="4.5999999046325684"/>
    <n v="2130.886"/>
  </r>
  <r>
    <x v="9"/>
    <m/>
    <n v="0"/>
    <x v="0"/>
    <n v="1"/>
    <n v="0"/>
    <n v="98711"/>
    <n v="12564"/>
    <n v="1"/>
    <n v="616"/>
    <s v="Post and beam"/>
    <x v="0"/>
    <x v="1"/>
    <s v=""/>
    <s v=""/>
    <s v=""/>
    <n v="0.23000000417232513"/>
    <n v="3.0999999046325684"/>
    <n v="2003.7159999999999"/>
  </r>
  <r>
    <x v="9"/>
    <m/>
    <n v="0"/>
    <x v="0"/>
    <n v="1"/>
    <n v="1"/>
    <n v="101571"/>
    <n v="22957"/>
    <n v="1"/>
    <n v="1148"/>
    <s v="Joist"/>
    <x v="3"/>
    <x v="1"/>
    <s v=""/>
    <s v=""/>
    <s v=""/>
    <n v="0.23000000417232513"/>
    <n v="4.5"/>
    <n v="1925.059"/>
  </r>
  <r>
    <x v="9"/>
    <m/>
    <n v="0"/>
    <x v="0"/>
    <n v="1"/>
    <n v="0"/>
    <n v="131893"/>
    <n v="24594"/>
    <n v="1"/>
    <n v="96"/>
    <s v="Post and beam"/>
    <x v="1"/>
    <x v="0"/>
    <s v=""/>
    <s v=""/>
    <s v=""/>
    <n v="0.23000000417232513"/>
    <n v="3.0999999046325684"/>
    <n v="1612.692"/>
  </r>
  <r>
    <x v="9"/>
    <m/>
    <n v="0"/>
    <x v="0"/>
    <n v="1"/>
    <n v="0"/>
    <n v="190111"/>
    <n v="23645"/>
    <n v="1"/>
    <n v="962"/>
    <s v="Post and beam"/>
    <x v="1"/>
    <x v="0"/>
    <s v=""/>
    <s v=""/>
    <s v=""/>
    <n v="0.23000000417232513"/>
    <n v="3.0999999046325684"/>
    <n v="1612.692"/>
  </r>
  <r>
    <x v="9"/>
    <m/>
    <n v="0"/>
    <x v="0"/>
    <n v="1"/>
    <n v="0"/>
    <n v="41842"/>
    <n v="12169"/>
    <n v="1"/>
    <n v="102"/>
    <s v="Joist"/>
    <x v="3"/>
    <x v="1"/>
    <s v=""/>
    <s v=""/>
    <s v=""/>
    <n v="0.23000000417232513"/>
    <n v="3.0999999046325684"/>
    <n v="1524.7619999999999"/>
  </r>
  <r>
    <x v="9"/>
    <m/>
    <n v="0"/>
    <x v="0"/>
    <n v="1"/>
    <n v="0"/>
    <n v="96870"/>
    <n v="22891"/>
    <n v="1"/>
    <n v="225"/>
    <s v="Joist"/>
    <x v="0"/>
    <x v="1"/>
    <s v=""/>
    <s v=""/>
    <s v=""/>
    <n v="0.23000000417232513"/>
    <n v="3.0999999046325684"/>
    <n v="3785.7640000000001"/>
  </r>
  <r>
    <x v="9"/>
    <m/>
    <n v="0"/>
    <x v="0"/>
    <n v="1"/>
    <n v="0"/>
    <n v="61410"/>
    <n v="10657"/>
    <n v="1"/>
    <n v="450"/>
    <s v="Joist"/>
    <x v="3"/>
    <x v="1"/>
    <s v=""/>
    <s v="this crawl is open to basement and only separated by a low masonry wall"/>
    <s v=""/>
    <n v="0.23000000417232513"/>
    <n v="3.0999999046325684"/>
    <n v="1524.7619999999999"/>
  </r>
  <r>
    <x v="9"/>
    <m/>
    <n v="0"/>
    <x v="0"/>
    <n v="1"/>
    <n v="0"/>
    <n v="193508"/>
    <n v="20472"/>
    <n v="1"/>
    <n v="1205"/>
    <s v="Post and beam"/>
    <x v="1"/>
    <x v="0"/>
    <s v=""/>
    <s v=""/>
    <s v=""/>
    <n v="0.23000000417232513"/>
    <n v="3.0999999046325684"/>
    <n v="1612.692"/>
  </r>
  <r>
    <x v="9"/>
    <m/>
    <n v="0"/>
    <x v="0"/>
    <n v="1"/>
    <n v="0"/>
    <n v="152114"/>
    <n v="24533"/>
    <n v="1"/>
    <n v="1475"/>
    <s v="Post and beam"/>
    <x v="1"/>
    <x v="0"/>
    <s v=""/>
    <s v=""/>
    <s v=""/>
    <n v="0.23000000417232513"/>
    <n v="3.0999999046325684"/>
    <n v="1612.692"/>
  </r>
  <r>
    <x v="9"/>
    <m/>
    <n v="0"/>
    <x v="0"/>
    <n v="1"/>
    <n v="0"/>
    <n v="175639"/>
    <n v="24479"/>
    <n v="1"/>
    <n v="1255"/>
    <s v="Post and beam"/>
    <x v="1"/>
    <x v="0"/>
    <s v=""/>
    <s v=""/>
    <s v=""/>
    <n v="0.23000000417232513"/>
    <n v="3.0999999046325684"/>
    <n v="8264.9449999999997"/>
  </r>
  <r>
    <x v="9"/>
    <m/>
    <n v="1"/>
    <x v="2"/>
    <n v="1"/>
    <n v="0"/>
    <n v="88467"/>
    <n v="20650"/>
    <n v="1"/>
    <n v="1008"/>
    <s v="Joist"/>
    <x v="0"/>
    <x v="0"/>
    <s v="Rigid"/>
    <s v=""/>
    <s v=""/>
    <n v="0.23000000417232513"/>
    <n v="4.5999999046325684"/>
    <n v="1925.059"/>
  </r>
  <r>
    <x v="9"/>
    <m/>
    <n v="1"/>
    <x v="3"/>
    <n v="1"/>
    <n v="0"/>
    <n v="222905"/>
    <n v="24419"/>
    <n v="1"/>
    <n v="1500"/>
    <s v="Post and beam"/>
    <x v="1"/>
    <x v="0"/>
    <s v=""/>
    <s v=""/>
    <s v=""/>
    <n v="0.23000000417232513"/>
    <n v="3.9000000953674316"/>
    <n v="1612.692"/>
  </r>
  <r>
    <x v="9"/>
    <m/>
    <n v="0"/>
    <x v="0"/>
    <n v="0"/>
    <m/>
    <n v="168833"/>
    <n v="20861"/>
    <n v="1"/>
    <n v="740"/>
    <s v="Joist"/>
    <x v="4"/>
    <x v="0"/>
    <s v=""/>
    <s v=""/>
    <s v=""/>
    <n v="0.23000000417232513"/>
    <n v="5"/>
    <n v="2130.886"/>
  </r>
  <r>
    <x v="9"/>
    <m/>
    <n v="1"/>
    <x v="1"/>
    <n v="1"/>
    <n v="0"/>
    <n v="719892"/>
    <n v="22127"/>
    <n v="1"/>
    <n v="1007"/>
    <s v="Joist"/>
    <x v="3"/>
    <x v="1"/>
    <s v=""/>
    <s v=""/>
    <s v=""/>
    <n v="0.23000000417232513"/>
    <n v="4.5"/>
    <n v="3785.7640000000001"/>
  </r>
  <r>
    <x v="9"/>
    <m/>
    <n v="0"/>
    <x v="0"/>
    <n v="0"/>
    <n v="0"/>
    <n v="86827"/>
    <n v="20778"/>
    <n v="1"/>
    <n v="925"/>
    <s v="Post and beam"/>
    <x v="0"/>
    <x v="1"/>
    <s v=""/>
    <s v=""/>
    <s v=""/>
    <n v="0.23000000417232513"/>
    <n v="5"/>
    <n v="1144.6790000000001"/>
  </r>
  <r>
    <x v="9"/>
    <m/>
    <n v="1"/>
    <x v="1"/>
    <n v="0"/>
    <m/>
    <n v="162525"/>
    <n v="24120"/>
    <n v="1"/>
    <n v="1520"/>
    <s v="Joist"/>
    <x v="4"/>
    <x v="1"/>
    <s v=""/>
    <s v=""/>
    <s v=""/>
    <n v="0.23000000417232513"/>
    <n v="10.300000190734863"/>
    <n v="2130.886"/>
  </r>
  <r>
    <x v="9"/>
    <m/>
    <n v="0"/>
    <x v="0"/>
    <n v="0"/>
    <m/>
    <n v="188782"/>
    <n v="23627"/>
    <n v="1"/>
    <n v="500"/>
    <s v="Joist"/>
    <x v="0"/>
    <x v="1"/>
    <s v=""/>
    <s v=""/>
    <s v=""/>
    <n v="0.23000000417232513"/>
    <n v="5"/>
    <n v="1192.4649999999999"/>
  </r>
  <r>
    <x v="9"/>
    <m/>
    <n v="0"/>
    <x v="0"/>
    <n v="1"/>
    <n v="0"/>
    <n v="51579"/>
    <n v="10738"/>
    <n v="1"/>
    <n v="1050"/>
    <s v="Joist"/>
    <x v="2"/>
    <x v="0"/>
    <s v=""/>
    <s v=""/>
    <s v=""/>
    <n v="0.23000000417232513"/>
    <n v="3.0999999046325684"/>
    <n v="1188.027"/>
  </r>
  <r>
    <x v="9"/>
    <m/>
    <n v="0"/>
    <x v="0"/>
    <n v="1"/>
    <n v="0"/>
    <n v="53180"/>
    <n v="22515"/>
    <n v="1"/>
    <n v="1850"/>
    <s v="Post and beam"/>
    <x v="0"/>
    <x v="1"/>
    <s v=""/>
    <s v=""/>
    <s v=""/>
    <n v="0.23000000417232513"/>
    <n v="3.0999999046325684"/>
    <n v="2079.9929999999999"/>
  </r>
  <r>
    <x v="9"/>
    <m/>
    <n v="0"/>
    <x v="0"/>
    <n v="1"/>
    <n v="0"/>
    <n v="109479"/>
    <n v="11222"/>
    <n v="1"/>
    <n v="1570"/>
    <s v="Post and beam"/>
    <x v="0"/>
    <x v="0"/>
    <s v=""/>
    <s v=""/>
    <s v=""/>
    <n v="0.23000000417232513"/>
    <n v="3.0999999046325684"/>
    <n v="4956.4930000000004"/>
  </r>
  <r>
    <x v="9"/>
    <m/>
    <n v="1"/>
    <x v="1"/>
    <n v="0"/>
    <m/>
    <n v="155878"/>
    <n v="21252"/>
    <n v="1"/>
    <n v="2790"/>
    <s v="Joist"/>
    <x v="3"/>
    <x v="1"/>
    <s v=""/>
    <s v=""/>
    <s v=""/>
    <n v="0.23000000417232513"/>
    <n v="10.300000190734863"/>
    <n v="1612.692"/>
  </r>
  <r>
    <x v="9"/>
    <m/>
    <n v="0"/>
    <x v="0"/>
    <n v="1"/>
    <n v="1"/>
    <n v="165637"/>
    <n v="20618"/>
    <n v="1"/>
    <n v="910"/>
    <s v=""/>
    <x v="2"/>
    <x v="0"/>
    <s v=""/>
    <s v=""/>
    <s v=""/>
    <n v="0.23000000417232513"/>
    <n v="4.5"/>
    <n v="1612.692"/>
  </r>
  <r>
    <x v="9"/>
    <m/>
    <n v="0"/>
    <x v="0"/>
    <n v="1"/>
    <n v="0"/>
    <n v="80120"/>
    <n v="21242"/>
    <n v="1"/>
    <n v="552"/>
    <s v="Post and beam"/>
    <x v="0"/>
    <x v="1"/>
    <s v=""/>
    <s v=""/>
    <s v=""/>
    <n v="0.23000000417232513"/>
    <n v="3.0999999046325684"/>
    <n v="1925.059"/>
  </r>
  <r>
    <x v="9"/>
    <m/>
    <n v="1"/>
    <x v="3"/>
    <n v="1"/>
    <n v="0"/>
    <n v="195771"/>
    <n v="12737"/>
    <n v="1"/>
    <n v="856"/>
    <s v="Post and beam"/>
    <x v="1"/>
    <x v="0"/>
    <s v=""/>
    <s v=""/>
    <s v=""/>
    <n v="0.23000000417232513"/>
    <n v="3.9000000953674316"/>
    <n v="6932.7380000000003"/>
  </r>
  <r>
    <x v="9"/>
    <m/>
    <n v="0"/>
    <x v="0"/>
    <n v="1"/>
    <n v="0"/>
    <n v="184784"/>
    <n v="20965"/>
    <n v="1"/>
    <n v="1400"/>
    <s v="Post and beam"/>
    <x v="1"/>
    <x v="0"/>
    <s v=""/>
    <s v=""/>
    <s v=""/>
    <n v="0.23000000417232513"/>
    <n v="3.0999999046325684"/>
    <n v="3785.7640000000001"/>
  </r>
  <r>
    <x v="9"/>
    <m/>
    <n v="0"/>
    <x v="0"/>
    <n v="1"/>
    <n v="0"/>
    <n v="154392"/>
    <n v="10178"/>
    <n v="1"/>
    <n v="1014"/>
    <s v="Post and beam"/>
    <x v="1"/>
    <x v="1"/>
    <s v=""/>
    <s v=""/>
    <s v=""/>
    <n v="0.23000000417232513"/>
    <n v="3.0999999046325684"/>
    <n v="6932.7380000000003"/>
  </r>
  <r>
    <x v="9"/>
    <m/>
    <n v="0"/>
    <x v="0"/>
    <n v="1"/>
    <n v="0"/>
    <n v="133820"/>
    <n v="20619"/>
    <n v="1"/>
    <n v="785"/>
    <s v="Post and beam"/>
    <x v="1"/>
    <x v="1"/>
    <s v=""/>
    <s v=""/>
    <s v=""/>
    <n v="0.23000000417232513"/>
    <n v="3.0999999046325684"/>
    <n v="2079.9929999999999"/>
  </r>
  <r>
    <x v="9"/>
    <m/>
    <n v="0"/>
    <x v="0"/>
    <n v="1"/>
    <n v="0"/>
    <n v="241402"/>
    <n v="10259"/>
    <n v="1"/>
    <n v="705"/>
    <s v="Post and beam"/>
    <x v="1"/>
    <x v="1"/>
    <s v=""/>
    <s v=""/>
    <s v=""/>
    <n v="0.23000000417232513"/>
    <n v="3.0999999046325684"/>
    <n v="1524.7619999999999"/>
  </r>
  <r>
    <x v="9"/>
    <m/>
    <n v="0"/>
    <x v="0"/>
    <n v="1"/>
    <n v="1"/>
    <n v="41756"/>
    <n v="12679"/>
    <n v="1"/>
    <n v="1824"/>
    <s v="Joist"/>
    <x v="2"/>
    <x v="1"/>
    <s v=""/>
    <s v=""/>
    <s v=""/>
    <n v="0.23000000417232513"/>
    <n v="4.5"/>
    <n v="1524.7619999999999"/>
  </r>
  <r>
    <x v="9"/>
    <m/>
    <n v="0"/>
    <x v="0"/>
    <n v="1"/>
    <n v="0"/>
    <n v="689715"/>
    <n v="10715"/>
    <n v="1"/>
    <n v="2352"/>
    <s v="Joist"/>
    <x v="3"/>
    <x v="1"/>
    <s v=""/>
    <s v=""/>
    <s v=""/>
    <n v="0.23000000417232513"/>
    <n v="3.0999999046325684"/>
    <n v="4956.4930000000004"/>
  </r>
  <r>
    <x v="9"/>
    <m/>
    <n v="0"/>
    <x v="0"/>
    <n v="1"/>
    <n v="0"/>
    <n v="659312"/>
    <n v="14674"/>
    <n v="1"/>
    <n v="1242"/>
    <s v="Post and beam"/>
    <x v="1"/>
    <x v="0"/>
    <s v=""/>
    <s v=""/>
    <s v=""/>
    <n v="0.23000000417232513"/>
    <n v="3.0999999046325684"/>
    <n v="6932.7380000000003"/>
  </r>
  <r>
    <x v="9"/>
    <m/>
    <n v="0"/>
    <x v="0"/>
    <n v="1"/>
    <n v="0"/>
    <n v="152876"/>
    <n v="21456"/>
    <n v="1"/>
    <n v="672"/>
    <s v="Post and beam"/>
    <x v="1"/>
    <x v="0"/>
    <s v=""/>
    <s v=""/>
    <s v=""/>
    <n v="0.23000000417232513"/>
    <n v="3.0999999046325684"/>
    <n v="1612.692"/>
  </r>
  <r>
    <x v="9"/>
    <m/>
    <n v="0"/>
    <x v="0"/>
    <n v="1"/>
    <n v="0"/>
    <n v="55590"/>
    <n v="10337"/>
    <n v="1"/>
    <n v="1340"/>
    <s v=""/>
    <x v="1"/>
    <x v="2"/>
    <s v=""/>
    <s v=""/>
    <s v=""/>
    <n v="0.23000000417232513"/>
    <n v="3.0999999046325684"/>
    <n v="1188.027"/>
  </r>
  <r>
    <x v="9"/>
    <m/>
    <n v="0"/>
    <x v="0"/>
    <n v="1"/>
    <n v="0"/>
    <n v="97321"/>
    <n v="10629"/>
    <n v="1"/>
    <n v="1790"/>
    <s v="Post and beam"/>
    <x v="3"/>
    <x v="1"/>
    <s v=""/>
    <s v=""/>
    <s v=""/>
    <n v="0.23000000417232513"/>
    <n v="3.0999999046325684"/>
    <n v="4956.4930000000004"/>
  </r>
  <r>
    <x v="9"/>
    <m/>
    <n v="0"/>
    <x v="0"/>
    <n v="0"/>
    <m/>
    <n v="159813"/>
    <n v="11051"/>
    <n v="1"/>
    <n v="1010"/>
    <s v="Joist"/>
    <x v="0"/>
    <x v="0"/>
    <s v=""/>
    <s v=""/>
    <s v=""/>
    <n v="0.23000000417232513"/>
    <n v="5"/>
    <n v="6932.7380000000003"/>
  </r>
  <r>
    <x v="9"/>
    <m/>
    <n v="1"/>
    <x v="3"/>
    <n v="1"/>
    <n v="0"/>
    <n v="682276"/>
    <n v="24844"/>
    <n v="1"/>
    <n v="741"/>
    <s v="Joist"/>
    <x v="3"/>
    <x v="1"/>
    <s v=""/>
    <s v="could not locate crawl. TJIS visible through foundation vents. no insulation visible. INfo enetered is typical of this era"/>
    <s v=""/>
    <n v="0.23000000417232513"/>
    <n v="3.9000000953674316"/>
    <n v="3785.7640000000001"/>
  </r>
  <r>
    <x v="9"/>
    <m/>
    <n v="0"/>
    <x v="0"/>
    <n v="0"/>
    <n v="0"/>
    <n v="47094"/>
    <n v="12263"/>
    <n v="1"/>
    <n v="825"/>
    <s v="Post and beam"/>
    <x v="3"/>
    <x v="1"/>
    <s v=""/>
    <s v=""/>
    <s v=""/>
    <n v="0.23000000417232513"/>
    <n v="5"/>
    <n v="1524.7619999999999"/>
  </r>
  <r>
    <x v="9"/>
    <m/>
    <n v="0"/>
    <x v="0"/>
    <n v="1"/>
    <n v="0"/>
    <n v="201901"/>
    <n v="22087"/>
    <n v="1"/>
    <n v="1160"/>
    <s v="Post and beam"/>
    <x v="1"/>
    <x v="0"/>
    <s v=""/>
    <s v=""/>
    <s v=""/>
    <n v="0.23000000417232513"/>
    <n v="3.0999999046325684"/>
    <n v="1612.692"/>
  </r>
  <r>
    <x v="9"/>
    <m/>
    <n v="0"/>
    <x v="0"/>
    <n v="1"/>
    <n v="1"/>
    <n v="174626"/>
    <n v="22175"/>
    <n v="1"/>
    <n v="1096"/>
    <s v="Joist"/>
    <x v="4"/>
    <x v="1"/>
    <s v=""/>
    <s v=""/>
    <s v=""/>
    <n v="0.23000000417232513"/>
    <n v="4.5"/>
    <n v="2079.9929999999999"/>
  </r>
  <r>
    <x v="9"/>
    <m/>
    <n v="1"/>
    <x v="3"/>
    <n v="1"/>
    <n v="1"/>
    <n v="185981"/>
    <n v="24207"/>
    <n v="1"/>
    <n v="910"/>
    <s v="Post and beam"/>
    <x v="1"/>
    <x v="0"/>
    <s v=""/>
    <s v=""/>
    <s v=""/>
    <n v="0.23000000417232513"/>
    <n v="7.5999999046325684"/>
    <n v="1925.059"/>
  </r>
  <r>
    <x v="9"/>
    <m/>
    <n v="0"/>
    <x v="0"/>
    <n v="0"/>
    <n v="0"/>
    <n v="117796"/>
    <n v="10491"/>
    <n v="1"/>
    <n v="1035"/>
    <s v="Post and beam"/>
    <x v="3"/>
    <x v="1"/>
    <s v=""/>
    <s v=""/>
    <s v=""/>
    <n v="0.23000000417232513"/>
    <n v="5"/>
    <n v="1464.694"/>
  </r>
  <r>
    <x v="9"/>
    <m/>
    <n v="0"/>
    <x v="0"/>
    <n v="0"/>
    <m/>
    <n v="192685"/>
    <n v="20016"/>
    <n v="1"/>
    <n v="780"/>
    <s v="Joist"/>
    <x v="3"/>
    <x v="1"/>
    <s v=""/>
    <s v=""/>
    <s v=""/>
    <n v="0.23000000417232513"/>
    <n v="5"/>
    <n v="12271.31"/>
  </r>
  <r>
    <x v="9"/>
    <m/>
    <n v="1"/>
    <x v="3"/>
    <n v="1"/>
    <n v="1"/>
    <n v="209852"/>
    <n v="21708"/>
    <n v="1"/>
    <n v="1392"/>
    <s v="Joist"/>
    <x v="3"/>
    <x v="1"/>
    <s v=""/>
    <s v=""/>
    <s v=""/>
    <n v="0.23000000417232513"/>
    <n v="7.5999999046325684"/>
    <n v="3785.7640000000001"/>
  </r>
  <r>
    <x v="9"/>
    <m/>
    <n v="0"/>
    <x v="0"/>
    <n v="0"/>
    <n v="0"/>
    <n v="81373"/>
    <n v="22897"/>
    <n v="1"/>
    <n v="1350"/>
    <s v="Post and beam"/>
    <x v="0"/>
    <x v="1"/>
    <s v=""/>
    <s v=""/>
    <s v=""/>
    <n v="0.23000000417232513"/>
    <n v="5"/>
    <n v="2079.9929999999999"/>
  </r>
  <r>
    <x v="9"/>
    <m/>
    <n v="0"/>
    <x v="0"/>
    <n v="1"/>
    <n v="0"/>
    <n v="100598"/>
    <n v="20265"/>
    <n v="1"/>
    <n v="1936"/>
    <s v="Post and beam"/>
    <x v="2"/>
    <x v="1"/>
    <s v=""/>
    <s v=""/>
    <s v=""/>
    <n v="0.23000000417232513"/>
    <n v="3.0999999046325684"/>
    <n v="1925.059"/>
  </r>
  <r>
    <x v="9"/>
    <m/>
    <n v="0"/>
    <x v="0"/>
    <n v="1"/>
    <n v="1"/>
    <n v="74116"/>
    <n v="10211"/>
    <n v="1"/>
    <n v="959"/>
    <s v="Post and beam"/>
    <x v="3"/>
    <x v="1"/>
    <s v=""/>
    <s v=""/>
    <s v=""/>
    <n v="0.23000000417232513"/>
    <n v="4.5"/>
    <n v="1524.7619999999999"/>
  </r>
  <r>
    <x v="9"/>
    <m/>
    <n v="1"/>
    <x v="3"/>
    <n v="0"/>
    <m/>
    <n v="137950"/>
    <n v="23621"/>
    <n v="1"/>
    <n v="742"/>
    <s v="Joist"/>
    <x v="3"/>
    <x v="1"/>
    <s v=""/>
    <s v=""/>
    <s v=""/>
    <n v="0.23000000417232513"/>
    <n v="9.1000003814697266"/>
    <n v="2130.886"/>
  </r>
  <r>
    <x v="9"/>
    <m/>
    <n v="1"/>
    <x v="1"/>
    <n v="0"/>
    <m/>
    <n v="229701"/>
    <n v="20108"/>
    <n v="1"/>
    <n v="1695"/>
    <s v="Joist"/>
    <x v="3"/>
    <x v="1"/>
    <s v=""/>
    <s v="IBSULATION FALLING DOWN UNFACED FIBERGLASS BATT INSUL"/>
    <s v=""/>
    <n v="0.23000000417232513"/>
    <n v="10.300000190734863"/>
    <n v="3785.7640000000001"/>
  </r>
  <r>
    <x v="9"/>
    <m/>
    <n v="0"/>
    <x v="0"/>
    <n v="0"/>
    <n v="0"/>
    <n v="103568"/>
    <n v="23318"/>
    <n v="1"/>
    <n v="528"/>
    <s v="Post and beam"/>
    <x v="2"/>
    <x v="1"/>
    <s v=""/>
    <s v=""/>
    <s v=""/>
    <n v="0.23000000417232513"/>
    <n v="5"/>
    <n v="1144.6790000000001"/>
  </r>
  <r>
    <x v="9"/>
    <m/>
    <n v="0"/>
    <x v="0"/>
    <n v="1"/>
    <n v="0"/>
    <n v="182875"/>
    <n v="11815"/>
    <n v="1"/>
    <n v="1190"/>
    <s v="Joist"/>
    <x v="0"/>
    <x v="1"/>
    <s v=""/>
    <s v=""/>
    <s v=""/>
    <n v="0.23000000417232513"/>
    <n v="3.0999999046325684"/>
    <n v="6932.7380000000003"/>
  </r>
  <r>
    <x v="9"/>
    <m/>
    <n v="0"/>
    <x v="0"/>
    <n v="1"/>
    <n v="0"/>
    <n v="55847"/>
    <n v="10661"/>
    <n v="1"/>
    <n v="1200"/>
    <s v="Joist"/>
    <x v="2"/>
    <x v="1"/>
    <s v=""/>
    <s v=""/>
    <s v=""/>
    <n v="0.23000000417232513"/>
    <n v="3.0999999046325684"/>
    <n v="1524.7619999999999"/>
  </r>
  <r>
    <x v="9"/>
    <m/>
    <n v="0"/>
    <x v="0"/>
    <n v="1"/>
    <n v="0"/>
    <n v="153362"/>
    <n v="13242"/>
    <n v="1"/>
    <n v="1280"/>
    <s v="Post and beam"/>
    <x v="1"/>
    <x v="1"/>
    <s v=""/>
    <s v=""/>
    <s v=""/>
    <n v="0.23000000417232513"/>
    <n v="3.0999999046325684"/>
    <n v="4956.4930000000004"/>
  </r>
  <r>
    <x v="9"/>
    <m/>
    <n v="0"/>
    <x v="0"/>
    <n v="1"/>
    <n v="0"/>
    <n v="190008"/>
    <n v="23262"/>
    <n v="1"/>
    <n v="1307"/>
    <s v="Joist"/>
    <x v="0"/>
    <x v="0"/>
    <s v=""/>
    <s v=""/>
    <s v=""/>
    <n v="0.23000000417232513"/>
    <n v="3.0999999046325684"/>
    <n v="1612.692"/>
  </r>
  <r>
    <x v="9"/>
    <m/>
    <n v="0"/>
    <x v="0"/>
    <n v="0"/>
    <n v="0"/>
    <n v="52640"/>
    <n v="23676"/>
    <n v="1"/>
    <n v="1350"/>
    <s v="Joist"/>
    <x v="0"/>
    <x v="1"/>
    <s v=""/>
    <s v=""/>
    <s v=""/>
    <n v="0.23000000417232513"/>
    <n v="5"/>
    <n v="2079.9929999999999"/>
  </r>
  <r>
    <x v="9"/>
    <m/>
    <n v="1"/>
    <x v="1"/>
    <n v="1"/>
    <n v="0"/>
    <n v="100004"/>
    <n v="23611"/>
    <n v="1"/>
    <n v="1808"/>
    <s v="Joist"/>
    <x v="4"/>
    <x v="1"/>
    <s v="Fiberglass - Tied, stays"/>
    <s v=""/>
    <s v=""/>
    <n v="0.23000000417232513"/>
    <n v="4.5"/>
    <n v="1144.6790000000001"/>
  </r>
  <r>
    <x v="9"/>
    <m/>
    <n v="0"/>
    <x v="0"/>
    <n v="0"/>
    <m/>
    <n v="204822"/>
    <n v="21701"/>
    <n v="1"/>
    <n v="154"/>
    <s v="Post and beam"/>
    <x v="1"/>
    <x v="0"/>
    <s v=""/>
    <s v=""/>
    <s v=""/>
    <n v="0.23000000417232513"/>
    <n v="5"/>
    <n v="1144.6790000000001"/>
  </r>
  <r>
    <x v="9"/>
    <m/>
    <n v="0"/>
    <x v="0"/>
    <n v="1"/>
    <n v="0"/>
    <n v="120917"/>
    <n v="11163"/>
    <n v="1"/>
    <n v="1888"/>
    <s v="Post and beam"/>
    <x v="0"/>
    <x v="1"/>
    <s v=""/>
    <s v=""/>
    <s v=""/>
    <n v="0.23000000417232513"/>
    <n v="3.0999999046325684"/>
    <n v="4956.4930000000004"/>
  </r>
  <r>
    <x v="9"/>
    <m/>
    <n v="0"/>
    <x v="0"/>
    <n v="0"/>
    <m/>
    <n v="132966"/>
    <n v="23765"/>
    <n v="1"/>
    <n v="1470"/>
    <s v="Joist"/>
    <x v="0"/>
    <x v="1"/>
    <s v=""/>
    <s v=""/>
    <s v=""/>
    <n v="0.23000000417232513"/>
    <n v="5"/>
    <n v="1144.6790000000001"/>
  </r>
  <r>
    <x v="9"/>
    <m/>
    <n v="0"/>
    <x v="0"/>
    <n v="1"/>
    <n v="0"/>
    <n v="207623"/>
    <n v="14162"/>
    <n v="1"/>
    <n v="630"/>
    <s v="Joist"/>
    <x v="2"/>
    <x v="0"/>
    <s v=""/>
    <s v=""/>
    <s v=""/>
    <n v="0.23000000417232513"/>
    <n v="3.0999999046325684"/>
    <n v="1464.694"/>
  </r>
  <r>
    <x v="9"/>
    <m/>
    <n v="0"/>
    <x v="0"/>
    <n v="0"/>
    <m/>
    <n v="208176"/>
    <n v="20758"/>
    <n v="1"/>
    <n v="1591"/>
    <s v="Joist"/>
    <x v="0"/>
    <x v="0"/>
    <s v=""/>
    <s v=""/>
    <s v=""/>
    <n v="0.23000000417232513"/>
    <n v="5"/>
    <n v="1904.288"/>
  </r>
  <r>
    <x v="9"/>
    <m/>
    <n v="1"/>
    <x v="3"/>
    <n v="1"/>
    <n v="1"/>
    <n v="151436"/>
    <n v="22566"/>
    <n v="1"/>
    <n v="849"/>
    <s v="Joist"/>
    <x v="3"/>
    <x v="1"/>
    <s v=""/>
    <s v=""/>
    <s v=""/>
    <n v="0.23000000417232513"/>
    <n v="7.5999999046325684"/>
    <n v="1144.6790000000001"/>
  </r>
  <r>
    <x v="9"/>
    <m/>
    <n v="0"/>
    <x v="0"/>
    <n v="1"/>
    <n v="0"/>
    <n v="58070"/>
    <n v="24662"/>
    <n v="1"/>
    <n v="1820"/>
    <s v="Joist"/>
    <x v="2"/>
    <x v="0"/>
    <s v=""/>
    <s v=""/>
    <s v=""/>
    <n v="0.23000000417232513"/>
    <n v="3.0999999046325684"/>
    <n v="2079.9929999999999"/>
  </r>
  <r>
    <x v="9"/>
    <m/>
    <n v="0"/>
    <x v="0"/>
    <n v="1"/>
    <n v="0"/>
    <n v="224072"/>
    <n v="10710"/>
    <n v="1"/>
    <n v="2290"/>
    <s v="Joist"/>
    <x v="4"/>
    <x v="1"/>
    <s v=""/>
    <s v=""/>
    <s v=""/>
    <n v="0.23000000417232513"/>
    <n v="3.0999999046325684"/>
    <n v="6932.7380000000003"/>
  </r>
  <r>
    <x v="9"/>
    <m/>
    <n v="1"/>
    <x v="3"/>
    <n v="1"/>
    <n v="0"/>
    <n v="95097"/>
    <n v="21233"/>
    <n v="1"/>
    <n v="1300"/>
    <s v="Post and beam"/>
    <x v="4"/>
    <x v="1"/>
    <s v="Fiberglass - Tied, stays"/>
    <s v=""/>
    <s v=""/>
    <n v="0.23000000417232513"/>
    <n v="3.9000000953674316"/>
    <n v="2130.886"/>
  </r>
  <r>
    <x v="9"/>
    <m/>
    <n v="0"/>
    <x v="0"/>
    <n v="0"/>
    <m/>
    <n v="231854"/>
    <n v="23446"/>
    <n v="1"/>
    <n v="1200"/>
    <s v="Joist"/>
    <x v="2"/>
    <x v="0"/>
    <s v=""/>
    <s v=""/>
    <s v=""/>
    <n v="0.23000000417232513"/>
    <n v="5"/>
    <n v="2079.9929999999999"/>
  </r>
  <r>
    <x v="9"/>
    <m/>
    <n v="0"/>
    <x v="0"/>
    <n v="0"/>
    <n v="0"/>
    <n v="28014"/>
    <n v="12496"/>
    <n v="1"/>
    <n v="975"/>
    <s v="Post and beam"/>
    <x v="2"/>
    <x v="0"/>
    <s v=""/>
    <s v=""/>
    <s v=""/>
    <n v="0.23000000417232513"/>
    <n v="5"/>
    <n v="1150.8789999999999"/>
  </r>
  <r>
    <x v="9"/>
    <m/>
    <n v="0"/>
    <x v="0"/>
    <n v="0"/>
    <m/>
    <n v="206856"/>
    <n v="11958"/>
    <n v="1"/>
    <n v="1026"/>
    <s v="Joist"/>
    <x v="3"/>
    <x v="1"/>
    <s v=""/>
    <s v=""/>
    <s v=""/>
    <n v="0.23000000417232513"/>
    <n v="5"/>
    <n v="6932.7380000000003"/>
  </r>
  <r>
    <x v="9"/>
    <m/>
    <n v="0"/>
    <x v="0"/>
    <n v="1"/>
    <n v="1"/>
    <n v="158299"/>
    <n v="22289"/>
    <n v="1"/>
    <n v="1296"/>
    <s v="Post and beam"/>
    <x v="1"/>
    <x v="0"/>
    <s v=""/>
    <s v=""/>
    <s v=""/>
    <n v="0.23000000417232513"/>
    <n v="4.5"/>
    <n v="4360.1880000000001"/>
  </r>
  <r>
    <x v="9"/>
    <m/>
    <n v="0"/>
    <x v="0"/>
    <n v="0"/>
    <n v="1"/>
    <n v="129007"/>
    <n v="24246"/>
    <n v="1"/>
    <n v="120"/>
    <s v="Joist"/>
    <x v="0"/>
    <x v="1"/>
    <s v=""/>
    <s v=""/>
    <s v=""/>
    <n v="0.23000000417232513"/>
    <n v="5"/>
    <n v="3785.7640000000001"/>
  </r>
  <r>
    <x v="9"/>
    <m/>
    <n v="0"/>
    <x v="0"/>
    <n v="1"/>
    <n v="1"/>
    <n v="681581"/>
    <n v="12434"/>
    <n v="1"/>
    <n v="1477"/>
    <s v="Post and beam"/>
    <x v="1"/>
    <x v="0"/>
    <s v=""/>
    <s v=""/>
    <s v=""/>
    <n v="0.23000000417232513"/>
    <n v="4.5"/>
    <n v="6932.7380000000003"/>
  </r>
  <r>
    <x v="9"/>
    <m/>
    <n v="0"/>
    <x v="0"/>
    <n v="0"/>
    <n v="0"/>
    <n v="86342"/>
    <n v="12620"/>
    <n v="2"/>
    <n v="105"/>
    <s v="Post and beam"/>
    <x v="0"/>
    <x v="1"/>
    <s v=""/>
    <s v=""/>
    <s v=""/>
    <n v="0.23000000417232513"/>
    <n v="5"/>
    <n v="2003.7159999999999"/>
  </r>
  <r>
    <x v="9"/>
    <m/>
    <n v="1"/>
    <x v="3"/>
    <n v="1"/>
    <n v="0"/>
    <n v="83985"/>
    <n v="21977"/>
    <n v="1"/>
    <n v="1249"/>
    <s v="Joist"/>
    <x v="0"/>
    <x v="1"/>
    <s v="Rigid"/>
    <s v=""/>
    <s v=""/>
    <n v="0.23000000417232513"/>
    <n v="3.9000000953674316"/>
    <n v="8559.1039999999994"/>
  </r>
  <r>
    <x v="9"/>
    <m/>
    <n v="0"/>
    <x v="0"/>
    <n v="0"/>
    <n v="0"/>
    <n v="79717"/>
    <n v="13232"/>
    <n v="1"/>
    <n v="210"/>
    <s v="Joist"/>
    <x v="0"/>
    <x v="0"/>
    <s v=""/>
    <s v=""/>
    <s v=""/>
    <n v="0.23000000417232513"/>
    <n v="5"/>
    <n v="2003.7159999999999"/>
  </r>
  <r>
    <x v="9"/>
    <m/>
    <n v="1"/>
    <x v="1"/>
    <n v="1"/>
    <n v="1"/>
    <n v="143709"/>
    <n v="24456"/>
    <n v="1"/>
    <n v="1424"/>
    <s v="Joist"/>
    <x v="4"/>
    <x v="1"/>
    <s v=""/>
    <s v=""/>
    <s v=""/>
    <n v="0.23000000417232513"/>
    <n v="8.3999996185302734"/>
    <n v="2130.886"/>
  </r>
  <r>
    <x v="9"/>
    <m/>
    <n v="1"/>
    <x v="3"/>
    <n v="1"/>
    <n v="0"/>
    <n v="185200"/>
    <n v="14037"/>
    <n v="1"/>
    <n v="90"/>
    <s v="Joist"/>
    <x v="3"/>
    <x v="1"/>
    <s v=""/>
    <s v=""/>
    <s v=""/>
    <n v="0.23000000417232513"/>
    <n v="3.9000000953674316"/>
    <n v="1524.7619999999999"/>
  </r>
  <r>
    <x v="9"/>
    <m/>
    <n v="0"/>
    <x v="0"/>
    <n v="0"/>
    <m/>
    <n v="663283"/>
    <n v="21316"/>
    <n v="1"/>
    <n v="986"/>
    <s v="Joist"/>
    <x v="0"/>
    <x v="0"/>
    <s v=""/>
    <s v=""/>
    <s v=""/>
    <n v="0.23000000417232513"/>
    <n v="5"/>
    <n v="3785.7640000000001"/>
  </r>
  <r>
    <x v="9"/>
    <m/>
    <n v="0"/>
    <x v="0"/>
    <n v="1"/>
    <n v="0"/>
    <n v="166044"/>
    <n v="23403"/>
    <n v="1"/>
    <n v="676"/>
    <s v="Joist"/>
    <x v="0"/>
    <x v="1"/>
    <s v=""/>
    <s v=""/>
    <s v=""/>
    <n v="0.23000000417232513"/>
    <n v="3.0999999046325684"/>
    <n v="3785.7640000000001"/>
  </r>
  <r>
    <x v="9"/>
    <m/>
    <n v="0"/>
    <x v="0"/>
    <n v="1"/>
    <n v="0"/>
    <n v="54867"/>
    <n v="10044"/>
    <n v="1"/>
    <n v="943"/>
    <s v="Joist"/>
    <x v="4"/>
    <x v="1"/>
    <s v=""/>
    <s v=""/>
    <s v=""/>
    <n v="0.23000000417232513"/>
    <n v="3.0999999046325684"/>
    <n v="2003.7159999999999"/>
  </r>
  <r>
    <x v="9"/>
    <m/>
    <n v="0"/>
    <x v="0"/>
    <n v="1"/>
    <n v="0"/>
    <n v="110915"/>
    <n v="22944"/>
    <n v="1"/>
    <n v="1090"/>
    <s v="Joist"/>
    <x v="3"/>
    <x v="0"/>
    <s v=""/>
    <s v=""/>
    <s v=""/>
    <n v="0.23000000417232513"/>
    <n v="3.0999999046325684"/>
    <n v="2079.9929999999999"/>
  </r>
  <r>
    <x v="9"/>
    <m/>
    <n v="0"/>
    <x v="0"/>
    <n v="1"/>
    <n v="1"/>
    <n v="113629"/>
    <n v="14122"/>
    <n v="1"/>
    <n v="1332"/>
    <s v="Joist"/>
    <x v="0"/>
    <x v="1"/>
    <s v=""/>
    <s v=""/>
    <s v=""/>
    <n v="0.23000000417232513"/>
    <n v="4.5"/>
    <n v="1464.694"/>
  </r>
  <r>
    <x v="9"/>
    <m/>
    <n v="0"/>
    <x v="0"/>
    <n v="1"/>
    <n v="0"/>
    <n v="100417"/>
    <n v="11003"/>
    <n v="1"/>
    <n v="504"/>
    <s v="Joist"/>
    <x v="0"/>
    <x v="0"/>
    <s v=""/>
    <s v=""/>
    <s v=""/>
    <n v="0.23000000417232513"/>
    <n v="3.0999999046325684"/>
    <n v="2003.7159999999999"/>
  </r>
  <r>
    <x v="9"/>
    <m/>
    <n v="0"/>
    <x v="0"/>
    <n v="0"/>
    <m/>
    <n v="165739"/>
    <n v="13129"/>
    <n v="1"/>
    <n v="2962"/>
    <s v="Post and beam"/>
    <x v="1"/>
    <x v="1"/>
    <s v=""/>
    <s v=""/>
    <s v=""/>
    <n v="0.23000000417232513"/>
    <n v="5"/>
    <n v="4956.4930000000004"/>
  </r>
  <r>
    <x v="9"/>
    <m/>
    <n v="0"/>
    <x v="0"/>
    <n v="1"/>
    <n v="0"/>
    <n v="154144"/>
    <n v="23705"/>
    <n v="1"/>
    <n v="1188"/>
    <s v="Joist"/>
    <x v="4"/>
    <x v="1"/>
    <s v=""/>
    <s v=""/>
    <s v=""/>
    <n v="0.23000000417232513"/>
    <n v="3.0999999046325684"/>
    <n v="1612.692"/>
  </r>
  <r>
    <x v="9"/>
    <m/>
    <n v="0"/>
    <x v="0"/>
    <n v="1"/>
    <n v="0"/>
    <n v="107743"/>
    <n v="24696"/>
    <n v="1"/>
    <n v="475"/>
    <s v="Joist"/>
    <x v="2"/>
    <x v="0"/>
    <s v=""/>
    <s v=""/>
    <s v=""/>
    <n v="0.23000000417232513"/>
    <n v="3.0999999046325684"/>
    <n v="2079.9929999999999"/>
  </r>
  <r>
    <x v="9"/>
    <m/>
    <n v="1"/>
    <x v="2"/>
    <n v="0"/>
    <m/>
    <n v="225718"/>
    <n v="24373"/>
    <n v="1"/>
    <n v="391"/>
    <s v="Joist"/>
    <x v="4"/>
    <x v="1"/>
    <s v=""/>
    <s v="r25 wall"/>
    <s v=""/>
    <n v="0.23000000417232513"/>
    <n v="10.699999809265137"/>
    <n v="1904.288"/>
  </r>
  <r>
    <x v="9"/>
    <m/>
    <n v="0"/>
    <x v="0"/>
    <n v="1"/>
    <n v="1"/>
    <n v="724892"/>
    <n v="23384"/>
    <n v="1"/>
    <n v="654"/>
    <s v="Post and beam"/>
    <x v="1"/>
    <x v="0"/>
    <s v=""/>
    <s v="not directly accessible, photo through vent revealed no visible insulation. Discussion with home owner seems to affirm little or no prior rennovation history to the crawl."/>
    <s v=""/>
    <n v="0.23000000417232513"/>
    <n v="4.5"/>
    <n v="8264.9449999999997"/>
  </r>
  <r>
    <x v="9"/>
    <m/>
    <n v="0"/>
    <x v="0"/>
    <n v="1"/>
    <n v="0"/>
    <n v="46304"/>
    <n v="12064"/>
    <n v="1"/>
    <n v="432"/>
    <s v="Joist"/>
    <x v="0"/>
    <x v="1"/>
    <s v=""/>
    <s v=""/>
    <s v=""/>
    <n v="0.23000000417232513"/>
    <n v="3.0999999046325684"/>
    <n v="1524.7619999999999"/>
  </r>
  <r>
    <x v="9"/>
    <m/>
    <n v="0"/>
    <x v="0"/>
    <n v="0"/>
    <m/>
    <n v="191168"/>
    <n v="23939"/>
    <n v="1"/>
    <n v="560"/>
    <s v="Joist"/>
    <x v="4"/>
    <x v="1"/>
    <s v=""/>
    <s v=""/>
    <s v=""/>
    <n v="0.23000000417232513"/>
    <n v="5"/>
    <n v="2130.886"/>
  </r>
  <r>
    <x v="9"/>
    <m/>
    <n v="0"/>
    <x v="0"/>
    <n v="1"/>
    <n v="0"/>
    <n v="224471"/>
    <n v="11475"/>
    <n v="1"/>
    <n v="605"/>
    <s v="Post and beam"/>
    <x v="1"/>
    <x v="0"/>
    <s v=""/>
    <s v=""/>
    <s v=""/>
    <n v="0.23000000417232513"/>
    <n v="3.0999999046325684"/>
    <n v="6932.7380000000003"/>
  </r>
  <r>
    <x v="9"/>
    <m/>
    <n v="0"/>
    <x v="0"/>
    <n v="0"/>
    <m/>
    <n v="159202"/>
    <n v="11452"/>
    <n v="1"/>
    <n v="400"/>
    <s v="Post and beam"/>
    <x v="1"/>
    <x v="0"/>
    <s v=""/>
    <s v=""/>
    <s v=""/>
    <n v="0.23000000417232513"/>
    <n v="5"/>
    <n v="6932.7380000000003"/>
  </r>
  <r>
    <x v="9"/>
    <m/>
    <n v="0"/>
    <x v="0"/>
    <n v="0"/>
    <m/>
    <n v="155141"/>
    <n v="20043"/>
    <n v="1"/>
    <n v="1036"/>
    <s v="Joist"/>
    <x v="0"/>
    <x v="0"/>
    <s v=""/>
    <s v=""/>
    <s v=""/>
    <n v="0.23000000417232513"/>
    <n v="5"/>
    <n v="1904.288"/>
  </r>
  <r>
    <x v="9"/>
    <m/>
    <n v="1"/>
    <x v="1"/>
    <n v="1"/>
    <n v="0"/>
    <n v="95719"/>
    <n v="23502"/>
    <n v="1"/>
    <n v="1274"/>
    <s v="Joist"/>
    <x v="3"/>
    <x v="1"/>
    <s v="Fiberglass - Tied, stays"/>
    <s v=""/>
    <s v=""/>
    <n v="0.23000000417232513"/>
    <n v="4.5"/>
    <n v="1144.6790000000001"/>
  </r>
  <r>
    <x v="9"/>
    <m/>
    <n v="0"/>
    <x v="0"/>
    <n v="0"/>
    <n v="1"/>
    <n v="106527"/>
    <n v="23400"/>
    <n v="1"/>
    <n v="413"/>
    <s v="Joist"/>
    <x v="0"/>
    <x v="1"/>
    <s v=""/>
    <s v=""/>
    <s v=""/>
    <n v="0.23000000417232513"/>
    <n v="5"/>
    <n v="3785.7640000000001"/>
  </r>
  <r>
    <x v="9"/>
    <m/>
    <n v="1"/>
    <x v="1"/>
    <n v="0"/>
    <n v="0"/>
    <n v="109257"/>
    <n v="24418"/>
    <n v="1"/>
    <n v="570"/>
    <s v="Joist"/>
    <x v="4"/>
    <x v="1"/>
    <s v="Rigid"/>
    <s v=""/>
    <s v=""/>
    <n v="0.23000000417232513"/>
    <n v="10.300000190734863"/>
    <n v="1144.6790000000001"/>
  </r>
  <r>
    <x v="9"/>
    <m/>
    <n v="0"/>
    <x v="0"/>
    <n v="1"/>
    <n v="0"/>
    <n v="62173"/>
    <n v="12759"/>
    <n v="1"/>
    <n v="950"/>
    <s v="Post and beam"/>
    <x v="0"/>
    <x v="1"/>
    <s v=""/>
    <s v=""/>
    <s v=""/>
    <n v="0.23000000417232513"/>
    <n v="3.0999999046325684"/>
    <n v="2003.7159999999999"/>
  </r>
  <r>
    <x v="9"/>
    <m/>
    <n v="0"/>
    <x v="0"/>
    <n v="0"/>
    <m/>
    <n v="203593"/>
    <n v="21689"/>
    <n v="1"/>
    <n v="1054"/>
    <s v="Joist"/>
    <x v="3"/>
    <x v="0"/>
    <s v=""/>
    <s v=""/>
    <s v=""/>
    <n v="0.23000000417232513"/>
    <n v="5"/>
    <n v="3785.7640000000001"/>
  </r>
  <r>
    <x v="9"/>
    <m/>
    <n v="0"/>
    <x v="0"/>
    <n v="0"/>
    <m/>
    <n v="28386"/>
    <n v="11178"/>
    <n v="1"/>
    <n v="816"/>
    <s v="Joist"/>
    <x v="3"/>
    <x v="1"/>
    <s v=""/>
    <s v=""/>
    <s v=""/>
    <n v="0.23000000417232513"/>
    <n v="5"/>
    <n v="1524.7619999999999"/>
  </r>
  <r>
    <x v="9"/>
    <m/>
    <n v="0"/>
    <x v="0"/>
    <n v="1"/>
    <n v="0"/>
    <n v="803441"/>
    <n v="24349"/>
    <n v="1"/>
    <n v="840"/>
    <s v="Joist"/>
    <x v="0"/>
    <x v="0"/>
    <s v=""/>
    <s v=""/>
    <s v=""/>
    <n v="0.23000000417232513"/>
    <n v="3.0999999046325684"/>
    <n v="8559.1039999999994"/>
  </r>
  <r>
    <x v="9"/>
    <m/>
    <n v="0"/>
    <x v="0"/>
    <n v="1"/>
    <n v="1"/>
    <n v="57427"/>
    <n v="22411"/>
    <n v="1"/>
    <n v="1980"/>
    <s v="Joist"/>
    <x v="2"/>
    <x v="1"/>
    <s v=""/>
    <s v=""/>
    <s v=""/>
    <n v="0.23000000417232513"/>
    <n v="4.5"/>
    <n v="2079.9929999999999"/>
  </r>
  <r>
    <x v="9"/>
    <m/>
    <n v="0"/>
    <x v="0"/>
    <n v="1"/>
    <n v="0"/>
    <n v="134513"/>
    <n v="23235"/>
    <n v="1"/>
    <n v="936"/>
    <s v="Post and beam"/>
    <x v="1"/>
    <x v="0"/>
    <s v=""/>
    <s v=""/>
    <s v=""/>
    <n v="0.23000000417232513"/>
    <n v="3.0999999046325684"/>
    <n v="1612.692"/>
  </r>
  <r>
    <x v="9"/>
    <m/>
    <n v="0"/>
    <x v="0"/>
    <n v="1"/>
    <n v="0"/>
    <n v="227258"/>
    <n v="11030"/>
    <n v="1"/>
    <n v="958"/>
    <s v="Joist"/>
    <x v="2"/>
    <x v="0"/>
    <s v=""/>
    <s v=""/>
    <s v=""/>
    <n v="0.23000000417232513"/>
    <n v="3.0999999046325684"/>
    <n v="1464.694"/>
  </r>
  <r>
    <x v="9"/>
    <m/>
    <n v="0"/>
    <x v="0"/>
    <n v="1"/>
    <n v="0"/>
    <n v="89647"/>
    <n v="24655"/>
    <n v="1"/>
    <n v="891"/>
    <s v="Post and beam"/>
    <x v="2"/>
    <x v="1"/>
    <s v=""/>
    <s v=""/>
    <s v=""/>
    <n v="0.23000000417232513"/>
    <n v="3.0999999046325684"/>
    <n v="1144.6790000000001"/>
  </r>
  <r>
    <x v="9"/>
    <m/>
    <n v="0"/>
    <x v="0"/>
    <n v="1"/>
    <n v="0"/>
    <n v="123569"/>
    <n v="21277"/>
    <n v="1"/>
    <n v="1610"/>
    <s v="Joist"/>
    <x v="0"/>
    <x v="0"/>
    <s v=""/>
    <s v=""/>
    <s v=""/>
    <n v="0.23000000417232513"/>
    <n v="3.0999999046325684"/>
    <n v="1612.692"/>
  </r>
  <r>
    <x v="9"/>
    <m/>
    <n v="0"/>
    <x v="0"/>
    <n v="0"/>
    <m/>
    <n v="203792"/>
    <n v="20106"/>
    <n v="1"/>
    <n v="1008"/>
    <s v="Post and beam"/>
    <x v="1"/>
    <x v="1"/>
    <s v=""/>
    <s v=""/>
    <s v=""/>
    <n v="0.23000000417232513"/>
    <n v="5"/>
    <n v="3785.7640000000001"/>
  </r>
  <r>
    <x v="9"/>
    <m/>
    <n v="0"/>
    <x v="0"/>
    <n v="1"/>
    <n v="0"/>
    <n v="68557"/>
    <n v="20100"/>
    <n v="1"/>
    <n v="1152"/>
    <s v="Post and beam"/>
    <x v="3"/>
    <x v="1"/>
    <s v=""/>
    <s v=""/>
    <s v=""/>
    <n v="0.23000000417232513"/>
    <n v="3.0999999046325684"/>
    <n v="2130.886"/>
  </r>
  <r>
    <x v="9"/>
    <m/>
    <n v="1"/>
    <x v="1"/>
    <n v="1"/>
    <n v="0"/>
    <n v="43629"/>
    <n v="21366"/>
    <n v="1"/>
    <n v="2800"/>
    <s v="Joist"/>
    <x v="4"/>
    <x v="1"/>
    <s v="Rigid"/>
    <s v=""/>
    <s v=""/>
    <n v="0.23000000417232513"/>
    <n v="4.5"/>
    <n v="2130.886"/>
  </r>
  <r>
    <x v="9"/>
    <m/>
    <n v="1"/>
    <x v="3"/>
    <n v="1"/>
    <n v="0"/>
    <n v="219677"/>
    <n v="11504"/>
    <n v="1"/>
    <n v="1232"/>
    <s v="Post and beam"/>
    <x v="1"/>
    <x v="0"/>
    <s v=""/>
    <s v=""/>
    <s v=""/>
    <n v="0.23000000417232513"/>
    <n v="3.9000000953674316"/>
    <n v="6932.7380000000003"/>
  </r>
  <r>
    <x v="9"/>
    <m/>
    <n v="0"/>
    <x v="0"/>
    <n v="0"/>
    <m/>
    <n v="184009"/>
    <n v="21334"/>
    <n v="1"/>
    <n v="1200"/>
    <s v="Joist"/>
    <x v="0"/>
    <x v="0"/>
    <s v=""/>
    <s v=""/>
    <s v=""/>
    <n v="0.23000000417232513"/>
    <n v="5"/>
    <n v="12271.31"/>
  </r>
  <r>
    <x v="9"/>
    <m/>
    <n v="0"/>
    <x v="0"/>
    <n v="1"/>
    <n v="0"/>
    <n v="100226"/>
    <n v="20783"/>
    <n v="1"/>
    <n v="1380"/>
    <s v="Post and beam"/>
    <x v="2"/>
    <x v="1"/>
    <s v=""/>
    <s v=""/>
    <s v=""/>
    <n v="0.23000000417232513"/>
    <n v="3.0999999046325684"/>
    <n v="1144.6790000000001"/>
  </r>
  <r>
    <x v="9"/>
    <m/>
    <n v="0"/>
    <x v="0"/>
    <n v="0"/>
    <m/>
    <n v="232819"/>
    <n v="22632"/>
    <n v="2"/>
    <n v="636"/>
    <s v="Joist"/>
    <x v="4"/>
    <x v="0"/>
    <s v=""/>
    <s v="636 ft2 make up dirt with joists suppporting the house. No access, less than 1 foot between joists and dirt."/>
    <s v=""/>
    <n v="0.23000000417232513"/>
    <n v="5"/>
    <n v="1144.6790000000001"/>
  </r>
  <r>
    <x v="9"/>
    <m/>
    <n v="1"/>
    <x v="3"/>
    <n v="1"/>
    <n v="0"/>
    <n v="56350"/>
    <n v="22955"/>
    <n v="1"/>
    <n v="1468"/>
    <s v="Joist"/>
    <x v="3"/>
    <x v="1"/>
    <s v="Fiberglass - Tied, stays"/>
    <s v=""/>
    <s v=""/>
    <n v="0.23000000417232513"/>
    <n v="3.9000000953674316"/>
    <n v="3785.7640000000001"/>
  </r>
  <r>
    <x v="9"/>
    <m/>
    <n v="0"/>
    <x v="0"/>
    <n v="0"/>
    <m/>
    <n v="175278"/>
    <n v="20357"/>
    <n v="1"/>
    <n v="922"/>
    <s v="Post and beam"/>
    <x v="1"/>
    <x v="0"/>
    <s v=""/>
    <s v=""/>
    <s v=""/>
    <n v="0.23000000417232513"/>
    <n v="5"/>
    <n v="1612.692"/>
  </r>
  <r>
    <x v="9"/>
    <m/>
    <n v="0"/>
    <x v="0"/>
    <n v="0"/>
    <m/>
    <n v="165079"/>
    <n v="20905"/>
    <n v="1"/>
    <n v="860"/>
    <s v="Post and beam"/>
    <x v="1"/>
    <x v="0"/>
    <s v=""/>
    <s v=""/>
    <s v=""/>
    <n v="0.23000000417232513"/>
    <n v="5"/>
    <n v="8264.9449999999997"/>
  </r>
  <r>
    <x v="9"/>
    <m/>
    <n v="0"/>
    <x v="0"/>
    <n v="1"/>
    <n v="0"/>
    <n v="165175"/>
    <n v="21700"/>
    <n v="1"/>
    <n v="888"/>
    <s v="Post and beam"/>
    <x v="1"/>
    <x v="0"/>
    <s v=""/>
    <s v=""/>
    <s v=""/>
    <n v="0.23000000417232513"/>
    <n v="3.0999999046325684"/>
    <n v="8264.9449999999997"/>
  </r>
  <r>
    <x v="9"/>
    <m/>
    <n v="1"/>
    <x v="1"/>
    <n v="1"/>
    <n v="0"/>
    <n v="89577"/>
    <n v="23674"/>
    <n v="1"/>
    <n v="972"/>
    <s v="Post and beam"/>
    <x v="3"/>
    <x v="1"/>
    <s v="Fiberglass - Stapled"/>
    <s v=""/>
    <s v=""/>
    <n v="0.23000000417232513"/>
    <n v="4.5"/>
    <n v="1144.6790000000001"/>
  </r>
  <r>
    <x v="9"/>
    <m/>
    <n v="0"/>
    <x v="0"/>
    <n v="1"/>
    <n v="0"/>
    <n v="678196"/>
    <n v="10887"/>
    <n v="2"/>
    <n v="140"/>
    <s v="Joist"/>
    <x v="2"/>
    <x v="0"/>
    <s v=""/>
    <s v=""/>
    <s v=""/>
    <n v="0.23000000417232513"/>
    <n v="3.0999999046325684"/>
    <n v="1464.694"/>
  </r>
  <r>
    <x v="9"/>
    <m/>
    <n v="0"/>
    <x v="0"/>
    <n v="0"/>
    <m/>
    <n v="164447"/>
    <n v="12782"/>
    <n v="1"/>
    <n v="690"/>
    <s v="Post and beam"/>
    <x v="1"/>
    <x v="0"/>
    <s v=""/>
    <s v=""/>
    <s v=""/>
    <n v="0.23000000417232513"/>
    <n v="5"/>
    <n v="1524.7619999999999"/>
  </r>
  <r>
    <x v="9"/>
    <m/>
    <n v="1"/>
    <x v="1"/>
    <n v="1"/>
    <n v="0"/>
    <n v="74724"/>
    <n v="20066"/>
    <n v="1"/>
    <n v="2300"/>
    <s v="Joist"/>
    <x v="4"/>
    <x v="0"/>
    <s v="Fiberglass - Tied, stays"/>
    <s v=""/>
    <s v=""/>
    <n v="0.23000000417232513"/>
    <n v="4.5"/>
    <n v="2079.9929999999999"/>
  </r>
  <r>
    <x v="9"/>
    <m/>
    <n v="0"/>
    <x v="0"/>
    <n v="0"/>
    <m/>
    <n v="678366"/>
    <n v="14153"/>
    <n v="1"/>
    <n v="961"/>
    <s v="Post and beam"/>
    <x v="1"/>
    <x v="1"/>
    <s v=""/>
    <s v=""/>
    <s v=""/>
    <n v="0.23000000417232513"/>
    <n v="5"/>
    <n v="6932.7380000000003"/>
  </r>
  <r>
    <x v="9"/>
    <m/>
    <n v="1"/>
    <x v="3"/>
    <n v="0"/>
    <m/>
    <n v="222696"/>
    <n v="24462"/>
    <n v="1"/>
    <n v="524"/>
    <s v="Joist"/>
    <x v="0"/>
    <x v="1"/>
    <s v=""/>
    <s v="50% FALLNG DOWN"/>
    <s v=""/>
    <n v="0.23000000417232513"/>
    <n v="9.1000003814697266"/>
    <n v="3785.7640000000001"/>
  </r>
  <r>
    <x v="9"/>
    <m/>
    <n v="1"/>
    <x v="1"/>
    <n v="0"/>
    <m/>
    <n v="131321"/>
    <n v="21228"/>
    <n v="1"/>
    <n v="496"/>
    <s v="Joist"/>
    <x v="3"/>
    <x v="1"/>
    <s v=""/>
    <s v=""/>
    <s v=""/>
    <n v="0.23000000417232513"/>
    <n v="10.300000190734863"/>
    <n v="3785.7640000000001"/>
  </r>
  <r>
    <x v="9"/>
    <m/>
    <n v="0"/>
    <x v="0"/>
    <n v="1"/>
    <n v="0"/>
    <n v="211379"/>
    <n v="13420"/>
    <n v="1"/>
    <n v="1180"/>
    <s v="Joist"/>
    <x v="0"/>
    <x v="1"/>
    <s v=""/>
    <s v=""/>
    <s v=""/>
    <n v="0.23000000417232513"/>
    <n v="3.0999999046325684"/>
    <n v="4956.4930000000004"/>
  </r>
  <r>
    <x v="9"/>
    <m/>
    <n v="1"/>
    <x v="3"/>
    <n v="1"/>
    <n v="1"/>
    <n v="260629"/>
    <n v="23857"/>
    <n v="1"/>
    <n v="1358"/>
    <s v="Joist"/>
    <x v="4"/>
    <x v="1"/>
    <s v=""/>
    <s v=""/>
    <s v=""/>
    <n v="0.23000000417232513"/>
    <n v="7.5999999046325684"/>
    <n v="1144.6790000000001"/>
  </r>
  <r>
    <x v="9"/>
    <m/>
    <n v="0"/>
    <x v="0"/>
    <n v="1"/>
    <n v="1"/>
    <n v="121183"/>
    <n v="20371"/>
    <n v="1"/>
    <n v="1329"/>
    <s v="Joist"/>
    <x v="1"/>
    <x v="0"/>
    <s v=""/>
    <s v="floor joists 2x4"/>
    <s v=""/>
    <n v="0.23000000417232513"/>
    <n v="4.5"/>
    <n v="1925.059"/>
  </r>
  <r>
    <x v="9"/>
    <m/>
    <n v="1"/>
    <x v="1"/>
    <n v="0"/>
    <n v="0"/>
    <n v="87393"/>
    <n v="23846"/>
    <n v="1"/>
    <n v="996"/>
    <s v="Post and beam"/>
    <x v="4"/>
    <x v="1"/>
    <s v="Rigid"/>
    <s v=""/>
    <s v=""/>
    <n v="0.23000000417232513"/>
    <n v="10.300000190734863"/>
    <n v="1144.6790000000001"/>
  </r>
  <r>
    <x v="9"/>
    <m/>
    <n v="1"/>
    <x v="3"/>
    <n v="0"/>
    <m/>
    <n v="233400"/>
    <n v="22138"/>
    <n v="1"/>
    <n v="1608"/>
    <s v="Post and beam"/>
    <x v="1"/>
    <x v="0"/>
    <s v=""/>
    <s v="crawl wall insulation was done poorly ids give it 30%"/>
    <s v=""/>
    <n v="0.23000000417232513"/>
    <n v="9.1000003814697266"/>
    <n v="3785.7640000000001"/>
  </r>
  <r>
    <x v="9"/>
    <m/>
    <n v="0"/>
    <x v="0"/>
    <n v="0"/>
    <m/>
    <n v="171083"/>
    <n v="24572"/>
    <n v="1"/>
    <n v="850"/>
    <s v="Post and beam"/>
    <x v="1"/>
    <x v="1"/>
    <s v=""/>
    <s v=""/>
    <s v=""/>
    <n v="0.23000000417232513"/>
    <n v="5"/>
    <n v="4360.1880000000001"/>
  </r>
  <r>
    <x v="9"/>
    <m/>
    <n v="0"/>
    <x v="0"/>
    <n v="1"/>
    <n v="0"/>
    <n v="238800"/>
    <n v="24232"/>
    <n v="1"/>
    <n v="800"/>
    <s v="Joist"/>
    <x v="0"/>
    <x v="0"/>
    <s v=""/>
    <s v=""/>
    <s v=""/>
    <n v="0.23000000417232513"/>
    <n v="3.0999999046325684"/>
    <n v="2079.9929999999999"/>
  </r>
  <r>
    <x v="9"/>
    <m/>
    <n v="0"/>
    <x v="0"/>
    <n v="0"/>
    <m/>
    <n v="208409"/>
    <n v="23756"/>
    <n v="1"/>
    <n v="330"/>
    <s v="Joist"/>
    <x v="0"/>
    <x v="0"/>
    <s v=""/>
    <s v=""/>
    <s v=""/>
    <n v="0.23000000417232513"/>
    <n v="5"/>
    <n v="1904.288"/>
  </r>
  <r>
    <x v="9"/>
    <m/>
    <n v="0"/>
    <x v="0"/>
    <n v="0"/>
    <m/>
    <n v="31282"/>
    <n v="10580"/>
    <n v="1"/>
    <n v="268"/>
    <s v="Joist"/>
    <x v="3"/>
    <x v="1"/>
    <s v=""/>
    <s v=""/>
    <s v=""/>
    <n v="0.23000000417232513"/>
    <n v="5"/>
    <n v="1524.7619999999999"/>
  </r>
  <r>
    <x v="9"/>
    <m/>
    <n v="0"/>
    <x v="0"/>
    <n v="0"/>
    <n v="1"/>
    <n v="38322"/>
    <n v="21376"/>
    <n v="1"/>
    <n v="600"/>
    <s v="Post and beam"/>
    <x v="1"/>
    <x v="1"/>
    <s v=""/>
    <s v=""/>
    <s v=""/>
    <n v="0.23000000417232513"/>
    <n v="5"/>
    <n v="3785.7640000000001"/>
  </r>
  <r>
    <x v="9"/>
    <m/>
    <n v="1"/>
    <x v="3"/>
    <n v="0"/>
    <m/>
    <n v="187328"/>
    <n v="23526"/>
    <n v="1"/>
    <n v="1352"/>
    <s v="Post and beam"/>
    <x v="1"/>
    <x v="1"/>
    <s v=""/>
    <s v=""/>
    <s v=""/>
    <n v="0.23000000417232513"/>
    <n v="9.1000003814697266"/>
    <n v="1925.059"/>
  </r>
  <r>
    <x v="9"/>
    <m/>
    <n v="0"/>
    <x v="0"/>
    <n v="0"/>
    <n v="0"/>
    <n v="54867"/>
    <n v="10044"/>
    <n v="2"/>
    <n v="506"/>
    <s v="Post and beam"/>
    <x v="4"/>
    <x v="1"/>
    <s v=""/>
    <s v=""/>
    <s v=""/>
    <n v="0.23000000417232513"/>
    <n v="5"/>
    <n v="2003.7159999999999"/>
  </r>
  <r>
    <x v="9"/>
    <m/>
    <n v="0"/>
    <x v="0"/>
    <n v="1"/>
    <n v="0"/>
    <n v="138208"/>
    <n v="23762"/>
    <n v="1"/>
    <n v="1024"/>
    <s v="Joist"/>
    <x v="2"/>
    <x v="0"/>
    <s v=""/>
    <s v=""/>
    <s v=""/>
    <n v="0.23000000417232513"/>
    <n v="3.0999999046325684"/>
    <n v="8264.9449999999997"/>
  </r>
  <r>
    <x v="9"/>
    <m/>
    <n v="0"/>
    <x v="0"/>
    <n v="1"/>
    <n v="1"/>
    <n v="205849"/>
    <n v="20065"/>
    <n v="1"/>
    <n v="1032"/>
    <s v="Joist"/>
    <x v="3"/>
    <x v="1"/>
    <s v=""/>
    <s v=""/>
    <s v=""/>
    <n v="0.23000000417232513"/>
    <n v="4.5"/>
    <n v="3785.7640000000001"/>
  </r>
  <r>
    <x v="9"/>
    <m/>
    <n v="0"/>
    <x v="0"/>
    <n v="1"/>
    <n v="0"/>
    <n v="97430"/>
    <n v="10630"/>
    <n v="3"/>
    <n v="792"/>
    <s v="Joist"/>
    <x v="2"/>
    <x v="0"/>
    <s v=""/>
    <s v="this is actually a small home that was moved to the site and attached to the existing home"/>
    <s v=""/>
    <n v="0.23000000417232513"/>
    <n v="3.0999999046325684"/>
    <n v="4956.4930000000004"/>
  </r>
  <r>
    <x v="9"/>
    <m/>
    <n v="0"/>
    <x v="0"/>
    <n v="0"/>
    <m/>
    <n v="45531"/>
    <n v="13713"/>
    <n v="1"/>
    <n v="1154"/>
    <s v="Joist"/>
    <x v="3"/>
    <x v="1"/>
    <s v=""/>
    <s v=""/>
    <s v=""/>
    <n v="0.23000000417232513"/>
    <n v="5"/>
    <n v="1150.8789999999999"/>
  </r>
  <r>
    <x v="9"/>
    <m/>
    <n v="0"/>
    <x v="0"/>
    <n v="1"/>
    <n v="0"/>
    <n v="133328"/>
    <n v="23188"/>
    <n v="1"/>
    <n v="600"/>
    <s v="Post and beam"/>
    <x v="3"/>
    <x v="1"/>
    <s v=""/>
    <s v=""/>
    <s v=""/>
    <n v="0.23000000417232513"/>
    <n v="3.0999999046325684"/>
    <n v="2079.9929999999999"/>
  </r>
  <r>
    <x v="9"/>
    <m/>
    <n v="0"/>
    <x v="0"/>
    <n v="0"/>
    <n v="0"/>
    <n v="68243"/>
    <n v="22721"/>
    <n v="1"/>
    <n v="819"/>
    <s v="Post and beam"/>
    <x v="3"/>
    <x v="1"/>
    <s v=""/>
    <s v=""/>
    <s v=""/>
    <n v="0.23000000417232513"/>
    <n v="5"/>
    <n v="2130.886"/>
  </r>
  <r>
    <x v="9"/>
    <m/>
    <n v="0"/>
    <x v="0"/>
    <n v="1"/>
    <n v="0"/>
    <n v="61143"/>
    <n v="12271"/>
    <n v="1"/>
    <n v="234"/>
    <s v="Joist"/>
    <x v="0"/>
    <x v="0"/>
    <s v=""/>
    <s v=""/>
    <s v=""/>
    <n v="0.23000000417232513"/>
    <n v="3.0999999046325684"/>
    <n v="1524.7619999999999"/>
  </r>
  <r>
    <x v="9"/>
    <m/>
    <n v="0"/>
    <x v="0"/>
    <n v="1"/>
    <n v="1"/>
    <n v="99247"/>
    <n v="11713"/>
    <n v="1"/>
    <n v="1839"/>
    <s v="Joist"/>
    <x v="0"/>
    <x v="0"/>
    <s v=""/>
    <s v=""/>
    <s v=""/>
    <n v="0.23000000417232513"/>
    <n v="4.5"/>
    <n v="2003.7159999999999"/>
  </r>
  <r>
    <x v="9"/>
    <m/>
    <n v="1"/>
    <x v="1"/>
    <n v="1"/>
    <n v="1"/>
    <n v="242119"/>
    <n v="22854"/>
    <n v="1"/>
    <n v="1222"/>
    <s v="Joist"/>
    <x v="4"/>
    <x v="1"/>
    <s v=""/>
    <s v=""/>
    <s v=""/>
    <n v="0.23000000417232513"/>
    <n v="8.3999996185302734"/>
    <n v="1144.6790000000001"/>
  </r>
  <r>
    <x v="9"/>
    <m/>
    <n v="0"/>
    <x v="0"/>
    <n v="0"/>
    <n v="0"/>
    <n v="46814"/>
    <n v="23559"/>
    <n v="1"/>
    <n v="660"/>
    <s v="Post and beam"/>
    <x v="4"/>
    <x v="1"/>
    <s v=""/>
    <s v=""/>
    <s v=""/>
    <n v="0.23000000417232513"/>
    <n v="5"/>
    <n v="8264.9449999999997"/>
  </r>
  <r>
    <x v="9"/>
    <m/>
    <n v="0"/>
    <x v="0"/>
    <n v="1"/>
    <n v="0"/>
    <n v="720010"/>
    <n v="22077"/>
    <n v="1"/>
    <n v="1008"/>
    <s v="Joist"/>
    <x v="3"/>
    <x v="0"/>
    <s v=""/>
    <s v=""/>
    <s v=""/>
    <n v="0.23000000417232513"/>
    <n v="3.0999999046325684"/>
    <n v="3785.7640000000001"/>
  </r>
  <r>
    <x v="9"/>
    <m/>
    <n v="0"/>
    <x v="0"/>
    <n v="1"/>
    <n v="0"/>
    <n v="99114"/>
    <n v="23840"/>
    <n v="1"/>
    <n v="378"/>
    <s v="Post and beam"/>
    <x v="0"/>
    <x v="1"/>
    <s v=""/>
    <s v=""/>
    <s v=""/>
    <n v="0.23000000417232513"/>
    <n v="3.0999999046325684"/>
    <n v="1144.6790000000001"/>
  </r>
  <r>
    <x v="9"/>
    <m/>
    <n v="0"/>
    <x v="0"/>
    <n v="0"/>
    <n v="0"/>
    <n v="61958"/>
    <n v="10299"/>
    <n v="1"/>
    <n v="3398"/>
    <s v="Joist"/>
    <x v="3"/>
    <x v="1"/>
    <s v=""/>
    <s v=""/>
    <s v=""/>
    <n v="0.23000000417232513"/>
    <n v="5"/>
    <n v="2003.7159999999999"/>
  </r>
  <r>
    <x v="9"/>
    <m/>
    <n v="0"/>
    <x v="0"/>
    <n v="0"/>
    <n v="0"/>
    <n v="96584"/>
    <n v="11836"/>
    <n v="1"/>
    <n v="1240"/>
    <s v="Joist"/>
    <x v="3"/>
    <x v="1"/>
    <s v=""/>
    <s v=""/>
    <s v=""/>
    <n v="0.23000000417232513"/>
    <n v="5"/>
    <n v="2003.7159999999999"/>
  </r>
  <r>
    <x v="9"/>
    <m/>
    <n v="1"/>
    <x v="1"/>
    <n v="1"/>
    <n v="0"/>
    <n v="206613"/>
    <n v="12144"/>
    <n v="1"/>
    <n v="1785"/>
    <s v="Post and beam"/>
    <x v="1"/>
    <x v="0"/>
    <s v=""/>
    <s v=""/>
    <s v=""/>
    <n v="0.23000000417232513"/>
    <n v="4.5"/>
    <n v="6932.7380000000003"/>
  </r>
  <r>
    <x v="9"/>
    <m/>
    <n v="0"/>
    <x v="0"/>
    <n v="1"/>
    <n v="0"/>
    <n v="196498"/>
    <n v="11552"/>
    <n v="1"/>
    <n v="1124"/>
    <s v="Post and beam"/>
    <x v="1"/>
    <x v="1"/>
    <s v=""/>
    <s v=""/>
    <s v=""/>
    <n v="0.23000000417232513"/>
    <n v="3.0999999046325684"/>
    <n v="1464.694"/>
  </r>
  <r>
    <x v="9"/>
    <m/>
    <n v="0"/>
    <x v="0"/>
    <n v="1"/>
    <n v="0"/>
    <n v="206361"/>
    <n v="14046"/>
    <n v="1"/>
    <n v="1524"/>
    <s v="Post and beam"/>
    <x v="1"/>
    <x v="1"/>
    <s v=""/>
    <s v=""/>
    <s v=""/>
    <n v="0.23000000417232513"/>
    <n v="3.0999999046325684"/>
    <n v="1464.694"/>
  </r>
  <r>
    <x v="9"/>
    <m/>
    <n v="0"/>
    <x v="0"/>
    <n v="1"/>
    <n v="1"/>
    <n v="74361"/>
    <n v="22774"/>
    <n v="1"/>
    <n v="1401"/>
    <s v="Joist"/>
    <x v="4"/>
    <x v="1"/>
    <s v=""/>
    <s v=""/>
    <s v=""/>
    <n v="0.23000000417232513"/>
    <n v="4.5"/>
    <n v="1144.6790000000001"/>
  </r>
  <r>
    <x v="9"/>
    <m/>
    <n v="0"/>
    <x v="0"/>
    <n v="1"/>
    <n v="0"/>
    <n v="95493"/>
    <n v="10408"/>
    <n v="1"/>
    <n v="1983"/>
    <s v="Post and beam"/>
    <x v="0"/>
    <x v="1"/>
    <s v=""/>
    <s v=""/>
    <s v=""/>
    <n v="0.23000000417232513"/>
    <n v="3.0999999046325684"/>
    <n v="4956.4930000000004"/>
  </r>
  <r>
    <x v="9"/>
    <m/>
    <n v="1"/>
    <x v="3"/>
    <n v="1"/>
    <n v="1"/>
    <n v="192843"/>
    <n v="22222"/>
    <n v="1"/>
    <n v="728"/>
    <s v="Joist"/>
    <x v="2"/>
    <x v="0"/>
    <s v=""/>
    <s v=""/>
    <s v=""/>
    <n v="0.23000000417232513"/>
    <n v="7.5999999046325684"/>
    <n v="1904.288"/>
  </r>
  <r>
    <x v="9"/>
    <m/>
    <n v="0"/>
    <x v="0"/>
    <n v="0"/>
    <m/>
    <n v="209010"/>
    <n v="22179"/>
    <n v="2"/>
    <n v="404"/>
    <s v="Joist"/>
    <x v="2"/>
    <x v="1"/>
    <s v=""/>
    <s v=""/>
    <s v=""/>
    <n v="0.23000000417232513"/>
    <n v="5"/>
    <n v="3785.7640000000001"/>
  </r>
  <r>
    <x v="9"/>
    <m/>
    <n v="0"/>
    <x v="0"/>
    <n v="0"/>
    <m/>
    <n v="239225"/>
    <n v="14117"/>
    <n v="1"/>
    <n v="936"/>
    <s v="Joist"/>
    <x v="0"/>
    <x v="0"/>
    <s v=""/>
    <s v=""/>
    <s v=""/>
    <n v="0.23000000417232513"/>
    <n v="5"/>
    <n v="1150.8789999999999"/>
  </r>
  <r>
    <x v="9"/>
    <m/>
    <n v="0"/>
    <x v="0"/>
    <n v="1"/>
    <n v="1"/>
    <n v="226636"/>
    <n v="22061"/>
    <n v="1"/>
    <n v="416"/>
    <s v="Joist"/>
    <x v="3"/>
    <x v="0"/>
    <s v=""/>
    <s v=""/>
    <s v=""/>
    <n v="0.23000000417232513"/>
    <n v="4.5"/>
    <n v="1904.288"/>
  </r>
  <r>
    <x v="9"/>
    <m/>
    <n v="1"/>
    <x v="1"/>
    <n v="1"/>
    <n v="0"/>
    <n v="88049"/>
    <n v="22728"/>
    <n v="1"/>
    <n v="1726"/>
    <s v="Joist"/>
    <x v="4"/>
    <x v="1"/>
    <s v="Fiberglass - Stapled"/>
    <s v=""/>
    <s v=""/>
    <n v="0.23000000417232513"/>
    <n v="4.5"/>
    <n v="1144.6790000000001"/>
  </r>
  <r>
    <x v="9"/>
    <m/>
    <n v="0"/>
    <x v="0"/>
    <n v="0"/>
    <m/>
    <n v="689463"/>
    <n v="24833"/>
    <n v="1"/>
    <n v="1494"/>
    <s v="Joist"/>
    <x v="0"/>
    <x v="0"/>
    <s v=""/>
    <s v=""/>
    <s v=""/>
    <n v="0.23000000417232513"/>
    <n v="5"/>
    <n v="12271.31"/>
  </r>
  <r>
    <x v="9"/>
    <m/>
    <n v="0"/>
    <x v="0"/>
    <n v="0"/>
    <m/>
    <n v="160997"/>
    <n v="21906"/>
    <n v="1"/>
    <n v="372"/>
    <s v=""/>
    <x v="1"/>
    <x v="0"/>
    <s v=""/>
    <s v=""/>
    <s v=""/>
    <n v="0.23000000417232513"/>
    <n v="5"/>
    <n v="2130.886"/>
  </r>
  <r>
    <x v="9"/>
    <m/>
    <n v="0"/>
    <x v="0"/>
    <n v="1"/>
    <n v="0"/>
    <n v="677725"/>
    <n v="23284"/>
    <n v="1"/>
    <n v="1248"/>
    <s v="Joist"/>
    <x v="2"/>
    <x v="0"/>
    <s v=""/>
    <s v=""/>
    <s v=""/>
    <n v="0.23000000417232513"/>
    <n v="3.0999999046325684"/>
    <n v="3785.7640000000001"/>
  </r>
  <r>
    <x v="9"/>
    <m/>
    <n v="0"/>
    <x v="0"/>
    <n v="1"/>
    <n v="0"/>
    <n v="135430"/>
    <n v="21598"/>
    <n v="1"/>
    <n v="1423"/>
    <s v="Post and beam"/>
    <x v="0"/>
    <x v="0"/>
    <s v=""/>
    <s v=""/>
    <s v=""/>
    <n v="0.23000000417232513"/>
    <n v="3.0999999046325684"/>
    <n v="8559.1039999999994"/>
  </r>
  <r>
    <x v="9"/>
    <m/>
    <n v="1"/>
    <x v="3"/>
    <n v="1"/>
    <n v="1"/>
    <n v="200370"/>
    <n v="21950"/>
    <n v="1"/>
    <n v="2125"/>
    <s v="Joist"/>
    <x v="3"/>
    <x v="1"/>
    <s v=""/>
    <s v=""/>
    <s v=""/>
    <n v="0.23000000417232513"/>
    <n v="7.5999999046325684"/>
    <n v="2130.886"/>
  </r>
  <r>
    <x v="9"/>
    <m/>
    <n v="1"/>
    <x v="1"/>
    <n v="0"/>
    <m/>
    <n v="137842"/>
    <n v="23824"/>
    <n v="1"/>
    <n v="720"/>
    <s v="Joist"/>
    <x v="3"/>
    <x v="1"/>
    <s v=""/>
    <s v=""/>
    <s v=""/>
    <n v="0.23000000417232513"/>
    <n v="10.300000190734863"/>
    <n v="1144.6790000000001"/>
  </r>
  <r>
    <x v="9"/>
    <m/>
    <n v="0"/>
    <x v="0"/>
    <n v="1"/>
    <n v="0"/>
    <n v="45753"/>
    <n v="23835"/>
    <n v="1"/>
    <n v="210"/>
    <s v="Joist"/>
    <x v="2"/>
    <x v="1"/>
    <s v=""/>
    <s v=""/>
    <s v=""/>
    <n v="0.23000000417232513"/>
    <n v="3.0999999046325684"/>
    <n v="8264.9449999999997"/>
  </r>
  <r>
    <x v="9"/>
    <m/>
    <n v="0"/>
    <x v="0"/>
    <n v="1"/>
    <n v="1"/>
    <n v="49071"/>
    <n v="11900"/>
    <n v="1"/>
    <n v="925"/>
    <s v="Post and beam"/>
    <x v="4"/>
    <x v="0"/>
    <s v=""/>
    <s v=""/>
    <s v=""/>
    <n v="0.23000000417232513"/>
    <n v="4.5"/>
    <n v="1524.7619999999999"/>
  </r>
  <r>
    <x v="9"/>
    <m/>
    <n v="0"/>
    <x v="0"/>
    <n v="0"/>
    <n v="0"/>
    <n v="49797"/>
    <n v="22226"/>
    <n v="1"/>
    <n v="1800"/>
    <s v="Post and beam"/>
    <x v="3"/>
    <x v="1"/>
    <s v=""/>
    <s v=""/>
    <s v=""/>
    <n v="0.23000000417232513"/>
    <n v="5"/>
    <n v="3785.7640000000001"/>
  </r>
  <r>
    <x v="9"/>
    <m/>
    <n v="0"/>
    <x v="0"/>
    <n v="1"/>
    <n v="0"/>
    <n v="190364"/>
    <n v="11352"/>
    <n v="1"/>
    <n v="1478"/>
    <s v="Joist"/>
    <x v="2"/>
    <x v="0"/>
    <s v=""/>
    <s v=""/>
    <s v=""/>
    <n v="0.23000000417232513"/>
    <n v="3.0999999046325684"/>
    <n v="6932.7380000000003"/>
  </r>
  <r>
    <x v="9"/>
    <m/>
    <n v="0"/>
    <x v="0"/>
    <n v="1"/>
    <n v="0"/>
    <n v="84208"/>
    <n v="20878"/>
    <n v="1"/>
    <n v="1632"/>
    <s v="Joist"/>
    <x v="3"/>
    <x v="1"/>
    <s v=""/>
    <s v=""/>
    <s v=""/>
    <n v="0.23000000417232513"/>
    <n v="3.0999999046325684"/>
    <n v="1904.288"/>
  </r>
  <r>
    <x v="9"/>
    <m/>
    <n v="0"/>
    <x v="0"/>
    <n v="1"/>
    <n v="0"/>
    <n v="127352"/>
    <n v="21896"/>
    <n v="1"/>
    <n v="1053"/>
    <s v="Joist"/>
    <x v="3"/>
    <x v="1"/>
    <s v=""/>
    <s v=""/>
    <s v=""/>
    <n v="0.23000000417232513"/>
    <n v="3.0999999046325684"/>
    <n v="1144.6790000000001"/>
  </r>
  <r>
    <x v="9"/>
    <m/>
    <n v="0"/>
    <x v="0"/>
    <n v="1"/>
    <n v="1"/>
    <n v="57177"/>
    <n v="11339"/>
    <n v="1"/>
    <n v="1130"/>
    <s v="Joist"/>
    <x v="2"/>
    <x v="1"/>
    <s v=""/>
    <s v=""/>
    <s v=""/>
    <n v="0.23000000417232513"/>
    <n v="4.5"/>
    <n v="1524.7619999999999"/>
  </r>
  <r>
    <x v="9"/>
    <m/>
    <n v="0"/>
    <x v="0"/>
    <n v="0"/>
    <m/>
    <n v="725550"/>
    <n v="21319"/>
    <n v="1"/>
    <n v="858"/>
    <s v="Post and beam"/>
    <x v="1"/>
    <x v="0"/>
    <s v=""/>
    <s v=""/>
    <s v=""/>
    <n v="0.23000000417232513"/>
    <n v="5"/>
    <n v="2130.886"/>
  </r>
  <r>
    <x v="9"/>
    <m/>
    <n v="0"/>
    <x v="0"/>
    <n v="0"/>
    <m/>
    <n v="154929"/>
    <n v="24153"/>
    <n v="1"/>
    <n v="1760"/>
    <s v="Joist"/>
    <x v="0"/>
    <x v="0"/>
    <s v=""/>
    <s v=""/>
    <s v=""/>
    <n v="0.23000000417232513"/>
    <n v="5"/>
    <n v="1144.6790000000001"/>
  </r>
  <r>
    <x v="9"/>
    <m/>
    <n v="0"/>
    <x v="0"/>
    <n v="1"/>
    <n v="0"/>
    <n v="54535"/>
    <n v="23196"/>
    <n v="1"/>
    <n v="1512"/>
    <s v="Post and beam"/>
    <x v="2"/>
    <x v="0"/>
    <s v=""/>
    <s v=""/>
    <s v=""/>
    <n v="0.23000000417232513"/>
    <n v="3.0999999046325684"/>
    <n v="2079.9929999999999"/>
  </r>
  <r>
    <x v="9"/>
    <m/>
    <n v="0"/>
    <x v="0"/>
    <n v="1"/>
    <n v="0"/>
    <n v="57049"/>
    <n v="11210"/>
    <n v="1"/>
    <n v="560"/>
    <s v="Joist"/>
    <x v="0"/>
    <x v="1"/>
    <s v=""/>
    <s v=""/>
    <s v=""/>
    <n v="0.23000000417232513"/>
    <n v="3.0999999046325684"/>
    <n v="1524.7619999999999"/>
  </r>
  <r>
    <x v="9"/>
    <m/>
    <n v="0"/>
    <x v="0"/>
    <n v="1"/>
    <n v="1"/>
    <n v="200182"/>
    <n v="21390"/>
    <n v="1"/>
    <n v="1378"/>
    <s v="Joist"/>
    <x v="3"/>
    <x v="1"/>
    <s v=""/>
    <s v=""/>
    <s v=""/>
    <n v="0.23000000417232513"/>
    <n v="4.5"/>
    <n v="2130.886"/>
  </r>
  <r>
    <x v="9"/>
    <m/>
    <n v="0"/>
    <x v="0"/>
    <n v="0"/>
    <m/>
    <n v="142336"/>
    <n v="22352"/>
    <n v="1"/>
    <n v="787"/>
    <s v="Post and beam"/>
    <x v="1"/>
    <x v="0"/>
    <s v=""/>
    <s v=""/>
    <s v=""/>
    <n v="0.23000000417232513"/>
    <n v="5"/>
    <n v="1192.4649999999999"/>
  </r>
  <r>
    <x v="9"/>
    <m/>
    <n v="0"/>
    <x v="0"/>
    <n v="1"/>
    <n v="1"/>
    <n v="196826"/>
    <n v="24866"/>
    <n v="1"/>
    <n v="780"/>
    <s v="Post and beam"/>
    <x v="1"/>
    <x v="1"/>
    <s v=""/>
    <s v=""/>
    <s v=""/>
    <n v="0.23000000417232513"/>
    <n v="4.5"/>
    <n v="4360.1880000000001"/>
  </r>
  <r>
    <x v="9"/>
    <m/>
    <n v="0"/>
    <x v="0"/>
    <n v="1"/>
    <n v="0"/>
    <n v="102442"/>
    <n v="12908"/>
    <n v="1"/>
    <n v="216"/>
    <s v="Joist"/>
    <x v="3"/>
    <x v="1"/>
    <s v=""/>
    <s v=""/>
    <s v=""/>
    <n v="0.23000000417232513"/>
    <n v="3.0999999046325684"/>
    <n v="1524.7619999999999"/>
  </r>
  <r>
    <x v="9"/>
    <m/>
    <n v="0"/>
    <x v="0"/>
    <n v="1"/>
    <n v="0"/>
    <n v="240138"/>
    <n v="10282"/>
    <n v="1"/>
    <n v="1288"/>
    <s v="Joist"/>
    <x v="0"/>
    <x v="0"/>
    <s v=""/>
    <s v=""/>
    <s v=""/>
    <n v="0.23000000417232513"/>
    <n v="3.0999999046325684"/>
    <n v="1150.8789999999999"/>
  </r>
  <r>
    <x v="9"/>
    <m/>
    <n v="1"/>
    <x v="3"/>
    <n v="0"/>
    <m/>
    <n v="232411"/>
    <n v="20646"/>
    <n v="1"/>
    <n v="580"/>
    <s v="Joist"/>
    <x v="0"/>
    <x v="1"/>
    <s v=""/>
    <s v=""/>
    <s v=""/>
    <n v="0.23000000417232513"/>
    <n v="9.1000003814697266"/>
    <n v="1904.288"/>
  </r>
  <r>
    <x v="9"/>
    <m/>
    <n v="0"/>
    <x v="0"/>
    <n v="1"/>
    <n v="0"/>
    <n v="178503"/>
    <n v="23034"/>
    <n v="1"/>
    <n v="504"/>
    <s v="Joist"/>
    <x v="4"/>
    <x v="1"/>
    <s v=""/>
    <s v=""/>
    <s v=""/>
    <n v="0.23000000417232513"/>
    <n v="3.0999999046325684"/>
    <n v="1192.4649999999999"/>
  </r>
  <r>
    <x v="9"/>
    <m/>
    <n v="0"/>
    <x v="0"/>
    <n v="1"/>
    <n v="0"/>
    <n v="155515"/>
    <n v="12103"/>
    <n v="1"/>
    <n v="984"/>
    <s v="Post and beam"/>
    <x v="0"/>
    <x v="1"/>
    <s v=""/>
    <s v=""/>
    <s v=""/>
    <n v="0.23000000417232513"/>
    <n v="3.0999999046325684"/>
    <n v="4956.4930000000004"/>
  </r>
  <r>
    <x v="9"/>
    <m/>
    <n v="0"/>
    <x v="0"/>
    <n v="1"/>
    <n v="0"/>
    <n v="185914"/>
    <n v="22751"/>
    <n v="1"/>
    <n v="804"/>
    <s v="Post and beam"/>
    <x v="1"/>
    <x v="0"/>
    <s v=""/>
    <s v=""/>
    <s v=""/>
    <n v="0.23000000417232513"/>
    <n v="3.0999999046325684"/>
    <n v="1925.059"/>
  </r>
  <r>
    <x v="9"/>
    <m/>
    <n v="0"/>
    <x v="0"/>
    <n v="1"/>
    <n v="0"/>
    <n v="100132"/>
    <n v="20445"/>
    <n v="1"/>
    <n v="1516"/>
    <s v="Post and beam"/>
    <x v="2"/>
    <x v="1"/>
    <s v=""/>
    <s v=""/>
    <s v=""/>
    <n v="0.23000000417232513"/>
    <n v="3.0999999046325684"/>
    <n v="1144.6790000000001"/>
  </r>
  <r>
    <x v="9"/>
    <m/>
    <n v="0"/>
    <x v="0"/>
    <n v="1"/>
    <n v="0"/>
    <n v="116222"/>
    <n v="13154"/>
    <n v="1"/>
    <n v="1435"/>
    <s v="Post and beam"/>
    <x v="3"/>
    <x v="1"/>
    <s v=""/>
    <s v=""/>
    <s v=""/>
    <n v="0.23000000417232513"/>
    <n v="3.0999999046325684"/>
    <n v="4956.4930000000004"/>
  </r>
  <r>
    <x v="9"/>
    <m/>
    <n v="0"/>
    <x v="0"/>
    <n v="1"/>
    <n v="0"/>
    <n v="179870"/>
    <n v="23704"/>
    <n v="1"/>
    <n v="1348"/>
    <s v="Post and beam"/>
    <x v="1"/>
    <x v="0"/>
    <s v=""/>
    <s v=""/>
    <s v=""/>
    <n v="0.23000000417232513"/>
    <n v="3.0999999046325684"/>
    <n v="1612.692"/>
  </r>
  <r>
    <x v="9"/>
    <m/>
    <n v="0"/>
    <x v="0"/>
    <n v="1"/>
    <n v="0"/>
    <n v="724647"/>
    <n v="10764"/>
    <n v="1"/>
    <n v="1344"/>
    <s v="Joist"/>
    <x v="0"/>
    <x v="1"/>
    <s v=""/>
    <s v=""/>
    <s v=""/>
    <n v="0.23000000417232513"/>
    <n v="3.0999999046325684"/>
    <n v="1524.7619999999999"/>
  </r>
  <r>
    <x v="9"/>
    <m/>
    <n v="1"/>
    <x v="1"/>
    <n v="1"/>
    <n v="1"/>
    <n v="193268"/>
    <n v="22291"/>
    <n v="1"/>
    <n v="1230"/>
    <s v="Joist"/>
    <x v="3"/>
    <x v="1"/>
    <s v=""/>
    <s v=""/>
    <s v=""/>
    <n v="0.23000000417232513"/>
    <n v="8.3999996185302734"/>
    <n v="1192.4649999999999"/>
  </r>
  <r>
    <x v="9"/>
    <m/>
    <n v="0"/>
    <x v="0"/>
    <n v="0"/>
    <m/>
    <n v="677624"/>
    <n v="23933"/>
    <n v="1"/>
    <n v="898"/>
    <s v="Joist"/>
    <x v="2"/>
    <x v="0"/>
    <s v=""/>
    <s v=""/>
    <s v=""/>
    <n v="0.23000000417232513"/>
    <n v="5"/>
    <n v="3785.7640000000001"/>
  </r>
  <r>
    <x v="9"/>
    <m/>
    <n v="0"/>
    <x v="0"/>
    <n v="1"/>
    <n v="0"/>
    <n v="232058"/>
    <n v="12738"/>
    <n v="1"/>
    <n v="1345"/>
    <s v="Joist"/>
    <x v="2"/>
    <x v="1"/>
    <s v=""/>
    <s v=""/>
    <s v=""/>
    <n v="0.23000000417232513"/>
    <n v="3.0999999046325684"/>
    <n v="1464.694"/>
  </r>
  <r>
    <x v="9"/>
    <m/>
    <n v="0"/>
    <x v="0"/>
    <n v="0"/>
    <m/>
    <n v="181713"/>
    <n v="13019"/>
    <n v="1"/>
    <n v="920"/>
    <s v="Joist"/>
    <x v="0"/>
    <x v="1"/>
    <s v=""/>
    <s v=""/>
    <s v=""/>
    <n v="0.23000000417232513"/>
    <n v="5"/>
    <n v="6932.7380000000003"/>
  </r>
  <r>
    <x v="9"/>
    <m/>
    <n v="1"/>
    <x v="1"/>
    <n v="1"/>
    <n v="0"/>
    <n v="677818"/>
    <n v="22909"/>
    <n v="1"/>
    <n v="1160"/>
    <s v="Joist"/>
    <x v="3"/>
    <x v="1"/>
    <s v=""/>
    <s v=""/>
    <s v=""/>
    <n v="0.23000000417232513"/>
    <n v="4.5"/>
    <n v="3785.7640000000001"/>
  </r>
  <r>
    <x v="9"/>
    <m/>
    <n v="0"/>
    <x v="0"/>
    <n v="0"/>
    <m/>
    <n v="798475"/>
    <n v="20390"/>
    <n v="1"/>
    <n v="850"/>
    <s v="Post and beam"/>
    <x v="1"/>
    <x v="0"/>
    <s v=""/>
    <s v=""/>
    <s v=""/>
    <n v="0.23000000417232513"/>
    <n v="5"/>
    <n v="8264.9449999999997"/>
  </r>
  <r>
    <x v="9"/>
    <m/>
    <n v="1"/>
    <x v="1"/>
    <n v="1"/>
    <n v="0"/>
    <n v="675572"/>
    <n v="22144"/>
    <n v="1"/>
    <n v="1232"/>
    <s v="Post and beam"/>
    <x v="1"/>
    <x v="0"/>
    <s v=""/>
    <s v=""/>
    <s v=""/>
    <n v="0.23000000417232513"/>
    <n v="4.5"/>
    <n v="3785.7640000000001"/>
  </r>
  <r>
    <x v="9"/>
    <m/>
    <n v="0"/>
    <x v="0"/>
    <n v="1"/>
    <n v="0"/>
    <n v="137738"/>
    <n v="12131"/>
    <n v="1"/>
    <n v="1276"/>
    <s v="Joist"/>
    <x v="2"/>
    <x v="1"/>
    <s v=""/>
    <s v=""/>
    <s v=""/>
    <n v="0.23000000417232513"/>
    <n v="3.0999999046325684"/>
    <n v="4956.4930000000004"/>
  </r>
  <r>
    <x v="9"/>
    <m/>
    <n v="0"/>
    <x v="0"/>
    <n v="1"/>
    <n v="0"/>
    <n v="200508"/>
    <n v="23746"/>
    <n v="1"/>
    <n v="743"/>
    <s v="Post and beam"/>
    <x v="1"/>
    <x v="0"/>
    <s v=""/>
    <s v=""/>
    <s v=""/>
    <n v="0.23000000417232513"/>
    <n v="3.0999999046325684"/>
    <n v="8559.1039999999994"/>
  </r>
  <r>
    <x v="9"/>
    <m/>
    <n v="0"/>
    <x v="0"/>
    <n v="1"/>
    <n v="0"/>
    <n v="33975"/>
    <n v="23123"/>
    <n v="1"/>
    <n v="468"/>
    <s v="Post and beam"/>
    <x v="0"/>
    <x v="0"/>
    <s v=""/>
    <s v=""/>
    <s v=""/>
    <n v="0.23000000417232513"/>
    <n v="3.0999999046325684"/>
    <n v="2130.886"/>
  </r>
  <r>
    <x v="9"/>
    <m/>
    <n v="0"/>
    <x v="0"/>
    <n v="1"/>
    <n v="0"/>
    <n v="48385"/>
    <n v="12504"/>
    <n v="1"/>
    <n v="1290"/>
    <s v="Joist"/>
    <x v="2"/>
    <x v="0"/>
    <s v=""/>
    <s v=""/>
    <s v=""/>
    <n v="0.23000000417232513"/>
    <n v="3.0999999046325684"/>
    <n v="1524.7619999999999"/>
  </r>
  <r>
    <x v="9"/>
    <m/>
    <n v="1"/>
    <x v="3"/>
    <n v="1"/>
    <n v="0"/>
    <n v="151574"/>
    <n v="23380"/>
    <n v="1"/>
    <n v="1056"/>
    <s v="Joist"/>
    <x v="3"/>
    <x v="1"/>
    <s v=""/>
    <s v=""/>
    <s v=""/>
    <n v="0.23000000417232513"/>
    <n v="3.9000000953674316"/>
    <n v="3785.7640000000001"/>
  </r>
  <r>
    <x v="9"/>
    <m/>
    <n v="0"/>
    <x v="0"/>
    <n v="1"/>
    <n v="0"/>
    <n v="87879"/>
    <n v="20089"/>
    <n v="1"/>
    <n v="1240"/>
    <s v="Joist"/>
    <x v="3"/>
    <x v="1"/>
    <s v=""/>
    <s v=""/>
    <s v=""/>
    <n v="0.23000000417232513"/>
    <n v="3.0999999046325684"/>
    <n v="1144.6790000000001"/>
  </r>
  <r>
    <x v="9"/>
    <m/>
    <n v="0"/>
    <x v="0"/>
    <n v="1"/>
    <n v="1"/>
    <n v="654825"/>
    <n v="21974"/>
    <n v="1"/>
    <n v="1008"/>
    <s v="Joist"/>
    <x v="3"/>
    <x v="1"/>
    <s v=""/>
    <s v=""/>
    <s v=""/>
    <n v="0.23000000417232513"/>
    <n v="4.5"/>
    <n v="3785.7640000000001"/>
  </r>
  <r>
    <x v="9"/>
    <m/>
    <n v="0"/>
    <x v="0"/>
    <n v="0"/>
    <n v="0"/>
    <n v="60996"/>
    <n v="20163"/>
    <n v="1"/>
    <n v="600"/>
    <s v="Joist"/>
    <x v="2"/>
    <x v="0"/>
    <s v=""/>
    <s v=""/>
    <s v=""/>
    <n v="0.23000000417232513"/>
    <n v="5"/>
    <n v="2079.9929999999999"/>
  </r>
  <r>
    <x v="9"/>
    <m/>
    <n v="0"/>
    <x v="0"/>
    <n v="0"/>
    <m/>
    <n v="203495"/>
    <n v="22021"/>
    <n v="1"/>
    <n v="1078"/>
    <s v="Joist"/>
    <x v="3"/>
    <x v="0"/>
    <s v=""/>
    <s v=""/>
    <s v=""/>
    <n v="0.23000000417232513"/>
    <n v="5"/>
    <n v="1192.4649999999999"/>
  </r>
  <r>
    <x v="9"/>
    <m/>
    <n v="0"/>
    <x v="0"/>
    <n v="0"/>
    <m/>
    <n v="684110"/>
    <n v="20553"/>
    <n v="1"/>
    <n v="988"/>
    <s v="Joist"/>
    <x v="2"/>
    <x v="0"/>
    <s v=""/>
    <s v=""/>
    <s v=""/>
    <n v="0.23000000417232513"/>
    <n v="5"/>
    <n v="3785.7640000000001"/>
  </r>
  <r>
    <x v="9"/>
    <m/>
    <n v="0"/>
    <x v="0"/>
    <n v="1"/>
    <n v="0"/>
    <n v="51676"/>
    <n v="12458"/>
    <n v="1"/>
    <n v="1395"/>
    <s v="Joist"/>
    <x v="0"/>
    <x v="0"/>
    <s v=""/>
    <s v=""/>
    <s v=""/>
    <n v="0.23000000417232513"/>
    <n v="3.0999999046325684"/>
    <n v="1188.027"/>
  </r>
  <r>
    <x v="9"/>
    <m/>
    <n v="0"/>
    <x v="0"/>
    <n v="1"/>
    <n v="0"/>
    <n v="87479"/>
    <n v="20344"/>
    <n v="1"/>
    <n v="828"/>
    <s v="Post and beam"/>
    <x v="4"/>
    <x v="1"/>
    <s v=""/>
    <s v=""/>
    <s v=""/>
    <n v="0.23000000417232513"/>
    <n v="3.0999999046325684"/>
    <n v="1144.6790000000001"/>
  </r>
  <r>
    <x v="9"/>
    <m/>
    <n v="0"/>
    <x v="0"/>
    <n v="1"/>
    <n v="1"/>
    <n v="219182"/>
    <n v="14150"/>
    <n v="1"/>
    <n v="998"/>
    <s v="Joist"/>
    <x v="2"/>
    <x v="0"/>
    <s v=""/>
    <s v=""/>
    <s v=""/>
    <n v="0.23000000417232513"/>
    <n v="4.5"/>
    <n v="6932.7380000000003"/>
  </r>
  <r>
    <x v="9"/>
    <m/>
    <n v="0"/>
    <x v="0"/>
    <n v="0"/>
    <m/>
    <n v="136229"/>
    <n v="20505"/>
    <n v="1"/>
    <n v="2225"/>
    <s v="Post and beam"/>
    <x v="1"/>
    <x v="1"/>
    <s v=""/>
    <s v=""/>
    <s v=""/>
    <n v="0.23000000417232513"/>
    <n v="5"/>
    <n v="1612.692"/>
  </r>
  <r>
    <x v="9"/>
    <m/>
    <n v="0"/>
    <x v="0"/>
    <n v="1"/>
    <n v="1"/>
    <n v="671583"/>
    <n v="11420"/>
    <n v="1"/>
    <n v="1780"/>
    <s v="Post and beam"/>
    <x v="1"/>
    <x v="0"/>
    <s v=""/>
    <s v=""/>
    <s v=""/>
    <n v="0.23000000417232513"/>
    <n v="4.5"/>
    <n v="6932.7380000000003"/>
  </r>
  <r>
    <x v="9"/>
    <m/>
    <n v="0"/>
    <x v="0"/>
    <n v="1"/>
    <n v="1"/>
    <n v="78084"/>
    <n v="21296"/>
    <n v="1"/>
    <n v="480"/>
    <s v="Joist"/>
    <x v="2"/>
    <x v="0"/>
    <s v=""/>
    <s v=""/>
    <s v=""/>
    <n v="0.23000000417232513"/>
    <n v="4.5"/>
    <n v="1925.059"/>
  </r>
  <r>
    <x v="9"/>
    <m/>
    <n v="0"/>
    <x v="0"/>
    <n v="1"/>
    <n v="1"/>
    <n v="119026"/>
    <n v="24713"/>
    <n v="1"/>
    <n v="1624"/>
    <s v="Joist"/>
    <x v="3"/>
    <x v="1"/>
    <s v=""/>
    <s v=""/>
    <s v=""/>
    <n v="0.23000000417232513"/>
    <n v="4.5"/>
    <n v="1925.059"/>
  </r>
  <r>
    <x v="9"/>
    <m/>
    <n v="0"/>
    <x v="0"/>
    <n v="0"/>
    <n v="0"/>
    <n v="68905"/>
    <n v="21367"/>
    <n v="1"/>
    <n v="679"/>
    <s v="Joist"/>
    <x v="3"/>
    <x v="1"/>
    <s v=""/>
    <s v=""/>
    <s v=""/>
    <n v="0.23000000417232513"/>
    <n v="5"/>
    <n v="2130.886"/>
  </r>
  <r>
    <x v="9"/>
    <m/>
    <n v="0"/>
    <x v="0"/>
    <n v="1"/>
    <n v="0"/>
    <n v="69775"/>
    <n v="10265"/>
    <n v="1"/>
    <n v="1464"/>
    <s v="Post and beam"/>
    <x v="1"/>
    <x v="0"/>
    <s v=""/>
    <s v=""/>
    <s v=""/>
    <n v="0.23000000417232513"/>
    <n v="3.0999999046325684"/>
    <n v="2003.7159999999999"/>
  </r>
  <r>
    <x v="9"/>
    <m/>
    <n v="0"/>
    <x v="0"/>
    <n v="1"/>
    <n v="0"/>
    <n v="160807"/>
    <n v="10795"/>
    <n v="1"/>
    <n v="988"/>
    <s v="Post and beam"/>
    <x v="1"/>
    <x v="1"/>
    <s v=""/>
    <s v=""/>
    <s v=""/>
    <n v="0.23000000417232513"/>
    <n v="3.0999999046325684"/>
    <n v="6932.7380000000003"/>
  </r>
  <r>
    <x v="9"/>
    <m/>
    <n v="0"/>
    <x v="0"/>
    <n v="1"/>
    <n v="0"/>
    <n v="216097"/>
    <n v="10649"/>
    <n v="1"/>
    <n v="1228"/>
    <s v="Post and beam"/>
    <x v="1"/>
    <x v="1"/>
    <s v=""/>
    <s v=""/>
    <s v=""/>
    <n v="0.23000000417232513"/>
    <n v="3.0999999046325684"/>
    <n v="6932.7380000000003"/>
  </r>
  <r>
    <x v="9"/>
    <m/>
    <n v="0"/>
    <x v="0"/>
    <n v="1"/>
    <n v="0"/>
    <n v="241311"/>
    <n v="22785"/>
    <n v="1"/>
    <n v="930"/>
    <s v="Joist"/>
    <x v="0"/>
    <x v="1"/>
    <s v=""/>
    <s v=""/>
    <s v=""/>
    <n v="0.23000000417232513"/>
    <n v="3.0999999046325684"/>
    <n v="2079.9929999999999"/>
  </r>
  <r>
    <x v="9"/>
    <m/>
    <n v="0"/>
    <x v="0"/>
    <n v="1"/>
    <n v="0"/>
    <n v="107827"/>
    <n v="24451"/>
    <n v="1"/>
    <n v="1050"/>
    <s v="Joist"/>
    <x v="0"/>
    <x v="1"/>
    <s v=""/>
    <s v=""/>
    <s v=""/>
    <n v="0.23000000417232513"/>
    <n v="3.0999999046325684"/>
    <n v="2079.9929999999999"/>
  </r>
  <r>
    <x v="9"/>
    <m/>
    <n v="0"/>
    <x v="0"/>
    <n v="0"/>
    <m/>
    <n v="231537"/>
    <n v="20109"/>
    <n v="1"/>
    <n v="1024"/>
    <s v="Joist"/>
    <x v="0"/>
    <x v="0"/>
    <s v=""/>
    <s v=""/>
    <s v=""/>
    <n v="0.23000000417232513"/>
    <n v="5"/>
    <n v="1612.692"/>
  </r>
  <r>
    <x v="9"/>
    <m/>
    <n v="0"/>
    <x v="0"/>
    <n v="0"/>
    <n v="0"/>
    <n v="720816"/>
    <n v="10082"/>
    <n v="1"/>
    <n v="416"/>
    <s v="Joist"/>
    <x v="0"/>
    <x v="0"/>
    <s v=""/>
    <s v=""/>
    <s v=""/>
    <n v="0.23000000417232513"/>
    <n v="5"/>
    <n v="4956.4930000000004"/>
  </r>
  <r>
    <x v="9"/>
    <m/>
    <n v="0"/>
    <x v="0"/>
    <n v="1"/>
    <n v="0"/>
    <n v="823533"/>
    <n v="11844"/>
    <n v="1"/>
    <n v="752"/>
    <s v="Joist"/>
    <x v="1"/>
    <x v="0"/>
    <s v=""/>
    <s v="2x4 joist"/>
    <s v=""/>
    <n v="0.23000000417232513"/>
    <n v="3.0999999046325684"/>
    <n v="4956.4930000000004"/>
  </r>
  <r>
    <x v="9"/>
    <m/>
    <n v="0"/>
    <x v="0"/>
    <n v="1"/>
    <n v="0"/>
    <n v="690284"/>
    <n v="20250"/>
    <n v="1"/>
    <n v="777"/>
    <s v="Joist"/>
    <x v="0"/>
    <x v="0"/>
    <s v=""/>
    <s v=""/>
    <s v=""/>
    <n v="0.23000000417232513"/>
    <n v="3.0999999046325684"/>
    <n v="12271.31"/>
  </r>
  <r>
    <x v="9"/>
    <m/>
    <n v="0"/>
    <x v="0"/>
    <n v="1"/>
    <n v="1"/>
    <n v="78692"/>
    <n v="21107"/>
    <n v="1"/>
    <n v="1410"/>
    <s v="Joist"/>
    <x v="4"/>
    <x v="1"/>
    <s v=""/>
    <s v=""/>
    <s v=""/>
    <n v="0.23000000417232513"/>
    <n v="4.5"/>
    <n v="1144.6790000000001"/>
  </r>
  <r>
    <x v="9"/>
    <m/>
    <n v="0"/>
    <x v="0"/>
    <n v="0"/>
    <m/>
    <n v="241477"/>
    <n v="22250"/>
    <n v="1"/>
    <n v="728"/>
    <s v=""/>
    <x v="1"/>
    <x v="0"/>
    <s v=""/>
    <s v="Could not get under the house because the particle board was so old and wet that if we tried to remove it, it would have broken.  Made the decision to not damage the house."/>
    <s v=""/>
    <n v="0.23000000417232513"/>
    <n v="5"/>
    <n v="1904.288"/>
  </r>
  <r>
    <x v="9"/>
    <m/>
    <n v="0"/>
    <x v="0"/>
    <n v="0"/>
    <n v="0"/>
    <n v="77784"/>
    <n v="22570"/>
    <n v="1"/>
    <n v="1215"/>
    <s v="Joist"/>
    <x v="3"/>
    <x v="1"/>
    <s v=""/>
    <s v=""/>
    <s v=""/>
    <n v="0.23000000417232513"/>
    <n v="5"/>
    <n v="1144.6790000000001"/>
  </r>
  <r>
    <x v="9"/>
    <m/>
    <n v="0"/>
    <x v="0"/>
    <n v="0"/>
    <n v="0"/>
    <n v="90479"/>
    <n v="22293"/>
    <n v="1"/>
    <n v="360"/>
    <s v="Joist"/>
    <x v="2"/>
    <x v="0"/>
    <s v=""/>
    <s v=""/>
    <s v=""/>
    <n v="0.23000000417232513"/>
    <n v="5"/>
    <n v="1925.059"/>
  </r>
  <r>
    <x v="9"/>
    <m/>
    <n v="1"/>
    <x v="3"/>
    <n v="0"/>
    <m/>
    <n v="240498"/>
    <n v="24202"/>
    <n v="1"/>
    <n v="1470"/>
    <s v="Joist"/>
    <x v="1"/>
    <x v="0"/>
    <s v=""/>
    <s v="NO ACCESS TO CRAWL  SOME RIGID FOAM ON EXT WALS AND HORIZONTALKY"/>
    <s v=""/>
    <n v="0.23000000417232513"/>
    <n v="9.1000003814697266"/>
    <n v="1192.4649999999999"/>
  </r>
  <r>
    <x v="9"/>
    <m/>
    <n v="0"/>
    <x v="0"/>
    <n v="0"/>
    <m/>
    <n v="164288"/>
    <n v="22902"/>
    <n v="1"/>
    <n v="315"/>
    <s v=""/>
    <x v="1"/>
    <x v="0"/>
    <s v=""/>
    <s v=""/>
    <s v=""/>
    <n v="0.23000000417232513"/>
    <n v="5"/>
    <n v="2130.886"/>
  </r>
  <r>
    <x v="9"/>
    <m/>
    <n v="1"/>
    <x v="3"/>
    <n v="1"/>
    <n v="0"/>
    <n v="106218"/>
    <n v="24342"/>
    <n v="1"/>
    <n v="775"/>
    <s v="Post and beam"/>
    <x v="0"/>
    <x v="0"/>
    <s v="Blow-in Batt"/>
    <s v=""/>
    <s v=""/>
    <n v="0.23000000417232513"/>
    <n v="3.9000000953674316"/>
    <n v="2130.886"/>
  </r>
  <r>
    <x v="9"/>
    <m/>
    <n v="1"/>
    <x v="1"/>
    <n v="1"/>
    <n v="0"/>
    <n v="144155"/>
    <n v="22095"/>
    <n v="1"/>
    <n v="975"/>
    <s v="Joist"/>
    <x v="3"/>
    <x v="1"/>
    <s v=""/>
    <s v=""/>
    <s v=""/>
    <n v="0.23000000417232513"/>
    <n v="4.5"/>
    <n v="2130.886"/>
  </r>
  <r>
    <x v="9"/>
    <m/>
    <n v="0"/>
    <x v="0"/>
    <n v="1"/>
    <n v="0"/>
    <n v="136990"/>
    <n v="10062"/>
    <n v="1"/>
    <n v="884"/>
    <s v="Post and beam"/>
    <x v="1"/>
    <x v="1"/>
    <s v=""/>
    <s v=""/>
    <s v=""/>
    <n v="0.23000000417232513"/>
    <n v="3.0999999046325684"/>
    <n v="4956.4930000000004"/>
  </r>
  <r>
    <x v="9"/>
    <m/>
    <n v="0"/>
    <x v="0"/>
    <n v="1"/>
    <n v="0"/>
    <n v="175460"/>
    <n v="23486"/>
    <n v="1"/>
    <n v="1053"/>
    <s v="Post and beam"/>
    <x v="1"/>
    <x v="0"/>
    <s v=""/>
    <s v=""/>
    <s v=""/>
    <n v="0.23000000417232513"/>
    <n v="3.0999999046325684"/>
    <n v="1612.692"/>
  </r>
  <r>
    <x v="9"/>
    <m/>
    <n v="0"/>
    <x v="0"/>
    <n v="0"/>
    <m/>
    <n v="87060"/>
    <n v="24686"/>
    <n v="1"/>
    <n v="1200"/>
    <s v=""/>
    <x v="1"/>
    <x v="0"/>
    <s v=""/>
    <s v=""/>
    <s v=""/>
    <n v="0.23000000417232513"/>
    <n v="5"/>
    <n v="1144.6790000000001"/>
  </r>
  <r>
    <x v="9"/>
    <m/>
    <n v="0"/>
    <x v="0"/>
    <n v="1"/>
    <n v="0"/>
    <n v="74988"/>
    <n v="20930"/>
    <n v="1"/>
    <n v="246"/>
    <s v="Joist"/>
    <x v="3"/>
    <x v="1"/>
    <s v=""/>
    <s v=""/>
    <s v=""/>
    <n v="0.23000000417232513"/>
    <n v="3.0999999046325684"/>
    <n v="1904.288"/>
  </r>
  <r>
    <x v="9"/>
    <m/>
    <n v="1"/>
    <x v="2"/>
    <n v="1"/>
    <n v="1"/>
    <n v="95399"/>
    <n v="22398"/>
    <n v="1"/>
    <n v="1518"/>
    <s v="Joist"/>
    <x v="3"/>
    <x v="1"/>
    <s v="Fiberglass - Tied, stays"/>
    <s v=""/>
    <s v=""/>
    <n v="0.23000000417232513"/>
    <n v="8.8000001907348633"/>
    <n v="1144.6790000000001"/>
  </r>
  <r>
    <x v="9"/>
    <m/>
    <n v="1"/>
    <x v="1"/>
    <n v="1"/>
    <n v="0"/>
    <n v="184889"/>
    <n v="20154"/>
    <n v="1"/>
    <n v="1512"/>
    <s v="Joist"/>
    <x v="3"/>
    <x v="0"/>
    <s v=""/>
    <s v=""/>
    <s v=""/>
    <n v="0.23000000417232513"/>
    <n v="4.5"/>
    <n v="3785.7640000000001"/>
  </r>
  <r>
    <x v="9"/>
    <m/>
    <n v="0"/>
    <x v="0"/>
    <n v="0"/>
    <n v="0"/>
    <n v="90601"/>
    <n v="21692"/>
    <n v="1"/>
    <n v="1332"/>
    <s v="Post and beam"/>
    <x v="0"/>
    <x v="0"/>
    <s v=""/>
    <s v=""/>
    <s v=""/>
    <n v="0.23000000417232513"/>
    <n v="5"/>
    <n v="8559.1039999999994"/>
  </r>
  <r>
    <x v="9"/>
    <m/>
    <n v="0"/>
    <x v="0"/>
    <n v="0"/>
    <m/>
    <n v="238072"/>
    <n v="21601"/>
    <n v="1"/>
    <n v="1008"/>
    <s v="Joist"/>
    <x v="1"/>
    <x v="0"/>
    <s v=""/>
    <s v=""/>
    <s v=""/>
    <n v="0.23000000417232513"/>
    <n v="5"/>
    <n v="2079.9929999999999"/>
  </r>
  <r>
    <x v="9"/>
    <m/>
    <n v="1"/>
    <x v="1"/>
    <n v="1"/>
    <n v="0"/>
    <n v="56249"/>
    <n v="21501"/>
    <n v="1"/>
    <n v="1664"/>
    <s v="Joist"/>
    <x v="3"/>
    <x v="1"/>
    <s v="Fiberglass - Stapled"/>
    <s v=""/>
    <s v=""/>
    <n v="0.23000000417232513"/>
    <n v="4.5"/>
    <n v="3785.7640000000001"/>
  </r>
  <r>
    <x v="9"/>
    <m/>
    <n v="1"/>
    <x v="3"/>
    <n v="0"/>
    <n v="0"/>
    <n v="68097"/>
    <n v="22369"/>
    <n v="1"/>
    <n v="1968"/>
    <s v="Joist"/>
    <x v="4"/>
    <x v="1"/>
    <s v="Fiberglass - Tied, stays"/>
    <s v=""/>
    <s v=""/>
    <n v="0.23000000417232513"/>
    <n v="9.1000003814697266"/>
    <n v="2130.886"/>
  </r>
  <r>
    <x v="9"/>
    <m/>
    <n v="1"/>
    <x v="1"/>
    <n v="1"/>
    <n v="0"/>
    <n v="101813"/>
    <n v="21654"/>
    <n v="1"/>
    <n v="1933"/>
    <s v="Joist"/>
    <x v="3"/>
    <x v="1"/>
    <s v="Spray Foam"/>
    <s v=""/>
    <s v=""/>
    <n v="0.23000000417232513"/>
    <n v="4.5"/>
    <n v="1144.6790000000001"/>
  </r>
  <r>
    <x v="9"/>
    <m/>
    <n v="1"/>
    <x v="1"/>
    <n v="1"/>
    <n v="0"/>
    <n v="176472"/>
    <n v="24740"/>
    <n v="1"/>
    <n v="1323"/>
    <s v="Joist"/>
    <x v="3"/>
    <x v="1"/>
    <s v=""/>
    <s v=""/>
    <s v=""/>
    <n v="0.23000000417232513"/>
    <n v="4.5"/>
    <n v="2130.886"/>
  </r>
  <r>
    <x v="9"/>
    <m/>
    <n v="1"/>
    <x v="2"/>
    <n v="0"/>
    <m/>
    <n v="248412"/>
    <n v="22615"/>
    <n v="1"/>
    <n v="1441"/>
    <s v="Joist"/>
    <x v="4"/>
    <x v="1"/>
    <s v=""/>
    <s v="outside crawlspace wal is insulated. shared crawlspace wall in NOT"/>
    <s v=""/>
    <n v="0.23000000417232513"/>
    <n v="10.699999809265137"/>
    <n v="2130.886"/>
  </r>
  <r>
    <x v="9"/>
    <m/>
    <n v="0"/>
    <x v="0"/>
    <n v="1"/>
    <n v="0"/>
    <n v="170631"/>
    <n v="24408"/>
    <n v="1"/>
    <n v="770"/>
    <s v="Post and beam"/>
    <x v="1"/>
    <x v="0"/>
    <s v=""/>
    <s v=""/>
    <s v=""/>
    <n v="0.23000000417232513"/>
    <n v="3.0999999046325684"/>
    <n v="1612.692"/>
  </r>
  <r>
    <x v="9"/>
    <m/>
    <n v="0"/>
    <x v="0"/>
    <n v="1"/>
    <n v="0"/>
    <n v="722931"/>
    <n v="12975"/>
    <n v="1"/>
    <n v="1188"/>
    <s v="Post and beam"/>
    <x v="1"/>
    <x v="0"/>
    <s v=""/>
    <s v=""/>
    <s v=""/>
    <n v="0.23000000417232513"/>
    <n v="3.0999999046325684"/>
    <n v="6932.7380000000003"/>
  </r>
  <r>
    <x v="9"/>
    <m/>
    <n v="0"/>
    <x v="0"/>
    <n v="0"/>
    <m/>
    <n v="194407"/>
    <n v="22295"/>
    <n v="1"/>
    <n v="556"/>
    <s v="Joist"/>
    <x v="3"/>
    <x v="1"/>
    <s v=""/>
    <s v=""/>
    <s v=""/>
    <n v="0.23000000417232513"/>
    <n v="5"/>
    <n v="1925.059"/>
  </r>
  <r>
    <x v="9"/>
    <m/>
    <n v="0"/>
    <x v="0"/>
    <n v="0"/>
    <m/>
    <n v="163134"/>
    <n v="24500"/>
    <n v="1"/>
    <n v="468"/>
    <s v="Joist"/>
    <x v="0"/>
    <x v="0"/>
    <s v=""/>
    <s v=""/>
    <s v=""/>
    <n v="0.23000000417232513"/>
    <n v="5"/>
    <n v="1192.4649999999999"/>
  </r>
  <r>
    <x v="9"/>
    <m/>
    <n v="1"/>
    <x v="1"/>
    <n v="1"/>
    <n v="0"/>
    <n v="175908"/>
    <n v="22649"/>
    <n v="2"/>
    <n v="156"/>
    <s v="Joist"/>
    <x v="2"/>
    <x v="0"/>
    <s v=""/>
    <s v=""/>
    <s v=""/>
    <n v="0.23000000417232513"/>
    <n v="4.5"/>
    <n v="1925.059"/>
  </r>
  <r>
    <x v="9"/>
    <m/>
    <n v="0"/>
    <x v="0"/>
    <n v="1"/>
    <n v="0"/>
    <n v="115371"/>
    <n v="21889"/>
    <n v="1"/>
    <n v="1705"/>
    <s v="Joist"/>
    <x v="0"/>
    <x v="1"/>
    <s v=""/>
    <s v=""/>
    <s v=""/>
    <n v="0.23000000417232513"/>
    <n v="3.0999999046325684"/>
    <n v="1925.059"/>
  </r>
  <r>
    <x v="9"/>
    <m/>
    <n v="0"/>
    <x v="0"/>
    <n v="0"/>
    <n v="0"/>
    <n v="102085"/>
    <n v="21856"/>
    <n v="1"/>
    <n v="336"/>
    <s v="Post and beam"/>
    <x v="0"/>
    <x v="1"/>
    <s v=""/>
    <s v=""/>
    <s v=""/>
    <n v="0.23000000417232513"/>
    <n v="5"/>
    <n v="2130.886"/>
  </r>
  <r>
    <x v="9"/>
    <m/>
    <n v="0"/>
    <x v="0"/>
    <n v="1"/>
    <n v="0"/>
    <n v="148515"/>
    <n v="20809"/>
    <n v="1"/>
    <n v="1200"/>
    <s v="Joist"/>
    <x v="0"/>
    <x v="1"/>
    <s v=""/>
    <s v=""/>
    <s v=""/>
    <n v="0.23000000417232513"/>
    <n v="3.0999999046325684"/>
    <n v="1192.4649999999999"/>
  </r>
  <r>
    <x v="9"/>
    <m/>
    <n v="1"/>
    <x v="1"/>
    <n v="1"/>
    <n v="0"/>
    <n v="147338"/>
    <n v="20958"/>
    <n v="1"/>
    <n v="2400"/>
    <s v="Joist"/>
    <x v="3"/>
    <x v="1"/>
    <s v=""/>
    <s v=""/>
    <s v=""/>
    <n v="0.23000000417232513"/>
    <n v="4.5"/>
    <n v="1192.4649999999999"/>
  </r>
  <r>
    <x v="9"/>
    <m/>
    <n v="0"/>
    <x v="0"/>
    <n v="1"/>
    <n v="0"/>
    <n v="110603"/>
    <n v="21503"/>
    <n v="1"/>
    <n v="1300"/>
    <s v="Post and beam"/>
    <x v="2"/>
    <x v="1"/>
    <s v=""/>
    <s v=""/>
    <s v=""/>
    <n v="0.23000000417232513"/>
    <n v="3.0999999046325684"/>
    <n v="2079.9929999999999"/>
  </r>
  <r>
    <x v="9"/>
    <m/>
    <n v="0"/>
    <x v="0"/>
    <n v="1"/>
    <n v="0"/>
    <n v="170631"/>
    <n v="24408"/>
    <n v="2"/>
    <n v="475"/>
    <s v="Joist"/>
    <x v="0"/>
    <x v="0"/>
    <s v=""/>
    <s v=""/>
    <s v=""/>
    <n v="0.23000000417232513"/>
    <n v="3.0999999046325684"/>
    <n v="1612.692"/>
  </r>
  <r>
    <x v="9"/>
    <m/>
    <n v="0"/>
    <x v="0"/>
    <n v="0"/>
    <n v="0"/>
    <n v="102170"/>
    <n v="21612"/>
    <n v="1"/>
    <n v="437"/>
    <s v="Post and beam"/>
    <x v="3"/>
    <x v="1"/>
    <s v=""/>
    <s v=""/>
    <s v=""/>
    <n v="0.23000000417232513"/>
    <n v="5"/>
    <n v="2130.886"/>
  </r>
  <r>
    <x v="9"/>
    <m/>
    <n v="0"/>
    <x v="0"/>
    <n v="0"/>
    <m/>
    <n v="193745"/>
    <n v="22618"/>
    <n v="1"/>
    <n v="900"/>
    <s v=""/>
    <x v="1"/>
    <x v="0"/>
    <s v=""/>
    <s v=""/>
    <s v=""/>
    <n v="0.23000000417232513"/>
    <n v="5"/>
    <n v="2130.886"/>
  </r>
  <r>
    <x v="9"/>
    <m/>
    <n v="0"/>
    <x v="0"/>
    <n v="0"/>
    <m/>
    <n v="241735"/>
    <n v="22580"/>
    <n v="1"/>
    <n v="1092"/>
    <s v="Joist"/>
    <x v="0"/>
    <x v="0"/>
    <s v=""/>
    <s v="could not access crawl"/>
    <s v=""/>
    <n v="0.23000000417232513"/>
    <n v="5"/>
    <n v="12271.31"/>
  </r>
  <r>
    <x v="9"/>
    <m/>
    <n v="0"/>
    <x v="0"/>
    <n v="1"/>
    <n v="0"/>
    <n v="205939"/>
    <n v="22181"/>
    <n v="1"/>
    <n v="1221"/>
    <s v="Joist"/>
    <x v="3"/>
    <x v="1"/>
    <s v=""/>
    <s v=""/>
    <s v=""/>
    <n v="0.23000000417232513"/>
    <n v="3.0999999046325684"/>
    <n v="1192.4649999999999"/>
  </r>
  <r>
    <x v="1"/>
    <n v="0.75"/>
    <n v="0"/>
    <x v="0"/>
    <n v="1"/>
    <n v="0"/>
    <n v="47007"/>
    <n v="23714"/>
    <n v="1"/>
    <n v="720"/>
    <s v="Post and beam"/>
    <x v="0"/>
    <x v="1"/>
    <s v=""/>
    <s v=""/>
    <s v=""/>
    <n v="0.15999999642372131"/>
    <n v="3.0999999046325684"/>
    <n v="8264.9449999999997"/>
  </r>
  <r>
    <x v="1"/>
    <n v="0.9"/>
    <n v="0"/>
    <x v="0"/>
    <n v="1"/>
    <n v="0"/>
    <n v="113955"/>
    <n v="12107"/>
    <n v="1"/>
    <n v="651"/>
    <s v="Post and beam"/>
    <x v="1"/>
    <x v="2"/>
    <s v=""/>
    <s v=""/>
    <s v=""/>
    <n v="0.15000000596046448"/>
    <n v="3.0999999046325684"/>
    <n v="4956.4930000000004"/>
  </r>
  <r>
    <x v="1"/>
    <n v="0.9"/>
    <n v="0"/>
    <x v="0"/>
    <n v="1"/>
    <n v="0"/>
    <n v="63129"/>
    <n v="10005"/>
    <n v="1"/>
    <n v="1254"/>
    <s v=""/>
    <x v="1"/>
    <x v="2"/>
    <s v=""/>
    <s v=""/>
    <s v=""/>
    <n v="0.15000000596046448"/>
    <n v="3.0999999046325684"/>
    <n v="1188.027"/>
  </r>
  <r>
    <x v="1"/>
    <n v="1"/>
    <n v="0"/>
    <x v="0"/>
    <n v="0"/>
    <n v="0"/>
    <n v="113068"/>
    <n v="22694"/>
    <n v="1"/>
    <n v="1100"/>
    <s v="Joist"/>
    <x v="0"/>
    <x v="0"/>
    <s v=""/>
    <s v=""/>
    <s v="Fiberglass - Tied, stays"/>
    <n v="0.14000000059604645"/>
    <n v="5"/>
    <n v="2079.9929999999999"/>
  </r>
  <r>
    <x v="2"/>
    <n v="0.25"/>
    <n v="0"/>
    <x v="0"/>
    <n v="1"/>
    <n v="0"/>
    <n v="116874"/>
    <n v="12486"/>
    <n v="1"/>
    <n v="1276"/>
    <s v="Post and beam"/>
    <x v="3"/>
    <x v="1"/>
    <s v=""/>
    <s v=""/>
    <s v="Fiberglass - Tied, stays"/>
    <n v="0.18999999761581421"/>
    <n v="3.0999999046325684"/>
    <n v="4956.4930000000004"/>
  </r>
  <r>
    <x v="2"/>
    <n v="0.5"/>
    <n v="0"/>
    <x v="0"/>
    <n v="1"/>
    <n v="0"/>
    <n v="130296"/>
    <n v="13401"/>
    <n v="1"/>
    <n v="1162"/>
    <s v="Joist"/>
    <x v="2"/>
    <x v="0"/>
    <s v=""/>
    <s v=""/>
    <s v="Fiberglass - Tied, stays"/>
    <n v="0.14499999582767487"/>
    <n v="3.0999999046325684"/>
    <n v="4956.4930000000004"/>
  </r>
  <r>
    <x v="2"/>
    <n v="0.5"/>
    <n v="0"/>
    <x v="0"/>
    <n v="1"/>
    <n v="0"/>
    <n v="161561"/>
    <n v="24312"/>
    <n v="1"/>
    <n v="901"/>
    <s v="Joist"/>
    <x v="2"/>
    <x v="0"/>
    <s v=""/>
    <s v=""/>
    <s v="Fiberglass - Tied, stays"/>
    <n v="0.14499999582767487"/>
    <n v="3.0999999046325684"/>
    <n v="2079.9929999999999"/>
  </r>
  <r>
    <x v="2"/>
    <n v="0.5"/>
    <n v="0"/>
    <x v="0"/>
    <n v="1"/>
    <n v="0"/>
    <n v="240215"/>
    <n v="12730"/>
    <n v="1"/>
    <n v="704"/>
    <s v="Post and beam"/>
    <x v="1"/>
    <x v="0"/>
    <s v=""/>
    <s v="tore up r19 missing sections."/>
    <s v=""/>
    <n v="0.14499999582767487"/>
    <n v="3.0999999046325684"/>
    <n v="1150.8789999999999"/>
  </r>
  <r>
    <x v="2"/>
    <n v="0.75"/>
    <n v="0"/>
    <x v="0"/>
    <n v="0"/>
    <n v="0"/>
    <n v="76346"/>
    <n v="11702"/>
    <n v="1"/>
    <n v="740"/>
    <s v="Joist"/>
    <x v="2"/>
    <x v="0"/>
    <s v=""/>
    <s v=""/>
    <s v="Fiberglass - Tied, stays"/>
    <n v="0.10000000149011612"/>
    <n v="5"/>
    <n v="2003.7159999999999"/>
  </r>
  <r>
    <x v="2"/>
    <n v="0.75"/>
    <n v="0"/>
    <x v="0"/>
    <n v="1"/>
    <n v="0"/>
    <n v="116549"/>
    <n v="22212"/>
    <n v="1"/>
    <n v="1092"/>
    <s v="Joist"/>
    <x v="3"/>
    <x v="1"/>
    <s v=""/>
    <s v=""/>
    <s v="Fiberglass - Stapled"/>
    <n v="0.10000000149011612"/>
    <n v="3.0999999046325684"/>
    <n v="1612.692"/>
  </r>
  <r>
    <x v="2"/>
    <n v="0.75"/>
    <n v="0"/>
    <x v="0"/>
    <n v="1"/>
    <n v="0"/>
    <n v="40530"/>
    <n v="10807"/>
    <n v="1"/>
    <n v="322"/>
    <s v="Joist"/>
    <x v="0"/>
    <x v="0"/>
    <s v=""/>
    <s v=""/>
    <s v="Fiberglass - Stapled"/>
    <n v="0.10000000149011612"/>
    <n v="3.0999999046325684"/>
    <n v="1524.7619999999999"/>
  </r>
  <r>
    <x v="2"/>
    <n v="0.75"/>
    <n v="0"/>
    <x v="0"/>
    <n v="1"/>
    <n v="0"/>
    <n v="802994"/>
    <n v="12111"/>
    <n v="2"/>
    <n v="534"/>
    <s v="Joist"/>
    <x v="2"/>
    <x v="0"/>
    <s v=""/>
    <s v=""/>
    <s v=""/>
    <n v="0.10000000149011612"/>
    <n v="3.0999999046325684"/>
    <n v="1464.694"/>
  </r>
  <r>
    <x v="2"/>
    <n v="0.75"/>
    <n v="1"/>
    <x v="1"/>
    <n v="1"/>
    <n v="0"/>
    <n v="109607"/>
    <n v="13803"/>
    <n v="1"/>
    <n v="416"/>
    <s v="Joist"/>
    <x v="3"/>
    <x v="1"/>
    <s v="Fiberglass - Tied, stays"/>
    <s v=""/>
    <s v="Fiberglass - Tied, stays"/>
    <n v="0.10000000149011612"/>
    <n v="4.5"/>
    <n v="2003.7159999999999"/>
  </r>
  <r>
    <x v="2"/>
    <n v="0.75"/>
    <n v="0"/>
    <x v="0"/>
    <n v="0"/>
    <n v="0"/>
    <n v="108405"/>
    <n v="12247"/>
    <n v="1"/>
    <n v="1051"/>
    <s v="Post and beam"/>
    <x v="0"/>
    <x v="1"/>
    <s v=""/>
    <s v=""/>
    <s v="Fiberglass - Tied, stays"/>
    <n v="0.10000000149011612"/>
    <n v="5"/>
    <n v="2003.7159999999999"/>
  </r>
  <r>
    <x v="2"/>
    <n v="0.75"/>
    <n v="0"/>
    <x v="0"/>
    <n v="1"/>
    <n v="0"/>
    <n v="137212"/>
    <n v="11880"/>
    <n v="1"/>
    <n v="918"/>
    <s v="Post and beam"/>
    <x v="1"/>
    <x v="1"/>
    <s v=""/>
    <s v=""/>
    <s v=""/>
    <n v="0.10000000149011612"/>
    <n v="3.0999999046325684"/>
    <n v="2003.7159999999999"/>
  </r>
  <r>
    <x v="2"/>
    <n v="0.75"/>
    <n v="0"/>
    <x v="0"/>
    <n v="1"/>
    <n v="0"/>
    <n v="678196"/>
    <n v="10887"/>
    <n v="1"/>
    <n v="396"/>
    <s v="Joist"/>
    <x v="2"/>
    <x v="0"/>
    <s v=""/>
    <s v=""/>
    <s v=""/>
    <n v="0.10000000149011612"/>
    <n v="3.0999999046325684"/>
    <n v="1464.694"/>
  </r>
  <r>
    <x v="2"/>
    <n v="0.75"/>
    <n v="0"/>
    <x v="0"/>
    <n v="1"/>
    <n v="0"/>
    <n v="238495"/>
    <n v="22767"/>
    <n v="1"/>
    <n v="2431"/>
    <s v="Joist"/>
    <x v="3"/>
    <x v="0"/>
    <s v=""/>
    <s v=""/>
    <s v=""/>
    <n v="0.10000000149011612"/>
    <n v="3.0999999046325684"/>
    <n v="2079.9929999999999"/>
  </r>
  <r>
    <x v="2"/>
    <n v="0.75"/>
    <n v="0"/>
    <x v="0"/>
    <n v="0"/>
    <m/>
    <n v="203593"/>
    <n v="21689"/>
    <n v="2"/>
    <n v="576"/>
    <s v="Joist"/>
    <x v="3"/>
    <x v="0"/>
    <s v=""/>
    <s v=""/>
    <s v=""/>
    <n v="0.10000000149011612"/>
    <n v="5"/>
    <n v="3785.7640000000001"/>
  </r>
  <r>
    <x v="2"/>
    <n v="0.75"/>
    <n v="0"/>
    <x v="0"/>
    <n v="1"/>
    <n v="0"/>
    <n v="89464"/>
    <n v="12524"/>
    <n v="1"/>
    <n v="1152"/>
    <s v="Post and beam"/>
    <x v="2"/>
    <x v="1"/>
    <s v=""/>
    <s v=""/>
    <s v="Fiberglass - Tied, stays"/>
    <n v="0.10000000149011612"/>
    <n v="3.0999999046325684"/>
    <n v="2003.7159999999999"/>
  </r>
  <r>
    <x v="2"/>
    <n v="0.75"/>
    <n v="0"/>
    <x v="0"/>
    <n v="1"/>
    <n v="0"/>
    <n v="130969"/>
    <n v="11054"/>
    <n v="1"/>
    <n v="1608"/>
    <s v="Post and beam"/>
    <x v="1"/>
    <x v="1"/>
    <s v=""/>
    <s v=""/>
    <s v=""/>
    <n v="0.10000000149011612"/>
    <n v="3.0999999046325684"/>
    <n v="2003.7159999999999"/>
  </r>
  <r>
    <x v="2"/>
    <n v="0.75"/>
    <n v="0"/>
    <x v="0"/>
    <n v="0"/>
    <n v="0"/>
    <n v="108555"/>
    <n v="10100"/>
    <n v="1"/>
    <n v="1000"/>
    <s v="Post and beam"/>
    <x v="2"/>
    <x v="0"/>
    <s v=""/>
    <s v=""/>
    <s v="Fiberglass - Tied, stays"/>
    <n v="0.10000000149011612"/>
    <n v="5"/>
    <n v="1464.694"/>
  </r>
  <r>
    <x v="2"/>
    <n v="0.75"/>
    <n v="0"/>
    <x v="0"/>
    <n v="1"/>
    <n v="0"/>
    <n v="83006"/>
    <n v="12255"/>
    <n v="1"/>
    <n v="1146"/>
    <s v="Post and beam"/>
    <x v="2"/>
    <x v="0"/>
    <s v=""/>
    <s v=""/>
    <s v="Fiberglass - Stapled"/>
    <n v="0.10000000149011612"/>
    <n v="3.0999999046325684"/>
    <n v="1188.027"/>
  </r>
  <r>
    <x v="2"/>
    <n v="0.75"/>
    <n v="0"/>
    <x v="0"/>
    <n v="1"/>
    <n v="0"/>
    <n v="121839"/>
    <n v="23539"/>
    <n v="1"/>
    <n v="1218"/>
    <s v="Post and beam"/>
    <x v="2"/>
    <x v="0"/>
    <s v=""/>
    <s v=""/>
    <s v="Fiberglass - Stapled"/>
    <n v="0.10000000149011612"/>
    <n v="3.0999999046325684"/>
    <n v="2079.9929999999999"/>
  </r>
  <r>
    <x v="2"/>
    <n v="0.9"/>
    <n v="0"/>
    <x v="0"/>
    <n v="0"/>
    <m/>
    <n v="203966"/>
    <n v="14140"/>
    <n v="1"/>
    <n v="220"/>
    <s v="Joist"/>
    <x v="2"/>
    <x v="0"/>
    <s v=""/>
    <s v=""/>
    <s v=""/>
    <n v="7.5000002980232239E-2"/>
    <n v="5"/>
    <n v="2003.7159999999999"/>
  </r>
  <r>
    <x v="2"/>
    <n v="0.9"/>
    <n v="0"/>
    <x v="0"/>
    <n v="1"/>
    <n v="0"/>
    <n v="164961"/>
    <n v="23278"/>
    <n v="1"/>
    <n v="1176"/>
    <s v=""/>
    <x v="1"/>
    <x v="0"/>
    <s v=""/>
    <s v=""/>
    <s v=""/>
    <n v="7.5000002980232239E-2"/>
    <n v="3.0999999046325684"/>
    <n v="1612.692"/>
  </r>
  <r>
    <x v="2"/>
    <n v="0.9"/>
    <n v="1"/>
    <x v="3"/>
    <n v="1"/>
    <n v="0"/>
    <n v="33076"/>
    <n v="11035"/>
    <n v="1"/>
    <n v="1500"/>
    <s v="Joist"/>
    <x v="2"/>
    <x v="0"/>
    <s v="Rigid"/>
    <s v=""/>
    <s v="Fiberglass - Tied, stays"/>
    <n v="7.5000002980232239E-2"/>
    <n v="3.9000000953674316"/>
    <n v="1150.8789999999999"/>
  </r>
  <r>
    <x v="2"/>
    <n v="0.9"/>
    <n v="0"/>
    <x v="0"/>
    <n v="1"/>
    <n v="0"/>
    <n v="114752"/>
    <n v="10141"/>
    <n v="1"/>
    <n v="728"/>
    <s v="Post and beam"/>
    <x v="0"/>
    <x v="1"/>
    <s v=""/>
    <s v=""/>
    <s v="Fiberglass - Stapled"/>
    <n v="7.5000002980232239E-2"/>
    <n v="3.0999999046325684"/>
    <n v="4956.4930000000004"/>
  </r>
  <r>
    <x v="2"/>
    <n v="0.9"/>
    <n v="0"/>
    <x v="0"/>
    <n v="1"/>
    <n v="0"/>
    <n v="28882"/>
    <n v="12270"/>
    <n v="1"/>
    <n v="1100"/>
    <s v="Post and beam"/>
    <x v="2"/>
    <x v="0"/>
    <s v=""/>
    <s v=""/>
    <s v="Fiberglass - Stapled"/>
    <n v="7.5000002980232239E-2"/>
    <n v="3.0999999046325684"/>
    <n v="1150.8789999999999"/>
  </r>
  <r>
    <x v="2"/>
    <n v="0.9"/>
    <n v="0"/>
    <x v="0"/>
    <n v="1"/>
    <n v="0"/>
    <n v="663080"/>
    <n v="12372"/>
    <n v="1"/>
    <n v="730"/>
    <s v="Joist"/>
    <x v="0"/>
    <x v="1"/>
    <s v=""/>
    <s v=""/>
    <s v=""/>
    <n v="7.5000002980232239E-2"/>
    <n v="3.0999999046325684"/>
    <n v="4956.4930000000004"/>
  </r>
  <r>
    <x v="2"/>
    <n v="0.9"/>
    <n v="0"/>
    <x v="0"/>
    <n v="1"/>
    <n v="1"/>
    <n v="47190"/>
    <n v="11653"/>
    <n v="1"/>
    <n v="1130"/>
    <s v="Post and beam"/>
    <x v="3"/>
    <x v="1"/>
    <s v=""/>
    <s v=""/>
    <s v="Fiberglass - Stapled"/>
    <n v="7.5000002980232239E-2"/>
    <n v="4.5"/>
    <n v="1524.7619999999999"/>
  </r>
  <r>
    <x v="2"/>
    <n v="0.9"/>
    <n v="0"/>
    <x v="0"/>
    <n v="0"/>
    <n v="0"/>
    <n v="67175"/>
    <n v="11327"/>
    <n v="1"/>
    <n v="1170"/>
    <s v="Post and beam"/>
    <x v="2"/>
    <x v="0"/>
    <s v=""/>
    <s v=""/>
    <s v="Fiberglass - Tied, stays"/>
    <n v="7.5000002980232239E-2"/>
    <n v="5"/>
    <n v="2003.7159999999999"/>
  </r>
  <r>
    <x v="2"/>
    <n v="0.9"/>
    <n v="0"/>
    <x v="0"/>
    <n v="1"/>
    <n v="0"/>
    <n v="231749"/>
    <n v="23414"/>
    <n v="1"/>
    <n v="2180"/>
    <s v="Post and beam"/>
    <x v="0"/>
    <x v="0"/>
    <s v=""/>
    <s v=""/>
    <s v=""/>
    <n v="7.5000002980232239E-2"/>
    <n v="3.0999999046325684"/>
    <n v="2079.9929999999999"/>
  </r>
  <r>
    <x v="2"/>
    <n v="0.9"/>
    <n v="0"/>
    <x v="0"/>
    <n v="0"/>
    <m/>
    <n v="241243"/>
    <n v="21305"/>
    <n v="1"/>
    <n v="700"/>
    <s v="Joist"/>
    <x v="2"/>
    <x v="0"/>
    <s v=""/>
    <s v=""/>
    <s v=""/>
    <n v="7.5000002980232239E-2"/>
    <n v="5"/>
    <n v="1612.692"/>
  </r>
  <r>
    <x v="2"/>
    <n v="0.9"/>
    <n v="0"/>
    <x v="0"/>
    <n v="1"/>
    <n v="0"/>
    <n v="208510"/>
    <n v="12264"/>
    <n v="1"/>
    <n v="1476"/>
    <s v="Joist"/>
    <x v="2"/>
    <x v="0"/>
    <s v=""/>
    <s v=""/>
    <s v=""/>
    <n v="7.5000002980232239E-2"/>
    <n v="3.0999999046325684"/>
    <n v="1464.694"/>
  </r>
  <r>
    <x v="2"/>
    <n v="0.9"/>
    <n v="0"/>
    <x v="0"/>
    <n v="1"/>
    <n v="0"/>
    <n v="34423"/>
    <n v="10289"/>
    <n v="1"/>
    <n v="1200"/>
    <s v="Joist"/>
    <x v="2"/>
    <x v="0"/>
    <s v=""/>
    <s v=""/>
    <s v="Fiberglass - Tied, stays"/>
    <n v="7.5000002980232239E-2"/>
    <n v="3.0999999046325684"/>
    <n v="1524.7619999999999"/>
  </r>
  <r>
    <x v="2"/>
    <n v="0.9"/>
    <n v="0"/>
    <x v="0"/>
    <n v="1"/>
    <n v="1"/>
    <n v="115868"/>
    <n v="13514"/>
    <n v="1"/>
    <n v="960"/>
    <s v="Joist"/>
    <x v="2"/>
    <x v="0"/>
    <s v=""/>
    <s v=""/>
    <s v="Fiberglass - Stapled"/>
    <n v="7.5000002980232239E-2"/>
    <n v="4.5"/>
    <n v="4956.4930000000004"/>
  </r>
  <r>
    <x v="2"/>
    <n v="0.9"/>
    <n v="0"/>
    <x v="0"/>
    <n v="1"/>
    <n v="0"/>
    <n v="85929"/>
    <n v="13678"/>
    <n v="1"/>
    <n v="1080"/>
    <s v="Joist"/>
    <x v="0"/>
    <x v="1"/>
    <s v=""/>
    <s v=""/>
    <s v="Fiberglass - Tied, stays"/>
    <n v="7.5000002980232239E-2"/>
    <n v="3.0999999046325684"/>
    <n v="2003.7159999999999"/>
  </r>
  <r>
    <x v="2"/>
    <n v="0.9"/>
    <n v="0"/>
    <x v="0"/>
    <n v="1"/>
    <n v="0"/>
    <n v="79615"/>
    <n v="12505"/>
    <n v="1"/>
    <n v="891"/>
    <s v="Joist"/>
    <x v="2"/>
    <x v="0"/>
    <s v=""/>
    <s v=""/>
    <s v="Fiberglass - Tied, stays"/>
    <n v="7.5000002980232239E-2"/>
    <n v="3.0999999046325684"/>
    <n v="2003.7159999999999"/>
  </r>
  <r>
    <x v="2"/>
    <n v="0.9"/>
    <n v="0"/>
    <x v="0"/>
    <n v="1"/>
    <n v="0"/>
    <n v="106404"/>
    <n v="22743"/>
    <n v="1"/>
    <n v="1458"/>
    <s v="Post and beam"/>
    <x v="0"/>
    <x v="0"/>
    <s v=""/>
    <s v=""/>
    <s v="Fiberglass - Tied, stays"/>
    <n v="7.5000002980232239E-2"/>
    <n v="3.0999999046325684"/>
    <n v="3785.7640000000001"/>
  </r>
  <r>
    <x v="2"/>
    <n v="1"/>
    <n v="0"/>
    <x v="0"/>
    <n v="1"/>
    <n v="0"/>
    <n v="85118"/>
    <n v="10565"/>
    <n v="1"/>
    <n v="1742"/>
    <s v="Post and beam"/>
    <x v="2"/>
    <x v="1"/>
    <s v=""/>
    <s v=""/>
    <s v="Fiberglass - Tied, stays"/>
    <n v="5.9999998658895493E-2"/>
    <n v="3.0999999046325684"/>
    <n v="2003.7159999999999"/>
  </r>
  <r>
    <x v="2"/>
    <n v="1"/>
    <n v="0"/>
    <x v="0"/>
    <n v="1"/>
    <n v="0"/>
    <n v="105499"/>
    <n v="12755"/>
    <n v="1"/>
    <n v="1622"/>
    <s v="Post and beam"/>
    <x v="0"/>
    <x v="1"/>
    <s v=""/>
    <s v=""/>
    <s v="Fiberglass - Stapled"/>
    <n v="5.9999998658895493E-2"/>
    <n v="3.0999999046325684"/>
    <n v="4956.4930000000004"/>
  </r>
  <r>
    <x v="2"/>
    <n v="1"/>
    <n v="0"/>
    <x v="0"/>
    <n v="0"/>
    <m/>
    <n v="205256"/>
    <n v="21707"/>
    <n v="1"/>
    <n v="154"/>
    <s v="Joist"/>
    <x v="3"/>
    <x v="1"/>
    <s v=""/>
    <s v=""/>
    <s v=""/>
    <n v="5.9999998658895493E-2"/>
    <n v="5"/>
    <n v="1904.288"/>
  </r>
  <r>
    <x v="2"/>
    <n v="1"/>
    <n v="0"/>
    <x v="0"/>
    <n v="1"/>
    <n v="0"/>
    <n v="42348"/>
    <n v="22053"/>
    <n v="1"/>
    <n v="1700"/>
    <s v="Joist"/>
    <x v="2"/>
    <x v="1"/>
    <s v=""/>
    <s v=""/>
    <s v="Fiberglass - Tied, stays"/>
    <n v="5.9999998658895493E-2"/>
    <n v="3.0999999046325684"/>
    <n v="2079.9929999999999"/>
  </r>
  <r>
    <x v="2"/>
    <n v="1"/>
    <n v="1"/>
    <x v="3"/>
    <n v="1"/>
    <n v="0"/>
    <n v="160710"/>
    <n v="11729"/>
    <n v="1"/>
    <n v="1272"/>
    <s v="Post and beam"/>
    <x v="1"/>
    <x v="1"/>
    <s v=""/>
    <s v=""/>
    <s v=""/>
    <n v="5.9999998658895493E-2"/>
    <n v="3.9000000953674316"/>
    <n v="6932.7380000000003"/>
  </r>
  <r>
    <x v="2"/>
    <n v="1"/>
    <n v="0"/>
    <x v="0"/>
    <n v="1"/>
    <n v="1"/>
    <n v="222470"/>
    <n v="14577"/>
    <n v="1"/>
    <n v="832"/>
    <s v="Joist"/>
    <x v="3"/>
    <x v="1"/>
    <s v=""/>
    <s v=""/>
    <s v=""/>
    <n v="5.9999998658895493E-2"/>
    <n v="4.5"/>
    <n v="6932.7380000000003"/>
  </r>
  <r>
    <x v="2"/>
    <n v="1"/>
    <n v="0"/>
    <x v="0"/>
    <n v="1"/>
    <n v="0"/>
    <n v="783197"/>
    <n v="24311"/>
    <n v="1"/>
    <n v="1576"/>
    <s v="Joist"/>
    <x v="0"/>
    <x v="0"/>
    <s v=""/>
    <s v="FLOOR INS. IS SOME OLD FOAM BOARD BEST CASE IS R 6 PER INCH. 2 INCHES OF BOARD. PROBABLY NOT R 6 THO"/>
    <s v=""/>
    <n v="5.9999998658895493E-2"/>
    <n v="3.0999999046325684"/>
    <n v="8264.9449999999997"/>
  </r>
  <r>
    <x v="2"/>
    <n v="1"/>
    <n v="0"/>
    <x v="0"/>
    <n v="0"/>
    <m/>
    <n v="58258"/>
    <n v="11670"/>
    <n v="2"/>
    <n v="224"/>
    <s v="Joist"/>
    <x v="2"/>
    <x v="0"/>
    <s v=""/>
    <s v="this crawl has framed walls adn is the former porch foundation"/>
    <s v=""/>
    <n v="5.9999998658895493E-2"/>
    <n v="5"/>
    <n v="1524.7619999999999"/>
  </r>
  <r>
    <x v="2"/>
    <n v="1"/>
    <n v="0"/>
    <x v="0"/>
    <n v="0"/>
    <m/>
    <n v="194616"/>
    <n v="20671"/>
    <n v="1"/>
    <n v="384"/>
    <s v="Post and beam"/>
    <x v="1"/>
    <x v="0"/>
    <s v=""/>
    <s v=""/>
    <s v=""/>
    <n v="5.9999998658895493E-2"/>
    <n v="5"/>
    <n v="8264.9449999999997"/>
  </r>
  <r>
    <x v="2"/>
    <n v="1"/>
    <n v="0"/>
    <x v="0"/>
    <n v="1"/>
    <n v="0"/>
    <n v="136006"/>
    <n v="10309"/>
    <n v="1"/>
    <n v="730"/>
    <s v="Post and beam"/>
    <x v="1"/>
    <x v="1"/>
    <s v=""/>
    <s v=""/>
    <s v=""/>
    <n v="5.9999998658895493E-2"/>
    <n v="3.0999999046325684"/>
    <n v="6932.7380000000003"/>
  </r>
  <r>
    <x v="2"/>
    <n v="1"/>
    <n v="0"/>
    <x v="0"/>
    <n v="1"/>
    <n v="0"/>
    <n v="58258"/>
    <n v="11670"/>
    <n v="1"/>
    <n v="672"/>
    <s v="Joist"/>
    <x v="2"/>
    <x v="0"/>
    <s v=""/>
    <s v="R-11 Batts"/>
    <s v="Fiberglass - Stapled"/>
    <n v="5.9999998658895493E-2"/>
    <n v="3.0999999046325684"/>
    <n v="1524.7619999999999"/>
  </r>
  <r>
    <x v="2"/>
    <n v="1"/>
    <n v="0"/>
    <x v="0"/>
    <n v="1"/>
    <n v="0"/>
    <n v="223977"/>
    <n v="24614"/>
    <n v="1"/>
    <n v="1568"/>
    <s v="Post and beam"/>
    <x v="1"/>
    <x v="1"/>
    <s v=""/>
    <s v=""/>
    <s v=""/>
    <n v="5.9999998658895493E-2"/>
    <n v="3.0999999046325684"/>
    <n v="2079.9929999999999"/>
  </r>
  <r>
    <x v="2"/>
    <n v="1"/>
    <n v="0"/>
    <x v="0"/>
    <n v="1"/>
    <n v="0"/>
    <n v="682066"/>
    <n v="13656"/>
    <n v="1"/>
    <n v="1257"/>
    <s v="Joist"/>
    <x v="0"/>
    <x v="1"/>
    <s v=""/>
    <s v="R15 batts"/>
    <s v=""/>
    <n v="5.9999998658895493E-2"/>
    <n v="3.0999999046325684"/>
    <n v="1524.7619999999999"/>
  </r>
  <r>
    <x v="2"/>
    <n v="1"/>
    <n v="0"/>
    <x v="0"/>
    <n v="1"/>
    <n v="0"/>
    <n v="135175"/>
    <n v="12408"/>
    <n v="1"/>
    <n v="990"/>
    <s v="Post and beam"/>
    <x v="0"/>
    <x v="1"/>
    <s v=""/>
    <s v=""/>
    <s v=""/>
    <n v="5.9999998658895493E-2"/>
    <n v="3.0999999046325684"/>
    <n v="4956.4930000000004"/>
  </r>
  <r>
    <x v="2"/>
    <n v="1"/>
    <n v="0"/>
    <x v="0"/>
    <n v="1"/>
    <n v="0"/>
    <n v="71125"/>
    <n v="23905"/>
    <n v="1"/>
    <n v="987"/>
    <s v="Joist"/>
    <x v="3"/>
    <x v="1"/>
    <s v=""/>
    <s v=""/>
    <s v="Fiberglass - Tied, stays"/>
    <n v="5.9999998658895493E-2"/>
    <n v="3.0999999046325684"/>
    <n v="2079.9929999999999"/>
  </r>
  <r>
    <x v="2"/>
    <n v="1"/>
    <n v="0"/>
    <x v="0"/>
    <n v="1"/>
    <n v="1"/>
    <n v="46465"/>
    <n v="20712"/>
    <n v="1"/>
    <n v="1835"/>
    <s v="Joist"/>
    <x v="3"/>
    <x v="1"/>
    <s v=""/>
    <s v=""/>
    <s v="Fiberglass - Stapled"/>
    <n v="5.9999998658895493E-2"/>
    <n v="4.5"/>
    <n v="2079.9929999999999"/>
  </r>
  <r>
    <x v="2"/>
    <n v="1"/>
    <n v="0"/>
    <x v="0"/>
    <n v="1"/>
    <n v="0"/>
    <n v="130510"/>
    <n v="11766"/>
    <n v="1"/>
    <n v="2108"/>
    <s v="Joist"/>
    <x v="2"/>
    <x v="0"/>
    <s v=""/>
    <s v=""/>
    <s v=""/>
    <n v="5.9999998658895493E-2"/>
    <n v="3.0999999046325684"/>
    <n v="4956.4930000000004"/>
  </r>
  <r>
    <x v="2"/>
    <n v="1"/>
    <n v="1"/>
    <x v="1"/>
    <n v="1"/>
    <n v="0"/>
    <n v="158880"/>
    <n v="23358"/>
    <n v="1"/>
    <n v="1200"/>
    <s v="Joist"/>
    <x v="4"/>
    <x v="1"/>
    <s v=""/>
    <s v=""/>
    <s v=""/>
    <n v="5.9999998658895493E-2"/>
    <n v="4.5"/>
    <n v="2130.886"/>
  </r>
  <r>
    <x v="2"/>
    <n v="1"/>
    <n v="0"/>
    <x v="0"/>
    <n v="0"/>
    <n v="0"/>
    <n v="46397"/>
    <n v="20111"/>
    <n v="1"/>
    <n v="770"/>
    <s v="Joist"/>
    <x v="0"/>
    <x v="0"/>
    <s v=""/>
    <s v=""/>
    <s v="Fiberglass - Stapled"/>
    <n v="5.9999998658895493E-2"/>
    <n v="5"/>
    <n v="2079.9929999999999"/>
  </r>
  <r>
    <x v="2"/>
    <n v="1"/>
    <n v="0"/>
    <x v="0"/>
    <n v="0"/>
    <m/>
    <n v="205517"/>
    <n v="23440"/>
    <n v="1"/>
    <n v="228"/>
    <s v="Joist"/>
    <x v="0"/>
    <x v="0"/>
    <s v=""/>
    <s v=""/>
    <s v=""/>
    <n v="5.9999998658895493E-2"/>
    <n v="5"/>
    <n v="1904.288"/>
  </r>
  <r>
    <x v="2"/>
    <n v="1"/>
    <n v="0"/>
    <x v="0"/>
    <n v="1"/>
    <n v="0"/>
    <n v="183732"/>
    <n v="24826"/>
    <n v="1"/>
    <n v="1704"/>
    <s v="Post and beam"/>
    <x v="1"/>
    <x v="0"/>
    <s v=""/>
    <s v=""/>
    <s v=""/>
    <n v="5.9999998658895493E-2"/>
    <n v="3.0999999046325684"/>
    <n v="1612.692"/>
  </r>
  <r>
    <x v="2"/>
    <n v="1"/>
    <n v="0"/>
    <x v="0"/>
    <n v="1"/>
    <n v="0"/>
    <n v="134318"/>
    <n v="23581"/>
    <n v="1"/>
    <n v="1866"/>
    <s v="Post and beam"/>
    <x v="1"/>
    <x v="0"/>
    <s v=""/>
    <s v=""/>
    <s v=""/>
    <n v="5.9999998658895493E-2"/>
    <n v="3.0999999046325684"/>
    <n v="1612.692"/>
  </r>
  <r>
    <x v="2"/>
    <n v="1"/>
    <n v="1"/>
    <x v="1"/>
    <n v="1"/>
    <n v="0"/>
    <n v="78817"/>
    <n v="20051"/>
    <n v="1"/>
    <n v="1392"/>
    <s v="Joist"/>
    <x v="4"/>
    <x v="1"/>
    <s v="Fiberglass - Stapled"/>
    <s v=""/>
    <s v="Fiberglass - Stapled"/>
    <n v="5.9999998658895493E-2"/>
    <n v="4.5"/>
    <n v="1144.6790000000001"/>
  </r>
  <r>
    <x v="2"/>
    <n v="1"/>
    <n v="0"/>
    <x v="0"/>
    <n v="1"/>
    <n v="0"/>
    <n v="125441"/>
    <n v="12693"/>
    <n v="1"/>
    <n v="1272"/>
    <s v="Post and beam"/>
    <x v="0"/>
    <x v="1"/>
    <s v=""/>
    <s v=""/>
    <s v="Fiberglass - Tied, stays"/>
    <n v="5.9999998658895493E-2"/>
    <n v="3.0999999046325684"/>
    <n v="4956.4930000000004"/>
  </r>
  <r>
    <x v="2"/>
    <n v="1"/>
    <n v="0"/>
    <x v="0"/>
    <n v="0"/>
    <n v="0"/>
    <n v="124713"/>
    <n v="22919"/>
    <n v="1"/>
    <n v="950"/>
    <s v="Joist"/>
    <x v="2"/>
    <x v="0"/>
    <s v=""/>
    <s v=""/>
    <s v="Fiberglass - Tied, stays"/>
    <n v="5.9999998658895493E-2"/>
    <n v="5"/>
    <n v="2079.9929999999999"/>
  </r>
  <r>
    <x v="2"/>
    <n v="1"/>
    <n v="0"/>
    <x v="0"/>
    <n v="1"/>
    <n v="0"/>
    <n v="237947"/>
    <n v="14300"/>
    <n v="1"/>
    <n v="1240"/>
    <s v="Post and beam"/>
    <x v="1"/>
    <x v="0"/>
    <s v=""/>
    <s v=""/>
    <s v=""/>
    <n v="5.9999998658895493E-2"/>
    <n v="3.0999999046325684"/>
    <n v="4956.4930000000004"/>
  </r>
  <r>
    <x v="2"/>
    <n v="1"/>
    <n v="0"/>
    <x v="0"/>
    <n v="1"/>
    <n v="0"/>
    <n v="221160"/>
    <n v="21384"/>
    <n v="1"/>
    <n v="957"/>
    <s v="Joist"/>
    <x v="3"/>
    <x v="1"/>
    <s v=""/>
    <s v=""/>
    <s v=""/>
    <n v="5.9999998658895493E-2"/>
    <n v="3.0999999046325684"/>
    <n v="1904.288"/>
  </r>
  <r>
    <x v="2"/>
    <n v="1"/>
    <n v="0"/>
    <x v="0"/>
    <n v="1"/>
    <n v="1"/>
    <n v="210929"/>
    <n v="20440"/>
    <n v="1"/>
    <n v="1452"/>
    <s v="Post and beam"/>
    <x v="1"/>
    <x v="0"/>
    <s v=""/>
    <s v=""/>
    <s v=""/>
    <n v="5.9999998658895493E-2"/>
    <n v="4.5"/>
    <n v="1925.059"/>
  </r>
  <r>
    <x v="2"/>
    <n v="1"/>
    <n v="0"/>
    <x v="0"/>
    <n v="1"/>
    <n v="1"/>
    <n v="85821"/>
    <n v="11684"/>
    <n v="1"/>
    <n v="1334"/>
    <s v="Joist"/>
    <x v="0"/>
    <x v="0"/>
    <s v=""/>
    <s v=""/>
    <s v="Fiberglass - Tied, stays"/>
    <n v="5.9999998658895493E-2"/>
    <n v="4.5"/>
    <n v="2003.7159999999999"/>
  </r>
  <r>
    <x v="3"/>
    <n v="0.25"/>
    <n v="0"/>
    <x v="0"/>
    <n v="1"/>
    <n v="0"/>
    <n v="73893"/>
    <n v="11752"/>
    <n v="1"/>
    <n v="1240"/>
    <s v="Post and beam"/>
    <x v="1"/>
    <x v="1"/>
    <s v=""/>
    <s v=""/>
    <s v="Fiberglass - Tied, stays"/>
    <n v="0.18500000238418579"/>
    <n v="3.0999999046325684"/>
    <n v="2003.7159999999999"/>
  </r>
  <r>
    <x v="3"/>
    <n v="0.5"/>
    <n v="0"/>
    <x v="0"/>
    <n v="1"/>
    <n v="0"/>
    <n v="79122"/>
    <n v="22439"/>
    <n v="1"/>
    <n v="1485"/>
    <s v="Joist"/>
    <x v="0"/>
    <x v="0"/>
    <s v=""/>
    <s v=""/>
    <s v="Fiberglass - Tied, stays"/>
    <n v="0.14000000059604645"/>
    <n v="3.0999999046325684"/>
    <n v="2079.9929999999999"/>
  </r>
  <r>
    <x v="3"/>
    <n v="0.5"/>
    <n v="0"/>
    <x v="0"/>
    <n v="1"/>
    <n v="0"/>
    <n v="54290"/>
    <n v="11499"/>
    <n v="1"/>
    <n v="840"/>
    <s v="Joist"/>
    <x v="0"/>
    <x v="0"/>
    <s v=""/>
    <s v=""/>
    <s v="Fiberglass - Stapled"/>
    <n v="0.14000000059604645"/>
    <n v="3.0999999046325684"/>
    <n v="1188.027"/>
  </r>
  <r>
    <x v="3"/>
    <n v="0.5"/>
    <n v="0"/>
    <x v="0"/>
    <n v="1"/>
    <n v="0"/>
    <n v="142855"/>
    <n v="21647"/>
    <n v="1"/>
    <n v="744"/>
    <s v="Joist"/>
    <x v="2"/>
    <x v="0"/>
    <s v=""/>
    <s v=""/>
    <s v=""/>
    <n v="0.14000000059604645"/>
    <n v="3.0999999046325684"/>
    <n v="1612.692"/>
  </r>
  <r>
    <x v="3"/>
    <n v="0.5"/>
    <n v="0"/>
    <x v="0"/>
    <n v="1"/>
    <n v="0"/>
    <n v="720710"/>
    <n v="11219"/>
    <n v="1"/>
    <n v="1322"/>
    <s v="Post and beam"/>
    <x v="1"/>
    <x v="1"/>
    <s v=""/>
    <s v=""/>
    <s v=""/>
    <n v="0.14000000059604645"/>
    <n v="3.0999999046325684"/>
    <n v="4956.4930000000004"/>
  </r>
  <r>
    <x v="3"/>
    <n v="0.5"/>
    <n v="0"/>
    <x v="0"/>
    <n v="1"/>
    <n v="1"/>
    <n v="81568"/>
    <n v="21668"/>
    <n v="1"/>
    <n v="854"/>
    <s v="Joist"/>
    <x v="2"/>
    <x v="1"/>
    <s v=""/>
    <s v=""/>
    <s v="Fiberglass - Tied, stays"/>
    <n v="0.14000000059604645"/>
    <n v="4.5"/>
    <n v="3785.7640000000001"/>
  </r>
  <r>
    <x v="3"/>
    <n v="0.5"/>
    <n v="0"/>
    <x v="0"/>
    <n v="1"/>
    <n v="1"/>
    <n v="55001"/>
    <n v="22509"/>
    <n v="1"/>
    <n v="624"/>
    <s v="Post and beam"/>
    <x v="2"/>
    <x v="1"/>
    <s v=""/>
    <s v=""/>
    <s v="Fiberglass - Tied, stays"/>
    <n v="0.14000000059604645"/>
    <n v="4.5"/>
    <n v="2079.9929999999999"/>
  </r>
  <r>
    <x v="3"/>
    <n v="0.5"/>
    <n v="0"/>
    <x v="0"/>
    <n v="0"/>
    <n v="0"/>
    <n v="27289"/>
    <n v="12640"/>
    <n v="1"/>
    <n v="1240"/>
    <s v="Joist"/>
    <x v="0"/>
    <x v="0"/>
    <s v=""/>
    <s v=""/>
    <s v="Fiberglass - Tied, stays"/>
    <n v="0.14000000059604645"/>
    <n v="5"/>
    <n v="1150.8789999999999"/>
  </r>
  <r>
    <x v="3"/>
    <n v="0.5"/>
    <n v="0"/>
    <x v="0"/>
    <n v="0"/>
    <n v="0"/>
    <n v="33372"/>
    <n v="21605"/>
    <n v="1"/>
    <n v="1237"/>
    <s v="Post and beam"/>
    <x v="0"/>
    <x v="0"/>
    <s v=""/>
    <s v=""/>
    <s v="Fiberglass - Tied, stays"/>
    <n v="0.14000000059604645"/>
    <n v="5"/>
    <n v="2130.886"/>
  </r>
  <r>
    <x v="3"/>
    <n v="0.5"/>
    <n v="0"/>
    <x v="0"/>
    <n v="1"/>
    <n v="0"/>
    <n v="29629"/>
    <n v="10895"/>
    <n v="1"/>
    <n v="1759"/>
    <s v="Joist"/>
    <x v="2"/>
    <x v="1"/>
    <s v=""/>
    <s v=""/>
    <s v="Fiberglass - Stapled"/>
    <n v="0.14000000059604645"/>
    <n v="3.0999999046325684"/>
    <n v="1524.7619999999999"/>
  </r>
  <r>
    <x v="3"/>
    <n v="0.5"/>
    <n v="0"/>
    <x v="0"/>
    <n v="1"/>
    <n v="0"/>
    <n v="199336"/>
    <n v="22699"/>
    <n v="1"/>
    <n v="940"/>
    <s v="Post and beam"/>
    <x v="1"/>
    <x v="1"/>
    <s v=""/>
    <s v=""/>
    <s v=""/>
    <n v="0.14000000059604645"/>
    <n v="3.0999999046325684"/>
    <n v="1612.692"/>
  </r>
  <r>
    <x v="3"/>
    <n v="0.5"/>
    <n v="0"/>
    <x v="0"/>
    <n v="1"/>
    <n v="0"/>
    <n v="79482"/>
    <n v="13017"/>
    <n v="1"/>
    <n v="594"/>
    <s v="Post and beam"/>
    <x v="0"/>
    <x v="0"/>
    <s v=""/>
    <s v=""/>
    <s v="Fiberglass - Tied, stays"/>
    <n v="0.14000000059604645"/>
    <n v="3.0999999046325684"/>
    <n v="2003.7159999999999"/>
  </r>
  <r>
    <x v="3"/>
    <n v="0.5"/>
    <n v="0"/>
    <x v="0"/>
    <n v="1"/>
    <n v="0"/>
    <n v="76662"/>
    <n v="13292"/>
    <n v="1"/>
    <n v="989"/>
    <s v="Post and beam"/>
    <x v="0"/>
    <x v="1"/>
    <s v=""/>
    <s v=""/>
    <s v="Fiberglass - Tied, stays"/>
    <n v="0.14000000059604645"/>
    <n v="3.0999999046325684"/>
    <n v="2003.7159999999999"/>
  </r>
  <r>
    <x v="3"/>
    <n v="0.75"/>
    <n v="0"/>
    <x v="0"/>
    <n v="1"/>
    <n v="0"/>
    <n v="679558"/>
    <n v="10388"/>
    <n v="1"/>
    <n v="748"/>
    <s v="Joist"/>
    <x v="2"/>
    <x v="0"/>
    <s v=""/>
    <s v=""/>
    <s v=""/>
    <n v="9.0000003576278687E-2"/>
    <n v="3.0999999046325684"/>
    <n v="1464.694"/>
  </r>
  <r>
    <x v="3"/>
    <n v="0.75"/>
    <n v="0"/>
    <x v="0"/>
    <n v="1"/>
    <n v="0"/>
    <n v="187583"/>
    <n v="24467"/>
    <n v="1"/>
    <n v="1600"/>
    <s v="Post and beam"/>
    <x v="1"/>
    <x v="0"/>
    <s v=""/>
    <s v=""/>
    <s v=""/>
    <n v="9.0000003576278687E-2"/>
    <n v="3.0999999046325684"/>
    <n v="1612.692"/>
  </r>
  <r>
    <x v="3"/>
    <n v="0.75"/>
    <n v="0"/>
    <x v="0"/>
    <n v="1"/>
    <n v="0"/>
    <n v="166930"/>
    <n v="21464"/>
    <n v="1"/>
    <n v="1233"/>
    <s v="Joist"/>
    <x v="3"/>
    <x v="1"/>
    <s v=""/>
    <s v=""/>
    <s v=""/>
    <n v="9.0000003576278687E-2"/>
    <n v="3.0999999046325684"/>
    <n v="1192.4649999999999"/>
  </r>
  <r>
    <x v="3"/>
    <n v="0.75"/>
    <n v="1"/>
    <x v="3"/>
    <n v="0"/>
    <m/>
    <n v="148757"/>
    <n v="22597"/>
    <n v="1"/>
    <n v="1012"/>
    <s v="Post and beam"/>
    <x v="1"/>
    <x v="0"/>
    <s v=""/>
    <s v=""/>
    <s v=""/>
    <n v="9.0000003576278687E-2"/>
    <n v="9.1000003814697266"/>
    <n v="8264.9449999999997"/>
  </r>
  <r>
    <x v="3"/>
    <n v="0.75"/>
    <n v="0"/>
    <x v="0"/>
    <n v="1"/>
    <n v="0"/>
    <n v="71387"/>
    <n v="21103"/>
    <n v="1"/>
    <n v="1185"/>
    <s v="Post and beam"/>
    <x v="1"/>
    <x v="1"/>
    <s v=""/>
    <s v=""/>
    <s v="Fiberglass - Tied, stays"/>
    <n v="9.0000003576278687E-2"/>
    <n v="3.0999999046325684"/>
    <n v="2079.9929999999999"/>
  </r>
  <r>
    <x v="3"/>
    <n v="0.75"/>
    <n v="0"/>
    <x v="0"/>
    <n v="0"/>
    <n v="0"/>
    <n v="36666"/>
    <n v="20995"/>
    <n v="1"/>
    <n v="784"/>
    <s v="Joist"/>
    <x v="3"/>
    <x v="0"/>
    <s v=""/>
    <s v=""/>
    <s v="Fiberglass - Tied, stays"/>
    <n v="9.0000003576278687E-2"/>
    <n v="5"/>
    <n v="2130.886"/>
  </r>
  <r>
    <x v="3"/>
    <n v="0.75"/>
    <n v="0"/>
    <x v="0"/>
    <n v="1"/>
    <n v="1"/>
    <n v="676108"/>
    <n v="24684"/>
    <n v="1"/>
    <n v="1334"/>
    <s v="Joist"/>
    <x v="0"/>
    <x v="0"/>
    <s v=""/>
    <s v=""/>
    <s v=""/>
    <n v="9.0000003576278687E-2"/>
    <n v="4.5"/>
    <n v="1904.288"/>
  </r>
  <r>
    <x v="3"/>
    <n v="0.75"/>
    <n v="0"/>
    <x v="0"/>
    <n v="0"/>
    <n v="1"/>
    <n v="112443"/>
    <n v="22787"/>
    <n v="1"/>
    <n v="917"/>
    <s v="Joist"/>
    <x v="0"/>
    <x v="1"/>
    <s v=""/>
    <s v=""/>
    <s v="Fiberglass - Stapled"/>
    <n v="9.0000003576278687E-2"/>
    <n v="5"/>
    <n v="3785.7640000000001"/>
  </r>
  <r>
    <x v="3"/>
    <n v="0.75"/>
    <n v="0"/>
    <x v="0"/>
    <n v="1"/>
    <n v="0"/>
    <n v="31680"/>
    <n v="13319"/>
    <n v="1"/>
    <n v="1600"/>
    <s v="Post and beam"/>
    <x v="2"/>
    <x v="0"/>
    <s v=""/>
    <s v=""/>
    <s v="Fiberglass - Stapled"/>
    <n v="9.0000003576278687E-2"/>
    <n v="3.0999999046325684"/>
    <n v="1150.8789999999999"/>
  </r>
  <r>
    <x v="3"/>
    <n v="0.75"/>
    <n v="0"/>
    <x v="0"/>
    <n v="1"/>
    <n v="0"/>
    <n v="156822"/>
    <n v="24607"/>
    <n v="1"/>
    <n v="1046"/>
    <s v="Joist"/>
    <x v="0"/>
    <x v="1"/>
    <s v=""/>
    <s v=""/>
    <s v=""/>
    <n v="9.0000003576278687E-2"/>
    <n v="3.0999999046325684"/>
    <n v="1192.4649999999999"/>
  </r>
  <r>
    <x v="3"/>
    <n v="0.75"/>
    <n v="0"/>
    <x v="0"/>
    <n v="1"/>
    <n v="1"/>
    <n v="49186"/>
    <n v="21471"/>
    <n v="1"/>
    <n v="1111"/>
    <s v="Post and beam"/>
    <x v="3"/>
    <x v="1"/>
    <s v=""/>
    <s v=""/>
    <s v="Fiberglass - Tied, stays"/>
    <n v="9.0000003576278687E-2"/>
    <n v="4.5"/>
    <n v="2079.9929999999999"/>
  </r>
  <r>
    <x v="3"/>
    <n v="0.75"/>
    <n v="0"/>
    <x v="0"/>
    <n v="1"/>
    <n v="0"/>
    <n v="76422"/>
    <n v="21768"/>
    <n v="1"/>
    <n v="1182"/>
    <s v="Post and beam"/>
    <x v="2"/>
    <x v="0"/>
    <s v=""/>
    <s v=""/>
    <s v="Fiberglass - Tied, stays"/>
    <n v="9.0000003576278687E-2"/>
    <n v="3.0999999046325684"/>
    <n v="1925.059"/>
  </r>
  <r>
    <x v="3"/>
    <n v="0.75"/>
    <n v="0"/>
    <x v="0"/>
    <n v="1"/>
    <n v="0"/>
    <n v="680634"/>
    <n v="12507"/>
    <n v="1"/>
    <n v="415"/>
    <s v="Joist"/>
    <x v="0"/>
    <x v="1"/>
    <s v=""/>
    <s v=""/>
    <s v=""/>
    <n v="9.0000003576278687E-2"/>
    <n v="3.0999999046325684"/>
    <n v="1524.7619999999999"/>
  </r>
  <r>
    <x v="3"/>
    <n v="0.75"/>
    <n v="0"/>
    <x v="0"/>
    <n v="1"/>
    <n v="0"/>
    <n v="720240"/>
    <n v="20411"/>
    <n v="1"/>
    <n v="1134"/>
    <s v="Joist"/>
    <x v="3"/>
    <x v="1"/>
    <s v=""/>
    <s v="10 inch space 6 inch fg hgh and low with compression and voids- my gift of 75% could be generous"/>
    <s v=""/>
    <n v="9.0000003576278687E-2"/>
    <n v="3.0999999046325684"/>
    <n v="3785.7640000000001"/>
  </r>
  <r>
    <x v="3"/>
    <n v="0.75"/>
    <n v="0"/>
    <x v="0"/>
    <n v="1"/>
    <n v="0"/>
    <n v="55981"/>
    <n v="11315"/>
    <n v="1"/>
    <n v="1792"/>
    <s v="Joist"/>
    <x v="0"/>
    <x v="0"/>
    <s v=""/>
    <s v=""/>
    <s v="Fiberglass - Tied, stays"/>
    <n v="9.0000003576278687E-2"/>
    <n v="3.0999999046325684"/>
    <n v="1188.027"/>
  </r>
  <r>
    <x v="3"/>
    <n v="0.75"/>
    <n v="0"/>
    <x v="0"/>
    <n v="1"/>
    <n v="0"/>
    <n v="238267"/>
    <n v="23710"/>
    <n v="1"/>
    <n v="3078"/>
    <s v="Joist"/>
    <x v="0"/>
    <x v="0"/>
    <s v=""/>
    <s v=""/>
    <s v=""/>
    <n v="9.0000003576278687E-2"/>
    <n v="3.0999999046325684"/>
    <n v="2079.9929999999999"/>
  </r>
  <r>
    <x v="3"/>
    <n v="0.75"/>
    <n v="0"/>
    <x v="0"/>
    <n v="1"/>
    <n v="0"/>
    <n v="126877"/>
    <n v="20814"/>
    <n v="1"/>
    <n v="1050"/>
    <s v="Post and beam"/>
    <x v="0"/>
    <x v="1"/>
    <s v=""/>
    <s v=""/>
    <s v="Fiberglass - Stapled"/>
    <n v="9.0000003576278687E-2"/>
    <n v="3.0999999046325684"/>
    <n v="2079.9929999999999"/>
  </r>
  <r>
    <x v="3"/>
    <n v="0.75"/>
    <n v="0"/>
    <x v="0"/>
    <n v="1"/>
    <n v="0"/>
    <n v="233697"/>
    <n v="11602"/>
    <n v="1"/>
    <n v="1456"/>
    <s v="Post and beam"/>
    <x v="1"/>
    <x v="0"/>
    <s v=""/>
    <s v=""/>
    <s v=""/>
    <n v="9.0000003576278687E-2"/>
    <n v="3.0999999046325684"/>
    <n v="1150.8789999999999"/>
  </r>
  <r>
    <x v="3"/>
    <n v="0.75"/>
    <n v="0"/>
    <x v="0"/>
    <n v="0"/>
    <m/>
    <n v="144581"/>
    <n v="20381"/>
    <n v="1"/>
    <n v="235"/>
    <s v="Joist"/>
    <x v="3"/>
    <x v="0"/>
    <s v=""/>
    <s v=""/>
    <s v=""/>
    <n v="9.0000003576278687E-2"/>
    <n v="5"/>
    <n v="1192.4649999999999"/>
  </r>
  <r>
    <x v="3"/>
    <n v="0.75"/>
    <n v="0"/>
    <x v="0"/>
    <n v="1"/>
    <n v="0"/>
    <n v="88556"/>
    <n v="10986"/>
    <n v="1"/>
    <n v="1926"/>
    <s v="Joist"/>
    <x v="0"/>
    <x v="0"/>
    <s v=""/>
    <s v=""/>
    <s v="Fiberglass - Tied, stays"/>
    <n v="9.0000003576278687E-2"/>
    <n v="3.0999999046325684"/>
    <n v="2003.7159999999999"/>
  </r>
  <r>
    <x v="3"/>
    <n v="0.75"/>
    <n v="0"/>
    <x v="0"/>
    <n v="1"/>
    <n v="0"/>
    <n v="39714"/>
    <n v="12321"/>
    <n v="1"/>
    <n v="729"/>
    <s v="Joist"/>
    <x v="0"/>
    <x v="0"/>
    <s v=""/>
    <s v="R-19 batts, quite loose and hanging in spots"/>
    <s v=""/>
    <n v="9.0000003576278687E-2"/>
    <n v="3.0999999046325684"/>
    <n v="1524.7619999999999"/>
  </r>
  <r>
    <x v="3"/>
    <n v="0.75"/>
    <n v="0"/>
    <x v="0"/>
    <n v="1"/>
    <n v="0"/>
    <n v="72317"/>
    <n v="13347"/>
    <n v="1"/>
    <n v="1764"/>
    <s v="Joist"/>
    <x v="0"/>
    <x v="0"/>
    <s v=""/>
    <s v=""/>
    <s v="Fiberglass - Tied, stays"/>
    <n v="9.0000003576278687E-2"/>
    <n v="3.0999999046325684"/>
    <n v="2003.7159999999999"/>
  </r>
  <r>
    <x v="3"/>
    <n v="0.75"/>
    <n v="0"/>
    <x v="0"/>
    <n v="1"/>
    <n v="0"/>
    <n v="240851"/>
    <n v="23624"/>
    <n v="1"/>
    <n v="1386"/>
    <s v="Joist"/>
    <x v="3"/>
    <x v="1"/>
    <s v=""/>
    <s v=""/>
    <s v=""/>
    <n v="9.0000003576278687E-2"/>
    <n v="3.0999999046325684"/>
    <n v="3785.7640000000001"/>
  </r>
  <r>
    <x v="3"/>
    <n v="0.75"/>
    <n v="0"/>
    <x v="0"/>
    <n v="1"/>
    <n v="0"/>
    <n v="50730"/>
    <n v="10638"/>
    <n v="1"/>
    <n v="672"/>
    <s v="Joist"/>
    <x v="0"/>
    <x v="0"/>
    <s v=""/>
    <s v="I did not have access to crawlspace due to a tarp and plywood naile across opening under front porch , I asked the  son of the participant for a description  , he was under the home recently , I estimate 2x6 or 2x8 with 75% R 19 batts stapled ,"/>
    <s v=""/>
    <n v="9.0000003576278687E-2"/>
    <n v="3.0999999046325684"/>
    <n v="1524.7619999999999"/>
  </r>
  <r>
    <x v="3"/>
    <n v="0.75"/>
    <n v="0"/>
    <x v="0"/>
    <n v="1"/>
    <n v="0"/>
    <n v="201692"/>
    <n v="21258"/>
    <n v="1"/>
    <n v="1376"/>
    <s v="Post and beam"/>
    <x v="1"/>
    <x v="0"/>
    <s v=""/>
    <s v=""/>
    <s v=""/>
    <n v="9.0000003576278687E-2"/>
    <n v="3.0999999046325684"/>
    <n v="1612.692"/>
  </r>
  <r>
    <x v="3"/>
    <n v="0.75"/>
    <n v="0"/>
    <x v="0"/>
    <n v="1"/>
    <n v="0"/>
    <n v="221796"/>
    <n v="13912"/>
    <n v="1"/>
    <n v="1192"/>
    <s v="Joist"/>
    <x v="2"/>
    <x v="0"/>
    <s v=""/>
    <s v=""/>
    <s v=""/>
    <n v="9.0000003576278687E-2"/>
    <n v="3.0999999046325684"/>
    <n v="2003.7159999999999"/>
  </r>
  <r>
    <x v="3"/>
    <n v="0.75"/>
    <n v="0"/>
    <x v="0"/>
    <n v="1"/>
    <n v="0"/>
    <n v="76093"/>
    <n v="22096"/>
    <n v="1"/>
    <n v="2328"/>
    <s v="Joist"/>
    <x v="0"/>
    <x v="1"/>
    <s v=""/>
    <s v=""/>
    <s v="Fiberglass - Stapled"/>
    <n v="9.0000003576278687E-2"/>
    <n v="3.0999999046325684"/>
    <n v="3785.7640000000001"/>
  </r>
  <r>
    <x v="3"/>
    <n v="0.75"/>
    <n v="0"/>
    <x v="0"/>
    <n v="0"/>
    <m/>
    <n v="221920"/>
    <n v="21748"/>
    <n v="1"/>
    <n v="528"/>
    <s v="Joist"/>
    <x v="0"/>
    <x v="0"/>
    <s v=""/>
    <s v=""/>
    <s v=""/>
    <n v="9.0000003576278687E-2"/>
    <n v="5"/>
    <n v="1192.4649999999999"/>
  </r>
  <r>
    <x v="3"/>
    <n v="0.75"/>
    <n v="0"/>
    <x v="0"/>
    <n v="0"/>
    <m/>
    <n v="209010"/>
    <n v="22179"/>
    <n v="1"/>
    <n v="456"/>
    <s v="Joist"/>
    <x v="2"/>
    <x v="0"/>
    <s v=""/>
    <s v=""/>
    <s v=""/>
    <n v="9.0000003576278687E-2"/>
    <n v="5"/>
    <n v="3785.7640000000001"/>
  </r>
  <r>
    <x v="3"/>
    <n v="0.75"/>
    <n v="0"/>
    <x v="0"/>
    <n v="1"/>
    <n v="1"/>
    <n v="49186"/>
    <n v="21471"/>
    <n v="3"/>
    <n v="135"/>
    <s v="Post and beam"/>
    <x v="3"/>
    <x v="1"/>
    <s v=""/>
    <s v=""/>
    <s v="Fiberglass - Tied, stays"/>
    <n v="9.0000003576278687E-2"/>
    <n v="4.5"/>
    <n v="2079.9929999999999"/>
  </r>
  <r>
    <x v="3"/>
    <n v="0.9"/>
    <n v="0"/>
    <x v="0"/>
    <n v="1"/>
    <n v="0"/>
    <n v="136117"/>
    <n v="21979"/>
    <n v="1"/>
    <n v="1605"/>
    <s v="Post and beam"/>
    <x v="1"/>
    <x v="1"/>
    <s v=""/>
    <s v=""/>
    <s v=""/>
    <n v="6.4999997615814209E-2"/>
    <n v="3.0999999046325684"/>
    <n v="1612.692"/>
  </r>
  <r>
    <x v="3"/>
    <n v="0.9"/>
    <n v="0"/>
    <x v="0"/>
    <n v="1"/>
    <n v="0"/>
    <n v="222803"/>
    <n v="24247"/>
    <n v="1"/>
    <n v="1748"/>
    <s v="Post and beam"/>
    <x v="1"/>
    <x v="0"/>
    <s v=""/>
    <s v=""/>
    <s v=""/>
    <n v="6.4999997615814209E-2"/>
    <n v="3.0999999046325684"/>
    <n v="1612.692"/>
  </r>
  <r>
    <x v="3"/>
    <n v="0.9"/>
    <n v="0"/>
    <x v="0"/>
    <n v="1"/>
    <n v="0"/>
    <n v="41063"/>
    <n v="14017"/>
    <n v="1"/>
    <n v="1218"/>
    <s v="Joist"/>
    <x v="0"/>
    <x v="0"/>
    <s v=""/>
    <s v=""/>
    <s v="Fiberglass - Tied, stays"/>
    <n v="6.4999997615814209E-2"/>
    <n v="3.0999999046325684"/>
    <n v="1188.027"/>
  </r>
  <r>
    <x v="3"/>
    <n v="0.9"/>
    <n v="0"/>
    <x v="0"/>
    <n v="1"/>
    <n v="1"/>
    <n v="197033"/>
    <n v="13863"/>
    <n v="1"/>
    <n v="746"/>
    <s v="Post and beam"/>
    <x v="1"/>
    <x v="0"/>
    <s v=""/>
    <s v=""/>
    <s v=""/>
    <n v="6.4999997615814209E-2"/>
    <n v="4.5"/>
    <n v="1464.694"/>
  </r>
  <r>
    <x v="3"/>
    <n v="0.9"/>
    <n v="0"/>
    <x v="0"/>
    <n v="1"/>
    <n v="1"/>
    <n v="171802"/>
    <n v="21374"/>
    <n v="1"/>
    <n v="1795"/>
    <s v="Joist"/>
    <x v="2"/>
    <x v="1"/>
    <s v=""/>
    <s v=""/>
    <s v=""/>
    <n v="6.4999997615814209E-2"/>
    <n v="4.5"/>
    <n v="1612.692"/>
  </r>
  <r>
    <x v="3"/>
    <n v="0.9"/>
    <n v="0"/>
    <x v="0"/>
    <n v="1"/>
    <n v="0"/>
    <n v="60055"/>
    <n v="11476"/>
    <n v="1"/>
    <n v="520"/>
    <s v="Joist"/>
    <x v="4"/>
    <x v="1"/>
    <s v=""/>
    <s v=""/>
    <s v="Fiberglass - Tied, stays"/>
    <n v="6.4999997615814209E-2"/>
    <n v="3.0999999046325684"/>
    <n v="1524.7619999999999"/>
  </r>
  <r>
    <x v="3"/>
    <n v="0.9"/>
    <n v="0"/>
    <x v="0"/>
    <n v="1"/>
    <n v="0"/>
    <n v="73980"/>
    <n v="12956"/>
    <n v="1"/>
    <n v="2190"/>
    <s v="Post and beam"/>
    <x v="1"/>
    <x v="0"/>
    <s v=""/>
    <s v=""/>
    <s v="Fiberglass - Stapled"/>
    <n v="6.4999997615814209E-2"/>
    <n v="3.0999999046325684"/>
    <n v="2003.7159999999999"/>
  </r>
  <r>
    <x v="3"/>
    <n v="0.9"/>
    <n v="0"/>
    <x v="0"/>
    <n v="1"/>
    <n v="0"/>
    <n v="216548"/>
    <n v="10421"/>
    <n v="1"/>
    <n v="618"/>
    <s v="Post and beam"/>
    <x v="1"/>
    <x v="1"/>
    <s v=""/>
    <s v=""/>
    <s v=""/>
    <n v="6.4999997615814209E-2"/>
    <n v="3.0999999046325684"/>
    <n v="1464.694"/>
  </r>
  <r>
    <x v="3"/>
    <n v="0.9"/>
    <n v="0"/>
    <x v="0"/>
    <n v="1"/>
    <n v="0"/>
    <n v="197605"/>
    <n v="13975"/>
    <n v="1"/>
    <n v="780"/>
    <s v="Joist"/>
    <x v="0"/>
    <x v="0"/>
    <s v=""/>
    <s v=""/>
    <s v=""/>
    <n v="6.4999997615814209E-2"/>
    <n v="3.0999999046325684"/>
    <n v="4956.4930000000004"/>
  </r>
  <r>
    <x v="3"/>
    <n v="0.9"/>
    <n v="0"/>
    <x v="0"/>
    <n v="1"/>
    <n v="0"/>
    <n v="121950"/>
    <n v="24245"/>
    <n v="1"/>
    <n v="864"/>
    <s v="Post and beam"/>
    <x v="0"/>
    <x v="0"/>
    <s v=""/>
    <s v=""/>
    <s v="Fiberglass - Tied, stays"/>
    <n v="6.4999997615814209E-2"/>
    <n v="3.0999999046325684"/>
    <n v="1612.692"/>
  </r>
  <r>
    <x v="3"/>
    <n v="0.9"/>
    <n v="0"/>
    <x v="0"/>
    <n v="1"/>
    <n v="0"/>
    <n v="166608"/>
    <n v="23111"/>
    <n v="1"/>
    <n v="2494"/>
    <s v="Joist"/>
    <x v="3"/>
    <x v="1"/>
    <s v=""/>
    <s v=""/>
    <s v=""/>
    <n v="6.4999997615814209E-2"/>
    <n v="3.0999999046325684"/>
    <n v="1192.4649999999999"/>
  </r>
  <r>
    <x v="3"/>
    <n v="0.9"/>
    <n v="0"/>
    <x v="0"/>
    <n v="1"/>
    <n v="0"/>
    <n v="233257"/>
    <n v="10915"/>
    <n v="1"/>
    <n v="1096"/>
    <s v="Joist"/>
    <x v="2"/>
    <x v="0"/>
    <s v=""/>
    <s v=""/>
    <s v=""/>
    <n v="6.4999997615814209E-2"/>
    <n v="3.0999999046325684"/>
    <n v="1464.694"/>
  </r>
  <r>
    <x v="3"/>
    <n v="0.9"/>
    <n v="0"/>
    <x v="0"/>
    <n v="1"/>
    <n v="0"/>
    <n v="31127"/>
    <n v="10318"/>
    <n v="1"/>
    <n v="628"/>
    <s v="Joist"/>
    <x v="2"/>
    <x v="1"/>
    <s v=""/>
    <s v=""/>
    <s v="Fiberglass - Stapled"/>
    <n v="6.4999997615814209E-2"/>
    <n v="3.0999999046325684"/>
    <n v="1524.7619999999999"/>
  </r>
  <r>
    <x v="3"/>
    <n v="0.9"/>
    <n v="0"/>
    <x v="0"/>
    <n v="1"/>
    <n v="0"/>
    <n v="56920"/>
    <n v="11978"/>
    <n v="1"/>
    <n v="1532"/>
    <s v="Post and beam"/>
    <x v="2"/>
    <x v="0"/>
    <s v=""/>
    <s v=""/>
    <s v="Fiberglass - Tied, stays"/>
    <n v="6.4999997615814209E-2"/>
    <n v="3.0999999046325684"/>
    <n v="1188.027"/>
  </r>
  <r>
    <x v="3"/>
    <n v="0.9"/>
    <n v="0"/>
    <x v="0"/>
    <n v="1"/>
    <n v="0"/>
    <n v="139444"/>
    <n v="10083"/>
    <n v="1"/>
    <n v="1474"/>
    <s v="Post and beam"/>
    <x v="1"/>
    <x v="0"/>
    <s v=""/>
    <s v=""/>
    <s v=""/>
    <n v="6.4999997615814209E-2"/>
    <n v="3.0999999046325684"/>
    <n v="4956.4930000000004"/>
  </r>
  <r>
    <x v="3"/>
    <n v="0.9"/>
    <n v="0"/>
    <x v="0"/>
    <n v="1"/>
    <n v="0"/>
    <n v="37983"/>
    <n v="10150"/>
    <n v="1"/>
    <n v="1023"/>
    <s v="Post and beam"/>
    <x v="3"/>
    <x v="0"/>
    <s v=""/>
    <s v=""/>
    <s v="Fiberglass - Tied, stays"/>
    <n v="6.4999997615814209E-2"/>
    <n v="3.0999999046325684"/>
    <n v="1188.027"/>
  </r>
  <r>
    <x v="3"/>
    <n v="0.9"/>
    <n v="0"/>
    <x v="0"/>
    <n v="1"/>
    <n v="0"/>
    <n v="124958"/>
    <n v="20770"/>
    <n v="1"/>
    <n v="950"/>
    <s v="Joist"/>
    <x v="0"/>
    <x v="0"/>
    <s v=""/>
    <s v=""/>
    <s v="Fiberglass - Tied, stays"/>
    <n v="6.4999997615814209E-2"/>
    <n v="3.0999999046325684"/>
    <n v="2079.9929999999999"/>
  </r>
  <r>
    <x v="3"/>
    <n v="0.9"/>
    <n v="0"/>
    <x v="0"/>
    <n v="1"/>
    <n v="0"/>
    <n v="133488"/>
    <n v="23122"/>
    <n v="1"/>
    <n v="1400"/>
    <s v="Joist"/>
    <x v="3"/>
    <x v="0"/>
    <s v=""/>
    <s v=""/>
    <s v="Fiberglass - Tied, stays"/>
    <n v="6.4999997615814209E-2"/>
    <n v="3.0999999046325684"/>
    <n v="2079.9929999999999"/>
  </r>
  <r>
    <x v="3"/>
    <n v="0.9"/>
    <n v="0"/>
    <x v="0"/>
    <n v="1"/>
    <n v="0"/>
    <n v="175908"/>
    <n v="22649"/>
    <n v="1"/>
    <n v="1936"/>
    <s v="Post and beam"/>
    <x v="1"/>
    <x v="0"/>
    <s v=""/>
    <s v=""/>
    <s v=""/>
    <n v="6.4999997615814209E-2"/>
    <n v="3.0999999046325684"/>
    <n v="1925.059"/>
  </r>
  <r>
    <x v="3"/>
    <n v="0.9"/>
    <n v="0"/>
    <x v="0"/>
    <n v="1"/>
    <n v="1"/>
    <n v="194496"/>
    <n v="23300"/>
    <n v="1"/>
    <n v="1339"/>
    <s v="Post and beam"/>
    <x v="1"/>
    <x v="0"/>
    <s v=""/>
    <s v=""/>
    <s v=""/>
    <n v="6.4999997615814209E-2"/>
    <n v="4.5"/>
    <n v="1925.059"/>
  </r>
  <r>
    <x v="3"/>
    <n v="0.9"/>
    <n v="0"/>
    <x v="0"/>
    <n v="1"/>
    <n v="0"/>
    <n v="226902"/>
    <n v="13113"/>
    <n v="1"/>
    <n v="480"/>
    <s v="Joist"/>
    <x v="0"/>
    <x v="0"/>
    <s v=""/>
    <s v=""/>
    <s v=""/>
    <n v="6.4999997615814209E-2"/>
    <n v="3.0999999046325684"/>
    <n v="1464.694"/>
  </r>
  <r>
    <x v="3"/>
    <n v="0.9"/>
    <n v="0"/>
    <x v="0"/>
    <n v="1"/>
    <n v="0"/>
    <n v="50114"/>
    <n v="22215"/>
    <n v="1"/>
    <n v="1640"/>
    <s v="Joist"/>
    <x v="3"/>
    <x v="0"/>
    <s v=""/>
    <s v=""/>
    <s v="Fiberglass - Tied, stays"/>
    <n v="6.4999997615814209E-2"/>
    <n v="3.0999999046325684"/>
    <n v="3785.7640000000001"/>
  </r>
  <r>
    <x v="3"/>
    <n v="0.9"/>
    <n v="0"/>
    <x v="0"/>
    <n v="0"/>
    <m/>
    <n v="191282"/>
    <n v="20085"/>
    <n v="1"/>
    <n v="2196"/>
    <s v="Post and beam"/>
    <x v="1"/>
    <x v="0"/>
    <s v=""/>
    <s v=""/>
    <s v=""/>
    <n v="6.4999997615814209E-2"/>
    <n v="5"/>
    <n v="4360.1880000000001"/>
  </r>
  <r>
    <x v="3"/>
    <n v="0.9"/>
    <n v="0"/>
    <x v="0"/>
    <n v="0"/>
    <m/>
    <n v="239583"/>
    <n v="10021"/>
    <n v="1"/>
    <n v="1334"/>
    <s v="Joist"/>
    <x v="0"/>
    <x v="0"/>
    <s v=""/>
    <s v=""/>
    <s v=""/>
    <n v="6.4999997615814209E-2"/>
    <n v="5"/>
    <n v="1150.8789999999999"/>
  </r>
  <r>
    <x v="3"/>
    <n v="0.9"/>
    <n v="0"/>
    <x v="0"/>
    <n v="1"/>
    <n v="0"/>
    <n v="117598"/>
    <n v="10946"/>
    <n v="1"/>
    <n v="2953"/>
    <s v="Post and beam"/>
    <x v="2"/>
    <x v="0"/>
    <s v=""/>
    <s v=""/>
    <s v="Fiberglass - Tied, stays"/>
    <n v="6.4999997615814209E-2"/>
    <n v="3.0999999046325684"/>
    <n v="4956.4930000000004"/>
  </r>
  <r>
    <x v="3"/>
    <n v="0.9"/>
    <n v="0"/>
    <x v="0"/>
    <n v="1"/>
    <n v="0"/>
    <n v="130027"/>
    <n v="22172"/>
    <n v="1"/>
    <n v="1498"/>
    <s v="Joist"/>
    <x v="0"/>
    <x v="0"/>
    <s v=""/>
    <s v=""/>
    <s v=""/>
    <n v="6.4999997615814209E-2"/>
    <n v="3.0999999046325684"/>
    <n v="1904.288"/>
  </r>
  <r>
    <x v="3"/>
    <n v="0.9"/>
    <n v="0"/>
    <x v="0"/>
    <n v="1"/>
    <n v="1"/>
    <n v="205033"/>
    <n v="20970"/>
    <n v="1"/>
    <n v="1327"/>
    <s v="Joist"/>
    <x v="3"/>
    <x v="1"/>
    <s v=""/>
    <s v=""/>
    <s v=""/>
    <n v="6.4999997615814209E-2"/>
    <n v="4.5"/>
    <n v="2079.9929999999999"/>
  </r>
  <r>
    <x v="3"/>
    <n v="0.9"/>
    <n v="0"/>
    <x v="0"/>
    <n v="1"/>
    <n v="0"/>
    <n v="210564"/>
    <n v="22521"/>
    <n v="1"/>
    <n v="976"/>
    <s v="Joist"/>
    <x v="3"/>
    <x v="1"/>
    <s v=""/>
    <s v=""/>
    <s v=""/>
    <n v="6.4999997615814209E-2"/>
    <n v="3.0999999046325684"/>
    <n v="1612.692"/>
  </r>
  <r>
    <x v="3"/>
    <n v="0.9"/>
    <n v="0"/>
    <x v="0"/>
    <n v="1"/>
    <n v="1"/>
    <n v="218540"/>
    <n v="23742"/>
    <n v="1"/>
    <n v="2010"/>
    <s v="Joist"/>
    <x v="3"/>
    <x v="0"/>
    <s v=""/>
    <s v=""/>
    <s v=""/>
    <n v="6.4999997615814209E-2"/>
    <n v="4.5"/>
    <n v="3785.7640000000001"/>
  </r>
  <r>
    <x v="3"/>
    <n v="0.9"/>
    <n v="0"/>
    <x v="0"/>
    <n v="0"/>
    <n v="0"/>
    <n v="90393"/>
    <n v="13250"/>
    <n v="1"/>
    <n v="1024"/>
    <s v="Joist"/>
    <x v="0"/>
    <x v="0"/>
    <s v=""/>
    <s v=""/>
    <s v="Fiberglass - Tied, stays"/>
    <n v="6.4999997615814209E-2"/>
    <n v="5"/>
    <n v="2003.7159999999999"/>
  </r>
  <r>
    <x v="3"/>
    <n v="0.9"/>
    <n v="0"/>
    <x v="0"/>
    <n v="1"/>
    <n v="0"/>
    <n v="181460"/>
    <n v="10306"/>
    <n v="1"/>
    <n v="1781"/>
    <s v="Joist"/>
    <x v="3"/>
    <x v="1"/>
    <s v=""/>
    <s v=""/>
    <s v=""/>
    <n v="6.4999997615814209E-2"/>
    <n v="3.0999999046325684"/>
    <n v="4956.4930000000004"/>
  </r>
  <r>
    <x v="3"/>
    <n v="0.9"/>
    <n v="0"/>
    <x v="0"/>
    <n v="1"/>
    <n v="0"/>
    <n v="41312"/>
    <n v="12600"/>
    <n v="1"/>
    <n v="1200"/>
    <s v="Joist"/>
    <x v="3"/>
    <x v="1"/>
    <s v=""/>
    <s v=""/>
    <s v="Fiberglass - Tied, stays"/>
    <n v="6.4999997615814209E-2"/>
    <n v="3.0999999046325684"/>
    <n v="1524.7619999999999"/>
  </r>
  <r>
    <x v="3"/>
    <n v="0.9"/>
    <n v="0"/>
    <x v="0"/>
    <n v="1"/>
    <n v="0"/>
    <n v="159065"/>
    <n v="11914"/>
    <n v="1"/>
    <n v="1500"/>
    <s v="Joist"/>
    <x v="4"/>
    <x v="1"/>
    <s v=""/>
    <s v=""/>
    <s v=""/>
    <n v="6.4999997615814209E-2"/>
    <n v="3.0999999046325684"/>
    <n v="6932.7380000000003"/>
  </r>
  <r>
    <x v="3"/>
    <n v="0.9"/>
    <n v="0"/>
    <x v="0"/>
    <n v="1"/>
    <n v="0"/>
    <n v="125073"/>
    <n v="20574"/>
    <n v="1"/>
    <n v="1300"/>
    <s v="Post and beam"/>
    <x v="0"/>
    <x v="0"/>
    <s v=""/>
    <s v=""/>
    <s v="Fiberglass - Tied, stays"/>
    <n v="6.4999997615814209E-2"/>
    <n v="3.0999999046325684"/>
    <n v="2079.9929999999999"/>
  </r>
  <r>
    <x v="3"/>
    <n v="0.9"/>
    <n v="0"/>
    <x v="0"/>
    <n v="1"/>
    <n v="1"/>
    <n v="208782"/>
    <n v="23145"/>
    <n v="1"/>
    <n v="1268"/>
    <s v="Joist"/>
    <x v="3"/>
    <x v="1"/>
    <s v=""/>
    <s v=""/>
    <s v=""/>
    <n v="6.4999997615814209E-2"/>
    <n v="4.5"/>
    <n v="3785.7640000000001"/>
  </r>
  <r>
    <x v="3"/>
    <n v="0.9"/>
    <n v="0"/>
    <x v="0"/>
    <n v="1"/>
    <n v="0"/>
    <n v="105377"/>
    <n v="11347"/>
    <n v="1"/>
    <n v="1380"/>
    <s v="Post and beam"/>
    <x v="0"/>
    <x v="0"/>
    <s v=""/>
    <s v=""/>
    <s v="Fiberglass - Tied, stays"/>
    <n v="6.4999997615814209E-2"/>
    <n v="3.0999999046325684"/>
    <n v="4956.4930000000004"/>
  </r>
  <r>
    <x v="3"/>
    <n v="0.9"/>
    <n v="0"/>
    <x v="0"/>
    <n v="1"/>
    <n v="0"/>
    <n v="125315"/>
    <n v="12377"/>
    <n v="1"/>
    <n v="930"/>
    <s v="Joist"/>
    <x v="0"/>
    <x v="0"/>
    <s v=""/>
    <s v=""/>
    <s v="Fiberglass - Tied, stays"/>
    <n v="6.4999997615814209E-2"/>
    <n v="3.0999999046325684"/>
    <n v="6932.7380000000003"/>
  </r>
  <r>
    <x v="3"/>
    <n v="0.9"/>
    <n v="0"/>
    <x v="0"/>
    <n v="1"/>
    <n v="0"/>
    <n v="161475"/>
    <n v="13303"/>
    <n v="1"/>
    <n v="1040"/>
    <s v="Joist"/>
    <x v="0"/>
    <x v="0"/>
    <s v=""/>
    <s v=""/>
    <s v=""/>
    <n v="6.4999997615814209E-2"/>
    <n v="3.0999999046325684"/>
    <n v="2003.7159999999999"/>
  </r>
  <r>
    <x v="3"/>
    <n v="0.9"/>
    <n v="0"/>
    <x v="0"/>
    <n v="1"/>
    <n v="0"/>
    <n v="229591"/>
    <n v="21391"/>
    <n v="1"/>
    <n v="1418"/>
    <s v="Joist"/>
    <x v="3"/>
    <x v="1"/>
    <s v=""/>
    <s v=""/>
    <s v=""/>
    <n v="6.4999997615814209E-2"/>
    <n v="3.0999999046325684"/>
    <n v="3785.7640000000001"/>
  </r>
  <r>
    <x v="3"/>
    <n v="0.9"/>
    <n v="0"/>
    <x v="0"/>
    <n v="1"/>
    <n v="0"/>
    <n v="202325"/>
    <n v="11835"/>
    <n v="1"/>
    <n v="980"/>
    <s v="Joist"/>
    <x v="2"/>
    <x v="0"/>
    <s v=""/>
    <s v=""/>
    <s v=""/>
    <n v="6.4999997615814209E-2"/>
    <n v="3.0999999046325684"/>
    <n v="1464.694"/>
  </r>
  <r>
    <x v="3"/>
    <n v="0.9"/>
    <n v="0"/>
    <x v="0"/>
    <n v="1"/>
    <n v="0"/>
    <n v="159652"/>
    <n v="11283"/>
    <n v="1"/>
    <n v="280"/>
    <s v="Post and beam"/>
    <x v="1"/>
    <x v="0"/>
    <s v=""/>
    <s v=""/>
    <s v=""/>
    <n v="6.4999997615814209E-2"/>
    <n v="3.0999999046325684"/>
    <n v="6932.7380000000003"/>
  </r>
  <r>
    <x v="3"/>
    <n v="0.9"/>
    <n v="0"/>
    <x v="0"/>
    <n v="1"/>
    <n v="0"/>
    <n v="183217"/>
    <n v="10430"/>
    <n v="1"/>
    <n v="1544"/>
    <s v="Post and beam"/>
    <x v="1"/>
    <x v="1"/>
    <s v=""/>
    <s v=""/>
    <s v=""/>
    <n v="6.4999997615814209E-2"/>
    <n v="3.0999999046325684"/>
    <n v="1464.694"/>
  </r>
  <r>
    <x v="3"/>
    <n v="0.9"/>
    <n v="0"/>
    <x v="0"/>
    <n v="1"/>
    <n v="0"/>
    <n v="163245"/>
    <n v="21438"/>
    <n v="1"/>
    <n v="1152"/>
    <s v="Joist"/>
    <x v="2"/>
    <x v="0"/>
    <s v=""/>
    <s v=""/>
    <s v=""/>
    <n v="6.4999997615814209E-2"/>
    <n v="3.0999999046325684"/>
    <n v="1612.692"/>
  </r>
  <r>
    <x v="3"/>
    <n v="0.9"/>
    <n v="0"/>
    <x v="0"/>
    <n v="1"/>
    <n v="0"/>
    <n v="215814"/>
    <n v="24807"/>
    <n v="1"/>
    <n v="1148"/>
    <s v="Post and beam"/>
    <x v="1"/>
    <x v="1"/>
    <s v=""/>
    <s v=""/>
    <s v=""/>
    <n v="6.4999997615814209E-2"/>
    <n v="3.0999999046325684"/>
    <n v="2079.9929999999999"/>
  </r>
  <r>
    <x v="3"/>
    <n v="0.9"/>
    <n v="0"/>
    <x v="0"/>
    <n v="1"/>
    <n v="0"/>
    <n v="48886"/>
    <n v="22612"/>
    <n v="1"/>
    <n v="1857"/>
    <s v="Post and beam"/>
    <x v="0"/>
    <x v="1"/>
    <s v=""/>
    <s v=""/>
    <s v="Fiberglass - Tied, stays"/>
    <n v="6.4999997615814209E-2"/>
    <n v="3.0999999046325684"/>
    <n v="3785.7640000000001"/>
  </r>
  <r>
    <x v="3"/>
    <n v="0.9"/>
    <n v="0"/>
    <x v="0"/>
    <n v="1"/>
    <n v="0"/>
    <n v="680338"/>
    <n v="24495"/>
    <n v="1"/>
    <n v="2395"/>
    <s v="Joist"/>
    <x v="2"/>
    <x v="0"/>
    <s v=""/>
    <s v=""/>
    <s v=""/>
    <n v="6.4999997615814209E-2"/>
    <n v="3.0999999046325684"/>
    <n v="4360.1880000000001"/>
  </r>
  <r>
    <x v="3"/>
    <n v="0.9"/>
    <n v="0"/>
    <x v="0"/>
    <n v="1"/>
    <n v="0"/>
    <n v="232931"/>
    <n v="13365"/>
    <n v="1"/>
    <n v="1700"/>
    <s v="Joist"/>
    <x v="0"/>
    <x v="1"/>
    <s v=""/>
    <s v=""/>
    <s v=""/>
    <n v="6.4999997615814209E-2"/>
    <n v="3.0999999046325684"/>
    <n v="4956.4930000000004"/>
  </r>
  <r>
    <x v="3"/>
    <n v="0.9"/>
    <n v="0"/>
    <x v="0"/>
    <n v="1"/>
    <n v="1"/>
    <n v="671947"/>
    <n v="10384"/>
    <n v="1"/>
    <n v="1258"/>
    <s v="Post and beam"/>
    <x v="1"/>
    <x v="0"/>
    <s v=""/>
    <s v=""/>
    <s v=""/>
    <n v="6.4999997615814209E-2"/>
    <n v="4.5"/>
    <n v="6932.7380000000003"/>
  </r>
  <r>
    <x v="3"/>
    <n v="0.9"/>
    <n v="0"/>
    <x v="0"/>
    <n v="1"/>
    <n v="0"/>
    <n v="58936"/>
    <n v="13898"/>
    <n v="1"/>
    <n v="364"/>
    <s v="Post and beam"/>
    <x v="2"/>
    <x v="0"/>
    <s v=""/>
    <s v=""/>
    <s v="Fiberglass - Tied, stays"/>
    <n v="6.4999997615814209E-2"/>
    <n v="3.0999999046325684"/>
    <n v="1188.027"/>
  </r>
  <r>
    <x v="3"/>
    <n v="0.9"/>
    <n v="0"/>
    <x v="0"/>
    <n v="1"/>
    <n v="0"/>
    <n v="144706"/>
    <n v="23696"/>
    <n v="1"/>
    <n v="874"/>
    <s v="Joist"/>
    <x v="3"/>
    <x v="0"/>
    <s v=""/>
    <s v=""/>
    <s v=""/>
    <n v="6.4999997615814209E-2"/>
    <n v="3.0999999046325684"/>
    <n v="3785.7640000000001"/>
  </r>
  <r>
    <x v="3"/>
    <n v="0.9"/>
    <n v="0"/>
    <x v="0"/>
    <n v="1"/>
    <n v="0"/>
    <n v="803222"/>
    <n v="11825"/>
    <n v="1"/>
    <n v="1080"/>
    <s v="Joist"/>
    <x v="0"/>
    <x v="1"/>
    <s v=""/>
    <s v=""/>
    <s v=""/>
    <n v="6.4999997615814209E-2"/>
    <n v="3.0999999046325684"/>
    <n v="1464.694"/>
  </r>
  <r>
    <x v="3"/>
    <n v="0.9"/>
    <n v="0"/>
    <x v="0"/>
    <n v="1"/>
    <n v="0"/>
    <n v="96069"/>
    <n v="14051"/>
    <n v="1"/>
    <n v="1152"/>
    <s v="Post and beam"/>
    <x v="2"/>
    <x v="1"/>
    <s v=""/>
    <s v=""/>
    <s v="Fiberglass - Tied, stays"/>
    <n v="6.4999997615814209E-2"/>
    <n v="3.0999999046325684"/>
    <n v="1188.027"/>
  </r>
  <r>
    <x v="3"/>
    <n v="0.9"/>
    <n v="0"/>
    <x v="0"/>
    <n v="1"/>
    <n v="0"/>
    <n v="156119"/>
    <n v="22180"/>
    <n v="1"/>
    <n v="1080"/>
    <s v="Post and beam"/>
    <x v="1"/>
    <x v="1"/>
    <s v=""/>
    <s v=""/>
    <s v=""/>
    <n v="6.4999997615814209E-2"/>
    <n v="3.0999999046325684"/>
    <n v="2079.9929999999999"/>
  </r>
  <r>
    <x v="3"/>
    <n v="0.9"/>
    <n v="0"/>
    <x v="0"/>
    <n v="1"/>
    <n v="0"/>
    <n v="130394"/>
    <n v="23545"/>
    <n v="1"/>
    <n v="1675"/>
    <s v="Joist"/>
    <x v="0"/>
    <x v="0"/>
    <s v=""/>
    <s v=""/>
    <s v=""/>
    <n v="6.4999997615814209E-2"/>
    <n v="3.0999999046325684"/>
    <n v="1612.692"/>
  </r>
  <r>
    <x v="3"/>
    <n v="0.9"/>
    <n v="0"/>
    <x v="0"/>
    <n v="1"/>
    <n v="0"/>
    <n v="190695"/>
    <n v="24242"/>
    <n v="1"/>
    <n v="756"/>
    <s v="Joist"/>
    <x v="4"/>
    <x v="1"/>
    <s v=""/>
    <s v=""/>
    <s v=""/>
    <n v="6.4999997615814209E-2"/>
    <n v="3.0999999046325684"/>
    <n v="2130.886"/>
  </r>
  <r>
    <x v="3"/>
    <n v="0.9"/>
    <n v="0"/>
    <x v="0"/>
    <n v="1"/>
    <n v="0"/>
    <n v="117982"/>
    <n v="10537"/>
    <n v="1"/>
    <n v="2005"/>
    <s v="Joist"/>
    <x v="3"/>
    <x v="1"/>
    <s v=""/>
    <s v=""/>
    <s v="Fiberglass - Tied, stays"/>
    <n v="6.4999997615814209E-2"/>
    <n v="3.0999999046325684"/>
    <n v="4956.4930000000004"/>
  </r>
  <r>
    <x v="3"/>
    <n v="0.9"/>
    <n v="0"/>
    <x v="0"/>
    <n v="1"/>
    <n v="0"/>
    <n v="233964"/>
    <n v="10411"/>
    <n v="1"/>
    <n v="1076"/>
    <s v="Post and beam"/>
    <x v="1"/>
    <x v="1"/>
    <s v=""/>
    <s v="Numbers based on Washington State code and homeowner information.  Access to crawl space is in the closet of one of the rooms that I wasn't allowed into."/>
    <s v=""/>
    <n v="6.4999997615814209E-2"/>
    <n v="3.0999999046325684"/>
    <n v="1150.8789999999999"/>
  </r>
  <r>
    <x v="3"/>
    <n v="0.9"/>
    <n v="0"/>
    <x v="0"/>
    <n v="0"/>
    <m/>
    <n v="191619"/>
    <n v="12062"/>
    <n v="1"/>
    <n v="1417"/>
    <s v="Post and beam"/>
    <x v="1"/>
    <x v="1"/>
    <s v=""/>
    <s v=""/>
    <s v=""/>
    <n v="6.4999997615814209E-2"/>
    <n v="5"/>
    <n v="6932.7380000000003"/>
  </r>
  <r>
    <x v="3"/>
    <n v="0.9"/>
    <n v="0"/>
    <x v="0"/>
    <n v="1"/>
    <n v="0"/>
    <n v="123155"/>
    <n v="12039"/>
    <n v="1"/>
    <n v="1820"/>
    <s v="Joist"/>
    <x v="0"/>
    <x v="0"/>
    <s v=""/>
    <s v=""/>
    <s v="Fiberglass - Stapled"/>
    <n v="6.4999997615814209E-2"/>
    <n v="3.0999999046325684"/>
    <n v="4956.4930000000004"/>
  </r>
  <r>
    <x v="3"/>
    <n v="0.9"/>
    <n v="0"/>
    <x v="0"/>
    <n v="1"/>
    <n v="0"/>
    <n v="212739"/>
    <n v="11342"/>
    <n v="1"/>
    <n v="1580"/>
    <s v="Post and beam"/>
    <x v="1"/>
    <x v="0"/>
    <s v=""/>
    <s v=""/>
    <s v=""/>
    <n v="6.4999997615814209E-2"/>
    <n v="3.0999999046325684"/>
    <n v="4956.4930000000004"/>
  </r>
  <r>
    <x v="3"/>
    <n v="0.9"/>
    <n v="0"/>
    <x v="0"/>
    <n v="0"/>
    <m/>
    <n v="718804"/>
    <n v="13494"/>
    <n v="1"/>
    <n v="1010"/>
    <s v="Joist"/>
    <x v="0"/>
    <x v="1"/>
    <s v=""/>
    <s v=""/>
    <s v=""/>
    <n v="6.4999997615814209E-2"/>
    <n v="5"/>
    <n v="2003.7159999999999"/>
  </r>
  <r>
    <x v="3"/>
    <n v="0.9"/>
    <n v="0"/>
    <x v="0"/>
    <n v="1"/>
    <n v="0"/>
    <n v="203403"/>
    <n v="20976"/>
    <n v="1"/>
    <n v="1050"/>
    <s v="Joist"/>
    <x v="3"/>
    <x v="0"/>
    <s v=""/>
    <s v=""/>
    <s v=""/>
    <n v="6.4999997615814209E-2"/>
    <n v="3.0999999046325684"/>
    <n v="1192.4649999999999"/>
  </r>
  <r>
    <x v="3"/>
    <n v="0.9"/>
    <n v="0"/>
    <x v="0"/>
    <n v="0"/>
    <n v="0"/>
    <n v="44457"/>
    <n v="22693"/>
    <n v="1"/>
    <n v="1456"/>
    <s v="Joist"/>
    <x v="0"/>
    <x v="0"/>
    <s v=""/>
    <s v=""/>
    <s v="Fiberglass - Tied, stays"/>
    <n v="6.4999997615814209E-2"/>
    <n v="5"/>
    <n v="12271.31"/>
  </r>
  <r>
    <x v="3"/>
    <n v="0.9"/>
    <n v="0"/>
    <x v="0"/>
    <n v="1"/>
    <n v="0"/>
    <n v="823336"/>
    <n v="13310"/>
    <n v="1"/>
    <n v="756"/>
    <s v="Joist"/>
    <x v="2"/>
    <x v="0"/>
    <s v=""/>
    <s v=""/>
    <s v=""/>
    <n v="6.4999997615814209E-2"/>
    <n v="3.0999999046325684"/>
    <n v="2003.7159999999999"/>
  </r>
  <r>
    <x v="3"/>
    <n v="0.9"/>
    <n v="0"/>
    <x v="0"/>
    <n v="0"/>
    <m/>
    <n v="128698"/>
    <n v="21112"/>
    <n v="1"/>
    <n v="1615"/>
    <s v="Joist"/>
    <x v="0"/>
    <x v="0"/>
    <s v=""/>
    <s v=""/>
    <s v=""/>
    <n v="6.4999997615814209E-2"/>
    <n v="5"/>
    <n v="1612.692"/>
  </r>
  <r>
    <x v="3"/>
    <n v="0.9"/>
    <n v="0"/>
    <x v="0"/>
    <n v="1"/>
    <n v="0"/>
    <n v="192513"/>
    <n v="13490"/>
    <n v="1"/>
    <n v="1560"/>
    <s v="Joist"/>
    <x v="0"/>
    <x v="0"/>
    <s v=""/>
    <s v=""/>
    <s v=""/>
    <n v="6.4999997615814209E-2"/>
    <n v="3.0999999046325684"/>
    <n v="1464.694"/>
  </r>
  <r>
    <x v="3"/>
    <n v="0.9"/>
    <n v="0"/>
    <x v="0"/>
    <n v="0"/>
    <m/>
    <n v="176583"/>
    <n v="20117"/>
    <n v="1"/>
    <n v="390"/>
    <s v=""/>
    <x v="1"/>
    <x v="0"/>
    <s v=""/>
    <s v="unable to access crawl or attic space because tenant rents. Could not estimate insulation level for the same reason, tenant is uncertain of age of housing units. Rents from housing authority in Helena. "/>
    <s v=""/>
    <n v="6.4999997615814209E-2"/>
    <n v="5"/>
    <n v="2130.886"/>
  </r>
  <r>
    <x v="3"/>
    <n v="0.9"/>
    <n v="0"/>
    <x v="0"/>
    <n v="1"/>
    <n v="0"/>
    <n v="149470"/>
    <n v="21741"/>
    <n v="1"/>
    <n v="1934"/>
    <s v="Joist"/>
    <x v="0"/>
    <x v="1"/>
    <s v=""/>
    <s v=""/>
    <s v=""/>
    <n v="6.4999997615814209E-2"/>
    <n v="3.0999999046325684"/>
    <n v="4360.1880000000001"/>
  </r>
  <r>
    <x v="3"/>
    <n v="0.9"/>
    <n v="0"/>
    <x v="0"/>
    <n v="1"/>
    <n v="0"/>
    <n v="92627"/>
    <n v="12569"/>
    <n v="1"/>
    <n v="827"/>
    <s v=""/>
    <x v="1"/>
    <x v="2"/>
    <s v=""/>
    <s v=""/>
    <s v=""/>
    <n v="6.4999997615814209E-2"/>
    <n v="3.0999999046325684"/>
    <n v="2003.7159999999999"/>
  </r>
  <r>
    <x v="3"/>
    <n v="0.9"/>
    <n v="0"/>
    <x v="0"/>
    <n v="1"/>
    <n v="0"/>
    <n v="98995"/>
    <n v="20324"/>
    <n v="1"/>
    <n v="1620"/>
    <s v="Post and beam"/>
    <x v="2"/>
    <x v="0"/>
    <s v=""/>
    <s v=""/>
    <s v="Fiberglass - Tied, stays"/>
    <n v="6.4999997615814209E-2"/>
    <n v="3.0999999046325684"/>
    <n v="1925.059"/>
  </r>
  <r>
    <x v="3"/>
    <n v="0.9"/>
    <n v="0"/>
    <x v="0"/>
    <n v="1"/>
    <n v="0"/>
    <n v="196031"/>
    <n v="11332"/>
    <n v="1"/>
    <n v="1326"/>
    <s v="Joist"/>
    <x v="0"/>
    <x v="0"/>
    <s v=""/>
    <s v=""/>
    <s v=""/>
    <n v="6.4999997615814209E-2"/>
    <n v="3.0999999046325684"/>
    <n v="4956.4930000000004"/>
  </r>
  <r>
    <x v="3"/>
    <n v="0.9"/>
    <n v="0"/>
    <x v="0"/>
    <n v="1"/>
    <n v="0"/>
    <n v="52764"/>
    <n v="23482"/>
    <n v="1"/>
    <n v="1105"/>
    <s v="Joist"/>
    <x v="0"/>
    <x v="0"/>
    <s v=""/>
    <s v=""/>
    <s v="Fiberglass - Tied, stays"/>
    <n v="6.4999997615814209E-2"/>
    <n v="3.0999999046325684"/>
    <n v="2079.9929999999999"/>
  </r>
  <r>
    <x v="3"/>
    <n v="0.9"/>
    <n v="0"/>
    <x v="0"/>
    <n v="1"/>
    <n v="0"/>
    <n v="802095"/>
    <n v="24119"/>
    <n v="1"/>
    <n v="1293"/>
    <s v="Joist"/>
    <x v="0"/>
    <x v="1"/>
    <s v=""/>
    <s v=""/>
    <s v=""/>
    <n v="6.4999997615814209E-2"/>
    <n v="3.0999999046325684"/>
    <n v="2079.9929999999999"/>
  </r>
  <r>
    <x v="3"/>
    <n v="0.9"/>
    <n v="0"/>
    <x v="0"/>
    <n v="1"/>
    <n v="0"/>
    <n v="63489"/>
    <n v="10192"/>
    <n v="1"/>
    <n v="750"/>
    <s v="Joist"/>
    <x v="0"/>
    <x v="0"/>
    <s v=""/>
    <s v=""/>
    <s v="Fiberglass - Tied, stays"/>
    <n v="6.4999997615814209E-2"/>
    <n v="3.0999999046325684"/>
    <n v="1524.7619999999999"/>
  </r>
  <r>
    <x v="3"/>
    <n v="0.9"/>
    <n v="0"/>
    <x v="0"/>
    <n v="1"/>
    <n v="0"/>
    <n v="132029"/>
    <n v="11717"/>
    <n v="1"/>
    <n v="1450"/>
    <s v="Joist"/>
    <x v="2"/>
    <x v="0"/>
    <s v=""/>
    <s v=""/>
    <s v=""/>
    <n v="6.4999997615814209E-2"/>
    <n v="3.0999999046325684"/>
    <n v="6932.7380000000003"/>
  </r>
  <r>
    <x v="3"/>
    <n v="0.9"/>
    <n v="0"/>
    <x v="0"/>
    <n v="1"/>
    <n v="1"/>
    <n v="114097"/>
    <n v="20895"/>
    <n v="1"/>
    <n v="1192"/>
    <s v="Joist"/>
    <x v="2"/>
    <x v="0"/>
    <s v=""/>
    <s v=""/>
    <s v="Fiberglass - Tied, stays"/>
    <n v="6.4999997615814209E-2"/>
    <n v="4.5"/>
    <n v="1612.692"/>
  </r>
  <r>
    <x v="3"/>
    <n v="0.9"/>
    <n v="0"/>
    <x v="0"/>
    <n v="1"/>
    <n v="0"/>
    <n v="229812"/>
    <n v="24770"/>
    <n v="1"/>
    <n v="1532"/>
    <s v="Joist"/>
    <x v="3"/>
    <x v="1"/>
    <s v=""/>
    <s v="INSULATION NOT TIGHT TO FLOOR 4 INCH GAP BTWEEN FLOOR AND INSULATION"/>
    <s v=""/>
    <n v="6.4999997615814209E-2"/>
    <n v="3.0999999046325684"/>
    <n v="3785.7640000000001"/>
  </r>
  <r>
    <x v="3"/>
    <n v="0.9"/>
    <n v="0"/>
    <x v="0"/>
    <n v="1"/>
    <n v="0"/>
    <n v="59720"/>
    <n v="10567"/>
    <n v="1"/>
    <n v="925"/>
    <s v="Joist"/>
    <x v="0"/>
    <x v="1"/>
    <s v=""/>
    <s v=""/>
    <s v="Fiberglass - Tied, stays"/>
    <n v="6.4999997615814209E-2"/>
    <n v="3.0999999046325684"/>
    <n v="2003.7159999999999"/>
  </r>
  <r>
    <x v="3"/>
    <n v="0.9"/>
    <n v="0"/>
    <x v="0"/>
    <n v="1"/>
    <n v="0"/>
    <n v="125563"/>
    <n v="20779"/>
    <n v="1"/>
    <n v="1366"/>
    <s v="Joist"/>
    <x v="3"/>
    <x v="1"/>
    <s v=""/>
    <s v=""/>
    <s v="Fiberglass - Tied, stays"/>
    <n v="6.4999997615814209E-2"/>
    <n v="3.0999999046325684"/>
    <n v="2079.9929999999999"/>
  </r>
  <r>
    <x v="3"/>
    <n v="0.9"/>
    <n v="0"/>
    <x v="0"/>
    <n v="1"/>
    <n v="0"/>
    <n v="75741"/>
    <n v="10811"/>
    <n v="1"/>
    <n v="1308"/>
    <s v="Post and beam"/>
    <x v="0"/>
    <x v="1"/>
    <s v=""/>
    <s v=""/>
    <s v="Fiberglass - Stapled"/>
    <n v="6.4999997615814209E-2"/>
    <n v="3.0999999046325684"/>
    <n v="2003.7159999999999"/>
  </r>
  <r>
    <x v="3"/>
    <n v="0.9"/>
    <n v="0"/>
    <x v="0"/>
    <n v="1"/>
    <n v="0"/>
    <n v="163030"/>
    <n v="22832"/>
    <n v="1"/>
    <n v="1000"/>
    <s v="Post and beam"/>
    <x v="0"/>
    <x v="0"/>
    <s v=""/>
    <s v=""/>
    <s v=""/>
    <n v="6.4999997615814209E-2"/>
    <n v="3.0999999046325684"/>
    <n v="1612.692"/>
  </r>
  <r>
    <x v="3"/>
    <n v="0.9"/>
    <n v="0"/>
    <x v="0"/>
    <n v="1"/>
    <n v="0"/>
    <n v="143275"/>
    <n v="12889"/>
    <n v="1"/>
    <n v="1300"/>
    <s v="Post and beam"/>
    <x v="1"/>
    <x v="0"/>
    <s v=""/>
    <s v=""/>
    <s v=""/>
    <n v="6.4999997615814209E-2"/>
    <n v="3.0999999046325684"/>
    <n v="4956.4930000000004"/>
  </r>
  <r>
    <x v="3"/>
    <n v="0.9"/>
    <n v="0"/>
    <x v="0"/>
    <n v="1"/>
    <n v="0"/>
    <n v="72196"/>
    <n v="20007"/>
    <n v="1"/>
    <n v="1344"/>
    <s v="Joist"/>
    <x v="3"/>
    <x v="1"/>
    <s v=""/>
    <s v=""/>
    <s v="Fiberglass - Tied, stays"/>
    <n v="6.4999997615814209E-2"/>
    <n v="3.0999999046325684"/>
    <n v="2079.9929999999999"/>
  </r>
  <r>
    <x v="3"/>
    <n v="0.9"/>
    <n v="0"/>
    <x v="0"/>
    <n v="1"/>
    <n v="0"/>
    <n v="191411"/>
    <n v="10334"/>
    <n v="1"/>
    <n v="1878"/>
    <s v="Post and beam"/>
    <x v="1"/>
    <x v="0"/>
    <s v=""/>
    <s v=""/>
    <s v=""/>
    <n v="6.4999997615814209E-2"/>
    <n v="3.0999999046325684"/>
    <n v="4956.4930000000004"/>
  </r>
  <r>
    <x v="3"/>
    <n v="0.9"/>
    <n v="0"/>
    <x v="0"/>
    <n v="1"/>
    <n v="0"/>
    <n v="126063"/>
    <n v="12895"/>
    <n v="1"/>
    <n v="2400"/>
    <s v="Joist"/>
    <x v="0"/>
    <x v="1"/>
    <s v=""/>
    <s v=""/>
    <s v="Fiberglass - Tied, stays"/>
    <n v="6.4999997615814209E-2"/>
    <n v="3.0999999046325684"/>
    <n v="4956.4930000000004"/>
  </r>
  <r>
    <x v="3"/>
    <n v="0.9"/>
    <n v="0"/>
    <x v="0"/>
    <n v="1"/>
    <n v="0"/>
    <n v="202976"/>
    <n v="11639"/>
    <n v="1"/>
    <n v="680"/>
    <s v="Joist"/>
    <x v="0"/>
    <x v="0"/>
    <s v=""/>
    <s v=""/>
    <s v=""/>
    <n v="6.4999997615814209E-2"/>
    <n v="3.0999999046325684"/>
    <n v="1464.694"/>
  </r>
  <r>
    <x v="3"/>
    <n v="1"/>
    <n v="0"/>
    <x v="0"/>
    <n v="1"/>
    <n v="0"/>
    <n v="74451"/>
    <n v="23931"/>
    <n v="1"/>
    <n v="2151"/>
    <s v="Post and beam"/>
    <x v="3"/>
    <x v="1"/>
    <s v=""/>
    <s v=""/>
    <s v="Fiberglass - Tied, stays"/>
    <n v="4.5000001788139343E-2"/>
    <n v="3.0999999046325684"/>
    <n v="1144.6790000000001"/>
  </r>
  <r>
    <x v="3"/>
    <n v="1"/>
    <n v="0"/>
    <x v="0"/>
    <n v="1"/>
    <n v="0"/>
    <n v="130828"/>
    <n v="13041"/>
    <n v="1"/>
    <n v="2915"/>
    <s v="Joist"/>
    <x v="2"/>
    <x v="0"/>
    <s v=""/>
    <s v=""/>
    <s v="Fiberglass - Tied, stays"/>
    <n v="4.5000001788139343E-2"/>
    <n v="3.0999999046325684"/>
    <n v="4956.4930000000004"/>
  </r>
  <r>
    <x v="3"/>
    <n v="1"/>
    <n v="0"/>
    <x v="0"/>
    <n v="1"/>
    <n v="0"/>
    <n v="233781"/>
    <n v="12460"/>
    <n v="1"/>
    <n v="1296"/>
    <s v="Post and beam"/>
    <x v="1"/>
    <x v="1"/>
    <s v=""/>
    <s v=""/>
    <s v=""/>
    <n v="4.5000001788139343E-2"/>
    <n v="3.0999999046325684"/>
    <n v="1150.8789999999999"/>
  </r>
  <r>
    <x v="3"/>
    <n v="1"/>
    <n v="0"/>
    <x v="0"/>
    <n v="1"/>
    <n v="0"/>
    <n v="189777"/>
    <n v="21427"/>
    <n v="1"/>
    <n v="840"/>
    <s v="Post and beam"/>
    <x v="1"/>
    <x v="1"/>
    <s v=""/>
    <s v=""/>
    <s v=""/>
    <n v="4.5000001788139343E-2"/>
    <n v="3.0999999046325684"/>
    <n v="1612.692"/>
  </r>
  <r>
    <x v="3"/>
    <n v="1"/>
    <n v="0"/>
    <x v="0"/>
    <n v="1"/>
    <n v="0"/>
    <n v="231450"/>
    <n v="21753"/>
    <n v="1"/>
    <n v="1365"/>
    <s v="Post and beam"/>
    <x v="1"/>
    <x v="0"/>
    <s v=""/>
    <s v=""/>
    <s v=""/>
    <n v="4.5000001788139343E-2"/>
    <n v="3.0999999046325684"/>
    <n v="1612.692"/>
  </r>
  <r>
    <x v="3"/>
    <n v="1"/>
    <n v="0"/>
    <x v="0"/>
    <n v="0"/>
    <m/>
    <n v="231616"/>
    <n v="21546"/>
    <n v="1"/>
    <n v="1372"/>
    <s v="Joist"/>
    <x v="0"/>
    <x v="0"/>
    <s v=""/>
    <s v=""/>
    <s v=""/>
    <n v="4.5000001788139343E-2"/>
    <n v="5"/>
    <n v="1612.692"/>
  </r>
  <r>
    <x v="3"/>
    <n v="1"/>
    <n v="0"/>
    <x v="0"/>
    <n v="1"/>
    <n v="0"/>
    <n v="684002"/>
    <n v="21414"/>
    <n v="1"/>
    <n v="1369"/>
    <s v="Joist"/>
    <x v="0"/>
    <x v="0"/>
    <s v=""/>
    <s v=""/>
    <s v=""/>
    <n v="4.5000001788139343E-2"/>
    <n v="3.0999999046325684"/>
    <n v="12271.31"/>
  </r>
  <r>
    <x v="3"/>
    <n v="1"/>
    <n v="0"/>
    <x v="0"/>
    <n v="1"/>
    <n v="0"/>
    <n v="219282"/>
    <n v="21343"/>
    <n v="1"/>
    <n v="1350"/>
    <s v="Joist"/>
    <x v="0"/>
    <x v="0"/>
    <s v=""/>
    <s v=""/>
    <s v=""/>
    <n v="4.5000001788139343E-2"/>
    <n v="3.0999999046325684"/>
    <n v="8264.9449999999997"/>
  </r>
  <r>
    <x v="3"/>
    <n v="1"/>
    <n v="0"/>
    <x v="0"/>
    <n v="1"/>
    <n v="1"/>
    <n v="186933"/>
    <n v="10752"/>
    <n v="1"/>
    <n v="1260"/>
    <s v="Post and beam"/>
    <x v="1"/>
    <x v="0"/>
    <s v=""/>
    <s v=""/>
    <s v=""/>
    <n v="4.5000001788139343E-2"/>
    <n v="4.5"/>
    <n v="4956.4930000000004"/>
  </r>
  <r>
    <x v="3"/>
    <n v="1"/>
    <n v="0"/>
    <x v="0"/>
    <n v="1"/>
    <n v="0"/>
    <n v="187724"/>
    <n v="20853"/>
    <n v="1"/>
    <n v="2189"/>
    <s v="Post and beam"/>
    <x v="1"/>
    <x v="0"/>
    <s v=""/>
    <s v=""/>
    <s v=""/>
    <n v="4.5000001788139343E-2"/>
    <n v="3.0999999046325684"/>
    <n v="1612.692"/>
  </r>
  <r>
    <x v="3"/>
    <n v="1"/>
    <n v="0"/>
    <x v="0"/>
    <n v="0"/>
    <n v="0"/>
    <n v="70858"/>
    <n v="11041"/>
    <n v="1"/>
    <n v="96"/>
    <s v="Joist"/>
    <x v="0"/>
    <x v="0"/>
    <s v=""/>
    <s v="crawl is under addition has no connection to basement."/>
    <s v="Fiberglass - Tied, stays"/>
    <n v="4.5000001788139343E-2"/>
    <n v="5"/>
    <n v="1524.7619999999999"/>
  </r>
  <r>
    <x v="3"/>
    <n v="1"/>
    <n v="0"/>
    <x v="0"/>
    <n v="1"/>
    <n v="0"/>
    <n v="124829"/>
    <n v="21437"/>
    <n v="1"/>
    <n v="1400"/>
    <s v="Post and beam"/>
    <x v="0"/>
    <x v="0"/>
    <s v=""/>
    <s v=""/>
    <s v="Fiberglass - Tied, stays"/>
    <n v="4.5000001788139343E-2"/>
    <n v="3.0999999046325684"/>
    <n v="2079.9929999999999"/>
  </r>
  <r>
    <x v="3"/>
    <n v="1"/>
    <n v="0"/>
    <x v="0"/>
    <n v="1"/>
    <n v="0"/>
    <n v="94891"/>
    <n v="13643"/>
    <n v="1"/>
    <n v="1645"/>
    <s v="Post and beam"/>
    <x v="2"/>
    <x v="0"/>
    <s v=""/>
    <s v=""/>
    <s v="Fiberglass - Tied, stays"/>
    <n v="4.5000001788139343E-2"/>
    <n v="3.0999999046325684"/>
    <n v="2003.7159999999999"/>
  </r>
  <r>
    <x v="3"/>
    <n v="1"/>
    <n v="0"/>
    <x v="0"/>
    <n v="1"/>
    <n v="0"/>
    <n v="100852"/>
    <n v="13165"/>
    <n v="1"/>
    <n v="1225"/>
    <s v="Joist"/>
    <x v="0"/>
    <x v="0"/>
    <s v=""/>
    <s v=""/>
    <s v="Fiberglass - Tied, stays"/>
    <n v="4.5000001788139343E-2"/>
    <n v="3.0999999046325684"/>
    <n v="4956.4930000000004"/>
  </r>
  <r>
    <x v="3"/>
    <n v="1"/>
    <n v="0"/>
    <x v="0"/>
    <n v="1"/>
    <n v="0"/>
    <n v="44337"/>
    <n v="13011"/>
    <n v="1"/>
    <n v="1536"/>
    <s v="Post and beam"/>
    <x v="2"/>
    <x v="0"/>
    <s v=""/>
    <s v=""/>
    <s v="Fiberglass - Tied, stays"/>
    <n v="4.5000001788139343E-2"/>
    <n v="3.0999999046325684"/>
    <n v="1188.027"/>
  </r>
  <r>
    <x v="3"/>
    <n v="1"/>
    <n v="0"/>
    <x v="0"/>
    <n v="0"/>
    <m/>
    <n v="203690"/>
    <n v="24850"/>
    <n v="1"/>
    <n v="1760"/>
    <s v="Joist"/>
    <x v="3"/>
    <x v="1"/>
    <s v=""/>
    <s v=""/>
    <s v=""/>
    <n v="4.5000001788139343E-2"/>
    <n v="5"/>
    <n v="1192.4649999999999"/>
  </r>
  <r>
    <x v="3"/>
    <n v="1"/>
    <n v="0"/>
    <x v="0"/>
    <n v="1"/>
    <n v="0"/>
    <n v="200953"/>
    <n v="22246"/>
    <n v="1"/>
    <n v="1674"/>
    <s v="Joist"/>
    <x v="2"/>
    <x v="0"/>
    <s v=""/>
    <s v=""/>
    <s v=""/>
    <n v="4.5000001788139343E-2"/>
    <n v="3.0999999046325684"/>
    <n v="1925.059"/>
  </r>
  <r>
    <x v="3"/>
    <n v="1"/>
    <n v="0"/>
    <x v="0"/>
    <n v="0"/>
    <m/>
    <n v="226383"/>
    <n v="23791"/>
    <n v="1"/>
    <n v="1508"/>
    <s v="Joist"/>
    <x v="0"/>
    <x v="0"/>
    <s v=""/>
    <s v=""/>
    <s v=""/>
    <n v="4.5000001788139343E-2"/>
    <n v="5"/>
    <n v="1904.288"/>
  </r>
  <r>
    <x v="3"/>
    <n v="1"/>
    <n v="0"/>
    <x v="0"/>
    <n v="1"/>
    <n v="0"/>
    <n v="45980"/>
    <n v="20374"/>
    <n v="1"/>
    <n v="1590"/>
    <s v="Post and beam"/>
    <x v="2"/>
    <x v="0"/>
    <s v=""/>
    <s v=""/>
    <s v="Fiberglass - Tied, stays"/>
    <n v="4.5000001788139343E-2"/>
    <n v="3.0999999046325684"/>
    <n v="8264.9449999999997"/>
  </r>
  <r>
    <x v="3"/>
    <n v="1"/>
    <n v="0"/>
    <x v="0"/>
    <n v="0"/>
    <n v="0"/>
    <n v="113173"/>
    <n v="22652"/>
    <n v="1"/>
    <n v="1400"/>
    <s v="Joist"/>
    <x v="0"/>
    <x v="0"/>
    <s v=""/>
    <s v=""/>
    <s v="Fiberglass - Tied, stays"/>
    <n v="4.5000001788139343E-2"/>
    <n v="5"/>
    <n v="2079.9929999999999"/>
  </r>
  <r>
    <x v="3"/>
    <n v="1"/>
    <n v="0"/>
    <x v="0"/>
    <n v="1"/>
    <n v="0"/>
    <n v="724074"/>
    <n v="10052"/>
    <n v="1"/>
    <n v="1530"/>
    <s v="Joist"/>
    <x v="0"/>
    <x v="0"/>
    <s v=""/>
    <s v=""/>
    <s v=""/>
    <n v="4.5000001788139343E-2"/>
    <n v="3.0999999046325684"/>
    <n v="4956.4930000000004"/>
  </r>
  <r>
    <x v="3"/>
    <n v="1"/>
    <n v="0"/>
    <x v="0"/>
    <n v="1"/>
    <n v="0"/>
    <n v="724428"/>
    <n v="13474"/>
    <n v="1"/>
    <n v="1472"/>
    <s v="Joist"/>
    <x v="2"/>
    <x v="0"/>
    <s v=""/>
    <s v=""/>
    <s v=""/>
    <n v="4.5000001788139343E-2"/>
    <n v="3.0999999046325684"/>
    <n v="1524.7619999999999"/>
  </r>
  <r>
    <x v="3"/>
    <n v="1"/>
    <n v="0"/>
    <x v="0"/>
    <n v="1"/>
    <n v="0"/>
    <n v="113387"/>
    <n v="24158"/>
    <n v="1"/>
    <n v="600"/>
    <s v="Post and beam"/>
    <x v="0"/>
    <x v="0"/>
    <s v=""/>
    <s v=""/>
    <s v="Fiberglass - Tied, stays"/>
    <n v="4.5000001788139343E-2"/>
    <n v="3.0999999046325684"/>
    <n v="2079.9929999999999"/>
  </r>
  <r>
    <x v="3"/>
    <n v="1"/>
    <n v="0"/>
    <x v="0"/>
    <n v="1"/>
    <n v="0"/>
    <n v="101179"/>
    <n v="22557"/>
    <n v="1"/>
    <n v="1530"/>
    <s v="Post and beam"/>
    <x v="1"/>
    <x v="0"/>
    <s v=""/>
    <s v=""/>
    <s v="Fiberglass - Tied, stays"/>
    <n v="4.5000001788139343E-2"/>
    <n v="3.0999999046325684"/>
    <n v="2079.9929999999999"/>
  </r>
  <r>
    <x v="3"/>
    <n v="1"/>
    <n v="0"/>
    <x v="0"/>
    <n v="1"/>
    <n v="1"/>
    <n v="176219"/>
    <n v="22176"/>
    <n v="1"/>
    <n v="1044"/>
    <s v="Joist"/>
    <x v="0"/>
    <x v="0"/>
    <s v=""/>
    <s v=""/>
    <s v=""/>
    <n v="4.5000001788139343E-2"/>
    <n v="4.5"/>
    <n v="2130.886"/>
  </r>
  <r>
    <x v="3"/>
    <n v="1"/>
    <n v="0"/>
    <x v="0"/>
    <n v="1"/>
    <n v="0"/>
    <n v="59847"/>
    <n v="23847"/>
    <n v="1"/>
    <n v="1770"/>
    <s v="Joist"/>
    <x v="2"/>
    <x v="0"/>
    <s v=""/>
    <s v=""/>
    <s v="Fiberglass - Tied, stays"/>
    <n v="4.5000001788139343E-2"/>
    <n v="3.0999999046325684"/>
    <n v="2079.9929999999999"/>
  </r>
  <r>
    <x v="3"/>
    <n v="1"/>
    <n v="0"/>
    <x v="0"/>
    <n v="1"/>
    <n v="0"/>
    <n v="53543"/>
    <n v="10254"/>
    <n v="1"/>
    <n v="1808"/>
    <s v="Post and beam"/>
    <x v="3"/>
    <x v="1"/>
    <s v=""/>
    <s v=""/>
    <s v="Fiberglass - Stapled"/>
    <n v="4.5000001788139343E-2"/>
    <n v="3.0999999046325684"/>
    <n v="1188.027"/>
  </r>
  <r>
    <x v="3"/>
    <n v="1"/>
    <n v="0"/>
    <x v="0"/>
    <n v="1"/>
    <n v="0"/>
    <n v="69133"/>
    <n v="12404"/>
    <n v="1"/>
    <n v="1280"/>
    <s v="Joist"/>
    <x v="0"/>
    <x v="0"/>
    <s v=""/>
    <s v=""/>
    <s v="Fiberglass - Tied, stays"/>
    <n v="4.5000001788139343E-2"/>
    <n v="3.0999999046325684"/>
    <n v="2003.7159999999999"/>
  </r>
  <r>
    <x v="3"/>
    <n v="1"/>
    <n v="0"/>
    <x v="0"/>
    <n v="1"/>
    <n v="0"/>
    <n v="682943"/>
    <n v="20807"/>
    <n v="1"/>
    <n v="1537"/>
    <s v="Joist"/>
    <x v="0"/>
    <x v="0"/>
    <s v=""/>
    <s v=""/>
    <s v=""/>
    <n v="4.5000001788139343E-2"/>
    <n v="3.0999999046325684"/>
    <n v="12271.31"/>
  </r>
  <r>
    <x v="3"/>
    <n v="1"/>
    <n v="0"/>
    <x v="0"/>
    <n v="1"/>
    <n v="0"/>
    <n v="180463"/>
    <n v="24733"/>
    <n v="1"/>
    <n v="1140"/>
    <s v="Joist"/>
    <x v="2"/>
    <x v="0"/>
    <s v=""/>
    <s v=""/>
    <s v=""/>
    <n v="4.5000001788139343E-2"/>
    <n v="3.0999999046325684"/>
    <n v="4360.1880000000001"/>
  </r>
  <r>
    <x v="3"/>
    <n v="1"/>
    <n v="0"/>
    <x v="0"/>
    <n v="1"/>
    <n v="0"/>
    <n v="142617"/>
    <n v="20188"/>
    <n v="1"/>
    <n v="1305"/>
    <s v="Post and beam"/>
    <x v="1"/>
    <x v="0"/>
    <s v=""/>
    <s v=""/>
    <s v=""/>
    <n v="4.5000001788139343E-2"/>
    <n v="3.0999999046325684"/>
    <n v="1612.692"/>
  </r>
  <r>
    <x v="3"/>
    <n v="1"/>
    <n v="0"/>
    <x v="0"/>
    <n v="1"/>
    <n v="0"/>
    <n v="115246"/>
    <n v="21109"/>
    <n v="1"/>
    <n v="1222"/>
    <s v="Joist"/>
    <x v="2"/>
    <x v="0"/>
    <s v=""/>
    <s v=""/>
    <s v="Fiberglass - Tied, stays"/>
    <n v="4.5000001788139343E-2"/>
    <n v="3.0999999046325684"/>
    <n v="1925.059"/>
  </r>
  <r>
    <x v="3"/>
    <n v="1"/>
    <n v="0"/>
    <x v="0"/>
    <n v="1"/>
    <n v="0"/>
    <n v="227118"/>
    <n v="22702"/>
    <n v="1"/>
    <n v="3565"/>
    <s v="Joist"/>
    <x v="2"/>
    <x v="0"/>
    <s v=""/>
    <s v=""/>
    <s v=""/>
    <n v="4.5000001788139343E-2"/>
    <n v="3.0999999046325684"/>
    <n v="4360.1880000000001"/>
  </r>
  <r>
    <x v="3"/>
    <n v="1"/>
    <n v="0"/>
    <x v="0"/>
    <n v="1"/>
    <n v="0"/>
    <n v="182731"/>
    <n v="11679"/>
    <n v="1"/>
    <n v="1045"/>
    <s v="Joist"/>
    <x v="4"/>
    <x v="1"/>
    <s v=""/>
    <s v=""/>
    <s v=""/>
    <n v="4.5000001788139343E-2"/>
    <n v="3.0999999046325684"/>
    <n v="6932.7380000000003"/>
  </r>
  <r>
    <x v="3"/>
    <n v="1"/>
    <n v="0"/>
    <x v="0"/>
    <n v="0"/>
    <n v="0"/>
    <n v="55703"/>
    <n v="10709"/>
    <n v="1"/>
    <n v="160"/>
    <s v="Joist"/>
    <x v="0"/>
    <x v="0"/>
    <s v=""/>
    <s v=""/>
    <s v="Fiberglass - Stapled"/>
    <n v="4.5000001788139343E-2"/>
    <n v="5"/>
    <n v="1524.7619999999999"/>
  </r>
  <r>
    <x v="3"/>
    <n v="1"/>
    <n v="0"/>
    <x v="0"/>
    <n v="0"/>
    <m/>
    <n v="97430"/>
    <n v="10630"/>
    <n v="1"/>
    <n v="780"/>
    <s v="Joist"/>
    <x v="3"/>
    <x v="1"/>
    <s v=""/>
    <s v="this is a raised open to the basement crawl, no vents but the exterior door to the basement is left open all the time   joist are real 2x10 , very old    Added sq ft from what was previously entered as basement. No heated slab or insulation"/>
    <s v=""/>
    <n v="4.5000001788139343E-2"/>
    <n v="5"/>
    <n v="4956.4930000000004"/>
  </r>
  <r>
    <x v="3"/>
    <n v="1"/>
    <n v="0"/>
    <x v="0"/>
    <n v="0"/>
    <m/>
    <n v="238157"/>
    <n v="12478"/>
    <n v="1"/>
    <n v="1558"/>
    <s v="Joist"/>
    <x v="0"/>
    <x v="0"/>
    <s v=""/>
    <s v=""/>
    <s v=""/>
    <n v="4.5000001788139343E-2"/>
    <n v="5"/>
    <n v="1150.8789999999999"/>
  </r>
  <r>
    <x v="3"/>
    <n v="1"/>
    <n v="0"/>
    <x v="0"/>
    <n v="1"/>
    <n v="0"/>
    <n v="77535"/>
    <n v="11838"/>
    <n v="1"/>
    <n v="1600"/>
    <s v="Joist"/>
    <x v="2"/>
    <x v="0"/>
    <s v=""/>
    <s v=""/>
    <s v="Fiberglass - Tied, stays"/>
    <n v="4.5000001788139343E-2"/>
    <n v="3.0999999046325684"/>
    <n v="2003.7159999999999"/>
  </r>
  <r>
    <x v="3"/>
    <n v="1"/>
    <n v="1"/>
    <x v="3"/>
    <n v="0"/>
    <m/>
    <n v="232503"/>
    <n v="22479"/>
    <n v="1"/>
    <n v="2176"/>
    <s v="Joist"/>
    <x v="0"/>
    <x v="0"/>
    <s v=""/>
    <s v=""/>
    <s v=""/>
    <n v="4.5000001788139343E-2"/>
    <n v="9.1000003814697266"/>
    <n v="1904.288"/>
  </r>
  <r>
    <x v="3"/>
    <n v="1"/>
    <n v="0"/>
    <x v="0"/>
    <n v="1"/>
    <n v="0"/>
    <n v="211042"/>
    <n v="11749"/>
    <n v="1"/>
    <n v="985"/>
    <s v="Joist"/>
    <x v="0"/>
    <x v="0"/>
    <s v=""/>
    <s v=""/>
    <s v=""/>
    <n v="4.5000001788139343E-2"/>
    <n v="3.0999999046325684"/>
    <n v="1464.694"/>
  </r>
  <r>
    <x v="3"/>
    <n v="1"/>
    <n v="0"/>
    <x v="0"/>
    <n v="0"/>
    <n v="0"/>
    <n v="101903"/>
    <n v="22627"/>
    <n v="1"/>
    <n v="621"/>
    <s v="Post and beam"/>
    <x v="3"/>
    <x v="1"/>
    <s v=""/>
    <s v=""/>
    <s v="Fiberglass - Tied, stays"/>
    <n v="4.5000001788139343E-2"/>
    <n v="5"/>
    <n v="2130.886"/>
  </r>
  <r>
    <x v="3"/>
    <n v="1"/>
    <n v="0"/>
    <x v="0"/>
    <n v="1"/>
    <n v="0"/>
    <n v="141019"/>
    <n v="13051"/>
    <n v="1"/>
    <n v="904"/>
    <s v="Post and beam"/>
    <x v="1"/>
    <x v="0"/>
    <s v=""/>
    <s v=""/>
    <s v=""/>
    <n v="4.5000001788139343E-2"/>
    <n v="3.0999999046325684"/>
    <n v="4956.4930000000004"/>
  </r>
  <r>
    <x v="3"/>
    <n v="1"/>
    <n v="0"/>
    <x v="0"/>
    <n v="1"/>
    <n v="0"/>
    <n v="45870"/>
    <n v="21021"/>
    <n v="1"/>
    <n v="1200"/>
    <s v="Post and beam"/>
    <x v="2"/>
    <x v="0"/>
    <s v=""/>
    <s v=""/>
    <s v="Fiberglass - Tied, stays"/>
    <n v="4.5000001788139343E-2"/>
    <n v="3.0999999046325684"/>
    <n v="8264.9449999999997"/>
  </r>
  <r>
    <x v="3"/>
    <n v="1"/>
    <n v="0"/>
    <x v="0"/>
    <n v="1"/>
    <n v="0"/>
    <n v="124600"/>
    <n v="21988"/>
    <n v="1"/>
    <n v="1000"/>
    <s v="Post and beam"/>
    <x v="0"/>
    <x v="0"/>
    <s v=""/>
    <s v=""/>
    <s v="Fiberglass - Tied, stays"/>
    <n v="4.5000001788139343E-2"/>
    <n v="3.0999999046325684"/>
    <n v="2079.9929999999999"/>
  </r>
  <r>
    <x v="3"/>
    <n v="1"/>
    <n v="0"/>
    <x v="0"/>
    <n v="1"/>
    <n v="0"/>
    <n v="34780"/>
    <n v="12232"/>
    <n v="1"/>
    <n v="1164"/>
    <s v="Joist"/>
    <x v="2"/>
    <x v="0"/>
    <s v=""/>
    <s v=""/>
    <s v="Fiberglass - Tied, stays"/>
    <n v="4.5000001788139343E-2"/>
    <n v="3.0999999046325684"/>
    <n v="1188.027"/>
  </r>
  <r>
    <x v="3"/>
    <n v="1"/>
    <n v="0"/>
    <x v="0"/>
    <n v="1"/>
    <n v="0"/>
    <n v="125935"/>
    <n v="11233"/>
    <n v="1"/>
    <n v="745"/>
    <s v="Joist"/>
    <x v="0"/>
    <x v="0"/>
    <s v=""/>
    <s v=""/>
    <s v="Fiberglass - Tied, stays"/>
    <n v="4.5000001788139343E-2"/>
    <n v="3.0999999046325684"/>
    <n v="4956.4930000000004"/>
  </r>
  <r>
    <x v="3"/>
    <n v="1"/>
    <n v="0"/>
    <x v="0"/>
    <n v="1"/>
    <n v="0"/>
    <n v="156215"/>
    <n v="22228"/>
    <n v="1"/>
    <n v="2192"/>
    <s v="Post and beam"/>
    <x v="1"/>
    <x v="0"/>
    <s v=""/>
    <s v=""/>
    <s v=""/>
    <n v="4.5000001788139343E-2"/>
    <n v="3.0999999046325684"/>
    <n v="1612.692"/>
  </r>
  <r>
    <x v="3"/>
    <n v="1"/>
    <n v="0"/>
    <x v="0"/>
    <n v="1"/>
    <n v="0"/>
    <n v="219055"/>
    <n v="13336"/>
    <n v="1"/>
    <n v="500"/>
    <s v="Joist"/>
    <x v="2"/>
    <x v="1"/>
    <s v=""/>
    <s v=""/>
    <s v=""/>
    <n v="4.5000001788139343E-2"/>
    <n v="3.0999999046325684"/>
    <n v="6932.7380000000003"/>
  </r>
  <r>
    <x v="3"/>
    <n v="1"/>
    <n v="0"/>
    <x v="0"/>
    <n v="1"/>
    <n v="0"/>
    <n v="37864"/>
    <n v="11014"/>
    <n v="1"/>
    <n v="1748"/>
    <s v="Post and beam"/>
    <x v="0"/>
    <x v="0"/>
    <s v=""/>
    <s v=""/>
    <s v="Fiberglass - Tied, stays"/>
    <n v="4.5000001788139343E-2"/>
    <n v="3.0999999046325684"/>
    <n v="1188.027"/>
  </r>
  <r>
    <x v="3"/>
    <n v="1"/>
    <n v="1"/>
    <x v="1"/>
    <n v="1"/>
    <n v="0"/>
    <n v="33212"/>
    <n v="13451"/>
    <n v="1"/>
    <n v="1100"/>
    <s v="Post and beam"/>
    <x v="2"/>
    <x v="0"/>
    <s v="Fiberglass - Tied, stays"/>
    <s v=""/>
    <s v="Fiberglass - Tied, stays"/>
    <n v="4.5000001788139343E-2"/>
    <n v="4.5"/>
    <n v="1150.8789999999999"/>
  </r>
  <r>
    <x v="3"/>
    <n v="1"/>
    <n v="0"/>
    <x v="0"/>
    <n v="1"/>
    <n v="0"/>
    <n v="686847"/>
    <n v="23084"/>
    <n v="1"/>
    <n v="2625"/>
    <s v="Joist"/>
    <x v="0"/>
    <x v="0"/>
    <s v=""/>
    <s v=""/>
    <s v=""/>
    <n v="4.5000001788139343E-2"/>
    <n v="3.0999999046325684"/>
    <n v="2079.9929999999999"/>
  </r>
  <r>
    <x v="3"/>
    <n v="1"/>
    <n v="0"/>
    <x v="0"/>
    <n v="1"/>
    <n v="0"/>
    <n v="234274"/>
    <n v="11118"/>
    <n v="1"/>
    <n v="1870"/>
    <s v="Post and beam"/>
    <x v="1"/>
    <x v="0"/>
    <s v=""/>
    <s v=""/>
    <s v=""/>
    <n v="4.5000001788139343E-2"/>
    <n v="3.0999999046325684"/>
    <n v="1150.8789999999999"/>
  </r>
  <r>
    <x v="3"/>
    <n v="1"/>
    <n v="0"/>
    <x v="0"/>
    <n v="1"/>
    <n v="0"/>
    <n v="182075"/>
    <n v="10801"/>
    <n v="1"/>
    <n v="1530"/>
    <s v="Joist"/>
    <x v="2"/>
    <x v="0"/>
    <s v=""/>
    <s v=""/>
    <s v=""/>
    <n v="4.5000001788139343E-2"/>
    <n v="3.0999999046325684"/>
    <n v="4956.4930000000004"/>
  </r>
  <r>
    <x v="3"/>
    <n v="1"/>
    <n v="0"/>
    <x v="0"/>
    <n v="1"/>
    <n v="0"/>
    <n v="108175"/>
    <n v="10425"/>
    <n v="1"/>
    <n v="1699"/>
    <s v="Joist"/>
    <x v="4"/>
    <x v="1"/>
    <s v=""/>
    <s v=""/>
    <s v="Fiberglass - Tied, stays"/>
    <n v="4.5000001788139343E-2"/>
    <n v="3.0999999046325684"/>
    <n v="4956.4930000000004"/>
  </r>
  <r>
    <x v="3"/>
    <n v="1"/>
    <n v="0"/>
    <x v="0"/>
    <n v="1"/>
    <n v="0"/>
    <n v="718027"/>
    <n v="11894"/>
    <n v="1"/>
    <n v="900"/>
    <s v="Joist"/>
    <x v="2"/>
    <x v="0"/>
    <s v=""/>
    <s v=""/>
    <s v=""/>
    <n v="4.5000001788139343E-2"/>
    <n v="3.0999999046325684"/>
    <n v="4956.4930000000004"/>
  </r>
  <r>
    <x v="3"/>
    <n v="1"/>
    <n v="0"/>
    <x v="0"/>
    <n v="1"/>
    <n v="0"/>
    <n v="197466"/>
    <n v="14277"/>
    <n v="1"/>
    <n v="977"/>
    <s v="Joist"/>
    <x v="2"/>
    <x v="0"/>
    <s v=""/>
    <s v=""/>
    <s v=""/>
    <n v="4.5000001788139343E-2"/>
    <n v="3.0999999046325684"/>
    <n v="4956.4930000000004"/>
  </r>
  <r>
    <x v="3"/>
    <n v="1"/>
    <n v="0"/>
    <x v="0"/>
    <n v="0"/>
    <n v="1"/>
    <n v="84083"/>
    <n v="20182"/>
    <n v="1"/>
    <n v="1280"/>
    <s v="Joist"/>
    <x v="0"/>
    <x v="0"/>
    <s v=""/>
    <s v=""/>
    <s v="Fiberglass - Stapled"/>
    <n v="4.5000001788139343E-2"/>
    <n v="5"/>
    <n v="8559.1039999999994"/>
  </r>
  <r>
    <x v="3"/>
    <n v="1"/>
    <n v="0"/>
    <x v="0"/>
    <n v="1"/>
    <n v="0"/>
    <n v="172917"/>
    <n v="13127"/>
    <n v="1"/>
    <n v="681"/>
    <s v="Joist"/>
    <x v="1"/>
    <x v="0"/>
    <s v=""/>
    <s v=""/>
    <s v=""/>
    <n v="4.5000001788139343E-2"/>
    <n v="3.0999999046325684"/>
    <n v="4956.4930000000004"/>
  </r>
  <r>
    <x v="3"/>
    <n v="1"/>
    <n v="0"/>
    <x v="0"/>
    <n v="1"/>
    <n v="1"/>
    <n v="220844"/>
    <n v="21524"/>
    <n v="1"/>
    <n v="2542"/>
    <s v="Joist"/>
    <x v="0"/>
    <x v="0"/>
    <s v=""/>
    <s v=""/>
    <s v=""/>
    <n v="4.5000001788139343E-2"/>
    <n v="4.5"/>
    <n v="1904.288"/>
  </r>
  <r>
    <x v="3"/>
    <n v="1"/>
    <n v="0"/>
    <x v="0"/>
    <n v="1"/>
    <n v="0"/>
    <n v="116647"/>
    <n v="10134"/>
    <n v="1"/>
    <n v="91"/>
    <s v="Joist"/>
    <x v="2"/>
    <x v="0"/>
    <s v=""/>
    <s v=""/>
    <s v=""/>
    <n v="4.5000001788139343E-2"/>
    <n v="3.0999999046325684"/>
    <n v="1464.694"/>
  </r>
  <r>
    <x v="3"/>
    <n v="1"/>
    <n v="0"/>
    <x v="0"/>
    <n v="1"/>
    <n v="0"/>
    <n v="170847"/>
    <n v="20180"/>
    <n v="2"/>
    <n v="1032"/>
    <s v="Post and beam"/>
    <x v="1"/>
    <x v="0"/>
    <s v=""/>
    <s v=""/>
    <s v=""/>
    <n v="4.5000001788139343E-2"/>
    <n v="3.0999999046325684"/>
    <n v="1612.692"/>
  </r>
  <r>
    <x v="3"/>
    <n v="1"/>
    <n v="0"/>
    <x v="0"/>
    <n v="1"/>
    <n v="0"/>
    <n v="181601"/>
    <n v="11145"/>
    <n v="1"/>
    <n v="1400"/>
    <s v="Joist"/>
    <x v="2"/>
    <x v="0"/>
    <s v=""/>
    <s v=""/>
    <s v=""/>
    <n v="4.5000001788139343E-2"/>
    <n v="3.0999999046325684"/>
    <n v="4956.4930000000004"/>
  </r>
  <r>
    <x v="3"/>
    <n v="1"/>
    <n v="0"/>
    <x v="0"/>
    <n v="0"/>
    <m/>
    <n v="168483"/>
    <n v="10245"/>
    <n v="1"/>
    <n v="945"/>
    <s v="Joist"/>
    <x v="0"/>
    <x v="0"/>
    <s v=""/>
    <s v=""/>
    <s v=""/>
    <n v="4.5000001788139343E-2"/>
    <n v="5"/>
    <n v="6932.7380000000003"/>
  </r>
  <r>
    <x v="3"/>
    <n v="1"/>
    <n v="0"/>
    <x v="0"/>
    <n v="1"/>
    <n v="0"/>
    <n v="117162"/>
    <n v="24706"/>
    <n v="1"/>
    <n v="690"/>
    <s v="Joist"/>
    <x v="2"/>
    <x v="0"/>
    <s v=""/>
    <s v=""/>
    <s v="Fiberglass - Tied, stays"/>
    <n v="4.5000001788139343E-2"/>
    <n v="3.0999999046325684"/>
    <n v="1612.692"/>
  </r>
  <r>
    <x v="3"/>
    <n v="1"/>
    <n v="0"/>
    <x v="0"/>
    <n v="1"/>
    <n v="0"/>
    <n v="86186"/>
    <n v="11377"/>
    <n v="1"/>
    <n v="1202"/>
    <s v="Joist"/>
    <x v="3"/>
    <x v="0"/>
    <s v=""/>
    <s v=""/>
    <s v="Fiberglass - Tied, stays"/>
    <n v="4.5000001788139343E-2"/>
    <n v="3.0999999046325684"/>
    <n v="4956.4930000000004"/>
  </r>
  <r>
    <x v="3"/>
    <n v="1"/>
    <n v="0"/>
    <x v="0"/>
    <n v="1"/>
    <n v="0"/>
    <n v="193642"/>
    <n v="20206"/>
    <n v="1"/>
    <n v="1227"/>
    <s v="Post and beam"/>
    <x v="1"/>
    <x v="0"/>
    <s v=""/>
    <s v=""/>
    <s v=""/>
    <n v="4.5000001788139343E-2"/>
    <n v="3.0999999046325684"/>
    <n v="1612.692"/>
  </r>
  <r>
    <x v="3"/>
    <n v="1"/>
    <n v="0"/>
    <x v="0"/>
    <n v="1"/>
    <n v="0"/>
    <n v="689830"/>
    <n v="21531"/>
    <n v="1"/>
    <n v="2249"/>
    <s v="Post and beam"/>
    <x v="1"/>
    <x v="0"/>
    <s v=""/>
    <s v=""/>
    <s v=""/>
    <n v="4.5000001788139343E-2"/>
    <n v="3.0999999046325684"/>
    <n v="4360.1880000000001"/>
  </r>
  <r>
    <x v="3"/>
    <n v="1"/>
    <n v="0"/>
    <x v="0"/>
    <n v="1"/>
    <n v="0"/>
    <n v="34682"/>
    <n v="11988"/>
    <n v="1"/>
    <n v="1120"/>
    <s v="Joist"/>
    <x v="0"/>
    <x v="0"/>
    <s v=""/>
    <s v=""/>
    <s v="Fiberglass - Tied, stays"/>
    <n v="4.5000001788139343E-2"/>
    <n v="3.0999999046325684"/>
    <n v="1188.027"/>
  </r>
  <r>
    <x v="3"/>
    <n v="1"/>
    <n v="0"/>
    <x v="0"/>
    <n v="1"/>
    <n v="0"/>
    <n v="71256"/>
    <n v="20817"/>
    <n v="1"/>
    <n v="396"/>
    <s v="Joist"/>
    <x v="4"/>
    <x v="1"/>
    <s v=""/>
    <s v=""/>
    <s v="Fiberglass - Tied, stays"/>
    <n v="4.5000001788139343E-2"/>
    <n v="3.0999999046325684"/>
    <n v="2079.9929999999999"/>
  </r>
  <r>
    <x v="3"/>
    <n v="1"/>
    <n v="0"/>
    <x v="0"/>
    <n v="1"/>
    <n v="0"/>
    <n v="168735"/>
    <n v="23538"/>
    <n v="1"/>
    <n v="1800"/>
    <s v="Joist"/>
    <x v="4"/>
    <x v="1"/>
    <s v=""/>
    <s v=""/>
    <s v=""/>
    <n v="4.5000001788139343E-2"/>
    <n v="3.0999999046325684"/>
    <n v="4360.1880000000001"/>
  </r>
  <r>
    <x v="3"/>
    <n v="1"/>
    <n v="0"/>
    <x v="0"/>
    <n v="0"/>
    <n v="0"/>
    <n v="53306"/>
    <n v="21746"/>
    <n v="1"/>
    <n v="1200"/>
    <s v="Joist"/>
    <x v="0"/>
    <x v="0"/>
    <s v=""/>
    <s v=""/>
    <s v="Fiberglass - Tied, stays"/>
    <n v="4.5000001788139343E-2"/>
    <n v="5"/>
    <n v="8264.9449999999997"/>
  </r>
  <r>
    <x v="3"/>
    <n v="1"/>
    <n v="0"/>
    <x v="0"/>
    <n v="1"/>
    <n v="0"/>
    <n v="224219"/>
    <n v="23381"/>
    <n v="1"/>
    <n v="1073"/>
    <s v="Post and beam"/>
    <x v="1"/>
    <x v="1"/>
    <s v=""/>
    <s v=""/>
    <s v=""/>
    <n v="4.5000001788139343E-2"/>
    <n v="3.0999999046325684"/>
    <n v="2079.9929999999999"/>
  </r>
  <r>
    <x v="3"/>
    <n v="1"/>
    <n v="0"/>
    <x v="0"/>
    <n v="1"/>
    <n v="1"/>
    <n v="182210"/>
    <n v="14015"/>
    <n v="1"/>
    <n v="1284"/>
    <s v="Joist"/>
    <x v="2"/>
    <x v="0"/>
    <s v=""/>
    <s v=""/>
    <s v=""/>
    <n v="4.5000001788139343E-2"/>
    <n v="4.5"/>
    <n v="4956.4930000000004"/>
  </r>
  <r>
    <x v="3"/>
    <n v="1"/>
    <n v="0"/>
    <x v="0"/>
    <n v="1"/>
    <n v="0"/>
    <n v="148443"/>
    <n v="20559"/>
    <n v="1"/>
    <n v="756"/>
    <s v="Joist"/>
    <x v="0"/>
    <x v="0"/>
    <s v=""/>
    <s v=""/>
    <s v=""/>
    <n v="4.5000001788139343E-2"/>
    <n v="3.0999999046325684"/>
    <n v="1192.4649999999999"/>
  </r>
  <r>
    <x v="3"/>
    <n v="1"/>
    <n v="0"/>
    <x v="0"/>
    <n v="0"/>
    <n v="0"/>
    <n v="104198"/>
    <n v="12176"/>
    <n v="1"/>
    <n v="280"/>
    <s v="Post and beam"/>
    <x v="0"/>
    <x v="0"/>
    <s v=""/>
    <s v=""/>
    <s v="Fiberglass - Tied, stays"/>
    <n v="4.5000001788139343E-2"/>
    <n v="5"/>
    <n v="1524.7619999999999"/>
  </r>
  <r>
    <x v="3"/>
    <n v="1"/>
    <n v="0"/>
    <x v="0"/>
    <n v="1"/>
    <n v="0"/>
    <n v="152775"/>
    <n v="22607"/>
    <n v="1"/>
    <n v="1191"/>
    <s v="Joist"/>
    <x v="0"/>
    <x v="1"/>
    <s v=""/>
    <s v=""/>
    <s v=""/>
    <n v="4.5000001788139343E-2"/>
    <n v="3.0999999046325684"/>
    <n v="1612.692"/>
  </r>
  <r>
    <x v="3"/>
    <n v="1"/>
    <n v="0"/>
    <x v="0"/>
    <n v="1"/>
    <n v="0"/>
    <n v="227443"/>
    <n v="21787"/>
    <n v="1"/>
    <n v="1152"/>
    <s v="Joist"/>
    <x v="0"/>
    <x v="0"/>
    <s v=""/>
    <s v=""/>
    <s v=""/>
    <n v="4.5000001788139343E-2"/>
    <n v="3.0999999046325684"/>
    <n v="4360.1880000000001"/>
  </r>
  <r>
    <x v="3"/>
    <n v="1"/>
    <n v="0"/>
    <x v="0"/>
    <n v="1"/>
    <n v="0"/>
    <n v="210199"/>
    <n v="12303"/>
    <n v="1"/>
    <n v="1985"/>
    <s v="Post and beam"/>
    <x v="0"/>
    <x v="1"/>
    <s v=""/>
    <s v=""/>
    <s v=""/>
    <n v="4.5000001788139343E-2"/>
    <n v="3.0999999046325684"/>
    <n v="1464.694"/>
  </r>
  <r>
    <x v="3"/>
    <n v="1"/>
    <n v="0"/>
    <x v="0"/>
    <n v="1"/>
    <n v="0"/>
    <n v="724997"/>
    <n v="13191"/>
    <n v="1"/>
    <n v="591"/>
    <s v="Joist"/>
    <x v="2"/>
    <x v="0"/>
    <s v=""/>
    <s v=""/>
    <s v=""/>
    <n v="4.5000001788139343E-2"/>
    <n v="3.0999999046325684"/>
    <n v="1524.7619999999999"/>
  </r>
  <r>
    <x v="3"/>
    <n v="1"/>
    <n v="0"/>
    <x v="0"/>
    <n v="0"/>
    <n v="0"/>
    <n v="107313"/>
    <n v="22125"/>
    <n v="1"/>
    <n v="1400"/>
    <s v="Joist"/>
    <x v="0"/>
    <x v="0"/>
    <s v=""/>
    <s v=""/>
    <s v="Fiberglass - Tied, stays"/>
    <n v="4.5000001788139343E-2"/>
    <n v="5"/>
    <n v="2079.9929999999999"/>
  </r>
  <r>
    <x v="3"/>
    <n v="1"/>
    <n v="0"/>
    <x v="0"/>
    <n v="1"/>
    <n v="1"/>
    <n v="658878"/>
    <n v="12207"/>
    <n v="1"/>
    <n v="642"/>
    <s v="Joist"/>
    <x v="0"/>
    <x v="1"/>
    <s v=""/>
    <s v=""/>
    <s v=""/>
    <n v="4.5000001788139343E-2"/>
    <n v="4.5"/>
    <n v="4956.4930000000004"/>
  </r>
  <r>
    <x v="3"/>
    <n v="1"/>
    <n v="0"/>
    <x v="0"/>
    <n v="1"/>
    <n v="0"/>
    <n v="119161"/>
    <n v="21452"/>
    <n v="1"/>
    <n v="1230"/>
    <s v="Post and beam"/>
    <x v="2"/>
    <x v="0"/>
    <s v=""/>
    <s v=""/>
    <s v="Fiberglass - Tied, stays"/>
    <n v="4.5000001788139343E-2"/>
    <n v="3.0999999046325684"/>
    <n v="1904.288"/>
  </r>
  <r>
    <x v="3"/>
    <n v="1"/>
    <n v="0"/>
    <x v="0"/>
    <n v="1"/>
    <n v="0"/>
    <n v="213625"/>
    <n v="23830"/>
    <n v="1"/>
    <n v="1968"/>
    <s v="Post and beam"/>
    <x v="1"/>
    <x v="0"/>
    <s v=""/>
    <s v=""/>
    <s v=""/>
    <n v="4.5000001788139343E-2"/>
    <n v="3.0999999046325684"/>
    <n v="1612.692"/>
  </r>
  <r>
    <x v="3"/>
    <n v="1"/>
    <n v="0"/>
    <x v="0"/>
    <n v="1"/>
    <n v="0"/>
    <n v="158163"/>
    <n v="20155"/>
    <n v="1"/>
    <n v="2156"/>
    <s v="Post and beam"/>
    <x v="1"/>
    <x v="0"/>
    <s v=""/>
    <s v=""/>
    <s v=""/>
    <n v="4.5000001788139343E-2"/>
    <n v="3.0999999046325684"/>
    <n v="1612.692"/>
  </r>
  <r>
    <x v="3"/>
    <n v="1"/>
    <n v="0"/>
    <x v="0"/>
    <n v="1"/>
    <n v="0"/>
    <n v="725078"/>
    <n v="11346"/>
    <n v="1"/>
    <n v="1620"/>
    <s v="Joist"/>
    <x v="0"/>
    <x v="0"/>
    <s v=""/>
    <s v=""/>
    <s v=""/>
    <n v="4.5000001788139343E-2"/>
    <n v="3.0999999046325684"/>
    <n v="4956.4930000000004"/>
  </r>
  <r>
    <x v="3"/>
    <n v="1"/>
    <n v="0"/>
    <x v="0"/>
    <n v="1"/>
    <n v="0"/>
    <n v="154061"/>
    <n v="23480"/>
    <n v="1"/>
    <n v="1960"/>
    <s v="Post and beam"/>
    <x v="1"/>
    <x v="1"/>
    <s v=""/>
    <s v=""/>
    <s v=""/>
    <n v="4.5000001788139343E-2"/>
    <n v="3.0999999046325684"/>
    <n v="1612.692"/>
  </r>
  <r>
    <x v="3"/>
    <n v="1"/>
    <n v="0"/>
    <x v="0"/>
    <n v="1"/>
    <n v="0"/>
    <n v="107502"/>
    <n v="23607"/>
    <n v="1"/>
    <n v="1600"/>
    <s v="Joist"/>
    <x v="0"/>
    <x v="1"/>
    <s v=""/>
    <s v=""/>
    <s v="Fiberglass - Tied, stays"/>
    <n v="4.5000001788139343E-2"/>
    <n v="3.0999999046325684"/>
    <n v="2079.9929999999999"/>
  </r>
  <r>
    <x v="3"/>
    <n v="1"/>
    <n v="0"/>
    <x v="0"/>
    <n v="1"/>
    <n v="0"/>
    <n v="174290"/>
    <n v="10398"/>
    <n v="1"/>
    <n v="1920"/>
    <s v="Post and beam"/>
    <x v="1"/>
    <x v="1"/>
    <s v=""/>
    <s v=""/>
    <s v=""/>
    <n v="4.5000001788139343E-2"/>
    <n v="3.0999999046325684"/>
    <n v="6932.7380000000003"/>
  </r>
  <r>
    <x v="3"/>
    <n v="1"/>
    <n v="0"/>
    <x v="0"/>
    <n v="1"/>
    <n v="0"/>
    <n v="105618"/>
    <n v="10701"/>
    <n v="1"/>
    <n v="1874"/>
    <s v="Post and beam"/>
    <x v="0"/>
    <x v="1"/>
    <s v=""/>
    <s v=""/>
    <s v="Fiberglass - Tied, stays"/>
    <n v="4.5000001788139343E-2"/>
    <n v="3.0999999046325684"/>
    <n v="4956.4930000000004"/>
  </r>
  <r>
    <x v="3"/>
    <n v="1"/>
    <n v="0"/>
    <x v="0"/>
    <n v="1"/>
    <n v="1"/>
    <n v="179020"/>
    <n v="22225"/>
    <n v="1"/>
    <n v="1100"/>
    <s v="Post and beam"/>
    <x v="1"/>
    <x v="0"/>
    <s v=""/>
    <s v=""/>
    <s v=""/>
    <n v="4.5000001788139343E-2"/>
    <n v="4.5"/>
    <n v="1925.059"/>
  </r>
  <r>
    <x v="3"/>
    <n v="1"/>
    <n v="0"/>
    <x v="0"/>
    <n v="1"/>
    <n v="0"/>
    <n v="65229"/>
    <n v="24816"/>
    <n v="1"/>
    <n v="1750"/>
    <s v="Joist"/>
    <x v="0"/>
    <x v="0"/>
    <s v=""/>
    <s v=""/>
    <s v="Fiberglass - Tied, stays"/>
    <n v="4.5000001788139343E-2"/>
    <n v="3.0999999046325684"/>
    <n v="2079.9929999999999"/>
  </r>
  <r>
    <x v="3"/>
    <n v="1"/>
    <n v="0"/>
    <x v="0"/>
    <n v="1"/>
    <n v="0"/>
    <n v="174422"/>
    <n v="11154"/>
    <n v="1"/>
    <n v="760"/>
    <s v="Post and beam"/>
    <x v="1"/>
    <x v="1"/>
    <s v=""/>
    <s v=""/>
    <s v=""/>
    <n v="4.5000001788139343E-2"/>
    <n v="3.0999999046325684"/>
    <n v="6932.7380000000003"/>
  </r>
  <r>
    <x v="3"/>
    <n v="1"/>
    <n v="0"/>
    <x v="0"/>
    <n v="1"/>
    <n v="1"/>
    <n v="218974"/>
    <n v="20894"/>
    <n v="1"/>
    <n v="675"/>
    <s v="Joist"/>
    <x v="0"/>
    <x v="0"/>
    <s v=""/>
    <s v=""/>
    <s v=""/>
    <n v="4.5000001788139343E-2"/>
    <n v="4.5"/>
    <n v="2079.9929999999999"/>
  </r>
  <r>
    <x v="3"/>
    <n v="1"/>
    <n v="0"/>
    <x v="0"/>
    <n v="1"/>
    <n v="0"/>
    <n v="114571"/>
    <n v="24689"/>
    <n v="1"/>
    <n v="1308"/>
    <s v="Joist"/>
    <x v="0"/>
    <x v="0"/>
    <s v=""/>
    <s v=""/>
    <s v="Fiberglass - Tied, stays"/>
    <n v="4.5000001788139343E-2"/>
    <n v="3.0999999046325684"/>
    <n v="1904.288"/>
  </r>
  <r>
    <x v="3"/>
    <n v="1"/>
    <n v="0"/>
    <x v="0"/>
    <n v="1"/>
    <n v="1"/>
    <n v="732586"/>
    <n v="24808"/>
    <n v="1"/>
    <n v="138"/>
    <s v="Post and beam"/>
    <x v="1"/>
    <x v="0"/>
    <s v=""/>
    <s v=""/>
    <s v=""/>
    <n v="4.5000001788139343E-2"/>
    <n v="4.5"/>
    <n v="3785.7640000000001"/>
  </r>
  <r>
    <x v="3"/>
    <n v="1"/>
    <n v="0"/>
    <x v="0"/>
    <n v="1"/>
    <n v="0"/>
    <n v="141640"/>
    <n v="23449"/>
    <n v="1"/>
    <n v="1444"/>
    <s v="Post and beam"/>
    <x v="2"/>
    <x v="0"/>
    <s v=""/>
    <s v=""/>
    <s v=""/>
    <n v="4.5000001788139343E-2"/>
    <n v="3.0999999046325684"/>
    <n v="8264.9449999999997"/>
  </r>
  <r>
    <x v="3"/>
    <n v="1"/>
    <n v="0"/>
    <x v="0"/>
    <n v="1"/>
    <n v="0"/>
    <n v="89366"/>
    <n v="11520"/>
    <n v="1"/>
    <n v="1456"/>
    <s v="Post and beam"/>
    <x v="0"/>
    <x v="1"/>
    <s v=""/>
    <s v=""/>
    <s v="Fiberglass - Stapled"/>
    <n v="4.5000001788139343E-2"/>
    <n v="3.0999999046325684"/>
    <n v="2003.7159999999999"/>
  </r>
  <r>
    <x v="3"/>
    <n v="1"/>
    <n v="0"/>
    <x v="0"/>
    <n v="1"/>
    <n v="0"/>
    <n v="92399"/>
    <n v="12630"/>
    <n v="1"/>
    <n v="782"/>
    <s v="Post and beam"/>
    <x v="2"/>
    <x v="0"/>
    <s v=""/>
    <s v=""/>
    <s v="Fiberglass - Tied, stays"/>
    <n v="4.5000001788139343E-2"/>
    <n v="3.0999999046325684"/>
    <n v="2003.7159999999999"/>
  </r>
  <r>
    <x v="3"/>
    <n v="1"/>
    <n v="0"/>
    <x v="0"/>
    <n v="1"/>
    <n v="0"/>
    <n v="91139"/>
    <n v="13141"/>
    <n v="1"/>
    <n v="1296"/>
    <s v="Joist"/>
    <x v="0"/>
    <x v="0"/>
    <s v=""/>
    <s v=""/>
    <s v="Fiberglass - Tied, stays"/>
    <n v="4.5000001788139343E-2"/>
    <n v="3.0999999046325684"/>
    <n v="4956.4930000000004"/>
  </r>
  <r>
    <x v="3"/>
    <n v="1"/>
    <n v="0"/>
    <x v="0"/>
    <n v="1"/>
    <n v="0"/>
    <n v="85736"/>
    <n v="11993"/>
    <n v="1"/>
    <n v="875"/>
    <s v="Post and beam"/>
    <x v="0"/>
    <x v="0"/>
    <s v=""/>
    <s v=""/>
    <s v="Fiberglass - Tied, stays"/>
    <n v="4.5000001788139343E-2"/>
    <n v="3.0999999046325684"/>
    <n v="2003.7159999999999"/>
  </r>
  <r>
    <x v="3"/>
    <n v="1"/>
    <n v="0"/>
    <x v="0"/>
    <n v="1"/>
    <n v="0"/>
    <n v="96234"/>
    <n v="10174"/>
    <n v="1"/>
    <n v="1513"/>
    <s v="Joist"/>
    <x v="3"/>
    <x v="1"/>
    <s v=""/>
    <s v=""/>
    <s v="Fiberglass - Tied, stays"/>
    <n v="4.5000001788139343E-2"/>
    <n v="3.0999999046325684"/>
    <n v="4956.4930000000004"/>
  </r>
  <r>
    <x v="3"/>
    <n v="1"/>
    <n v="1"/>
    <x v="2"/>
    <n v="1"/>
    <n v="1"/>
    <n v="176112"/>
    <n v="23387"/>
    <n v="1"/>
    <n v="1960"/>
    <s v="Joist"/>
    <x v="3"/>
    <x v="1"/>
    <s v=""/>
    <s v=""/>
    <s v=""/>
    <n v="4.5000001788139343E-2"/>
    <n v="8.8000001907348633"/>
    <n v="1144.6790000000001"/>
  </r>
  <r>
    <x v="3"/>
    <n v="1"/>
    <n v="0"/>
    <x v="0"/>
    <n v="1"/>
    <n v="0"/>
    <n v="41982"/>
    <n v="11872"/>
    <n v="1"/>
    <n v="894"/>
    <s v="Joist"/>
    <x v="0"/>
    <x v="1"/>
    <s v=""/>
    <s v="R19 batt"/>
    <s v="Fiberglass - Tied, stays"/>
    <n v="4.5000001788139343E-2"/>
    <n v="3.0999999046325684"/>
    <n v="1524.7619999999999"/>
  </r>
  <r>
    <x v="3"/>
    <n v="1"/>
    <n v="0"/>
    <x v="0"/>
    <n v="1"/>
    <n v="0"/>
    <n v="97430"/>
    <n v="10630"/>
    <n v="2"/>
    <n v="66"/>
    <s v="Joist"/>
    <x v="2"/>
    <x v="0"/>
    <s v=""/>
    <s v="very small addition off main house"/>
    <s v=""/>
    <n v="4.5000001788139343E-2"/>
    <n v="3.0999999046325684"/>
    <n v="4956.4930000000004"/>
  </r>
  <r>
    <x v="3"/>
    <n v="1"/>
    <n v="0"/>
    <x v="0"/>
    <n v="0"/>
    <n v="0"/>
    <n v="27800"/>
    <n v="14078"/>
    <n v="1"/>
    <n v="700"/>
    <s v="Joist"/>
    <x v="0"/>
    <x v="0"/>
    <s v=""/>
    <s v=""/>
    <s v="Fiberglass - Stapled"/>
    <n v="4.5000001788139343E-2"/>
    <n v="5"/>
    <n v="1150.8789999999999"/>
  </r>
  <r>
    <x v="3"/>
    <n v="1"/>
    <n v="1"/>
    <x v="1"/>
    <n v="1"/>
    <n v="0"/>
    <n v="42854"/>
    <n v="11375"/>
    <n v="1"/>
    <n v="384"/>
    <s v="Joist"/>
    <x v="0"/>
    <x v="0"/>
    <s v="Fiberglass - Stapled"/>
    <s v=""/>
    <s v="Fiberglass - Stapled"/>
    <n v="4.5000001788139343E-2"/>
    <n v="4.5"/>
    <n v="1524.7619999999999"/>
  </r>
  <r>
    <x v="3"/>
    <n v="1"/>
    <n v="0"/>
    <x v="0"/>
    <n v="1"/>
    <n v="0"/>
    <n v="783086"/>
    <n v="21684"/>
    <n v="1"/>
    <n v="2211"/>
    <s v="Joist"/>
    <x v="0"/>
    <x v="0"/>
    <s v=""/>
    <s v=""/>
    <s v=""/>
    <n v="4.5000001788139343E-2"/>
    <n v="3.0999999046325684"/>
    <n v="8264.9449999999997"/>
  </r>
  <r>
    <x v="3"/>
    <n v="1"/>
    <n v="0"/>
    <x v="0"/>
    <n v="1"/>
    <n v="0"/>
    <n v="233537"/>
    <n v="20685"/>
    <n v="1"/>
    <n v="1631"/>
    <s v="Post and beam"/>
    <x v="1"/>
    <x v="1"/>
    <s v=""/>
    <s v=""/>
    <s v=""/>
    <n v="4.5000001788139343E-2"/>
    <n v="3.0999999046325684"/>
    <n v="3785.7640000000001"/>
  </r>
  <r>
    <x v="3"/>
    <n v="1"/>
    <n v="0"/>
    <x v="0"/>
    <n v="1"/>
    <n v="0"/>
    <n v="803121"/>
    <n v="14143"/>
    <n v="1"/>
    <n v="1152"/>
    <s v="Joist"/>
    <x v="2"/>
    <x v="0"/>
    <s v=""/>
    <s v=""/>
    <s v=""/>
    <n v="4.5000001788139343E-2"/>
    <n v="3.0999999046325684"/>
    <n v="1464.694"/>
  </r>
  <r>
    <x v="3"/>
    <n v="1"/>
    <n v="0"/>
    <x v="0"/>
    <n v="1"/>
    <n v="0"/>
    <n v="199742"/>
    <n v="12213"/>
    <n v="1"/>
    <n v="736"/>
    <s v="Post and beam"/>
    <x v="1"/>
    <x v="0"/>
    <s v=""/>
    <s v=""/>
    <s v=""/>
    <n v="4.5000001788139343E-2"/>
    <n v="3.0999999046325684"/>
    <n v="1464.694"/>
  </r>
  <r>
    <x v="3"/>
    <n v="1"/>
    <n v="0"/>
    <x v="0"/>
    <n v="0"/>
    <n v="0"/>
    <n v="107634"/>
    <n v="24033"/>
    <n v="1"/>
    <n v="700"/>
    <s v="Joist"/>
    <x v="0"/>
    <x v="0"/>
    <s v=""/>
    <s v=""/>
    <s v="Fiberglass - Tied, stays"/>
    <n v="4.5000001788139343E-2"/>
    <n v="5"/>
    <n v="2079.9929999999999"/>
  </r>
  <r>
    <x v="3"/>
    <n v="1"/>
    <n v="0"/>
    <x v="0"/>
    <n v="1"/>
    <n v="0"/>
    <n v="199078"/>
    <n v="21914"/>
    <n v="1"/>
    <n v="4190"/>
    <s v="Joist"/>
    <x v="4"/>
    <x v="1"/>
    <s v=""/>
    <s v=""/>
    <s v=""/>
    <n v="4.5000001788139343E-2"/>
    <n v="3.0999999046325684"/>
    <n v="1612.692"/>
  </r>
  <r>
    <x v="3"/>
    <n v="1"/>
    <n v="0"/>
    <x v="0"/>
    <n v="1"/>
    <n v="0"/>
    <n v="115949"/>
    <n v="13505"/>
    <n v="1"/>
    <n v="790"/>
    <s v="Joist"/>
    <x v="0"/>
    <x v="0"/>
    <s v=""/>
    <s v=""/>
    <s v="Fiberglass - Tied, stays"/>
    <n v="4.5000001788139343E-2"/>
    <n v="3.0999999046325684"/>
    <n v="1464.694"/>
  </r>
  <r>
    <x v="3"/>
    <n v="1"/>
    <n v="0"/>
    <x v="0"/>
    <n v="1"/>
    <n v="1"/>
    <n v="42236"/>
    <n v="20166"/>
    <n v="1"/>
    <n v="1843"/>
    <s v="Joist"/>
    <x v="2"/>
    <x v="0"/>
    <s v=""/>
    <s v=""/>
    <s v="Fiberglass - Tied, stays"/>
    <n v="4.5000001788139343E-2"/>
    <n v="4.5"/>
    <n v="2079.9929999999999"/>
  </r>
  <r>
    <x v="3"/>
    <n v="1"/>
    <n v="1"/>
    <x v="3"/>
    <n v="1"/>
    <n v="0"/>
    <n v="72110"/>
    <n v="20430"/>
    <n v="1"/>
    <n v="1404"/>
    <s v="Post and beam"/>
    <x v="0"/>
    <x v="1"/>
    <s v="Fiberglass - Tied, stays"/>
    <s v=""/>
    <s v="Fiberglass - Tied, stays"/>
    <n v="4.5000001788139343E-2"/>
    <n v="3.9000000953674316"/>
    <n v="2079.9929999999999"/>
  </r>
  <r>
    <x v="3"/>
    <n v="1"/>
    <n v="0"/>
    <x v="0"/>
    <n v="1"/>
    <n v="0"/>
    <n v="67925"/>
    <n v="21720"/>
    <n v="1"/>
    <n v="1450"/>
    <s v="Post and beam"/>
    <x v="2"/>
    <x v="0"/>
    <s v=""/>
    <s v=""/>
    <s v="Fiberglass - Tied, stays"/>
    <n v="4.5000001788139343E-2"/>
    <n v="3.0999999046325684"/>
    <n v="3785.7640000000001"/>
  </r>
  <r>
    <x v="3"/>
    <n v="1"/>
    <n v="0"/>
    <x v="0"/>
    <n v="1"/>
    <n v="0"/>
    <n v="217174"/>
    <n v="12183"/>
    <n v="1"/>
    <n v="634"/>
    <s v="Joist"/>
    <x v="3"/>
    <x v="1"/>
    <s v=""/>
    <s v=""/>
    <s v=""/>
    <n v="4.5000001788139343E-2"/>
    <n v="3.0999999046325684"/>
    <n v="4956.4930000000004"/>
  </r>
  <r>
    <x v="3"/>
    <n v="1"/>
    <n v="0"/>
    <x v="0"/>
    <n v="1"/>
    <n v="0"/>
    <n v="186470"/>
    <n v="12643"/>
    <n v="1"/>
    <n v="135"/>
    <s v="Joist"/>
    <x v="0"/>
    <x v="0"/>
    <s v=""/>
    <s v=""/>
    <s v=""/>
    <n v="4.5000001788139343E-2"/>
    <n v="3.0999999046325684"/>
    <n v="6932.7380000000003"/>
  </r>
  <r>
    <x v="3"/>
    <n v="1"/>
    <n v="0"/>
    <x v="0"/>
    <n v="1"/>
    <n v="0"/>
    <n v="72606"/>
    <n v="11119"/>
    <n v="1"/>
    <n v="1580"/>
    <s v="Joist"/>
    <x v="2"/>
    <x v="0"/>
    <s v=""/>
    <s v=""/>
    <s v="Fiberglass - Tied, stays"/>
    <n v="4.5000001788139343E-2"/>
    <n v="3.0999999046325684"/>
    <n v="2003.7159999999999"/>
  </r>
  <r>
    <x v="3"/>
    <n v="1"/>
    <n v="0"/>
    <x v="0"/>
    <n v="1"/>
    <n v="0"/>
    <n v="135842"/>
    <n v="10699"/>
    <n v="1"/>
    <n v="1134"/>
    <s v="Post and beam"/>
    <x v="1"/>
    <x v="1"/>
    <s v=""/>
    <s v=""/>
    <s v=""/>
    <n v="4.5000001788139343E-2"/>
    <n v="3.0999999046325684"/>
    <n v="6932.7380000000003"/>
  </r>
  <r>
    <x v="3"/>
    <n v="1"/>
    <n v="0"/>
    <x v="0"/>
    <n v="1"/>
    <n v="1"/>
    <n v="226274"/>
    <n v="22052"/>
    <n v="1"/>
    <n v="1495"/>
    <s v="Joist"/>
    <x v="3"/>
    <x v="1"/>
    <s v=""/>
    <s v=""/>
    <s v=""/>
    <n v="4.5000001788139343E-2"/>
    <n v="4.5"/>
    <n v="1904.288"/>
  </r>
  <r>
    <x v="3"/>
    <n v="1"/>
    <n v="1"/>
    <x v="2"/>
    <n v="1"/>
    <n v="0"/>
    <n v="98820"/>
    <n v="11194"/>
    <n v="1"/>
    <n v="1664"/>
    <s v="Post and beam"/>
    <x v="0"/>
    <x v="0"/>
    <s v="Spray Foam"/>
    <s v=""/>
    <s v="Fiberglass - Tied, stays"/>
    <n v="4.5000001788139343E-2"/>
    <n v="4.5999999046325684"/>
    <n v="4956.4930000000004"/>
  </r>
  <r>
    <x v="3"/>
    <n v="1"/>
    <n v="0"/>
    <x v="0"/>
    <n v="1"/>
    <n v="0"/>
    <n v="84885"/>
    <n v="12621"/>
    <n v="1"/>
    <n v="1700"/>
    <s v="Joist"/>
    <x v="0"/>
    <x v="0"/>
    <s v=""/>
    <s v=""/>
    <s v="Fiberglass - Tied, stays"/>
    <n v="4.5000001788139343E-2"/>
    <n v="3.0999999046325684"/>
    <n v="2003.7159999999999"/>
  </r>
  <r>
    <x v="3"/>
    <n v="1"/>
    <n v="0"/>
    <x v="0"/>
    <n v="1"/>
    <n v="0"/>
    <n v="204713"/>
    <n v="10911"/>
    <n v="1"/>
    <n v="843"/>
    <s v="Joist"/>
    <x v="2"/>
    <x v="0"/>
    <s v=""/>
    <s v=""/>
    <s v=""/>
    <n v="4.5000001788139343E-2"/>
    <n v="3.0999999046325684"/>
    <n v="1464.694"/>
  </r>
  <r>
    <x v="3"/>
    <n v="1"/>
    <n v="0"/>
    <x v="0"/>
    <n v="1"/>
    <n v="0"/>
    <n v="223381"/>
    <n v="13867"/>
    <n v="1"/>
    <n v="2619"/>
    <s v="Post and beam"/>
    <x v="1"/>
    <x v="1"/>
    <s v=""/>
    <s v=""/>
    <s v=""/>
    <n v="4.5000001788139343E-2"/>
    <n v="3.0999999046325684"/>
    <n v="1464.694"/>
  </r>
  <r>
    <x v="3"/>
    <n v="1"/>
    <n v="0"/>
    <x v="0"/>
    <n v="1"/>
    <n v="0"/>
    <n v="213866"/>
    <n v="12675"/>
    <n v="1"/>
    <n v="920"/>
    <s v="Joist"/>
    <x v="2"/>
    <x v="0"/>
    <s v=""/>
    <s v=""/>
    <s v=""/>
    <n v="4.5000001788139343E-2"/>
    <n v="3.0999999046325684"/>
    <n v="1464.694"/>
  </r>
  <r>
    <x v="3"/>
    <n v="1"/>
    <n v="0"/>
    <x v="0"/>
    <n v="0"/>
    <m/>
    <n v="193919"/>
    <n v="21419"/>
    <n v="1"/>
    <n v="1008"/>
    <s v="Joist"/>
    <x v="0"/>
    <x v="0"/>
    <s v=""/>
    <s v=""/>
    <s v=""/>
    <n v="4.5000001788139343E-2"/>
    <n v="5"/>
    <n v="2130.886"/>
  </r>
  <r>
    <x v="3"/>
    <n v="1"/>
    <n v="0"/>
    <x v="0"/>
    <n v="1"/>
    <n v="1"/>
    <n v="80261"/>
    <n v="24151"/>
    <n v="1"/>
    <n v="814"/>
    <s v="Post and beam"/>
    <x v="0"/>
    <x v="1"/>
    <s v=""/>
    <s v=""/>
    <s v="Fiberglass - Stapled"/>
    <n v="4.5000001788139343E-2"/>
    <n v="4.5"/>
    <n v="1925.059"/>
  </r>
  <r>
    <x v="3"/>
    <n v="1"/>
    <n v="0"/>
    <x v="0"/>
    <n v="0"/>
    <m/>
    <n v="206960"/>
    <n v="11774"/>
    <n v="1"/>
    <n v="684"/>
    <s v="Joist"/>
    <x v="0"/>
    <x v="0"/>
    <s v=""/>
    <s v=""/>
    <s v=""/>
    <n v="4.5000001788139343E-2"/>
    <n v="5"/>
    <n v="6932.7380000000003"/>
  </r>
  <r>
    <x v="3"/>
    <n v="1"/>
    <n v="0"/>
    <x v="0"/>
    <n v="1"/>
    <n v="0"/>
    <n v="81481"/>
    <n v="20414"/>
    <n v="1"/>
    <n v="900"/>
    <s v="Joist"/>
    <x v="0"/>
    <x v="0"/>
    <s v=""/>
    <s v=""/>
    <s v="Fiberglass - Tied, stays"/>
    <n v="4.5000001788139343E-2"/>
    <n v="3.0999999046325684"/>
    <n v="2079.9929999999999"/>
  </r>
  <r>
    <x v="3"/>
    <n v="1"/>
    <n v="1"/>
    <x v="2"/>
    <n v="0"/>
    <n v="0"/>
    <n v="36761"/>
    <n v="22445"/>
    <n v="1"/>
    <n v="1800"/>
    <s v="Post and beam"/>
    <x v="0"/>
    <x v="0"/>
    <s v="Rigid"/>
    <s v=""/>
    <s v="Fiberglass - Tied, stays"/>
    <n v="4.5000001788139343E-2"/>
    <n v="10.699999809265137"/>
    <n v="12271.31"/>
  </r>
  <r>
    <x v="3"/>
    <n v="1"/>
    <n v="0"/>
    <x v="0"/>
    <n v="1"/>
    <n v="0"/>
    <n v="39983"/>
    <n v="13293"/>
    <n v="1"/>
    <n v="1582"/>
    <s v="Joist"/>
    <x v="0"/>
    <x v="0"/>
    <s v=""/>
    <s v=""/>
    <s v="Fiberglass - Stapled"/>
    <n v="4.5000001788139343E-2"/>
    <n v="3.0999999046325684"/>
    <n v="1188.027"/>
  </r>
  <r>
    <x v="3"/>
    <n v="1"/>
    <n v="0"/>
    <x v="0"/>
    <n v="0"/>
    <n v="0"/>
    <n v="110254"/>
    <n v="21703"/>
    <n v="1"/>
    <n v="1308"/>
    <s v="Joist"/>
    <x v="0"/>
    <x v="0"/>
    <s v=""/>
    <s v=""/>
    <s v="Fiberglass - Tied, stays"/>
    <n v="4.5000001788139343E-2"/>
    <n v="5"/>
    <n v="1904.288"/>
  </r>
  <r>
    <x v="3"/>
    <n v="1"/>
    <n v="0"/>
    <x v="0"/>
    <n v="1"/>
    <n v="0"/>
    <n v="240012"/>
    <n v="22576"/>
    <n v="1"/>
    <n v="1319"/>
    <s v="Joist"/>
    <x v="3"/>
    <x v="0"/>
    <s v=""/>
    <s v=""/>
    <s v=""/>
    <n v="4.5000001788139343E-2"/>
    <n v="3.0999999046325684"/>
    <n v="2079.9929999999999"/>
  </r>
  <r>
    <x v="3"/>
    <n v="1"/>
    <n v="0"/>
    <x v="0"/>
    <n v="1"/>
    <n v="0"/>
    <n v="691695"/>
    <n v="22413"/>
    <n v="1"/>
    <n v="497"/>
    <s v="Joist"/>
    <x v="3"/>
    <x v="1"/>
    <s v=""/>
    <s v=""/>
    <s v=""/>
    <n v="4.5000001788139343E-2"/>
    <n v="3.0999999046325684"/>
    <n v="3785.7640000000001"/>
  </r>
  <r>
    <x v="3"/>
    <n v="1"/>
    <n v="0"/>
    <x v="0"/>
    <n v="1"/>
    <n v="0"/>
    <n v="99347"/>
    <n v="11933"/>
    <n v="1"/>
    <n v="580"/>
    <s v="Joist"/>
    <x v="0"/>
    <x v="0"/>
    <s v=""/>
    <s v=""/>
    <s v="Fiberglass - Tied, stays"/>
    <n v="4.5000001788139343E-2"/>
    <n v="3.0999999046325684"/>
    <n v="2003.7159999999999"/>
  </r>
  <r>
    <x v="3"/>
    <n v="1"/>
    <n v="0"/>
    <x v="0"/>
    <n v="0"/>
    <m/>
    <n v="38948"/>
    <n v="10413"/>
    <n v="1"/>
    <n v="795"/>
    <s v="Joist"/>
    <x v="3"/>
    <x v="1"/>
    <s v=""/>
    <s v=""/>
    <s v="Fiberglass - Tied, stays"/>
    <n v="4.5000001788139343E-2"/>
    <n v="5"/>
    <n v="1524.7619999999999"/>
  </r>
  <r>
    <x v="3"/>
    <n v="1"/>
    <n v="0"/>
    <x v="0"/>
    <n v="0"/>
    <n v="0"/>
    <n v="125182"/>
    <n v="20457"/>
    <n v="1"/>
    <n v="2200"/>
    <s v="Post and beam"/>
    <x v="0"/>
    <x v="0"/>
    <s v=""/>
    <s v=""/>
    <s v="Fiberglass - Tied, stays"/>
    <n v="4.5000001788139343E-2"/>
    <n v="5"/>
    <n v="1612.692"/>
  </r>
  <r>
    <x v="3"/>
    <n v="1"/>
    <n v="0"/>
    <x v="0"/>
    <n v="1"/>
    <n v="0"/>
    <n v="29163"/>
    <n v="13871"/>
    <n v="1"/>
    <n v="2222"/>
    <s v="Post and beam"/>
    <x v="2"/>
    <x v="0"/>
    <s v=""/>
    <s v=""/>
    <s v="Fiberglass - Tied, stays"/>
    <n v="4.5000001788139343E-2"/>
    <n v="3.0999999046325684"/>
    <n v="1150.8789999999999"/>
  </r>
  <r>
    <x v="3"/>
    <n v="1"/>
    <n v="0"/>
    <x v="0"/>
    <n v="1"/>
    <n v="0"/>
    <n v="666815"/>
    <n v="14331"/>
    <n v="1"/>
    <n v="1408"/>
    <s v="Post and beam"/>
    <x v="1"/>
    <x v="0"/>
    <s v=""/>
    <s v=""/>
    <s v=""/>
    <n v="4.5000001788139343E-2"/>
    <n v="3.0999999046325684"/>
    <n v="6932.7380000000003"/>
  </r>
  <r>
    <x v="3"/>
    <n v="1"/>
    <n v="0"/>
    <x v="0"/>
    <n v="1"/>
    <n v="0"/>
    <n v="137646"/>
    <n v="12773"/>
    <n v="1"/>
    <n v="1150"/>
    <s v="Joist"/>
    <x v="2"/>
    <x v="0"/>
    <s v=""/>
    <s v=""/>
    <s v=""/>
    <n v="4.5000001788139343E-2"/>
    <n v="3.0999999046325684"/>
    <n v="4956.4930000000004"/>
  </r>
  <r>
    <x v="3"/>
    <n v="1"/>
    <n v="0"/>
    <x v="0"/>
    <n v="1"/>
    <n v="0"/>
    <n v="62277"/>
    <n v="11416"/>
    <n v="1"/>
    <n v="1140"/>
    <s v="Joist"/>
    <x v="3"/>
    <x v="0"/>
    <s v=""/>
    <s v=""/>
    <s v="Fiberglass - Tied, stays"/>
    <n v="4.5000001788139343E-2"/>
    <n v="3.0999999046325684"/>
    <n v="2003.7159999999999"/>
  </r>
  <r>
    <x v="3"/>
    <n v="1"/>
    <n v="0"/>
    <x v="0"/>
    <n v="1"/>
    <n v="0"/>
    <n v="142538"/>
    <n v="20184"/>
    <n v="1"/>
    <n v="725"/>
    <s v="Joist"/>
    <x v="2"/>
    <x v="0"/>
    <s v=""/>
    <s v=""/>
    <s v=""/>
    <n v="4.5000001788139343E-2"/>
    <n v="3.0999999046325684"/>
    <n v="1612.692"/>
  </r>
  <r>
    <x v="3"/>
    <n v="1"/>
    <n v="0"/>
    <x v="0"/>
    <n v="1"/>
    <n v="0"/>
    <n v="129691"/>
    <n v="12745"/>
    <n v="1"/>
    <n v="900"/>
    <s v="Joist"/>
    <x v="0"/>
    <x v="0"/>
    <s v=""/>
    <s v=""/>
    <s v=""/>
    <n v="4.5000001788139343E-2"/>
    <n v="3.0999999046325684"/>
    <n v="1524.7619999999999"/>
  </r>
  <r>
    <x v="3"/>
    <n v="1"/>
    <n v="0"/>
    <x v="0"/>
    <n v="0"/>
    <m/>
    <n v="239692"/>
    <n v="23879"/>
    <n v="1"/>
    <n v="952"/>
    <s v="Joist"/>
    <x v="3"/>
    <x v="0"/>
    <s v=""/>
    <s v=""/>
    <s v=""/>
    <n v="4.5000001788139343E-2"/>
    <n v="5"/>
    <n v="2079.9929999999999"/>
  </r>
  <r>
    <x v="3"/>
    <n v="1"/>
    <n v="0"/>
    <x v="0"/>
    <n v="0"/>
    <m/>
    <n v="193038"/>
    <n v="20632"/>
    <n v="1"/>
    <n v="2400"/>
    <s v="Post and beam"/>
    <x v="1"/>
    <x v="0"/>
    <s v=""/>
    <s v=""/>
    <s v=""/>
    <n v="4.5000001788139343E-2"/>
    <n v="5"/>
    <n v="1192.4649999999999"/>
  </r>
  <r>
    <x v="3"/>
    <n v="1"/>
    <n v="0"/>
    <x v="0"/>
    <n v="1"/>
    <n v="1"/>
    <n v="690509"/>
    <n v="20433"/>
    <n v="1"/>
    <n v="1553"/>
    <s v="Post and beam"/>
    <x v="1"/>
    <x v="0"/>
    <s v=""/>
    <s v=""/>
    <s v=""/>
    <n v="4.5000001788139343E-2"/>
    <n v="4.5"/>
    <n v="1612.692"/>
  </r>
  <r>
    <x v="3"/>
    <n v="1"/>
    <n v="0"/>
    <x v="0"/>
    <n v="1"/>
    <n v="0"/>
    <n v="231292"/>
    <n v="12146"/>
    <n v="1"/>
    <n v="1496"/>
    <s v="Joist"/>
    <x v="3"/>
    <x v="0"/>
    <s v=""/>
    <s v=""/>
    <s v=""/>
    <n v="4.5000001788139343E-2"/>
    <n v="3.0999999046325684"/>
    <n v="1464.694"/>
  </r>
  <r>
    <x v="3"/>
    <n v="1"/>
    <n v="0"/>
    <x v="0"/>
    <n v="0"/>
    <m/>
    <n v="169821"/>
    <n v="23788"/>
    <n v="1"/>
    <n v="1004"/>
    <s v="Joist"/>
    <x v="2"/>
    <x v="0"/>
    <s v=""/>
    <s v=""/>
    <s v=""/>
    <n v="4.5000001788139343E-2"/>
    <n v="5"/>
    <n v="1192.4649999999999"/>
  </r>
  <r>
    <x v="3"/>
    <n v="1"/>
    <n v="0"/>
    <x v="0"/>
    <n v="1"/>
    <n v="0"/>
    <n v="77646"/>
    <n v="10319"/>
    <n v="1"/>
    <n v="350"/>
    <s v="Joist"/>
    <x v="2"/>
    <x v="0"/>
    <s v=""/>
    <s v=""/>
    <s v="Fiberglass - Tied, stays"/>
    <n v="4.5000001788139343E-2"/>
    <n v="3.0999999046325684"/>
    <n v="2003.7159999999999"/>
  </r>
  <r>
    <x v="3"/>
    <n v="1"/>
    <n v="0"/>
    <x v="0"/>
    <n v="1"/>
    <n v="0"/>
    <n v="239393"/>
    <n v="23368"/>
    <n v="1"/>
    <n v="1243"/>
    <s v="Joist"/>
    <x v="0"/>
    <x v="0"/>
    <s v=""/>
    <s v=""/>
    <s v=""/>
    <n v="4.5000001788139343E-2"/>
    <n v="3.0999999046325684"/>
    <n v="1612.692"/>
  </r>
  <r>
    <x v="3"/>
    <n v="1"/>
    <n v="0"/>
    <x v="0"/>
    <n v="1"/>
    <n v="0"/>
    <n v="65814"/>
    <n v="12108"/>
    <n v="1"/>
    <n v="1200"/>
    <s v="Joist"/>
    <x v="0"/>
    <x v="0"/>
    <s v=""/>
    <s v=""/>
    <s v="Fiberglass - Tied, stays"/>
    <n v="4.5000001788139343E-2"/>
    <n v="3.0999999046325684"/>
    <n v="1524.7619999999999"/>
  </r>
  <r>
    <x v="3"/>
    <n v="1"/>
    <n v="0"/>
    <x v="0"/>
    <n v="1"/>
    <n v="0"/>
    <n v="133427"/>
    <n v="20245"/>
    <n v="1"/>
    <n v="380"/>
    <s v="Joist"/>
    <x v="0"/>
    <x v="0"/>
    <s v=""/>
    <s v=""/>
    <s v="Rigid"/>
    <n v="4.5000001788139343E-2"/>
    <n v="3.0999999046325684"/>
    <n v="2079.9929999999999"/>
  </r>
  <r>
    <x v="3"/>
    <n v="1"/>
    <n v="1"/>
    <x v="1"/>
    <n v="1"/>
    <n v="0"/>
    <n v="106293"/>
    <n v="20688"/>
    <n v="1"/>
    <n v="1360"/>
    <s v="Joist"/>
    <x v="3"/>
    <x v="0"/>
    <s v="Fiberglass - Tied, stays"/>
    <s v=""/>
    <s v="Fiberglass - Tied, stays"/>
    <n v="4.5000001788139343E-2"/>
    <n v="4.5"/>
    <n v="3785.7640000000001"/>
  </r>
  <r>
    <x v="3"/>
    <n v="1"/>
    <n v="0"/>
    <x v="0"/>
    <n v="1"/>
    <n v="0"/>
    <n v="227000"/>
    <n v="11925"/>
    <n v="1"/>
    <n v="1994"/>
    <s v="Joist"/>
    <x v="0"/>
    <x v="0"/>
    <s v=""/>
    <s v=""/>
    <s v=""/>
    <n v="4.5000001788139343E-2"/>
    <n v="3.0999999046325684"/>
    <n v="4956.4930000000004"/>
  </r>
  <r>
    <x v="3"/>
    <n v="1"/>
    <n v="0"/>
    <x v="0"/>
    <n v="1"/>
    <n v="0"/>
    <n v="153592"/>
    <n v="24221"/>
    <n v="1"/>
    <n v="2060"/>
    <s v="Joist"/>
    <x v="0"/>
    <x v="0"/>
    <s v=""/>
    <s v=""/>
    <s v=""/>
    <n v="4.5000001788139343E-2"/>
    <n v="3.0999999046325684"/>
    <n v="1192.4649999999999"/>
  </r>
  <r>
    <x v="3"/>
    <n v="1"/>
    <n v="0"/>
    <x v="0"/>
    <n v="1"/>
    <n v="1"/>
    <n v="199232"/>
    <n v="11349"/>
    <n v="1"/>
    <n v="784"/>
    <s v="Joist"/>
    <x v="0"/>
    <x v="0"/>
    <s v=""/>
    <s v=""/>
    <s v=""/>
    <n v="4.5000001788139343E-2"/>
    <n v="4.5"/>
    <n v="4956.4930000000004"/>
  </r>
  <r>
    <x v="3"/>
    <n v="1"/>
    <n v="1"/>
    <x v="1"/>
    <n v="1"/>
    <n v="0"/>
    <n v="33436"/>
    <n v="20058"/>
    <n v="1"/>
    <n v="1080"/>
    <s v="Joist"/>
    <x v="3"/>
    <x v="1"/>
    <s v="Rigid"/>
    <s v=""/>
    <s v="Fiberglass - Stapled"/>
    <n v="4.5000001788139343E-2"/>
    <n v="4.5"/>
    <n v="3785.7640000000001"/>
  </r>
  <r>
    <x v="3"/>
    <n v="1"/>
    <n v="0"/>
    <x v="0"/>
    <n v="1"/>
    <n v="0"/>
    <n v="676222"/>
    <n v="10055"/>
    <n v="1"/>
    <n v="2043"/>
    <s v="Joist"/>
    <x v="2"/>
    <x v="0"/>
    <s v=""/>
    <s v=""/>
    <s v=""/>
    <n v="4.5000001788139343E-2"/>
    <n v="3.0999999046325684"/>
    <n v="4956.4930000000004"/>
  </r>
  <r>
    <x v="3"/>
    <n v="1"/>
    <n v="0"/>
    <x v="0"/>
    <n v="1"/>
    <n v="0"/>
    <n v="215680"/>
    <n v="22982"/>
    <n v="1"/>
    <n v="1220"/>
    <s v="Post and beam"/>
    <x v="1"/>
    <x v="1"/>
    <s v=""/>
    <s v=""/>
    <s v=""/>
    <n v="4.5000001788139343E-2"/>
    <n v="3.0999999046325684"/>
    <n v="2079.9929999999999"/>
  </r>
  <r>
    <x v="3"/>
    <n v="1"/>
    <n v="0"/>
    <x v="0"/>
    <n v="1"/>
    <n v="0"/>
    <n v="60853"/>
    <n v="20287"/>
    <n v="1"/>
    <n v="2077"/>
    <s v="Post and beam"/>
    <x v="0"/>
    <x v="1"/>
    <s v=""/>
    <s v=""/>
    <s v="Fiberglass - Stapled"/>
    <n v="4.5000001788139343E-2"/>
    <n v="3.0999999046325684"/>
    <n v="2079.9929999999999"/>
  </r>
  <r>
    <x v="3"/>
    <n v="1"/>
    <n v="0"/>
    <x v="0"/>
    <n v="1"/>
    <n v="0"/>
    <n v="43987"/>
    <n v="10096"/>
    <n v="1"/>
    <n v="1664"/>
    <s v="Joist"/>
    <x v="2"/>
    <x v="0"/>
    <s v=""/>
    <s v=""/>
    <s v="Fiberglass - Tied, stays"/>
    <n v="4.5000001788139343E-2"/>
    <n v="3.0999999046325684"/>
    <n v="1188.027"/>
  </r>
  <r>
    <x v="3"/>
    <n v="1"/>
    <n v="0"/>
    <x v="0"/>
    <n v="1"/>
    <n v="0"/>
    <n v="154476"/>
    <n v="22985"/>
    <n v="1"/>
    <n v="2400"/>
    <s v="Post and beam"/>
    <x v="1"/>
    <x v="0"/>
    <s v=""/>
    <s v=""/>
    <s v=""/>
    <n v="4.5000001788139343E-2"/>
    <n v="3.0999999046325684"/>
    <n v="6932.7380000000003"/>
  </r>
  <r>
    <x v="4"/>
    <n v="0.75"/>
    <n v="0"/>
    <x v="0"/>
    <n v="0"/>
    <m/>
    <n v="212301"/>
    <n v="20516"/>
    <n v="1"/>
    <n v="1300"/>
    <s v="Post and beam"/>
    <x v="3"/>
    <x v="0"/>
    <s v=""/>
    <s v=""/>
    <s v=""/>
    <n v="8.5000000894069672E-2"/>
    <n v="5"/>
    <n v="2079.9929999999999"/>
  </r>
  <r>
    <x v="4"/>
    <n v="0.75"/>
    <n v="1"/>
    <x v="3"/>
    <n v="1"/>
    <n v="1"/>
    <n v="96480"/>
    <n v="22233"/>
    <n v="1"/>
    <n v="1728"/>
    <s v="Joist"/>
    <x v="2"/>
    <x v="0"/>
    <s v="Fiberglass - Tied, stays"/>
    <s v=""/>
    <s v="Fiberglass - Tied, stays"/>
    <n v="8.5000000894069672E-2"/>
    <n v="7.5999999046325684"/>
    <n v="1925.059"/>
  </r>
  <r>
    <x v="4"/>
    <n v="0.75"/>
    <n v="0"/>
    <x v="0"/>
    <n v="1"/>
    <n v="0"/>
    <n v="121288"/>
    <n v="24790"/>
    <n v="1"/>
    <n v="1435"/>
    <s v="Post and beam"/>
    <x v="0"/>
    <x v="1"/>
    <s v=""/>
    <s v=""/>
    <s v="Fiberglass - Stapled"/>
    <n v="8.5000000894069672E-2"/>
    <n v="3.0999999046325684"/>
    <n v="2079.9929999999999"/>
  </r>
  <r>
    <x v="4"/>
    <n v="0.75"/>
    <n v="0"/>
    <x v="0"/>
    <n v="1"/>
    <n v="0"/>
    <n v="43538"/>
    <n v="13746"/>
    <n v="1"/>
    <n v="600"/>
    <s v="Joist"/>
    <x v="0"/>
    <x v="0"/>
    <s v=""/>
    <s v=""/>
    <s v="Fiberglass - Tied, stays"/>
    <n v="8.5000000894069672E-2"/>
    <n v="3.0999999046325684"/>
    <n v="1188.027"/>
  </r>
  <r>
    <x v="4"/>
    <n v="0.75"/>
    <n v="0"/>
    <x v="0"/>
    <n v="1"/>
    <n v="0"/>
    <n v="96677"/>
    <n v="12266"/>
    <n v="1"/>
    <n v="977"/>
    <s v="Joist"/>
    <x v="0"/>
    <x v="1"/>
    <s v=""/>
    <s v=""/>
    <s v="Fiberglass - Tied, stays"/>
    <n v="8.5000000894069672E-2"/>
    <n v="3.0999999046325684"/>
    <n v="4956.4930000000004"/>
  </r>
  <r>
    <x v="4"/>
    <n v="0.75"/>
    <n v="0"/>
    <x v="0"/>
    <n v="1"/>
    <n v="0"/>
    <n v="202228"/>
    <n v="20156"/>
    <n v="1"/>
    <n v="691"/>
    <s v="Joist"/>
    <x v="0"/>
    <x v="0"/>
    <s v=""/>
    <s v=""/>
    <s v=""/>
    <n v="8.5000000894069672E-2"/>
    <n v="3.0999999046325684"/>
    <n v="1612.692"/>
  </r>
  <r>
    <x v="4"/>
    <n v="0.75"/>
    <n v="0"/>
    <x v="0"/>
    <n v="1"/>
    <n v="0"/>
    <n v="66530"/>
    <n v="12724"/>
    <n v="1"/>
    <n v="2807"/>
    <s v="Post and beam"/>
    <x v="3"/>
    <x v="1"/>
    <s v=""/>
    <s v=""/>
    <s v="Fiberglass - Stapled"/>
    <n v="8.5000000894069672E-2"/>
    <n v="3.0999999046325684"/>
    <n v="2003.7159999999999"/>
  </r>
  <r>
    <x v="4"/>
    <n v="0.75"/>
    <n v="0"/>
    <x v="0"/>
    <n v="1"/>
    <n v="0"/>
    <n v="45107"/>
    <n v="14129"/>
    <n v="1"/>
    <n v="780"/>
    <s v="Joist"/>
    <x v="3"/>
    <x v="1"/>
    <s v=""/>
    <s v=""/>
    <s v="Fiberglass - Tied, stays"/>
    <n v="8.5000000894069672E-2"/>
    <n v="3.0999999046325684"/>
    <n v="1188.027"/>
  </r>
  <r>
    <x v="4"/>
    <n v="0.75"/>
    <n v="0"/>
    <x v="0"/>
    <n v="1"/>
    <n v="0"/>
    <n v="36873"/>
    <n v="12376"/>
    <n v="1"/>
    <n v="1000"/>
    <s v="Joist"/>
    <x v="3"/>
    <x v="0"/>
    <s v="Fiberglass - Stapled"/>
    <s v=""/>
    <s v="Fiberglass - Stapled"/>
    <n v="8.5000000894069672E-2"/>
    <n v="3.0999999046325684"/>
    <n v="1188.027"/>
  </r>
  <r>
    <x v="4"/>
    <n v="0.9"/>
    <n v="0"/>
    <x v="0"/>
    <n v="1"/>
    <n v="0"/>
    <n v="136353"/>
    <n v="20274"/>
    <n v="1"/>
    <n v="1680"/>
    <s v="Post and beam"/>
    <x v="1"/>
    <x v="1"/>
    <s v=""/>
    <s v=""/>
    <s v=""/>
    <n v="5.9999998658895493E-2"/>
    <n v="3.0999999046325684"/>
    <n v="1612.692"/>
  </r>
  <r>
    <x v="4"/>
    <n v="0.9"/>
    <n v="0"/>
    <x v="0"/>
    <n v="1"/>
    <n v="0"/>
    <n v="179983"/>
    <n v="22671"/>
    <n v="1"/>
    <n v="1267"/>
    <s v="Post and beam"/>
    <x v="1"/>
    <x v="0"/>
    <s v=""/>
    <s v=""/>
    <s v=""/>
    <n v="5.9999998658895493E-2"/>
    <n v="3.0999999046325684"/>
    <n v="1612.692"/>
  </r>
  <r>
    <x v="4"/>
    <n v="0.9"/>
    <n v="0"/>
    <x v="0"/>
    <n v="1"/>
    <n v="0"/>
    <n v="209484"/>
    <n v="10244"/>
    <n v="1"/>
    <n v="494"/>
    <s v="Post and beam"/>
    <x v="1"/>
    <x v="0"/>
    <s v=""/>
    <s v=""/>
    <s v=""/>
    <n v="5.9999998658895493E-2"/>
    <n v="3.0999999046325684"/>
    <n v="6932.7380000000003"/>
  </r>
  <r>
    <x v="4"/>
    <n v="0.9"/>
    <n v="0"/>
    <x v="0"/>
    <n v="1"/>
    <n v="0"/>
    <n v="110795"/>
    <n v="21578"/>
    <n v="1"/>
    <n v="1600"/>
    <s v="Joist"/>
    <x v="3"/>
    <x v="0"/>
    <s v=""/>
    <s v=""/>
    <s v="Fiberglass - Tied, stays"/>
    <n v="5.9999998658895493E-2"/>
    <n v="3.0999999046325684"/>
    <n v="2079.9929999999999"/>
  </r>
  <r>
    <x v="4"/>
    <n v="0.9"/>
    <n v="0"/>
    <x v="0"/>
    <n v="1"/>
    <n v="0"/>
    <n v="108061"/>
    <n v="10338"/>
    <n v="1"/>
    <n v="1212"/>
    <s v="Joist"/>
    <x v="2"/>
    <x v="0"/>
    <s v=""/>
    <s v=""/>
    <s v="Fiberglass - Tied, stays"/>
    <n v="5.9999998658895493E-2"/>
    <n v="3.0999999046325684"/>
    <n v="4956.4930000000004"/>
  </r>
  <r>
    <x v="4"/>
    <n v="0.9"/>
    <n v="0"/>
    <x v="0"/>
    <n v="1"/>
    <n v="0"/>
    <n v="83706"/>
    <n v="13023"/>
    <n v="1"/>
    <n v="420"/>
    <s v="Post and beam"/>
    <x v="2"/>
    <x v="1"/>
    <s v=""/>
    <s v=""/>
    <s v="Fiberglass - Tied, stays"/>
    <n v="5.9999998658895493E-2"/>
    <n v="3.0999999046325684"/>
    <n v="2003.7159999999999"/>
  </r>
  <r>
    <x v="4"/>
    <n v="0.9"/>
    <n v="0"/>
    <x v="0"/>
    <n v="1"/>
    <n v="0"/>
    <n v="108898"/>
    <n v="11633"/>
    <n v="1"/>
    <n v="1276"/>
    <s v="Post and beam"/>
    <x v="0"/>
    <x v="1"/>
    <s v=""/>
    <s v=""/>
    <s v="Fiberglass - Tied, stays"/>
    <n v="5.9999998658895493E-2"/>
    <n v="3.0999999046325684"/>
    <n v="4956.4930000000004"/>
  </r>
  <r>
    <x v="4"/>
    <n v="0.9"/>
    <n v="0"/>
    <x v="0"/>
    <n v="1"/>
    <n v="0"/>
    <n v="140764"/>
    <n v="23504"/>
    <n v="1"/>
    <n v="1176"/>
    <s v=""/>
    <x v="0"/>
    <x v="0"/>
    <s v=""/>
    <s v=""/>
    <s v=""/>
    <n v="5.9999998658895493E-2"/>
    <n v="3.0999999046325684"/>
    <n v="1612.692"/>
  </r>
  <r>
    <x v="4"/>
    <n v="0.9"/>
    <n v="0"/>
    <x v="0"/>
    <n v="1"/>
    <n v="0"/>
    <n v="122842"/>
    <n v="23439"/>
    <n v="1"/>
    <n v="390"/>
    <s v="Joist"/>
    <x v="0"/>
    <x v="0"/>
    <s v=""/>
    <s v=""/>
    <s v="Fiberglass - Tied, stays"/>
    <n v="5.9999998658895493E-2"/>
    <n v="3.0999999046325684"/>
    <n v="1925.059"/>
  </r>
  <r>
    <x v="4"/>
    <n v="0.9"/>
    <n v="0"/>
    <x v="0"/>
    <n v="1"/>
    <n v="0"/>
    <n v="113483"/>
    <n v="23946"/>
    <n v="1"/>
    <n v="768"/>
    <s v="Joist"/>
    <x v="0"/>
    <x v="0"/>
    <s v=""/>
    <s v=""/>
    <s v="Fiberglass - Stapled"/>
    <n v="5.9999998658895493E-2"/>
    <n v="3.0999999046325684"/>
    <n v="2079.9929999999999"/>
  </r>
  <r>
    <x v="4"/>
    <n v="0.9"/>
    <n v="0"/>
    <x v="0"/>
    <n v="1"/>
    <n v="0"/>
    <n v="669340"/>
    <n v="21143"/>
    <n v="1"/>
    <n v="1366"/>
    <s v="Joist"/>
    <x v="3"/>
    <x v="1"/>
    <s v=""/>
    <s v=""/>
    <s v=""/>
    <n v="5.9999998658895493E-2"/>
    <n v="3.0999999046325684"/>
    <n v="1612.692"/>
  </r>
  <r>
    <x v="4"/>
    <n v="0.9"/>
    <n v="0"/>
    <x v="0"/>
    <n v="1"/>
    <n v="0"/>
    <n v="659853"/>
    <n v="11762"/>
    <n v="1"/>
    <n v="864"/>
    <s v="Joist"/>
    <x v="0"/>
    <x v="1"/>
    <s v=""/>
    <s v="6 1/2 &quot; batts , one row was hanging near the vapor line inlet for the heat pump"/>
    <s v=""/>
    <n v="5.9999998658895493E-2"/>
    <n v="3.0999999046325684"/>
    <n v="1464.694"/>
  </r>
  <r>
    <x v="4"/>
    <n v="0.9"/>
    <n v="0"/>
    <x v="0"/>
    <n v="1"/>
    <n v="0"/>
    <n v="120325"/>
    <n v="10510"/>
    <n v="1"/>
    <n v="1064"/>
    <s v="Post and beam"/>
    <x v="3"/>
    <x v="0"/>
    <s v=""/>
    <s v=""/>
    <s v="Fiberglass - Tied, stays"/>
    <n v="5.9999998658895493E-2"/>
    <n v="3.0999999046325684"/>
    <n v="1464.694"/>
  </r>
  <r>
    <x v="4"/>
    <n v="0.9"/>
    <n v="0"/>
    <x v="0"/>
    <n v="1"/>
    <n v="0"/>
    <n v="198577"/>
    <n v="12777"/>
    <n v="1"/>
    <n v="1692"/>
    <s v="Joist"/>
    <x v="0"/>
    <x v="0"/>
    <s v=""/>
    <s v=""/>
    <s v=""/>
    <n v="5.9999998658895493E-2"/>
    <n v="3.0999999046325684"/>
    <n v="1188.027"/>
  </r>
  <r>
    <x v="4"/>
    <n v="0.9"/>
    <n v="0"/>
    <x v="0"/>
    <n v="1"/>
    <n v="0"/>
    <n v="803333"/>
    <n v="22187"/>
    <n v="1"/>
    <n v="1574"/>
    <s v="Post and beam"/>
    <x v="1"/>
    <x v="0"/>
    <s v=""/>
    <s v=""/>
    <s v=""/>
    <n v="5.9999998658895493E-2"/>
    <n v="3.0999999046325684"/>
    <n v="1612.692"/>
  </r>
  <r>
    <x v="4"/>
    <n v="0.9"/>
    <n v="0"/>
    <x v="0"/>
    <n v="1"/>
    <n v="0"/>
    <n v="201387"/>
    <n v="12295"/>
    <n v="1"/>
    <n v="1157"/>
    <s v="Post and beam"/>
    <x v="1"/>
    <x v="0"/>
    <s v=""/>
    <s v=""/>
    <s v=""/>
    <n v="5.9999998658895493E-2"/>
    <n v="3.0999999046325684"/>
    <n v="6932.7380000000003"/>
  </r>
  <r>
    <x v="4"/>
    <n v="0.9"/>
    <n v="0"/>
    <x v="0"/>
    <n v="1"/>
    <n v="0"/>
    <n v="46915"/>
    <n v="24550"/>
    <n v="1"/>
    <n v="1300"/>
    <s v="Joist"/>
    <x v="0"/>
    <x v="0"/>
    <s v=""/>
    <s v=""/>
    <s v="Fiberglass - Tied, stays"/>
    <n v="5.9999998658895493E-2"/>
    <n v="3.0999999046325684"/>
    <n v="8264.9449999999997"/>
  </r>
  <r>
    <x v="4"/>
    <n v="0.9"/>
    <n v="0"/>
    <x v="0"/>
    <n v="1"/>
    <n v="0"/>
    <n v="110702"/>
    <n v="10322"/>
    <n v="1"/>
    <n v="1400"/>
    <s v="Post and beam"/>
    <x v="4"/>
    <x v="0"/>
    <s v=""/>
    <s v=""/>
    <s v="Fiberglass - Tied, stays"/>
    <n v="5.9999998658895493E-2"/>
    <n v="3.0999999046325684"/>
    <n v="4956.4930000000004"/>
  </r>
  <r>
    <x v="4"/>
    <n v="0.9"/>
    <n v="0"/>
    <x v="5"/>
    <n v="1"/>
    <n v="0"/>
    <n v="115005"/>
    <n v="13273"/>
    <n v="1"/>
    <n v="672"/>
    <s v="Post and beam"/>
    <x v="0"/>
    <x v="0"/>
    <s v=""/>
    <s v=""/>
    <s v="Fiberglass - Stapled"/>
    <n v="5.9999998658895493E-2"/>
    <n v="3.0999999046325684"/>
    <n v="4956.4930000000004"/>
  </r>
  <r>
    <x v="4"/>
    <n v="0.9"/>
    <n v="0"/>
    <x v="0"/>
    <n v="1"/>
    <n v="0"/>
    <n v="56572"/>
    <n v="11110"/>
    <n v="1"/>
    <n v="1320"/>
    <s v="Post and beam"/>
    <x v="0"/>
    <x v="0"/>
    <s v=""/>
    <s v=""/>
    <s v="Fiberglass - Tied, stays"/>
    <n v="5.9999998658895493E-2"/>
    <n v="3.0999999046325684"/>
    <n v="1188.027"/>
  </r>
  <r>
    <x v="4"/>
    <n v="0.9"/>
    <n v="0"/>
    <x v="0"/>
    <n v="1"/>
    <n v="0"/>
    <n v="193508"/>
    <n v="20472"/>
    <n v="2"/>
    <n v="720"/>
    <s v=""/>
    <x v="1"/>
    <x v="0"/>
    <s v=""/>
    <s v=""/>
    <s v=""/>
    <n v="5.9999998658895493E-2"/>
    <n v="3.0999999046325684"/>
    <n v="1612.692"/>
  </r>
  <r>
    <x v="4"/>
    <n v="0.9"/>
    <n v="0"/>
    <x v="0"/>
    <n v="1"/>
    <n v="0"/>
    <n v="109834"/>
    <n v="11788"/>
    <n v="1"/>
    <n v="1107"/>
    <s v="Post and beam"/>
    <x v="0"/>
    <x v="0"/>
    <s v=""/>
    <s v=""/>
    <s v="Fiberglass - Tied, stays"/>
    <n v="5.9999998658895493E-2"/>
    <n v="3.0999999046325684"/>
    <n v="4956.4930000000004"/>
  </r>
  <r>
    <x v="4"/>
    <n v="0.9"/>
    <n v="0"/>
    <x v="0"/>
    <n v="1"/>
    <n v="0"/>
    <n v="216191"/>
    <n v="10713"/>
    <n v="1"/>
    <n v="2222"/>
    <s v="Post and beam"/>
    <x v="1"/>
    <x v="0"/>
    <s v=""/>
    <s v=""/>
    <s v=""/>
    <n v="5.9999998658895493E-2"/>
    <n v="3.0999999046325684"/>
    <n v="6932.7380000000003"/>
  </r>
  <r>
    <x v="4"/>
    <n v="0.9"/>
    <n v="0"/>
    <x v="0"/>
    <n v="1"/>
    <n v="0"/>
    <n v="178597"/>
    <n v="23283"/>
    <n v="1"/>
    <n v="1262"/>
    <s v="Joist"/>
    <x v="0"/>
    <x v="0"/>
    <s v=""/>
    <s v=""/>
    <s v=""/>
    <n v="5.9999998658895493E-2"/>
    <n v="3.0999999046325684"/>
    <n v="1925.059"/>
  </r>
  <r>
    <x v="4"/>
    <n v="0.9"/>
    <n v="0"/>
    <x v="0"/>
    <n v="1"/>
    <n v="0"/>
    <n v="172715"/>
    <n v="11675"/>
    <n v="1"/>
    <n v="1622"/>
    <s v="Post and beam"/>
    <x v="1"/>
    <x v="1"/>
    <s v=""/>
    <s v=""/>
    <s v=""/>
    <n v="5.9999998658895493E-2"/>
    <n v="3.0999999046325684"/>
    <n v="6932.7380000000003"/>
  </r>
  <r>
    <x v="4"/>
    <n v="0.9"/>
    <n v="0"/>
    <x v="0"/>
    <n v="1"/>
    <n v="0"/>
    <n v="724792"/>
    <n v="11021"/>
    <n v="1"/>
    <n v="204"/>
    <s v="Joist"/>
    <x v="0"/>
    <x v="1"/>
    <s v=""/>
    <s v=""/>
    <s v=""/>
    <n v="5.9999998658895493E-2"/>
    <n v="3.0999999046325684"/>
    <n v="1464.694"/>
  </r>
  <r>
    <x v="4"/>
    <n v="0.9"/>
    <n v="0"/>
    <x v="0"/>
    <n v="1"/>
    <n v="0"/>
    <n v="156022"/>
    <n v="20408"/>
    <n v="1"/>
    <n v="1075"/>
    <s v="Post and beam"/>
    <x v="1"/>
    <x v="0"/>
    <s v=""/>
    <s v=""/>
    <s v=""/>
    <n v="5.9999998658895493E-2"/>
    <n v="3.0999999046325684"/>
    <n v="2079.9929999999999"/>
  </r>
  <r>
    <x v="4"/>
    <n v="0.9"/>
    <n v="0"/>
    <x v="0"/>
    <n v="1"/>
    <n v="0"/>
    <n v="57683"/>
    <n v="24171"/>
    <n v="1"/>
    <n v="1560"/>
    <s v="Joist"/>
    <x v="0"/>
    <x v="1"/>
    <s v=""/>
    <s v=""/>
    <s v="Fiberglass - Tied, stays"/>
    <n v="5.9999998658895493E-2"/>
    <n v="3.0999999046325684"/>
    <n v="2079.9929999999999"/>
  </r>
  <r>
    <x v="4"/>
    <n v="0.9"/>
    <n v="0"/>
    <x v="0"/>
    <n v="1"/>
    <n v="0"/>
    <n v="229356"/>
    <n v="13359"/>
    <n v="1"/>
    <n v="1040"/>
    <s v="Post and beam"/>
    <x v="1"/>
    <x v="0"/>
    <s v=""/>
    <s v=""/>
    <s v=""/>
    <n v="5.9999998658895493E-2"/>
    <n v="3.0999999046325684"/>
    <n v="1150.8789999999999"/>
  </r>
  <r>
    <x v="4"/>
    <n v="0.9"/>
    <n v="0"/>
    <x v="0"/>
    <n v="1"/>
    <n v="0"/>
    <n v="201800"/>
    <n v="22904"/>
    <n v="1"/>
    <n v="1886"/>
    <s v="Joist"/>
    <x v="0"/>
    <x v="0"/>
    <s v=""/>
    <s v=""/>
    <s v=""/>
    <n v="5.9999998658895493E-2"/>
    <n v="3.0999999046325684"/>
    <n v="1612.692"/>
  </r>
  <r>
    <x v="4"/>
    <n v="0.9"/>
    <n v="0"/>
    <x v="0"/>
    <n v="1"/>
    <n v="1"/>
    <n v="36473"/>
    <n v="13817"/>
    <n v="1"/>
    <n v="1763"/>
    <s v="Post and beam"/>
    <x v="0"/>
    <x v="0"/>
    <s v=""/>
    <s v=""/>
    <s v="Fiberglass - Stapled"/>
    <n v="5.9999998658895493E-2"/>
    <n v="4.5"/>
    <n v="1188.027"/>
  </r>
  <r>
    <x v="4"/>
    <n v="0.9"/>
    <n v="0"/>
    <x v="0"/>
    <n v="0"/>
    <n v="0"/>
    <n v="44967"/>
    <n v="14052"/>
    <n v="1"/>
    <n v="1472"/>
    <s v="Post and beam"/>
    <x v="0"/>
    <x v="0"/>
    <s v=""/>
    <s v=""/>
    <s v="Fiberglass - Tied, stays"/>
    <n v="5.9999998658895493E-2"/>
    <n v="5"/>
    <n v="1188.027"/>
  </r>
  <r>
    <x v="4"/>
    <n v="1"/>
    <n v="0"/>
    <x v="0"/>
    <n v="0"/>
    <m/>
    <n v="241580"/>
    <n v="21405"/>
    <n v="1"/>
    <n v="1356"/>
    <s v="Joist"/>
    <x v="0"/>
    <x v="0"/>
    <s v=""/>
    <s v=""/>
    <s v=""/>
    <n v="3.5000000149011612E-2"/>
    <n v="5"/>
    <n v="12271.31"/>
  </r>
  <r>
    <x v="4"/>
    <n v="1"/>
    <n v="0"/>
    <x v="0"/>
    <n v="0"/>
    <m/>
    <n v="722484"/>
    <n v="22177"/>
    <n v="1"/>
    <n v="525"/>
    <s v="Joist"/>
    <x v="0"/>
    <x v="1"/>
    <s v=""/>
    <s v=""/>
    <s v=""/>
    <n v="3.5000000149011612E-2"/>
    <n v="5"/>
    <n v="1612.692"/>
  </r>
  <r>
    <x v="4"/>
    <n v="1"/>
    <n v="0"/>
    <x v="0"/>
    <n v="0"/>
    <m/>
    <n v="194875"/>
    <n v="22191"/>
    <n v="1"/>
    <n v="884"/>
    <s v="Post and beam"/>
    <x v="1"/>
    <x v="0"/>
    <s v=""/>
    <s v=""/>
    <s v=""/>
    <n v="3.5000000149011612E-2"/>
    <n v="5"/>
    <n v="8559.1039999999994"/>
  </r>
  <r>
    <x v="4"/>
    <n v="1"/>
    <n v="0"/>
    <x v="0"/>
    <n v="1"/>
    <n v="0"/>
    <n v="131493"/>
    <n v="23391"/>
    <n v="1"/>
    <n v="696"/>
    <s v="Joist"/>
    <x v="0"/>
    <x v="0"/>
    <s v=""/>
    <s v=""/>
    <s v=""/>
    <n v="3.5000000149011612E-2"/>
    <n v="3.0999999046325684"/>
    <n v="1612.692"/>
  </r>
  <r>
    <x v="4"/>
    <n v="1"/>
    <n v="0"/>
    <x v="0"/>
    <n v="1"/>
    <n v="0"/>
    <n v="200837"/>
    <n v="23287"/>
    <n v="1"/>
    <n v="996"/>
    <s v="Joist"/>
    <x v="3"/>
    <x v="1"/>
    <s v=""/>
    <s v=""/>
    <s v=""/>
    <n v="3.5000000149011612E-2"/>
    <n v="3.0999999046325684"/>
    <n v="1612.692"/>
  </r>
  <r>
    <x v="4"/>
    <n v="1"/>
    <n v="0"/>
    <x v="0"/>
    <n v="1"/>
    <n v="0"/>
    <n v="85324"/>
    <n v="12678"/>
    <n v="1"/>
    <n v="1962"/>
    <s v="Post and beam"/>
    <x v="2"/>
    <x v="1"/>
    <s v=""/>
    <s v=""/>
    <s v="Fiberglass - Stapled"/>
    <n v="3.5000000149011612E-2"/>
    <n v="3.0999999046325684"/>
    <n v="2003.7159999999999"/>
  </r>
  <r>
    <x v="4"/>
    <n v="1"/>
    <n v="0"/>
    <x v="0"/>
    <n v="1"/>
    <n v="0"/>
    <n v="128551"/>
    <n v="24347"/>
    <n v="1"/>
    <n v="1498"/>
    <s v="Joist"/>
    <x v="3"/>
    <x v="1"/>
    <s v=""/>
    <s v=""/>
    <s v=""/>
    <n v="3.5000000149011612E-2"/>
    <n v="3.0999999046325684"/>
    <n v="1904.288"/>
  </r>
  <r>
    <x v="4"/>
    <n v="1"/>
    <n v="0"/>
    <x v="0"/>
    <n v="0"/>
    <n v="1"/>
    <n v="225615"/>
    <n v="21122"/>
    <n v="1"/>
    <n v="1144"/>
    <s v="Post and beam"/>
    <x v="1"/>
    <x v="0"/>
    <s v=""/>
    <s v=""/>
    <s v=""/>
    <n v="3.5000000149011612E-2"/>
    <n v="5"/>
    <n v="1904.288"/>
  </r>
  <r>
    <x v="4"/>
    <n v="1"/>
    <n v="0"/>
    <x v="0"/>
    <n v="0"/>
    <m/>
    <n v="168283"/>
    <n v="23724"/>
    <n v="1"/>
    <n v="1000"/>
    <s v="Post and beam"/>
    <x v="1"/>
    <x v="0"/>
    <s v=""/>
    <s v=""/>
    <s v=""/>
    <n v="3.5000000149011612E-2"/>
    <n v="5"/>
    <n v="1612.692"/>
  </r>
  <r>
    <x v="4"/>
    <n v="1"/>
    <n v="0"/>
    <x v="0"/>
    <n v="1"/>
    <n v="0"/>
    <n v="210339"/>
    <n v="21132"/>
    <n v="1"/>
    <n v="1157"/>
    <s v="Joist"/>
    <x v="0"/>
    <x v="0"/>
    <s v=""/>
    <s v=""/>
    <s v=""/>
    <n v="3.5000000149011612E-2"/>
    <n v="3.0999999046325684"/>
    <n v="2079.9929999999999"/>
  </r>
  <r>
    <x v="4"/>
    <n v="1"/>
    <n v="0"/>
    <x v="0"/>
    <n v="1"/>
    <n v="0"/>
    <n v="29031"/>
    <n v="11047"/>
    <n v="1"/>
    <n v="696"/>
    <s v="Joist"/>
    <x v="0"/>
    <x v="0"/>
    <s v=""/>
    <s v=""/>
    <s v="Fiberglass - Tied, stays"/>
    <n v="3.5000000149011612E-2"/>
    <n v="3.0999999046325684"/>
    <n v="1524.7619999999999"/>
  </r>
  <r>
    <x v="4"/>
    <n v="1"/>
    <n v="1"/>
    <x v="3"/>
    <n v="1"/>
    <n v="1"/>
    <n v="169969"/>
    <n v="23886"/>
    <n v="1"/>
    <n v="340"/>
    <s v="Joist"/>
    <x v="3"/>
    <x v="0"/>
    <s v=""/>
    <s v=""/>
    <s v=""/>
    <n v="3.5000000149011612E-2"/>
    <n v="7.5999999046325684"/>
    <n v="1192.4649999999999"/>
  </r>
  <r>
    <x v="4"/>
    <n v="1"/>
    <n v="0"/>
    <x v="0"/>
    <n v="1"/>
    <n v="0"/>
    <n v="102521"/>
    <n v="11496"/>
    <n v="1"/>
    <n v="980"/>
    <s v="Joist"/>
    <x v="0"/>
    <x v="0"/>
    <s v=""/>
    <s v=""/>
    <s v="Fiberglass - Tied, stays"/>
    <n v="3.5000000149011612E-2"/>
    <n v="3.0999999046325684"/>
    <n v="4956.4930000000004"/>
  </r>
  <r>
    <x v="4"/>
    <n v="1"/>
    <n v="0"/>
    <x v="0"/>
    <n v="1"/>
    <n v="0"/>
    <n v="724792"/>
    <n v="11021"/>
    <n v="2"/>
    <n v="353"/>
    <s v="Joist"/>
    <x v="0"/>
    <x v="1"/>
    <s v=""/>
    <s v=""/>
    <s v=""/>
    <n v="3.5000000149011612E-2"/>
    <n v="3.0999999046325684"/>
    <n v="1464.694"/>
  </r>
  <r>
    <x v="4"/>
    <n v="1"/>
    <n v="0"/>
    <x v="0"/>
    <n v="1"/>
    <n v="1"/>
    <n v="195624"/>
    <n v="13400"/>
    <n v="1"/>
    <n v="2200"/>
    <s v="Post and beam"/>
    <x v="1"/>
    <x v="0"/>
    <s v=""/>
    <s v=""/>
    <s v=""/>
    <n v="3.5000000149011612E-2"/>
    <n v="4.5"/>
    <n v="6932.7380000000003"/>
  </r>
  <r>
    <x v="4"/>
    <n v="1"/>
    <n v="0"/>
    <x v="0"/>
    <n v="1"/>
    <n v="1"/>
    <n v="180545"/>
    <n v="23465"/>
    <n v="1"/>
    <n v="987"/>
    <s v="Joist"/>
    <x v="0"/>
    <x v="0"/>
    <s v=""/>
    <s v=""/>
    <s v=""/>
    <n v="3.5000000149011612E-2"/>
    <n v="4.5"/>
    <n v="1925.059"/>
  </r>
  <r>
    <x v="4"/>
    <n v="1"/>
    <n v="0"/>
    <x v="0"/>
    <n v="0"/>
    <m/>
    <n v="234471"/>
    <n v="23618"/>
    <n v="1"/>
    <n v="1196"/>
    <s v="Joist"/>
    <x v="0"/>
    <x v="0"/>
    <s v=""/>
    <s v=""/>
    <s v=""/>
    <n v="3.5000000149011612E-2"/>
    <n v="5"/>
    <n v="3785.7640000000001"/>
  </r>
  <r>
    <x v="4"/>
    <n v="1"/>
    <n v="1"/>
    <x v="2"/>
    <n v="0"/>
    <n v="0"/>
    <n v="103188"/>
    <n v="10305"/>
    <n v="1"/>
    <n v="1650"/>
    <s v="Joist"/>
    <x v="1"/>
    <x v="0"/>
    <s v="Rigid"/>
    <s v=""/>
    <s v="Rigid"/>
    <n v="3.5000000149011612E-2"/>
    <n v="10.699999809265137"/>
    <n v="2003.7159999999999"/>
  </r>
  <r>
    <x v="4"/>
    <n v="1"/>
    <n v="1"/>
    <x v="2"/>
    <n v="1"/>
    <n v="0"/>
    <n v="37353"/>
    <n v="23151"/>
    <n v="1"/>
    <n v="1386"/>
    <s v="Joist"/>
    <x v="0"/>
    <x v="0"/>
    <s v="Rigid"/>
    <s v=""/>
    <s v="Fiberglass - Tied, stays"/>
    <n v="3.5000000149011612E-2"/>
    <n v="4.5999999046325684"/>
    <n v="12271.31"/>
  </r>
  <r>
    <x v="4"/>
    <n v="1"/>
    <n v="0"/>
    <x v="0"/>
    <n v="1"/>
    <n v="0"/>
    <n v="139258"/>
    <n v="20565"/>
    <n v="1"/>
    <n v="1131"/>
    <s v="Joist"/>
    <x v="3"/>
    <x v="1"/>
    <s v=""/>
    <s v=""/>
    <s v=""/>
    <n v="3.5000000149011612E-2"/>
    <n v="3.0999999046325684"/>
    <n v="1192.4649999999999"/>
  </r>
  <r>
    <x v="4"/>
    <n v="1"/>
    <n v="1"/>
    <x v="3"/>
    <n v="1"/>
    <n v="0"/>
    <n v="103331"/>
    <n v="20325"/>
    <n v="1"/>
    <n v="1403"/>
    <s v="Post and beam"/>
    <x v="0"/>
    <x v="1"/>
    <s v="Rigid"/>
    <s v=""/>
    <s v="Fiberglass - Stapled"/>
    <n v="3.5000000149011612E-2"/>
    <n v="3.9000000953674316"/>
    <n v="1925.059"/>
  </r>
  <r>
    <x v="4"/>
    <n v="1"/>
    <n v="0"/>
    <x v="0"/>
    <n v="1"/>
    <n v="1"/>
    <n v="672094"/>
    <n v="22703"/>
    <n v="1"/>
    <n v="1316"/>
    <s v="Post and beam"/>
    <x v="1"/>
    <x v="0"/>
    <s v=""/>
    <s v=""/>
    <s v=""/>
    <n v="3.5000000149011612E-2"/>
    <n v="4.5"/>
    <n v="2079.9929999999999"/>
  </r>
  <r>
    <x v="4"/>
    <n v="1"/>
    <n v="0"/>
    <x v="0"/>
    <n v="1"/>
    <n v="0"/>
    <n v="77960"/>
    <n v="10235"/>
    <n v="1"/>
    <n v="1465"/>
    <s v="Joist"/>
    <x v="0"/>
    <x v="0"/>
    <s v=""/>
    <s v=""/>
    <s v="Fiberglass - Tied, stays"/>
    <n v="3.5000000149011612E-2"/>
    <n v="3.0999999046325684"/>
    <n v="2003.7159999999999"/>
  </r>
  <r>
    <x v="4"/>
    <n v="1"/>
    <n v="0"/>
    <x v="0"/>
    <n v="1"/>
    <n v="1"/>
    <n v="42103"/>
    <n v="24436"/>
    <n v="1"/>
    <n v="1700"/>
    <s v="Joist"/>
    <x v="3"/>
    <x v="1"/>
    <s v=""/>
    <s v=""/>
    <s v="Fiberglass - Tied, stays"/>
    <n v="3.5000000149011612E-2"/>
    <n v="4.5"/>
    <n v="2079.9929999999999"/>
  </r>
  <r>
    <x v="4"/>
    <n v="1"/>
    <n v="0"/>
    <x v="0"/>
    <n v="1"/>
    <n v="0"/>
    <n v="69692"/>
    <n v="11908"/>
    <n v="1"/>
    <n v="1200"/>
    <s v="Joist"/>
    <x v="0"/>
    <x v="0"/>
    <s v=""/>
    <s v=""/>
    <s v="Fiberglass - Tied, stays"/>
    <n v="3.5000000149011612E-2"/>
    <n v="3.0999999046325684"/>
    <n v="2003.7159999999999"/>
  </r>
  <r>
    <x v="4"/>
    <n v="1"/>
    <n v="0"/>
    <x v="0"/>
    <n v="1"/>
    <n v="0"/>
    <n v="784415"/>
    <n v="21899"/>
    <n v="1"/>
    <n v="2288"/>
    <s v="Joist"/>
    <x v="0"/>
    <x v="0"/>
    <s v=""/>
    <s v=""/>
    <s v=""/>
    <n v="3.5000000149011612E-2"/>
    <n v="3.0999999046325684"/>
    <n v="8264.9449999999997"/>
  </r>
  <r>
    <x v="4"/>
    <n v="1"/>
    <n v="0"/>
    <x v="0"/>
    <n v="1"/>
    <n v="0"/>
    <n v="147905"/>
    <n v="11317"/>
    <n v="1"/>
    <n v="996"/>
    <s v="Post and beam"/>
    <x v="1"/>
    <x v="0"/>
    <s v=""/>
    <s v=""/>
    <s v=""/>
    <n v="3.5000000149011612E-2"/>
    <n v="3.0999999046325684"/>
    <n v="6932.7380000000003"/>
  </r>
  <r>
    <x v="4"/>
    <n v="1"/>
    <n v="0"/>
    <x v="0"/>
    <n v="1"/>
    <n v="0"/>
    <n v="94411"/>
    <n v="20477"/>
    <n v="1"/>
    <n v="1341"/>
    <s v="Joist"/>
    <x v="0"/>
    <x v="0"/>
    <s v=""/>
    <s v=""/>
    <s v="Fiberglass - Tied, stays"/>
    <n v="3.5000000149011612E-2"/>
    <n v="3.0999999046325684"/>
    <n v="1904.288"/>
  </r>
  <r>
    <x v="4"/>
    <n v="1"/>
    <n v="0"/>
    <x v="0"/>
    <n v="1"/>
    <n v="0"/>
    <n v="216905"/>
    <n v="10728"/>
    <n v="1"/>
    <n v="1342"/>
    <s v="Joist"/>
    <x v="0"/>
    <x v="0"/>
    <s v=""/>
    <s v=""/>
    <s v=""/>
    <n v="3.5000000149011612E-2"/>
    <n v="3.0999999046325684"/>
    <n v="2003.7159999999999"/>
  </r>
  <r>
    <x v="4"/>
    <n v="1"/>
    <n v="0"/>
    <x v="0"/>
    <n v="1"/>
    <n v="0"/>
    <n v="100323"/>
    <n v="13453"/>
    <n v="1"/>
    <n v="1070"/>
    <s v="Joist"/>
    <x v="0"/>
    <x v="0"/>
    <s v=""/>
    <s v=""/>
    <s v="Fiberglass - Tied, stays"/>
    <n v="3.5000000149011612E-2"/>
    <n v="3.0999999046325684"/>
    <n v="4956.4930000000004"/>
  </r>
  <r>
    <x v="4"/>
    <n v="1"/>
    <n v="0"/>
    <x v="0"/>
    <n v="1"/>
    <n v="1"/>
    <n v="672193"/>
    <n v="10313"/>
    <n v="1"/>
    <n v="576"/>
    <s v="Joist"/>
    <x v="0"/>
    <x v="0"/>
    <s v=""/>
    <s v=""/>
    <s v=""/>
    <n v="3.5000000149011612E-2"/>
    <n v="4.5"/>
    <n v="1188.027"/>
  </r>
  <r>
    <x v="4"/>
    <n v="1"/>
    <n v="1"/>
    <x v="3"/>
    <n v="1"/>
    <n v="0"/>
    <n v="135622"/>
    <n v="22375"/>
    <n v="1"/>
    <n v="2030"/>
    <s v="Joist"/>
    <x v="4"/>
    <x v="1"/>
    <s v=""/>
    <s v=""/>
    <s v=""/>
    <n v="3.5000000149011612E-2"/>
    <n v="3.9000000953674316"/>
    <n v="1612.692"/>
  </r>
  <r>
    <x v="4"/>
    <n v="1"/>
    <n v="0"/>
    <x v="0"/>
    <n v="0"/>
    <m/>
    <n v="191828"/>
    <n v="20215"/>
    <n v="1"/>
    <n v="396"/>
    <s v="Joist"/>
    <x v="0"/>
    <x v="0"/>
    <s v=""/>
    <s v=""/>
    <s v=""/>
    <n v="3.5000000149011612E-2"/>
    <n v="5"/>
    <n v="1612.692"/>
  </r>
  <r>
    <x v="4"/>
    <n v="1"/>
    <n v="0"/>
    <x v="0"/>
    <n v="1"/>
    <n v="0"/>
    <n v="191734"/>
    <n v="14545"/>
    <n v="1"/>
    <n v="1300"/>
    <s v="Joist"/>
    <x v="0"/>
    <x v="0"/>
    <s v=""/>
    <s v=""/>
    <s v=""/>
    <n v="3.5000000149011612E-2"/>
    <n v="3.0999999046325684"/>
    <n v="1188.027"/>
  </r>
  <r>
    <x v="4"/>
    <n v="1"/>
    <n v="0"/>
    <x v="0"/>
    <n v="1"/>
    <n v="0"/>
    <n v="74624"/>
    <n v="20200"/>
    <n v="1"/>
    <n v="1300"/>
    <s v="Post and beam"/>
    <x v="0"/>
    <x v="0"/>
    <s v=""/>
    <s v=""/>
    <s v="Fiberglass - Tied, stays"/>
    <n v="3.5000000149011612E-2"/>
    <n v="3.0999999046325684"/>
    <n v="1925.059"/>
  </r>
  <r>
    <x v="4"/>
    <n v="1"/>
    <n v="0"/>
    <x v="0"/>
    <n v="1"/>
    <n v="0"/>
    <n v="87797"/>
    <n v="22533"/>
    <n v="1"/>
    <n v="627"/>
    <s v="Joist"/>
    <x v="3"/>
    <x v="1"/>
    <s v=""/>
    <s v=""/>
    <s v="Fiberglass - Tied, stays"/>
    <n v="3.5000000149011612E-2"/>
    <n v="3.0999999046325684"/>
    <n v="1144.6790000000001"/>
  </r>
  <r>
    <x v="4"/>
    <n v="1"/>
    <n v="0"/>
    <x v="0"/>
    <n v="1"/>
    <n v="1"/>
    <n v="211461"/>
    <n v="21070"/>
    <n v="1"/>
    <n v="980"/>
    <s v="Post and beam"/>
    <x v="1"/>
    <x v="0"/>
    <s v=""/>
    <s v=""/>
    <s v=""/>
    <n v="3.5000000149011612E-2"/>
    <n v="4.5"/>
    <n v="1904.288"/>
  </r>
  <r>
    <x v="4"/>
    <n v="1"/>
    <n v="0"/>
    <x v="0"/>
    <n v="1"/>
    <n v="0"/>
    <n v="133954"/>
    <n v="12499"/>
    <n v="1"/>
    <n v="1770"/>
    <s v="Post and beam"/>
    <x v="1"/>
    <x v="0"/>
    <s v=""/>
    <s v=""/>
    <s v=""/>
    <n v="3.5000000149011612E-2"/>
    <n v="3.0999999046325684"/>
    <n v="6932.7380000000003"/>
  </r>
  <r>
    <x v="4"/>
    <n v="1"/>
    <n v="0"/>
    <x v="0"/>
    <n v="1"/>
    <n v="0"/>
    <n v="148669"/>
    <n v="23556"/>
    <n v="1"/>
    <n v="1377"/>
    <s v="Post and beam"/>
    <x v="0"/>
    <x v="0"/>
    <s v=""/>
    <s v=""/>
    <s v=""/>
    <n v="3.5000000149011612E-2"/>
    <n v="3.0999999046325684"/>
    <n v="8264.9449999999997"/>
  </r>
  <r>
    <x v="4"/>
    <n v="1"/>
    <n v="0"/>
    <x v="0"/>
    <n v="1"/>
    <n v="0"/>
    <n v="123249"/>
    <n v="21372"/>
    <n v="1"/>
    <n v="2424"/>
    <s v="Post and beam"/>
    <x v="3"/>
    <x v="1"/>
    <s v=""/>
    <s v=""/>
    <s v="Fiberglass - Tied, stays"/>
    <n v="3.5000000149011612E-2"/>
    <n v="3.0999999046325684"/>
    <n v="1612.692"/>
  </r>
  <r>
    <x v="4"/>
    <n v="1"/>
    <n v="0"/>
    <x v="0"/>
    <n v="1"/>
    <n v="0"/>
    <n v="140487"/>
    <n v="22200"/>
    <n v="1"/>
    <n v="936"/>
    <s v="Joist"/>
    <x v="0"/>
    <x v="0"/>
    <s v=""/>
    <s v=""/>
    <s v=""/>
    <n v="3.5000000149011612E-2"/>
    <n v="3.0999999046325684"/>
    <n v="1192.4649999999999"/>
  </r>
  <r>
    <x v="4"/>
    <n v="1"/>
    <n v="0"/>
    <x v="0"/>
    <n v="1"/>
    <n v="1"/>
    <n v="188082"/>
    <n v="21155"/>
    <n v="1"/>
    <n v="140"/>
    <s v="Joist"/>
    <x v="3"/>
    <x v="0"/>
    <s v=""/>
    <s v=""/>
    <s v=""/>
    <n v="3.5000000149011612E-2"/>
    <n v="4.5"/>
    <n v="1192.4649999999999"/>
  </r>
  <r>
    <x v="4"/>
    <n v="1"/>
    <n v="0"/>
    <x v="0"/>
    <n v="1"/>
    <n v="0"/>
    <n v="114240"/>
    <n v="22108"/>
    <n v="1"/>
    <n v="2051"/>
    <s v="Joist"/>
    <x v="0"/>
    <x v="0"/>
    <s v=""/>
    <s v=""/>
    <s v="Fiberglass - Tied, stays"/>
    <n v="3.5000000149011612E-2"/>
    <n v="3.0999999046325684"/>
    <n v="1612.692"/>
  </r>
  <r>
    <x v="4"/>
    <n v="1"/>
    <n v="0"/>
    <x v="0"/>
    <n v="1"/>
    <n v="0"/>
    <n v="207110"/>
    <n v="12572"/>
    <n v="1"/>
    <n v="725"/>
    <s v="Post and beam"/>
    <x v="1"/>
    <x v="0"/>
    <s v=""/>
    <s v=""/>
    <s v=""/>
    <n v="3.5000000149011612E-2"/>
    <n v="3.0999999046325684"/>
    <n v="6932.7380000000003"/>
  </r>
  <r>
    <x v="4"/>
    <n v="1"/>
    <n v="0"/>
    <x v="0"/>
    <n v="1"/>
    <n v="0"/>
    <n v="57950"/>
    <n v="23241"/>
    <n v="1"/>
    <n v="1800"/>
    <s v="Joist"/>
    <x v="3"/>
    <x v="0"/>
    <s v=""/>
    <s v=""/>
    <s v="Fiberglass - Tied, stays"/>
    <n v="3.5000000149011612E-2"/>
    <n v="3.0999999046325684"/>
    <n v="2079.9929999999999"/>
  </r>
  <r>
    <x v="4"/>
    <n v="1"/>
    <n v="0"/>
    <x v="0"/>
    <n v="1"/>
    <n v="0"/>
    <n v="170528"/>
    <n v="21089"/>
    <n v="1"/>
    <n v="1198"/>
    <s v="Joist"/>
    <x v="3"/>
    <x v="1"/>
    <s v=""/>
    <s v=""/>
    <s v=""/>
    <n v="3.5000000149011612E-2"/>
    <n v="3.0999999046325684"/>
    <n v="3785.7640000000001"/>
  </r>
  <r>
    <x v="4"/>
    <n v="1"/>
    <n v="0"/>
    <x v="0"/>
    <n v="0"/>
    <m/>
    <n v="162696"/>
    <n v="24672"/>
    <n v="1"/>
    <n v="70"/>
    <s v="Joist"/>
    <x v="4"/>
    <x v="1"/>
    <s v=""/>
    <s v=""/>
    <s v=""/>
    <n v="3.5000000149011612E-2"/>
    <n v="5"/>
    <n v="3785.7640000000001"/>
  </r>
  <r>
    <x v="4"/>
    <n v="1"/>
    <n v="0"/>
    <x v="0"/>
    <n v="1"/>
    <n v="0"/>
    <n v="27365"/>
    <n v="10459"/>
    <n v="1"/>
    <n v="200"/>
    <s v="Joist"/>
    <x v="0"/>
    <x v="0"/>
    <s v=""/>
    <s v=""/>
    <s v="Fiberglass - Stapled"/>
    <n v="3.5000000149011612E-2"/>
    <n v="3.0999999046325684"/>
    <n v="1524.7619999999999"/>
  </r>
  <r>
    <x v="4"/>
    <n v="1"/>
    <n v="0"/>
    <x v="0"/>
    <n v="1"/>
    <n v="0"/>
    <n v="131678"/>
    <n v="23667"/>
    <n v="1"/>
    <n v="724"/>
    <s v="Joist"/>
    <x v="0"/>
    <x v="0"/>
    <s v=""/>
    <s v=""/>
    <s v=""/>
    <n v="3.5000000149011612E-2"/>
    <n v="3.0999999046325684"/>
    <n v="8264.9449999999997"/>
  </r>
  <r>
    <x v="4"/>
    <n v="1"/>
    <n v="0"/>
    <x v="0"/>
    <n v="1"/>
    <n v="1"/>
    <n v="180878"/>
    <n v="23392"/>
    <n v="1"/>
    <n v="1145"/>
    <s v="Joist"/>
    <x v="3"/>
    <x v="1"/>
    <s v=""/>
    <s v=""/>
    <s v=""/>
    <n v="3.5000000149011612E-2"/>
    <n v="4.5"/>
    <n v="1925.059"/>
  </r>
  <r>
    <x v="4"/>
    <n v="1"/>
    <n v="0"/>
    <x v="0"/>
    <n v="1"/>
    <n v="0"/>
    <n v="101280"/>
    <n v="23345"/>
    <n v="1"/>
    <n v="1500"/>
    <s v="Post and beam"/>
    <x v="3"/>
    <x v="0"/>
    <s v=""/>
    <s v=""/>
    <s v="Rigid"/>
    <n v="3.5000000149011612E-2"/>
    <n v="3.0999999046325684"/>
    <n v="2079.9929999999999"/>
  </r>
  <r>
    <x v="4"/>
    <n v="1"/>
    <n v="0"/>
    <x v="0"/>
    <n v="1"/>
    <n v="0"/>
    <n v="675687"/>
    <n v="22514"/>
    <n v="1"/>
    <n v="793"/>
    <s v="Joist"/>
    <x v="0"/>
    <x v="0"/>
    <s v=""/>
    <s v=""/>
    <s v=""/>
    <n v="3.5000000149011612E-2"/>
    <n v="3.0999999046325684"/>
    <n v="3785.7640000000001"/>
  </r>
  <r>
    <x v="4"/>
    <n v="1"/>
    <n v="0"/>
    <x v="0"/>
    <n v="1"/>
    <n v="0"/>
    <n v="186618"/>
    <n v="20825"/>
    <n v="1"/>
    <n v="1419"/>
    <s v="Post and beam"/>
    <x v="1"/>
    <x v="0"/>
    <s v=""/>
    <s v=""/>
    <s v=""/>
    <n v="3.5000000149011612E-2"/>
    <n v="3.0999999046325684"/>
    <n v="2079.9929999999999"/>
  </r>
  <r>
    <x v="4"/>
    <n v="1"/>
    <n v="0"/>
    <x v="0"/>
    <n v="1"/>
    <n v="1"/>
    <n v="211948"/>
    <n v="11794"/>
    <n v="1"/>
    <n v="700"/>
    <s v="Joist"/>
    <x v="0"/>
    <x v="0"/>
    <s v=""/>
    <s v=""/>
    <s v=""/>
    <n v="3.5000000149011612E-2"/>
    <n v="4.5"/>
    <n v="1464.694"/>
  </r>
  <r>
    <x v="4"/>
    <n v="1"/>
    <n v="0"/>
    <x v="0"/>
    <n v="1"/>
    <n v="1"/>
    <n v="690065"/>
    <n v="24310"/>
    <n v="1"/>
    <n v="1442"/>
    <s v="Joist"/>
    <x v="0"/>
    <x v="0"/>
    <s v=""/>
    <s v=""/>
    <s v=""/>
    <n v="3.5000000149011612E-2"/>
    <n v="4.5"/>
    <n v="1904.288"/>
  </r>
  <r>
    <x v="4"/>
    <n v="1"/>
    <n v="0"/>
    <x v="0"/>
    <n v="1"/>
    <n v="0"/>
    <n v="175355"/>
    <n v="21295"/>
    <n v="1"/>
    <n v="392"/>
    <s v="Joist"/>
    <x v="0"/>
    <x v="0"/>
    <s v=""/>
    <s v=""/>
    <s v=""/>
    <n v="3.5000000149011612E-2"/>
    <n v="3.0999999046325684"/>
    <n v="1612.692"/>
  </r>
  <r>
    <x v="4"/>
    <n v="1"/>
    <n v="0"/>
    <x v="0"/>
    <n v="1"/>
    <n v="0"/>
    <n v="100507"/>
    <n v="13315"/>
    <n v="1"/>
    <n v="910"/>
    <s v="Joist"/>
    <x v="0"/>
    <x v="1"/>
    <s v=""/>
    <s v=""/>
    <s v="Fiberglass - Tied, stays"/>
    <n v="3.5000000149011612E-2"/>
    <n v="3.0999999046325684"/>
    <n v="4956.4930000000004"/>
  </r>
  <r>
    <x v="4"/>
    <n v="1"/>
    <n v="0"/>
    <x v="0"/>
    <n v="1"/>
    <n v="1"/>
    <n v="194945"/>
    <n v="21532"/>
    <n v="1"/>
    <n v="2820"/>
    <s v="Joist"/>
    <x v="4"/>
    <x v="1"/>
    <s v=""/>
    <s v=""/>
    <s v=""/>
    <n v="3.5000000149011612E-2"/>
    <n v="4.5"/>
    <n v="1925.059"/>
  </r>
  <r>
    <x v="4"/>
    <n v="1"/>
    <n v="0"/>
    <x v="0"/>
    <n v="1"/>
    <n v="0"/>
    <n v="29934"/>
    <n v="14457"/>
    <n v="1"/>
    <n v="1600"/>
    <s v="Post and beam"/>
    <x v="2"/>
    <x v="0"/>
    <s v=""/>
    <s v=""/>
    <s v="Fiberglass - Stapled"/>
    <n v="3.5000000149011612E-2"/>
    <n v="3.0999999046325684"/>
    <n v="1150.8789999999999"/>
  </r>
  <r>
    <x v="4"/>
    <n v="1"/>
    <n v="0"/>
    <x v="0"/>
    <n v="1"/>
    <n v="0"/>
    <n v="88875"/>
    <n v="11753"/>
    <n v="1"/>
    <n v="1420"/>
    <s v="Joist"/>
    <x v="0"/>
    <x v="0"/>
    <s v=""/>
    <s v=""/>
    <s v="Fiberglass - Tied, stays"/>
    <n v="3.5000000149011612E-2"/>
    <n v="3.0999999046325684"/>
    <n v="2003.7159999999999"/>
  </r>
  <r>
    <x v="4"/>
    <n v="1"/>
    <n v="0"/>
    <x v="0"/>
    <n v="1"/>
    <n v="0"/>
    <n v="189677"/>
    <n v="20968"/>
    <n v="1"/>
    <n v="1900"/>
    <s v="Joist"/>
    <x v="4"/>
    <x v="1"/>
    <s v=""/>
    <s v=""/>
    <s v=""/>
    <n v="3.5000000149011612E-2"/>
    <n v="3.0999999046325684"/>
    <n v="1612.692"/>
  </r>
  <r>
    <x v="4"/>
    <n v="1"/>
    <n v="0"/>
    <x v="0"/>
    <n v="1"/>
    <n v="0"/>
    <n v="657944"/>
    <n v="11780"/>
    <n v="1"/>
    <n v="1600"/>
    <s v="Joist"/>
    <x v="0"/>
    <x v="0"/>
    <s v=""/>
    <s v=""/>
    <s v=""/>
    <n v="3.5000000149011612E-2"/>
    <n v="3.0999999046325684"/>
    <n v="1150.8789999999999"/>
  </r>
  <r>
    <x v="4"/>
    <n v="1"/>
    <n v="0"/>
    <x v="0"/>
    <n v="1"/>
    <n v="0"/>
    <n v="685699"/>
    <n v="14560"/>
    <n v="1"/>
    <n v="971"/>
    <s v="Post and beam"/>
    <x v="1"/>
    <x v="0"/>
    <s v=""/>
    <s v=""/>
    <s v=""/>
    <n v="3.5000000149011612E-2"/>
    <n v="3.0999999046325684"/>
    <n v="6932.7380000000003"/>
  </r>
  <r>
    <x v="4"/>
    <n v="1"/>
    <n v="0"/>
    <x v="0"/>
    <n v="1"/>
    <n v="0"/>
    <n v="76847"/>
    <n v="22493"/>
    <n v="1"/>
    <n v="624"/>
    <s v="Post and beam"/>
    <x v="0"/>
    <x v="0"/>
    <s v=""/>
    <s v=""/>
    <s v="Spray Foam"/>
    <n v="3.5000000149011612E-2"/>
    <n v="3.0999999046325684"/>
    <n v="1925.059"/>
  </r>
  <r>
    <x v="4"/>
    <n v="1"/>
    <n v="0"/>
    <x v="0"/>
    <n v="1"/>
    <n v="0"/>
    <n v="46575"/>
    <n v="20920"/>
    <n v="1"/>
    <n v="1410"/>
    <s v="Joist"/>
    <x v="0"/>
    <x v="0"/>
    <s v=""/>
    <s v=""/>
    <s v="Fiberglass - Tied, stays"/>
    <n v="3.5000000149011612E-2"/>
    <n v="3.0999999046325684"/>
    <n v="2079.9929999999999"/>
  </r>
  <r>
    <x v="4"/>
    <n v="1"/>
    <n v="0"/>
    <x v="0"/>
    <n v="1"/>
    <n v="0"/>
    <n v="142715"/>
    <n v="20168"/>
    <n v="1"/>
    <n v="1715"/>
    <s v="Joist"/>
    <x v="0"/>
    <x v="1"/>
    <s v=""/>
    <s v=""/>
    <s v=""/>
    <n v="3.5000000149011612E-2"/>
    <n v="3.0999999046325684"/>
    <n v="1612.692"/>
  </r>
  <r>
    <x v="4"/>
    <n v="1"/>
    <n v="0"/>
    <x v="0"/>
    <n v="1"/>
    <n v="0"/>
    <n v="57812"/>
    <n v="24488"/>
    <n v="1"/>
    <n v="2035"/>
    <s v="Joist"/>
    <x v="3"/>
    <x v="0"/>
    <s v=""/>
    <s v=""/>
    <s v="Fiberglass - Tied, stays"/>
    <n v="3.5000000149011612E-2"/>
    <n v="3.0999999046325684"/>
    <n v="2079.9929999999999"/>
  </r>
  <r>
    <x v="4"/>
    <n v="1"/>
    <n v="0"/>
    <x v="0"/>
    <n v="1"/>
    <n v="0"/>
    <n v="98078"/>
    <n v="22890"/>
    <n v="1"/>
    <n v="440"/>
    <s v="Joist"/>
    <x v="0"/>
    <x v="0"/>
    <s v=""/>
    <s v=""/>
    <s v="Fiberglass - Tied, stays"/>
    <n v="3.5000000149011612E-2"/>
    <n v="3.0999999046325684"/>
    <n v="1904.288"/>
  </r>
  <r>
    <x v="4"/>
    <n v="1"/>
    <n v="0"/>
    <x v="0"/>
    <n v="1"/>
    <n v="0"/>
    <n v="38124"/>
    <n v="11802"/>
    <n v="1"/>
    <n v="1020"/>
    <s v="Post and beam"/>
    <x v="0"/>
    <x v="0"/>
    <s v=""/>
    <s v=""/>
    <s v="Fiberglass - Tied, stays"/>
    <n v="3.5000000149011612E-2"/>
    <n v="3.0999999046325684"/>
    <n v="1188.027"/>
  </r>
  <r>
    <x v="4"/>
    <n v="1"/>
    <n v="0"/>
    <x v="0"/>
    <n v="1"/>
    <n v="1"/>
    <n v="38470"/>
    <n v="10352"/>
    <n v="1"/>
    <n v="1500"/>
    <s v="Post and beam"/>
    <x v="0"/>
    <x v="0"/>
    <s v=""/>
    <s v=""/>
    <s v="Fiberglass - Tied, stays"/>
    <n v="3.5000000149011612E-2"/>
    <n v="4.5"/>
    <n v="1188.027"/>
  </r>
  <r>
    <x v="4"/>
    <n v="1"/>
    <n v="0"/>
    <x v="0"/>
    <n v="1"/>
    <n v="0"/>
    <n v="76221"/>
    <n v="21294"/>
    <n v="1"/>
    <n v="2600"/>
    <s v="Joist"/>
    <x v="0"/>
    <x v="0"/>
    <s v=""/>
    <s v=""/>
    <s v="Fiberglass - Tied, stays"/>
    <n v="3.5000000149011612E-2"/>
    <n v="3.0999999046325684"/>
    <n v="2079.9929999999999"/>
  </r>
  <r>
    <x v="4"/>
    <n v="1"/>
    <n v="1"/>
    <x v="3"/>
    <n v="1"/>
    <n v="0"/>
    <n v="91819"/>
    <n v="23192"/>
    <n v="1"/>
    <n v="1348"/>
    <s v="Joist"/>
    <x v="0"/>
    <x v="0"/>
    <s v="Rigid"/>
    <s v=""/>
    <s v="Fiberglass - Tied, stays"/>
    <n v="3.5000000149011612E-2"/>
    <n v="3.9000000953674316"/>
    <n v="1904.288"/>
  </r>
  <r>
    <x v="4"/>
    <n v="1"/>
    <n v="0"/>
    <x v="0"/>
    <n v="1"/>
    <n v="1"/>
    <n v="681879"/>
    <n v="20311"/>
    <n v="1"/>
    <n v="1279"/>
    <s v="Joist"/>
    <x v="0"/>
    <x v="0"/>
    <s v=""/>
    <s v=""/>
    <s v=""/>
    <n v="3.5000000149011612E-2"/>
    <n v="4.5"/>
    <n v="1612.692"/>
  </r>
  <r>
    <x v="4"/>
    <n v="1"/>
    <n v="0"/>
    <x v="0"/>
    <n v="1"/>
    <n v="0"/>
    <n v="123072"/>
    <n v="12656"/>
    <n v="1"/>
    <n v="864"/>
    <s v="Joist"/>
    <x v="0"/>
    <x v="0"/>
    <s v=""/>
    <s v=""/>
    <s v="Fiberglass - Tied, stays"/>
    <n v="3.5000000149011612E-2"/>
    <n v="3.0999999046325684"/>
    <n v="2003.7159999999999"/>
  </r>
  <r>
    <x v="4"/>
    <n v="1"/>
    <n v="1"/>
    <x v="3"/>
    <n v="0"/>
    <m/>
    <n v="204457"/>
    <n v="14329"/>
    <n v="1"/>
    <n v="1953"/>
    <s v="Post and beam"/>
    <x v="1"/>
    <x v="0"/>
    <s v=""/>
    <s v=""/>
    <s v=""/>
    <n v="3.5000000149011612E-2"/>
    <n v="9.1000003814697266"/>
    <n v="6932.7380000000003"/>
  </r>
  <r>
    <x v="4"/>
    <n v="1"/>
    <n v="0"/>
    <x v="0"/>
    <n v="0"/>
    <n v="0"/>
    <n v="84545"/>
    <n v="13752"/>
    <n v="1"/>
    <n v="980"/>
    <s v="Joist"/>
    <x v="0"/>
    <x v="0"/>
    <s v=""/>
    <s v=""/>
    <s v="Fiberglass - Tied, stays"/>
    <n v="3.5000000149011612E-2"/>
    <n v="5"/>
    <n v="2003.7159999999999"/>
  </r>
  <r>
    <x v="4"/>
    <n v="1"/>
    <n v="0"/>
    <x v="0"/>
    <n v="1"/>
    <n v="0"/>
    <n v="104754"/>
    <n v="12992"/>
    <n v="1"/>
    <n v="765"/>
    <s v="Joist"/>
    <x v="3"/>
    <x v="0"/>
    <s v=""/>
    <s v=""/>
    <s v="Fiberglass - Tied, stays"/>
    <n v="3.5000000149011612E-2"/>
    <n v="3.0999999046325684"/>
    <n v="4956.4930000000004"/>
  </r>
  <r>
    <x v="4"/>
    <n v="1"/>
    <n v="0"/>
    <x v="0"/>
    <n v="1"/>
    <n v="1"/>
    <n v="194766"/>
    <n v="21219"/>
    <n v="1"/>
    <n v="624"/>
    <s v="Post and beam"/>
    <x v="1"/>
    <x v="0"/>
    <s v=""/>
    <s v=""/>
    <s v=""/>
    <n v="3.5000000149011612E-2"/>
    <n v="4.5"/>
    <n v="8559.1039999999994"/>
  </r>
  <r>
    <x v="4"/>
    <n v="1"/>
    <n v="0"/>
    <x v="0"/>
    <n v="1"/>
    <n v="0"/>
    <n v="102910"/>
    <n v="21320"/>
    <n v="1"/>
    <n v="1449"/>
    <s v="Joist"/>
    <x v="0"/>
    <x v="1"/>
    <s v=""/>
    <s v=""/>
    <s v="Fiberglass - Tied, stays"/>
    <n v="3.5000000149011612E-2"/>
    <n v="3.0999999046325684"/>
    <n v="2079.9929999999999"/>
  </r>
  <r>
    <x v="4"/>
    <n v="1"/>
    <n v="0"/>
    <x v="0"/>
    <n v="1"/>
    <n v="0"/>
    <n v="150144"/>
    <n v="21486"/>
    <n v="1"/>
    <n v="1225"/>
    <s v="Post and beam"/>
    <x v="1"/>
    <x v="0"/>
    <s v=""/>
    <s v=""/>
    <s v=""/>
    <n v="3.5000000149011612E-2"/>
    <n v="3.0999999046325684"/>
    <n v="1612.692"/>
  </r>
  <r>
    <x v="4"/>
    <n v="1"/>
    <n v="0"/>
    <x v="0"/>
    <n v="1"/>
    <n v="0"/>
    <n v="211273"/>
    <n v="21483"/>
    <n v="1"/>
    <n v="1836"/>
    <s v="Post and beam"/>
    <x v="1"/>
    <x v="0"/>
    <s v=""/>
    <s v=""/>
    <s v=""/>
    <n v="3.5000000149011612E-2"/>
    <n v="3.0999999046325684"/>
    <n v="1904.288"/>
  </r>
  <r>
    <x v="4"/>
    <n v="1"/>
    <n v="0"/>
    <x v="0"/>
    <n v="1"/>
    <n v="0"/>
    <n v="189487"/>
    <n v="22880"/>
    <n v="1"/>
    <n v="596"/>
    <s v="Post and beam"/>
    <x v="1"/>
    <x v="1"/>
    <s v=""/>
    <s v=""/>
    <s v=""/>
    <n v="3.5000000149011612E-2"/>
    <n v="3.0999999046325684"/>
    <n v="1612.692"/>
  </r>
  <r>
    <x v="4"/>
    <n v="1"/>
    <n v="0"/>
    <x v="0"/>
    <n v="1"/>
    <n v="0"/>
    <n v="680487"/>
    <n v="13248"/>
    <n v="1"/>
    <n v="1112"/>
    <s v="Joist"/>
    <x v="0"/>
    <x v="1"/>
    <s v=""/>
    <s v=""/>
    <s v=""/>
    <n v="3.5000000149011612E-2"/>
    <n v="3.0999999046325684"/>
    <n v="1464.694"/>
  </r>
  <r>
    <x v="4"/>
    <n v="1"/>
    <n v="0"/>
    <x v="0"/>
    <n v="1"/>
    <n v="0"/>
    <n v="211125"/>
    <n v="22109"/>
    <n v="1"/>
    <n v="1971"/>
    <s v="Post and beam"/>
    <x v="1"/>
    <x v="0"/>
    <s v=""/>
    <s v=""/>
    <s v=""/>
    <n v="3.5000000149011612E-2"/>
    <n v="3.0999999046325684"/>
    <n v="1904.288"/>
  </r>
  <r>
    <x v="4"/>
    <n v="1"/>
    <n v="0"/>
    <x v="0"/>
    <n v="1"/>
    <n v="0"/>
    <n v="92520"/>
    <n v="12199"/>
    <n v="1"/>
    <n v="1172"/>
    <s v="Post and beam"/>
    <x v="0"/>
    <x v="1"/>
    <s v=""/>
    <s v=""/>
    <s v="Fiberglass - Tied, stays"/>
    <n v="3.5000000149011612E-2"/>
    <n v="3.0999999046325684"/>
    <n v="2003.7159999999999"/>
  </r>
  <r>
    <x v="4"/>
    <n v="1"/>
    <n v="0"/>
    <x v="0"/>
    <n v="1"/>
    <n v="0"/>
    <n v="84317"/>
    <n v="21264"/>
    <n v="1"/>
    <n v="603"/>
    <s v="Joist"/>
    <x v="0"/>
    <x v="0"/>
    <s v=""/>
    <s v=""/>
    <s v="Fiberglass - Tied, stays"/>
    <n v="3.5000000149011612E-2"/>
    <n v="3.0999999046325684"/>
    <n v="1904.288"/>
  </r>
  <r>
    <x v="4"/>
    <n v="1"/>
    <n v="0"/>
    <x v="0"/>
    <n v="1"/>
    <n v="0"/>
    <n v="229217"/>
    <n v="23619"/>
    <n v="1"/>
    <n v="1055"/>
    <s v="Post and beam"/>
    <x v="1"/>
    <x v="0"/>
    <s v=""/>
    <s v=""/>
    <s v=""/>
    <n v="3.5000000149011612E-2"/>
    <n v="3.0999999046325684"/>
    <n v="2079.9929999999999"/>
  </r>
  <r>
    <x v="4"/>
    <n v="1"/>
    <n v="0"/>
    <x v="0"/>
    <n v="1"/>
    <n v="1"/>
    <n v="687327"/>
    <n v="11418"/>
    <n v="1"/>
    <n v="1326"/>
    <s v="Joist"/>
    <x v="0"/>
    <x v="0"/>
    <s v=""/>
    <s v=""/>
    <s v=""/>
    <n v="3.5000000149011612E-2"/>
    <n v="4.5"/>
    <n v="6932.7380000000003"/>
  </r>
  <r>
    <x v="4"/>
    <n v="1"/>
    <n v="0"/>
    <x v="0"/>
    <n v="1"/>
    <n v="1"/>
    <n v="681686"/>
    <n v="20028"/>
    <n v="1"/>
    <n v="693"/>
    <s v="Joist"/>
    <x v="0"/>
    <x v="0"/>
    <s v=""/>
    <s v=""/>
    <s v=""/>
    <n v="3.5000000149011612E-2"/>
    <n v="4.5"/>
    <n v="6932.7380000000003"/>
  </r>
  <r>
    <x v="4"/>
    <n v="1"/>
    <n v="0"/>
    <x v="0"/>
    <n v="1"/>
    <n v="0"/>
    <n v="212191"/>
    <n v="10016"/>
    <n v="1"/>
    <n v="1625"/>
    <s v="Joist"/>
    <x v="0"/>
    <x v="0"/>
    <s v=""/>
    <s v=""/>
    <s v=""/>
    <n v="3.5000000149011612E-2"/>
    <n v="3.0999999046325684"/>
    <n v="6932.7380000000003"/>
  </r>
  <r>
    <x v="5"/>
    <n v="0.75"/>
    <n v="0"/>
    <x v="0"/>
    <n v="0"/>
    <m/>
    <n v="168197"/>
    <n v="21791"/>
    <n v="1"/>
    <n v="1300"/>
    <s v="Joist"/>
    <x v="2"/>
    <x v="0"/>
    <s v=""/>
    <s v=""/>
    <s v=""/>
    <n v="7.9999998211860657E-2"/>
    <n v="5"/>
    <n v="1612.692"/>
  </r>
  <r>
    <x v="5"/>
    <n v="0.75"/>
    <n v="0"/>
    <x v="0"/>
    <n v="1"/>
    <n v="0"/>
    <n v="221673"/>
    <n v="13974"/>
    <n v="1"/>
    <n v="1240"/>
    <s v="Joist"/>
    <x v="4"/>
    <x v="1"/>
    <s v=""/>
    <s v=""/>
    <s v=""/>
    <n v="7.9999998211860657E-2"/>
    <n v="3.0999999046325684"/>
    <n v="2003.7159999999999"/>
  </r>
  <r>
    <x v="5"/>
    <n v="0.75"/>
    <n v="0"/>
    <x v="0"/>
    <n v="1"/>
    <n v="0"/>
    <n v="196600"/>
    <n v="22577"/>
    <n v="1"/>
    <n v="1056"/>
    <s v="Post and beam"/>
    <x v="1"/>
    <x v="1"/>
    <s v=""/>
    <s v=""/>
    <s v=""/>
    <n v="7.9999998211860657E-2"/>
    <n v="3.0999999046325684"/>
    <n v="1925.059"/>
  </r>
  <r>
    <x v="5"/>
    <n v="0.9"/>
    <n v="0"/>
    <x v="0"/>
    <n v="0"/>
    <n v="0"/>
    <n v="78580"/>
    <n v="12215"/>
    <n v="1"/>
    <n v="1098"/>
    <s v="Post and beam"/>
    <x v="4"/>
    <x v="0"/>
    <s v=""/>
    <s v=""/>
    <s v="Fiberglass - Tied, stays"/>
    <n v="5.4999999701976776E-2"/>
    <n v="5"/>
    <n v="2003.7159999999999"/>
  </r>
  <r>
    <x v="5"/>
    <n v="0.9"/>
    <n v="0"/>
    <x v="0"/>
    <n v="1"/>
    <n v="0"/>
    <n v="218042"/>
    <n v="14285"/>
    <n v="1"/>
    <n v="672"/>
    <s v="Joist"/>
    <x v="0"/>
    <x v="1"/>
    <s v=""/>
    <s v=""/>
    <s v=""/>
    <n v="5.4999999701976776E-2"/>
    <n v="3.0999999046325684"/>
    <n v="1524.7619999999999"/>
  </r>
  <r>
    <x v="5"/>
    <n v="0.9"/>
    <n v="0"/>
    <x v="0"/>
    <n v="1"/>
    <n v="0"/>
    <n v="173630"/>
    <n v="20338"/>
    <n v="1"/>
    <n v="1395"/>
    <s v="Joist"/>
    <x v="3"/>
    <x v="1"/>
    <s v=""/>
    <s v=""/>
    <s v=""/>
    <n v="5.4999999701976776E-2"/>
    <n v="3.0999999046325684"/>
    <n v="1192.4649999999999"/>
  </r>
  <r>
    <x v="5"/>
    <n v="0.9"/>
    <n v="0"/>
    <x v="0"/>
    <n v="1"/>
    <n v="0"/>
    <n v="234827"/>
    <n v="22288"/>
    <n v="1"/>
    <n v="2294"/>
    <s v="Joist"/>
    <x v="4"/>
    <x v="1"/>
    <s v=""/>
    <s v="r30"/>
    <s v=""/>
    <n v="5.4999999701976776E-2"/>
    <n v="3.0999999046325684"/>
    <n v="2079.9929999999999"/>
  </r>
  <r>
    <x v="5"/>
    <n v="0.9"/>
    <n v="0"/>
    <x v="0"/>
    <n v="1"/>
    <n v="0"/>
    <n v="156333"/>
    <n v="13427"/>
    <n v="1"/>
    <n v="610"/>
    <s v="Joist"/>
    <x v="3"/>
    <x v="1"/>
    <s v=""/>
    <s v=""/>
    <s v=""/>
    <n v="5.4999999701976776E-2"/>
    <n v="3.0999999046325684"/>
    <n v="4956.4930000000004"/>
  </r>
  <r>
    <x v="5"/>
    <n v="0.9"/>
    <n v="0"/>
    <x v="0"/>
    <n v="0"/>
    <m/>
    <n v="231957"/>
    <n v="24040"/>
    <n v="1"/>
    <n v="1125"/>
    <s v=""/>
    <x v="1"/>
    <x v="0"/>
    <s v=""/>
    <s v="CRAWLSPACE HATCH SEALED COULD NOT OPEN"/>
    <s v=""/>
    <n v="5.4999999701976776E-2"/>
    <n v="5"/>
    <n v="2079.9929999999999"/>
  </r>
  <r>
    <x v="5"/>
    <n v="0.9"/>
    <n v="0"/>
    <x v="0"/>
    <n v="1"/>
    <n v="0"/>
    <n v="221475"/>
    <n v="13956"/>
    <n v="1"/>
    <n v="228"/>
    <s v="Joist"/>
    <x v="0"/>
    <x v="1"/>
    <s v=""/>
    <s v=""/>
    <s v=""/>
    <n v="5.4999999701976776E-2"/>
    <n v="3.0999999046325684"/>
    <n v="1524.7619999999999"/>
  </r>
  <r>
    <x v="5"/>
    <n v="0.9"/>
    <n v="0"/>
    <x v="0"/>
    <n v="1"/>
    <n v="0"/>
    <n v="219427"/>
    <n v="14423"/>
    <n v="1"/>
    <n v="519"/>
    <s v="Joist"/>
    <x v="4"/>
    <x v="1"/>
    <s v=""/>
    <s v=""/>
    <s v=""/>
    <n v="5.4999999701976776E-2"/>
    <n v="3.0999999046325684"/>
    <n v="4956.4930000000004"/>
  </r>
  <r>
    <x v="5"/>
    <n v="0.9"/>
    <n v="0"/>
    <x v="0"/>
    <n v="0"/>
    <m/>
    <n v="173799"/>
    <n v="23966"/>
    <n v="1"/>
    <n v="901"/>
    <s v="Joist"/>
    <x v="4"/>
    <x v="1"/>
    <s v=""/>
    <s v=""/>
    <s v=""/>
    <n v="5.4999999701976776E-2"/>
    <n v="5"/>
    <n v="3785.7640000000001"/>
  </r>
  <r>
    <x v="5"/>
    <n v="0.9"/>
    <n v="1"/>
    <x v="3"/>
    <n v="1"/>
    <n v="0"/>
    <n v="32175"/>
    <n v="20363"/>
    <n v="1"/>
    <n v="585"/>
    <s v="Joist"/>
    <x v="4"/>
    <x v="0"/>
    <s v="Rigid"/>
    <s v=""/>
    <s v="Fiberglass - Tied, stays"/>
    <n v="5.4999999701976776E-2"/>
    <n v="3.9000000953674316"/>
    <n v="2130.886"/>
  </r>
  <r>
    <x v="5"/>
    <n v="0.9"/>
    <n v="0"/>
    <x v="0"/>
    <n v="1"/>
    <n v="0"/>
    <n v="124132"/>
    <n v="10325"/>
    <n v="1"/>
    <n v="736"/>
    <s v="Post and beam"/>
    <x v="3"/>
    <x v="1"/>
    <s v=""/>
    <s v=""/>
    <s v="Fiberglass - Stapled"/>
    <n v="5.4999999701976776E-2"/>
    <n v="3.0999999046325684"/>
    <n v="4956.4930000000004"/>
  </r>
  <r>
    <x v="5"/>
    <n v="0.9"/>
    <n v="0"/>
    <x v="0"/>
    <n v="1"/>
    <n v="0"/>
    <n v="198385"/>
    <n v="13948"/>
    <n v="1"/>
    <n v="751"/>
    <s v="Joist"/>
    <x v="2"/>
    <x v="0"/>
    <s v=""/>
    <s v=""/>
    <s v=""/>
    <n v="5.4999999701976776E-2"/>
    <n v="3.0999999046325684"/>
    <n v="1524.7619999999999"/>
  </r>
  <r>
    <x v="5"/>
    <n v="0.9"/>
    <n v="0"/>
    <x v="0"/>
    <n v="1"/>
    <n v="0"/>
    <n v="48493"/>
    <n v="11284"/>
    <n v="1"/>
    <n v="965"/>
    <s v="Joist"/>
    <x v="0"/>
    <x v="1"/>
    <s v=""/>
    <s v="includes sf under addition"/>
    <s v="Fiberglass - Tied, stays"/>
    <n v="5.4999999701976776E-2"/>
    <n v="3.0999999046325684"/>
    <n v="1524.7619999999999"/>
  </r>
  <r>
    <x v="5"/>
    <n v="0.9"/>
    <n v="0"/>
    <x v="0"/>
    <n v="1"/>
    <n v="0"/>
    <n v="55136"/>
    <n v="23501"/>
    <n v="2"/>
    <n v="936"/>
    <s v="Post and beam"/>
    <x v="0"/>
    <x v="1"/>
    <s v=""/>
    <s v="708 sq ft floor above 75% insulated"/>
    <s v="Fiberglass - Tied, stays"/>
    <n v="5.4999999701976776E-2"/>
    <n v="3.0999999046325684"/>
    <n v="2079.9929999999999"/>
  </r>
  <r>
    <x v="5"/>
    <n v="0.9"/>
    <n v="0"/>
    <x v="0"/>
    <n v="1"/>
    <n v="1"/>
    <n v="219815"/>
    <n v="21710"/>
    <n v="1"/>
    <n v="1426"/>
    <s v="Post and beam"/>
    <x v="1"/>
    <x v="1"/>
    <s v=""/>
    <s v=""/>
    <s v=""/>
    <n v="5.4999999701976776E-2"/>
    <n v="4.5"/>
    <n v="2079.9929999999999"/>
  </r>
  <r>
    <x v="5"/>
    <n v="0.9"/>
    <n v="0"/>
    <x v="0"/>
    <n v="1"/>
    <n v="0"/>
    <n v="802435"/>
    <n v="22124"/>
    <n v="1"/>
    <n v="1451"/>
    <s v="Joist"/>
    <x v="0"/>
    <x v="1"/>
    <s v=""/>
    <s v=""/>
    <s v=""/>
    <n v="5.4999999701976776E-2"/>
    <n v="3.0999999046325684"/>
    <n v="4360.1880000000001"/>
  </r>
  <r>
    <x v="5"/>
    <n v="0.9"/>
    <n v="0"/>
    <x v="0"/>
    <n v="1"/>
    <n v="0"/>
    <n v="204915"/>
    <n v="22869"/>
    <n v="1"/>
    <n v="938"/>
    <s v="Joist"/>
    <x v="3"/>
    <x v="1"/>
    <s v=""/>
    <s v=""/>
    <s v=""/>
    <n v="5.4999999701976776E-2"/>
    <n v="3.0999999046325684"/>
    <n v="2079.9929999999999"/>
  </r>
  <r>
    <x v="5"/>
    <n v="0.9"/>
    <n v="1"/>
    <x v="3"/>
    <n v="1"/>
    <n v="0"/>
    <n v="172366"/>
    <n v="20485"/>
    <n v="1"/>
    <n v="1424"/>
    <s v="Joist"/>
    <x v="3"/>
    <x v="0"/>
    <s v=""/>
    <s v=""/>
    <s v=""/>
    <n v="5.4999999701976776E-2"/>
    <n v="3.9000000953674316"/>
    <n v="3785.7640000000001"/>
  </r>
  <r>
    <x v="5"/>
    <n v="0.9"/>
    <n v="0"/>
    <x v="0"/>
    <n v="1"/>
    <n v="0"/>
    <n v="49417"/>
    <n v="21203"/>
    <n v="1"/>
    <n v="1290"/>
    <s v="Post and beam"/>
    <x v="0"/>
    <x v="1"/>
    <s v=""/>
    <s v=""/>
    <s v="Fiberglass - Tied, stays"/>
    <n v="5.4999999701976776E-2"/>
    <n v="3.0999999046325684"/>
    <n v="2079.9929999999999"/>
  </r>
  <r>
    <x v="5"/>
    <n v="1"/>
    <n v="0"/>
    <x v="0"/>
    <n v="1"/>
    <n v="0"/>
    <n v="91016"/>
    <n v="10585"/>
    <n v="1"/>
    <n v="1577"/>
    <s v="Post and beam"/>
    <x v="0"/>
    <x v="0"/>
    <s v=""/>
    <s v=""/>
    <s v="Fiberglass - Tied, stays"/>
    <n v="2.9999999329447746E-2"/>
    <n v="3.0999999046325684"/>
    <n v="2003.7159999999999"/>
  </r>
  <r>
    <x v="5"/>
    <n v="1"/>
    <n v="0"/>
    <x v="0"/>
    <n v="1"/>
    <n v="0"/>
    <n v="112196"/>
    <n v="24341"/>
    <n v="1"/>
    <n v="1703"/>
    <s v="Joist"/>
    <x v="3"/>
    <x v="1"/>
    <s v=""/>
    <s v=""/>
    <s v="Fiberglass - Tied, stays"/>
    <n v="2.9999999329447746E-2"/>
    <n v="3.0999999046325684"/>
    <n v="1904.288"/>
  </r>
  <r>
    <x v="5"/>
    <n v="1"/>
    <n v="1"/>
    <x v="3"/>
    <n v="1"/>
    <n v="0"/>
    <n v="106836"/>
    <n v="22903"/>
    <n v="1"/>
    <n v="2378"/>
    <s v="Joist"/>
    <x v="3"/>
    <x v="1"/>
    <s v="Rigid"/>
    <s v=""/>
    <s v="Fiberglass - Tied, stays"/>
    <n v="2.9999999329447746E-2"/>
    <n v="3.9000000953674316"/>
    <n v="1904.288"/>
  </r>
  <r>
    <x v="5"/>
    <n v="1"/>
    <n v="0"/>
    <x v="0"/>
    <n v="0"/>
    <m/>
    <n v="241895"/>
    <n v="22280"/>
    <n v="1"/>
    <n v="720"/>
    <s v="Joist"/>
    <x v="3"/>
    <x v="0"/>
    <s v=""/>
    <s v=""/>
    <s v=""/>
    <n v="2.9999999329447746E-2"/>
    <n v="5"/>
    <n v="12271.31"/>
  </r>
  <r>
    <x v="5"/>
    <n v="1"/>
    <n v="0"/>
    <x v="0"/>
    <n v="1"/>
    <n v="0"/>
    <n v="126323"/>
    <n v="23554"/>
    <n v="1"/>
    <n v="2156"/>
    <s v="Joist"/>
    <x v="3"/>
    <x v="1"/>
    <s v=""/>
    <s v=""/>
    <s v="Fiberglass - Tied, stays"/>
    <n v="2.9999999329447746E-2"/>
    <n v="3.0999999046325684"/>
    <n v="1192.4649999999999"/>
  </r>
  <r>
    <x v="5"/>
    <n v="1"/>
    <n v="1"/>
    <x v="1"/>
    <n v="1"/>
    <n v="0"/>
    <n v="121726"/>
    <n v="20626"/>
    <n v="1"/>
    <n v="350"/>
    <s v="Joist"/>
    <x v="3"/>
    <x v="1"/>
    <s v="Rigid"/>
    <s v=""/>
    <s v="Fiberglass - Tied, stays"/>
    <n v="2.9999999329447746E-2"/>
    <n v="4.5"/>
    <n v="1904.288"/>
  </r>
  <r>
    <x v="5"/>
    <n v="1"/>
    <n v="0"/>
    <x v="0"/>
    <n v="1"/>
    <n v="0"/>
    <n v="802994"/>
    <n v="12111"/>
    <n v="1"/>
    <n v="343"/>
    <s v="Joist"/>
    <x v="0"/>
    <x v="1"/>
    <s v=""/>
    <s v=""/>
    <s v=""/>
    <n v="2.9999999329447746E-2"/>
    <n v="3.0999999046325684"/>
    <n v="1464.694"/>
  </r>
  <r>
    <x v="5"/>
    <n v="1"/>
    <n v="0"/>
    <x v="0"/>
    <n v="1"/>
    <n v="0"/>
    <n v="823799"/>
    <n v="12661"/>
    <n v="1"/>
    <n v="1216"/>
    <s v="Joist"/>
    <x v="0"/>
    <x v="1"/>
    <s v=""/>
    <s v=""/>
    <s v=""/>
    <n v="2.9999999329447746E-2"/>
    <n v="3.0999999046325684"/>
    <n v="2003.7159999999999"/>
  </r>
  <r>
    <x v="5"/>
    <n v="1"/>
    <n v="0"/>
    <x v="5"/>
    <n v="1"/>
    <n v="1"/>
    <n v="99464"/>
    <n v="22432"/>
    <n v="1"/>
    <n v="1022"/>
    <s v="Joist"/>
    <x v="3"/>
    <x v="1"/>
    <s v="Fiberglass - Stapled"/>
    <s v=""/>
    <s v="Fiberglass - Stapled"/>
    <n v="2.9999999329447746E-2"/>
    <n v="4.5"/>
    <n v="1925.059"/>
  </r>
  <r>
    <x v="5"/>
    <n v="1"/>
    <n v="0"/>
    <x v="0"/>
    <n v="1"/>
    <n v="0"/>
    <n v="67601"/>
    <n v="20076"/>
    <n v="1"/>
    <n v="1416"/>
    <s v="Post and beam"/>
    <x v="0"/>
    <x v="0"/>
    <s v=""/>
    <s v=""/>
    <s v="Fiberglass - Tied, stays"/>
    <n v="2.9999999329447746E-2"/>
    <n v="3.0999999046325684"/>
    <n v="3785.7640000000001"/>
  </r>
  <r>
    <x v="5"/>
    <n v="1"/>
    <n v="0"/>
    <x v="0"/>
    <n v="1"/>
    <n v="0"/>
    <n v="149056"/>
    <n v="12743"/>
    <n v="1"/>
    <n v="875"/>
    <s v="Joist"/>
    <x v="0"/>
    <x v="1"/>
    <s v=""/>
    <s v=""/>
    <s v=""/>
    <n v="2.9999999329447746E-2"/>
    <n v="3.0999999046325684"/>
    <n v="4956.4930000000004"/>
  </r>
  <r>
    <x v="5"/>
    <n v="1"/>
    <n v="0"/>
    <x v="0"/>
    <n v="1"/>
    <n v="0"/>
    <n v="198810"/>
    <n v="11967"/>
    <n v="1"/>
    <n v="1624"/>
    <s v="Post and beam"/>
    <x v="1"/>
    <x v="1"/>
    <s v=""/>
    <s v=""/>
    <s v=""/>
    <n v="2.9999999329447746E-2"/>
    <n v="3.0999999046325684"/>
    <n v="6932.7380000000003"/>
  </r>
  <r>
    <x v="5"/>
    <n v="1"/>
    <n v="0"/>
    <x v="0"/>
    <n v="1"/>
    <n v="0"/>
    <n v="230280"/>
    <n v="21003"/>
    <n v="1"/>
    <n v="2033"/>
    <s v="Post and beam"/>
    <x v="1"/>
    <x v="1"/>
    <s v=""/>
    <s v=""/>
    <s v=""/>
    <n v="2.9999999329447746E-2"/>
    <n v="3.0999999046325684"/>
    <n v="2079.9929999999999"/>
  </r>
  <r>
    <x v="5"/>
    <n v="1"/>
    <n v="0"/>
    <x v="0"/>
    <n v="1"/>
    <n v="0"/>
    <n v="73499"/>
    <n v="24781"/>
    <n v="1"/>
    <n v="1800"/>
    <s v="Joist"/>
    <x v="3"/>
    <x v="1"/>
    <s v=""/>
    <s v=""/>
    <s v="Fiberglass - Stapled"/>
    <n v="2.9999999329447746E-2"/>
    <n v="3.0999999046325684"/>
    <n v="2079.9929999999999"/>
  </r>
  <r>
    <x v="5"/>
    <n v="1"/>
    <n v="0"/>
    <x v="0"/>
    <n v="1"/>
    <n v="0"/>
    <n v="660178"/>
    <n v="12063"/>
    <n v="1"/>
    <n v="1395"/>
    <s v="Joist"/>
    <x v="3"/>
    <x v="1"/>
    <s v=""/>
    <s v=""/>
    <s v=""/>
    <n v="2.9999999329447746E-2"/>
    <n v="3.0999999046325684"/>
    <n v="1464.694"/>
  </r>
  <r>
    <x v="5"/>
    <n v="1"/>
    <n v="0"/>
    <x v="0"/>
    <n v="1"/>
    <n v="0"/>
    <n v="107401"/>
    <n v="23913"/>
    <n v="1"/>
    <n v="576"/>
    <s v="Joist"/>
    <x v="3"/>
    <x v="0"/>
    <s v=""/>
    <s v=""/>
    <s v="Fiberglass - Tied, stays"/>
    <n v="2.9999999329447746E-2"/>
    <n v="3.0999999046325684"/>
    <n v="2079.9929999999999"/>
  </r>
  <r>
    <x v="5"/>
    <n v="1"/>
    <n v="0"/>
    <x v="0"/>
    <n v="1"/>
    <n v="0"/>
    <n v="681001"/>
    <n v="13445"/>
    <n v="1"/>
    <n v="1524"/>
    <s v="Joist"/>
    <x v="4"/>
    <x v="1"/>
    <s v=""/>
    <s v=""/>
    <s v=""/>
    <n v="2.9999999329447746E-2"/>
    <n v="3.0999999046325684"/>
    <n v="4956.4930000000004"/>
  </r>
  <r>
    <x v="5"/>
    <n v="1"/>
    <n v="0"/>
    <x v="0"/>
    <n v="1"/>
    <n v="0"/>
    <n v="206204"/>
    <n v="10627"/>
    <n v="1"/>
    <n v="1378"/>
    <s v="Post and beam"/>
    <x v="1"/>
    <x v="0"/>
    <s v=""/>
    <s v=""/>
    <s v=""/>
    <n v="2.9999999329447746E-2"/>
    <n v="3.0999999046325684"/>
    <n v="6932.7380000000003"/>
  </r>
  <r>
    <x v="5"/>
    <n v="1"/>
    <n v="0"/>
    <x v="0"/>
    <n v="1"/>
    <n v="0"/>
    <n v="65936"/>
    <n v="21350"/>
    <n v="1"/>
    <n v="1200"/>
    <s v="Joist"/>
    <x v="0"/>
    <x v="0"/>
    <s v=""/>
    <s v=""/>
    <s v="Fiberglass - Tied, stays"/>
    <n v="2.9999999329447746E-2"/>
    <n v="3.0999999046325684"/>
    <n v="8264.9449999999997"/>
  </r>
  <r>
    <x v="5"/>
    <n v="1"/>
    <n v="0"/>
    <x v="0"/>
    <n v="1"/>
    <n v="1"/>
    <n v="235477"/>
    <n v="24203"/>
    <n v="1"/>
    <n v="1008"/>
    <s v="Joist"/>
    <x v="4"/>
    <x v="1"/>
    <s v=""/>
    <s v=""/>
    <s v=""/>
    <n v="2.9999999329447746E-2"/>
    <n v="4.5"/>
    <n v="1904.288"/>
  </r>
  <r>
    <x v="5"/>
    <n v="1"/>
    <n v="0"/>
    <x v="0"/>
    <n v="1"/>
    <n v="0"/>
    <n v="189276"/>
    <n v="22965"/>
    <n v="1"/>
    <n v="1120"/>
    <s v="Post and beam"/>
    <x v="1"/>
    <x v="1"/>
    <s v=""/>
    <s v=""/>
    <s v=""/>
    <n v="2.9999999329447746E-2"/>
    <n v="3.0999999046325684"/>
    <n v="1612.692"/>
  </r>
  <r>
    <x v="5"/>
    <n v="1"/>
    <n v="0"/>
    <x v="0"/>
    <n v="1"/>
    <n v="0"/>
    <n v="208510"/>
    <n v="12264"/>
    <n v="2"/>
    <n v="525"/>
    <s v="Joist"/>
    <x v="0"/>
    <x v="1"/>
    <s v=""/>
    <s v=""/>
    <s v=""/>
    <n v="2.9999999329447746E-2"/>
    <n v="3.0999999046325684"/>
    <n v="1464.694"/>
  </r>
  <r>
    <x v="5"/>
    <n v="1"/>
    <n v="0"/>
    <x v="0"/>
    <n v="1"/>
    <n v="0"/>
    <n v="189582"/>
    <n v="22994"/>
    <n v="1"/>
    <n v="1144"/>
    <s v="Joist"/>
    <x v="4"/>
    <x v="1"/>
    <s v=""/>
    <s v=""/>
    <s v=""/>
    <n v="2.9999999329447746E-2"/>
    <n v="3.0999999046325684"/>
    <n v="1612.692"/>
  </r>
  <r>
    <x v="5"/>
    <n v="1"/>
    <n v="0"/>
    <x v="0"/>
    <n v="1"/>
    <n v="1"/>
    <n v="209263"/>
    <n v="23294"/>
    <n v="1"/>
    <n v="240"/>
    <s v="Joist"/>
    <x v="4"/>
    <x v="1"/>
    <s v=""/>
    <s v=""/>
    <s v=""/>
    <n v="2.9999999329447746E-2"/>
    <n v="4.5"/>
    <n v="1904.288"/>
  </r>
  <r>
    <x v="5"/>
    <n v="1"/>
    <n v="0"/>
    <x v="0"/>
    <n v="1"/>
    <n v="0"/>
    <n v="240611"/>
    <n v="14012"/>
    <n v="1"/>
    <n v="1090"/>
    <s v="Joist"/>
    <x v="4"/>
    <x v="1"/>
    <s v=""/>
    <s v=""/>
    <s v=""/>
    <n v="2.9999999329447746E-2"/>
    <n v="3.0999999046325684"/>
    <n v="2003.7159999999999"/>
  </r>
  <r>
    <x v="5"/>
    <n v="1"/>
    <n v="0"/>
    <x v="0"/>
    <n v="1"/>
    <n v="0"/>
    <n v="197879"/>
    <n v="13554"/>
    <n v="1"/>
    <n v="1281"/>
    <s v="Post and beam"/>
    <x v="1"/>
    <x v="1"/>
    <s v=""/>
    <s v=""/>
    <s v=""/>
    <n v="2.9999999329447746E-2"/>
    <n v="3.0999999046325684"/>
    <n v="4956.4930000000004"/>
  </r>
  <r>
    <x v="5"/>
    <n v="1"/>
    <n v="0"/>
    <x v="0"/>
    <n v="1"/>
    <n v="0"/>
    <n v="198229"/>
    <n v="14102"/>
    <n v="1"/>
    <n v="2215"/>
    <s v="Joist"/>
    <x v="3"/>
    <x v="1"/>
    <s v=""/>
    <s v=""/>
    <s v=""/>
    <n v="2.9999999329447746E-2"/>
    <n v="3.0999999046325684"/>
    <n v="4956.4930000000004"/>
  </r>
  <r>
    <x v="5"/>
    <n v="1"/>
    <n v="0"/>
    <x v="0"/>
    <n v="1"/>
    <n v="0"/>
    <n v="726301"/>
    <n v="12482"/>
    <n v="1"/>
    <n v="1648"/>
    <s v="Joist"/>
    <x v="3"/>
    <x v="1"/>
    <s v=""/>
    <s v=""/>
    <s v=""/>
    <n v="2.9999999329447746E-2"/>
    <n v="3.0999999046325684"/>
    <n v="4956.4930000000004"/>
  </r>
  <r>
    <x v="5"/>
    <n v="1"/>
    <n v="0"/>
    <x v="0"/>
    <n v="1"/>
    <n v="0"/>
    <n v="81661"/>
    <n v="22977"/>
    <n v="1"/>
    <n v="780"/>
    <s v="Post and beam"/>
    <x v="3"/>
    <x v="1"/>
    <s v=""/>
    <s v=""/>
    <s v="Fiberglass - Tied, stays"/>
    <n v="2.9999999329447746E-2"/>
    <n v="3.0999999046325684"/>
    <n v="1925.059"/>
  </r>
  <r>
    <x v="5"/>
    <n v="1"/>
    <n v="0"/>
    <x v="0"/>
    <n v="1"/>
    <n v="1"/>
    <n v="216452"/>
    <n v="10516"/>
    <n v="1"/>
    <n v="840"/>
    <s v="Joist"/>
    <x v="3"/>
    <x v="0"/>
    <s v=""/>
    <s v=""/>
    <s v=""/>
    <n v="2.9999999329447746E-2"/>
    <n v="4.5"/>
    <n v="6932.7380000000003"/>
  </r>
  <r>
    <x v="5"/>
    <n v="1"/>
    <n v="0"/>
    <x v="0"/>
    <n v="1"/>
    <n v="0"/>
    <n v="83238"/>
    <n v="12278"/>
    <n v="1"/>
    <n v="590"/>
    <s v="Post and beam"/>
    <x v="3"/>
    <x v="1"/>
    <s v=""/>
    <s v=""/>
    <s v="Fiberglass - Tied, stays"/>
    <n v="2.9999999329447746E-2"/>
    <n v="3.0999999046325684"/>
    <n v="2003.7159999999999"/>
  </r>
  <r>
    <x v="5"/>
    <n v="1"/>
    <n v="0"/>
    <x v="0"/>
    <n v="1"/>
    <n v="0"/>
    <n v="40530"/>
    <n v="10807"/>
    <n v="2"/>
    <n v="406"/>
    <s v="Joist"/>
    <x v="0"/>
    <x v="0"/>
    <s v=""/>
    <s v=""/>
    <s v="Blow-in Batt"/>
    <n v="2.9999999329447746E-2"/>
    <n v="3.0999999046325684"/>
    <n v="1524.7619999999999"/>
  </r>
  <r>
    <x v="5"/>
    <n v="1"/>
    <n v="0"/>
    <x v="0"/>
    <n v="1"/>
    <n v="0"/>
    <n v="183615"/>
    <n v="23889"/>
    <n v="1"/>
    <n v="994"/>
    <s v="Post and beam"/>
    <x v="1"/>
    <x v="1"/>
    <s v=""/>
    <s v=""/>
    <s v=""/>
    <n v="2.9999999329447746E-2"/>
    <n v="3.0999999046325684"/>
    <n v="1612.692"/>
  </r>
  <r>
    <x v="5"/>
    <n v="1"/>
    <n v="0"/>
    <x v="0"/>
    <n v="1"/>
    <n v="0"/>
    <n v="85502"/>
    <n v="23860"/>
    <n v="1"/>
    <n v="1857"/>
    <s v="Post and beam"/>
    <x v="4"/>
    <x v="1"/>
    <s v=""/>
    <s v=""/>
    <s v="Fiberglass - Tied, stays"/>
    <n v="2.9999999329447746E-2"/>
    <n v="3.0999999046325684"/>
    <n v="1925.059"/>
  </r>
  <r>
    <x v="5"/>
    <n v="1"/>
    <n v="0"/>
    <x v="0"/>
    <n v="1"/>
    <n v="0"/>
    <n v="40223"/>
    <n v="10462"/>
    <n v="1"/>
    <n v="1060"/>
    <s v="Joist"/>
    <x v="3"/>
    <x v="1"/>
    <s v=""/>
    <s v=""/>
    <s v="Fiberglass - Tied, stays"/>
    <n v="2.9999999329447746E-2"/>
    <n v="3.0999999046325684"/>
    <n v="1524.7619999999999"/>
  </r>
  <r>
    <x v="5"/>
    <n v="1"/>
    <n v="0"/>
    <x v="0"/>
    <n v="1"/>
    <n v="0"/>
    <n v="46204"/>
    <n v="12739"/>
    <n v="1"/>
    <n v="640"/>
    <s v="Joist"/>
    <x v="2"/>
    <x v="0"/>
    <s v=""/>
    <s v=""/>
    <s v="Fiberglass - Tied, stays"/>
    <n v="2.9999999329447746E-2"/>
    <n v="3.0999999046325684"/>
    <n v="1188.027"/>
  </r>
  <r>
    <x v="5"/>
    <n v="1"/>
    <n v="0"/>
    <x v="0"/>
    <n v="1"/>
    <n v="0"/>
    <n v="189921"/>
    <n v="21981"/>
    <n v="1"/>
    <n v="990"/>
    <s v="Post and beam"/>
    <x v="1"/>
    <x v="1"/>
    <s v=""/>
    <s v=""/>
    <s v=""/>
    <n v="2.9999999329447746E-2"/>
    <n v="3.0999999046325684"/>
    <n v="2079.9929999999999"/>
  </r>
  <r>
    <x v="5"/>
    <n v="1"/>
    <n v="0"/>
    <x v="0"/>
    <n v="0"/>
    <m/>
    <n v="163547"/>
    <n v="10809"/>
    <n v="1"/>
    <n v="766"/>
    <s v="Post and beam"/>
    <x v="1"/>
    <x v="0"/>
    <s v=""/>
    <s v=""/>
    <s v=""/>
    <n v="2.9999999329447746E-2"/>
    <n v="5"/>
    <n v="4956.4930000000004"/>
  </r>
  <r>
    <x v="5"/>
    <n v="1"/>
    <n v="0"/>
    <x v="0"/>
    <n v="1"/>
    <n v="0"/>
    <n v="726805"/>
    <n v="20612"/>
    <n v="1"/>
    <n v="1140"/>
    <s v="Joist"/>
    <x v="3"/>
    <x v="1"/>
    <s v=""/>
    <s v=""/>
    <s v=""/>
    <n v="2.9999999329447746E-2"/>
    <n v="3.0999999046325684"/>
    <n v="2079.9929999999999"/>
  </r>
  <r>
    <x v="5"/>
    <n v="1"/>
    <n v="0"/>
    <x v="0"/>
    <n v="1"/>
    <n v="0"/>
    <n v="723059"/>
    <n v="21355"/>
    <n v="1"/>
    <n v="1040"/>
    <s v="Joist"/>
    <x v="0"/>
    <x v="1"/>
    <s v=""/>
    <s v=""/>
    <s v=""/>
    <n v="2.9999999329447746E-2"/>
    <n v="3.0999999046325684"/>
    <n v="8264.9449999999997"/>
  </r>
  <r>
    <x v="5"/>
    <n v="1"/>
    <n v="1"/>
    <x v="3"/>
    <n v="1"/>
    <n v="0"/>
    <n v="95608"/>
    <n v="21883"/>
    <n v="1"/>
    <n v="546"/>
    <s v="Post and beam"/>
    <x v="3"/>
    <x v="1"/>
    <s v="Fiberglass - Stapled"/>
    <s v=""/>
    <s v="Fiberglass - Stapled"/>
    <n v="2.9999999329447746E-2"/>
    <n v="3.9000000953674316"/>
    <n v="1144.6790000000001"/>
  </r>
  <r>
    <x v="5"/>
    <n v="1"/>
    <n v="0"/>
    <x v="0"/>
    <n v="1"/>
    <n v="0"/>
    <n v="46087"/>
    <n v="11536"/>
    <n v="1"/>
    <n v="1104"/>
    <s v="Joist"/>
    <x v="0"/>
    <x v="0"/>
    <s v=""/>
    <s v=""/>
    <s v=""/>
    <n v="2.9999999329447746E-2"/>
    <n v="3.0999999046325684"/>
    <n v="1188.027"/>
  </r>
  <r>
    <x v="5"/>
    <n v="1"/>
    <n v="0"/>
    <x v="0"/>
    <n v="1"/>
    <n v="0"/>
    <n v="66384"/>
    <n v="20859"/>
    <n v="1"/>
    <n v="950"/>
    <s v="Joist"/>
    <x v="4"/>
    <x v="0"/>
    <s v=""/>
    <s v=""/>
    <s v="Fiberglass - Tied, stays"/>
    <n v="2.9999999329447746E-2"/>
    <n v="3.0999999046325684"/>
    <n v="2079.9929999999999"/>
  </r>
  <r>
    <x v="5"/>
    <n v="1"/>
    <n v="0"/>
    <x v="0"/>
    <n v="1"/>
    <n v="0"/>
    <n v="118131"/>
    <n v="12556"/>
    <n v="1"/>
    <n v="2360"/>
    <s v="Joist"/>
    <x v="3"/>
    <x v="0"/>
    <s v=""/>
    <s v=""/>
    <s v="Fiberglass - Tied, stays"/>
    <n v="2.9999999329447746E-2"/>
    <n v="3.0999999046325684"/>
    <n v="4956.4930000000004"/>
  </r>
  <r>
    <x v="5"/>
    <n v="1"/>
    <n v="1"/>
    <x v="3"/>
    <n v="1"/>
    <n v="0"/>
    <n v="169888"/>
    <n v="23926"/>
    <n v="1"/>
    <n v="1044"/>
    <s v="Joist"/>
    <x v="4"/>
    <x v="1"/>
    <s v=""/>
    <s v=""/>
    <s v=""/>
    <n v="2.9999999329447746E-2"/>
    <n v="3.9000000953674316"/>
    <n v="3785.7640000000001"/>
  </r>
  <r>
    <x v="5"/>
    <n v="1"/>
    <n v="0"/>
    <x v="0"/>
    <n v="1"/>
    <n v="0"/>
    <n v="62395"/>
    <n v="10866"/>
    <n v="1"/>
    <n v="2256"/>
    <s v="Joist"/>
    <x v="0"/>
    <x v="0"/>
    <s v=""/>
    <s v=""/>
    <s v="Fiberglass - Tied, stays"/>
    <n v="2.9999999329447746E-2"/>
    <n v="3.0999999046325684"/>
    <n v="2003.7159999999999"/>
  </r>
  <r>
    <x v="5"/>
    <n v="1"/>
    <n v="1"/>
    <x v="3"/>
    <n v="1"/>
    <n v="0"/>
    <n v="111426"/>
    <n v="21967"/>
    <n v="1"/>
    <n v="1960"/>
    <s v="Joist"/>
    <x v="3"/>
    <x v="1"/>
    <s v="Rigid"/>
    <s v=""/>
    <s v="Fiberglass - Tied, stays"/>
    <n v="2.9999999329447746E-2"/>
    <n v="3.9000000953674316"/>
    <n v="1904.288"/>
  </r>
  <r>
    <x v="5"/>
    <n v="1"/>
    <n v="1"/>
    <x v="3"/>
    <n v="1"/>
    <n v="0"/>
    <n v="88677"/>
    <n v="22203"/>
    <n v="1"/>
    <n v="1090"/>
    <s v="Joist"/>
    <x v="3"/>
    <x v="1"/>
    <s v="Rigid"/>
    <s v=""/>
    <s v="Fiberglass - Tied, stays"/>
    <n v="2.9999999329447746E-2"/>
    <n v="3.9000000953674316"/>
    <n v="1925.059"/>
  </r>
  <r>
    <x v="5"/>
    <n v="1"/>
    <n v="0"/>
    <x v="0"/>
    <n v="1"/>
    <n v="0"/>
    <n v="173996"/>
    <n v="21180"/>
    <n v="1"/>
    <n v="1575"/>
    <s v="Post and beam"/>
    <x v="1"/>
    <x v="1"/>
    <s v=""/>
    <s v=""/>
    <s v=""/>
    <n v="2.9999999329447746E-2"/>
    <n v="3.0999999046325684"/>
    <n v="2079.9929999999999"/>
  </r>
  <r>
    <x v="5"/>
    <n v="1"/>
    <n v="1"/>
    <x v="3"/>
    <n v="1"/>
    <n v="0"/>
    <n v="39714"/>
    <n v="12321"/>
    <n v="2"/>
    <n v="642"/>
    <s v="Joist"/>
    <x v="3"/>
    <x v="1"/>
    <s v=""/>
    <s v="Addition built 2006 , not sure on code for crawl wall but  there is insulation R30 batt"/>
    <s v=""/>
    <n v="2.9999999329447746E-2"/>
    <n v="3.9000000953674316"/>
    <n v="1524.7619999999999"/>
  </r>
  <r>
    <x v="5"/>
    <n v="1"/>
    <n v="0"/>
    <x v="0"/>
    <n v="1"/>
    <n v="0"/>
    <n v="82219"/>
    <n v="12510"/>
    <n v="1"/>
    <n v="2152"/>
    <s v="Joist"/>
    <x v="3"/>
    <x v="0"/>
    <s v=""/>
    <s v=""/>
    <s v="Fiberglass - Tied, stays"/>
    <n v="2.9999999329447746E-2"/>
    <n v="3.0999999046325684"/>
    <n v="2003.7159999999999"/>
  </r>
  <r>
    <x v="5"/>
    <n v="1"/>
    <n v="0"/>
    <x v="0"/>
    <n v="1"/>
    <n v="0"/>
    <n v="66218"/>
    <n v="10681"/>
    <n v="1"/>
    <n v="290"/>
    <s v="Joist"/>
    <x v="3"/>
    <x v="1"/>
    <s v=""/>
    <s v=""/>
    <s v=""/>
    <n v="2.9999999329447746E-2"/>
    <n v="3.0999999046325684"/>
    <n v="2003.7159999999999"/>
  </r>
  <r>
    <x v="5"/>
    <n v="1"/>
    <n v="1"/>
    <x v="2"/>
    <n v="0"/>
    <n v="0"/>
    <n v="86942"/>
    <n v="23113"/>
    <n v="1"/>
    <n v="972"/>
    <s v="Joist"/>
    <x v="4"/>
    <x v="0"/>
    <s v="Fiberglass - Stapled"/>
    <s v=""/>
    <s v="Fiberglass - Stapled"/>
    <n v="2.9999999329447746E-2"/>
    <n v="10.699999809265137"/>
    <n v="1144.6790000000001"/>
  </r>
  <r>
    <x v="5"/>
    <n v="1"/>
    <n v="1"/>
    <x v="3"/>
    <n v="1"/>
    <n v="0"/>
    <n v="52012"/>
    <n v="24332"/>
    <n v="1"/>
    <n v="840"/>
    <s v="Joist"/>
    <x v="3"/>
    <x v="0"/>
    <s v="Rigid"/>
    <s v=""/>
    <s v="Fiberglass - Tied, stays"/>
    <n v="2.9999999329447746E-2"/>
    <n v="3.9000000953674316"/>
    <n v="2130.886"/>
  </r>
  <r>
    <x v="5"/>
    <n v="1"/>
    <n v="0"/>
    <x v="0"/>
    <n v="1"/>
    <n v="0"/>
    <n v="163346"/>
    <n v="23602"/>
    <n v="1"/>
    <n v="1728"/>
    <s v="Joist"/>
    <x v="4"/>
    <x v="1"/>
    <s v=""/>
    <s v=""/>
    <s v=""/>
    <n v="2.9999999329447746E-2"/>
    <n v="3.0999999046325684"/>
    <n v="1192.4649999999999"/>
  </r>
  <r>
    <x v="5"/>
    <n v="1"/>
    <n v="0"/>
    <x v="0"/>
    <n v="1"/>
    <n v="0"/>
    <n v="170847"/>
    <n v="20180"/>
    <n v="1"/>
    <n v="754"/>
    <s v="Joist"/>
    <x v="4"/>
    <x v="1"/>
    <s v=""/>
    <s v=""/>
    <s v=""/>
    <n v="2.9999999329447746E-2"/>
    <n v="3.0999999046325684"/>
    <n v="1612.692"/>
  </r>
  <r>
    <x v="5"/>
    <n v="1"/>
    <n v="0"/>
    <x v="0"/>
    <n v="1"/>
    <n v="0"/>
    <n v="142235"/>
    <n v="21417"/>
    <n v="1"/>
    <n v="1853"/>
    <s v="Joist"/>
    <x v="4"/>
    <x v="1"/>
    <s v=""/>
    <s v=""/>
    <s v=""/>
    <n v="2.9999999329447746E-2"/>
    <n v="3.0999999046325684"/>
    <n v="1192.4649999999999"/>
  </r>
  <r>
    <x v="5"/>
    <n v="1"/>
    <n v="0"/>
    <x v="0"/>
    <n v="1"/>
    <n v="0"/>
    <n v="93415"/>
    <n v="12690"/>
    <n v="1"/>
    <n v="1260"/>
    <s v="Joist"/>
    <x v="3"/>
    <x v="1"/>
    <s v=""/>
    <s v=""/>
    <s v="Fiberglass - Tied, stays"/>
    <n v="2.9999999329447746E-2"/>
    <n v="3.0999999046325684"/>
    <n v="4956.4930000000004"/>
  </r>
  <r>
    <x v="5"/>
    <n v="1"/>
    <n v="0"/>
    <x v="0"/>
    <n v="1"/>
    <n v="1"/>
    <n v="171642"/>
    <n v="22322"/>
    <n v="1"/>
    <n v="2473"/>
    <s v="Joist"/>
    <x v="3"/>
    <x v="0"/>
    <s v=""/>
    <s v=""/>
    <s v=""/>
    <n v="2.9999999329447746E-2"/>
    <n v="4.5"/>
    <n v="1612.692"/>
  </r>
  <r>
    <x v="5"/>
    <n v="1"/>
    <n v="0"/>
    <x v="0"/>
    <n v="0"/>
    <m/>
    <n v="183336"/>
    <n v="23489"/>
    <n v="1"/>
    <n v="1404"/>
    <s v="Joist"/>
    <x v="3"/>
    <x v="1"/>
    <s v=""/>
    <s v=""/>
    <s v=""/>
    <n v="2.9999999329447746E-2"/>
    <n v="5"/>
    <n v="3785.7640000000001"/>
  </r>
  <r>
    <x v="5"/>
    <n v="1"/>
    <n v="0"/>
    <x v="0"/>
    <n v="1"/>
    <n v="1"/>
    <n v="683112"/>
    <n v="21615"/>
    <n v="1"/>
    <n v="1605"/>
    <s v="Joist"/>
    <x v="4"/>
    <x v="1"/>
    <s v=""/>
    <s v=""/>
    <s v=""/>
    <n v="2.9999999329447746E-2"/>
    <n v="4.5"/>
    <n v="12271.31"/>
  </r>
  <r>
    <x v="5"/>
    <n v="1"/>
    <n v="1"/>
    <x v="3"/>
    <n v="1"/>
    <n v="0"/>
    <n v="74872"/>
    <n v="22059"/>
    <n v="1"/>
    <n v="1208"/>
    <s v="Joist"/>
    <x v="4"/>
    <x v="0"/>
    <s v="Rigid"/>
    <s v=""/>
    <s v="Fiberglass - Tied, stays"/>
    <n v="2.9999999329447746E-2"/>
    <n v="3.9000000953674316"/>
    <n v="1904.288"/>
  </r>
  <r>
    <x v="5"/>
    <n v="1"/>
    <n v="0"/>
    <x v="0"/>
    <n v="1"/>
    <n v="1"/>
    <n v="216353"/>
    <n v="23444"/>
    <n v="1"/>
    <n v="1509"/>
    <s v="Post and beam"/>
    <x v="1"/>
    <x v="0"/>
    <s v=""/>
    <s v=""/>
    <s v=""/>
    <n v="2.9999999329447746E-2"/>
    <n v="4.5"/>
    <n v="2079.9929999999999"/>
  </r>
  <r>
    <x v="5"/>
    <n v="1"/>
    <n v="0"/>
    <x v="0"/>
    <n v="1"/>
    <n v="0"/>
    <n v="151314"/>
    <n v="20448"/>
    <n v="1"/>
    <n v="1921"/>
    <s v="Joist"/>
    <x v="3"/>
    <x v="1"/>
    <s v=""/>
    <s v=""/>
    <s v=""/>
    <n v="2.9999999329447746E-2"/>
    <n v="3.0999999046325684"/>
    <n v="1612.692"/>
  </r>
  <r>
    <x v="5"/>
    <n v="1"/>
    <n v="0"/>
    <x v="0"/>
    <n v="1"/>
    <n v="0"/>
    <n v="204326"/>
    <n v="22969"/>
    <n v="1"/>
    <n v="1424"/>
    <s v="Post and beam"/>
    <x v="1"/>
    <x v="1"/>
    <s v=""/>
    <s v=""/>
    <s v=""/>
    <n v="2.9999999329447746E-2"/>
    <n v="3.0999999046325684"/>
    <n v="2079.9929999999999"/>
  </r>
  <r>
    <x v="5"/>
    <n v="1"/>
    <n v="0"/>
    <x v="0"/>
    <n v="1"/>
    <n v="0"/>
    <n v="189397"/>
    <n v="11439"/>
    <n v="1"/>
    <n v="1257"/>
    <s v="Post and beam"/>
    <x v="1"/>
    <x v="1"/>
    <s v=""/>
    <s v=""/>
    <s v=""/>
    <n v="2.9999999329447746E-2"/>
    <n v="3.0999999046325684"/>
    <n v="6932.7380000000003"/>
  </r>
  <r>
    <x v="5"/>
    <n v="1"/>
    <n v="0"/>
    <x v="0"/>
    <n v="1"/>
    <n v="0"/>
    <n v="63855"/>
    <n v="20392"/>
    <n v="1"/>
    <n v="2689"/>
    <s v="Joist"/>
    <x v="4"/>
    <x v="1"/>
    <s v=""/>
    <s v=""/>
    <s v="Fiberglass - Tied, stays"/>
    <n v="2.9999999329447746E-2"/>
    <n v="3.0999999046325684"/>
    <n v="1904.288"/>
  </r>
  <r>
    <x v="5"/>
    <n v="1"/>
    <n v="0"/>
    <x v="0"/>
    <n v="0"/>
    <m/>
    <n v="181870"/>
    <n v="13880"/>
    <n v="1"/>
    <n v="1192"/>
    <s v="Joist"/>
    <x v="4"/>
    <x v="1"/>
    <s v=""/>
    <s v=""/>
    <s v=""/>
    <n v="2.9999999329447746E-2"/>
    <n v="5"/>
    <n v="4956.4930000000004"/>
  </r>
  <r>
    <x v="5"/>
    <n v="1"/>
    <n v="0"/>
    <x v="0"/>
    <n v="1"/>
    <n v="1"/>
    <n v="88783"/>
    <n v="24671"/>
    <n v="1"/>
    <n v="1314"/>
    <s v="Post and beam"/>
    <x v="0"/>
    <x v="0"/>
    <s v=""/>
    <s v=""/>
    <s v="Fiberglass - Tied, stays"/>
    <n v="2.9999999329447746E-2"/>
    <n v="4.5"/>
    <n v="1925.059"/>
  </r>
  <r>
    <x v="5"/>
    <n v="1"/>
    <n v="0"/>
    <x v="0"/>
    <n v="1"/>
    <n v="0"/>
    <n v="51475"/>
    <n v="12033"/>
    <n v="1"/>
    <n v="979"/>
    <s v="Joist"/>
    <x v="3"/>
    <x v="0"/>
    <s v=""/>
    <s v=""/>
    <s v="Fiberglass - Stapled"/>
    <n v="2.9999999329447746E-2"/>
    <n v="3.0999999046325684"/>
    <n v="1188.027"/>
  </r>
  <r>
    <x v="5"/>
    <n v="1"/>
    <n v="0"/>
    <x v="0"/>
    <n v="1"/>
    <n v="0"/>
    <n v="86342"/>
    <n v="12620"/>
    <n v="1"/>
    <n v="330"/>
    <s v="Post and beam"/>
    <x v="0"/>
    <x v="1"/>
    <s v=""/>
    <s v=""/>
    <s v="Fiberglass - Tied, stays"/>
    <n v="2.9999999329447746E-2"/>
    <n v="3.0999999046325684"/>
    <n v="2003.7159999999999"/>
  </r>
  <r>
    <x v="5"/>
    <n v="1"/>
    <n v="0"/>
    <x v="0"/>
    <n v="1"/>
    <n v="0"/>
    <n v="118260"/>
    <n v="10525"/>
    <n v="1"/>
    <n v="636"/>
    <s v="Post and beam"/>
    <x v="3"/>
    <x v="1"/>
    <s v=""/>
    <s v=""/>
    <s v="Fiberglass - Tied, stays"/>
    <n v="2.9999999329447746E-2"/>
    <n v="3.0999999046325684"/>
    <n v="1464.694"/>
  </r>
  <r>
    <x v="5"/>
    <n v="1"/>
    <n v="0"/>
    <x v="0"/>
    <n v="1"/>
    <n v="0"/>
    <n v="214075"/>
    <n v="12086"/>
    <n v="1"/>
    <n v="1250"/>
    <s v="Joist"/>
    <x v="2"/>
    <x v="0"/>
    <s v=""/>
    <s v=""/>
    <s v=""/>
    <n v="2.9999999329447746E-2"/>
    <n v="3.0999999046325684"/>
    <n v="1464.694"/>
  </r>
  <r>
    <x v="5"/>
    <n v="1"/>
    <n v="0"/>
    <x v="0"/>
    <n v="1"/>
    <n v="0"/>
    <n v="28230"/>
    <n v="12407"/>
    <n v="1"/>
    <n v="1787"/>
    <s v="Post and beam"/>
    <x v="4"/>
    <x v="0"/>
    <s v=""/>
    <s v=""/>
    <s v="Fiberglass - Tied, stays"/>
    <n v="2.9999999329447746E-2"/>
    <n v="3.0999999046325684"/>
    <n v="1150.8789999999999"/>
  </r>
  <r>
    <x v="5"/>
    <n v="1"/>
    <n v="0"/>
    <x v="0"/>
    <n v="1"/>
    <n v="0"/>
    <n v="138278"/>
    <n v="22131"/>
    <n v="1"/>
    <n v="1004"/>
    <s v="Post and beam"/>
    <x v="0"/>
    <x v="0"/>
    <s v=""/>
    <s v=""/>
    <s v=""/>
    <n v="2.9999999329447746E-2"/>
    <n v="3.0999999046325684"/>
    <n v="8264.9449999999997"/>
  </r>
  <r>
    <x v="5"/>
    <n v="1"/>
    <n v="0"/>
    <x v="0"/>
    <n v="1"/>
    <n v="0"/>
    <n v="106959"/>
    <n v="22186"/>
    <n v="1"/>
    <n v="1400"/>
    <s v="Joist"/>
    <x v="3"/>
    <x v="1"/>
    <s v=""/>
    <s v=""/>
    <s v="Fiberglass - Tied, stays"/>
    <n v="2.9999999329447746E-2"/>
    <n v="3.0999999046325684"/>
    <n v="3785.7640000000001"/>
  </r>
  <r>
    <x v="5"/>
    <n v="1"/>
    <n v="0"/>
    <x v="0"/>
    <n v="1"/>
    <n v="0"/>
    <n v="91552"/>
    <n v="11236"/>
    <n v="1"/>
    <n v="2114"/>
    <s v="Joist"/>
    <x v="3"/>
    <x v="0"/>
    <s v=""/>
    <s v=""/>
    <s v="Fiberglass - Tied, stays"/>
    <n v="2.9999999329447746E-2"/>
    <n v="3.0999999046325684"/>
    <n v="4956.4930000000004"/>
  </r>
  <r>
    <x v="5"/>
    <n v="1"/>
    <n v="0"/>
    <x v="0"/>
    <n v="1"/>
    <n v="0"/>
    <n v="227560"/>
    <n v="10705"/>
    <n v="1"/>
    <n v="1550"/>
    <s v="Joist"/>
    <x v="3"/>
    <x v="1"/>
    <s v=""/>
    <s v="joist are TGI"/>
    <s v=""/>
    <n v="2.9999999329447746E-2"/>
    <n v="3.0999999046325684"/>
    <n v="1464.694"/>
  </r>
  <r>
    <x v="5"/>
    <n v="1"/>
    <n v="0"/>
    <x v="0"/>
    <n v="1"/>
    <n v="1"/>
    <n v="230043"/>
    <n v="20020"/>
    <n v="1"/>
    <n v="2026"/>
    <s v="Joist"/>
    <x v="3"/>
    <x v="1"/>
    <s v=""/>
    <s v=""/>
    <s v=""/>
    <n v="2.9999999329447746E-2"/>
    <n v="4.5"/>
    <n v="1904.288"/>
  </r>
  <r>
    <x v="6"/>
    <n v="0.9"/>
    <n v="0"/>
    <x v="0"/>
    <n v="1"/>
    <n v="0"/>
    <n v="39324"/>
    <n v="11549"/>
    <n v="1"/>
    <n v="880"/>
    <s v="Joist"/>
    <x v="2"/>
    <x v="0"/>
    <s v="Spray Foam"/>
    <s v=""/>
    <s v="Spray Foam"/>
    <n v="5.000000074505806E-2"/>
    <n v="3.0999999046325684"/>
    <n v="1524.7619999999999"/>
  </r>
  <r>
    <x v="6"/>
    <n v="1"/>
    <n v="1"/>
    <x v="4"/>
    <n v="1"/>
    <n v="0"/>
    <n v="36214"/>
    <n v="10637"/>
    <n v="1"/>
    <n v="1805"/>
    <s v="Joist"/>
    <x v="0"/>
    <x v="0"/>
    <s v="Spray Foam"/>
    <s v=""/>
    <s v="Spray Foam"/>
    <n v="2.9999999329447746E-2"/>
    <n v="4.5999999046325684"/>
    <n v="1188.027"/>
  </r>
  <r>
    <x v="6"/>
    <n v="1"/>
    <n v="0"/>
    <x v="0"/>
    <n v="1"/>
    <n v="1"/>
    <n v="159356"/>
    <n v="10540"/>
    <n v="1"/>
    <n v="200"/>
    <s v="Joist"/>
    <x v="4"/>
    <x v="0"/>
    <s v=""/>
    <s v=""/>
    <s v=""/>
    <n v="2.9999999329447746E-2"/>
    <n v="4.5"/>
    <n v="6932.7380000000003"/>
  </r>
  <r>
    <x v="6"/>
    <n v="1"/>
    <n v="0"/>
    <x v="0"/>
    <n v="0"/>
    <m/>
    <n v="722484"/>
    <n v="22177"/>
    <n v="2"/>
    <n v="84"/>
    <s v="Joist"/>
    <x v="4"/>
    <x v="1"/>
    <s v=""/>
    <s v=""/>
    <s v=""/>
    <n v="2.9999999329447746E-2"/>
    <n v="5"/>
    <n v="1612.692"/>
  </r>
  <r>
    <x v="6"/>
    <n v="1"/>
    <n v="0"/>
    <x v="0"/>
    <n v="0"/>
    <n v="0"/>
    <n v="90005"/>
    <n v="13275"/>
    <n v="1"/>
    <n v="572"/>
    <s v="Post and beam"/>
    <x v="3"/>
    <x v="0"/>
    <s v=""/>
    <s v=""/>
    <s v="Fiberglass - Tied, stays"/>
    <n v="2.9999999329447746E-2"/>
    <n v="5"/>
    <n v="2003.7159999999999"/>
  </r>
  <r>
    <x v="6"/>
    <n v="1"/>
    <n v="0"/>
    <x v="0"/>
    <n v="1"/>
    <n v="0"/>
    <n v="79218"/>
    <n v="12320"/>
    <n v="1"/>
    <n v="1214"/>
    <s v="Post and beam"/>
    <x v="4"/>
    <x v="1"/>
    <s v=""/>
    <s v=""/>
    <s v="Fiberglass - Tied, stays"/>
    <n v="2.9999999329447746E-2"/>
    <n v="3.0999999046325684"/>
    <n v="2003.7159999999999"/>
  </r>
  <r>
    <x v="6"/>
    <n v="1"/>
    <n v="0"/>
    <x v="0"/>
    <n v="1"/>
    <n v="0"/>
    <n v="96780"/>
    <n v="12414"/>
    <n v="1"/>
    <n v="972"/>
    <s v="Joist"/>
    <x v="2"/>
    <x v="0"/>
    <s v=""/>
    <s v=""/>
    <s v="Fiberglass - Tied, stays"/>
    <n v="2.9999999329447746E-2"/>
    <n v="3.0999999046325684"/>
    <n v="1524.7619999999999"/>
  </r>
  <r>
    <x v="6"/>
    <n v="1"/>
    <n v="0"/>
    <x v="0"/>
    <n v="1"/>
    <n v="0"/>
    <n v="103645"/>
    <n v="24259"/>
    <n v="1"/>
    <n v="252"/>
    <s v="Joist"/>
    <x v="3"/>
    <x v="0"/>
    <s v=""/>
    <s v=""/>
    <s v="Fiberglass - Stapled"/>
    <n v="2.9999999329447746E-2"/>
    <n v="3.0999999046325684"/>
    <n v="1144.6790000000001"/>
  </r>
  <r>
    <x v="7"/>
    <n v="0.25"/>
    <n v="0"/>
    <x v="0"/>
    <n v="0"/>
    <n v="0"/>
    <n v="122978"/>
    <n v="24027"/>
    <n v="1"/>
    <n v="484"/>
    <s v="Joist"/>
    <x v="0"/>
    <x v="0"/>
    <s v=""/>
    <s v=""/>
    <s v="Fiberglass - Tied, stays"/>
    <n v="0.19499999284744263"/>
    <n v="5"/>
    <n v="1925.059"/>
  </r>
  <r>
    <x v="7"/>
    <n v="0.25"/>
    <n v="0"/>
    <x v="0"/>
    <n v="1"/>
    <n v="0"/>
    <n v="123952"/>
    <n v="24522"/>
    <n v="1"/>
    <n v="1697"/>
    <s v="Post and beam"/>
    <x v="4"/>
    <x v="1"/>
    <s v=""/>
    <s v=""/>
    <s v="Fiberglass - Stapled"/>
    <n v="0.19499999284744263"/>
    <n v="3.0999999046325684"/>
    <n v="2079.9929999999999"/>
  </r>
  <r>
    <x v="7"/>
    <n v="0.25"/>
    <n v="0"/>
    <x v="0"/>
    <n v="1"/>
    <n v="0"/>
    <n v="107943"/>
    <n v="10951"/>
    <n v="1"/>
    <n v="1675"/>
    <s v="Post and beam"/>
    <x v="0"/>
    <x v="1"/>
    <s v=""/>
    <s v=""/>
    <s v="Fiberglass - Stapled"/>
    <n v="0.19499999284744263"/>
    <n v="3.0999999046325684"/>
    <n v="4956.4930000000004"/>
  </r>
  <r>
    <x v="7"/>
    <n v="0.5"/>
    <n v="0"/>
    <x v="0"/>
    <n v="1"/>
    <n v="0"/>
    <n v="141132"/>
    <n v="12856"/>
    <n v="1"/>
    <n v="840"/>
    <s v="Joist"/>
    <x v="2"/>
    <x v="0"/>
    <s v=""/>
    <s v=""/>
    <s v=""/>
    <n v="0.15999999642372131"/>
    <n v="3.0999999046325684"/>
    <n v="4956.4930000000004"/>
  </r>
  <r>
    <x v="7"/>
    <n v="0.75"/>
    <n v="0"/>
    <x v="0"/>
    <n v="0"/>
    <n v="0"/>
    <n v="65331"/>
    <n v="10786"/>
    <n v="1"/>
    <n v="930"/>
    <s v="Joist"/>
    <x v="3"/>
    <x v="1"/>
    <s v=""/>
    <s v=""/>
    <s v="Fiberglass - Tied, stays"/>
    <n v="0.11999999731779099"/>
    <n v="5"/>
    <n v="2003.7159999999999"/>
  </r>
  <r>
    <x v="7"/>
    <n v="0.75"/>
    <n v="0"/>
    <x v="0"/>
    <n v="1"/>
    <n v="0"/>
    <n v="41666"/>
    <n v="11187"/>
    <n v="1"/>
    <n v="1350"/>
    <s v="Joist"/>
    <x v="2"/>
    <x v="0"/>
    <s v=""/>
    <s v=""/>
    <s v="Fiberglass - Stapled"/>
    <n v="0.11999999731779099"/>
    <n v="3.0999999046325684"/>
    <n v="1524.7619999999999"/>
  </r>
  <r>
    <x v="7"/>
    <n v="0.75"/>
    <n v="0"/>
    <x v="0"/>
    <n v="0"/>
    <n v="0"/>
    <n v="32984"/>
    <n v="20458"/>
    <n v="1"/>
    <n v="923"/>
    <s v="Joist"/>
    <x v="2"/>
    <x v="0"/>
    <s v=""/>
    <s v=""/>
    <s v="Fiberglass - Stapled"/>
    <n v="0.11999999731779099"/>
    <n v="5"/>
    <n v="3785.7640000000001"/>
  </r>
  <r>
    <x v="7"/>
    <n v="0.75"/>
    <n v="0"/>
    <x v="0"/>
    <n v="1"/>
    <n v="0"/>
    <n v="32735"/>
    <n v="12229"/>
    <n v="1"/>
    <n v="1400"/>
    <s v="Joist"/>
    <x v="0"/>
    <x v="1"/>
    <s v=""/>
    <s v=""/>
    <s v="Fiberglass - Tied, stays"/>
    <n v="0.11999999731779099"/>
    <n v="3.0999999046325684"/>
    <n v="1524.7619999999999"/>
  </r>
  <r>
    <x v="7"/>
    <n v="0.9"/>
    <n v="0"/>
    <x v="0"/>
    <n v="1"/>
    <n v="0"/>
    <n v="31829"/>
    <n v="11032"/>
    <n v="1"/>
    <n v="436"/>
    <s v="Joist"/>
    <x v="0"/>
    <x v="0"/>
    <s v=""/>
    <s v=""/>
    <s v="Fiberglass - Stapled"/>
    <n v="0.10000000149011612"/>
    <n v="3.0999999046325684"/>
    <n v="1188.027"/>
  </r>
  <r>
    <x v="7"/>
    <n v="0.9"/>
    <n v="0"/>
    <x v="0"/>
    <n v="1"/>
    <n v="0"/>
    <n v="213953"/>
    <n v="23952"/>
    <n v="1"/>
    <n v="1640"/>
    <s v="Joist"/>
    <x v="0"/>
    <x v="0"/>
    <s v=""/>
    <s v=""/>
    <s v=""/>
    <n v="0.10000000149011612"/>
    <n v="3.0999999046325684"/>
    <n v="1612.692"/>
  </r>
  <r>
    <x v="7"/>
    <n v="0.9"/>
    <n v="0"/>
    <x v="0"/>
    <n v="1"/>
    <n v="1"/>
    <n v="32891"/>
    <n v="10852"/>
    <n v="1"/>
    <n v="800"/>
    <s v="Joist"/>
    <x v="2"/>
    <x v="0"/>
    <s v=""/>
    <s v=""/>
    <s v="Fiberglass - Tied, stays"/>
    <n v="0.10000000149011612"/>
    <n v="4.5"/>
    <n v="1188.027"/>
  </r>
  <r>
    <x v="7"/>
    <n v="0.9"/>
    <n v="0"/>
    <x v="0"/>
    <n v="1"/>
    <n v="0"/>
    <n v="677187"/>
    <n v="12274"/>
    <n v="1"/>
    <n v="1182"/>
    <s v="Joist"/>
    <x v="2"/>
    <x v="0"/>
    <s v=""/>
    <s v=""/>
    <s v=""/>
    <n v="0.10000000149011612"/>
    <n v="3.0999999046325684"/>
    <n v="4956.4930000000004"/>
  </r>
  <r>
    <x v="7"/>
    <n v="0.9"/>
    <n v="0"/>
    <x v="0"/>
    <n v="1"/>
    <n v="0"/>
    <n v="135745"/>
    <n v="10612"/>
    <n v="1"/>
    <n v="1748"/>
    <s v="Post and beam"/>
    <x v="1"/>
    <x v="1"/>
    <s v=""/>
    <s v=""/>
    <s v=""/>
    <n v="0.10000000149011612"/>
    <n v="3.0999999046325684"/>
    <n v="6932.7380000000003"/>
  </r>
  <r>
    <x v="7"/>
    <n v="0.9"/>
    <n v="0"/>
    <x v="0"/>
    <n v="1"/>
    <n v="0"/>
    <n v="119716"/>
    <n v="10658"/>
    <n v="1"/>
    <n v="750"/>
    <s v="Post and beam"/>
    <x v="0"/>
    <x v="0"/>
    <s v=""/>
    <s v=""/>
    <s v="Fiberglass - Tied, stays"/>
    <n v="0.10000000149011612"/>
    <n v="3.0999999046325684"/>
    <n v="1464.694"/>
  </r>
  <r>
    <x v="7"/>
    <n v="0.9"/>
    <n v="0"/>
    <x v="0"/>
    <n v="0"/>
    <m/>
    <n v="237819"/>
    <n v="11775"/>
    <n v="1"/>
    <n v="1318"/>
    <s v="Post and beam"/>
    <x v="1"/>
    <x v="0"/>
    <s v=""/>
    <s v="no vent visible."/>
    <s v=""/>
    <n v="0.10000000149011612"/>
    <n v="5"/>
    <n v="4956.4930000000004"/>
  </r>
  <r>
    <x v="7"/>
    <n v="0.9"/>
    <n v="0"/>
    <x v="0"/>
    <n v="0"/>
    <n v="0"/>
    <n v="678196"/>
    <n v="10887"/>
    <n v="3"/>
    <n v="176"/>
    <s v="Joist"/>
    <x v="2"/>
    <x v="0"/>
    <s v=""/>
    <s v=""/>
    <s v=""/>
    <n v="0.10000000149011612"/>
    <n v="5"/>
    <n v="1464.694"/>
  </r>
  <r>
    <x v="7"/>
    <n v="0.9"/>
    <n v="0"/>
    <x v="0"/>
    <n v="1"/>
    <n v="0"/>
    <n v="30036"/>
    <n v="10978"/>
    <n v="1"/>
    <n v="1000"/>
    <s v="Post and beam"/>
    <x v="3"/>
    <x v="1"/>
    <s v=""/>
    <s v=""/>
    <s v="Fiberglass - Stapled"/>
    <n v="0.10000000149011612"/>
    <n v="3.0999999046325684"/>
    <n v="1524.7619999999999"/>
  </r>
  <r>
    <x v="7"/>
    <n v="1"/>
    <n v="0"/>
    <x v="0"/>
    <n v="1"/>
    <n v="0"/>
    <n v="91407"/>
    <n v="13455"/>
    <n v="1"/>
    <n v="2469"/>
    <s v="Post and beam"/>
    <x v="1"/>
    <x v="0"/>
    <s v=""/>
    <s v=""/>
    <s v="Fiberglass - Tied, stays"/>
    <n v="9.0000003576278687E-2"/>
    <n v="3.0999999046325684"/>
    <n v="2003.7159999999999"/>
  </r>
  <r>
    <x v="7"/>
    <n v="1"/>
    <n v="0"/>
    <x v="0"/>
    <n v="0"/>
    <n v="0"/>
    <n v="35973"/>
    <n v="12307"/>
    <n v="1"/>
    <n v="356"/>
    <s v="Joist"/>
    <x v="4"/>
    <x v="1"/>
    <s v=""/>
    <s v="crawl storage area had R9 bats in ceiling. Crawl has a concrete floor that was added by the homeowner to create a storage area. Its 4.66 ft high"/>
    <s v="Fiberglass - Stapled"/>
    <n v="9.0000003576278687E-2"/>
    <n v="5"/>
    <n v="1524.761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multipleFieldFilters="0">
  <location ref="B113:K208" firstHeaderRow="1" firstDataRow="1" firstDataCol="10"/>
  <pivotFields count="10">
    <pivotField axis="axisRow" compact="0" outline="0" showAll="0" defaultSubtotal="0">
      <items count="4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s>
    </pivotField>
    <pivotField axis="axisRow" compact="0" outline="0" showAll="0" defaultSubtotal="0">
      <items count="450">
        <item x="302"/>
        <item x="301"/>
        <item x="300"/>
        <item x="98"/>
        <item x="97"/>
        <item x="96"/>
        <item x="92"/>
        <item x="91"/>
        <item x="90"/>
        <item x="95"/>
        <item x="94"/>
        <item x="93"/>
        <item x="392"/>
        <item x="391"/>
        <item x="390"/>
        <item x="305"/>
        <item x="304"/>
        <item x="303"/>
        <item x="107"/>
        <item x="106"/>
        <item x="105"/>
        <item x="101"/>
        <item x="100"/>
        <item x="99"/>
        <item x="104"/>
        <item x="103"/>
        <item x="102"/>
        <item x="395"/>
        <item x="394"/>
        <item x="393"/>
        <item x="308"/>
        <item x="307"/>
        <item x="306"/>
        <item x="116"/>
        <item x="115"/>
        <item x="114"/>
        <item x="110"/>
        <item x="109"/>
        <item x="108"/>
        <item x="113"/>
        <item x="112"/>
        <item x="111"/>
        <item x="398"/>
        <item x="397"/>
        <item x="396"/>
        <item x="311"/>
        <item x="310"/>
        <item x="309"/>
        <item x="125"/>
        <item x="124"/>
        <item x="123"/>
        <item x="119"/>
        <item x="118"/>
        <item x="117"/>
        <item x="122"/>
        <item x="121"/>
        <item x="120"/>
        <item x="401"/>
        <item x="400"/>
        <item x="399"/>
        <item x="314"/>
        <item x="313"/>
        <item x="312"/>
        <item x="134"/>
        <item x="133"/>
        <item x="132"/>
        <item x="128"/>
        <item x="127"/>
        <item x="126"/>
        <item x="131"/>
        <item x="130"/>
        <item x="129"/>
        <item x="404"/>
        <item x="403"/>
        <item x="402"/>
        <item x="317"/>
        <item x="316"/>
        <item x="315"/>
        <item x="143"/>
        <item x="142"/>
        <item x="141"/>
        <item x="137"/>
        <item x="136"/>
        <item x="135"/>
        <item x="140"/>
        <item x="139"/>
        <item x="138"/>
        <item x="407"/>
        <item x="406"/>
        <item x="405"/>
        <item x="320"/>
        <item x="319"/>
        <item x="318"/>
        <item x="152"/>
        <item x="151"/>
        <item x="150"/>
        <item x="146"/>
        <item x="145"/>
        <item x="144"/>
        <item x="149"/>
        <item x="148"/>
        <item x="147"/>
        <item x="410"/>
        <item x="409"/>
        <item x="408"/>
        <item x="323"/>
        <item x="322"/>
        <item x="321"/>
        <item x="161"/>
        <item x="160"/>
        <item x="159"/>
        <item x="155"/>
        <item x="154"/>
        <item x="153"/>
        <item x="158"/>
        <item x="157"/>
        <item x="156"/>
        <item x="413"/>
        <item x="412"/>
        <item x="411"/>
        <item x="326"/>
        <item x="325"/>
        <item x="324"/>
        <item x="170"/>
        <item x="169"/>
        <item x="168"/>
        <item x="164"/>
        <item x="163"/>
        <item x="162"/>
        <item x="167"/>
        <item x="166"/>
        <item x="165"/>
        <item x="416"/>
        <item x="415"/>
        <item x="414"/>
        <item x="329"/>
        <item x="328"/>
        <item x="327"/>
        <item x="179"/>
        <item x="178"/>
        <item x="177"/>
        <item x="173"/>
        <item x="172"/>
        <item x="171"/>
        <item x="176"/>
        <item x="175"/>
        <item x="174"/>
        <item x="419"/>
        <item x="418"/>
        <item x="417"/>
        <item x="272"/>
        <item x="271"/>
        <item x="270"/>
        <item x="8"/>
        <item x="7"/>
        <item x="6"/>
        <item x="2"/>
        <item x="1"/>
        <item x="0"/>
        <item x="5"/>
        <item x="4"/>
        <item x="3"/>
        <item x="362"/>
        <item x="361"/>
        <item x="360"/>
        <item x="275"/>
        <item x="274"/>
        <item x="273"/>
        <item x="17"/>
        <item x="16"/>
        <item x="15"/>
        <item x="11"/>
        <item x="10"/>
        <item x="9"/>
        <item x="14"/>
        <item x="13"/>
        <item x="12"/>
        <item x="365"/>
        <item x="364"/>
        <item x="363"/>
        <item x="278"/>
        <item x="277"/>
        <item x="276"/>
        <item x="26"/>
        <item x="25"/>
        <item x="24"/>
        <item x="20"/>
        <item x="19"/>
        <item x="18"/>
        <item x="23"/>
        <item x="22"/>
        <item x="21"/>
        <item x="368"/>
        <item x="367"/>
        <item x="366"/>
        <item x="281"/>
        <item x="280"/>
        <item x="279"/>
        <item x="35"/>
        <item x="34"/>
        <item x="33"/>
        <item x="29"/>
        <item x="28"/>
        <item x="27"/>
        <item x="32"/>
        <item x="31"/>
        <item x="30"/>
        <item x="371"/>
        <item x="370"/>
        <item x="369"/>
        <item x="284"/>
        <item x="283"/>
        <item x="282"/>
        <item x="44"/>
        <item x="43"/>
        <item x="42"/>
        <item x="38"/>
        <item x="37"/>
        <item x="36"/>
        <item x="41"/>
        <item x="40"/>
        <item x="39"/>
        <item x="374"/>
        <item x="373"/>
        <item x="372"/>
        <item x="287"/>
        <item x="286"/>
        <item x="285"/>
        <item x="53"/>
        <item x="52"/>
        <item x="51"/>
        <item x="47"/>
        <item x="46"/>
        <item x="45"/>
        <item x="50"/>
        <item x="49"/>
        <item x="48"/>
        <item x="377"/>
        <item x="376"/>
        <item x="375"/>
        <item x="290"/>
        <item x="289"/>
        <item x="288"/>
        <item x="62"/>
        <item x="61"/>
        <item x="60"/>
        <item x="56"/>
        <item x="55"/>
        <item x="54"/>
        <item x="59"/>
        <item x="58"/>
        <item x="57"/>
        <item x="380"/>
        <item x="379"/>
        <item x="378"/>
        <item x="293"/>
        <item x="292"/>
        <item x="291"/>
        <item x="71"/>
        <item x="70"/>
        <item x="69"/>
        <item x="65"/>
        <item x="64"/>
        <item x="63"/>
        <item x="68"/>
        <item x="67"/>
        <item x="66"/>
        <item x="383"/>
        <item x="382"/>
        <item x="381"/>
        <item x="296"/>
        <item x="295"/>
        <item x="294"/>
        <item x="80"/>
        <item x="79"/>
        <item x="78"/>
        <item x="74"/>
        <item x="73"/>
        <item x="72"/>
        <item x="77"/>
        <item x="76"/>
        <item x="75"/>
        <item x="386"/>
        <item x="385"/>
        <item x="384"/>
        <item x="299"/>
        <item x="298"/>
        <item x="297"/>
        <item x="89"/>
        <item x="88"/>
        <item x="87"/>
        <item x="83"/>
        <item x="82"/>
        <item x="81"/>
        <item x="86"/>
        <item x="85"/>
        <item x="84"/>
        <item x="389"/>
        <item x="388"/>
        <item x="387"/>
        <item x="332"/>
        <item x="331"/>
        <item x="330"/>
        <item x="188"/>
        <item x="187"/>
        <item x="186"/>
        <item x="182"/>
        <item x="181"/>
        <item x="180"/>
        <item x="185"/>
        <item x="184"/>
        <item x="183"/>
        <item x="422"/>
        <item x="421"/>
        <item x="420"/>
        <item x="335"/>
        <item x="334"/>
        <item x="333"/>
        <item x="197"/>
        <item x="196"/>
        <item x="195"/>
        <item x="191"/>
        <item x="190"/>
        <item x="189"/>
        <item x="194"/>
        <item x="193"/>
        <item x="192"/>
        <item x="425"/>
        <item x="424"/>
        <item x="423"/>
        <item x="338"/>
        <item x="337"/>
        <item x="336"/>
        <item x="206"/>
        <item x="205"/>
        <item x="204"/>
        <item x="200"/>
        <item x="199"/>
        <item x="198"/>
        <item x="203"/>
        <item x="202"/>
        <item x="201"/>
        <item x="428"/>
        <item x="427"/>
        <item x="426"/>
        <item x="341"/>
        <item x="340"/>
        <item x="339"/>
        <item x="215"/>
        <item x="214"/>
        <item x="213"/>
        <item x="209"/>
        <item x="208"/>
        <item x="207"/>
        <item x="212"/>
        <item x="211"/>
        <item x="210"/>
        <item x="431"/>
        <item x="430"/>
        <item x="429"/>
        <item x="344"/>
        <item x="343"/>
        <item x="342"/>
        <item x="224"/>
        <item x="223"/>
        <item x="222"/>
        <item x="218"/>
        <item x="217"/>
        <item x="216"/>
        <item x="221"/>
        <item x="220"/>
        <item x="219"/>
        <item x="434"/>
        <item x="433"/>
        <item x="432"/>
        <item x="347"/>
        <item x="346"/>
        <item x="345"/>
        <item x="233"/>
        <item x="232"/>
        <item x="231"/>
        <item x="227"/>
        <item x="226"/>
        <item x="225"/>
        <item x="230"/>
        <item x="229"/>
        <item x="228"/>
        <item x="437"/>
        <item x="436"/>
        <item x="435"/>
        <item x="350"/>
        <item x="349"/>
        <item x="348"/>
        <item x="242"/>
        <item x="241"/>
        <item x="240"/>
        <item x="236"/>
        <item x="235"/>
        <item x="234"/>
        <item x="239"/>
        <item x="238"/>
        <item x="237"/>
        <item x="440"/>
        <item x="439"/>
        <item x="438"/>
        <item x="353"/>
        <item x="352"/>
        <item x="351"/>
        <item x="251"/>
        <item x="250"/>
        <item x="249"/>
        <item x="245"/>
        <item x="244"/>
        <item x="243"/>
        <item x="248"/>
        <item x="247"/>
        <item x="246"/>
        <item x="443"/>
        <item x="442"/>
        <item x="441"/>
        <item x="356"/>
        <item x="355"/>
        <item x="354"/>
        <item x="260"/>
        <item x="259"/>
        <item x="258"/>
        <item x="254"/>
        <item x="253"/>
        <item x="252"/>
        <item x="257"/>
        <item x="256"/>
        <item x="255"/>
        <item x="446"/>
        <item x="445"/>
        <item x="444"/>
        <item x="359"/>
        <item x="358"/>
        <item x="357"/>
        <item x="269"/>
        <item x="268"/>
        <item x="267"/>
        <item x="263"/>
        <item x="262"/>
        <item x="261"/>
        <item x="266"/>
        <item x="265"/>
        <item x="264"/>
        <item x="449"/>
        <item x="448"/>
        <item x="447"/>
      </items>
    </pivotField>
    <pivotField axis="axisRow" compact="0" outline="0" showAll="0" defaultSubtotal="0">
      <items count="3">
        <item x="1"/>
        <item x="0"/>
        <item h="1" x="2"/>
      </items>
    </pivotField>
    <pivotField axis="axisRow" compact="0" outline="0" showAll="0" defaultSubtotal="0">
      <items count="5">
        <item x="0"/>
        <item x="1"/>
        <item x="2"/>
        <item x="3"/>
        <item x="4"/>
      </items>
    </pivotField>
    <pivotField axis="axisRow" compact="0" outline="0" showAll="0" defaultSubtotal="0">
      <items count="2">
        <item x="0"/>
        <item x="1"/>
      </items>
    </pivotField>
    <pivotField axis="axisRow" compact="0" outline="0" showAll="0" defaultSubtotal="0">
      <items count="5">
        <item x="3"/>
        <item x="2"/>
        <item x="0"/>
        <item x="1"/>
        <item x="4"/>
      </items>
    </pivotField>
    <pivotField axis="axisRow" compact="0" outline="0" showAll="0" defaultSubtotal="0">
      <items count="3">
        <item x="2"/>
        <item x="1"/>
        <item x="0"/>
      </items>
    </pivotField>
    <pivotField axis="axisRow" compact="0" outline="0" multipleItemSelectionAllowed="1" showAll="0" defaultSubtotal="0">
      <items count="89">
        <item h="1" x="3"/>
        <item x="31"/>
        <item x="4"/>
        <item x="77"/>
        <item x="66"/>
        <item x="34"/>
        <item x="14"/>
        <item x="22"/>
        <item x="40"/>
        <item x="41"/>
        <item x="7"/>
        <item x="0"/>
        <item x="64"/>
        <item x="26"/>
        <item x="61"/>
        <item x="25"/>
        <item x="67"/>
        <item x="15"/>
        <item x="39"/>
        <item x="11"/>
        <item x="68"/>
        <item x="18"/>
        <item x="20"/>
        <item x="12"/>
        <item x="69"/>
        <item x="1"/>
        <item x="35"/>
        <item x="47"/>
        <item x="46"/>
        <item x="19"/>
        <item x="37"/>
        <item x="44"/>
        <item x="48"/>
        <item x="84"/>
        <item x="82"/>
        <item x="13"/>
        <item x="59"/>
        <item x="38"/>
        <item x="9"/>
        <item x="50"/>
        <item x="54"/>
        <item x="42"/>
        <item x="70"/>
        <item x="87"/>
        <item x="85"/>
        <item x="8"/>
        <item x="43"/>
        <item x="74"/>
        <item x="21"/>
        <item x="36"/>
        <item x="80"/>
        <item x="27"/>
        <item x="78"/>
        <item x="5"/>
        <item x="52"/>
        <item x="72"/>
        <item x="62"/>
        <item x="56"/>
        <item x="16"/>
        <item x="81"/>
        <item x="24"/>
        <item x="73"/>
        <item x="83"/>
        <item x="10"/>
        <item x="51"/>
        <item x="63"/>
        <item x="29"/>
        <item x="32"/>
        <item x="75"/>
        <item x="33"/>
        <item x="6"/>
        <item x="53"/>
        <item x="88"/>
        <item x="17"/>
        <item x="23"/>
        <item x="65"/>
        <item x="2"/>
        <item x="76"/>
        <item x="57"/>
        <item x="49"/>
        <item x="71"/>
        <item x="86"/>
        <item x="28"/>
        <item x="45"/>
        <item x="30"/>
        <item x="55"/>
        <item x="58"/>
        <item x="79"/>
        <item x="60"/>
      </items>
    </pivotField>
    <pivotField axis="axisRow" compact="0" outline="0" showAll="0" defaultSubtotal="0">
      <items count="89">
        <item x="31"/>
        <item x="4"/>
        <item x="77"/>
        <item x="66"/>
        <item x="34"/>
        <item x="14"/>
        <item x="22"/>
        <item x="40"/>
        <item x="41"/>
        <item x="7"/>
        <item x="0"/>
        <item x="64"/>
        <item x="26"/>
        <item x="61"/>
        <item x="25"/>
        <item x="67"/>
        <item x="15"/>
        <item x="39"/>
        <item x="11"/>
        <item x="68"/>
        <item x="18"/>
        <item x="20"/>
        <item x="12"/>
        <item x="69"/>
        <item x="1"/>
        <item x="35"/>
        <item x="47"/>
        <item x="46"/>
        <item x="19"/>
        <item x="37"/>
        <item x="44"/>
        <item x="48"/>
        <item x="84"/>
        <item x="82"/>
        <item x="13"/>
        <item x="59"/>
        <item x="38"/>
        <item x="9"/>
        <item x="50"/>
        <item x="54"/>
        <item x="42"/>
        <item x="70"/>
        <item x="87"/>
        <item x="85"/>
        <item x="8"/>
        <item x="43"/>
        <item x="74"/>
        <item x="21"/>
        <item x="36"/>
        <item x="80"/>
        <item x="27"/>
        <item x="78"/>
        <item x="5"/>
        <item x="52"/>
        <item x="72"/>
        <item x="62"/>
        <item x="56"/>
        <item x="16"/>
        <item x="81"/>
        <item x="24"/>
        <item x="73"/>
        <item x="83"/>
        <item x="10"/>
        <item x="51"/>
        <item x="63"/>
        <item x="29"/>
        <item x="32"/>
        <item x="75"/>
        <item x="33"/>
        <item x="6"/>
        <item x="53"/>
        <item x="88"/>
        <item x="17"/>
        <item x="23"/>
        <item x="65"/>
        <item x="2"/>
        <item x="76"/>
        <item x="57"/>
        <item x="49"/>
        <item x="71"/>
        <item x="86"/>
        <item x="28"/>
        <item x="45"/>
        <item x="30"/>
        <item x="55"/>
        <item x="58"/>
        <item x="79"/>
        <item x="60"/>
        <item x="3"/>
      </items>
    </pivotField>
    <pivotField axis="axisRow" compact="0" outline="0" showAll="0" defaultSubtotal="0">
      <items count="4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s>
    </pivotField>
  </pivotFields>
  <rowFields count="10">
    <field x="9"/>
    <field x="0"/>
    <field x="1"/>
    <field x="2"/>
    <field x="3"/>
    <field x="4"/>
    <field x="5"/>
    <field x="6"/>
    <field x="7"/>
    <field x="8"/>
  </rowFields>
  <rowItems count="95">
    <i>
      <x/>
      <x/>
      <x v="158"/>
      <x v="1"/>
      <x/>
      <x/>
      <x v="2"/>
      <x v="2"/>
      <x v="11"/>
      <x v="10"/>
    </i>
    <i>
      <x v="1"/>
      <x v="1"/>
      <x v="157"/>
      <x v="1"/>
      <x/>
      <x/>
      <x v="2"/>
      <x v="1"/>
      <x v="25"/>
      <x v="24"/>
    </i>
    <i>
      <x v="2"/>
      <x v="2"/>
      <x v="156"/>
      <x v="1"/>
      <x/>
      <x/>
      <x v="2"/>
      <x/>
      <x v="76"/>
      <x v="75"/>
    </i>
    <i>
      <x v="5"/>
      <x v="5"/>
      <x v="159"/>
      <x v="1"/>
      <x/>
      <x/>
      <x v="3"/>
      <x/>
      <x v="2"/>
      <x v="1"/>
    </i>
    <i>
      <x v="10"/>
      <x v="10"/>
      <x v="172"/>
      <x v="1"/>
      <x/>
      <x v="1"/>
      <x v="2"/>
      <x v="1"/>
      <x v="53"/>
      <x v="52"/>
    </i>
    <i>
      <x v="11"/>
      <x v="11"/>
      <x v="171"/>
      <x v="1"/>
      <x/>
      <x v="1"/>
      <x v="2"/>
      <x/>
      <x v="70"/>
      <x v="69"/>
    </i>
    <i>
      <x v="16"/>
      <x v="16"/>
      <x v="169"/>
      <x v="1"/>
      <x/>
      <x v="1"/>
      <x v="1"/>
      <x v="1"/>
      <x v="10"/>
      <x v="9"/>
    </i>
    <i>
      <x v="18"/>
      <x v="18"/>
      <x v="188"/>
      <x v="1"/>
      <x v="1"/>
      <x/>
      <x v="2"/>
      <x v="2"/>
      <x v="2"/>
      <x v="1"/>
    </i>
    <i>
      <x v="20"/>
      <x v="20"/>
      <x v="186"/>
      <x v="1"/>
      <x v="1"/>
      <x/>
      <x v="2"/>
      <x/>
      <x v="45"/>
      <x v="44"/>
    </i>
    <i>
      <x v="28"/>
      <x v="28"/>
      <x v="202"/>
      <x v="1"/>
      <x v="1"/>
      <x v="1"/>
      <x v="2"/>
      <x v="1"/>
      <x v="38"/>
      <x v="37"/>
    </i>
    <i>
      <x v="29"/>
      <x v="29"/>
      <x v="201"/>
      <x v="1"/>
      <x v="1"/>
      <x v="1"/>
      <x v="2"/>
      <x/>
      <x v="63"/>
      <x v="62"/>
    </i>
    <i>
      <x v="32"/>
      <x v="32"/>
      <x v="204"/>
      <x v="1"/>
      <x v="1"/>
      <x v="1"/>
      <x v="3"/>
      <x/>
      <x v="19"/>
      <x v="18"/>
    </i>
    <i>
      <x v="34"/>
      <x v="34"/>
      <x v="199"/>
      <x v="1"/>
      <x v="1"/>
      <x v="1"/>
      <x v="1"/>
      <x v="1"/>
      <x v="23"/>
      <x v="22"/>
    </i>
    <i>
      <x v="35"/>
      <x v="35"/>
      <x v="198"/>
      <x v="1"/>
      <x v="1"/>
      <x v="1"/>
      <x v="1"/>
      <x/>
      <x v="35"/>
      <x v="34"/>
    </i>
    <i>
      <x v="37"/>
      <x v="37"/>
      <x v="217"/>
      <x v="1"/>
      <x v="2"/>
      <x/>
      <x v="2"/>
      <x v="1"/>
      <x v="6"/>
      <x v="5"/>
    </i>
    <i>
      <x v="38"/>
      <x v="38"/>
      <x v="216"/>
      <x v="1"/>
      <x v="2"/>
      <x/>
      <x v="2"/>
      <x/>
      <x v="6"/>
      <x v="5"/>
    </i>
    <i>
      <x v="41"/>
      <x v="41"/>
      <x v="219"/>
      <x v="1"/>
      <x v="2"/>
      <x/>
      <x v="3"/>
      <x/>
      <x v="10"/>
      <x v="9"/>
    </i>
    <i>
      <x v="46"/>
      <x v="46"/>
      <x v="232"/>
      <x v="1"/>
      <x v="2"/>
      <x v="1"/>
      <x v="2"/>
      <x v="1"/>
      <x v="17"/>
      <x v="16"/>
    </i>
    <i>
      <x v="47"/>
      <x v="47"/>
      <x v="231"/>
      <x v="1"/>
      <x v="2"/>
      <x v="1"/>
      <x v="2"/>
      <x/>
      <x v="58"/>
      <x v="57"/>
    </i>
    <i>
      <x v="49"/>
      <x v="49"/>
      <x v="235"/>
      <x v="1"/>
      <x v="2"/>
      <x v="1"/>
      <x v="3"/>
      <x v="1"/>
      <x v="6"/>
      <x v="5"/>
    </i>
    <i>
      <x v="50"/>
      <x v="50"/>
      <x v="234"/>
      <x v="1"/>
      <x v="2"/>
      <x v="1"/>
      <x v="3"/>
      <x/>
      <x v="73"/>
      <x v="72"/>
    </i>
    <i>
      <x v="52"/>
      <x v="52"/>
      <x v="229"/>
      <x v="1"/>
      <x v="2"/>
      <x v="1"/>
      <x v="1"/>
      <x v="1"/>
      <x v="21"/>
      <x v="20"/>
    </i>
    <i>
      <x v="53"/>
      <x v="53"/>
      <x v="228"/>
      <x v="1"/>
      <x v="2"/>
      <x v="1"/>
      <x v="1"/>
      <x/>
      <x v="29"/>
      <x v="28"/>
    </i>
    <i>
      <x v="62"/>
      <x v="62"/>
      <x v="243"/>
      <x v="1"/>
      <x v="3"/>
      <x/>
      <x v="1"/>
      <x/>
      <x v="22"/>
      <x v="21"/>
    </i>
    <i>
      <x v="64"/>
      <x v="64"/>
      <x v="262"/>
      <x v="1"/>
      <x v="3"/>
      <x v="1"/>
      <x v="2"/>
      <x v="1"/>
      <x v="11"/>
      <x v="10"/>
    </i>
    <i>
      <x v="65"/>
      <x v="65"/>
      <x v="261"/>
      <x v="1"/>
      <x v="3"/>
      <x v="1"/>
      <x v="2"/>
      <x/>
      <x v="48"/>
      <x v="47"/>
    </i>
    <i>
      <x v="66"/>
      <x v="66"/>
      <x v="266"/>
      <x v="1"/>
      <x v="3"/>
      <x v="1"/>
      <x v="3"/>
      <x v="2"/>
      <x v="7"/>
      <x v="6"/>
    </i>
    <i>
      <x v="68"/>
      <x v="68"/>
      <x v="264"/>
      <x v="1"/>
      <x v="3"/>
      <x v="1"/>
      <x v="3"/>
      <x/>
      <x v="74"/>
      <x v="73"/>
    </i>
    <i>
      <x v="69"/>
      <x v="69"/>
      <x v="260"/>
      <x v="1"/>
      <x v="3"/>
      <x v="1"/>
      <x v="1"/>
      <x v="2"/>
      <x v="6"/>
      <x v="5"/>
    </i>
    <i>
      <x v="70"/>
      <x v="70"/>
      <x v="259"/>
      <x v="1"/>
      <x v="3"/>
      <x v="1"/>
      <x v="1"/>
      <x v="1"/>
      <x v="22"/>
      <x v="21"/>
    </i>
    <i>
      <x v="71"/>
      <x v="71"/>
      <x v="258"/>
      <x v="1"/>
      <x v="3"/>
      <x v="1"/>
      <x v="1"/>
      <x/>
      <x v="60"/>
      <x v="59"/>
    </i>
    <i>
      <x v="73"/>
      <x v="73"/>
      <x v="277"/>
      <x v="1"/>
      <x v="4"/>
      <x/>
      <x v="2"/>
      <x v="1"/>
      <x v="10"/>
      <x v="9"/>
    </i>
    <i>
      <x v="74"/>
      <x v="74"/>
      <x v="276"/>
      <x v="1"/>
      <x v="4"/>
      <x/>
      <x v="2"/>
      <x/>
      <x v="11"/>
      <x v="10"/>
    </i>
    <i>
      <x v="80"/>
      <x v="80"/>
      <x v="273"/>
      <x v="1"/>
      <x v="4"/>
      <x/>
      <x v="1"/>
      <x/>
      <x v="15"/>
      <x v="14"/>
    </i>
    <i>
      <x v="81"/>
      <x v="81"/>
      <x v="293"/>
      <x v="1"/>
      <x v="4"/>
      <x v="1"/>
      <x v="2"/>
      <x v="2"/>
      <x v="2"/>
      <x v="1"/>
    </i>
    <i>
      <x v="82"/>
      <x v="82"/>
      <x v="292"/>
      <x v="1"/>
      <x v="4"/>
      <x v="1"/>
      <x v="2"/>
      <x v="1"/>
      <x v="13"/>
      <x v="12"/>
    </i>
    <i>
      <x v="83"/>
      <x v="83"/>
      <x v="291"/>
      <x v="1"/>
      <x v="4"/>
      <x v="1"/>
      <x v="2"/>
      <x/>
      <x v="51"/>
      <x v="50"/>
    </i>
    <i>
      <x v="85"/>
      <x v="85"/>
      <x v="295"/>
      <x v="1"/>
      <x v="4"/>
      <x v="1"/>
      <x v="3"/>
      <x v="1"/>
      <x v="29"/>
      <x v="28"/>
    </i>
    <i>
      <x v="86"/>
      <x v="86"/>
      <x v="294"/>
      <x v="1"/>
      <x v="4"/>
      <x v="1"/>
      <x v="3"/>
      <x/>
      <x v="82"/>
      <x v="81"/>
    </i>
    <i>
      <x v="88"/>
      <x v="88"/>
      <x v="289"/>
      <x v="1"/>
      <x v="4"/>
      <x v="1"/>
      <x v="1"/>
      <x v="1"/>
      <x v="66"/>
      <x v="65"/>
    </i>
    <i>
      <x v="89"/>
      <x v="89"/>
      <x v="288"/>
      <x v="1"/>
      <x v="4"/>
      <x v="1"/>
      <x v="1"/>
      <x/>
      <x v="84"/>
      <x v="83"/>
    </i>
    <i>
      <x v="92"/>
      <x v="92"/>
      <x v="6"/>
      <x/>
      <x/>
      <x/>
      <x v="2"/>
      <x/>
      <x v="1"/>
      <x/>
    </i>
    <i>
      <x v="101"/>
      <x v="101"/>
      <x v="21"/>
      <x/>
      <x/>
      <x v="1"/>
      <x v="2"/>
      <x/>
      <x v="67"/>
      <x v="66"/>
    </i>
    <i>
      <x v="104"/>
      <x v="104"/>
      <x v="24"/>
      <x/>
      <x/>
      <x v="1"/>
      <x v="3"/>
      <x/>
      <x v="69"/>
      <x v="68"/>
    </i>
    <i>
      <x v="107"/>
      <x v="107"/>
      <x v="18"/>
      <x/>
      <x/>
      <x v="1"/>
      <x v="1"/>
      <x/>
      <x v="5"/>
      <x v="4"/>
    </i>
    <i>
      <x v="116"/>
      <x v="116"/>
      <x v="33"/>
      <x/>
      <x v="1"/>
      <x/>
      <x v="1"/>
      <x/>
      <x v="26"/>
      <x v="25"/>
    </i>
    <i>
      <x v="118"/>
      <x v="118"/>
      <x v="52"/>
      <x/>
      <x v="1"/>
      <x v="1"/>
      <x v="2"/>
      <x v="1"/>
      <x v="11"/>
      <x v="10"/>
    </i>
    <i>
      <x v="122"/>
      <x v="122"/>
      <x v="54"/>
      <x/>
      <x v="1"/>
      <x v="1"/>
      <x v="3"/>
      <x/>
      <x v="11"/>
      <x v="10"/>
    </i>
    <i>
      <x v="136"/>
      <x v="136"/>
      <x v="82"/>
      <x/>
      <x v="2"/>
      <x v="1"/>
      <x v="2"/>
      <x v="1"/>
      <x v="49"/>
      <x v="48"/>
    </i>
    <i>
      <x v="137"/>
      <x v="137"/>
      <x v="81"/>
      <x/>
      <x v="2"/>
      <x v="1"/>
      <x v="2"/>
      <x/>
      <x v="30"/>
      <x v="29"/>
    </i>
    <i>
      <x v="139"/>
      <x v="139"/>
      <x v="85"/>
      <x/>
      <x v="2"/>
      <x v="1"/>
      <x v="3"/>
      <x v="1"/>
      <x v="7"/>
      <x v="6"/>
    </i>
    <i>
      <x v="140"/>
      <x v="140"/>
      <x v="84"/>
      <x/>
      <x v="2"/>
      <x v="1"/>
      <x v="3"/>
      <x/>
      <x v="37"/>
      <x v="36"/>
    </i>
    <i>
      <x v="143"/>
      <x v="143"/>
      <x v="78"/>
      <x/>
      <x v="2"/>
      <x v="1"/>
      <x v="1"/>
      <x/>
      <x v="18"/>
      <x v="17"/>
    </i>
    <i>
      <x v="155"/>
      <x v="155"/>
      <x v="111"/>
      <x/>
      <x v="3"/>
      <x v="1"/>
      <x v="2"/>
      <x/>
      <x v="8"/>
      <x v="7"/>
    </i>
    <i>
      <x v="158"/>
      <x v="158"/>
      <x v="114"/>
      <x/>
      <x v="3"/>
      <x v="1"/>
      <x v="3"/>
      <x/>
      <x v="9"/>
      <x v="8"/>
    </i>
    <i>
      <x v="160"/>
      <x v="160"/>
      <x v="109"/>
      <x/>
      <x v="3"/>
      <x v="1"/>
      <x v="1"/>
      <x v="1"/>
      <x v="7"/>
      <x v="6"/>
    </i>
    <i>
      <x v="161"/>
      <x v="161"/>
      <x v="108"/>
      <x/>
      <x v="3"/>
      <x v="1"/>
      <x v="1"/>
      <x/>
      <x v="41"/>
      <x v="40"/>
    </i>
    <i>
      <x v="170"/>
      <x v="170"/>
      <x v="123"/>
      <x/>
      <x v="4"/>
      <x/>
      <x v="1"/>
      <x/>
      <x v="6"/>
      <x v="5"/>
    </i>
    <i>
      <x v="171"/>
      <x v="171"/>
      <x v="143"/>
      <x/>
      <x v="4"/>
      <x v="1"/>
      <x v="2"/>
      <x v="2"/>
      <x v="11"/>
      <x v="10"/>
    </i>
    <i>
      <x v="173"/>
      <x v="173"/>
      <x v="141"/>
      <x/>
      <x v="4"/>
      <x v="1"/>
      <x v="2"/>
      <x/>
      <x v="46"/>
      <x v="45"/>
    </i>
    <i>
      <x v="176"/>
      <x v="176"/>
      <x v="144"/>
      <x/>
      <x v="4"/>
      <x v="1"/>
      <x v="3"/>
      <x/>
      <x v="31"/>
      <x v="30"/>
    </i>
    <i>
      <x v="177"/>
      <x v="177"/>
      <x v="140"/>
      <x/>
      <x v="4"/>
      <x v="1"/>
      <x v="1"/>
      <x v="2"/>
      <x v="49"/>
      <x v="48"/>
    </i>
    <i>
      <x v="179"/>
      <x v="179"/>
      <x v="138"/>
      <x/>
      <x v="4"/>
      <x v="1"/>
      <x v="1"/>
      <x/>
      <x v="83"/>
      <x v="82"/>
    </i>
    <i>
      <x v="272"/>
      <x v="272"/>
      <x v="150"/>
      <x v="1"/>
      <x/>
      <x/>
      <x/>
      <x/>
      <x v="8"/>
      <x v="7"/>
    </i>
    <i>
      <x v="275"/>
      <x v="275"/>
      <x v="165"/>
      <x v="1"/>
      <x/>
      <x v="1"/>
      <x/>
      <x/>
      <x v="22"/>
      <x v="21"/>
    </i>
    <i>
      <x v="280"/>
      <x v="280"/>
      <x v="196"/>
      <x v="1"/>
      <x v="1"/>
      <x v="1"/>
      <x/>
      <x v="1"/>
      <x v="10"/>
      <x v="9"/>
    </i>
    <i>
      <x v="281"/>
      <x v="281"/>
      <x v="195"/>
      <x v="1"/>
      <x v="1"/>
      <x v="1"/>
      <x/>
      <x/>
      <x v="14"/>
      <x v="13"/>
    </i>
    <i>
      <x v="287"/>
      <x v="287"/>
      <x v="225"/>
      <x v="1"/>
      <x v="2"/>
      <x v="1"/>
      <x/>
      <x/>
      <x v="56"/>
      <x v="55"/>
    </i>
    <i>
      <x v="288"/>
      <x v="288"/>
      <x v="242"/>
      <x v="1"/>
      <x v="3"/>
      <x/>
      <x/>
      <x v="2"/>
      <x v="6"/>
      <x v="5"/>
    </i>
    <i>
      <x v="292"/>
      <x v="292"/>
      <x v="256"/>
      <x v="1"/>
      <x v="3"/>
      <x v="1"/>
      <x/>
      <x v="1"/>
      <x v="1"/>
      <x/>
    </i>
    <i>
      <x v="293"/>
      <x v="293"/>
      <x v="255"/>
      <x v="1"/>
      <x v="3"/>
      <x v="1"/>
      <x/>
      <x/>
      <x v="65"/>
      <x v="64"/>
    </i>
    <i>
      <x v="296"/>
      <x v="296"/>
      <x v="270"/>
      <x v="1"/>
      <x v="4"/>
      <x/>
      <x/>
      <x/>
      <x v="6"/>
      <x v="5"/>
    </i>
    <i>
      <x v="298"/>
      <x v="298"/>
      <x v="286"/>
      <x v="1"/>
      <x v="4"/>
      <x v="1"/>
      <x/>
      <x v="1"/>
      <x v="12"/>
      <x v="11"/>
    </i>
    <i>
      <x v="299"/>
      <x v="299"/>
      <x v="285"/>
      <x v="1"/>
      <x v="4"/>
      <x v="1"/>
      <x/>
      <x/>
      <x v="75"/>
      <x v="74"/>
    </i>
    <i>
      <x v="305"/>
      <x v="305"/>
      <x v="15"/>
      <x/>
      <x/>
      <x v="1"/>
      <x/>
      <x/>
      <x v="4"/>
      <x v="3"/>
    </i>
    <i>
      <x v="311"/>
      <x v="311"/>
      <x v="45"/>
      <x/>
      <x v="1"/>
      <x v="1"/>
      <x/>
      <x/>
      <x v="16"/>
      <x v="15"/>
    </i>
    <i>
      <x v="313"/>
      <x v="313"/>
      <x v="61"/>
      <x/>
      <x v="2"/>
      <x/>
      <x/>
      <x v="1"/>
      <x v="10"/>
      <x v="9"/>
    </i>
    <i>
      <x v="316"/>
      <x v="316"/>
      <x v="76"/>
      <x/>
      <x v="2"/>
      <x v="1"/>
      <x/>
      <x v="1"/>
      <x v="5"/>
      <x v="4"/>
    </i>
    <i>
      <x v="317"/>
      <x v="317"/>
      <x v="75"/>
      <x/>
      <x v="2"/>
      <x v="1"/>
      <x/>
      <x/>
      <x v="20"/>
      <x v="19"/>
    </i>
    <i>
      <x v="322"/>
      <x v="322"/>
      <x v="106"/>
      <x/>
      <x v="3"/>
      <x v="1"/>
      <x/>
      <x v="1"/>
      <x v="24"/>
      <x v="23"/>
    </i>
    <i>
      <x v="323"/>
      <x v="323"/>
      <x v="105"/>
      <x/>
      <x v="3"/>
      <x v="1"/>
      <x/>
      <x/>
      <x v="42"/>
      <x v="41"/>
    </i>
    <i>
      <x v="328"/>
      <x v="328"/>
      <x v="136"/>
      <x/>
      <x v="4"/>
      <x v="1"/>
      <x/>
      <x v="1"/>
      <x v="80"/>
      <x v="79"/>
    </i>
    <i>
      <x v="329"/>
      <x v="329"/>
      <x v="135"/>
      <x/>
      <x v="4"/>
      <x v="1"/>
      <x/>
      <x/>
      <x v="55"/>
      <x v="54"/>
    </i>
    <i>
      <x v="370"/>
      <x v="370"/>
      <x v="208"/>
      <x v="1"/>
      <x v="1"/>
      <x v="1"/>
      <x v="4"/>
      <x v="1"/>
      <x v="50"/>
      <x v="49"/>
    </i>
    <i>
      <x v="371"/>
      <x v="371"/>
      <x v="207"/>
      <x v="1"/>
      <x v="1"/>
      <x v="1"/>
      <x v="4"/>
      <x/>
      <x v="59"/>
      <x v="58"/>
    </i>
    <i>
      <x v="374"/>
      <x v="374"/>
      <x v="222"/>
      <x v="1"/>
      <x v="2"/>
      <x/>
      <x v="4"/>
      <x/>
      <x v="34"/>
      <x v="33"/>
    </i>
    <i>
      <x v="376"/>
      <x v="376"/>
      <x v="238"/>
      <x v="1"/>
      <x v="2"/>
      <x v="1"/>
      <x v="4"/>
      <x v="1"/>
      <x v="11"/>
      <x v="10"/>
    </i>
    <i>
      <x v="377"/>
      <x v="377"/>
      <x v="237"/>
      <x v="1"/>
      <x v="2"/>
      <x v="1"/>
      <x v="4"/>
      <x/>
      <x v="62"/>
      <x v="61"/>
    </i>
    <i>
      <x v="382"/>
      <x v="382"/>
      <x v="268"/>
      <x v="1"/>
      <x v="3"/>
      <x v="1"/>
      <x v="4"/>
      <x v="1"/>
      <x v="33"/>
      <x v="32"/>
    </i>
    <i>
      <x v="383"/>
      <x v="383"/>
      <x v="267"/>
      <x v="1"/>
      <x v="3"/>
      <x v="1"/>
      <x v="4"/>
      <x/>
      <x v="44"/>
      <x v="43"/>
    </i>
    <i>
      <x v="389"/>
      <x v="389"/>
      <x v="297"/>
      <x v="1"/>
      <x v="4"/>
      <x v="1"/>
      <x v="4"/>
      <x/>
      <x v="81"/>
      <x v="80"/>
    </i>
    <i>
      <x v="407"/>
      <x v="407"/>
      <x v="87"/>
      <x/>
      <x v="2"/>
      <x v="1"/>
      <x v="4"/>
      <x/>
      <x v="8"/>
      <x v="7"/>
    </i>
    <i>
      <x v="412"/>
      <x v="412"/>
      <x v="118"/>
      <x/>
      <x v="3"/>
      <x v="1"/>
      <x v="4"/>
      <x v="1"/>
      <x v="8"/>
      <x v="7"/>
    </i>
    <i>
      <x v="418"/>
      <x v="418"/>
      <x v="148"/>
      <x/>
      <x v="4"/>
      <x v="1"/>
      <x v="4"/>
      <x v="1"/>
      <x v="10"/>
      <x v="9"/>
    </i>
    <i>
      <x v="419"/>
      <x v="419"/>
      <x v="147"/>
      <x/>
      <x v="4"/>
      <x v="1"/>
      <x v="4"/>
      <x/>
      <x v="43"/>
      <x v="42"/>
    </i>
  </rowItems>
  <colItems count="1">
    <i/>
  </colItems>
  <formats count="1">
    <format dxfId="1">
      <pivotArea type="all" dataOnly="0" outline="0"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multipleFieldFilters="0">
  <location ref="B45:G82" firstHeaderRow="1" firstDataRow="1" firstDataCol="6"/>
  <pivotFields count="9">
    <pivotField compact="0" outline="0" showAll="0" defaultSubtotal="0"/>
    <pivotField axis="axisRow" compact="0" outline="0" showAll="0" defaultSubtotal="0">
      <items count="2">
        <item x="1"/>
        <item x="0"/>
      </items>
    </pivotField>
    <pivotField axis="axisRow" compact="0" outline="0" showAll="0" defaultSubtotal="0">
      <items count="1">
        <item x="0"/>
      </items>
    </pivotField>
    <pivotField axis="axisRow" compact="0" outline="0" showAll="0" sortType="ascending" defaultSubtotal="0">
      <items count="5">
        <item x="3"/>
        <item x="2"/>
        <item x="1"/>
        <item x="0"/>
        <item x="4"/>
      </items>
    </pivotField>
    <pivotField axis="axisRow" compact="0" outline="0" showAll="0" defaultSubtotal="0">
      <items count="2">
        <item x="1"/>
        <item x="0"/>
      </items>
    </pivotField>
    <pivotField axis="axisRow" compact="0" outline="0" showAll="0" defaultSubtotal="0">
      <items count="1">
        <item x="0"/>
      </items>
    </pivotField>
    <pivotField axis="axisRow" compact="0" outline="0" showAll="0" defaultSubtotal="0">
      <items count="4">
        <item x="1"/>
        <item x="0"/>
        <item m="1" x="2"/>
        <item m="1" x="3"/>
      </items>
    </pivotField>
    <pivotField compact="0" outline="0" showAll="0" defaultSubtotal="0">
      <items count="2">
        <item x="0"/>
        <item m="1" x="1"/>
      </items>
    </pivotField>
    <pivotField compact="0" outline="0" showAll="0" defaultSubtotal="0">
      <items count="2">
        <item x="0"/>
        <item m="1" x="1"/>
      </items>
    </pivotField>
  </pivotFields>
  <rowFields count="6">
    <field x="3"/>
    <field x="6"/>
    <field x="1"/>
    <field x="2"/>
    <field x="4"/>
    <field x="5"/>
  </rowFields>
  <rowItems count="37">
    <i>
      <x/>
      <x/>
      <x/>
      <x/>
      <x/>
      <x/>
    </i>
    <i r="4">
      <x v="1"/>
      <x/>
    </i>
    <i r="2">
      <x v="1"/>
      <x/>
      <x/>
      <x/>
    </i>
    <i r="4">
      <x v="1"/>
      <x/>
    </i>
    <i r="1">
      <x v="1"/>
      <x/>
      <x/>
      <x/>
      <x/>
    </i>
    <i r="4">
      <x v="1"/>
      <x/>
    </i>
    <i r="2">
      <x v="1"/>
      <x/>
      <x/>
      <x/>
    </i>
    <i r="4">
      <x v="1"/>
      <x/>
    </i>
    <i>
      <x v="1"/>
      <x/>
      <x/>
      <x/>
      <x/>
      <x/>
    </i>
    <i r="4">
      <x v="1"/>
      <x/>
    </i>
    <i r="2">
      <x v="1"/>
      <x/>
      <x/>
      <x/>
    </i>
    <i r="4">
      <x v="1"/>
      <x/>
    </i>
    <i r="1">
      <x v="1"/>
      <x/>
      <x/>
      <x/>
      <x/>
    </i>
    <i r="4">
      <x v="1"/>
      <x/>
    </i>
    <i r="2">
      <x v="1"/>
      <x/>
      <x/>
      <x/>
    </i>
    <i r="4">
      <x v="1"/>
      <x/>
    </i>
    <i>
      <x v="2"/>
      <x/>
      <x/>
      <x/>
      <x/>
      <x/>
    </i>
    <i r="2">
      <x v="1"/>
      <x/>
      <x/>
      <x/>
    </i>
    <i r="4">
      <x v="1"/>
      <x/>
    </i>
    <i r="1">
      <x v="1"/>
      <x/>
      <x/>
      <x/>
      <x/>
    </i>
    <i r="4">
      <x v="1"/>
      <x/>
    </i>
    <i r="2">
      <x v="1"/>
      <x/>
      <x/>
      <x/>
    </i>
    <i r="4">
      <x v="1"/>
      <x/>
    </i>
    <i>
      <x v="3"/>
      <x/>
      <x/>
      <x/>
      <x/>
      <x/>
    </i>
    <i r="2">
      <x v="1"/>
      <x/>
      <x/>
      <x/>
    </i>
    <i r="4">
      <x v="1"/>
      <x/>
    </i>
    <i r="1">
      <x v="1"/>
      <x/>
      <x/>
      <x/>
      <x/>
    </i>
    <i r="4">
      <x v="1"/>
      <x/>
    </i>
    <i r="2">
      <x v="1"/>
      <x/>
      <x/>
      <x/>
    </i>
    <i r="4">
      <x v="1"/>
      <x/>
    </i>
    <i>
      <x v="4"/>
      <x/>
      <x/>
      <x/>
      <x v="1"/>
      <x/>
    </i>
    <i r="2">
      <x v="1"/>
      <x/>
      <x/>
      <x/>
    </i>
    <i r="4">
      <x v="1"/>
      <x/>
    </i>
    <i r="1">
      <x v="1"/>
      <x/>
      <x/>
      <x/>
      <x/>
    </i>
    <i r="4">
      <x v="1"/>
      <x/>
    </i>
    <i r="2">
      <x v="1"/>
      <x/>
      <x/>
      <x/>
    </i>
    <i r="4">
      <x v="1"/>
      <x/>
    </i>
  </rowItems>
  <colItems count="1">
    <i/>
  </colItems>
  <formats count="17">
    <format dxfId="18">
      <pivotArea field="1" type="button" dataOnly="0" labelOnly="1" outline="0" axis="axisRow" fieldPosition="2"/>
    </format>
    <format dxfId="17">
      <pivotArea field="2" type="button" dataOnly="0" labelOnly="1" outline="0" axis="axisRow" fieldPosition="3"/>
    </format>
    <format dxfId="16">
      <pivotArea field="3" type="button" dataOnly="0" labelOnly="1" outline="0" axis="axisRow" fieldPosition="0"/>
    </format>
    <format dxfId="15">
      <pivotArea field="4" type="button" dataOnly="0" labelOnly="1" outline="0" axis="axisRow" fieldPosition="4"/>
    </format>
    <format dxfId="14">
      <pivotArea field="5" type="button" dataOnly="0" labelOnly="1" outline="0" axis="axisRow" fieldPosition="5"/>
    </format>
    <format dxfId="13">
      <pivotArea field="6" type="button" dataOnly="0" labelOnly="1" outline="0" axis="axisRow" fieldPosition="1"/>
    </format>
    <format dxfId="12">
      <pivotArea field="7" type="button" dataOnly="0" labelOnly="1" outline="0"/>
    </format>
    <format dxfId="11">
      <pivotArea field="8" type="button" dataOnly="0" labelOnly="1" outline="0"/>
    </format>
    <format dxfId="10">
      <pivotArea field="1" type="button" dataOnly="0" labelOnly="1" outline="0" axis="axisRow" fieldPosition="2"/>
    </format>
    <format dxfId="9">
      <pivotArea field="2" type="button" dataOnly="0" labelOnly="1" outline="0" axis="axisRow" fieldPosition="3"/>
    </format>
    <format dxfId="8">
      <pivotArea field="3" type="button" dataOnly="0" labelOnly="1" outline="0" axis="axisRow" fieldPosition="0"/>
    </format>
    <format dxfId="7">
      <pivotArea field="4" type="button" dataOnly="0" labelOnly="1" outline="0" axis="axisRow" fieldPosition="4"/>
    </format>
    <format dxfId="6">
      <pivotArea field="5" type="button" dataOnly="0" labelOnly="1" outline="0" axis="axisRow" fieldPosition="5"/>
    </format>
    <format dxfId="5">
      <pivotArea field="6" type="button" dataOnly="0" labelOnly="1" outline="0" axis="axisRow" fieldPosition="1"/>
    </format>
    <format dxfId="4">
      <pivotArea field="7" type="button" dataOnly="0" labelOnly="1" outline="0"/>
    </format>
    <format dxfId="3">
      <pivotArea field="8" type="button" dataOnly="0" labelOnly="1" outline="0"/>
    </format>
    <format dxfId="2">
      <pivotArea type="all" dataOnly="0" outline="0"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N3:AZ10" firstHeaderRow="1" firstDataRow="2" firstDataCol="1"/>
  <pivotFields count="11">
    <pivotField axis="axisRow" showAll="0">
      <items count="11">
        <item x="8"/>
        <item x="9"/>
        <item x="1"/>
        <item x="2"/>
        <item x="0"/>
        <item h="1" x="3"/>
        <item h="1" x="4"/>
        <item h="1" x="5"/>
        <item h="1" x="6"/>
        <item h="1" x="7"/>
        <item t="default"/>
      </items>
    </pivotField>
    <pivotField showAll="0"/>
    <pivotField showAll="0"/>
    <pivotField showAll="0"/>
    <pivotField showAll="0"/>
    <pivotField showAll="0"/>
    <pivotField axis="axisCol" showAll="0">
      <items count="50">
        <item x="4"/>
        <item x="46"/>
        <item x="21"/>
        <item x="47"/>
        <item x="25"/>
        <item x="45"/>
        <item x="42"/>
        <item x="32"/>
        <item x="43"/>
        <item x="11"/>
        <item x="20"/>
        <item x="12"/>
        <item x="41"/>
        <item x="39"/>
        <item x="5"/>
        <item x="10"/>
        <item x="44"/>
        <item x="38"/>
        <item x="18"/>
        <item x="14"/>
        <item x="29"/>
        <item x="33"/>
        <item x="40"/>
        <item x="26"/>
        <item x="9"/>
        <item x="34"/>
        <item x="3"/>
        <item x="37"/>
        <item x="1"/>
        <item x="7"/>
        <item x="31"/>
        <item x="35"/>
        <item x="19"/>
        <item x="22"/>
        <item x="36"/>
        <item x="6"/>
        <item x="0"/>
        <item x="2"/>
        <item x="27"/>
        <item x="28"/>
        <item x="24"/>
        <item x="23"/>
        <item x="17"/>
        <item x="16"/>
        <item x="13"/>
        <item x="8"/>
        <item x="30"/>
        <item m="1" x="48"/>
        <item x="15"/>
        <item t="default"/>
      </items>
    </pivotField>
    <pivotField showAll="0"/>
    <pivotField showAll="0"/>
    <pivotField showAll="0"/>
    <pivotField dataField="1" showAll="0"/>
  </pivotFields>
  <rowFields count="1">
    <field x="0"/>
  </rowFields>
  <rowItems count="6">
    <i>
      <x/>
    </i>
    <i>
      <x v="1"/>
    </i>
    <i>
      <x v="2"/>
    </i>
    <i>
      <x v="3"/>
    </i>
    <i>
      <x v="4"/>
    </i>
    <i t="grand">
      <x/>
    </i>
  </rowItems>
  <colFields count="1">
    <field x="6"/>
  </colFields>
  <colItems count="38">
    <i>
      <x/>
    </i>
    <i>
      <x v="2"/>
    </i>
    <i>
      <x v="4"/>
    </i>
    <i>
      <x v="7"/>
    </i>
    <i>
      <x v="9"/>
    </i>
    <i>
      <x v="10"/>
    </i>
    <i>
      <x v="13"/>
    </i>
    <i>
      <x v="14"/>
    </i>
    <i>
      <x v="17"/>
    </i>
    <i>
      <x v="18"/>
    </i>
    <i>
      <x v="19"/>
    </i>
    <i>
      <x v="20"/>
    </i>
    <i>
      <x v="21"/>
    </i>
    <i>
      <x v="23"/>
    </i>
    <i>
      <x v="25"/>
    </i>
    <i>
      <x v="26"/>
    </i>
    <i>
      <x v="27"/>
    </i>
    <i>
      <x v="28"/>
    </i>
    <i>
      <x v="29"/>
    </i>
    <i>
      <x v="30"/>
    </i>
    <i>
      <x v="31"/>
    </i>
    <i>
      <x v="32"/>
    </i>
    <i>
      <x v="33"/>
    </i>
    <i>
      <x v="34"/>
    </i>
    <i>
      <x v="35"/>
    </i>
    <i>
      <x v="36"/>
    </i>
    <i>
      <x v="37"/>
    </i>
    <i>
      <x v="38"/>
    </i>
    <i>
      <x v="39"/>
    </i>
    <i>
      <x v="40"/>
    </i>
    <i>
      <x v="41"/>
    </i>
    <i>
      <x v="42"/>
    </i>
    <i>
      <x v="43"/>
    </i>
    <i>
      <x v="44"/>
    </i>
    <i>
      <x v="45"/>
    </i>
    <i>
      <x v="46"/>
    </i>
    <i>
      <x v="48"/>
    </i>
    <i t="grand">
      <x/>
    </i>
  </colItems>
  <dataFields count="1">
    <dataField name="Sum of Weight" fld="10"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O22:P38" firstHeaderRow="1" firstDataRow="1" firstDataCol="1"/>
  <pivotFields count="10">
    <pivotField showAll="0"/>
    <pivotField showAll="0"/>
    <pivotField showAll="0"/>
    <pivotField showAll="0"/>
    <pivotField showAll="0"/>
    <pivotField showAll="0"/>
    <pivotField axis="axisRow" showAll="0">
      <items count="16">
        <item x="11"/>
        <item x="14"/>
        <item x="4"/>
        <item x="1"/>
        <item x="3"/>
        <item x="0"/>
        <item x="6"/>
        <item x="13"/>
        <item x="9"/>
        <item x="2"/>
        <item x="10"/>
        <item x="5"/>
        <item x="12"/>
        <item x="7"/>
        <item x="8"/>
        <item t="default"/>
      </items>
    </pivotField>
    <pivotField showAll="0">
      <items count="7">
        <item x="1"/>
        <item x="3"/>
        <item x="5"/>
        <item x="0"/>
        <item x="2"/>
        <item x="4"/>
        <item t="default"/>
      </items>
    </pivotField>
    <pivotField showAll="0"/>
    <pivotField dataField="1" showAll="0"/>
  </pivotFields>
  <rowFields count="1">
    <field x="6"/>
  </rowFields>
  <rowItems count="16">
    <i>
      <x/>
    </i>
    <i>
      <x v="1"/>
    </i>
    <i>
      <x v="2"/>
    </i>
    <i>
      <x v="3"/>
    </i>
    <i>
      <x v="4"/>
    </i>
    <i>
      <x v="5"/>
    </i>
    <i>
      <x v="6"/>
    </i>
    <i>
      <x v="7"/>
    </i>
    <i>
      <x v="8"/>
    </i>
    <i>
      <x v="9"/>
    </i>
    <i>
      <x v="10"/>
    </i>
    <i>
      <x v="11"/>
    </i>
    <i>
      <x v="12"/>
    </i>
    <i>
      <x v="13"/>
    </i>
    <i>
      <x v="14"/>
    </i>
    <i t="grand">
      <x/>
    </i>
  </rowItems>
  <colItems count="1">
    <i/>
  </colItems>
  <dataFields count="1">
    <dataField name="Sum of Weight" fld="9" baseField="0" baseItem="0"/>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13"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O7:Q15" firstHeaderRow="1" firstDataRow="2" firstDataCol="1"/>
  <pivotFields count="10">
    <pivotField showAll="0">
      <items count="1402">
        <item x="24"/>
        <item x="113"/>
        <item x="174"/>
        <item x="81"/>
        <item x="422"/>
        <item x="73"/>
        <item x="26"/>
        <item x="98"/>
        <item x="570"/>
        <item x="22"/>
        <item x="403"/>
        <item x="89"/>
        <item x="389"/>
        <item x="182"/>
        <item x="178"/>
        <item x="489"/>
        <item x="367"/>
        <item x="165"/>
        <item x="550"/>
        <item x="148"/>
        <item x="145"/>
        <item x="27"/>
        <item x="158"/>
        <item x="593"/>
        <item x="153"/>
        <item x="41"/>
        <item x="91"/>
        <item x="429"/>
        <item x="317"/>
        <item x="50"/>
        <item x="96"/>
        <item x="996"/>
        <item x="343"/>
        <item x="507"/>
        <item x="162"/>
        <item x="265"/>
        <item x="392"/>
        <item x="667"/>
        <item x="943"/>
        <item x="1399"/>
        <item x="238"/>
        <item x="358"/>
        <item x="142"/>
        <item x="686"/>
        <item x="163"/>
        <item x="522"/>
        <item x="773"/>
        <item x="875"/>
        <item x="610"/>
        <item x="1025"/>
        <item x="1142"/>
        <item x="627"/>
        <item x="1136"/>
        <item x="251"/>
        <item x="1314"/>
        <item x="797"/>
        <item x="42"/>
        <item x="32"/>
        <item x="312"/>
        <item x="360"/>
        <item x="128"/>
        <item x="1033"/>
        <item x="139"/>
        <item x="418"/>
        <item x="374"/>
        <item x="44"/>
        <item x="105"/>
        <item x="543"/>
        <item x="546"/>
        <item x="762"/>
        <item x="1023"/>
        <item x="384"/>
        <item x="315"/>
        <item x="605"/>
        <item x="1139"/>
        <item x="56"/>
        <item x="228"/>
        <item x="276"/>
        <item x="159"/>
        <item x="21"/>
        <item x="280"/>
        <item x="929"/>
        <item x="830"/>
        <item x="60"/>
        <item x="223"/>
        <item x="6"/>
        <item x="68"/>
        <item x="242"/>
        <item x="361"/>
        <item x="377"/>
        <item x="117"/>
        <item x="503"/>
        <item x="454"/>
        <item x="74"/>
        <item x="134"/>
        <item x="381"/>
        <item x="564"/>
        <item x="417"/>
        <item x="83"/>
        <item x="309"/>
        <item x="183"/>
        <item x="432"/>
        <item x="345"/>
        <item x="292"/>
        <item x="1340"/>
        <item x="633"/>
        <item x="952"/>
        <item x="1148"/>
        <item x="211"/>
        <item x="61"/>
        <item x="1210"/>
        <item x="895"/>
        <item x="541"/>
        <item x="826"/>
        <item x="16"/>
        <item x="472"/>
        <item x="1069"/>
        <item x="126"/>
        <item x="1313"/>
        <item x="568"/>
        <item x="574"/>
        <item x="768"/>
        <item x="293"/>
        <item x="540"/>
        <item x="674"/>
        <item x="1249"/>
        <item x="770"/>
        <item x="669"/>
        <item x="239"/>
        <item x="439"/>
        <item x="327"/>
        <item x="625"/>
        <item x="721"/>
        <item x="751"/>
        <item x="1209"/>
        <item x="1359"/>
        <item x="1232"/>
        <item x="364"/>
        <item x="252"/>
        <item x="386"/>
        <item x="255"/>
        <item x="350"/>
        <item x="193"/>
        <item x="323"/>
        <item x="1093"/>
        <item x="405"/>
        <item x="196"/>
        <item x="923"/>
        <item x="1052"/>
        <item x="297"/>
        <item x="855"/>
        <item x="793"/>
        <item x="991"/>
        <item x="836"/>
        <item x="141"/>
        <item x="988"/>
        <item x="1140"/>
        <item x="80"/>
        <item x="106"/>
        <item x="220"/>
        <item x="518"/>
        <item x="1130"/>
        <item x="319"/>
        <item x="127"/>
        <item x="395"/>
        <item x="1320"/>
        <item x="1254"/>
        <item x="930"/>
        <item x="426"/>
        <item x="1227"/>
        <item x="1193"/>
        <item x="1032"/>
        <item x="900"/>
        <item x="1037"/>
        <item x="36"/>
        <item x="230"/>
        <item x="1146"/>
        <item x="332"/>
        <item x="213"/>
        <item x="7"/>
        <item x="1030"/>
        <item x="1196"/>
        <item x="654"/>
        <item x="57"/>
        <item x="121"/>
        <item x="110"/>
        <item x="199"/>
        <item x="862"/>
        <item x="1111"/>
        <item x="175"/>
        <item x="310"/>
        <item x="185"/>
        <item x="204"/>
        <item x="1018"/>
        <item x="809"/>
        <item x="1295"/>
        <item x="1347"/>
        <item x="1151"/>
        <item x="1372"/>
        <item x="253"/>
        <item x="266"/>
        <item x="197"/>
        <item x="553"/>
        <item x="65"/>
        <item x="94"/>
        <item x="1252"/>
        <item x="387"/>
        <item x="226"/>
        <item x="99"/>
        <item x="92"/>
        <item x="651"/>
        <item x="632"/>
        <item x="368"/>
        <item x="138"/>
        <item x="108"/>
        <item x="45"/>
        <item x="394"/>
        <item x="444"/>
        <item x="216"/>
        <item x="143"/>
        <item x="155"/>
        <item x="941"/>
        <item x="399"/>
        <item x="1"/>
        <item x="28"/>
        <item x="673"/>
        <item x="944"/>
        <item x="240"/>
        <item x="296"/>
        <item x="1392"/>
        <item x="131"/>
        <item x="311"/>
        <item x="338"/>
        <item x="334"/>
        <item x="823"/>
        <item x="112"/>
        <item x="743"/>
        <item x="435"/>
        <item x="72"/>
        <item x="201"/>
        <item x="300"/>
        <item x="202"/>
        <item x="613"/>
        <item x="1326"/>
        <item x="896"/>
        <item x="1014"/>
        <item x="1076"/>
        <item x="1064"/>
        <item x="621"/>
        <item x="1234"/>
        <item x="722"/>
        <item x="827"/>
        <item x="1352"/>
        <item x="388"/>
        <item x="299"/>
        <item x="38"/>
        <item x="1115"/>
        <item x="653"/>
        <item x="850"/>
        <item x="1341"/>
        <item x="666"/>
        <item x="937"/>
        <item x="164"/>
        <item x="0"/>
        <item x="1261"/>
        <item x="738"/>
        <item x="779"/>
        <item x="845"/>
        <item x="760"/>
        <item x="767"/>
        <item x="696"/>
        <item x="679"/>
        <item x="601"/>
        <item x="512"/>
        <item x="173"/>
        <item x="177"/>
        <item x="140"/>
        <item x="1026"/>
        <item x="695"/>
        <item x="1386"/>
        <item x="1205"/>
        <item x="237"/>
        <item x="268"/>
        <item x="466"/>
        <item x="29"/>
        <item x="1085"/>
        <item x="1267"/>
        <item x="640"/>
        <item x="612"/>
        <item x="953"/>
        <item x="752"/>
        <item x="306"/>
        <item x="136"/>
        <item x="735"/>
        <item x="960"/>
        <item x="811"/>
        <item x="258"/>
        <item x="903"/>
        <item x="502"/>
        <item x="409"/>
        <item x="1029"/>
        <item x="703"/>
        <item x="1010"/>
        <item x="287"/>
        <item x="51"/>
        <item x="1041"/>
        <item x="1176"/>
        <item x="33"/>
        <item x="813"/>
        <item x="1181"/>
        <item x="198"/>
        <item x="356"/>
        <item x="780"/>
        <item x="609"/>
        <item x="1110"/>
        <item x="794"/>
        <item x="1022"/>
        <item x="376"/>
        <item x="473"/>
        <item x="406"/>
        <item x="493"/>
        <item x="1242"/>
        <item x="1361"/>
        <item x="802"/>
        <item x="1292"/>
        <item x="1354"/>
        <item x="380"/>
        <item x="1141"/>
        <item x="1315"/>
        <item x="729"/>
        <item x="1100"/>
        <item x="677"/>
        <item x="882"/>
        <item x="1117"/>
        <item x="644"/>
        <item x="408"/>
        <item x="909"/>
        <item x="805"/>
        <item x="810"/>
        <item x="363"/>
        <item x="370"/>
        <item x="344"/>
        <item x="137"/>
        <item x="475"/>
        <item x="313"/>
        <item x="936"/>
        <item x="636"/>
        <item x="746"/>
        <item x="807"/>
        <item x="12"/>
        <item x="542"/>
        <item x="224"/>
        <item x="420"/>
        <item x="378"/>
        <item x="93"/>
        <item x="431"/>
        <item x="1255"/>
        <item x="314"/>
        <item x="257"/>
        <item x="538"/>
        <item x="510"/>
        <item x="212"/>
        <item x="419"/>
        <item x="336"/>
        <item x="1258"/>
        <item x="730"/>
        <item x="1133"/>
        <item x="1376"/>
        <item x="20"/>
        <item x="1251"/>
        <item x="663"/>
        <item x="1395"/>
        <item x="1091"/>
        <item x="1036"/>
        <item x="619"/>
        <item x="1078"/>
        <item x="764"/>
        <item x="942"/>
        <item x="715"/>
        <item x="154"/>
        <item x="984"/>
        <item x="1373"/>
        <item x="269"/>
        <item x="290"/>
        <item x="499"/>
        <item x="235"/>
        <item x="410"/>
        <item x="1226"/>
        <item x="1371"/>
        <item x="495"/>
        <item x="452"/>
        <item x="501"/>
        <item x="459"/>
        <item x="416"/>
        <item x="497"/>
        <item x="1005"/>
        <item x="888"/>
        <item x="30"/>
        <item x="97"/>
        <item x="485"/>
        <item x="171"/>
        <item x="524"/>
        <item x="191"/>
        <item x="993"/>
        <item x="1145"/>
        <item x="753"/>
        <item x="421"/>
        <item x="351"/>
        <item x="414"/>
        <item x="227"/>
        <item x="244"/>
        <item x="320"/>
        <item x="43"/>
        <item x="433"/>
        <item x="508"/>
        <item x="806"/>
        <item x="948"/>
        <item x="1050"/>
        <item x="615"/>
        <item x="690"/>
        <item x="1211"/>
        <item x="652"/>
        <item x="606"/>
        <item x="534"/>
        <item x="800"/>
        <item x="864"/>
        <item x="904"/>
        <item x="1016"/>
        <item x="66"/>
        <item x="919"/>
        <item x="1197"/>
        <item x="1325"/>
        <item x="1319"/>
        <item x="567"/>
        <item x="23"/>
        <item x="994"/>
        <item x="286"/>
        <item x="366"/>
        <item x="391"/>
        <item x="1099"/>
        <item x="1287"/>
        <item x="1042"/>
        <item x="102"/>
        <item x="103"/>
        <item x="1072"/>
        <item x="1185"/>
        <item x="772"/>
        <item x="1238"/>
        <item x="1098"/>
        <item x="1302"/>
        <item x="620"/>
        <item x="638"/>
        <item x="413"/>
        <item x="184"/>
        <item x="659"/>
        <item x="1250"/>
        <item x="260"/>
        <item x="303"/>
        <item x="1021"/>
        <item x="463"/>
        <item x="1215"/>
        <item x="682"/>
        <item x="732"/>
        <item x="523"/>
        <item x="157"/>
        <item x="506"/>
        <item x="648"/>
        <item x="487"/>
        <item x="272"/>
        <item x="1038"/>
        <item x="1166"/>
        <item x="1112"/>
        <item x="1068"/>
        <item x="881"/>
        <item x="1057"/>
        <item x="1358"/>
        <item x="915"/>
        <item x="876"/>
        <item x="462"/>
        <item x="229"/>
        <item x="236"/>
        <item x="234"/>
        <item x="818"/>
        <item x="1067"/>
        <item x="46"/>
        <item x="660"/>
        <item x="914"/>
        <item x="1164"/>
        <item x="1312"/>
        <item x="150"/>
        <item x="402"/>
        <item x="233"/>
        <item x="346"/>
        <item x="5"/>
        <item x="854"/>
        <item x="264"/>
        <item x="469"/>
        <item x="186"/>
        <item x="950"/>
        <item x="245"/>
        <item x="208"/>
        <item x="443"/>
        <item x="119"/>
        <item x="844"/>
        <item x="1075"/>
        <item x="1059"/>
        <item x="1322"/>
        <item x="718"/>
        <item x="1081"/>
        <item x="1179"/>
        <item x="1183"/>
        <item x="1102"/>
        <item x="980"/>
        <item x="1020"/>
        <item x="217"/>
        <item x="965"/>
        <item x="1264"/>
        <item x="1214"/>
        <item x="1285"/>
        <item x="1378"/>
        <item x="1342"/>
        <item x="151"/>
        <item x="58"/>
        <item x="70"/>
        <item x="340"/>
        <item x="362"/>
        <item x="17"/>
        <item x="920"/>
        <item x="248"/>
        <item x="104"/>
        <item x="1338"/>
        <item x="189"/>
        <item x="545"/>
        <item x="278"/>
        <item x="1304"/>
        <item x="891"/>
        <item x="1311"/>
        <item x="166"/>
        <item x="863"/>
        <item x="52"/>
        <item x="871"/>
        <item x="1108"/>
        <item x="946"/>
        <item x="1017"/>
        <item x="928"/>
        <item x="934"/>
        <item x="913"/>
        <item x="708"/>
        <item x="1321"/>
        <item x="720"/>
        <item x="1087"/>
        <item x="401"/>
        <item x="1070"/>
        <item x="1061"/>
        <item x="1122"/>
        <item x="1294"/>
        <item x="1272"/>
        <item x="573"/>
        <item x="333"/>
        <item x="748"/>
        <item x="961"/>
        <item x="192"/>
        <item x="1377"/>
        <item x="19"/>
        <item x="500"/>
        <item x="172"/>
        <item x="781"/>
        <item x="921"/>
        <item x="788"/>
        <item x="90"/>
        <item x="531"/>
        <item x="530"/>
        <item x="486"/>
        <item x="424"/>
        <item x="986"/>
        <item x="18"/>
        <item x="291"/>
        <item x="400"/>
        <item x="1380"/>
        <item x="54"/>
        <item x="149"/>
        <item x="79"/>
        <item x="87"/>
        <item x="411"/>
        <item x="86"/>
        <item x="355"/>
        <item x="284"/>
        <item x="1381"/>
        <item x="848"/>
        <item x="1152"/>
        <item x="1024"/>
        <item x="1270"/>
        <item x="868"/>
        <item x="109"/>
        <item x="1090"/>
        <item x="82"/>
        <item x="792"/>
        <item x="316"/>
        <item x="181"/>
        <item x="15"/>
        <item x="668"/>
        <item x="1388"/>
        <item x="1246"/>
        <item x="711"/>
        <item x="1202"/>
        <item x="1308"/>
        <item x="375"/>
        <item x="525"/>
        <item x="749"/>
        <item x="1282"/>
        <item x="205"/>
        <item x="1186"/>
        <item x="1284"/>
        <item x="425"/>
        <item x="321"/>
        <item x="828"/>
        <item x="808"/>
        <item x="835"/>
        <item x="1155"/>
        <item x="1353"/>
        <item x="53"/>
        <item x="1236"/>
        <item x="940"/>
        <item x="1105"/>
        <item x="846"/>
        <item x="727"/>
        <item x="700"/>
        <item x="685"/>
        <item x="385"/>
        <item x="434"/>
        <item x="731"/>
        <item x="190"/>
        <item x="457"/>
        <item x="985"/>
        <item x="1207"/>
        <item x="1300"/>
        <item x="737"/>
        <item x="922"/>
        <item x="1012"/>
        <item x="1336"/>
        <item x="1323"/>
        <item x="782"/>
        <item x="1309"/>
        <item x="441"/>
        <item x="973"/>
        <item x="1333"/>
        <item x="516"/>
        <item x="1204"/>
        <item x="271"/>
        <item x="450"/>
        <item x="449"/>
        <item x="476"/>
        <item x="168"/>
        <item x="798"/>
        <item x="1177"/>
        <item x="1225"/>
        <item x="655"/>
        <item x="1365"/>
        <item x="261"/>
        <item x="1124"/>
        <item x="1265"/>
        <item x="1143"/>
        <item x="885"/>
        <item x="1243"/>
        <item x="614"/>
        <item x="1144"/>
        <item x="645"/>
        <item x="1135"/>
        <item x="710"/>
        <item x="404"/>
        <item x="1212"/>
        <item x="1150"/>
        <item x="1297"/>
        <item x="31"/>
        <item x="724"/>
        <item x="390"/>
        <item x="873"/>
        <item x="1015"/>
        <item x="100"/>
        <item x="118"/>
        <item x="48"/>
        <item x="938"/>
        <item x="693"/>
        <item x="650"/>
        <item x="10"/>
        <item x="294"/>
        <item x="446"/>
        <item x="337"/>
        <item x="1247"/>
        <item x="1218"/>
        <item x="458"/>
        <item x="1241"/>
        <item x="968"/>
        <item x="795"/>
        <item x="776"/>
        <item x="647"/>
        <item x="766"/>
        <item x="1066"/>
        <item x="699"/>
        <item x="14"/>
        <item x="461"/>
        <item x="348"/>
        <item x="983"/>
        <item x="932"/>
        <item x="1198"/>
        <item x="215"/>
        <item x="478"/>
        <item x="455"/>
        <item x="1190"/>
        <item x="841"/>
        <item x="1013"/>
        <item x="799"/>
        <item x="637"/>
        <item x="639"/>
        <item x="634"/>
        <item x="880"/>
        <item x="789"/>
        <item x="456"/>
        <item x="801"/>
        <item x="607"/>
        <item x="1343"/>
        <item x="785"/>
        <item x="949"/>
        <item x="959"/>
        <item x="860"/>
        <item x="1157"/>
        <item x="670"/>
        <item x="1228"/>
        <item x="733"/>
        <item x="756"/>
        <item x="662"/>
        <item x="200"/>
        <item x="428"/>
        <item x="698"/>
        <item x="736"/>
        <item x="1208"/>
        <item x="1048"/>
        <item x="464"/>
        <item x="440"/>
        <item x="412"/>
        <item x="85"/>
        <item x="899"/>
        <item x="858"/>
        <item x="1384"/>
        <item x="684"/>
        <item x="1040"/>
        <item x="1172"/>
        <item x="911"/>
        <item x="1355"/>
        <item x="1379"/>
        <item x="1051"/>
        <item x="849"/>
        <item x="494"/>
        <item x="460"/>
        <item x="1303"/>
        <item x="1062"/>
        <item x="1192"/>
        <item x="1230"/>
        <item x="25"/>
        <item x="1119"/>
        <item x="852"/>
        <item x="1293"/>
        <item x="692"/>
        <item x="608"/>
        <item x="1080"/>
        <item x="509"/>
        <item x="331"/>
        <item x="803"/>
        <item x="675"/>
        <item x="978"/>
        <item x="992"/>
        <item x="519"/>
        <item x="1366"/>
        <item x="1096"/>
        <item x="916"/>
        <item x="451"/>
        <item x="630"/>
        <item x="1003"/>
        <item x="281"/>
        <item x="1168"/>
        <item x="671"/>
        <item x="301"/>
        <item x="222"/>
        <item x="88"/>
        <item x="95"/>
        <item x="195"/>
        <item x="167"/>
        <item x="771"/>
        <item x="664"/>
        <item x="170"/>
        <item x="188"/>
        <item x="263"/>
        <item x="132"/>
        <item x="769"/>
        <item x="926"/>
        <item x="1256"/>
        <item x="1109"/>
        <item x="702"/>
        <item x="504"/>
        <item x="1318"/>
        <item x="1163"/>
        <item x="1291"/>
        <item x="1374"/>
        <item x="851"/>
        <item x="1089"/>
        <item x="1350"/>
        <item x="847"/>
        <item x="1213"/>
        <item x="135"/>
        <item x="1206"/>
        <item x="1362"/>
        <item x="1101"/>
        <item x="448"/>
        <item x="1278"/>
        <item x="1120"/>
        <item x="1156"/>
        <item x="750"/>
        <item x="889"/>
        <item x="1357"/>
        <item x="709"/>
        <item x="483"/>
        <item x="561"/>
        <item x="1180"/>
        <item x="1262"/>
        <item x="1131"/>
        <item x="824"/>
        <item x="853"/>
        <item x="995"/>
        <item x="1039"/>
        <item x="1077"/>
        <item x="705"/>
        <item x="1331"/>
        <item x="908"/>
        <item x="1235"/>
        <item x="77"/>
        <item x="35"/>
        <item x="1201"/>
        <item x="744"/>
        <item x="1113"/>
        <item x="1046"/>
        <item x="1244"/>
        <item x="1266"/>
        <item x="1259"/>
        <item x="1281"/>
        <item x="777"/>
        <item x="1335"/>
        <item x="1035"/>
        <item x="635"/>
        <item x="1364"/>
        <item x="1203"/>
        <item x="918"/>
        <item x="1011"/>
        <item x="829"/>
        <item x="1047"/>
        <item x="691"/>
        <item x="59"/>
        <item x="254"/>
        <item x="482"/>
        <item x="1221"/>
        <item x="661"/>
        <item x="1277"/>
        <item x="947"/>
        <item x="790"/>
        <item x="878"/>
        <item x="64"/>
        <item x="180"/>
        <item x="974"/>
        <item x="822"/>
        <item x="778"/>
        <item x="665"/>
        <item x="812"/>
        <item x="1194"/>
        <item x="1346"/>
        <item x="1060"/>
        <item x="1175"/>
        <item x="975"/>
        <item x="656"/>
        <item x="1383"/>
        <item x="626"/>
        <item x="1147"/>
        <item x="956"/>
        <item x="1368"/>
        <item x="1167"/>
        <item x="1279"/>
        <item x="599"/>
        <item x="470"/>
        <item x="739"/>
        <item x="972"/>
        <item x="442"/>
        <item x="1127"/>
        <item x="1158"/>
        <item x="1079"/>
        <item x="1009"/>
        <item x="990"/>
        <item x="1008"/>
        <item x="1360"/>
        <item x="1229"/>
        <item x="1063"/>
        <item x="774"/>
        <item x="1289"/>
        <item x="1382"/>
        <item x="1191"/>
        <item x="1178"/>
        <item x="704"/>
        <item x="152"/>
        <item x="47"/>
        <item x="179"/>
        <item x="474"/>
        <item x="551"/>
        <item x="133"/>
        <item x="563"/>
        <item x="552"/>
        <item x="1126"/>
        <item x="256"/>
        <item x="282"/>
        <item x="71"/>
        <item x="1195"/>
        <item x="819"/>
        <item x="1260"/>
        <item x="1394"/>
        <item x="820"/>
        <item x="971"/>
        <item x="1095"/>
        <item x="628"/>
        <item x="898"/>
        <item x="757"/>
        <item x="629"/>
        <item x="1106"/>
        <item x="565"/>
        <item x="1356"/>
        <item x="1082"/>
        <item x="1301"/>
        <item x="423"/>
        <item x="740"/>
        <item x="839"/>
        <item x="129"/>
        <item x="1334"/>
        <item x="465"/>
        <item x="1200"/>
        <item x="1345"/>
        <item x="742"/>
        <item x="1134"/>
        <item x="787"/>
        <item x="1370"/>
        <item x="1220"/>
        <item x="1165"/>
        <item x="1114"/>
        <item x="221"/>
        <item x="1097"/>
        <item x="1121"/>
        <item x="758"/>
        <item x="843"/>
        <item x="939"/>
        <item x="1153"/>
        <item x="1223"/>
        <item x="382"/>
        <item x="210"/>
        <item x="1307"/>
        <item x="1280"/>
        <item x="755"/>
        <item x="1271"/>
        <item x="617"/>
        <item x="55"/>
        <item x="912"/>
        <item x="325"/>
        <item x="596"/>
        <item x="642"/>
        <item x="1065"/>
        <item x="527"/>
        <item x="1349"/>
        <item x="602"/>
        <item x="989"/>
        <item x="879"/>
        <item x="712"/>
        <item x="701"/>
        <item x="1004"/>
        <item x="471"/>
        <item x="689"/>
        <item x="641"/>
        <item x="1054"/>
        <item x="842"/>
        <item x="870"/>
        <item x="616"/>
        <item x="1006"/>
        <item x="1162"/>
        <item x="716"/>
        <item x="906"/>
        <item x="796"/>
        <item x="981"/>
        <item x="867"/>
        <item x="1083"/>
        <item x="535"/>
        <item x="479"/>
        <item x="515"/>
        <item x="437"/>
        <item x="1007"/>
        <item x="203"/>
        <item x="1049"/>
        <item x="243"/>
        <item x="1044"/>
        <item x="480"/>
        <item x="1400"/>
        <item x="548"/>
        <item x="533"/>
        <item x="214"/>
        <item x="586"/>
        <item x="560"/>
        <item x="585"/>
        <item x="532"/>
        <item x="583"/>
        <item x="571"/>
        <item x="556"/>
        <item x="447"/>
        <item x="359"/>
        <item x="308"/>
        <item x="1389"/>
        <item x="927"/>
        <item x="209"/>
        <item x="1071"/>
        <item x="537"/>
        <item x="547"/>
        <item x="354"/>
        <item x="723"/>
        <item x="832"/>
        <item x="931"/>
        <item x="1239"/>
        <item x="683"/>
        <item x="745"/>
        <item x="1160"/>
        <item x="997"/>
        <item x="111"/>
        <item x="194"/>
        <item x="371"/>
        <item x="649"/>
        <item x="804"/>
        <item x="1103"/>
        <item x="958"/>
        <item x="1273"/>
        <item x="706"/>
        <item x="631"/>
        <item x="285"/>
        <item x="897"/>
        <item x="713"/>
        <item x="1184"/>
        <item x="250"/>
        <item x="761"/>
        <item x="945"/>
        <item x="887"/>
        <item x="1398"/>
        <item x="622"/>
        <item x="575"/>
        <item x="1369"/>
        <item x="1116"/>
        <item x="590"/>
        <item x="146"/>
        <item x="890"/>
        <item x="1094"/>
        <item x="759"/>
        <item x="657"/>
        <item x="892"/>
        <item x="1337"/>
        <item x="1187"/>
        <item x="582"/>
        <item x="611"/>
        <item x="979"/>
        <item x="581"/>
        <item x="101"/>
        <item x="566"/>
        <item x="298"/>
        <item x="339"/>
        <item x="342"/>
        <item x="307"/>
        <item x="274"/>
        <item x="415"/>
        <item x="861"/>
        <item x="1137"/>
        <item x="477"/>
        <item x="678"/>
        <item x="1224"/>
        <item x="318"/>
        <item x="726"/>
        <item x="1233"/>
        <item x="1240"/>
        <item x="365"/>
        <item x="584"/>
        <item x="1138"/>
        <item x="857"/>
        <item x="977"/>
        <item x="1149"/>
        <item x="1161"/>
        <item x="34"/>
        <item x="39"/>
        <item x="529"/>
        <item x="893"/>
        <item x="1199"/>
        <item x="1169"/>
        <item x="372"/>
        <item x="784"/>
        <item x="1034"/>
        <item x="539"/>
        <item x="681"/>
        <item x="267"/>
        <item x="962"/>
        <item x="856"/>
        <item x="517"/>
        <item x="775"/>
        <item x="279"/>
        <item x="1296"/>
        <item x="3"/>
        <item x="694"/>
        <item x="587"/>
        <item x="520"/>
        <item x="206"/>
        <item x="156"/>
        <item x="241"/>
        <item x="1248"/>
        <item x="453"/>
        <item x="430"/>
        <item x="1274"/>
        <item x="328"/>
        <item x="498"/>
        <item x="1118"/>
        <item x="1390"/>
        <item x="1055"/>
        <item x="107"/>
        <item x="123"/>
        <item x="1188"/>
        <item x="84"/>
        <item x="69"/>
        <item x="115"/>
        <item x="125"/>
        <item x="329"/>
        <item x="347"/>
        <item x="754"/>
        <item x="588"/>
        <item x="1263"/>
        <item x="1237"/>
        <item x="1268"/>
        <item x="747"/>
        <item x="511"/>
        <item x="577"/>
        <item x="821"/>
        <item x="592"/>
        <item x="232"/>
        <item x="894"/>
        <item x="1283"/>
        <item x="905"/>
        <item x="1222"/>
        <item x="75"/>
        <item x="1027"/>
        <item x="741"/>
        <item x="865"/>
        <item x="1305"/>
        <item x="1387"/>
        <item x="831"/>
        <item x="558"/>
        <item x="557"/>
        <item x="559"/>
        <item x="555"/>
        <item x="901"/>
        <item x="967"/>
        <item x="598"/>
        <item x="1363"/>
        <item x="1344"/>
        <item x="1310"/>
        <item x="1339"/>
        <item x="76"/>
        <item x="445"/>
        <item x="116"/>
        <item x="549"/>
        <item x="379"/>
        <item x="687"/>
        <item x="1367"/>
        <item x="122"/>
        <item x="1173"/>
        <item x="225"/>
        <item x="783"/>
        <item x="1328"/>
        <item x="330"/>
        <item x="1351"/>
        <item x="917"/>
        <item x="951"/>
        <item x="1245"/>
        <item x="1276"/>
        <item x="954"/>
        <item x="481"/>
        <item x="302"/>
        <item x="1073"/>
        <item x="161"/>
        <item x="468"/>
        <item x="907"/>
        <item x="120"/>
        <item x="580"/>
        <item x="1217"/>
        <item x="513"/>
        <item x="933"/>
        <item x="833"/>
        <item x="623"/>
        <item x="1385"/>
        <item x="884"/>
        <item x="603"/>
        <item x="352"/>
        <item x="765"/>
        <item x="987"/>
        <item x="341"/>
        <item x="902"/>
        <item x="624"/>
        <item x="869"/>
        <item x="1182"/>
        <item x="1189"/>
        <item x="1286"/>
        <item x="438"/>
        <item x="1132"/>
        <item x="714"/>
        <item x="1028"/>
        <item x="1058"/>
        <item x="514"/>
        <item x="147"/>
        <item x="969"/>
        <item x="717"/>
        <item x="247"/>
        <item x="396"/>
        <item x="67"/>
        <item x="859"/>
        <item x="176"/>
        <item x="1216"/>
        <item x="725"/>
        <item x="1002"/>
        <item x="304"/>
        <item x="1088"/>
        <item x="1299"/>
        <item x="1288"/>
        <item x="488"/>
        <item x="883"/>
        <item x="275"/>
        <item x="589"/>
        <item x="874"/>
        <item x="397"/>
        <item x="1231"/>
        <item x="1084"/>
        <item x="544"/>
        <item x="1306"/>
        <item x="1128"/>
        <item x="572"/>
        <item x="1170"/>
        <item x="4"/>
        <item x="1257"/>
        <item x="114"/>
        <item x="834"/>
        <item x="1043"/>
        <item x="40"/>
        <item x="436"/>
        <item x="1298"/>
        <item x="562"/>
        <item x="1219"/>
        <item x="815"/>
        <item x="1086"/>
        <item x="37"/>
        <item x="998"/>
        <item x="837"/>
        <item x="1045"/>
        <item x="1000"/>
        <item x="719"/>
        <item x="1092"/>
        <item x="963"/>
        <item x="1053"/>
        <item x="1001"/>
        <item x="1253"/>
        <item x="935"/>
        <item x="277"/>
        <item x="322"/>
        <item x="353"/>
        <item x="600"/>
        <item x="554"/>
        <item x="270"/>
        <item x="569"/>
        <item x="326"/>
        <item x="383"/>
        <item x="816"/>
        <item x="591"/>
        <item x="595"/>
        <item x="249"/>
        <item x="786"/>
        <item x="1329"/>
        <item x="219"/>
        <item x="357"/>
        <item x="62"/>
        <item x="1074"/>
        <item x="49"/>
        <item x="594"/>
        <item x="1393"/>
        <item x="970"/>
        <item x="1031"/>
        <item x="763"/>
        <item x="1375"/>
        <item x="9"/>
        <item x="369"/>
        <item x="2"/>
        <item x="484"/>
        <item x="1269"/>
        <item x="1159"/>
        <item x="1104"/>
        <item x="144"/>
        <item x="578"/>
        <item x="1154"/>
        <item x="78"/>
        <item x="63"/>
        <item x="492"/>
        <item x="1348"/>
        <item x="496"/>
        <item x="407"/>
        <item x="521"/>
        <item x="393"/>
        <item x="604"/>
        <item x="658"/>
        <item x="536"/>
        <item x="1123"/>
        <item x="1397"/>
        <item x="1107"/>
        <item x="734"/>
        <item x="877"/>
        <item x="925"/>
        <item x="1125"/>
        <item x="728"/>
        <item x="643"/>
        <item x="910"/>
        <item x="840"/>
        <item x="697"/>
        <item x="1332"/>
        <item x="597"/>
        <item x="1129"/>
        <item x="579"/>
        <item x="218"/>
        <item x="246"/>
        <item x="1396"/>
        <item x="1171"/>
        <item x="124"/>
        <item x="866"/>
        <item x="791"/>
        <item x="1316"/>
        <item x="1056"/>
        <item x="646"/>
        <item x="1327"/>
        <item x="680"/>
        <item x="1019"/>
        <item x="838"/>
        <item x="618"/>
        <item x="295"/>
        <item x="982"/>
        <item x="373"/>
        <item x="528"/>
        <item x="273"/>
        <item x="966"/>
        <item x="955"/>
        <item x="957"/>
        <item x="676"/>
        <item x="187"/>
        <item x="13"/>
        <item x="976"/>
        <item x="467"/>
        <item x="825"/>
        <item x="8"/>
        <item x="262"/>
        <item x="288"/>
        <item x="526"/>
        <item x="231"/>
        <item x="130"/>
        <item x="160"/>
        <item x="1174"/>
        <item x="491"/>
        <item x="207"/>
        <item x="490"/>
        <item x="817"/>
        <item x="1330"/>
        <item x="1275"/>
        <item x="398"/>
        <item x="707"/>
        <item x="349"/>
        <item x="814"/>
        <item x="872"/>
        <item x="1391"/>
        <item x="886"/>
        <item x="1317"/>
        <item x="924"/>
        <item x="999"/>
        <item x="672"/>
        <item x="1290"/>
        <item x="305"/>
        <item x="964"/>
        <item x="11"/>
        <item x="169"/>
        <item x="335"/>
        <item x="576"/>
        <item x="283"/>
        <item x="1324"/>
        <item x="505"/>
        <item x="259"/>
        <item x="289"/>
        <item x="324"/>
        <item x="427"/>
        <item x="688"/>
        <item t="default"/>
      </items>
    </pivotField>
    <pivotField showAll="0"/>
    <pivotField showAll="0"/>
    <pivotField showAll="0"/>
    <pivotField showAll="0"/>
    <pivotField showAll="0"/>
    <pivotField dataField="1" showAll="0"/>
    <pivotField axis="axisRow" showAll="0">
      <items count="7">
        <item x="1"/>
        <item x="3"/>
        <item x="5"/>
        <item x="0"/>
        <item x="2"/>
        <item x="4"/>
        <item t="default"/>
      </items>
    </pivotField>
    <pivotField showAll="0"/>
    <pivotField dataField="1" showAll="0" defaultSubtotal="0">
      <items count="19">
        <item x="12"/>
        <item x="4"/>
        <item x="1"/>
        <item x="18"/>
        <item x="6"/>
        <item x="0"/>
        <item x="15"/>
        <item x="10"/>
        <item x="17"/>
        <item x="5"/>
        <item x="8"/>
        <item x="13"/>
        <item x="11"/>
        <item x="14"/>
        <item x="2"/>
        <item x="3"/>
        <item x="7"/>
        <item x="16"/>
        <item x="9"/>
      </items>
    </pivotField>
  </pivotFields>
  <rowFields count="1">
    <field x="7"/>
  </rowFields>
  <rowItems count="7">
    <i>
      <x/>
    </i>
    <i>
      <x v="1"/>
    </i>
    <i>
      <x v="2"/>
    </i>
    <i>
      <x v="3"/>
    </i>
    <i>
      <x v="4"/>
    </i>
    <i>
      <x v="5"/>
    </i>
    <i t="grand">
      <x/>
    </i>
  </rowItems>
  <colFields count="1">
    <field x="-2"/>
  </colFields>
  <colItems count="2">
    <i>
      <x/>
    </i>
    <i i="1">
      <x v="1"/>
    </i>
  </colItems>
  <dataFields count="2">
    <dataField name="Average of u_window" fld="6" subtotal="average" baseField="0" baseItem="0"/>
    <dataField name="Sum of Weight" fld="9" baseField="0" baseItem="0"/>
  </dataFields>
  <formats count="1">
    <format dxfId="0">
      <pivotArea collapsedLevelsAreSubtotals="1" fieldPosition="0">
        <references count="1">
          <reference field="7" count="0"/>
        </references>
      </pivotArea>
    </format>
  </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U11:AL24" firstHeaderRow="1" firstDataRow="3" firstDataCol="1"/>
  <pivotFields count="19">
    <pivotField axis="axisRow" showAll="0">
      <items count="11">
        <item x="8"/>
        <item x="9"/>
        <item x="0"/>
        <item x="2"/>
        <item x="3"/>
        <item x="1"/>
        <item x="4"/>
        <item x="5"/>
        <item x="6"/>
        <item x="7"/>
        <item t="default"/>
      </items>
    </pivotField>
    <pivotField showAll="0"/>
    <pivotField showAll="0"/>
    <pivotField showAll="0">
      <items count="7">
        <item x="0"/>
        <item x="5"/>
        <item x="1"/>
        <item x="2"/>
        <item x="4"/>
        <item x="3"/>
        <item t="default"/>
      </items>
    </pivotField>
    <pivotField showAll="0"/>
    <pivotField showAll="0"/>
    <pivotField showAll="0"/>
    <pivotField showAll="0"/>
    <pivotField showAll="0"/>
    <pivotField showAll="0"/>
    <pivotField showAll="0"/>
    <pivotField axis="axisCol" showAll="0">
      <items count="6">
        <item x="1"/>
        <item x="3"/>
        <item x="4"/>
        <item x="2"/>
        <item x="0"/>
        <item t="default"/>
      </items>
    </pivotField>
    <pivotField axis="axisCol" showAll="0">
      <items count="4">
        <item x="2"/>
        <item x="0"/>
        <item x="1"/>
        <item t="default"/>
      </items>
    </pivotField>
    <pivotField showAll="0"/>
    <pivotField showAll="0"/>
    <pivotField showAll="0"/>
    <pivotField showAll="0"/>
    <pivotField showAll="0"/>
    <pivotField dataField="1" showAll="0"/>
  </pivotFields>
  <rowFields count="1">
    <field x="0"/>
  </rowFields>
  <rowItems count="11">
    <i>
      <x/>
    </i>
    <i>
      <x v="1"/>
    </i>
    <i>
      <x v="2"/>
    </i>
    <i>
      <x v="3"/>
    </i>
    <i>
      <x v="4"/>
    </i>
    <i>
      <x v="5"/>
    </i>
    <i>
      <x v="6"/>
    </i>
    <i>
      <x v="7"/>
    </i>
    <i>
      <x v="8"/>
    </i>
    <i>
      <x v="9"/>
    </i>
    <i t="grand">
      <x/>
    </i>
  </rowItems>
  <colFields count="2">
    <field x="11"/>
    <field x="12"/>
  </colFields>
  <colItems count="17">
    <i>
      <x/>
      <x/>
    </i>
    <i r="1">
      <x v="1"/>
    </i>
    <i r="1">
      <x v="2"/>
    </i>
    <i t="default">
      <x/>
    </i>
    <i>
      <x v="1"/>
      <x v="1"/>
    </i>
    <i r="1">
      <x v="2"/>
    </i>
    <i t="default">
      <x v="1"/>
    </i>
    <i>
      <x v="2"/>
      <x v="1"/>
    </i>
    <i r="1">
      <x v="2"/>
    </i>
    <i t="default">
      <x v="2"/>
    </i>
    <i>
      <x v="3"/>
      <x v="1"/>
    </i>
    <i r="1">
      <x v="2"/>
    </i>
    <i t="default">
      <x v="3"/>
    </i>
    <i>
      <x v="4"/>
      <x v="1"/>
    </i>
    <i r="1">
      <x v="2"/>
    </i>
    <i t="default">
      <x v="4"/>
    </i>
    <i t="grand">
      <x/>
    </i>
  </colItems>
  <dataFields count="1">
    <dataField name="Sum of weight" fld="18"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dimension ref="C1:F27"/>
  <sheetViews>
    <sheetView topLeftCell="B1" workbookViewId="0">
      <selection activeCell="D14" sqref="D14"/>
    </sheetView>
  </sheetViews>
  <sheetFormatPr defaultRowHeight="15"/>
  <cols>
    <col min="1" max="1" width="4" style="313" customWidth="1"/>
    <col min="2" max="2" width="4.28515625" style="313" customWidth="1"/>
    <col min="3" max="3" width="28.140625" style="313" customWidth="1"/>
    <col min="4" max="4" width="61" style="313" customWidth="1"/>
    <col min="5" max="5" width="33.85546875" style="313" customWidth="1"/>
    <col min="6" max="6" width="31.5703125" style="313" customWidth="1"/>
    <col min="7" max="16384" width="9.140625" style="313"/>
  </cols>
  <sheetData>
    <row r="1" spans="3:6" ht="15.75" thickBot="1"/>
    <row r="2" spans="3:6" ht="19.5" thickBot="1">
      <c r="C2" s="314" t="s">
        <v>1328</v>
      </c>
      <c r="D2" s="315" t="s">
        <v>1173</v>
      </c>
      <c r="E2" s="315"/>
      <c r="F2" s="316"/>
    </row>
    <row r="3" spans="3:6">
      <c r="C3" s="317" t="s">
        <v>1140</v>
      </c>
      <c r="D3" s="317" t="s">
        <v>1141</v>
      </c>
      <c r="E3" s="317" t="s">
        <v>1142</v>
      </c>
      <c r="F3" s="317" t="s">
        <v>1329</v>
      </c>
    </row>
    <row r="4" spans="3:6" ht="30">
      <c r="C4" s="318" t="s">
        <v>1143</v>
      </c>
      <c r="D4" s="319" t="s">
        <v>1332</v>
      </c>
      <c r="E4" s="320"/>
      <c r="F4" s="321" t="s">
        <v>1340</v>
      </c>
    </row>
    <row r="5" spans="3:6" ht="30">
      <c r="C5" s="318" t="s">
        <v>1144</v>
      </c>
      <c r="D5" s="322" t="s">
        <v>1342</v>
      </c>
      <c r="E5" s="320" t="s">
        <v>1341</v>
      </c>
      <c r="F5" s="321" t="s">
        <v>1339</v>
      </c>
    </row>
    <row r="6" spans="3:6" ht="45">
      <c r="C6" s="318" t="s">
        <v>1145</v>
      </c>
      <c r="D6" s="322" t="s">
        <v>1412</v>
      </c>
      <c r="E6" s="322"/>
      <c r="F6" s="321" t="s">
        <v>1371</v>
      </c>
    </row>
    <row r="7" spans="3:6">
      <c r="C7" s="318" t="s">
        <v>1146</v>
      </c>
      <c r="D7" s="322" t="s">
        <v>1334</v>
      </c>
      <c r="E7" s="322"/>
      <c r="F7" s="321" t="s">
        <v>1372</v>
      </c>
    </row>
    <row r="8" spans="3:6">
      <c r="C8" s="318" t="s">
        <v>1330</v>
      </c>
      <c r="D8" s="322" t="s">
        <v>1333</v>
      </c>
      <c r="E8" s="323"/>
      <c r="F8" s="321"/>
    </row>
    <row r="9" spans="3:6">
      <c r="C9" s="318" t="s">
        <v>1147</v>
      </c>
      <c r="D9" s="322" t="s">
        <v>1343</v>
      </c>
      <c r="E9" s="323"/>
      <c r="F9" s="321"/>
    </row>
    <row r="10" spans="3:6">
      <c r="C10" s="318" t="s">
        <v>1148</v>
      </c>
      <c r="D10" s="322" t="s">
        <v>1335</v>
      </c>
      <c r="E10" s="322"/>
      <c r="F10" s="321"/>
    </row>
    <row r="11" spans="3:6" ht="30">
      <c r="C11" s="318" t="s">
        <v>1149</v>
      </c>
      <c r="D11" s="322" t="s">
        <v>1336</v>
      </c>
      <c r="E11" s="323" t="s">
        <v>1375</v>
      </c>
      <c r="F11" s="321"/>
    </row>
    <row r="12" spans="3:6" ht="30">
      <c r="C12" s="318" t="s">
        <v>1150</v>
      </c>
      <c r="D12" s="324" t="s">
        <v>1373</v>
      </c>
      <c r="E12" s="325" t="s">
        <v>1606</v>
      </c>
      <c r="F12" s="321" t="s">
        <v>1374</v>
      </c>
    </row>
    <row r="13" spans="3:6" ht="30">
      <c r="C13" s="318" t="s">
        <v>1331</v>
      </c>
      <c r="D13" s="375" t="s">
        <v>1598</v>
      </c>
      <c r="E13" s="323" t="s">
        <v>1337</v>
      </c>
      <c r="F13" s="321" t="s">
        <v>1338</v>
      </c>
    </row>
    <row r="21" spans="3:3">
      <c r="C21" s="326"/>
    </row>
    <row r="22" spans="3:3">
      <c r="C22" s="326"/>
    </row>
    <row r="23" spans="3:3">
      <c r="C23" s="326"/>
    </row>
    <row r="24" spans="3:3">
      <c r="C24" s="326"/>
    </row>
    <row r="25" spans="3:3">
      <c r="C25" s="326"/>
    </row>
    <row r="26" spans="3:3">
      <c r="C26" s="326"/>
    </row>
    <row r="27" spans="3:3">
      <c r="C27" s="32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31"/>
  <dimension ref="A1:BB1574"/>
  <sheetViews>
    <sheetView topLeftCell="A226" workbookViewId="0">
      <selection activeCell="C240" sqref="C240"/>
    </sheetView>
  </sheetViews>
  <sheetFormatPr defaultRowHeight="15"/>
  <cols>
    <col min="1" max="1" width="9.140625" style="70"/>
    <col min="2" max="2" width="19.5703125" style="70" bestFit="1" customWidth="1"/>
    <col min="3" max="3" width="16.7109375" style="70" customWidth="1"/>
    <col min="4" max="4" width="12.140625" style="70" customWidth="1"/>
    <col min="5" max="5" width="11" style="70" customWidth="1"/>
    <col min="6" max="6" width="19.42578125" style="70" customWidth="1"/>
    <col min="7" max="7" width="15.42578125" style="70" bestFit="1" customWidth="1"/>
    <col min="8" max="9" width="17.42578125" style="70" customWidth="1"/>
    <col min="10" max="10" width="12.42578125" style="70" customWidth="1"/>
    <col min="11" max="11" width="12" style="70" customWidth="1"/>
    <col min="12" max="12" width="17.140625" style="70" bestFit="1" customWidth="1"/>
    <col min="13" max="13" width="9.140625" style="81" bestFit="1" customWidth="1"/>
    <col min="14" max="17" width="13" style="70" bestFit="1" customWidth="1"/>
    <col min="18" max="18" width="8.5703125" style="70" customWidth="1"/>
    <col min="19" max="22" width="9.140625" style="70"/>
    <col min="23" max="23" width="11.28515625" style="70" bestFit="1" customWidth="1"/>
    <col min="24" max="26" width="9.140625" style="70"/>
    <col min="27" max="30" width="16.5703125" style="70" customWidth="1"/>
    <col min="31" max="31" width="12.28515625" style="70" customWidth="1"/>
    <col min="32" max="32" width="12.42578125" style="81" bestFit="1" customWidth="1"/>
    <col min="33" max="33" width="12.42578125" style="70" bestFit="1" customWidth="1"/>
    <col min="34" max="38" width="13.5703125" style="70" bestFit="1" customWidth="1"/>
    <col min="39" max="39" width="13.5703125" style="81" bestFit="1" customWidth="1"/>
    <col min="40" max="40" width="13.5703125" style="70" bestFit="1" customWidth="1"/>
    <col min="41" max="41" width="12.85546875" style="70" bestFit="1" customWidth="1"/>
    <col min="42" max="44" width="13.140625" style="70" bestFit="1" customWidth="1"/>
    <col min="45" max="45" width="14.42578125" style="70" bestFit="1" customWidth="1"/>
    <col min="46" max="46" width="20.28515625" style="70" bestFit="1" customWidth="1"/>
    <col min="47" max="47" width="21.42578125" style="70" bestFit="1" customWidth="1"/>
    <col min="48" max="48" width="17.42578125" style="70" bestFit="1" customWidth="1"/>
    <col min="49" max="49" width="20.28515625" style="70" bestFit="1" customWidth="1"/>
    <col min="50" max="50" width="21.42578125" style="70" bestFit="1" customWidth="1"/>
    <col min="51" max="51" width="17.42578125" style="70" bestFit="1" customWidth="1"/>
    <col min="52" max="52" width="28.5703125" style="70" bestFit="1" customWidth="1"/>
    <col min="53" max="53" width="28.42578125" style="70" bestFit="1" customWidth="1"/>
    <col min="54" max="54" width="27.28515625" style="70" bestFit="1" customWidth="1"/>
    <col min="55" max="55" width="25.140625" style="70" bestFit="1" customWidth="1"/>
    <col min="56" max="56" width="22.85546875" style="70" bestFit="1" customWidth="1"/>
    <col min="57" max="57" width="20.7109375" style="70" bestFit="1" customWidth="1"/>
    <col min="58" max="58" width="31.42578125" style="70" bestFit="1" customWidth="1"/>
    <col min="59" max="59" width="22" style="70" bestFit="1" customWidth="1"/>
    <col min="60" max="60" width="37.85546875" style="70" bestFit="1" customWidth="1"/>
    <col min="61" max="63" width="9.28515625" style="70" customWidth="1"/>
    <col min="64" max="16384" width="9.140625" style="70"/>
  </cols>
  <sheetData>
    <row r="1" spans="1:17" ht="21.75" customHeight="1">
      <c r="A1" s="191" t="s">
        <v>686</v>
      </c>
      <c r="B1" s="191"/>
      <c r="C1" s="191"/>
      <c r="D1" s="191"/>
      <c r="E1" s="191"/>
    </row>
    <row r="2" spans="1:17">
      <c r="B2" s="68" t="s">
        <v>322</v>
      </c>
      <c r="C2" s="68" t="s">
        <v>323</v>
      </c>
      <c r="D2" s="69" t="s">
        <v>324</v>
      </c>
      <c r="E2" s="69" t="s">
        <v>325</v>
      </c>
      <c r="F2" s="69" t="s">
        <v>326</v>
      </c>
      <c r="G2" s="69" t="s">
        <v>327</v>
      </c>
      <c r="H2" s="68" t="s">
        <v>328</v>
      </c>
      <c r="L2" s="71" t="s">
        <v>328</v>
      </c>
      <c r="M2" s="72"/>
    </row>
    <row r="3" spans="1:17">
      <c r="B3" s="70" t="s">
        <v>57</v>
      </c>
      <c r="C3" s="70" t="s">
        <v>329</v>
      </c>
      <c r="D3" s="73">
        <v>0.14937787509972672</v>
      </c>
      <c r="E3" s="74" t="s">
        <v>330</v>
      </c>
      <c r="F3" s="75">
        <f t="shared" ref="F3:G12" si="0">1/D3</f>
        <v>6.6944318181818172</v>
      </c>
      <c r="G3" s="75" t="e">
        <f t="shared" si="0"/>
        <v>#VALUE!</v>
      </c>
      <c r="H3" s="74" t="s">
        <v>331</v>
      </c>
      <c r="L3" s="76" t="s">
        <v>322</v>
      </c>
      <c r="M3" s="76" t="s">
        <v>332</v>
      </c>
      <c r="N3" s="68" t="s">
        <v>333</v>
      </c>
    </row>
    <row r="4" spans="1:17">
      <c r="B4" s="70" t="s">
        <v>57</v>
      </c>
      <c r="C4" s="70" t="s">
        <v>334</v>
      </c>
      <c r="D4" s="73">
        <v>8.3623380712739837E-2</v>
      </c>
      <c r="E4" s="73">
        <f>D3</f>
        <v>0.14937787509972672</v>
      </c>
      <c r="F4" s="75">
        <f t="shared" si="0"/>
        <v>11.958378045431644</v>
      </c>
      <c r="G4" s="75">
        <f t="shared" si="0"/>
        <v>6.6944318181818172</v>
      </c>
      <c r="H4" s="74" t="s">
        <v>331</v>
      </c>
      <c r="L4" s="72" t="s">
        <v>57</v>
      </c>
      <c r="M4" s="72" t="s">
        <v>331</v>
      </c>
      <c r="N4" s="70" t="s">
        <v>335</v>
      </c>
    </row>
    <row r="5" spans="1:17">
      <c r="B5" s="70" t="s">
        <v>57</v>
      </c>
      <c r="C5" s="70" t="s">
        <v>335</v>
      </c>
      <c r="D5" s="73">
        <v>5.3224735534531692E-2</v>
      </c>
      <c r="E5" s="73">
        <f>D4</f>
        <v>8.3623380712739837E-2</v>
      </c>
      <c r="F5" s="75">
        <f t="shared" si="0"/>
        <v>18.788256812496694</v>
      </c>
      <c r="G5" s="75">
        <f t="shared" si="0"/>
        <v>11.958378045431644</v>
      </c>
      <c r="H5" s="74" t="s">
        <v>331</v>
      </c>
      <c r="L5" s="72" t="s">
        <v>63</v>
      </c>
      <c r="M5" s="72" t="s">
        <v>334</v>
      </c>
      <c r="N5" s="70" t="s">
        <v>329</v>
      </c>
    </row>
    <row r="6" spans="1:17">
      <c r="B6" s="70" t="s">
        <v>57</v>
      </c>
      <c r="C6" s="70" t="s">
        <v>336</v>
      </c>
      <c r="D6" s="73">
        <v>3.811145266225785E-2</v>
      </c>
      <c r="E6" s="73">
        <f>D5</f>
        <v>5.3224735534531692E-2</v>
      </c>
      <c r="F6" s="75">
        <f t="shared" si="0"/>
        <v>26.238831903416528</v>
      </c>
      <c r="G6" s="75">
        <f t="shared" si="0"/>
        <v>18.788256812496694</v>
      </c>
      <c r="H6" s="77" t="s">
        <v>336</v>
      </c>
      <c r="L6" s="72" t="s">
        <v>56</v>
      </c>
      <c r="M6" s="72" t="s">
        <v>337</v>
      </c>
      <c r="N6" s="70" t="s">
        <v>329</v>
      </c>
    </row>
    <row r="7" spans="1:17">
      <c r="B7" s="70" t="s">
        <v>57</v>
      </c>
      <c r="C7" s="70" t="s">
        <v>331</v>
      </c>
      <c r="D7" s="78" t="s">
        <v>330</v>
      </c>
      <c r="E7" s="73">
        <f>D6</f>
        <v>3.811145266225785E-2</v>
      </c>
      <c r="F7" s="75" t="e">
        <f t="shared" si="0"/>
        <v>#VALUE!</v>
      </c>
      <c r="G7" s="75">
        <f t="shared" si="0"/>
        <v>26.238831903416528</v>
      </c>
      <c r="H7" s="77" t="s">
        <v>331</v>
      </c>
      <c r="L7" s="72" t="s">
        <v>338</v>
      </c>
      <c r="M7" s="72">
        <v>0.3</v>
      </c>
      <c r="N7" s="79" t="s">
        <v>339</v>
      </c>
    </row>
    <row r="8" spans="1:17">
      <c r="B8" s="70" t="s">
        <v>63</v>
      </c>
      <c r="C8" s="70" t="s">
        <v>329</v>
      </c>
      <c r="D8" s="74">
        <v>0.2</v>
      </c>
      <c r="E8" s="74" t="s">
        <v>330</v>
      </c>
      <c r="F8" s="75">
        <f t="shared" si="0"/>
        <v>5</v>
      </c>
      <c r="G8" s="75" t="e">
        <f t="shared" si="0"/>
        <v>#VALUE!</v>
      </c>
      <c r="H8" s="74" t="s">
        <v>334</v>
      </c>
      <c r="L8" s="72" t="s">
        <v>340</v>
      </c>
      <c r="M8" s="72" t="s">
        <v>341</v>
      </c>
      <c r="N8" s="70" t="s">
        <v>342</v>
      </c>
    </row>
    <row r="9" spans="1:17">
      <c r="B9" s="79" t="s">
        <v>63</v>
      </c>
      <c r="C9" s="79" t="s">
        <v>334</v>
      </c>
      <c r="D9" s="77" t="s">
        <v>330</v>
      </c>
      <c r="E9" s="74">
        <f>D8</f>
        <v>0.2</v>
      </c>
      <c r="F9" s="75" t="e">
        <f t="shared" si="0"/>
        <v>#VALUE!</v>
      </c>
      <c r="G9" s="75">
        <f t="shared" si="0"/>
        <v>5</v>
      </c>
      <c r="H9" s="77" t="s">
        <v>334</v>
      </c>
      <c r="L9" s="72" t="s">
        <v>343</v>
      </c>
      <c r="M9" s="72" t="s">
        <v>344</v>
      </c>
      <c r="N9" s="70" t="s">
        <v>345</v>
      </c>
    </row>
    <row r="10" spans="1:17">
      <c r="B10" s="70" t="s">
        <v>56</v>
      </c>
      <c r="C10" s="70" t="s">
        <v>329</v>
      </c>
      <c r="D10" s="73">
        <v>7.0839376596854922E-2</v>
      </c>
      <c r="E10" s="74" t="s">
        <v>330</v>
      </c>
      <c r="F10" s="75">
        <f t="shared" si="0"/>
        <v>14.116442691061136</v>
      </c>
      <c r="G10" s="75" t="e">
        <f t="shared" si="0"/>
        <v>#VALUE!</v>
      </c>
      <c r="H10" s="74" t="s">
        <v>346</v>
      </c>
      <c r="L10" s="72" t="s">
        <v>347</v>
      </c>
      <c r="M10" s="72" t="s">
        <v>348</v>
      </c>
      <c r="N10" s="70" t="s">
        <v>342</v>
      </c>
    </row>
    <row r="11" spans="1:17">
      <c r="B11" s="70" t="s">
        <v>56</v>
      </c>
      <c r="C11" s="70" t="s">
        <v>335</v>
      </c>
      <c r="D11" s="73">
        <v>5.0428432384779377E-2</v>
      </c>
      <c r="E11" s="73">
        <f>D10</f>
        <v>7.0839376596854922E-2</v>
      </c>
      <c r="F11" s="75">
        <f t="shared" si="0"/>
        <v>19.830083004956272</v>
      </c>
      <c r="G11" s="75">
        <f t="shared" si="0"/>
        <v>14.116442691061136</v>
      </c>
      <c r="H11" s="77" t="s">
        <v>335</v>
      </c>
      <c r="L11" s="72" t="s">
        <v>349</v>
      </c>
      <c r="M11" s="72" t="s">
        <v>350</v>
      </c>
      <c r="N11" s="70" t="s">
        <v>351</v>
      </c>
      <c r="O11" s="80"/>
      <c r="P11" s="80"/>
      <c r="Q11" s="80"/>
    </row>
    <row r="12" spans="1:17">
      <c r="B12" s="79" t="s">
        <v>56</v>
      </c>
      <c r="C12" s="79" t="s">
        <v>352</v>
      </c>
      <c r="D12" s="77" t="s">
        <v>330</v>
      </c>
      <c r="E12" s="73">
        <f>D11</f>
        <v>5.0428432384779377E-2</v>
      </c>
      <c r="F12" s="75" t="e">
        <f t="shared" si="0"/>
        <v>#VALUE!</v>
      </c>
      <c r="G12" s="75">
        <f t="shared" si="0"/>
        <v>19.830083004956272</v>
      </c>
      <c r="H12" s="77" t="s">
        <v>346</v>
      </c>
      <c r="L12" s="70" t="s">
        <v>349</v>
      </c>
      <c r="M12" s="81" t="s">
        <v>353</v>
      </c>
      <c r="N12" s="70" t="s">
        <v>354</v>
      </c>
    </row>
    <row r="13" spans="1:17">
      <c r="B13" s="70" t="s">
        <v>58</v>
      </c>
      <c r="C13" s="70" t="s">
        <v>355</v>
      </c>
      <c r="D13" s="73">
        <v>1.09489051094891</v>
      </c>
      <c r="E13" s="74" t="s">
        <v>330</v>
      </c>
      <c r="H13" s="73">
        <v>0.3</v>
      </c>
    </row>
    <row r="14" spans="1:17">
      <c r="B14" s="70" t="s">
        <v>58</v>
      </c>
      <c r="C14" s="70" t="s">
        <v>339</v>
      </c>
      <c r="D14" s="73">
        <v>0.804640718562874</v>
      </c>
      <c r="E14" s="73">
        <f>D13</f>
        <v>1.09489051094891</v>
      </c>
      <c r="H14" s="73">
        <v>0.3</v>
      </c>
    </row>
    <row r="15" spans="1:17">
      <c r="B15" s="79" t="s">
        <v>58</v>
      </c>
      <c r="C15" s="79" t="s">
        <v>352</v>
      </c>
      <c r="D15" s="77" t="s">
        <v>330</v>
      </c>
      <c r="E15" s="73">
        <f>D14</f>
        <v>0.804640718562874</v>
      </c>
      <c r="H15" s="78" t="s">
        <v>356</v>
      </c>
    </row>
    <row r="16" spans="1:17">
      <c r="D16" s="74"/>
      <c r="E16" s="74"/>
      <c r="H16" s="74"/>
    </row>
    <row r="17" spans="1:21" ht="15.75" thickBot="1"/>
    <row r="18" spans="1:21">
      <c r="I18" s="82"/>
      <c r="J18" s="83"/>
      <c r="K18" s="83"/>
      <c r="L18" s="83"/>
      <c r="M18" s="434" t="s">
        <v>351</v>
      </c>
      <c r="N18" s="435"/>
      <c r="O18" s="436"/>
      <c r="P18" s="434" t="s">
        <v>354</v>
      </c>
      <c r="Q18" s="435"/>
      <c r="R18" s="436"/>
      <c r="S18" s="434" t="s">
        <v>229</v>
      </c>
      <c r="T18" s="435"/>
      <c r="U18" s="436"/>
    </row>
    <row r="19" spans="1:21" ht="15.75" thickBot="1">
      <c r="I19" s="84"/>
      <c r="J19" s="84"/>
      <c r="K19" s="84"/>
      <c r="L19" s="84"/>
      <c r="M19" s="85" t="s">
        <v>60</v>
      </c>
      <c r="N19" s="86" t="s">
        <v>61</v>
      </c>
      <c r="O19" s="87" t="s">
        <v>62</v>
      </c>
      <c r="P19" s="85" t="s">
        <v>60</v>
      </c>
      <c r="Q19" s="86" t="s">
        <v>61</v>
      </c>
      <c r="R19" s="87" t="s">
        <v>62</v>
      </c>
      <c r="S19" s="85" t="s">
        <v>60</v>
      </c>
      <c r="T19" s="86" t="s">
        <v>61</v>
      </c>
      <c r="U19" s="87" t="s">
        <v>62</v>
      </c>
    </row>
    <row r="20" spans="1:21">
      <c r="I20" s="88">
        <v>1</v>
      </c>
      <c r="J20" s="89" t="s">
        <v>57</v>
      </c>
      <c r="K20" s="89" t="s">
        <v>329</v>
      </c>
      <c r="L20" s="90" t="s">
        <v>331</v>
      </c>
      <c r="M20" s="91"/>
      <c r="N20" s="92"/>
      <c r="O20" s="93"/>
      <c r="P20" s="88"/>
      <c r="Q20" s="94"/>
      <c r="R20" s="95"/>
      <c r="S20" s="91"/>
      <c r="T20" s="94"/>
      <c r="U20" s="95"/>
    </row>
    <row r="21" spans="1:21">
      <c r="C21" s="70" t="s">
        <v>329</v>
      </c>
      <c r="I21" s="96">
        <v>2</v>
      </c>
      <c r="J21" s="97" t="s">
        <v>57</v>
      </c>
      <c r="K21" s="97" t="s">
        <v>334</v>
      </c>
      <c r="L21" s="98" t="s">
        <v>331</v>
      </c>
      <c r="M21" s="99"/>
      <c r="N21" s="100"/>
      <c r="O21" s="101"/>
      <c r="P21" s="96"/>
      <c r="Q21" s="102"/>
      <c r="R21" s="103"/>
      <c r="S21" s="99"/>
      <c r="T21" s="102"/>
      <c r="U21" s="103"/>
    </row>
    <row r="22" spans="1:21">
      <c r="B22" s="70" t="s">
        <v>354</v>
      </c>
      <c r="C22" s="70" t="s">
        <v>334</v>
      </c>
      <c r="E22" s="70" t="s">
        <v>329</v>
      </c>
      <c r="F22" s="70" t="s">
        <v>357</v>
      </c>
      <c r="I22" s="96">
        <v>3</v>
      </c>
      <c r="J22" s="97" t="s">
        <v>57</v>
      </c>
      <c r="K22" s="97" t="s">
        <v>335</v>
      </c>
      <c r="L22" s="98" t="s">
        <v>331</v>
      </c>
      <c r="M22" s="99"/>
      <c r="N22" s="100"/>
      <c r="O22" s="101"/>
      <c r="P22" s="96"/>
      <c r="Q22" s="102"/>
      <c r="R22" s="103"/>
      <c r="S22" s="99"/>
      <c r="T22" s="102"/>
      <c r="U22" s="103"/>
    </row>
    <row r="23" spans="1:21">
      <c r="B23" s="70" t="s">
        <v>351</v>
      </c>
      <c r="C23" s="70" t="s">
        <v>335</v>
      </c>
      <c r="D23" s="70" t="s">
        <v>329</v>
      </c>
      <c r="E23" s="70" t="s">
        <v>334</v>
      </c>
      <c r="F23" s="70" t="s">
        <v>358</v>
      </c>
      <c r="I23" s="96">
        <v>4</v>
      </c>
      <c r="J23" s="97" t="s">
        <v>57</v>
      </c>
      <c r="K23" s="97" t="s">
        <v>336</v>
      </c>
      <c r="L23" s="98" t="s">
        <v>331</v>
      </c>
      <c r="M23" s="99"/>
      <c r="N23" s="100"/>
      <c r="O23" s="101"/>
      <c r="P23" s="96"/>
      <c r="Q23" s="102"/>
      <c r="R23" s="103"/>
      <c r="S23" s="99"/>
      <c r="T23" s="102"/>
      <c r="U23" s="103"/>
    </row>
    <row r="24" spans="1:21">
      <c r="B24" s="70" t="s">
        <v>229</v>
      </c>
      <c r="C24" s="70" t="s">
        <v>359</v>
      </c>
      <c r="D24" s="70" t="s">
        <v>359</v>
      </c>
      <c r="E24" s="70" t="s">
        <v>359</v>
      </c>
      <c r="F24" s="70" t="s">
        <v>360</v>
      </c>
      <c r="I24" s="96">
        <v>5</v>
      </c>
      <c r="J24" s="97" t="s">
        <v>63</v>
      </c>
      <c r="K24" s="97" t="s">
        <v>329</v>
      </c>
      <c r="L24" s="98" t="s">
        <v>334</v>
      </c>
      <c r="M24" s="99"/>
      <c r="N24" s="100"/>
      <c r="O24" s="101"/>
      <c r="P24" s="96"/>
      <c r="Q24" s="102"/>
      <c r="R24" s="103"/>
      <c r="S24" s="99"/>
      <c r="T24" s="102"/>
      <c r="U24" s="103"/>
    </row>
    <row r="25" spans="1:21">
      <c r="A25" s="104" t="s">
        <v>361</v>
      </c>
      <c r="B25" s="104" t="s">
        <v>362</v>
      </c>
      <c r="C25" s="104" t="s">
        <v>57</v>
      </c>
      <c r="D25" s="104" t="s">
        <v>63</v>
      </c>
      <c r="E25" s="104" t="s">
        <v>56</v>
      </c>
      <c r="F25" s="104" t="s">
        <v>58</v>
      </c>
      <c r="G25" s="104" t="s">
        <v>363</v>
      </c>
      <c r="H25" s="104" t="s">
        <v>364</v>
      </c>
      <c r="I25" s="96">
        <v>6</v>
      </c>
      <c r="J25" s="97" t="s">
        <v>56</v>
      </c>
      <c r="K25" s="97" t="s">
        <v>329</v>
      </c>
      <c r="L25" s="98" t="s">
        <v>346</v>
      </c>
      <c r="M25" s="99"/>
      <c r="N25" s="100"/>
      <c r="O25" s="101"/>
      <c r="P25" s="96"/>
      <c r="Q25" s="102"/>
      <c r="R25" s="103"/>
      <c r="S25" s="99"/>
      <c r="T25" s="102"/>
      <c r="U25" s="103"/>
    </row>
    <row r="26" spans="1:21">
      <c r="I26" s="96">
        <v>7</v>
      </c>
      <c r="J26" s="97" t="s">
        <v>58</v>
      </c>
      <c r="K26" s="97" t="s">
        <v>355</v>
      </c>
      <c r="L26" s="98" t="s">
        <v>365</v>
      </c>
      <c r="M26" s="99"/>
      <c r="N26" s="100"/>
      <c r="O26" s="101"/>
      <c r="P26" s="96"/>
      <c r="Q26" s="102"/>
      <c r="R26" s="103"/>
      <c r="S26" s="99"/>
      <c r="T26" s="102"/>
      <c r="U26" s="103"/>
    </row>
    <row r="27" spans="1:21">
      <c r="I27" s="96">
        <v>8</v>
      </c>
      <c r="J27" s="97" t="s">
        <v>59</v>
      </c>
      <c r="K27" s="102"/>
      <c r="L27" s="105"/>
      <c r="M27" s="99"/>
      <c r="N27" s="100"/>
      <c r="O27" s="101"/>
      <c r="P27" s="96"/>
      <c r="Q27" s="102"/>
      <c r="R27" s="103"/>
      <c r="S27" s="99"/>
      <c r="T27" s="102"/>
      <c r="U27" s="103"/>
    </row>
    <row r="28" spans="1:21">
      <c r="I28" s="96">
        <v>9</v>
      </c>
      <c r="J28" s="97" t="s">
        <v>366</v>
      </c>
      <c r="K28" s="97" t="s">
        <v>367</v>
      </c>
      <c r="L28" s="98" t="s">
        <v>350</v>
      </c>
      <c r="M28" s="106" t="s">
        <v>330</v>
      </c>
      <c r="N28" s="100" t="s">
        <v>330</v>
      </c>
      <c r="O28" s="101" t="s">
        <v>330</v>
      </c>
      <c r="P28" s="107" t="s">
        <v>330</v>
      </c>
      <c r="Q28" s="97" t="s">
        <v>330</v>
      </c>
      <c r="R28" s="108" t="s">
        <v>330</v>
      </c>
      <c r="S28" s="99"/>
      <c r="T28" s="102"/>
      <c r="U28" s="103"/>
    </row>
    <row r="29" spans="1:21">
      <c r="I29" s="96">
        <v>10</v>
      </c>
      <c r="J29" s="97" t="s">
        <v>368</v>
      </c>
      <c r="K29" s="97" t="s">
        <v>228</v>
      </c>
      <c r="L29" s="98" t="s">
        <v>369</v>
      </c>
      <c r="M29" s="106" t="s">
        <v>330</v>
      </c>
      <c r="N29" s="100" t="s">
        <v>330</v>
      </c>
      <c r="O29" s="101" t="s">
        <v>330</v>
      </c>
      <c r="P29" s="96"/>
      <c r="Q29" s="102"/>
      <c r="R29" s="103"/>
      <c r="S29" s="106" t="s">
        <v>330</v>
      </c>
      <c r="T29" s="97" t="s">
        <v>330</v>
      </c>
      <c r="U29" s="108" t="s">
        <v>330</v>
      </c>
    </row>
    <row r="30" spans="1:21">
      <c r="I30" s="96">
        <v>11</v>
      </c>
      <c r="J30" s="97" t="s">
        <v>368</v>
      </c>
      <c r="K30" s="97" t="s">
        <v>227</v>
      </c>
      <c r="L30" s="98" t="s">
        <v>369</v>
      </c>
      <c r="M30" s="99"/>
      <c r="N30" s="100"/>
      <c r="O30" s="101"/>
      <c r="P30" s="107" t="s">
        <v>330</v>
      </c>
      <c r="Q30" s="97" t="s">
        <v>330</v>
      </c>
      <c r="R30" s="108" t="s">
        <v>330</v>
      </c>
      <c r="S30" s="106" t="s">
        <v>330</v>
      </c>
      <c r="T30" s="97" t="s">
        <v>330</v>
      </c>
      <c r="U30" s="108" t="s">
        <v>330</v>
      </c>
    </row>
    <row r="31" spans="1:21">
      <c r="I31" s="96">
        <v>12</v>
      </c>
      <c r="J31" s="97" t="s">
        <v>353</v>
      </c>
      <c r="K31" s="97" t="s">
        <v>228</v>
      </c>
      <c r="L31" s="98" t="s">
        <v>353</v>
      </c>
      <c r="M31" s="99"/>
      <c r="N31" s="102"/>
      <c r="O31" s="103"/>
      <c r="P31" s="99"/>
      <c r="Q31" s="102"/>
      <c r="R31" s="103"/>
      <c r="S31" s="106" t="s">
        <v>330</v>
      </c>
      <c r="T31" s="97" t="s">
        <v>330</v>
      </c>
      <c r="U31" s="108" t="s">
        <v>330</v>
      </c>
    </row>
    <row r="32" spans="1:21">
      <c r="I32" s="96">
        <v>13</v>
      </c>
      <c r="J32" s="97" t="s">
        <v>353</v>
      </c>
      <c r="K32" s="97" t="s">
        <v>227</v>
      </c>
      <c r="L32" s="98" t="s">
        <v>353</v>
      </c>
      <c r="M32" s="99"/>
      <c r="N32" s="102"/>
      <c r="O32" s="103"/>
      <c r="P32" s="99"/>
      <c r="Q32" s="102"/>
      <c r="R32" s="103"/>
      <c r="S32" s="106" t="s">
        <v>330</v>
      </c>
      <c r="T32" s="97" t="s">
        <v>330</v>
      </c>
      <c r="U32" s="108" t="s">
        <v>330</v>
      </c>
    </row>
    <row r="33" spans="1:39">
      <c r="I33" s="96">
        <v>14</v>
      </c>
      <c r="J33" s="97" t="s">
        <v>370</v>
      </c>
      <c r="K33" s="97" t="s">
        <v>371</v>
      </c>
      <c r="L33" s="98" t="s">
        <v>341</v>
      </c>
      <c r="M33" s="106" t="s">
        <v>330</v>
      </c>
      <c r="N33" s="97" t="s">
        <v>330</v>
      </c>
      <c r="O33" s="108" t="s">
        <v>330</v>
      </c>
      <c r="P33" s="106" t="s">
        <v>330</v>
      </c>
      <c r="Q33" s="97" t="s">
        <v>330</v>
      </c>
      <c r="R33" s="108" t="s">
        <v>330</v>
      </c>
      <c r="S33" s="99"/>
      <c r="T33" s="102"/>
      <c r="U33" s="103"/>
    </row>
    <row r="34" spans="1:39">
      <c r="I34" s="96">
        <v>15</v>
      </c>
      <c r="J34" s="97" t="s">
        <v>343</v>
      </c>
      <c r="K34" s="97" t="s">
        <v>329</v>
      </c>
      <c r="L34" s="98" t="s">
        <v>344</v>
      </c>
      <c r="M34" s="99"/>
      <c r="N34" s="102"/>
      <c r="O34" s="103"/>
      <c r="P34" s="106" t="s">
        <v>330</v>
      </c>
      <c r="Q34" s="97" t="s">
        <v>330</v>
      </c>
      <c r="R34" s="108" t="s">
        <v>330</v>
      </c>
      <c r="S34" s="99"/>
      <c r="T34" s="102"/>
      <c r="U34" s="103"/>
    </row>
    <row r="35" spans="1:39" ht="15.75" thickBot="1">
      <c r="I35" s="109">
        <v>16</v>
      </c>
      <c r="J35" s="110" t="s">
        <v>340</v>
      </c>
      <c r="K35" s="110" t="s">
        <v>371</v>
      </c>
      <c r="L35" s="111" t="s">
        <v>341</v>
      </c>
      <c r="M35" s="109"/>
      <c r="N35" s="112"/>
      <c r="O35" s="113"/>
      <c r="P35" s="114" t="s">
        <v>330</v>
      </c>
      <c r="Q35" s="110" t="s">
        <v>330</v>
      </c>
      <c r="R35" s="115" t="s">
        <v>330</v>
      </c>
      <c r="S35" s="109"/>
      <c r="T35" s="112"/>
      <c r="U35" s="113"/>
    </row>
    <row r="38" spans="1:39" s="116" customFormat="1">
      <c r="M38" s="117"/>
      <c r="AF38" s="117"/>
      <c r="AM38" s="117"/>
    </row>
    <row r="44" spans="1:39">
      <c r="B44" s="118" t="s">
        <v>372</v>
      </c>
      <c r="M44" s="70"/>
      <c r="N44" s="81"/>
      <c r="AF44" s="70"/>
      <c r="AG44" s="81"/>
      <c r="AM44" s="70"/>
    </row>
    <row r="45" spans="1:39" s="122" customFormat="1">
      <c r="A45" s="119" t="s">
        <v>373</v>
      </c>
      <c r="B45" s="120" t="s">
        <v>56</v>
      </c>
      <c r="C45" s="120" t="s">
        <v>374</v>
      </c>
      <c r="D45" s="120" t="s">
        <v>57</v>
      </c>
      <c r="E45" s="120" t="s">
        <v>63</v>
      </c>
      <c r="F45" s="120" t="s">
        <v>338</v>
      </c>
      <c r="G45" s="120" t="s">
        <v>59</v>
      </c>
      <c r="H45" s="121"/>
      <c r="I45" s="121"/>
      <c r="J45" s="122" t="s">
        <v>375</v>
      </c>
      <c r="K45" s="119" t="s">
        <v>373</v>
      </c>
      <c r="L45" s="119" t="s">
        <v>376</v>
      </c>
      <c r="N45" s="123"/>
      <c r="AG45" s="123"/>
    </row>
    <row r="46" spans="1:39">
      <c r="A46" s="74">
        <v>3001</v>
      </c>
      <c r="B46" s="124" t="s">
        <v>377</v>
      </c>
      <c r="C46" s="124" t="s">
        <v>227</v>
      </c>
      <c r="D46" s="124" t="s">
        <v>336</v>
      </c>
      <c r="E46" s="124" t="s">
        <v>334</v>
      </c>
      <c r="F46" s="124" t="s">
        <v>352</v>
      </c>
      <c r="G46" s="124" t="s">
        <v>378</v>
      </c>
      <c r="H46" s="121"/>
      <c r="I46" s="121"/>
      <c r="J46" s="70" t="str">
        <f>C46&amp;D46&amp;E46&amp;B46&amp;F46</f>
        <v>Electric FAFR30R11BasementBetter</v>
      </c>
      <c r="K46" s="74">
        <f>A46</f>
        <v>3001</v>
      </c>
      <c r="L46" s="74">
        <f t="shared" ref="L46:L82" si="1">COUNTIFS($W$114:$W$208,K46)</f>
        <v>1</v>
      </c>
      <c r="M46" s="70"/>
      <c r="N46" s="81"/>
      <c r="AF46" s="70"/>
      <c r="AG46" s="81"/>
      <c r="AM46" s="70"/>
    </row>
    <row r="47" spans="1:39">
      <c r="A47" s="74">
        <v>3002</v>
      </c>
      <c r="B47" s="124" t="s">
        <v>377</v>
      </c>
      <c r="C47" s="124" t="s">
        <v>227</v>
      </c>
      <c r="D47" s="124" t="s">
        <v>336</v>
      </c>
      <c r="E47" s="124" t="s">
        <v>334</v>
      </c>
      <c r="F47" s="124" t="s">
        <v>365</v>
      </c>
      <c r="G47" s="124" t="s">
        <v>378</v>
      </c>
      <c r="H47" s="121"/>
      <c r="I47" s="121"/>
      <c r="J47" s="70" t="str">
        <f>C47&amp;D47&amp;E47&amp;B47&amp;F47</f>
        <v>Electric FAFR30R11Basementu30</v>
      </c>
      <c r="K47" s="74">
        <f t="shared" ref="K47:K82" si="2">A47</f>
        <v>3002</v>
      </c>
      <c r="L47" s="74">
        <f t="shared" si="1"/>
        <v>1</v>
      </c>
      <c r="M47" s="70"/>
      <c r="N47" s="81"/>
      <c r="AF47" s="70"/>
      <c r="AG47" s="81"/>
      <c r="AM47" s="70"/>
    </row>
    <row r="48" spans="1:39">
      <c r="A48" s="74">
        <v>3003</v>
      </c>
      <c r="B48" s="124" t="s">
        <v>377</v>
      </c>
      <c r="C48" s="124" t="s">
        <v>227</v>
      </c>
      <c r="D48" s="124" t="s">
        <v>331</v>
      </c>
      <c r="E48" s="124" t="s">
        <v>334</v>
      </c>
      <c r="F48" s="124" t="s">
        <v>352</v>
      </c>
      <c r="G48" s="124" t="s">
        <v>378</v>
      </c>
      <c r="H48" s="121"/>
      <c r="I48" s="121"/>
      <c r="J48" s="70" t="str">
        <f t="shared" ref="J48:J82" si="3">C48&amp;D48&amp;E48&amp;B48&amp;F48</f>
        <v>Electric FAFR38R11BasementBetter</v>
      </c>
      <c r="K48" s="74">
        <f t="shared" si="2"/>
        <v>3003</v>
      </c>
      <c r="L48" s="74">
        <f t="shared" si="1"/>
        <v>4</v>
      </c>
      <c r="M48" s="70"/>
      <c r="N48" s="81"/>
      <c r="AF48" s="70"/>
      <c r="AG48" s="81"/>
      <c r="AM48" s="70"/>
    </row>
    <row r="49" spans="1:39">
      <c r="A49" s="74">
        <v>3004</v>
      </c>
      <c r="B49" s="124" t="s">
        <v>377</v>
      </c>
      <c r="C49" s="124" t="s">
        <v>227</v>
      </c>
      <c r="D49" s="124" t="s">
        <v>331</v>
      </c>
      <c r="E49" s="124" t="s">
        <v>334</v>
      </c>
      <c r="F49" s="124" t="s">
        <v>365</v>
      </c>
      <c r="G49" s="124" t="s">
        <v>378</v>
      </c>
      <c r="H49" s="121"/>
      <c r="I49" s="121"/>
      <c r="J49" s="70" t="str">
        <f t="shared" si="3"/>
        <v>Electric FAFR38R11Basementu30</v>
      </c>
      <c r="K49" s="74">
        <f t="shared" si="2"/>
        <v>3004</v>
      </c>
      <c r="L49" s="74">
        <f t="shared" si="1"/>
        <v>3</v>
      </c>
      <c r="M49" s="70"/>
      <c r="N49" s="81"/>
      <c r="AF49" s="70"/>
      <c r="AG49" s="81"/>
      <c r="AM49" s="70"/>
    </row>
    <row r="50" spans="1:39">
      <c r="A50" s="74">
        <v>3005</v>
      </c>
      <c r="B50" s="124" t="s">
        <v>377</v>
      </c>
      <c r="C50" s="124" t="s">
        <v>228</v>
      </c>
      <c r="D50" s="124" t="s">
        <v>336</v>
      </c>
      <c r="E50" s="124" t="s">
        <v>334</v>
      </c>
      <c r="F50" s="124" t="s">
        <v>352</v>
      </c>
      <c r="G50" s="124" t="s">
        <v>378</v>
      </c>
      <c r="H50" s="121"/>
      <c r="I50" s="121"/>
      <c r="J50" s="70" t="str">
        <f t="shared" si="3"/>
        <v>Electric ZonalR30R11BasementBetter</v>
      </c>
      <c r="K50" s="74">
        <f t="shared" si="2"/>
        <v>3005</v>
      </c>
      <c r="L50" s="74">
        <f t="shared" si="1"/>
        <v>1</v>
      </c>
      <c r="M50" s="70"/>
      <c r="N50" s="81"/>
      <c r="AF50" s="70"/>
      <c r="AG50" s="81"/>
      <c r="AM50" s="70"/>
    </row>
    <row r="51" spans="1:39">
      <c r="A51" s="74">
        <v>3006</v>
      </c>
      <c r="B51" s="124" t="s">
        <v>377</v>
      </c>
      <c r="C51" s="124" t="s">
        <v>228</v>
      </c>
      <c r="D51" s="124" t="s">
        <v>336</v>
      </c>
      <c r="E51" s="124" t="s">
        <v>334</v>
      </c>
      <c r="F51" s="124" t="s">
        <v>365</v>
      </c>
      <c r="G51" s="124" t="s">
        <v>378</v>
      </c>
      <c r="H51" s="121"/>
      <c r="I51" s="121"/>
      <c r="J51" s="70" t="str">
        <f t="shared" si="3"/>
        <v>Electric ZonalR30R11Basementu30</v>
      </c>
      <c r="K51" s="74">
        <f t="shared" si="2"/>
        <v>3006</v>
      </c>
      <c r="L51" s="74">
        <f t="shared" si="1"/>
        <v>2</v>
      </c>
      <c r="M51" s="70"/>
      <c r="N51" s="81"/>
      <c r="AF51" s="70"/>
      <c r="AG51" s="81"/>
      <c r="AM51" s="70"/>
    </row>
    <row r="52" spans="1:39">
      <c r="A52" s="74">
        <v>3007</v>
      </c>
      <c r="B52" s="124" t="s">
        <v>377</v>
      </c>
      <c r="C52" s="124" t="s">
        <v>228</v>
      </c>
      <c r="D52" s="124" t="s">
        <v>331</v>
      </c>
      <c r="E52" s="124" t="s">
        <v>334</v>
      </c>
      <c r="F52" s="124" t="s">
        <v>352</v>
      </c>
      <c r="G52" s="124" t="s">
        <v>378</v>
      </c>
      <c r="H52" s="121"/>
      <c r="I52" s="121"/>
      <c r="J52" s="70" t="str">
        <f t="shared" si="3"/>
        <v>Electric ZonalR38R11BasementBetter</v>
      </c>
      <c r="K52" s="74">
        <f t="shared" si="2"/>
        <v>3007</v>
      </c>
      <c r="L52" s="74">
        <f t="shared" si="1"/>
        <v>6</v>
      </c>
      <c r="M52" s="70"/>
      <c r="N52" s="81"/>
      <c r="AF52" s="70"/>
      <c r="AG52" s="81"/>
      <c r="AM52" s="70"/>
    </row>
    <row r="53" spans="1:39">
      <c r="A53" s="74">
        <v>3008</v>
      </c>
      <c r="B53" s="124" t="s">
        <v>377</v>
      </c>
      <c r="C53" s="124" t="s">
        <v>228</v>
      </c>
      <c r="D53" s="124" t="s">
        <v>331</v>
      </c>
      <c r="E53" s="124" t="s">
        <v>334</v>
      </c>
      <c r="F53" s="124" t="s">
        <v>365</v>
      </c>
      <c r="G53" s="124" t="s">
        <v>378</v>
      </c>
      <c r="H53" s="121"/>
      <c r="I53" s="121"/>
      <c r="J53" s="70" t="str">
        <f t="shared" si="3"/>
        <v>Electric ZonalR38R11Basementu30</v>
      </c>
      <c r="K53" s="74">
        <f t="shared" si="2"/>
        <v>3008</v>
      </c>
      <c r="L53" s="74">
        <f t="shared" si="1"/>
        <v>2</v>
      </c>
      <c r="M53" s="70"/>
      <c r="N53" s="81"/>
      <c r="AF53" s="70"/>
      <c r="AG53" s="81"/>
      <c r="AM53" s="70"/>
    </row>
    <row r="54" spans="1:39">
      <c r="A54" s="74">
        <v>3009</v>
      </c>
      <c r="B54" s="124" t="s">
        <v>352</v>
      </c>
      <c r="C54" s="124" t="s">
        <v>227</v>
      </c>
      <c r="D54" s="124" t="s">
        <v>336</v>
      </c>
      <c r="E54" s="124" t="s">
        <v>334</v>
      </c>
      <c r="F54" s="124" t="s">
        <v>352</v>
      </c>
      <c r="G54" s="124" t="s">
        <v>378</v>
      </c>
      <c r="H54" s="121"/>
      <c r="I54" s="121"/>
      <c r="J54" s="70" t="str">
        <f t="shared" si="3"/>
        <v>Electric FAFR30R11BetterBetter</v>
      </c>
      <c r="K54" s="74">
        <f t="shared" si="2"/>
        <v>3009</v>
      </c>
      <c r="L54" s="74">
        <f t="shared" si="1"/>
        <v>1</v>
      </c>
      <c r="M54" s="70"/>
      <c r="N54" s="81"/>
      <c r="AF54" s="70"/>
      <c r="AG54" s="81"/>
      <c r="AM54" s="70"/>
    </row>
    <row r="55" spans="1:39">
      <c r="A55" s="74">
        <v>3010</v>
      </c>
      <c r="B55" s="124" t="s">
        <v>352</v>
      </c>
      <c r="C55" s="124" t="s">
        <v>227</v>
      </c>
      <c r="D55" s="124" t="s">
        <v>336</v>
      </c>
      <c r="E55" s="124" t="s">
        <v>334</v>
      </c>
      <c r="F55" s="124" t="s">
        <v>365</v>
      </c>
      <c r="G55" s="124" t="s">
        <v>378</v>
      </c>
      <c r="H55" s="121"/>
      <c r="I55" s="121"/>
      <c r="J55" s="70" t="str">
        <f t="shared" si="3"/>
        <v>Electric FAFR30R11Betteru30</v>
      </c>
      <c r="K55" s="74">
        <f t="shared" si="2"/>
        <v>3010</v>
      </c>
      <c r="L55" s="74">
        <f t="shared" si="1"/>
        <v>1</v>
      </c>
      <c r="M55" s="70"/>
      <c r="N55" s="81"/>
      <c r="AF55" s="70"/>
      <c r="AG55" s="81"/>
      <c r="AM55" s="70"/>
    </row>
    <row r="56" spans="1:39">
      <c r="A56" s="74">
        <v>3011</v>
      </c>
      <c r="B56" s="124" t="s">
        <v>352</v>
      </c>
      <c r="C56" s="124" t="s">
        <v>227</v>
      </c>
      <c r="D56" s="124" t="s">
        <v>331</v>
      </c>
      <c r="E56" s="124" t="s">
        <v>334</v>
      </c>
      <c r="F56" s="124" t="s">
        <v>352</v>
      </c>
      <c r="G56" s="124" t="s">
        <v>378</v>
      </c>
      <c r="H56" s="121"/>
      <c r="I56" s="121"/>
      <c r="J56" s="70" t="str">
        <f t="shared" si="3"/>
        <v>Electric FAFR38R11BetterBetter</v>
      </c>
      <c r="K56" s="74">
        <f t="shared" si="2"/>
        <v>3011</v>
      </c>
      <c r="L56" s="74">
        <f t="shared" si="1"/>
        <v>5</v>
      </c>
      <c r="M56" s="70"/>
      <c r="N56" s="81"/>
      <c r="AF56" s="70"/>
      <c r="AG56" s="81"/>
      <c r="AM56" s="70"/>
    </row>
    <row r="57" spans="1:39">
      <c r="A57" s="74">
        <v>3012</v>
      </c>
      <c r="B57" s="124" t="s">
        <v>352</v>
      </c>
      <c r="C57" s="124" t="s">
        <v>227</v>
      </c>
      <c r="D57" s="124" t="s">
        <v>331</v>
      </c>
      <c r="E57" s="124" t="s">
        <v>334</v>
      </c>
      <c r="F57" s="124" t="s">
        <v>365</v>
      </c>
      <c r="G57" s="124" t="s">
        <v>378</v>
      </c>
      <c r="H57" s="121"/>
      <c r="I57" s="121"/>
      <c r="J57" s="70" t="str">
        <f t="shared" si="3"/>
        <v>Electric FAFR38R11Betteru30</v>
      </c>
      <c r="K57" s="74">
        <f t="shared" si="2"/>
        <v>3012</v>
      </c>
      <c r="L57" s="74">
        <f t="shared" si="1"/>
        <v>1</v>
      </c>
      <c r="M57" s="70"/>
      <c r="N57" s="81"/>
      <c r="AF57" s="70"/>
      <c r="AG57" s="81"/>
      <c r="AM57" s="70"/>
    </row>
    <row r="58" spans="1:39">
      <c r="A58" s="74">
        <v>3013</v>
      </c>
      <c r="B58" s="124" t="s">
        <v>352</v>
      </c>
      <c r="C58" s="124" t="s">
        <v>228</v>
      </c>
      <c r="D58" s="124" t="s">
        <v>336</v>
      </c>
      <c r="E58" s="124" t="s">
        <v>334</v>
      </c>
      <c r="F58" s="124" t="s">
        <v>352</v>
      </c>
      <c r="G58" s="124" t="s">
        <v>378</v>
      </c>
      <c r="H58" s="121"/>
      <c r="I58" s="121"/>
      <c r="J58" s="70" t="str">
        <f t="shared" si="3"/>
        <v>Electric ZonalR30R11BetterBetter</v>
      </c>
      <c r="K58" s="74">
        <f t="shared" si="2"/>
        <v>3013</v>
      </c>
      <c r="L58" s="74">
        <f t="shared" si="1"/>
        <v>2</v>
      </c>
      <c r="M58" s="70"/>
      <c r="N58" s="81"/>
      <c r="AF58" s="70"/>
      <c r="AG58" s="81"/>
      <c r="AM58" s="70"/>
    </row>
    <row r="59" spans="1:39">
      <c r="A59" s="74">
        <v>3014</v>
      </c>
      <c r="B59" s="124" t="s">
        <v>352</v>
      </c>
      <c r="C59" s="124" t="s">
        <v>228</v>
      </c>
      <c r="D59" s="124" t="s">
        <v>336</v>
      </c>
      <c r="E59" s="124" t="s">
        <v>334</v>
      </c>
      <c r="F59" s="124" t="s">
        <v>365</v>
      </c>
      <c r="G59" s="124" t="s">
        <v>378</v>
      </c>
      <c r="H59" s="121"/>
      <c r="I59" s="121"/>
      <c r="J59" s="70" t="str">
        <f t="shared" si="3"/>
        <v>Electric ZonalR30R11Betteru30</v>
      </c>
      <c r="K59" s="74">
        <f t="shared" si="2"/>
        <v>3014</v>
      </c>
      <c r="L59" s="74">
        <f t="shared" si="1"/>
        <v>2</v>
      </c>
      <c r="M59" s="70"/>
      <c r="N59" s="81"/>
      <c r="AF59" s="70"/>
      <c r="AG59" s="81"/>
      <c r="AM59" s="70"/>
    </row>
    <row r="60" spans="1:39">
      <c r="A60" s="74">
        <v>3015</v>
      </c>
      <c r="B60" s="124" t="s">
        <v>352</v>
      </c>
      <c r="C60" s="124" t="s">
        <v>228</v>
      </c>
      <c r="D60" s="124" t="s">
        <v>331</v>
      </c>
      <c r="E60" s="124" t="s">
        <v>334</v>
      </c>
      <c r="F60" s="124" t="s">
        <v>352</v>
      </c>
      <c r="G60" s="124" t="s">
        <v>378</v>
      </c>
      <c r="H60" s="121"/>
      <c r="I60" s="121"/>
      <c r="J60" s="70" t="str">
        <f t="shared" si="3"/>
        <v>Electric ZonalR38R11BetterBetter</v>
      </c>
      <c r="K60" s="74">
        <f t="shared" si="2"/>
        <v>3015</v>
      </c>
      <c r="L60" s="74">
        <f t="shared" si="1"/>
        <v>4</v>
      </c>
      <c r="M60" s="70"/>
      <c r="N60" s="81"/>
      <c r="AF60" s="70"/>
      <c r="AG60" s="81"/>
      <c r="AM60" s="70"/>
    </row>
    <row r="61" spans="1:39">
      <c r="A61" s="74">
        <v>3016</v>
      </c>
      <c r="B61" s="124" t="s">
        <v>352</v>
      </c>
      <c r="C61" s="124" t="s">
        <v>228</v>
      </c>
      <c r="D61" s="124" t="s">
        <v>331</v>
      </c>
      <c r="E61" s="124" t="s">
        <v>334</v>
      </c>
      <c r="F61" s="124" t="s">
        <v>365</v>
      </c>
      <c r="G61" s="124" t="s">
        <v>378</v>
      </c>
      <c r="H61" s="121"/>
      <c r="I61" s="121"/>
      <c r="J61" s="70" t="str">
        <f t="shared" si="3"/>
        <v>Electric ZonalR38R11Betteru30</v>
      </c>
      <c r="K61" s="74">
        <f t="shared" si="2"/>
        <v>3016</v>
      </c>
      <c r="L61" s="74">
        <f t="shared" si="1"/>
        <v>4</v>
      </c>
      <c r="M61" s="70"/>
      <c r="N61" s="81"/>
      <c r="AF61" s="70"/>
      <c r="AG61" s="81"/>
      <c r="AM61" s="70"/>
    </row>
    <row r="62" spans="1:39">
      <c r="A62" s="74">
        <v>3017</v>
      </c>
      <c r="B62" s="124" t="s">
        <v>335</v>
      </c>
      <c r="C62" s="124" t="s">
        <v>227</v>
      </c>
      <c r="D62" s="124" t="s">
        <v>336</v>
      </c>
      <c r="E62" s="124" t="s">
        <v>334</v>
      </c>
      <c r="F62" s="124" t="s">
        <v>352</v>
      </c>
      <c r="G62" s="124" t="s">
        <v>378</v>
      </c>
      <c r="H62" s="121"/>
      <c r="I62" s="121"/>
      <c r="J62" s="70" t="str">
        <f t="shared" si="3"/>
        <v>Electric FAFR30R11R19Better</v>
      </c>
      <c r="K62" s="74">
        <f t="shared" si="2"/>
        <v>3017</v>
      </c>
      <c r="L62" s="74">
        <f t="shared" si="1"/>
        <v>1</v>
      </c>
      <c r="M62" s="70"/>
      <c r="N62" s="81"/>
      <c r="AF62" s="70"/>
      <c r="AG62" s="81"/>
      <c r="AM62" s="70"/>
    </row>
    <row r="63" spans="1:39">
      <c r="A63" s="74">
        <v>3018</v>
      </c>
      <c r="B63" s="124" t="s">
        <v>335</v>
      </c>
      <c r="C63" s="124" t="s">
        <v>227</v>
      </c>
      <c r="D63" s="124" t="s">
        <v>331</v>
      </c>
      <c r="E63" s="124" t="s">
        <v>334</v>
      </c>
      <c r="F63" s="124" t="s">
        <v>352</v>
      </c>
      <c r="G63" s="124" t="s">
        <v>378</v>
      </c>
      <c r="H63" s="121"/>
      <c r="I63" s="121"/>
      <c r="J63" s="70" t="str">
        <f t="shared" si="3"/>
        <v>Electric FAFR38R11R19Better</v>
      </c>
      <c r="K63" s="74">
        <f t="shared" si="2"/>
        <v>3018</v>
      </c>
      <c r="L63" s="74">
        <f t="shared" si="1"/>
        <v>4</v>
      </c>
      <c r="M63" s="70"/>
      <c r="N63" s="81"/>
      <c r="AF63" s="70"/>
      <c r="AG63" s="81"/>
      <c r="AM63" s="70"/>
    </row>
    <row r="64" spans="1:39">
      <c r="A64" s="74">
        <v>3019</v>
      </c>
      <c r="B64" s="124" t="s">
        <v>335</v>
      </c>
      <c r="C64" s="124" t="s">
        <v>227</v>
      </c>
      <c r="D64" s="124" t="s">
        <v>331</v>
      </c>
      <c r="E64" s="124" t="s">
        <v>334</v>
      </c>
      <c r="F64" s="124" t="s">
        <v>365</v>
      </c>
      <c r="G64" s="124" t="s">
        <v>378</v>
      </c>
      <c r="H64" s="121"/>
      <c r="I64" s="121"/>
      <c r="J64" s="70" t="str">
        <f t="shared" si="3"/>
        <v>Electric FAFR38R11R19u30</v>
      </c>
      <c r="K64" s="74">
        <f t="shared" si="2"/>
        <v>3019</v>
      </c>
      <c r="L64" s="74">
        <f t="shared" si="1"/>
        <v>1</v>
      </c>
      <c r="M64" s="70"/>
      <c r="N64" s="81"/>
      <c r="AF64" s="70"/>
      <c r="AG64" s="81"/>
      <c r="AM64" s="70"/>
    </row>
    <row r="65" spans="1:39">
      <c r="A65" s="74">
        <v>3020</v>
      </c>
      <c r="B65" s="124" t="s">
        <v>335</v>
      </c>
      <c r="C65" s="124" t="s">
        <v>228</v>
      </c>
      <c r="D65" s="124" t="s">
        <v>336</v>
      </c>
      <c r="E65" s="124" t="s">
        <v>334</v>
      </c>
      <c r="F65" s="124" t="s">
        <v>352</v>
      </c>
      <c r="G65" s="124" t="s">
        <v>378</v>
      </c>
      <c r="H65" s="121"/>
      <c r="I65" s="121"/>
      <c r="J65" s="70" t="str">
        <f t="shared" si="3"/>
        <v>Electric ZonalR30R11R19Better</v>
      </c>
      <c r="K65" s="74">
        <f t="shared" si="2"/>
        <v>3020</v>
      </c>
      <c r="L65" s="74">
        <f t="shared" si="1"/>
        <v>1</v>
      </c>
      <c r="M65" s="70"/>
      <c r="N65" s="81"/>
      <c r="AF65" s="70"/>
      <c r="AG65" s="81"/>
      <c r="AM65" s="70"/>
    </row>
    <row r="66" spans="1:39">
      <c r="A66" s="74">
        <v>3021</v>
      </c>
      <c r="B66" s="124" t="s">
        <v>335</v>
      </c>
      <c r="C66" s="124" t="s">
        <v>228</v>
      </c>
      <c r="D66" s="124" t="s">
        <v>336</v>
      </c>
      <c r="E66" s="124" t="s">
        <v>334</v>
      </c>
      <c r="F66" s="124" t="s">
        <v>365</v>
      </c>
      <c r="G66" s="124" t="s">
        <v>378</v>
      </c>
      <c r="H66" s="121"/>
      <c r="I66" s="121"/>
      <c r="J66" s="70" t="str">
        <f t="shared" si="3"/>
        <v>Electric ZonalR30R11R19u30</v>
      </c>
      <c r="K66" s="74">
        <f t="shared" si="2"/>
        <v>3021</v>
      </c>
      <c r="L66" s="74">
        <f t="shared" si="1"/>
        <v>1</v>
      </c>
      <c r="M66" s="70"/>
      <c r="N66" s="81"/>
      <c r="AF66" s="70"/>
      <c r="AG66" s="81"/>
      <c r="AM66" s="70"/>
    </row>
    <row r="67" spans="1:39">
      <c r="A67" s="74">
        <v>3022</v>
      </c>
      <c r="B67" s="124" t="s">
        <v>335</v>
      </c>
      <c r="C67" s="124" t="s">
        <v>228</v>
      </c>
      <c r="D67" s="124" t="s">
        <v>331</v>
      </c>
      <c r="E67" s="124" t="s">
        <v>334</v>
      </c>
      <c r="F67" s="124" t="s">
        <v>352</v>
      </c>
      <c r="G67" s="124" t="s">
        <v>378</v>
      </c>
      <c r="H67" s="121"/>
      <c r="I67" s="121"/>
      <c r="J67" s="70" t="str">
        <f t="shared" si="3"/>
        <v>Electric ZonalR38R11R19Better</v>
      </c>
      <c r="K67" s="74">
        <f t="shared" si="2"/>
        <v>3022</v>
      </c>
      <c r="L67" s="74">
        <f t="shared" si="1"/>
        <v>5</v>
      </c>
      <c r="M67" s="70"/>
      <c r="N67" s="81"/>
      <c r="AF67" s="70"/>
      <c r="AG67" s="81"/>
      <c r="AM67" s="70"/>
    </row>
    <row r="68" spans="1:39">
      <c r="A68" s="74">
        <v>3023</v>
      </c>
      <c r="B68" s="124" t="s">
        <v>335</v>
      </c>
      <c r="C68" s="124" t="s">
        <v>228</v>
      </c>
      <c r="D68" s="124" t="s">
        <v>331</v>
      </c>
      <c r="E68" s="124" t="s">
        <v>334</v>
      </c>
      <c r="F68" s="124" t="s">
        <v>365</v>
      </c>
      <c r="G68" s="124" t="s">
        <v>378</v>
      </c>
      <c r="H68" s="121"/>
      <c r="I68" s="121"/>
      <c r="J68" s="70" t="str">
        <f t="shared" si="3"/>
        <v>Electric ZonalR38R11R19u30</v>
      </c>
      <c r="K68" s="74">
        <f t="shared" si="2"/>
        <v>3023</v>
      </c>
      <c r="L68" s="74">
        <f t="shared" si="1"/>
        <v>2</v>
      </c>
      <c r="M68" s="70"/>
      <c r="N68" s="81"/>
      <c r="AF68" s="70"/>
      <c r="AG68" s="81"/>
      <c r="AM68" s="70"/>
    </row>
    <row r="69" spans="1:39">
      <c r="A69" s="74">
        <v>3024</v>
      </c>
      <c r="B69" s="124" t="s">
        <v>346</v>
      </c>
      <c r="C69" s="124" t="s">
        <v>227</v>
      </c>
      <c r="D69" s="124" t="s">
        <v>336</v>
      </c>
      <c r="E69" s="124" t="s">
        <v>334</v>
      </c>
      <c r="F69" s="124" t="s">
        <v>352</v>
      </c>
      <c r="G69" s="124" t="s">
        <v>378</v>
      </c>
      <c r="H69" s="121"/>
      <c r="I69" s="121"/>
      <c r="J69" s="70" t="str">
        <f t="shared" si="3"/>
        <v>Electric FAFR30R11R25Better</v>
      </c>
      <c r="K69" s="74">
        <f t="shared" si="2"/>
        <v>3024</v>
      </c>
      <c r="L69" s="74">
        <f t="shared" si="1"/>
        <v>1</v>
      </c>
      <c r="M69" s="70"/>
      <c r="N69" s="81"/>
      <c r="AF69" s="70"/>
      <c r="AG69" s="81"/>
      <c r="AM69" s="70"/>
    </row>
    <row r="70" spans="1:39">
      <c r="A70" s="74">
        <v>3025</v>
      </c>
      <c r="B70" s="124" t="s">
        <v>346</v>
      </c>
      <c r="C70" s="124" t="s">
        <v>227</v>
      </c>
      <c r="D70" s="124" t="s">
        <v>331</v>
      </c>
      <c r="E70" s="124" t="s">
        <v>334</v>
      </c>
      <c r="F70" s="124" t="s">
        <v>352</v>
      </c>
      <c r="G70" s="124" t="s">
        <v>378</v>
      </c>
      <c r="H70" s="121"/>
      <c r="I70" s="121"/>
      <c r="J70" s="70" t="str">
        <f t="shared" si="3"/>
        <v>Electric FAFR38R11R25Better</v>
      </c>
      <c r="K70" s="74">
        <f t="shared" si="2"/>
        <v>3025</v>
      </c>
      <c r="L70" s="74">
        <f t="shared" si="1"/>
        <v>4</v>
      </c>
      <c r="M70" s="70"/>
      <c r="N70" s="81"/>
      <c r="AF70" s="70"/>
      <c r="AG70" s="81"/>
      <c r="AM70" s="70"/>
    </row>
    <row r="71" spans="1:39">
      <c r="A71" s="74">
        <v>3026</v>
      </c>
      <c r="B71" s="124" t="s">
        <v>346</v>
      </c>
      <c r="C71" s="124" t="s">
        <v>227</v>
      </c>
      <c r="D71" s="124" t="s">
        <v>331</v>
      </c>
      <c r="E71" s="124" t="s">
        <v>334</v>
      </c>
      <c r="F71" s="124" t="s">
        <v>365</v>
      </c>
      <c r="G71" s="124" t="s">
        <v>378</v>
      </c>
      <c r="H71" s="121"/>
      <c r="I71" s="121"/>
      <c r="J71" s="70" t="str">
        <f t="shared" si="3"/>
        <v>Electric FAFR38R11R25u30</v>
      </c>
      <c r="K71" s="74">
        <f t="shared" si="2"/>
        <v>3026</v>
      </c>
      <c r="L71" s="74">
        <f t="shared" si="1"/>
        <v>3</v>
      </c>
      <c r="M71" s="70"/>
      <c r="N71" s="81"/>
      <c r="AF71" s="70"/>
      <c r="AG71" s="81"/>
      <c r="AM71" s="70"/>
    </row>
    <row r="72" spans="1:39">
      <c r="A72" s="74">
        <v>3027</v>
      </c>
      <c r="B72" s="124" t="s">
        <v>346</v>
      </c>
      <c r="C72" s="124" t="s">
        <v>228</v>
      </c>
      <c r="D72" s="124" t="s">
        <v>336</v>
      </c>
      <c r="E72" s="124" t="s">
        <v>334</v>
      </c>
      <c r="F72" s="124" t="s">
        <v>352</v>
      </c>
      <c r="G72" s="124" t="s">
        <v>378</v>
      </c>
      <c r="H72" s="121"/>
      <c r="I72" s="121"/>
      <c r="J72" s="70" t="str">
        <f t="shared" si="3"/>
        <v>Electric ZonalR30R11R25Better</v>
      </c>
      <c r="K72" s="74">
        <f t="shared" si="2"/>
        <v>3027</v>
      </c>
      <c r="L72" s="74">
        <f t="shared" si="1"/>
        <v>1</v>
      </c>
      <c r="M72" s="70"/>
      <c r="N72" s="81"/>
      <c r="AF72" s="70"/>
      <c r="AG72" s="81"/>
      <c r="AM72" s="70"/>
    </row>
    <row r="73" spans="1:39">
      <c r="A73" s="74">
        <v>3028</v>
      </c>
      <c r="B73" s="124" t="s">
        <v>346</v>
      </c>
      <c r="C73" s="124" t="s">
        <v>228</v>
      </c>
      <c r="D73" s="124" t="s">
        <v>336</v>
      </c>
      <c r="E73" s="124" t="s">
        <v>334</v>
      </c>
      <c r="F73" s="124" t="s">
        <v>365</v>
      </c>
      <c r="G73" s="124" t="s">
        <v>378</v>
      </c>
      <c r="H73" s="121"/>
      <c r="I73" s="121"/>
      <c r="J73" s="70" t="str">
        <f t="shared" si="3"/>
        <v>Electric ZonalR30R11R25u30</v>
      </c>
      <c r="K73" s="74">
        <f t="shared" si="2"/>
        <v>3028</v>
      </c>
      <c r="L73" s="74">
        <f t="shared" si="1"/>
        <v>1</v>
      </c>
      <c r="M73" s="70"/>
      <c r="N73" s="81"/>
      <c r="AF73" s="70"/>
      <c r="AG73" s="81"/>
      <c r="AM73" s="70"/>
    </row>
    <row r="74" spans="1:39">
      <c r="A74" s="74">
        <v>3029</v>
      </c>
      <c r="B74" s="124" t="s">
        <v>346</v>
      </c>
      <c r="C74" s="124" t="s">
        <v>228</v>
      </c>
      <c r="D74" s="124" t="s">
        <v>331</v>
      </c>
      <c r="E74" s="124" t="s">
        <v>334</v>
      </c>
      <c r="F74" s="124" t="s">
        <v>352</v>
      </c>
      <c r="G74" s="124" t="s">
        <v>378</v>
      </c>
      <c r="H74" s="121"/>
      <c r="I74" s="121"/>
      <c r="J74" s="70" t="str">
        <f t="shared" si="3"/>
        <v>Electric ZonalR38R11R25Better</v>
      </c>
      <c r="K74" s="74">
        <f t="shared" si="2"/>
        <v>3029</v>
      </c>
      <c r="L74" s="74">
        <f t="shared" si="1"/>
        <v>8</v>
      </c>
      <c r="M74" s="70"/>
      <c r="N74" s="81"/>
      <c r="AF74" s="70"/>
      <c r="AG74" s="81"/>
      <c r="AM74" s="70"/>
    </row>
    <row r="75" spans="1:39">
      <c r="A75" s="74">
        <v>3030</v>
      </c>
      <c r="B75" s="124" t="s">
        <v>346</v>
      </c>
      <c r="C75" s="124" t="s">
        <v>228</v>
      </c>
      <c r="D75" s="124" t="s">
        <v>331</v>
      </c>
      <c r="E75" s="124" t="s">
        <v>334</v>
      </c>
      <c r="F75" s="124" t="s">
        <v>365</v>
      </c>
      <c r="G75" s="124" t="s">
        <v>378</v>
      </c>
      <c r="H75" s="121"/>
      <c r="I75" s="121"/>
      <c r="J75" s="70" t="str">
        <f t="shared" si="3"/>
        <v>Electric ZonalR38R11R25u30</v>
      </c>
      <c r="K75" s="74">
        <f t="shared" si="2"/>
        <v>3030</v>
      </c>
      <c r="L75" s="74">
        <f t="shared" si="1"/>
        <v>10</v>
      </c>
      <c r="M75" s="70"/>
      <c r="N75" s="81"/>
      <c r="AF75" s="70"/>
      <c r="AG75" s="81"/>
      <c r="AM75" s="70"/>
    </row>
    <row r="76" spans="1:39">
      <c r="A76" s="74">
        <v>3031</v>
      </c>
      <c r="B76" s="124" t="s">
        <v>379</v>
      </c>
      <c r="C76" s="124" t="s">
        <v>227</v>
      </c>
      <c r="D76" s="124" t="s">
        <v>336</v>
      </c>
      <c r="E76" s="124" t="s">
        <v>334</v>
      </c>
      <c r="F76" s="124" t="s">
        <v>365</v>
      </c>
      <c r="G76" s="124" t="s">
        <v>378</v>
      </c>
      <c r="H76" s="121"/>
      <c r="I76" s="121"/>
      <c r="J76" s="70" t="str">
        <f t="shared" si="3"/>
        <v>Electric FAFR30R11Slabu30</v>
      </c>
      <c r="K76" s="74">
        <f t="shared" si="2"/>
        <v>3031</v>
      </c>
      <c r="L76" s="74">
        <f t="shared" si="1"/>
        <v>1</v>
      </c>
      <c r="M76" s="70"/>
      <c r="N76" s="81"/>
      <c r="AF76" s="70"/>
      <c r="AG76" s="81"/>
      <c r="AM76" s="70"/>
    </row>
    <row r="77" spans="1:39">
      <c r="A77" s="74">
        <v>3032</v>
      </c>
      <c r="B77" s="124" t="s">
        <v>379</v>
      </c>
      <c r="C77" s="124" t="s">
        <v>227</v>
      </c>
      <c r="D77" s="124" t="s">
        <v>331</v>
      </c>
      <c r="E77" s="124" t="s">
        <v>334</v>
      </c>
      <c r="F77" s="124" t="s">
        <v>352</v>
      </c>
      <c r="G77" s="124" t="s">
        <v>378</v>
      </c>
      <c r="H77" s="121"/>
      <c r="I77" s="121"/>
      <c r="J77" s="70" t="str">
        <f t="shared" si="3"/>
        <v>Electric FAFR38R11SlabBetter</v>
      </c>
      <c r="K77" s="74">
        <f t="shared" si="2"/>
        <v>3032</v>
      </c>
      <c r="L77" s="74">
        <f t="shared" si="1"/>
        <v>2</v>
      </c>
      <c r="M77" s="70"/>
      <c r="N77" s="81"/>
      <c r="AF77" s="70"/>
      <c r="AG77" s="81"/>
      <c r="AM77" s="70"/>
    </row>
    <row r="78" spans="1:39">
      <c r="A78" s="74">
        <v>3033</v>
      </c>
      <c r="B78" s="124" t="s">
        <v>379</v>
      </c>
      <c r="C78" s="124" t="s">
        <v>227</v>
      </c>
      <c r="D78" s="124" t="s">
        <v>331</v>
      </c>
      <c r="E78" s="124" t="s">
        <v>334</v>
      </c>
      <c r="F78" s="124" t="s">
        <v>365</v>
      </c>
      <c r="G78" s="124" t="s">
        <v>378</v>
      </c>
      <c r="H78" s="121"/>
      <c r="I78" s="121"/>
      <c r="J78" s="70" t="str">
        <f t="shared" si="3"/>
        <v>Electric FAFR38R11Slabu30</v>
      </c>
      <c r="K78" s="74">
        <f t="shared" si="2"/>
        <v>3033</v>
      </c>
      <c r="L78" s="74">
        <f t="shared" si="1"/>
        <v>1</v>
      </c>
      <c r="M78" s="70"/>
      <c r="N78" s="81"/>
      <c r="AF78" s="70"/>
      <c r="AG78" s="81"/>
      <c r="AM78" s="70"/>
    </row>
    <row r="79" spans="1:39">
      <c r="A79" s="74">
        <v>3034</v>
      </c>
      <c r="B79" s="124" t="s">
        <v>379</v>
      </c>
      <c r="C79" s="124" t="s">
        <v>228</v>
      </c>
      <c r="D79" s="124" t="s">
        <v>336</v>
      </c>
      <c r="E79" s="124" t="s">
        <v>334</v>
      </c>
      <c r="F79" s="124" t="s">
        <v>352</v>
      </c>
      <c r="G79" s="124" t="s">
        <v>378</v>
      </c>
      <c r="H79" s="121"/>
      <c r="I79" s="121"/>
      <c r="J79" s="70" t="str">
        <f t="shared" si="3"/>
        <v>Electric ZonalR30R11SlabBetter</v>
      </c>
      <c r="K79" s="74">
        <f t="shared" si="2"/>
        <v>3034</v>
      </c>
      <c r="L79" s="74">
        <f t="shared" si="1"/>
        <v>1</v>
      </c>
      <c r="M79" s="70"/>
      <c r="N79" s="81"/>
      <c r="AF79" s="70"/>
      <c r="AG79" s="81"/>
      <c r="AM79" s="70"/>
    </row>
    <row r="80" spans="1:39">
      <c r="A80" s="74">
        <v>3035</v>
      </c>
      <c r="B80" s="124" t="s">
        <v>379</v>
      </c>
      <c r="C80" s="124" t="s">
        <v>228</v>
      </c>
      <c r="D80" s="124" t="s">
        <v>336</v>
      </c>
      <c r="E80" s="124" t="s">
        <v>334</v>
      </c>
      <c r="F80" s="124" t="s">
        <v>365</v>
      </c>
      <c r="G80" s="124" t="s">
        <v>378</v>
      </c>
      <c r="H80" s="121"/>
      <c r="I80" s="121"/>
      <c r="J80" s="70" t="str">
        <f t="shared" si="3"/>
        <v>Electric ZonalR30R11Slabu30</v>
      </c>
      <c r="K80" s="74">
        <f t="shared" si="2"/>
        <v>3035</v>
      </c>
      <c r="L80" s="74">
        <f t="shared" si="1"/>
        <v>1</v>
      </c>
      <c r="M80" s="70"/>
      <c r="N80" s="81"/>
      <c r="AF80" s="70"/>
      <c r="AG80" s="81"/>
      <c r="AM80" s="70"/>
    </row>
    <row r="81" spans="1:52">
      <c r="A81" s="74">
        <v>3036</v>
      </c>
      <c r="B81" s="124" t="s">
        <v>379</v>
      </c>
      <c r="C81" s="124" t="s">
        <v>228</v>
      </c>
      <c r="D81" s="124" t="s">
        <v>331</v>
      </c>
      <c r="E81" s="124" t="s">
        <v>334</v>
      </c>
      <c r="F81" s="124" t="s">
        <v>352</v>
      </c>
      <c r="G81" s="124" t="s">
        <v>378</v>
      </c>
      <c r="H81" s="121"/>
      <c r="I81" s="121"/>
      <c r="J81" s="70" t="str">
        <f t="shared" si="3"/>
        <v>Electric ZonalR38R11SlabBetter</v>
      </c>
      <c r="K81" s="74">
        <f t="shared" si="2"/>
        <v>3036</v>
      </c>
      <c r="L81" s="74">
        <f t="shared" si="1"/>
        <v>4</v>
      </c>
      <c r="M81" s="70"/>
      <c r="N81" s="81"/>
      <c r="AF81" s="70"/>
      <c r="AG81" s="81"/>
      <c r="AM81" s="70"/>
    </row>
    <row r="82" spans="1:52">
      <c r="A82" s="74">
        <v>3037</v>
      </c>
      <c r="B82" s="124" t="s">
        <v>379</v>
      </c>
      <c r="C82" s="124" t="s">
        <v>228</v>
      </c>
      <c r="D82" s="124" t="s">
        <v>331</v>
      </c>
      <c r="E82" s="124" t="s">
        <v>334</v>
      </c>
      <c r="F82" s="124" t="s">
        <v>365</v>
      </c>
      <c r="G82" s="124" t="s">
        <v>378</v>
      </c>
      <c r="H82" s="121"/>
      <c r="I82" s="121"/>
      <c r="J82" s="70" t="str">
        <f t="shared" si="3"/>
        <v>Electric ZonalR38R11Slabu30</v>
      </c>
      <c r="K82" s="74">
        <f t="shared" si="2"/>
        <v>3037</v>
      </c>
      <c r="L82" s="74">
        <f t="shared" si="1"/>
        <v>2</v>
      </c>
      <c r="M82" s="70"/>
      <c r="N82" s="81"/>
      <c r="AF82" s="70"/>
      <c r="AG82" s="81"/>
      <c r="AM82" s="70"/>
    </row>
    <row r="83" spans="1:52">
      <c r="A83" s="74"/>
      <c r="B83" s="121"/>
      <c r="C83" s="121"/>
      <c r="D83" s="121"/>
      <c r="E83" s="121"/>
      <c r="F83" s="121"/>
      <c r="G83" s="121"/>
      <c r="H83" s="121"/>
      <c r="I83" s="121"/>
      <c r="K83" s="74"/>
      <c r="L83" s="74"/>
      <c r="M83" s="70"/>
      <c r="N83" s="81"/>
      <c r="AF83" s="70"/>
      <c r="AG83" s="81"/>
      <c r="AM83" s="70"/>
    </row>
    <row r="84" spans="1:52">
      <c r="A84" s="74"/>
      <c r="B84" s="121"/>
      <c r="C84" s="121"/>
      <c r="D84" s="121"/>
      <c r="E84" s="121"/>
      <c r="F84" s="121"/>
      <c r="G84" s="121"/>
      <c r="H84" s="121"/>
      <c r="I84" s="121"/>
      <c r="K84" s="74"/>
      <c r="L84" s="74"/>
      <c r="M84" s="70"/>
      <c r="N84" s="81"/>
      <c r="AF84" s="70"/>
      <c r="AG84" s="81"/>
      <c r="AM84" s="70"/>
    </row>
    <row r="87" spans="1:52">
      <c r="AT87" s="125"/>
      <c r="AU87" s="125"/>
      <c r="AV87" s="125"/>
    </row>
    <row r="88" spans="1:52" s="126" customFormat="1">
      <c r="M88" s="117"/>
      <c r="AT88" s="127"/>
      <c r="AU88" s="128"/>
      <c r="AV88" s="129"/>
    </row>
    <row r="89" spans="1:52">
      <c r="K89" s="70">
        <f>SUM(K92:K95)*K90*K91</f>
        <v>45360</v>
      </c>
      <c r="L89" s="70">
        <f>K89*2.5/60/60/24</f>
        <v>1.3125</v>
      </c>
      <c r="R89" s="130"/>
      <c r="S89" s="130"/>
      <c r="T89" s="130"/>
      <c r="U89" s="131"/>
      <c r="V89" s="131"/>
      <c r="W89" s="131"/>
      <c r="X89" s="131"/>
      <c r="Y89" s="131"/>
      <c r="Z89" s="130"/>
      <c r="AT89" s="132"/>
      <c r="AU89" s="133"/>
      <c r="AV89" s="134"/>
      <c r="AZ89" s="135"/>
    </row>
    <row r="90" spans="1:52">
      <c r="K90" s="70">
        <v>3</v>
      </c>
      <c r="L90" s="79" t="s">
        <v>380</v>
      </c>
      <c r="R90" s="130"/>
      <c r="S90" s="130"/>
      <c r="T90" s="130"/>
      <c r="U90" s="136"/>
      <c r="V90" s="136"/>
      <c r="W90" s="136"/>
      <c r="X90" s="136"/>
      <c r="Y90" s="136"/>
      <c r="Z90" s="130"/>
      <c r="AT90" s="132"/>
      <c r="AU90" s="133"/>
      <c r="AV90" s="134"/>
      <c r="AZ90" s="135"/>
    </row>
    <row r="91" spans="1:52">
      <c r="K91" s="68">
        <v>5</v>
      </c>
      <c r="L91" s="68" t="s">
        <v>381</v>
      </c>
      <c r="R91" s="130"/>
      <c r="S91" s="130"/>
      <c r="T91" s="130"/>
      <c r="U91" s="131"/>
      <c r="V91" s="131"/>
      <c r="W91" s="131"/>
      <c r="X91" s="131"/>
      <c r="Y91" s="131"/>
      <c r="Z91" s="130"/>
      <c r="AT91" s="132"/>
      <c r="AU91" s="133"/>
      <c r="AV91" s="134"/>
      <c r="AZ91" s="135"/>
    </row>
    <row r="92" spans="1:52">
      <c r="K92" s="70">
        <v>148</v>
      </c>
      <c r="L92" s="79" t="s">
        <v>382</v>
      </c>
      <c r="R92" s="130"/>
      <c r="S92" s="130"/>
      <c r="T92" s="130"/>
      <c r="U92" s="131"/>
      <c r="V92" s="131"/>
      <c r="W92" s="131"/>
      <c r="X92" s="131"/>
      <c r="Y92" s="131"/>
      <c r="Z92" s="130"/>
      <c r="AT92" s="132"/>
      <c r="AU92" s="133"/>
      <c r="AV92" s="134"/>
      <c r="AZ92" s="135"/>
    </row>
    <row r="93" spans="1:52">
      <c r="K93" s="70">
        <v>148</v>
      </c>
      <c r="L93" s="79" t="s">
        <v>383</v>
      </c>
      <c r="R93" s="130"/>
      <c r="S93" s="130"/>
      <c r="T93" s="130"/>
      <c r="U93" s="131"/>
      <c r="V93" s="131"/>
      <c r="W93" s="131"/>
      <c r="X93" s="131"/>
      <c r="Y93" s="131"/>
      <c r="Z93" s="130"/>
      <c r="AT93" s="132"/>
      <c r="AU93" s="133"/>
      <c r="AV93" s="134"/>
      <c r="AZ93" s="135"/>
    </row>
    <row r="94" spans="1:52">
      <c r="K94" s="70">
        <f>(148-42)*2</f>
        <v>212</v>
      </c>
      <c r="L94" s="79" t="s">
        <v>384</v>
      </c>
      <c r="R94" s="130"/>
      <c r="S94" s="130"/>
      <c r="T94" s="130"/>
      <c r="U94" s="131"/>
      <c r="V94" s="131"/>
      <c r="W94" s="131"/>
      <c r="X94" s="131"/>
      <c r="Y94" s="131"/>
      <c r="Z94" s="130"/>
      <c r="AT94" s="132"/>
      <c r="AU94" s="133"/>
      <c r="AV94" s="134"/>
      <c r="AZ94" s="135"/>
    </row>
    <row r="95" spans="1:52">
      <c r="K95" s="70">
        <f>17*148</f>
        <v>2516</v>
      </c>
      <c r="L95" s="79" t="s">
        <v>385</v>
      </c>
      <c r="R95" s="130"/>
      <c r="S95" s="130"/>
      <c r="T95" s="130"/>
      <c r="U95" s="131"/>
      <c r="V95" s="131"/>
      <c r="W95" s="131"/>
      <c r="X95" s="131"/>
      <c r="Y95" s="131"/>
      <c r="Z95" s="130"/>
      <c r="AT95" s="132"/>
      <c r="AU95" s="133"/>
      <c r="AV95" s="134"/>
      <c r="AZ95" s="135"/>
    </row>
    <row r="96" spans="1:52">
      <c r="R96" s="137"/>
      <c r="S96" s="130"/>
      <c r="T96" s="130"/>
      <c r="U96" s="131"/>
      <c r="V96" s="131"/>
      <c r="W96" s="131"/>
      <c r="X96" s="131"/>
      <c r="Y96" s="131"/>
      <c r="Z96" s="130"/>
      <c r="AT96" s="132"/>
      <c r="AU96" s="133"/>
      <c r="AV96" s="134"/>
    </row>
    <row r="97" spans="2:54">
      <c r="Q97" s="79"/>
      <c r="R97" s="137"/>
      <c r="S97" s="130"/>
      <c r="T97" s="130"/>
      <c r="U97" s="131"/>
      <c r="V97" s="131"/>
      <c r="W97" s="131"/>
      <c r="X97" s="131"/>
      <c r="Y97" s="131"/>
      <c r="Z97" s="130"/>
      <c r="AT97" s="132"/>
      <c r="AU97" s="133"/>
      <c r="AV97" s="134"/>
    </row>
    <row r="98" spans="2:54">
      <c r="Q98" s="79"/>
      <c r="R98" s="137"/>
      <c r="S98" s="130"/>
      <c r="T98" s="130"/>
      <c r="U98" s="131"/>
      <c r="V98" s="131"/>
      <c r="W98" s="131"/>
      <c r="X98" s="131"/>
      <c r="Y98" s="131"/>
      <c r="Z98" s="130"/>
      <c r="AT98" s="132"/>
      <c r="AU98" s="133"/>
      <c r="AV98" s="134"/>
    </row>
    <row r="99" spans="2:54">
      <c r="Q99" s="79"/>
      <c r="R99" s="137"/>
      <c r="S99" s="130"/>
      <c r="T99" s="130"/>
      <c r="U99" s="131"/>
      <c r="V99" s="131"/>
      <c r="W99" s="131"/>
      <c r="X99" s="131"/>
      <c r="Y99" s="131"/>
      <c r="Z99" s="130"/>
      <c r="AA99" s="79" t="s">
        <v>386</v>
      </c>
      <c r="AB99" s="79" t="s">
        <v>387</v>
      </c>
      <c r="AC99" s="79" t="s">
        <v>386</v>
      </c>
      <c r="AD99" s="79" t="s">
        <v>388</v>
      </c>
      <c r="AE99" s="79" t="s">
        <v>386</v>
      </c>
      <c r="AF99" s="138" t="s">
        <v>389</v>
      </c>
      <c r="AG99" s="79" t="s">
        <v>389</v>
      </c>
      <c r="AH99" s="79" t="s">
        <v>389</v>
      </c>
      <c r="AI99" s="79" t="s">
        <v>389</v>
      </c>
      <c r="AJ99" s="79" t="s">
        <v>386</v>
      </c>
      <c r="AK99" s="79" t="s">
        <v>390</v>
      </c>
      <c r="AL99" s="79" t="s">
        <v>386</v>
      </c>
      <c r="AM99" s="138" t="s">
        <v>390</v>
      </c>
      <c r="AN99" s="79" t="s">
        <v>386</v>
      </c>
      <c r="AO99" s="79" t="s">
        <v>386</v>
      </c>
      <c r="AP99" s="139" t="s">
        <v>391</v>
      </c>
      <c r="AQ99" s="79" t="s">
        <v>392</v>
      </c>
      <c r="AR99" s="79" t="s">
        <v>393</v>
      </c>
      <c r="AS99" s="79" t="s">
        <v>391</v>
      </c>
      <c r="AT99" s="132" t="s">
        <v>386</v>
      </c>
      <c r="AU99" s="133" t="s">
        <v>386</v>
      </c>
      <c r="AV99" s="140" t="s">
        <v>394</v>
      </c>
      <c r="AW99" s="79" t="s">
        <v>395</v>
      </c>
      <c r="AX99" s="79" t="s">
        <v>395</v>
      </c>
      <c r="AY99" s="141" t="s">
        <v>394</v>
      </c>
      <c r="AZ99" s="79" t="s">
        <v>386</v>
      </c>
      <c r="BA99" s="139" t="s">
        <v>396</v>
      </c>
      <c r="BB99" s="79" t="s">
        <v>386</v>
      </c>
    </row>
    <row r="100" spans="2:54">
      <c r="M100" s="70"/>
      <c r="Q100" s="79"/>
      <c r="R100" s="137"/>
      <c r="S100" s="130"/>
      <c r="T100" s="130"/>
      <c r="U100" s="131"/>
      <c r="V100" s="131"/>
      <c r="W100" s="142"/>
      <c r="X100" s="131"/>
      <c r="Y100" s="131"/>
      <c r="Z100" s="130"/>
      <c r="AK100" s="134"/>
      <c r="AL100" s="134"/>
      <c r="AT100" s="132"/>
      <c r="AU100" s="133"/>
      <c r="AV100" s="134"/>
    </row>
    <row r="101" spans="2:54">
      <c r="M101" s="70"/>
      <c r="AM101" s="70"/>
    </row>
    <row r="102" spans="2:54">
      <c r="M102" s="70"/>
      <c r="Z102" s="122" t="s">
        <v>397</v>
      </c>
      <c r="AA102" s="74">
        <v>2</v>
      </c>
      <c r="AB102" s="74">
        <v>3</v>
      </c>
      <c r="AC102" s="74">
        <v>5</v>
      </c>
      <c r="AD102" s="74">
        <v>6</v>
      </c>
      <c r="AE102" s="74">
        <v>7</v>
      </c>
      <c r="AF102" s="74">
        <v>8</v>
      </c>
      <c r="AG102" s="74">
        <v>9</v>
      </c>
      <c r="AH102" s="74">
        <v>10</v>
      </c>
      <c r="AI102" s="74">
        <v>11</v>
      </c>
      <c r="AJ102" s="74">
        <v>12</v>
      </c>
      <c r="AK102" s="74">
        <v>13</v>
      </c>
      <c r="AL102" s="74">
        <v>14</v>
      </c>
      <c r="AM102" s="74">
        <v>15</v>
      </c>
      <c r="AN102" s="74">
        <v>17</v>
      </c>
      <c r="AO102" s="74">
        <v>18</v>
      </c>
      <c r="AP102" s="74">
        <v>19</v>
      </c>
      <c r="AQ102" s="74">
        <v>20</v>
      </c>
      <c r="AR102" s="74">
        <v>21</v>
      </c>
      <c r="AS102" s="74">
        <v>22</v>
      </c>
      <c r="AT102" s="74">
        <v>23</v>
      </c>
      <c r="AU102" s="74">
        <v>24</v>
      </c>
      <c r="AV102" s="74">
        <v>25</v>
      </c>
      <c r="AW102" s="74">
        <v>26</v>
      </c>
      <c r="AX102" s="74">
        <v>27</v>
      </c>
      <c r="AY102" s="74">
        <v>28</v>
      </c>
      <c r="AZ102" s="74">
        <v>29</v>
      </c>
      <c r="BA102" s="74">
        <v>30</v>
      </c>
      <c r="BB102" s="74">
        <v>31</v>
      </c>
    </row>
    <row r="103" spans="2:54">
      <c r="M103" s="70"/>
      <c r="AA103" s="81">
        <v>1</v>
      </c>
      <c r="AB103" s="70">
        <v>1</v>
      </c>
      <c r="AC103" s="70">
        <v>2</v>
      </c>
      <c r="AD103" s="70">
        <v>2</v>
      </c>
      <c r="AE103" s="134">
        <v>3</v>
      </c>
      <c r="AF103" s="134">
        <v>3</v>
      </c>
      <c r="AG103" s="81">
        <v>4</v>
      </c>
      <c r="AH103" s="70">
        <v>4</v>
      </c>
      <c r="AI103" s="70">
        <v>4</v>
      </c>
      <c r="AJ103" s="70">
        <v>5</v>
      </c>
      <c r="AK103" s="70">
        <v>6</v>
      </c>
      <c r="AL103" s="70">
        <v>6</v>
      </c>
      <c r="AM103" s="70">
        <v>6</v>
      </c>
      <c r="AN103" s="132">
        <v>7</v>
      </c>
      <c r="AO103" s="133">
        <v>7</v>
      </c>
      <c r="AP103" s="134">
        <v>7</v>
      </c>
      <c r="AQ103" s="70">
        <v>7</v>
      </c>
      <c r="AR103" s="70">
        <v>7</v>
      </c>
      <c r="AS103" s="70">
        <v>7</v>
      </c>
      <c r="AT103" s="70">
        <v>8</v>
      </c>
      <c r="AU103" s="70">
        <v>9</v>
      </c>
      <c r="AV103" s="70">
        <v>10</v>
      </c>
      <c r="AW103" s="70">
        <v>11</v>
      </c>
      <c r="AX103" s="70">
        <v>12</v>
      </c>
      <c r="AY103" s="70">
        <v>13</v>
      </c>
      <c r="AZ103" s="70">
        <v>14</v>
      </c>
      <c r="BA103" s="70">
        <v>15</v>
      </c>
      <c r="BB103" s="70">
        <v>16</v>
      </c>
    </row>
    <row r="104" spans="2:54">
      <c r="M104" s="70"/>
      <c r="AA104" s="81"/>
      <c r="AE104" s="134"/>
      <c r="AF104" s="134"/>
      <c r="AG104" s="81"/>
      <c r="AM104" s="70"/>
      <c r="AN104" s="132"/>
      <c r="AO104" s="133"/>
      <c r="AP104" s="134"/>
    </row>
    <row r="105" spans="2:54">
      <c r="M105" s="70"/>
      <c r="N105" s="72"/>
      <c r="O105" s="72"/>
      <c r="P105" s="72"/>
      <c r="Q105" s="72"/>
      <c r="AA105" s="70" t="str">
        <f t="shared" ref="AA105:BB105" si="4">AA113</f>
        <v>Attic:R0-R38</v>
      </c>
      <c r="AB105" s="70" t="str">
        <f t="shared" si="4"/>
        <v>Attic:R0-R49</v>
      </c>
      <c r="AC105" s="70" t="str">
        <f t="shared" si="4"/>
        <v>Attic:R11-R38</v>
      </c>
      <c r="AD105" s="70" t="str">
        <f t="shared" si="4"/>
        <v>Attic:R11-R49</v>
      </c>
      <c r="AE105" s="70" t="str">
        <f t="shared" si="4"/>
        <v>Attic:R19-R38</v>
      </c>
      <c r="AF105" s="70" t="str">
        <f t="shared" si="4"/>
        <v>Attic:R19-R49</v>
      </c>
      <c r="AG105" s="70" t="str">
        <f t="shared" si="4"/>
        <v>Attic:R30-R38</v>
      </c>
      <c r="AH105" s="70" t="str">
        <f t="shared" si="4"/>
        <v>Attic:R30-R49</v>
      </c>
      <c r="AI105" s="70" t="str">
        <f t="shared" si="4"/>
        <v>Attic:R38-R49</v>
      </c>
      <c r="AJ105" s="70" t="str">
        <f t="shared" si="4"/>
        <v>Wall:R0-R11</v>
      </c>
      <c r="AK105" s="70" t="str">
        <f t="shared" si="4"/>
        <v>Floor:R0-R19</v>
      </c>
      <c r="AL105" s="70" t="str">
        <f t="shared" si="4"/>
        <v>Floor:R0-R25</v>
      </c>
      <c r="AM105" s="70" t="str">
        <f t="shared" si="4"/>
        <v>Floor:R0-R30</v>
      </c>
      <c r="AN105" s="70" t="str">
        <f t="shared" si="4"/>
        <v>Window:Single-u30</v>
      </c>
      <c r="AO105" s="70" t="str">
        <f t="shared" si="4"/>
        <v>Window:Double-u30</v>
      </c>
      <c r="AP105" s="70" t="str">
        <f t="shared" si="4"/>
        <v>Window:u35-u30</v>
      </c>
      <c r="AQ105" s="70" t="str">
        <f t="shared" si="4"/>
        <v>Window:Single-u22</v>
      </c>
      <c r="AR105" s="70" t="str">
        <f t="shared" si="4"/>
        <v>Window:Double-u22</v>
      </c>
      <c r="AS105" s="70" t="str">
        <f t="shared" si="4"/>
        <v>Window:u35-u22</v>
      </c>
      <c r="AT105" s="70" t="str">
        <f t="shared" si="4"/>
        <v>Infiltration:cfm50 reduction</v>
      </c>
      <c r="AU105" s="70" t="str">
        <f t="shared" si="4"/>
        <v>Heat Pump:8.5HSPF-9.0HSPF</v>
      </c>
      <c r="AV105" s="70" t="str">
        <f t="shared" si="4"/>
        <v>Heat Pump:Zonal-8.5HSPF</v>
      </c>
      <c r="AW105" s="70" t="str">
        <f t="shared" si="4"/>
        <v>Heat Pump:FAF-8.5HSPF</v>
      </c>
      <c r="AX105" s="70" t="str">
        <f t="shared" si="4"/>
        <v>Heat Pump:Zonal-DHP</v>
      </c>
      <c r="AY105" s="70" t="str">
        <f t="shared" si="4"/>
        <v>Heat Pump:FAF-DHP</v>
      </c>
      <c r="AZ105" s="70" t="str">
        <f t="shared" si="4"/>
        <v>HP CC&amp;S:StandardPractice-PTCS</v>
      </c>
      <c r="BA105" s="70" t="str">
        <f t="shared" si="4"/>
        <v>DuctInsulation:R0-R8</v>
      </c>
      <c r="BB105" s="70" t="str">
        <f t="shared" si="4"/>
        <v>DuctTightness:StandardPractice-PTCS</v>
      </c>
    </row>
    <row r="106" spans="2:54">
      <c r="M106" s="70"/>
      <c r="AA106" s="70">
        <f t="shared" ref="AA106:BB106" si="5">COUNTIFS(AA114:AA208,AA107)</f>
        <v>14</v>
      </c>
      <c r="AB106" s="70">
        <f t="shared" si="5"/>
        <v>14</v>
      </c>
      <c r="AC106" s="70">
        <f t="shared" si="5"/>
        <v>15</v>
      </c>
      <c r="AD106" s="70">
        <f t="shared" si="5"/>
        <v>15</v>
      </c>
      <c r="AE106" s="70">
        <f t="shared" si="5"/>
        <v>22</v>
      </c>
      <c r="AF106" s="70">
        <f t="shared" si="5"/>
        <v>22</v>
      </c>
      <c r="AG106" s="70">
        <f t="shared" si="5"/>
        <v>20</v>
      </c>
      <c r="AH106" s="70">
        <f t="shared" si="5"/>
        <v>20</v>
      </c>
      <c r="AI106" s="70">
        <f t="shared" si="5"/>
        <v>24</v>
      </c>
      <c r="AJ106" s="70">
        <f t="shared" si="5"/>
        <v>21</v>
      </c>
      <c r="AK106" s="70">
        <f t="shared" si="5"/>
        <v>28</v>
      </c>
      <c r="AL106" s="70">
        <f t="shared" si="5"/>
        <v>28</v>
      </c>
      <c r="AM106" s="70">
        <f t="shared" si="5"/>
        <v>28</v>
      </c>
      <c r="AN106" s="70">
        <f t="shared" si="5"/>
        <v>8</v>
      </c>
      <c r="AO106" s="70">
        <f t="shared" si="5"/>
        <v>31</v>
      </c>
      <c r="AP106" s="70">
        <f t="shared" si="5"/>
        <v>39</v>
      </c>
      <c r="AQ106" s="70">
        <f t="shared" si="5"/>
        <v>8</v>
      </c>
      <c r="AR106" s="70">
        <f t="shared" si="5"/>
        <v>31</v>
      </c>
      <c r="AS106" s="70">
        <f t="shared" si="5"/>
        <v>95</v>
      </c>
      <c r="AT106" s="70">
        <f t="shared" si="5"/>
        <v>95</v>
      </c>
      <c r="AU106" s="70">
        <f t="shared" si="5"/>
        <v>35</v>
      </c>
      <c r="AV106" s="70">
        <f t="shared" si="5"/>
        <v>60</v>
      </c>
      <c r="AW106" s="70">
        <f t="shared" si="5"/>
        <v>35</v>
      </c>
      <c r="AX106" s="70">
        <f t="shared" si="5"/>
        <v>60</v>
      </c>
      <c r="AY106" s="70">
        <f t="shared" si="5"/>
        <v>35</v>
      </c>
      <c r="AZ106" s="70">
        <f t="shared" si="5"/>
        <v>95</v>
      </c>
      <c r="BA106" s="70">
        <f t="shared" si="5"/>
        <v>35</v>
      </c>
      <c r="BB106" s="70">
        <f t="shared" si="5"/>
        <v>35</v>
      </c>
    </row>
    <row r="107" spans="2:54">
      <c r="M107" s="70"/>
      <c r="Y107" s="70">
        <f>COUNTIF(AA107:BB107,"F")</f>
        <v>9</v>
      </c>
      <c r="Z107" s="70" t="s">
        <v>398</v>
      </c>
      <c r="AA107" s="74" t="s">
        <v>386</v>
      </c>
      <c r="AB107" s="74" t="s">
        <v>399</v>
      </c>
      <c r="AC107" s="74" t="s">
        <v>386</v>
      </c>
      <c r="AD107" s="74" t="s">
        <v>399</v>
      </c>
      <c r="AE107" s="143" t="s">
        <v>386</v>
      </c>
      <c r="AF107" s="143" t="s">
        <v>399</v>
      </c>
      <c r="AG107" s="74" t="s">
        <v>399</v>
      </c>
      <c r="AH107" s="74" t="s">
        <v>399</v>
      </c>
      <c r="AI107" s="74" t="s">
        <v>399</v>
      </c>
      <c r="AJ107" s="74" t="s">
        <v>386</v>
      </c>
      <c r="AK107" s="74" t="s">
        <v>399</v>
      </c>
      <c r="AL107" s="74" t="s">
        <v>386</v>
      </c>
      <c r="AM107" s="74" t="s">
        <v>399</v>
      </c>
      <c r="AN107" s="143" t="s">
        <v>386</v>
      </c>
      <c r="AO107" s="144" t="s">
        <v>386</v>
      </c>
      <c r="AP107" s="143" t="s">
        <v>399</v>
      </c>
      <c r="AQ107" s="74" t="s">
        <v>399</v>
      </c>
      <c r="AR107" s="74" t="s">
        <v>399</v>
      </c>
      <c r="AS107" s="74" t="s">
        <v>399</v>
      </c>
      <c r="AT107" s="74" t="s">
        <v>386</v>
      </c>
      <c r="AU107" s="77" t="s">
        <v>399</v>
      </c>
      <c r="AV107" s="74" t="s">
        <v>399</v>
      </c>
      <c r="AW107" s="77" t="s">
        <v>399</v>
      </c>
      <c r="AX107" s="77" t="s">
        <v>399</v>
      </c>
      <c r="AY107" s="74" t="s">
        <v>399</v>
      </c>
      <c r="AZ107" s="77" t="s">
        <v>399</v>
      </c>
      <c r="BA107" s="74" t="s">
        <v>399</v>
      </c>
      <c r="BB107" s="74" t="s">
        <v>386</v>
      </c>
    </row>
    <row r="108" spans="2:54">
      <c r="M108" s="70"/>
      <c r="Z108" s="70" t="s">
        <v>400</v>
      </c>
      <c r="AA108" s="74" t="s">
        <v>331</v>
      </c>
      <c r="AB108" s="74" t="s">
        <v>401</v>
      </c>
      <c r="AC108" s="74" t="s">
        <v>331</v>
      </c>
      <c r="AD108" s="74" t="s">
        <v>401</v>
      </c>
      <c r="AE108" s="74" t="s">
        <v>331</v>
      </c>
      <c r="AF108" s="74" t="s">
        <v>401</v>
      </c>
      <c r="AG108" s="74" t="s">
        <v>331</v>
      </c>
      <c r="AH108" s="74" t="s">
        <v>401</v>
      </c>
      <c r="AI108" s="74" t="s">
        <v>401</v>
      </c>
      <c r="AJ108" s="74" t="s">
        <v>334</v>
      </c>
      <c r="AK108" s="74" t="s">
        <v>335</v>
      </c>
      <c r="AL108" s="74" t="s">
        <v>346</v>
      </c>
      <c r="AM108" s="74" t="s">
        <v>336</v>
      </c>
      <c r="AN108" s="74" t="s">
        <v>365</v>
      </c>
      <c r="AO108" s="74" t="s">
        <v>365</v>
      </c>
      <c r="AP108" s="74" t="s">
        <v>365</v>
      </c>
      <c r="AQ108" s="74" t="s">
        <v>402</v>
      </c>
      <c r="AR108" s="74" t="s">
        <v>402</v>
      </c>
      <c r="AS108" s="74" t="s">
        <v>402</v>
      </c>
      <c r="AT108" s="74"/>
      <c r="AU108" s="74" t="s">
        <v>350</v>
      </c>
      <c r="AV108" s="77" t="s">
        <v>229</v>
      </c>
      <c r="AW108" s="77" t="s">
        <v>229</v>
      </c>
      <c r="AX108" s="74" t="s">
        <v>353</v>
      </c>
      <c r="AY108" s="74" t="s">
        <v>353</v>
      </c>
      <c r="AZ108" s="74" t="s">
        <v>341</v>
      </c>
      <c r="BA108" s="74" t="s">
        <v>344</v>
      </c>
      <c r="BB108" s="74" t="s">
        <v>341</v>
      </c>
    </row>
    <row r="109" spans="2:54">
      <c r="M109" s="145">
        <v>1</v>
      </c>
      <c r="N109" s="145">
        <v>11</v>
      </c>
      <c r="O109" s="145">
        <v>12</v>
      </c>
      <c r="P109" s="145">
        <v>13</v>
      </c>
      <c r="Q109" s="145">
        <v>14</v>
      </c>
      <c r="R109" s="145">
        <v>15</v>
      </c>
      <c r="S109" s="145">
        <v>16</v>
      </c>
      <c r="T109" s="145">
        <v>17</v>
      </c>
      <c r="U109" s="145">
        <v>18</v>
      </c>
      <c r="V109" s="145"/>
      <c r="W109" s="145"/>
      <c r="Z109" s="70" t="s">
        <v>403</v>
      </c>
      <c r="AA109" s="74" t="s">
        <v>329</v>
      </c>
      <c r="AB109" s="74" t="s">
        <v>329</v>
      </c>
      <c r="AC109" s="74" t="s">
        <v>334</v>
      </c>
      <c r="AD109" s="74" t="s">
        <v>334</v>
      </c>
      <c r="AE109" s="74" t="s">
        <v>335</v>
      </c>
      <c r="AF109" s="74" t="s">
        <v>335</v>
      </c>
      <c r="AG109" s="74" t="s">
        <v>336</v>
      </c>
      <c r="AH109" s="74" t="s">
        <v>336</v>
      </c>
      <c r="AI109" s="74" t="s">
        <v>331</v>
      </c>
      <c r="AJ109" s="74" t="s">
        <v>329</v>
      </c>
      <c r="AK109" s="74" t="s">
        <v>329</v>
      </c>
      <c r="AL109" s="74" t="s">
        <v>329</v>
      </c>
      <c r="AM109" s="74" t="s">
        <v>329</v>
      </c>
      <c r="AN109" s="74" t="s">
        <v>355</v>
      </c>
      <c r="AO109" s="74" t="s">
        <v>339</v>
      </c>
      <c r="AP109" s="74" t="s">
        <v>404</v>
      </c>
      <c r="AQ109" s="74" t="s">
        <v>355</v>
      </c>
      <c r="AR109" s="74" t="s">
        <v>339</v>
      </c>
      <c r="AS109" s="74" t="s">
        <v>404</v>
      </c>
      <c r="AT109" s="74" t="s">
        <v>405</v>
      </c>
      <c r="AU109" s="74" t="s">
        <v>367</v>
      </c>
      <c r="AV109" s="74" t="s">
        <v>228</v>
      </c>
      <c r="AW109" s="74" t="s">
        <v>227</v>
      </c>
      <c r="AX109" s="74" t="s">
        <v>228</v>
      </c>
      <c r="AY109" s="74" t="s">
        <v>227</v>
      </c>
      <c r="AZ109" s="74" t="s">
        <v>406</v>
      </c>
      <c r="BA109" s="74" t="s">
        <v>329</v>
      </c>
      <c r="BB109" s="74" t="s">
        <v>406</v>
      </c>
    </row>
    <row r="110" spans="2:54" s="81" customFormat="1">
      <c r="B110" s="125"/>
      <c r="H110" s="125">
        <f>COUNTIF(H265:H714,"&gt;1")</f>
        <v>132</v>
      </c>
      <c r="I110" s="125"/>
      <c r="Z110" s="138" t="s">
        <v>407</v>
      </c>
      <c r="AA110" s="138" t="s">
        <v>408</v>
      </c>
      <c r="AB110" s="138" t="s">
        <v>409</v>
      </c>
      <c r="AC110" s="138" t="s">
        <v>408</v>
      </c>
      <c r="AD110" s="138" t="s">
        <v>409</v>
      </c>
      <c r="AE110" s="138" t="s">
        <v>408</v>
      </c>
      <c r="AF110" s="138" t="s">
        <v>409</v>
      </c>
      <c r="AG110" s="138" t="s">
        <v>410</v>
      </c>
      <c r="AH110" s="138" t="s">
        <v>409</v>
      </c>
      <c r="AI110" s="138" t="s">
        <v>409</v>
      </c>
      <c r="AJ110" s="138" t="s">
        <v>408</v>
      </c>
      <c r="AK110" s="138" t="s">
        <v>411</v>
      </c>
      <c r="AL110" s="138" t="s">
        <v>408</v>
      </c>
      <c r="AM110" s="138" t="s">
        <v>412</v>
      </c>
      <c r="AN110" s="138" t="s">
        <v>408</v>
      </c>
      <c r="AO110" s="138" t="s">
        <v>408</v>
      </c>
      <c r="AP110" s="138" t="s">
        <v>408</v>
      </c>
      <c r="AQ110" s="138" t="s">
        <v>413</v>
      </c>
      <c r="AR110" s="138" t="s">
        <v>413</v>
      </c>
      <c r="AS110" s="138" t="s">
        <v>413</v>
      </c>
      <c r="AT110" s="138" t="s">
        <v>408</v>
      </c>
      <c r="AU110" s="138" t="s">
        <v>408</v>
      </c>
      <c r="AV110" s="138" t="s">
        <v>408</v>
      </c>
      <c r="AW110" s="138" t="s">
        <v>408</v>
      </c>
      <c r="AX110" s="138" t="s">
        <v>408</v>
      </c>
      <c r="AY110" s="138" t="s">
        <v>408</v>
      </c>
      <c r="AZ110" s="138" t="s">
        <v>408</v>
      </c>
      <c r="BA110" s="138" t="s">
        <v>414</v>
      </c>
      <c r="BB110" s="138" t="s">
        <v>408</v>
      </c>
    </row>
    <row r="111" spans="2:54" s="81" customFormat="1">
      <c r="Z111" s="138" t="s">
        <v>415</v>
      </c>
      <c r="AA111" s="138" t="s">
        <v>416</v>
      </c>
      <c r="AB111" s="138" t="s">
        <v>416</v>
      </c>
      <c r="AC111" s="138" t="s">
        <v>417</v>
      </c>
      <c r="AD111" s="138" t="s">
        <v>417</v>
      </c>
      <c r="AE111" s="146" t="s">
        <v>418</v>
      </c>
      <c r="AF111" s="146" t="s">
        <v>418</v>
      </c>
      <c r="AG111" s="138" t="s">
        <v>419</v>
      </c>
      <c r="AH111" s="138" t="s">
        <v>419</v>
      </c>
      <c r="AI111" s="138" t="s">
        <v>410</v>
      </c>
      <c r="AJ111" s="138" t="s">
        <v>420</v>
      </c>
      <c r="AK111" s="138" t="s">
        <v>421</v>
      </c>
      <c r="AL111" s="138" t="s">
        <v>421</v>
      </c>
      <c r="AM111" s="138" t="s">
        <v>421</v>
      </c>
      <c r="AN111" s="147" t="s">
        <v>422</v>
      </c>
      <c r="AO111" s="148" t="s">
        <v>423</v>
      </c>
      <c r="AP111" s="146" t="s">
        <v>424</v>
      </c>
      <c r="AQ111" s="138" t="s">
        <v>422</v>
      </c>
      <c r="AR111" s="138" t="s">
        <v>423</v>
      </c>
      <c r="AS111" s="146" t="s">
        <v>424</v>
      </c>
      <c r="AT111" s="138" t="s">
        <v>425</v>
      </c>
      <c r="AU111" s="138" t="s">
        <v>426</v>
      </c>
      <c r="AV111" s="138" t="s">
        <v>427</v>
      </c>
      <c r="AW111" s="138" t="s">
        <v>428</v>
      </c>
      <c r="AX111" s="138" t="s">
        <v>429</v>
      </c>
      <c r="AY111" s="138" t="s">
        <v>427</v>
      </c>
      <c r="AZ111" s="138" t="s">
        <v>430</v>
      </c>
      <c r="BA111" s="138" t="s">
        <v>408</v>
      </c>
      <c r="BB111" s="81" t="s">
        <v>431</v>
      </c>
    </row>
    <row r="112" spans="2:54">
      <c r="B112" s="118" t="s">
        <v>432</v>
      </c>
      <c r="M112" s="70"/>
      <c r="N112" s="149" t="s">
        <v>433</v>
      </c>
      <c r="O112" s="150"/>
      <c r="P112" s="150"/>
      <c r="Q112" s="150"/>
      <c r="R112" s="150"/>
      <c r="S112" s="150"/>
      <c r="T112" s="150"/>
      <c r="U112" s="151"/>
      <c r="V112" s="130"/>
      <c r="W112" s="130"/>
      <c r="X112" s="130"/>
      <c r="Y112" s="130" t="s">
        <v>434</v>
      </c>
      <c r="Z112" s="130"/>
      <c r="AA112" s="81"/>
      <c r="AE112" s="134"/>
      <c r="AF112" s="134"/>
      <c r="AG112" s="81"/>
      <c r="AM112" s="70"/>
      <c r="AN112" s="132"/>
      <c r="AO112" s="133"/>
      <c r="AP112" s="134"/>
    </row>
    <row r="113" spans="1:54">
      <c r="A113" s="79" t="s">
        <v>435</v>
      </c>
      <c r="B113" s="124" t="s">
        <v>436</v>
      </c>
      <c r="C113" s="124" t="s">
        <v>437</v>
      </c>
      <c r="D113" s="124" t="s">
        <v>375</v>
      </c>
      <c r="E113" s="124" t="s">
        <v>374</v>
      </c>
      <c r="F113" s="124" t="s">
        <v>57</v>
      </c>
      <c r="G113" s="124" t="s">
        <v>63</v>
      </c>
      <c r="H113" s="124" t="s">
        <v>56</v>
      </c>
      <c r="I113" s="124" t="s">
        <v>58</v>
      </c>
      <c r="J113" s="124" t="s">
        <v>438</v>
      </c>
      <c r="K113" s="124" t="s">
        <v>439</v>
      </c>
      <c r="M113" s="138" t="s">
        <v>435</v>
      </c>
      <c r="N113" s="152" t="s">
        <v>57</v>
      </c>
      <c r="O113" s="153" t="s">
        <v>63</v>
      </c>
      <c r="P113" s="153" t="s">
        <v>56</v>
      </c>
      <c r="Q113" s="153" t="s">
        <v>338</v>
      </c>
      <c r="R113" s="153" t="s">
        <v>59</v>
      </c>
      <c r="S113" s="153" t="s">
        <v>374</v>
      </c>
      <c r="T113" s="153" t="s">
        <v>343</v>
      </c>
      <c r="U113" s="154" t="s">
        <v>340</v>
      </c>
      <c r="V113" s="137" t="s">
        <v>375</v>
      </c>
      <c r="W113" s="137" t="s">
        <v>373</v>
      </c>
      <c r="X113" s="137"/>
      <c r="Y113" s="130"/>
      <c r="Z113" s="130"/>
      <c r="AA113" s="81" t="s">
        <v>440</v>
      </c>
      <c r="AB113" s="81" t="s">
        <v>441</v>
      </c>
      <c r="AC113" s="81" t="s">
        <v>442</v>
      </c>
      <c r="AD113" s="81" t="s">
        <v>443</v>
      </c>
      <c r="AE113" s="81" t="s">
        <v>444</v>
      </c>
      <c r="AF113" s="146" t="s">
        <v>445</v>
      </c>
      <c r="AG113" s="146" t="s">
        <v>446</v>
      </c>
      <c r="AH113" s="81" t="s">
        <v>447</v>
      </c>
      <c r="AI113" s="81" t="s">
        <v>448</v>
      </c>
      <c r="AJ113" s="81" t="s">
        <v>449</v>
      </c>
      <c r="AK113" s="81" t="s">
        <v>450</v>
      </c>
      <c r="AL113" s="81" t="s">
        <v>451</v>
      </c>
      <c r="AM113" s="81" t="s">
        <v>452</v>
      </c>
      <c r="AN113" s="81" t="s">
        <v>453</v>
      </c>
      <c r="AO113" s="147" t="s">
        <v>454</v>
      </c>
      <c r="AP113" s="148" t="s">
        <v>455</v>
      </c>
      <c r="AQ113" s="146" t="s">
        <v>456</v>
      </c>
      <c r="AR113" s="81" t="s">
        <v>457</v>
      </c>
      <c r="AS113" s="81" t="s">
        <v>458</v>
      </c>
      <c r="AT113" s="81" t="s">
        <v>459</v>
      </c>
      <c r="AU113" s="81" t="s">
        <v>460</v>
      </c>
      <c r="AV113" s="81" t="s">
        <v>461</v>
      </c>
      <c r="AW113" s="81" t="s">
        <v>462</v>
      </c>
      <c r="AX113" s="81" t="s">
        <v>463</v>
      </c>
      <c r="AY113" s="81" t="s">
        <v>464</v>
      </c>
      <c r="AZ113" s="81" t="s">
        <v>465</v>
      </c>
      <c r="BA113" s="81" t="s">
        <v>466</v>
      </c>
      <c r="BB113" s="81" t="s">
        <v>467</v>
      </c>
    </row>
    <row r="114" spans="1:54">
      <c r="A114" s="70">
        <v>2001</v>
      </c>
      <c r="B114" s="124" t="s">
        <v>468</v>
      </c>
      <c r="C114" s="124">
        <v>1001</v>
      </c>
      <c r="D114" s="124" t="s">
        <v>469</v>
      </c>
      <c r="E114" s="124" t="s">
        <v>228</v>
      </c>
      <c r="F114" s="124" t="s">
        <v>329</v>
      </c>
      <c r="G114" s="124" t="s">
        <v>329</v>
      </c>
      <c r="H114" s="124" t="s">
        <v>329</v>
      </c>
      <c r="I114" s="124" t="s">
        <v>355</v>
      </c>
      <c r="J114" s="124">
        <v>2079.9929999999999</v>
      </c>
      <c r="K114" s="124">
        <v>1.9512021334418368E-3</v>
      </c>
      <c r="M114" s="70">
        <v>2001</v>
      </c>
      <c r="N114" s="155" t="str">
        <f t="shared" ref="N114:N177" si="6">IFERROR(INDEX($AA$108:$AI$108,MATCH("F",AA114:AI114,0)),F114)</f>
        <v>R38</v>
      </c>
      <c r="O114" s="137" t="s">
        <v>334</v>
      </c>
      <c r="P114" s="130" t="str">
        <f t="shared" ref="P114:P177" si="7">IFERROR(INDEX($AK$108:$AM$108,MATCH("F",AK114:AM114,0)),H114)</f>
        <v>R25</v>
      </c>
      <c r="Q114" s="130" t="str">
        <f t="shared" ref="Q114:Q177" si="8">IFERROR(INDEX($AN$108:$AS$108,MATCH("F",AN114:AS114,0)),I114)</f>
        <v>u30</v>
      </c>
      <c r="R114" s="130" t="s">
        <v>378</v>
      </c>
      <c r="S114" s="130" t="str">
        <f t="shared" ref="S114:S177" si="9">IFERROR(INDEX($AV$108:$AY$108,MATCH("F",AV114:AY114,0)),E114)</f>
        <v>Electric Zonal</v>
      </c>
      <c r="T114" s="130" t="str">
        <f t="shared" ref="T114:T177" si="10">IF(E114="DHP","n/a","Existing")</f>
        <v>Existing</v>
      </c>
      <c r="U114" s="156" t="str">
        <f>IF(E114="DHP","n/a","PTCS")</f>
        <v>PTCS</v>
      </c>
      <c r="V114" s="130" t="str">
        <f>S114&amp;N114&amp;O114&amp;P114&amp;Q114</f>
        <v>Electric ZonalR38R11R25u30</v>
      </c>
      <c r="W114" s="130">
        <f t="shared" ref="W114:W177" si="11">VLOOKUP(V114,$J$46:$K$82,2,FALSE)</f>
        <v>3030</v>
      </c>
      <c r="X114" s="130"/>
      <c r="Y114" s="130">
        <f t="shared" ref="Y114:Y177" si="12">COUNTIF(AA114:BB114,"F")</f>
        <v>5</v>
      </c>
      <c r="Z114" s="130"/>
      <c r="AA114" s="74" t="str">
        <f t="shared" ref="AA114:AI129" si="13">IF(AA$109=$F114,AA$107,"")</f>
        <v>F</v>
      </c>
      <c r="AB114" s="74" t="str">
        <f t="shared" si="13"/>
        <v>O</v>
      </c>
      <c r="AC114" s="74" t="str">
        <f t="shared" si="13"/>
        <v/>
      </c>
      <c r="AD114" s="74" t="str">
        <f t="shared" si="13"/>
        <v/>
      </c>
      <c r="AE114" s="74" t="str">
        <f t="shared" si="13"/>
        <v/>
      </c>
      <c r="AF114" s="74" t="str">
        <f t="shared" si="13"/>
        <v/>
      </c>
      <c r="AG114" s="74" t="str">
        <f t="shared" si="13"/>
        <v/>
      </c>
      <c r="AH114" s="74" t="str">
        <f t="shared" si="13"/>
        <v/>
      </c>
      <c r="AI114" s="74" t="str">
        <f t="shared" si="13"/>
        <v/>
      </c>
      <c r="AJ114" s="74" t="str">
        <f t="shared" ref="AJ114:AJ177" si="14">IF(AJ$109=$G114,AJ$107,"")</f>
        <v>F</v>
      </c>
      <c r="AK114" s="74" t="str">
        <f t="shared" ref="AK114:AM133" si="15">IF(AK$109=$H114,AK$107,"")</f>
        <v>O</v>
      </c>
      <c r="AL114" s="74" t="str">
        <f t="shared" si="15"/>
        <v>F</v>
      </c>
      <c r="AM114" s="74" t="str">
        <f t="shared" si="15"/>
        <v>O</v>
      </c>
      <c r="AN114" s="74" t="str">
        <f t="shared" ref="AN114:AO133" si="16">IF(AN$109=$I114,AN$107,"")</f>
        <v>F</v>
      </c>
      <c r="AO114" s="74" t="str">
        <f t="shared" si="16"/>
        <v/>
      </c>
      <c r="AP114" s="74" t="str">
        <f>IF(OR(I114="Single",I114="Double"),AP$107,"")</f>
        <v>O</v>
      </c>
      <c r="AQ114" s="74" t="str">
        <f t="shared" ref="AQ114:AR133" si="17">IF(AQ$109=$I114,AQ$107,"")</f>
        <v>O</v>
      </c>
      <c r="AR114" s="74" t="str">
        <f t="shared" si="17"/>
        <v/>
      </c>
      <c r="AS114" s="74" t="s">
        <v>399</v>
      </c>
      <c r="AT114" s="70" t="s">
        <v>386</v>
      </c>
      <c r="AU114" s="70" t="str">
        <f>IF(OR(S114="Electric FAF",S114="Heat Pump"),AU$107,"")</f>
        <v/>
      </c>
      <c r="AV114" s="74" t="str">
        <f t="shared" ref="AV114:AY133" si="18">IF(AV$109=$E114,AV$107,"")</f>
        <v>O</v>
      </c>
      <c r="AW114" s="74" t="str">
        <f t="shared" si="18"/>
        <v/>
      </c>
      <c r="AX114" s="74" t="str">
        <f t="shared" si="18"/>
        <v>O</v>
      </c>
      <c r="AY114" s="74" t="str">
        <f t="shared" si="18"/>
        <v/>
      </c>
      <c r="AZ114" s="74" t="str">
        <f>IF($E114="Electric Zonal","O",AZ$107)</f>
        <v>O</v>
      </c>
      <c r="BA114" s="74" t="str">
        <f>IF(OR($E114="Electric Zonal",$E114="DHP"),"",BA$107)</f>
        <v/>
      </c>
      <c r="BB114" s="74" t="str">
        <f t="shared" ref="BB114:BB177" si="19">IF($E114="Electric Zonal","",BB$107)</f>
        <v/>
      </c>
    </row>
    <row r="115" spans="1:54">
      <c r="A115" s="70">
        <v>2002</v>
      </c>
      <c r="B115" s="124" t="s">
        <v>470</v>
      </c>
      <c r="C115" s="124">
        <v>1002</v>
      </c>
      <c r="D115" s="124" t="s">
        <v>471</v>
      </c>
      <c r="E115" s="124" t="s">
        <v>228</v>
      </c>
      <c r="F115" s="124" t="s">
        <v>329</v>
      </c>
      <c r="G115" s="124" t="s">
        <v>329</v>
      </c>
      <c r="H115" s="124" t="s">
        <v>329</v>
      </c>
      <c r="I115" s="124" t="s">
        <v>339</v>
      </c>
      <c r="J115" s="124">
        <v>3845.1859999999997</v>
      </c>
      <c r="K115" s="124">
        <v>3.6070963347860697E-3</v>
      </c>
      <c r="M115" s="70">
        <v>2002</v>
      </c>
      <c r="N115" s="155" t="str">
        <f t="shared" si="6"/>
        <v>R38</v>
      </c>
      <c r="O115" s="137" t="s">
        <v>334</v>
      </c>
      <c r="P115" s="130" t="str">
        <f t="shared" si="7"/>
        <v>R25</v>
      </c>
      <c r="Q115" s="130" t="str">
        <f t="shared" si="8"/>
        <v>u30</v>
      </c>
      <c r="R115" s="130" t="s">
        <v>378</v>
      </c>
      <c r="S115" s="130" t="str">
        <f t="shared" si="9"/>
        <v>Electric Zonal</v>
      </c>
      <c r="T115" s="130" t="str">
        <f t="shared" si="10"/>
        <v>Existing</v>
      </c>
      <c r="U115" s="156" t="str">
        <f t="shared" ref="U115:U178" si="20">IF(E115="DHP","n/a","PTCS")</f>
        <v>PTCS</v>
      </c>
      <c r="V115" s="130" t="str">
        <f t="shared" ref="V115:V178" si="21">S115&amp;N115&amp;O115&amp;P115&amp;Q115</f>
        <v>Electric ZonalR38R11R25u30</v>
      </c>
      <c r="W115" s="130">
        <f t="shared" si="11"/>
        <v>3030</v>
      </c>
      <c r="X115" s="130"/>
      <c r="Y115" s="130">
        <f t="shared" si="12"/>
        <v>5</v>
      </c>
      <c r="Z115" s="130"/>
      <c r="AA115" s="74" t="str">
        <f t="shared" si="13"/>
        <v>F</v>
      </c>
      <c r="AB115" s="74" t="str">
        <f t="shared" si="13"/>
        <v>O</v>
      </c>
      <c r="AC115" s="74" t="str">
        <f t="shared" si="13"/>
        <v/>
      </c>
      <c r="AD115" s="74" t="str">
        <f t="shared" si="13"/>
        <v/>
      </c>
      <c r="AE115" s="74" t="str">
        <f t="shared" si="13"/>
        <v/>
      </c>
      <c r="AF115" s="74" t="str">
        <f t="shared" si="13"/>
        <v/>
      </c>
      <c r="AG115" s="74" t="str">
        <f t="shared" si="13"/>
        <v/>
      </c>
      <c r="AH115" s="74" t="str">
        <f t="shared" si="13"/>
        <v/>
      </c>
      <c r="AI115" s="74" t="str">
        <f t="shared" si="13"/>
        <v/>
      </c>
      <c r="AJ115" s="74" t="str">
        <f t="shared" si="14"/>
        <v>F</v>
      </c>
      <c r="AK115" s="74" t="str">
        <f t="shared" si="15"/>
        <v>O</v>
      </c>
      <c r="AL115" s="74" t="str">
        <f t="shared" si="15"/>
        <v>F</v>
      </c>
      <c r="AM115" s="74" t="str">
        <f t="shared" si="15"/>
        <v>O</v>
      </c>
      <c r="AN115" s="74" t="str">
        <f t="shared" si="16"/>
        <v/>
      </c>
      <c r="AO115" s="74" t="str">
        <f t="shared" si="16"/>
        <v>F</v>
      </c>
      <c r="AP115" s="74" t="str">
        <f t="shared" ref="AP115:AP178" si="22">IF(OR(I115="Single",I115="Double"),AP$107,"")</f>
        <v>O</v>
      </c>
      <c r="AQ115" s="74" t="str">
        <f t="shared" si="17"/>
        <v/>
      </c>
      <c r="AR115" s="74" t="str">
        <f t="shared" si="17"/>
        <v>O</v>
      </c>
      <c r="AS115" s="74" t="s">
        <v>399</v>
      </c>
      <c r="AT115" s="70" t="s">
        <v>386</v>
      </c>
      <c r="AU115" s="70" t="str">
        <f t="shared" ref="AU115:AU178" si="23">IF(OR(S115="Electric FAF",S115="Heat Pump"),AU$107,"")</f>
        <v/>
      </c>
      <c r="AV115" s="74" t="str">
        <f t="shared" si="18"/>
        <v>O</v>
      </c>
      <c r="AW115" s="74" t="str">
        <f t="shared" si="18"/>
        <v/>
      </c>
      <c r="AX115" s="74" t="str">
        <f t="shared" si="18"/>
        <v>O</v>
      </c>
      <c r="AY115" s="74" t="str">
        <f t="shared" si="18"/>
        <v/>
      </c>
      <c r="AZ115" s="74" t="str">
        <f t="shared" ref="AZ115:AZ178" si="24">IF($E115="Electric Zonal","O",AZ$107)</f>
        <v>O</v>
      </c>
      <c r="BA115" s="74" t="str">
        <f t="shared" ref="BA115:BA178" si="25">IF(OR($E115="Electric Zonal",$E115="DHP"),"",BA$107)</f>
        <v/>
      </c>
      <c r="BB115" s="74" t="str">
        <f t="shared" si="19"/>
        <v/>
      </c>
    </row>
    <row r="116" spans="1:54">
      <c r="A116" s="70">
        <v>2003</v>
      </c>
      <c r="B116" s="124" t="s">
        <v>472</v>
      </c>
      <c r="C116" s="124">
        <v>1003</v>
      </c>
      <c r="D116" s="124" t="s">
        <v>473</v>
      </c>
      <c r="E116" s="124" t="s">
        <v>228</v>
      </c>
      <c r="F116" s="124" t="s">
        <v>329</v>
      </c>
      <c r="G116" s="124" t="s">
        <v>329</v>
      </c>
      <c r="H116" s="124" t="s">
        <v>329</v>
      </c>
      <c r="I116" s="124" t="s">
        <v>352</v>
      </c>
      <c r="J116" s="124">
        <v>18820.644999999997</v>
      </c>
      <c r="K116" s="124">
        <v>1.76552914729768E-2</v>
      </c>
      <c r="M116" s="70">
        <v>2003</v>
      </c>
      <c r="N116" s="155" t="str">
        <f t="shared" si="6"/>
        <v>R38</v>
      </c>
      <c r="O116" s="137" t="s">
        <v>334</v>
      </c>
      <c r="P116" s="130" t="str">
        <f t="shared" si="7"/>
        <v>R25</v>
      </c>
      <c r="Q116" s="130" t="str">
        <f t="shared" si="8"/>
        <v>Better</v>
      </c>
      <c r="R116" s="130" t="s">
        <v>378</v>
      </c>
      <c r="S116" s="130" t="str">
        <f t="shared" si="9"/>
        <v>Electric Zonal</v>
      </c>
      <c r="T116" s="130" t="str">
        <f t="shared" si="10"/>
        <v>Existing</v>
      </c>
      <c r="U116" s="156" t="str">
        <f t="shared" si="20"/>
        <v>PTCS</v>
      </c>
      <c r="V116" s="130" t="str">
        <f t="shared" si="21"/>
        <v>Electric ZonalR38R11R25Better</v>
      </c>
      <c r="W116" s="130">
        <f t="shared" si="11"/>
        <v>3029</v>
      </c>
      <c r="X116" s="130"/>
      <c r="Y116" s="130">
        <f t="shared" si="12"/>
        <v>4</v>
      </c>
      <c r="Z116" s="130"/>
      <c r="AA116" s="74" t="str">
        <f t="shared" si="13"/>
        <v>F</v>
      </c>
      <c r="AB116" s="74" t="str">
        <f t="shared" si="13"/>
        <v>O</v>
      </c>
      <c r="AC116" s="74" t="str">
        <f t="shared" si="13"/>
        <v/>
      </c>
      <c r="AD116" s="74" t="str">
        <f t="shared" si="13"/>
        <v/>
      </c>
      <c r="AE116" s="74" t="str">
        <f t="shared" si="13"/>
        <v/>
      </c>
      <c r="AF116" s="74" t="str">
        <f t="shared" si="13"/>
        <v/>
      </c>
      <c r="AG116" s="74" t="str">
        <f t="shared" si="13"/>
        <v/>
      </c>
      <c r="AH116" s="74" t="str">
        <f t="shared" si="13"/>
        <v/>
      </c>
      <c r="AI116" s="74" t="str">
        <f t="shared" si="13"/>
        <v/>
      </c>
      <c r="AJ116" s="74" t="str">
        <f t="shared" si="14"/>
        <v>F</v>
      </c>
      <c r="AK116" s="74" t="str">
        <f t="shared" si="15"/>
        <v>O</v>
      </c>
      <c r="AL116" s="74" t="str">
        <f t="shared" si="15"/>
        <v>F</v>
      </c>
      <c r="AM116" s="74" t="str">
        <f t="shared" si="15"/>
        <v>O</v>
      </c>
      <c r="AN116" s="74" t="str">
        <f t="shared" si="16"/>
        <v/>
      </c>
      <c r="AO116" s="74" t="str">
        <f t="shared" si="16"/>
        <v/>
      </c>
      <c r="AP116" s="74" t="str">
        <f t="shared" si="22"/>
        <v/>
      </c>
      <c r="AQ116" s="74" t="str">
        <f t="shared" si="17"/>
        <v/>
      </c>
      <c r="AR116" s="74" t="str">
        <f t="shared" si="17"/>
        <v/>
      </c>
      <c r="AS116" s="74" t="s">
        <v>399</v>
      </c>
      <c r="AT116" s="70" t="s">
        <v>386</v>
      </c>
      <c r="AU116" s="70" t="str">
        <f t="shared" si="23"/>
        <v/>
      </c>
      <c r="AV116" s="74" t="str">
        <f t="shared" si="18"/>
        <v>O</v>
      </c>
      <c r="AW116" s="74" t="str">
        <f t="shared" si="18"/>
        <v/>
      </c>
      <c r="AX116" s="74" t="str">
        <f t="shared" si="18"/>
        <v>O</v>
      </c>
      <c r="AY116" s="74" t="str">
        <f t="shared" si="18"/>
        <v/>
      </c>
      <c r="AZ116" s="74" t="str">
        <f t="shared" si="24"/>
        <v>O</v>
      </c>
      <c r="BA116" s="74" t="str">
        <f t="shared" si="25"/>
        <v/>
      </c>
      <c r="BB116" s="74" t="str">
        <f t="shared" si="19"/>
        <v/>
      </c>
    </row>
    <row r="117" spans="1:54">
      <c r="A117" s="70">
        <v>2004</v>
      </c>
      <c r="B117" s="124" t="s">
        <v>474</v>
      </c>
      <c r="C117" s="124">
        <v>1006</v>
      </c>
      <c r="D117" s="124" t="s">
        <v>475</v>
      </c>
      <c r="E117" s="124" t="s">
        <v>228</v>
      </c>
      <c r="F117" s="124" t="s">
        <v>329</v>
      </c>
      <c r="G117" s="124" t="s">
        <v>329</v>
      </c>
      <c r="H117" s="124" t="s">
        <v>335</v>
      </c>
      <c r="I117" s="124" t="s">
        <v>352</v>
      </c>
      <c r="J117" s="124">
        <v>1150.8789999999999</v>
      </c>
      <c r="K117" s="124">
        <v>1.0796178449318855E-3</v>
      </c>
      <c r="M117" s="70">
        <v>2004</v>
      </c>
      <c r="N117" s="155" t="str">
        <f t="shared" si="6"/>
        <v>R38</v>
      </c>
      <c r="O117" s="137" t="s">
        <v>334</v>
      </c>
      <c r="P117" s="130" t="str">
        <f t="shared" si="7"/>
        <v>R19</v>
      </c>
      <c r="Q117" s="130" t="str">
        <f t="shared" si="8"/>
        <v>Better</v>
      </c>
      <c r="R117" s="130" t="s">
        <v>378</v>
      </c>
      <c r="S117" s="130" t="str">
        <f t="shared" si="9"/>
        <v>Electric Zonal</v>
      </c>
      <c r="T117" s="130" t="str">
        <f t="shared" si="10"/>
        <v>Existing</v>
      </c>
      <c r="U117" s="156" t="str">
        <f t="shared" si="20"/>
        <v>PTCS</v>
      </c>
      <c r="V117" s="130" t="str">
        <f t="shared" si="21"/>
        <v>Electric ZonalR38R11R19Better</v>
      </c>
      <c r="W117" s="130">
        <f t="shared" si="11"/>
        <v>3022</v>
      </c>
      <c r="X117" s="130"/>
      <c r="Y117" s="130">
        <f t="shared" si="12"/>
        <v>3</v>
      </c>
      <c r="Z117" s="130"/>
      <c r="AA117" s="74" t="str">
        <f t="shared" si="13"/>
        <v>F</v>
      </c>
      <c r="AB117" s="74" t="str">
        <f t="shared" si="13"/>
        <v>O</v>
      </c>
      <c r="AC117" s="74" t="str">
        <f t="shared" si="13"/>
        <v/>
      </c>
      <c r="AD117" s="74" t="str">
        <f t="shared" si="13"/>
        <v/>
      </c>
      <c r="AE117" s="74" t="str">
        <f t="shared" si="13"/>
        <v/>
      </c>
      <c r="AF117" s="74" t="str">
        <f t="shared" si="13"/>
        <v/>
      </c>
      <c r="AG117" s="74" t="str">
        <f t="shared" si="13"/>
        <v/>
      </c>
      <c r="AH117" s="74" t="str">
        <f t="shared" si="13"/>
        <v/>
      </c>
      <c r="AI117" s="74" t="str">
        <f t="shared" si="13"/>
        <v/>
      </c>
      <c r="AJ117" s="74" t="str">
        <f t="shared" si="14"/>
        <v>F</v>
      </c>
      <c r="AK117" s="74" t="str">
        <f t="shared" si="15"/>
        <v/>
      </c>
      <c r="AL117" s="74" t="str">
        <f t="shared" si="15"/>
        <v/>
      </c>
      <c r="AM117" s="74" t="str">
        <f t="shared" si="15"/>
        <v/>
      </c>
      <c r="AN117" s="74" t="str">
        <f t="shared" si="16"/>
        <v/>
      </c>
      <c r="AO117" s="74" t="str">
        <f t="shared" si="16"/>
        <v/>
      </c>
      <c r="AP117" s="74" t="str">
        <f t="shared" si="22"/>
        <v/>
      </c>
      <c r="AQ117" s="74" t="str">
        <f t="shared" si="17"/>
        <v/>
      </c>
      <c r="AR117" s="74" t="str">
        <f t="shared" si="17"/>
        <v/>
      </c>
      <c r="AS117" s="74" t="s">
        <v>399</v>
      </c>
      <c r="AT117" s="70" t="s">
        <v>386</v>
      </c>
      <c r="AU117" s="70" t="str">
        <f t="shared" si="23"/>
        <v/>
      </c>
      <c r="AV117" s="74" t="str">
        <f t="shared" si="18"/>
        <v>O</v>
      </c>
      <c r="AW117" s="74" t="str">
        <f t="shared" si="18"/>
        <v/>
      </c>
      <c r="AX117" s="74" t="str">
        <f t="shared" si="18"/>
        <v>O</v>
      </c>
      <c r="AY117" s="74" t="str">
        <f t="shared" si="18"/>
        <v/>
      </c>
      <c r="AZ117" s="74" t="str">
        <f t="shared" si="24"/>
        <v>O</v>
      </c>
      <c r="BA117" s="74" t="str">
        <f t="shared" si="25"/>
        <v/>
      </c>
      <c r="BB117" s="74" t="str">
        <f t="shared" si="19"/>
        <v/>
      </c>
    </row>
    <row r="118" spans="1:54">
      <c r="A118" s="70">
        <v>2005</v>
      </c>
      <c r="B118" s="124" t="s">
        <v>476</v>
      </c>
      <c r="C118" s="124">
        <v>1011</v>
      </c>
      <c r="D118" s="124" t="s">
        <v>477</v>
      </c>
      <c r="E118" s="124" t="s">
        <v>228</v>
      </c>
      <c r="F118" s="124" t="s">
        <v>329</v>
      </c>
      <c r="G118" s="124" t="s">
        <v>334</v>
      </c>
      <c r="H118" s="124" t="s">
        <v>329</v>
      </c>
      <c r="I118" s="124" t="s">
        <v>339</v>
      </c>
      <c r="J118" s="124">
        <v>9040.2020000000011</v>
      </c>
      <c r="K118" s="124">
        <v>8.4804426885788375E-3</v>
      </c>
      <c r="M118" s="70">
        <v>2005</v>
      </c>
      <c r="N118" s="155" t="str">
        <f t="shared" si="6"/>
        <v>R38</v>
      </c>
      <c r="O118" s="137" t="s">
        <v>334</v>
      </c>
      <c r="P118" s="130" t="str">
        <f t="shared" si="7"/>
        <v>R25</v>
      </c>
      <c r="Q118" s="130" t="str">
        <f t="shared" si="8"/>
        <v>u30</v>
      </c>
      <c r="R118" s="130" t="s">
        <v>378</v>
      </c>
      <c r="S118" s="130" t="str">
        <f t="shared" si="9"/>
        <v>Electric Zonal</v>
      </c>
      <c r="T118" s="130" t="str">
        <f t="shared" si="10"/>
        <v>Existing</v>
      </c>
      <c r="U118" s="156" t="str">
        <f t="shared" si="20"/>
        <v>PTCS</v>
      </c>
      <c r="V118" s="130" t="str">
        <f t="shared" si="21"/>
        <v>Electric ZonalR38R11R25u30</v>
      </c>
      <c r="W118" s="130">
        <f t="shared" si="11"/>
        <v>3030</v>
      </c>
      <c r="X118" s="130"/>
      <c r="Y118" s="130">
        <f t="shared" si="12"/>
        <v>4</v>
      </c>
      <c r="Z118" s="130"/>
      <c r="AA118" s="74" t="str">
        <f t="shared" si="13"/>
        <v>F</v>
      </c>
      <c r="AB118" s="74" t="str">
        <f t="shared" si="13"/>
        <v>O</v>
      </c>
      <c r="AC118" s="74" t="str">
        <f t="shared" si="13"/>
        <v/>
      </c>
      <c r="AD118" s="74" t="str">
        <f t="shared" si="13"/>
        <v/>
      </c>
      <c r="AE118" s="74" t="str">
        <f t="shared" si="13"/>
        <v/>
      </c>
      <c r="AF118" s="74" t="str">
        <f t="shared" si="13"/>
        <v/>
      </c>
      <c r="AG118" s="74" t="str">
        <f t="shared" si="13"/>
        <v/>
      </c>
      <c r="AH118" s="74" t="str">
        <f t="shared" si="13"/>
        <v/>
      </c>
      <c r="AI118" s="74" t="str">
        <f t="shared" si="13"/>
        <v/>
      </c>
      <c r="AJ118" s="74" t="str">
        <f t="shared" si="14"/>
        <v/>
      </c>
      <c r="AK118" s="74" t="str">
        <f t="shared" si="15"/>
        <v>O</v>
      </c>
      <c r="AL118" s="74" t="str">
        <f t="shared" si="15"/>
        <v>F</v>
      </c>
      <c r="AM118" s="74" t="str">
        <f t="shared" si="15"/>
        <v>O</v>
      </c>
      <c r="AN118" s="74" t="str">
        <f t="shared" si="16"/>
        <v/>
      </c>
      <c r="AO118" s="74" t="str">
        <f t="shared" si="16"/>
        <v>F</v>
      </c>
      <c r="AP118" s="74" t="str">
        <f t="shared" si="22"/>
        <v>O</v>
      </c>
      <c r="AQ118" s="74" t="str">
        <f t="shared" si="17"/>
        <v/>
      </c>
      <c r="AR118" s="74" t="str">
        <f t="shared" si="17"/>
        <v>O</v>
      </c>
      <c r="AS118" s="74" t="s">
        <v>399</v>
      </c>
      <c r="AT118" s="70" t="s">
        <v>386</v>
      </c>
      <c r="AU118" s="70" t="str">
        <f t="shared" si="23"/>
        <v/>
      </c>
      <c r="AV118" s="74" t="str">
        <f t="shared" si="18"/>
        <v>O</v>
      </c>
      <c r="AW118" s="74" t="str">
        <f t="shared" si="18"/>
        <v/>
      </c>
      <c r="AX118" s="74" t="str">
        <f t="shared" si="18"/>
        <v>O</v>
      </c>
      <c r="AY118" s="74" t="str">
        <f t="shared" si="18"/>
        <v/>
      </c>
      <c r="AZ118" s="74" t="str">
        <f t="shared" si="24"/>
        <v>O</v>
      </c>
      <c r="BA118" s="74" t="str">
        <f t="shared" si="25"/>
        <v/>
      </c>
      <c r="BB118" s="74" t="str">
        <f t="shared" si="19"/>
        <v/>
      </c>
    </row>
    <row r="119" spans="1:54">
      <c r="A119" s="70">
        <v>2006</v>
      </c>
      <c r="B119" s="124" t="s">
        <v>478</v>
      </c>
      <c r="C119" s="124">
        <v>1012</v>
      </c>
      <c r="D119" s="124" t="s">
        <v>479</v>
      </c>
      <c r="E119" s="124" t="s">
        <v>228</v>
      </c>
      <c r="F119" s="124" t="s">
        <v>329</v>
      </c>
      <c r="G119" s="124" t="s">
        <v>334</v>
      </c>
      <c r="H119" s="124" t="s">
        <v>329</v>
      </c>
      <c r="I119" s="124" t="s">
        <v>352</v>
      </c>
      <c r="J119" s="124">
        <v>12713.037</v>
      </c>
      <c r="K119" s="124">
        <v>1.192585980670368E-2</v>
      </c>
      <c r="M119" s="70">
        <v>2006</v>
      </c>
      <c r="N119" s="155" t="str">
        <f t="shared" si="6"/>
        <v>R38</v>
      </c>
      <c r="O119" s="137" t="s">
        <v>334</v>
      </c>
      <c r="P119" s="130" t="str">
        <f t="shared" si="7"/>
        <v>R25</v>
      </c>
      <c r="Q119" s="130" t="str">
        <f t="shared" si="8"/>
        <v>Better</v>
      </c>
      <c r="R119" s="130" t="s">
        <v>378</v>
      </c>
      <c r="S119" s="130" t="str">
        <f t="shared" si="9"/>
        <v>Electric Zonal</v>
      </c>
      <c r="T119" s="130" t="str">
        <f t="shared" si="10"/>
        <v>Existing</v>
      </c>
      <c r="U119" s="156" t="str">
        <f t="shared" si="20"/>
        <v>PTCS</v>
      </c>
      <c r="V119" s="130" t="str">
        <f t="shared" si="21"/>
        <v>Electric ZonalR38R11R25Better</v>
      </c>
      <c r="W119" s="130">
        <f t="shared" si="11"/>
        <v>3029</v>
      </c>
      <c r="X119" s="130"/>
      <c r="Y119" s="130">
        <f t="shared" si="12"/>
        <v>3</v>
      </c>
      <c r="Z119" s="130"/>
      <c r="AA119" s="74" t="str">
        <f t="shared" si="13"/>
        <v>F</v>
      </c>
      <c r="AB119" s="74" t="str">
        <f t="shared" si="13"/>
        <v>O</v>
      </c>
      <c r="AC119" s="74" t="str">
        <f t="shared" si="13"/>
        <v/>
      </c>
      <c r="AD119" s="74" t="str">
        <f t="shared" si="13"/>
        <v/>
      </c>
      <c r="AE119" s="74" t="str">
        <f t="shared" si="13"/>
        <v/>
      </c>
      <c r="AF119" s="74" t="str">
        <f t="shared" si="13"/>
        <v/>
      </c>
      <c r="AG119" s="74" t="str">
        <f t="shared" si="13"/>
        <v/>
      </c>
      <c r="AH119" s="74" t="str">
        <f t="shared" si="13"/>
        <v/>
      </c>
      <c r="AI119" s="74" t="str">
        <f t="shared" si="13"/>
        <v/>
      </c>
      <c r="AJ119" s="74" t="str">
        <f t="shared" si="14"/>
        <v/>
      </c>
      <c r="AK119" s="74" t="str">
        <f t="shared" si="15"/>
        <v>O</v>
      </c>
      <c r="AL119" s="74" t="str">
        <f t="shared" si="15"/>
        <v>F</v>
      </c>
      <c r="AM119" s="74" t="str">
        <f t="shared" si="15"/>
        <v>O</v>
      </c>
      <c r="AN119" s="74" t="str">
        <f t="shared" si="16"/>
        <v/>
      </c>
      <c r="AO119" s="74" t="str">
        <f t="shared" si="16"/>
        <v/>
      </c>
      <c r="AP119" s="74" t="str">
        <f t="shared" si="22"/>
        <v/>
      </c>
      <c r="AQ119" s="74" t="str">
        <f t="shared" si="17"/>
        <v/>
      </c>
      <c r="AR119" s="74" t="str">
        <f t="shared" si="17"/>
        <v/>
      </c>
      <c r="AS119" s="74" t="s">
        <v>399</v>
      </c>
      <c r="AT119" s="70" t="s">
        <v>386</v>
      </c>
      <c r="AU119" s="70" t="str">
        <f t="shared" si="23"/>
        <v/>
      </c>
      <c r="AV119" s="74" t="str">
        <f t="shared" si="18"/>
        <v>O</v>
      </c>
      <c r="AW119" s="74" t="str">
        <f t="shared" si="18"/>
        <v/>
      </c>
      <c r="AX119" s="74" t="str">
        <f t="shared" si="18"/>
        <v>O</v>
      </c>
      <c r="AY119" s="74" t="str">
        <f t="shared" si="18"/>
        <v/>
      </c>
      <c r="AZ119" s="74" t="str">
        <f t="shared" si="24"/>
        <v>O</v>
      </c>
      <c r="BA119" s="74" t="str">
        <f t="shared" si="25"/>
        <v/>
      </c>
      <c r="BB119" s="74" t="str">
        <f t="shared" si="19"/>
        <v/>
      </c>
    </row>
    <row r="120" spans="1:54">
      <c r="A120" s="70">
        <v>2007</v>
      </c>
      <c r="B120" s="124" t="s">
        <v>480</v>
      </c>
      <c r="C120" s="124">
        <v>1017</v>
      </c>
      <c r="D120" s="124" t="s">
        <v>481</v>
      </c>
      <c r="E120" s="124" t="s">
        <v>228</v>
      </c>
      <c r="F120" s="124" t="s">
        <v>329</v>
      </c>
      <c r="G120" s="124" t="s">
        <v>334</v>
      </c>
      <c r="H120" s="124" t="s">
        <v>352</v>
      </c>
      <c r="I120" s="124" t="s">
        <v>339</v>
      </c>
      <c r="J120" s="124">
        <v>2003.7159999999999</v>
      </c>
      <c r="K120" s="124">
        <v>1.8796481209367257E-3</v>
      </c>
      <c r="M120" s="70">
        <v>2007</v>
      </c>
      <c r="N120" s="155" t="str">
        <f t="shared" si="6"/>
        <v>R38</v>
      </c>
      <c r="O120" s="137" t="s">
        <v>334</v>
      </c>
      <c r="P120" s="130" t="str">
        <f t="shared" si="7"/>
        <v>Better</v>
      </c>
      <c r="Q120" s="130" t="str">
        <f t="shared" si="8"/>
        <v>u30</v>
      </c>
      <c r="R120" s="130" t="s">
        <v>378</v>
      </c>
      <c r="S120" s="130" t="str">
        <f t="shared" si="9"/>
        <v>Electric Zonal</v>
      </c>
      <c r="T120" s="130" t="str">
        <f t="shared" si="10"/>
        <v>Existing</v>
      </c>
      <c r="U120" s="156" t="str">
        <f t="shared" si="20"/>
        <v>PTCS</v>
      </c>
      <c r="V120" s="130" t="str">
        <f t="shared" si="21"/>
        <v>Electric ZonalR38R11Betteru30</v>
      </c>
      <c r="W120" s="130">
        <f t="shared" si="11"/>
        <v>3016</v>
      </c>
      <c r="X120" s="130"/>
      <c r="Y120" s="130">
        <f t="shared" si="12"/>
        <v>3</v>
      </c>
      <c r="Z120" s="130"/>
      <c r="AA120" s="74" t="str">
        <f t="shared" si="13"/>
        <v>F</v>
      </c>
      <c r="AB120" s="74" t="str">
        <f t="shared" si="13"/>
        <v>O</v>
      </c>
      <c r="AC120" s="74" t="str">
        <f t="shared" si="13"/>
        <v/>
      </c>
      <c r="AD120" s="74" t="str">
        <f t="shared" si="13"/>
        <v/>
      </c>
      <c r="AE120" s="74" t="str">
        <f t="shared" si="13"/>
        <v/>
      </c>
      <c r="AF120" s="74" t="str">
        <f t="shared" si="13"/>
        <v/>
      </c>
      <c r="AG120" s="74" t="str">
        <f t="shared" si="13"/>
        <v/>
      </c>
      <c r="AH120" s="74" t="str">
        <f t="shared" si="13"/>
        <v/>
      </c>
      <c r="AI120" s="74" t="str">
        <f t="shared" si="13"/>
        <v/>
      </c>
      <c r="AJ120" s="74" t="str">
        <f t="shared" si="14"/>
        <v/>
      </c>
      <c r="AK120" s="74" t="str">
        <f t="shared" si="15"/>
        <v/>
      </c>
      <c r="AL120" s="74" t="str">
        <f t="shared" si="15"/>
        <v/>
      </c>
      <c r="AM120" s="74" t="str">
        <f t="shared" si="15"/>
        <v/>
      </c>
      <c r="AN120" s="74" t="str">
        <f t="shared" si="16"/>
        <v/>
      </c>
      <c r="AO120" s="74" t="str">
        <f t="shared" si="16"/>
        <v>F</v>
      </c>
      <c r="AP120" s="74" t="str">
        <f t="shared" si="22"/>
        <v>O</v>
      </c>
      <c r="AQ120" s="74" t="str">
        <f t="shared" si="17"/>
        <v/>
      </c>
      <c r="AR120" s="74" t="str">
        <f t="shared" si="17"/>
        <v>O</v>
      </c>
      <c r="AS120" s="74" t="s">
        <v>399</v>
      </c>
      <c r="AT120" s="70" t="s">
        <v>386</v>
      </c>
      <c r="AU120" s="70" t="str">
        <f t="shared" si="23"/>
        <v/>
      </c>
      <c r="AV120" s="74" t="str">
        <f t="shared" si="18"/>
        <v>O</v>
      </c>
      <c r="AW120" s="74" t="str">
        <f t="shared" si="18"/>
        <v/>
      </c>
      <c r="AX120" s="74" t="str">
        <f t="shared" si="18"/>
        <v>O</v>
      </c>
      <c r="AY120" s="74" t="str">
        <f t="shared" si="18"/>
        <v/>
      </c>
      <c r="AZ120" s="74" t="str">
        <f t="shared" si="24"/>
        <v>O</v>
      </c>
      <c r="BA120" s="74" t="str">
        <f t="shared" si="25"/>
        <v/>
      </c>
      <c r="BB120" s="74" t="str">
        <f t="shared" si="19"/>
        <v/>
      </c>
    </row>
    <row r="121" spans="1:54">
      <c r="A121" s="70">
        <v>2008</v>
      </c>
      <c r="B121" s="124" t="s">
        <v>482</v>
      </c>
      <c r="C121" s="124">
        <v>1019</v>
      </c>
      <c r="D121" s="124" t="s">
        <v>483</v>
      </c>
      <c r="E121" s="124" t="s">
        <v>228</v>
      </c>
      <c r="F121" s="124" t="s">
        <v>334</v>
      </c>
      <c r="G121" s="124" t="s">
        <v>329</v>
      </c>
      <c r="H121" s="124" t="s">
        <v>329</v>
      </c>
      <c r="I121" s="124" t="s">
        <v>355</v>
      </c>
      <c r="J121" s="124">
        <v>1150.8789999999999</v>
      </c>
      <c r="K121" s="124">
        <v>1.0796178449318855E-3</v>
      </c>
      <c r="M121" s="70">
        <v>2008</v>
      </c>
      <c r="N121" s="155" t="str">
        <f t="shared" si="6"/>
        <v>R38</v>
      </c>
      <c r="O121" s="137" t="s">
        <v>334</v>
      </c>
      <c r="P121" s="130" t="str">
        <f t="shared" si="7"/>
        <v>R25</v>
      </c>
      <c r="Q121" s="130" t="str">
        <f t="shared" si="8"/>
        <v>u30</v>
      </c>
      <c r="R121" s="130" t="s">
        <v>378</v>
      </c>
      <c r="S121" s="130" t="str">
        <f t="shared" si="9"/>
        <v>Electric Zonal</v>
      </c>
      <c r="T121" s="130" t="str">
        <f t="shared" si="10"/>
        <v>Existing</v>
      </c>
      <c r="U121" s="156" t="str">
        <f t="shared" si="20"/>
        <v>PTCS</v>
      </c>
      <c r="V121" s="130" t="str">
        <f t="shared" si="21"/>
        <v>Electric ZonalR38R11R25u30</v>
      </c>
      <c r="W121" s="130">
        <f t="shared" si="11"/>
        <v>3030</v>
      </c>
      <c r="X121" s="130"/>
      <c r="Y121" s="130">
        <f t="shared" si="12"/>
        <v>5</v>
      </c>
      <c r="Z121" s="130"/>
      <c r="AA121" s="74" t="str">
        <f t="shared" si="13"/>
        <v/>
      </c>
      <c r="AB121" s="74" t="str">
        <f t="shared" si="13"/>
        <v/>
      </c>
      <c r="AC121" s="74" t="str">
        <f t="shared" si="13"/>
        <v>F</v>
      </c>
      <c r="AD121" s="74" t="str">
        <f t="shared" si="13"/>
        <v>O</v>
      </c>
      <c r="AE121" s="74" t="str">
        <f t="shared" si="13"/>
        <v/>
      </c>
      <c r="AF121" s="74" t="str">
        <f t="shared" si="13"/>
        <v/>
      </c>
      <c r="AG121" s="74" t="str">
        <f t="shared" si="13"/>
        <v/>
      </c>
      <c r="AH121" s="74" t="str">
        <f t="shared" si="13"/>
        <v/>
      </c>
      <c r="AI121" s="74" t="str">
        <f t="shared" si="13"/>
        <v/>
      </c>
      <c r="AJ121" s="74" t="str">
        <f t="shared" si="14"/>
        <v>F</v>
      </c>
      <c r="AK121" s="74" t="str">
        <f t="shared" si="15"/>
        <v>O</v>
      </c>
      <c r="AL121" s="74" t="str">
        <f t="shared" si="15"/>
        <v>F</v>
      </c>
      <c r="AM121" s="74" t="str">
        <f t="shared" si="15"/>
        <v>O</v>
      </c>
      <c r="AN121" s="74" t="str">
        <f t="shared" si="16"/>
        <v>F</v>
      </c>
      <c r="AO121" s="74" t="str">
        <f t="shared" si="16"/>
        <v/>
      </c>
      <c r="AP121" s="74" t="str">
        <f t="shared" si="22"/>
        <v>O</v>
      </c>
      <c r="AQ121" s="74" t="str">
        <f t="shared" si="17"/>
        <v>O</v>
      </c>
      <c r="AR121" s="74" t="str">
        <f t="shared" si="17"/>
        <v/>
      </c>
      <c r="AS121" s="74" t="s">
        <v>399</v>
      </c>
      <c r="AT121" s="70" t="s">
        <v>386</v>
      </c>
      <c r="AU121" s="70" t="str">
        <f t="shared" si="23"/>
        <v/>
      </c>
      <c r="AV121" s="74" t="str">
        <f t="shared" si="18"/>
        <v>O</v>
      </c>
      <c r="AW121" s="74" t="str">
        <f t="shared" si="18"/>
        <v/>
      </c>
      <c r="AX121" s="74" t="str">
        <f t="shared" si="18"/>
        <v>O</v>
      </c>
      <c r="AY121" s="74" t="str">
        <f t="shared" si="18"/>
        <v/>
      </c>
      <c r="AZ121" s="74" t="str">
        <f t="shared" si="24"/>
        <v>O</v>
      </c>
      <c r="BA121" s="74" t="str">
        <f t="shared" si="25"/>
        <v/>
      </c>
      <c r="BB121" s="74" t="str">
        <f t="shared" si="19"/>
        <v/>
      </c>
    </row>
    <row r="122" spans="1:54">
      <c r="A122" s="70">
        <v>2009</v>
      </c>
      <c r="B122" s="124" t="s">
        <v>484</v>
      </c>
      <c r="C122" s="124">
        <v>1021</v>
      </c>
      <c r="D122" s="124" t="s">
        <v>485</v>
      </c>
      <c r="E122" s="124" t="s">
        <v>228</v>
      </c>
      <c r="F122" s="124" t="s">
        <v>334</v>
      </c>
      <c r="G122" s="124" t="s">
        <v>329</v>
      </c>
      <c r="H122" s="124" t="s">
        <v>329</v>
      </c>
      <c r="I122" s="124" t="s">
        <v>352</v>
      </c>
      <c r="J122" s="124">
        <v>7720.0640000000003</v>
      </c>
      <c r="K122" s="124">
        <v>7.2420461737647771E-3</v>
      </c>
      <c r="M122" s="70">
        <v>2009</v>
      </c>
      <c r="N122" s="155" t="str">
        <f t="shared" si="6"/>
        <v>R38</v>
      </c>
      <c r="O122" s="137" t="s">
        <v>334</v>
      </c>
      <c r="P122" s="130" t="str">
        <f t="shared" si="7"/>
        <v>R25</v>
      </c>
      <c r="Q122" s="130" t="str">
        <f t="shared" si="8"/>
        <v>Better</v>
      </c>
      <c r="R122" s="130" t="s">
        <v>378</v>
      </c>
      <c r="S122" s="130" t="str">
        <f t="shared" si="9"/>
        <v>Electric Zonal</v>
      </c>
      <c r="T122" s="130" t="str">
        <f t="shared" si="10"/>
        <v>Existing</v>
      </c>
      <c r="U122" s="156" t="str">
        <f t="shared" si="20"/>
        <v>PTCS</v>
      </c>
      <c r="V122" s="130" t="str">
        <f t="shared" si="21"/>
        <v>Electric ZonalR38R11R25Better</v>
      </c>
      <c r="W122" s="130">
        <f t="shared" si="11"/>
        <v>3029</v>
      </c>
      <c r="X122" s="130"/>
      <c r="Y122" s="130">
        <f t="shared" si="12"/>
        <v>4</v>
      </c>
      <c r="Z122" s="130"/>
      <c r="AA122" s="74" t="str">
        <f t="shared" si="13"/>
        <v/>
      </c>
      <c r="AB122" s="74" t="str">
        <f t="shared" si="13"/>
        <v/>
      </c>
      <c r="AC122" s="74" t="str">
        <f t="shared" si="13"/>
        <v>F</v>
      </c>
      <c r="AD122" s="74" t="str">
        <f t="shared" si="13"/>
        <v>O</v>
      </c>
      <c r="AE122" s="74" t="str">
        <f t="shared" si="13"/>
        <v/>
      </c>
      <c r="AF122" s="74" t="str">
        <f t="shared" si="13"/>
        <v/>
      </c>
      <c r="AG122" s="74" t="str">
        <f t="shared" si="13"/>
        <v/>
      </c>
      <c r="AH122" s="74" t="str">
        <f t="shared" si="13"/>
        <v/>
      </c>
      <c r="AI122" s="74" t="str">
        <f t="shared" si="13"/>
        <v/>
      </c>
      <c r="AJ122" s="74" t="str">
        <f t="shared" si="14"/>
        <v>F</v>
      </c>
      <c r="AK122" s="74" t="str">
        <f t="shared" si="15"/>
        <v>O</v>
      </c>
      <c r="AL122" s="74" t="str">
        <f t="shared" si="15"/>
        <v>F</v>
      </c>
      <c r="AM122" s="74" t="str">
        <f t="shared" si="15"/>
        <v>O</v>
      </c>
      <c r="AN122" s="74" t="str">
        <f t="shared" si="16"/>
        <v/>
      </c>
      <c r="AO122" s="74" t="str">
        <f t="shared" si="16"/>
        <v/>
      </c>
      <c r="AP122" s="74" t="str">
        <f t="shared" si="22"/>
        <v/>
      </c>
      <c r="AQ122" s="74" t="str">
        <f t="shared" si="17"/>
        <v/>
      </c>
      <c r="AR122" s="74" t="str">
        <f t="shared" si="17"/>
        <v/>
      </c>
      <c r="AS122" s="74" t="s">
        <v>399</v>
      </c>
      <c r="AT122" s="70" t="s">
        <v>386</v>
      </c>
      <c r="AU122" s="70" t="str">
        <f t="shared" si="23"/>
        <v/>
      </c>
      <c r="AV122" s="74" t="str">
        <f t="shared" si="18"/>
        <v>O</v>
      </c>
      <c r="AW122" s="74" t="str">
        <f t="shared" si="18"/>
        <v/>
      </c>
      <c r="AX122" s="74" t="str">
        <f t="shared" si="18"/>
        <v>O</v>
      </c>
      <c r="AY122" s="74" t="str">
        <f t="shared" si="18"/>
        <v/>
      </c>
      <c r="AZ122" s="74" t="str">
        <f t="shared" si="24"/>
        <v>O</v>
      </c>
      <c r="BA122" s="74" t="str">
        <f t="shared" si="25"/>
        <v/>
      </c>
      <c r="BB122" s="74" t="str">
        <f t="shared" si="19"/>
        <v/>
      </c>
    </row>
    <row r="123" spans="1:54">
      <c r="A123" s="70">
        <v>2010</v>
      </c>
      <c r="B123" s="124" t="s">
        <v>486</v>
      </c>
      <c r="C123" s="124">
        <v>1029</v>
      </c>
      <c r="D123" s="124" t="s">
        <v>487</v>
      </c>
      <c r="E123" s="124" t="s">
        <v>228</v>
      </c>
      <c r="F123" s="124" t="s">
        <v>334</v>
      </c>
      <c r="G123" s="124" t="s">
        <v>334</v>
      </c>
      <c r="H123" s="124" t="s">
        <v>329</v>
      </c>
      <c r="I123" s="124" t="s">
        <v>339</v>
      </c>
      <c r="J123" s="124">
        <v>6826.4519999999993</v>
      </c>
      <c r="K123" s="124">
        <v>6.4037656406720081E-3</v>
      </c>
      <c r="M123" s="70">
        <v>2010</v>
      </c>
      <c r="N123" s="155" t="str">
        <f t="shared" si="6"/>
        <v>R38</v>
      </c>
      <c r="O123" s="137" t="s">
        <v>334</v>
      </c>
      <c r="P123" s="130" t="str">
        <f t="shared" si="7"/>
        <v>R25</v>
      </c>
      <c r="Q123" s="130" t="str">
        <f t="shared" si="8"/>
        <v>u30</v>
      </c>
      <c r="R123" s="130" t="s">
        <v>378</v>
      </c>
      <c r="S123" s="130" t="str">
        <f t="shared" si="9"/>
        <v>Electric Zonal</v>
      </c>
      <c r="T123" s="130" t="str">
        <f t="shared" si="10"/>
        <v>Existing</v>
      </c>
      <c r="U123" s="156" t="str">
        <f t="shared" si="20"/>
        <v>PTCS</v>
      </c>
      <c r="V123" s="130" t="str">
        <f t="shared" si="21"/>
        <v>Electric ZonalR38R11R25u30</v>
      </c>
      <c r="W123" s="130">
        <f t="shared" si="11"/>
        <v>3030</v>
      </c>
      <c r="X123" s="130"/>
      <c r="Y123" s="130">
        <f t="shared" si="12"/>
        <v>4</v>
      </c>
      <c r="Z123" s="130"/>
      <c r="AA123" s="74" t="str">
        <f t="shared" si="13"/>
        <v/>
      </c>
      <c r="AB123" s="74" t="str">
        <f t="shared" si="13"/>
        <v/>
      </c>
      <c r="AC123" s="74" t="str">
        <f t="shared" si="13"/>
        <v>F</v>
      </c>
      <c r="AD123" s="74" t="str">
        <f t="shared" si="13"/>
        <v>O</v>
      </c>
      <c r="AE123" s="74" t="str">
        <f t="shared" si="13"/>
        <v/>
      </c>
      <c r="AF123" s="74" t="str">
        <f t="shared" si="13"/>
        <v/>
      </c>
      <c r="AG123" s="74" t="str">
        <f t="shared" si="13"/>
        <v/>
      </c>
      <c r="AH123" s="74" t="str">
        <f t="shared" si="13"/>
        <v/>
      </c>
      <c r="AI123" s="74" t="str">
        <f t="shared" si="13"/>
        <v/>
      </c>
      <c r="AJ123" s="74" t="str">
        <f t="shared" si="14"/>
        <v/>
      </c>
      <c r="AK123" s="74" t="str">
        <f t="shared" si="15"/>
        <v>O</v>
      </c>
      <c r="AL123" s="74" t="str">
        <f t="shared" si="15"/>
        <v>F</v>
      </c>
      <c r="AM123" s="74" t="str">
        <f t="shared" si="15"/>
        <v>O</v>
      </c>
      <c r="AN123" s="74" t="str">
        <f t="shared" si="16"/>
        <v/>
      </c>
      <c r="AO123" s="74" t="str">
        <f t="shared" si="16"/>
        <v>F</v>
      </c>
      <c r="AP123" s="74" t="str">
        <f t="shared" si="22"/>
        <v>O</v>
      </c>
      <c r="AQ123" s="74" t="str">
        <f t="shared" si="17"/>
        <v/>
      </c>
      <c r="AR123" s="74" t="str">
        <f t="shared" si="17"/>
        <v>O</v>
      </c>
      <c r="AS123" s="74" t="s">
        <v>399</v>
      </c>
      <c r="AT123" s="70" t="s">
        <v>386</v>
      </c>
      <c r="AU123" s="70" t="str">
        <f t="shared" si="23"/>
        <v/>
      </c>
      <c r="AV123" s="74" t="str">
        <f t="shared" si="18"/>
        <v>O</v>
      </c>
      <c r="AW123" s="74" t="str">
        <f t="shared" si="18"/>
        <v/>
      </c>
      <c r="AX123" s="74" t="str">
        <f t="shared" si="18"/>
        <v>O</v>
      </c>
      <c r="AY123" s="74" t="str">
        <f t="shared" si="18"/>
        <v/>
      </c>
      <c r="AZ123" s="74" t="str">
        <f t="shared" si="24"/>
        <v>O</v>
      </c>
      <c r="BA123" s="74" t="str">
        <f t="shared" si="25"/>
        <v/>
      </c>
      <c r="BB123" s="74" t="str">
        <f t="shared" si="19"/>
        <v/>
      </c>
    </row>
    <row r="124" spans="1:54">
      <c r="A124" s="70">
        <v>2011</v>
      </c>
      <c r="B124" s="124" t="s">
        <v>488</v>
      </c>
      <c r="C124" s="124">
        <v>1030</v>
      </c>
      <c r="D124" s="124" t="s">
        <v>489</v>
      </c>
      <c r="E124" s="124" t="s">
        <v>228</v>
      </c>
      <c r="F124" s="124" t="s">
        <v>334</v>
      </c>
      <c r="G124" s="124" t="s">
        <v>334</v>
      </c>
      <c r="H124" s="124" t="s">
        <v>329</v>
      </c>
      <c r="I124" s="124" t="s">
        <v>352</v>
      </c>
      <c r="J124" s="124">
        <v>11324.819</v>
      </c>
      <c r="K124" s="124">
        <v>1.0623598730208537E-2</v>
      </c>
      <c r="M124" s="70">
        <v>2011</v>
      </c>
      <c r="N124" s="155" t="str">
        <f t="shared" si="6"/>
        <v>R38</v>
      </c>
      <c r="O124" s="137" t="s">
        <v>334</v>
      </c>
      <c r="P124" s="130" t="str">
        <f t="shared" si="7"/>
        <v>R25</v>
      </c>
      <c r="Q124" s="130" t="str">
        <f t="shared" si="8"/>
        <v>Better</v>
      </c>
      <c r="R124" s="130" t="s">
        <v>378</v>
      </c>
      <c r="S124" s="130" t="str">
        <f t="shared" si="9"/>
        <v>Electric Zonal</v>
      </c>
      <c r="T124" s="130" t="str">
        <f t="shared" si="10"/>
        <v>Existing</v>
      </c>
      <c r="U124" s="156" t="str">
        <f t="shared" si="20"/>
        <v>PTCS</v>
      </c>
      <c r="V124" s="130" t="str">
        <f t="shared" si="21"/>
        <v>Electric ZonalR38R11R25Better</v>
      </c>
      <c r="W124" s="130">
        <f t="shared" si="11"/>
        <v>3029</v>
      </c>
      <c r="X124" s="130"/>
      <c r="Y124" s="130">
        <f t="shared" si="12"/>
        <v>3</v>
      </c>
      <c r="Z124" s="130"/>
      <c r="AA124" s="74" t="str">
        <f t="shared" si="13"/>
        <v/>
      </c>
      <c r="AB124" s="74" t="str">
        <f t="shared" si="13"/>
        <v/>
      </c>
      <c r="AC124" s="74" t="str">
        <f t="shared" si="13"/>
        <v>F</v>
      </c>
      <c r="AD124" s="74" t="str">
        <f t="shared" si="13"/>
        <v>O</v>
      </c>
      <c r="AE124" s="74" t="str">
        <f t="shared" si="13"/>
        <v/>
      </c>
      <c r="AF124" s="74" t="str">
        <f t="shared" si="13"/>
        <v/>
      </c>
      <c r="AG124" s="74" t="str">
        <f t="shared" si="13"/>
        <v/>
      </c>
      <c r="AH124" s="74" t="str">
        <f t="shared" si="13"/>
        <v/>
      </c>
      <c r="AI124" s="74" t="str">
        <f t="shared" si="13"/>
        <v/>
      </c>
      <c r="AJ124" s="74" t="str">
        <f t="shared" si="14"/>
        <v/>
      </c>
      <c r="AK124" s="74" t="str">
        <f t="shared" si="15"/>
        <v>O</v>
      </c>
      <c r="AL124" s="74" t="str">
        <f t="shared" si="15"/>
        <v>F</v>
      </c>
      <c r="AM124" s="74" t="str">
        <f t="shared" si="15"/>
        <v>O</v>
      </c>
      <c r="AN124" s="74" t="str">
        <f t="shared" si="16"/>
        <v/>
      </c>
      <c r="AO124" s="74" t="str">
        <f t="shared" si="16"/>
        <v/>
      </c>
      <c r="AP124" s="74" t="str">
        <f t="shared" si="22"/>
        <v/>
      </c>
      <c r="AQ124" s="74" t="str">
        <f t="shared" si="17"/>
        <v/>
      </c>
      <c r="AR124" s="74" t="str">
        <f t="shared" si="17"/>
        <v/>
      </c>
      <c r="AS124" s="74" t="s">
        <v>399</v>
      </c>
      <c r="AT124" s="70" t="s">
        <v>386</v>
      </c>
      <c r="AU124" s="70" t="str">
        <f t="shared" si="23"/>
        <v/>
      </c>
      <c r="AV124" s="74" t="str">
        <f t="shared" si="18"/>
        <v>O</v>
      </c>
      <c r="AW124" s="74" t="str">
        <f t="shared" si="18"/>
        <v/>
      </c>
      <c r="AX124" s="74" t="str">
        <f t="shared" si="18"/>
        <v>O</v>
      </c>
      <c r="AY124" s="74" t="str">
        <f t="shared" si="18"/>
        <v/>
      </c>
      <c r="AZ124" s="74" t="str">
        <f t="shared" si="24"/>
        <v>O</v>
      </c>
      <c r="BA124" s="74" t="str">
        <f t="shared" si="25"/>
        <v/>
      </c>
      <c r="BB124" s="74" t="str">
        <f t="shared" si="19"/>
        <v/>
      </c>
    </row>
    <row r="125" spans="1:54">
      <c r="A125" s="70">
        <v>2012</v>
      </c>
      <c r="B125" s="124" t="s">
        <v>490</v>
      </c>
      <c r="C125" s="124">
        <v>1033</v>
      </c>
      <c r="D125" s="124" t="s">
        <v>491</v>
      </c>
      <c r="E125" s="124" t="s">
        <v>228</v>
      </c>
      <c r="F125" s="124" t="s">
        <v>334</v>
      </c>
      <c r="G125" s="124" t="s">
        <v>334</v>
      </c>
      <c r="H125" s="124" t="s">
        <v>335</v>
      </c>
      <c r="I125" s="124" t="s">
        <v>352</v>
      </c>
      <c r="J125" s="124">
        <v>3230.8719999999998</v>
      </c>
      <c r="K125" s="124">
        <v>3.0308199783737225E-3</v>
      </c>
      <c r="M125" s="70">
        <v>2012</v>
      </c>
      <c r="N125" s="155" t="str">
        <f t="shared" si="6"/>
        <v>R38</v>
      </c>
      <c r="O125" s="137" t="s">
        <v>334</v>
      </c>
      <c r="P125" s="130" t="str">
        <f t="shared" si="7"/>
        <v>R19</v>
      </c>
      <c r="Q125" s="130" t="str">
        <f t="shared" si="8"/>
        <v>Better</v>
      </c>
      <c r="R125" s="130" t="s">
        <v>378</v>
      </c>
      <c r="S125" s="130" t="str">
        <f t="shared" si="9"/>
        <v>Electric Zonal</v>
      </c>
      <c r="T125" s="130" t="str">
        <f t="shared" si="10"/>
        <v>Existing</v>
      </c>
      <c r="U125" s="156" t="str">
        <f t="shared" si="20"/>
        <v>PTCS</v>
      </c>
      <c r="V125" s="130" t="str">
        <f t="shared" si="21"/>
        <v>Electric ZonalR38R11R19Better</v>
      </c>
      <c r="W125" s="130">
        <f t="shared" si="11"/>
        <v>3022</v>
      </c>
      <c r="X125" s="130"/>
      <c r="Y125" s="130">
        <f t="shared" si="12"/>
        <v>2</v>
      </c>
      <c r="Z125" s="130"/>
      <c r="AA125" s="74" t="str">
        <f t="shared" si="13"/>
        <v/>
      </c>
      <c r="AB125" s="74" t="str">
        <f t="shared" si="13"/>
        <v/>
      </c>
      <c r="AC125" s="74" t="str">
        <f t="shared" si="13"/>
        <v>F</v>
      </c>
      <c r="AD125" s="74" t="str">
        <f t="shared" si="13"/>
        <v>O</v>
      </c>
      <c r="AE125" s="74" t="str">
        <f t="shared" si="13"/>
        <v/>
      </c>
      <c r="AF125" s="74" t="str">
        <f t="shared" si="13"/>
        <v/>
      </c>
      <c r="AG125" s="74" t="str">
        <f t="shared" si="13"/>
        <v/>
      </c>
      <c r="AH125" s="74" t="str">
        <f t="shared" si="13"/>
        <v/>
      </c>
      <c r="AI125" s="74" t="str">
        <f t="shared" si="13"/>
        <v/>
      </c>
      <c r="AJ125" s="74" t="str">
        <f t="shared" si="14"/>
        <v/>
      </c>
      <c r="AK125" s="74" t="str">
        <f t="shared" si="15"/>
        <v/>
      </c>
      <c r="AL125" s="74" t="str">
        <f t="shared" si="15"/>
        <v/>
      </c>
      <c r="AM125" s="74" t="str">
        <f t="shared" si="15"/>
        <v/>
      </c>
      <c r="AN125" s="74" t="str">
        <f t="shared" si="16"/>
        <v/>
      </c>
      <c r="AO125" s="74" t="str">
        <f t="shared" si="16"/>
        <v/>
      </c>
      <c r="AP125" s="74" t="str">
        <f t="shared" si="22"/>
        <v/>
      </c>
      <c r="AQ125" s="74" t="str">
        <f t="shared" si="17"/>
        <v/>
      </c>
      <c r="AR125" s="74" t="str">
        <f t="shared" si="17"/>
        <v/>
      </c>
      <c r="AS125" s="74" t="s">
        <v>399</v>
      </c>
      <c r="AT125" s="70" t="s">
        <v>386</v>
      </c>
      <c r="AU125" s="70" t="str">
        <f t="shared" si="23"/>
        <v/>
      </c>
      <c r="AV125" s="74" t="str">
        <f t="shared" si="18"/>
        <v>O</v>
      </c>
      <c r="AW125" s="74" t="str">
        <f t="shared" si="18"/>
        <v/>
      </c>
      <c r="AX125" s="74" t="str">
        <f t="shared" si="18"/>
        <v>O</v>
      </c>
      <c r="AY125" s="74" t="str">
        <f t="shared" si="18"/>
        <v/>
      </c>
      <c r="AZ125" s="74" t="str">
        <f t="shared" si="24"/>
        <v>O</v>
      </c>
      <c r="BA125" s="74" t="str">
        <f t="shared" si="25"/>
        <v/>
      </c>
      <c r="BB125" s="74" t="str">
        <f t="shared" si="19"/>
        <v/>
      </c>
    </row>
    <row r="126" spans="1:54">
      <c r="A126" s="70">
        <v>2013</v>
      </c>
      <c r="B126" s="124" t="s">
        <v>492</v>
      </c>
      <c r="C126" s="124">
        <v>1035</v>
      </c>
      <c r="D126" s="124" t="s">
        <v>493</v>
      </c>
      <c r="E126" s="124" t="s">
        <v>228</v>
      </c>
      <c r="F126" s="124" t="s">
        <v>334</v>
      </c>
      <c r="G126" s="124" t="s">
        <v>334</v>
      </c>
      <c r="H126" s="124" t="s">
        <v>352</v>
      </c>
      <c r="I126" s="124" t="s">
        <v>339</v>
      </c>
      <c r="J126" s="124">
        <v>3785.7640000000001</v>
      </c>
      <c r="K126" s="124">
        <v>3.5513536793187776E-3</v>
      </c>
      <c r="M126" s="70">
        <v>2013</v>
      </c>
      <c r="N126" s="155" t="str">
        <f t="shared" si="6"/>
        <v>R38</v>
      </c>
      <c r="O126" s="137" t="s">
        <v>334</v>
      </c>
      <c r="P126" s="130" t="str">
        <f t="shared" si="7"/>
        <v>Better</v>
      </c>
      <c r="Q126" s="130" t="str">
        <f t="shared" si="8"/>
        <v>u30</v>
      </c>
      <c r="R126" s="130" t="s">
        <v>378</v>
      </c>
      <c r="S126" s="130" t="str">
        <f t="shared" si="9"/>
        <v>Electric Zonal</v>
      </c>
      <c r="T126" s="130" t="str">
        <f t="shared" si="10"/>
        <v>Existing</v>
      </c>
      <c r="U126" s="156" t="str">
        <f t="shared" si="20"/>
        <v>PTCS</v>
      </c>
      <c r="V126" s="130" t="str">
        <f t="shared" si="21"/>
        <v>Electric ZonalR38R11Betteru30</v>
      </c>
      <c r="W126" s="130">
        <f t="shared" si="11"/>
        <v>3016</v>
      </c>
      <c r="X126" s="130"/>
      <c r="Y126" s="130">
        <f t="shared" si="12"/>
        <v>3</v>
      </c>
      <c r="Z126" s="130"/>
      <c r="AA126" s="74" t="str">
        <f t="shared" si="13"/>
        <v/>
      </c>
      <c r="AB126" s="74" t="str">
        <f t="shared" si="13"/>
        <v/>
      </c>
      <c r="AC126" s="74" t="str">
        <f t="shared" si="13"/>
        <v>F</v>
      </c>
      <c r="AD126" s="74" t="str">
        <f t="shared" si="13"/>
        <v>O</v>
      </c>
      <c r="AE126" s="74" t="str">
        <f t="shared" si="13"/>
        <v/>
      </c>
      <c r="AF126" s="74" t="str">
        <f t="shared" si="13"/>
        <v/>
      </c>
      <c r="AG126" s="74" t="str">
        <f t="shared" si="13"/>
        <v/>
      </c>
      <c r="AH126" s="74" t="str">
        <f t="shared" si="13"/>
        <v/>
      </c>
      <c r="AI126" s="74" t="str">
        <f t="shared" si="13"/>
        <v/>
      </c>
      <c r="AJ126" s="74" t="str">
        <f t="shared" si="14"/>
        <v/>
      </c>
      <c r="AK126" s="74" t="str">
        <f t="shared" si="15"/>
        <v/>
      </c>
      <c r="AL126" s="74" t="str">
        <f t="shared" si="15"/>
        <v/>
      </c>
      <c r="AM126" s="74" t="str">
        <f t="shared" si="15"/>
        <v/>
      </c>
      <c r="AN126" s="74" t="str">
        <f t="shared" si="16"/>
        <v/>
      </c>
      <c r="AO126" s="74" t="str">
        <f t="shared" si="16"/>
        <v>F</v>
      </c>
      <c r="AP126" s="74" t="str">
        <f t="shared" si="22"/>
        <v>O</v>
      </c>
      <c r="AQ126" s="74" t="str">
        <f t="shared" si="17"/>
        <v/>
      </c>
      <c r="AR126" s="74" t="str">
        <f t="shared" si="17"/>
        <v>O</v>
      </c>
      <c r="AS126" s="74" t="s">
        <v>399</v>
      </c>
      <c r="AT126" s="70" t="s">
        <v>386</v>
      </c>
      <c r="AU126" s="70" t="str">
        <f t="shared" si="23"/>
        <v/>
      </c>
      <c r="AV126" s="74" t="str">
        <f t="shared" si="18"/>
        <v>O</v>
      </c>
      <c r="AW126" s="74" t="str">
        <f t="shared" si="18"/>
        <v/>
      </c>
      <c r="AX126" s="74" t="str">
        <f t="shared" si="18"/>
        <v>O</v>
      </c>
      <c r="AY126" s="74" t="str">
        <f t="shared" si="18"/>
        <v/>
      </c>
      <c r="AZ126" s="74" t="str">
        <f t="shared" si="24"/>
        <v>O</v>
      </c>
      <c r="BA126" s="74" t="str">
        <f t="shared" si="25"/>
        <v/>
      </c>
      <c r="BB126" s="74" t="str">
        <f t="shared" si="19"/>
        <v/>
      </c>
    </row>
    <row r="127" spans="1:54">
      <c r="A127" s="70">
        <v>2014</v>
      </c>
      <c r="B127" s="124" t="s">
        <v>494</v>
      </c>
      <c r="C127" s="124">
        <v>1036</v>
      </c>
      <c r="D127" s="124" t="s">
        <v>495</v>
      </c>
      <c r="E127" s="124" t="s">
        <v>228</v>
      </c>
      <c r="F127" s="124" t="s">
        <v>334</v>
      </c>
      <c r="G127" s="124" t="s">
        <v>334</v>
      </c>
      <c r="H127" s="124" t="s">
        <v>352</v>
      </c>
      <c r="I127" s="124" t="s">
        <v>352</v>
      </c>
      <c r="J127" s="124">
        <v>5576.6729999999998</v>
      </c>
      <c r="K127" s="124">
        <v>5.2313715743790906E-3</v>
      </c>
      <c r="M127" s="70">
        <v>2014</v>
      </c>
      <c r="N127" s="155" t="str">
        <f t="shared" si="6"/>
        <v>R38</v>
      </c>
      <c r="O127" s="137" t="s">
        <v>334</v>
      </c>
      <c r="P127" s="130" t="str">
        <f t="shared" si="7"/>
        <v>Better</v>
      </c>
      <c r="Q127" s="130" t="str">
        <f t="shared" si="8"/>
        <v>Better</v>
      </c>
      <c r="R127" s="130" t="s">
        <v>378</v>
      </c>
      <c r="S127" s="130" t="str">
        <f t="shared" si="9"/>
        <v>Electric Zonal</v>
      </c>
      <c r="T127" s="130" t="str">
        <f t="shared" si="10"/>
        <v>Existing</v>
      </c>
      <c r="U127" s="156" t="str">
        <f t="shared" si="20"/>
        <v>PTCS</v>
      </c>
      <c r="V127" s="130" t="str">
        <f t="shared" si="21"/>
        <v>Electric ZonalR38R11BetterBetter</v>
      </c>
      <c r="W127" s="130">
        <f t="shared" si="11"/>
        <v>3015</v>
      </c>
      <c r="X127" s="130"/>
      <c r="Y127" s="130">
        <f t="shared" si="12"/>
        <v>2</v>
      </c>
      <c r="Z127" s="130"/>
      <c r="AA127" s="74" t="str">
        <f t="shared" si="13"/>
        <v/>
      </c>
      <c r="AB127" s="74" t="str">
        <f t="shared" si="13"/>
        <v/>
      </c>
      <c r="AC127" s="74" t="str">
        <f t="shared" si="13"/>
        <v>F</v>
      </c>
      <c r="AD127" s="74" t="str">
        <f t="shared" si="13"/>
        <v>O</v>
      </c>
      <c r="AE127" s="74" t="str">
        <f t="shared" si="13"/>
        <v/>
      </c>
      <c r="AF127" s="74" t="str">
        <f t="shared" si="13"/>
        <v/>
      </c>
      <c r="AG127" s="74" t="str">
        <f t="shared" si="13"/>
        <v/>
      </c>
      <c r="AH127" s="74" t="str">
        <f t="shared" si="13"/>
        <v/>
      </c>
      <c r="AI127" s="74" t="str">
        <f t="shared" si="13"/>
        <v/>
      </c>
      <c r="AJ127" s="74" t="str">
        <f t="shared" si="14"/>
        <v/>
      </c>
      <c r="AK127" s="74" t="str">
        <f t="shared" si="15"/>
        <v/>
      </c>
      <c r="AL127" s="74" t="str">
        <f t="shared" si="15"/>
        <v/>
      </c>
      <c r="AM127" s="74" t="str">
        <f t="shared" si="15"/>
        <v/>
      </c>
      <c r="AN127" s="74" t="str">
        <f t="shared" si="16"/>
        <v/>
      </c>
      <c r="AO127" s="74" t="str">
        <f t="shared" si="16"/>
        <v/>
      </c>
      <c r="AP127" s="74" t="str">
        <f t="shared" si="22"/>
        <v/>
      </c>
      <c r="AQ127" s="74" t="str">
        <f t="shared" si="17"/>
        <v/>
      </c>
      <c r="AR127" s="74" t="str">
        <f t="shared" si="17"/>
        <v/>
      </c>
      <c r="AS127" s="74" t="s">
        <v>399</v>
      </c>
      <c r="AT127" s="70" t="s">
        <v>386</v>
      </c>
      <c r="AU127" s="70" t="str">
        <f t="shared" si="23"/>
        <v/>
      </c>
      <c r="AV127" s="74" t="str">
        <f t="shared" si="18"/>
        <v>O</v>
      </c>
      <c r="AW127" s="74" t="str">
        <f t="shared" si="18"/>
        <v/>
      </c>
      <c r="AX127" s="74" t="str">
        <f t="shared" si="18"/>
        <v>O</v>
      </c>
      <c r="AY127" s="74" t="str">
        <f t="shared" si="18"/>
        <v/>
      </c>
      <c r="AZ127" s="74" t="str">
        <f t="shared" si="24"/>
        <v>O</v>
      </c>
      <c r="BA127" s="74" t="str">
        <f t="shared" si="25"/>
        <v/>
      </c>
      <c r="BB127" s="74" t="str">
        <f t="shared" si="19"/>
        <v/>
      </c>
    </row>
    <row r="128" spans="1:54">
      <c r="A128" s="70">
        <v>2015</v>
      </c>
      <c r="B128" s="124" t="s">
        <v>496</v>
      </c>
      <c r="C128" s="124">
        <v>1038</v>
      </c>
      <c r="D128" s="124" t="s">
        <v>497</v>
      </c>
      <c r="E128" s="124" t="s">
        <v>228</v>
      </c>
      <c r="F128" s="124" t="s">
        <v>335</v>
      </c>
      <c r="G128" s="124" t="s">
        <v>329</v>
      </c>
      <c r="H128" s="124" t="s">
        <v>329</v>
      </c>
      <c r="I128" s="124" t="s">
        <v>339</v>
      </c>
      <c r="J128" s="124">
        <v>1524.7619999999999</v>
      </c>
      <c r="K128" s="124">
        <v>1.4303504230019244E-3</v>
      </c>
      <c r="M128" s="70">
        <v>2015</v>
      </c>
      <c r="N128" s="155" t="str">
        <f t="shared" si="6"/>
        <v>R38</v>
      </c>
      <c r="O128" s="137" t="s">
        <v>334</v>
      </c>
      <c r="P128" s="130" t="str">
        <f t="shared" si="7"/>
        <v>R25</v>
      </c>
      <c r="Q128" s="130" t="str">
        <f t="shared" si="8"/>
        <v>u30</v>
      </c>
      <c r="R128" s="130" t="s">
        <v>378</v>
      </c>
      <c r="S128" s="130" t="str">
        <f t="shared" si="9"/>
        <v>Electric Zonal</v>
      </c>
      <c r="T128" s="130" t="str">
        <f t="shared" si="10"/>
        <v>Existing</v>
      </c>
      <c r="U128" s="156" t="str">
        <f t="shared" si="20"/>
        <v>PTCS</v>
      </c>
      <c r="V128" s="130" t="str">
        <f t="shared" si="21"/>
        <v>Electric ZonalR38R11R25u30</v>
      </c>
      <c r="W128" s="130">
        <f t="shared" si="11"/>
        <v>3030</v>
      </c>
      <c r="X128" s="130"/>
      <c r="Y128" s="130">
        <f t="shared" si="12"/>
        <v>5</v>
      </c>
      <c r="Z128" s="130"/>
      <c r="AA128" s="74" t="str">
        <f t="shared" si="13"/>
        <v/>
      </c>
      <c r="AB128" s="74" t="str">
        <f t="shared" si="13"/>
        <v/>
      </c>
      <c r="AC128" s="74" t="str">
        <f t="shared" si="13"/>
        <v/>
      </c>
      <c r="AD128" s="74" t="str">
        <f t="shared" si="13"/>
        <v/>
      </c>
      <c r="AE128" s="74" t="str">
        <f t="shared" si="13"/>
        <v>F</v>
      </c>
      <c r="AF128" s="74" t="str">
        <f t="shared" si="13"/>
        <v>O</v>
      </c>
      <c r="AG128" s="74" t="str">
        <f t="shared" si="13"/>
        <v/>
      </c>
      <c r="AH128" s="74" t="str">
        <f t="shared" si="13"/>
        <v/>
      </c>
      <c r="AI128" s="74" t="str">
        <f t="shared" si="13"/>
        <v/>
      </c>
      <c r="AJ128" s="74" t="str">
        <f t="shared" si="14"/>
        <v>F</v>
      </c>
      <c r="AK128" s="74" t="str">
        <f t="shared" si="15"/>
        <v>O</v>
      </c>
      <c r="AL128" s="74" t="str">
        <f t="shared" si="15"/>
        <v>F</v>
      </c>
      <c r="AM128" s="74" t="str">
        <f t="shared" si="15"/>
        <v>O</v>
      </c>
      <c r="AN128" s="74" t="str">
        <f t="shared" si="16"/>
        <v/>
      </c>
      <c r="AO128" s="74" t="str">
        <f t="shared" si="16"/>
        <v>F</v>
      </c>
      <c r="AP128" s="74" t="str">
        <f t="shared" si="22"/>
        <v>O</v>
      </c>
      <c r="AQ128" s="74" t="str">
        <f t="shared" si="17"/>
        <v/>
      </c>
      <c r="AR128" s="74" t="str">
        <f t="shared" si="17"/>
        <v>O</v>
      </c>
      <c r="AS128" s="74" t="s">
        <v>399</v>
      </c>
      <c r="AT128" s="70" t="s">
        <v>386</v>
      </c>
      <c r="AU128" s="70" t="str">
        <f t="shared" si="23"/>
        <v/>
      </c>
      <c r="AV128" s="74" t="str">
        <f t="shared" si="18"/>
        <v>O</v>
      </c>
      <c r="AW128" s="74" t="str">
        <f t="shared" si="18"/>
        <v/>
      </c>
      <c r="AX128" s="74" t="str">
        <f t="shared" si="18"/>
        <v>O</v>
      </c>
      <c r="AY128" s="74" t="str">
        <f t="shared" si="18"/>
        <v/>
      </c>
      <c r="AZ128" s="74" t="str">
        <f t="shared" si="24"/>
        <v>O</v>
      </c>
      <c r="BA128" s="74" t="str">
        <f t="shared" si="25"/>
        <v/>
      </c>
      <c r="BB128" s="74" t="str">
        <f t="shared" si="19"/>
        <v/>
      </c>
    </row>
    <row r="129" spans="1:54">
      <c r="A129" s="70">
        <v>2016</v>
      </c>
      <c r="B129" s="124" t="s">
        <v>498</v>
      </c>
      <c r="C129" s="124">
        <v>1039</v>
      </c>
      <c r="D129" s="124" t="s">
        <v>499</v>
      </c>
      <c r="E129" s="124" t="s">
        <v>228</v>
      </c>
      <c r="F129" s="124" t="s">
        <v>335</v>
      </c>
      <c r="G129" s="124" t="s">
        <v>329</v>
      </c>
      <c r="H129" s="124" t="s">
        <v>329</v>
      </c>
      <c r="I129" s="124" t="s">
        <v>352</v>
      </c>
      <c r="J129" s="124">
        <v>1524.7619999999999</v>
      </c>
      <c r="K129" s="124">
        <v>1.4303504230019244E-3</v>
      </c>
      <c r="M129" s="70">
        <v>2016</v>
      </c>
      <c r="N129" s="155" t="str">
        <f t="shared" si="6"/>
        <v>R38</v>
      </c>
      <c r="O129" s="137" t="s">
        <v>334</v>
      </c>
      <c r="P129" s="130" t="str">
        <f t="shared" si="7"/>
        <v>R25</v>
      </c>
      <c r="Q129" s="130" t="str">
        <f t="shared" si="8"/>
        <v>Better</v>
      </c>
      <c r="R129" s="130" t="s">
        <v>378</v>
      </c>
      <c r="S129" s="130" t="str">
        <f t="shared" si="9"/>
        <v>Electric Zonal</v>
      </c>
      <c r="T129" s="130" t="str">
        <f t="shared" si="10"/>
        <v>Existing</v>
      </c>
      <c r="U129" s="156" t="str">
        <f t="shared" si="20"/>
        <v>PTCS</v>
      </c>
      <c r="V129" s="130" t="str">
        <f t="shared" si="21"/>
        <v>Electric ZonalR38R11R25Better</v>
      </c>
      <c r="W129" s="130">
        <f t="shared" si="11"/>
        <v>3029</v>
      </c>
      <c r="X129" s="130"/>
      <c r="Y129" s="130">
        <f t="shared" si="12"/>
        <v>4</v>
      </c>
      <c r="Z129" s="130"/>
      <c r="AA129" s="74" t="str">
        <f t="shared" si="13"/>
        <v/>
      </c>
      <c r="AB129" s="74" t="str">
        <f t="shared" si="13"/>
        <v/>
      </c>
      <c r="AC129" s="74" t="str">
        <f t="shared" si="13"/>
        <v/>
      </c>
      <c r="AD129" s="74" t="str">
        <f t="shared" si="13"/>
        <v/>
      </c>
      <c r="AE129" s="74" t="str">
        <f t="shared" si="13"/>
        <v>F</v>
      </c>
      <c r="AF129" s="74" t="str">
        <f t="shared" si="13"/>
        <v>O</v>
      </c>
      <c r="AG129" s="74" t="str">
        <f t="shared" si="13"/>
        <v/>
      </c>
      <c r="AH129" s="74" t="str">
        <f t="shared" si="13"/>
        <v/>
      </c>
      <c r="AI129" s="74" t="str">
        <f t="shared" si="13"/>
        <v/>
      </c>
      <c r="AJ129" s="74" t="str">
        <f t="shared" si="14"/>
        <v>F</v>
      </c>
      <c r="AK129" s="74" t="str">
        <f t="shared" si="15"/>
        <v>O</v>
      </c>
      <c r="AL129" s="74" t="str">
        <f t="shared" si="15"/>
        <v>F</v>
      </c>
      <c r="AM129" s="74" t="str">
        <f t="shared" si="15"/>
        <v>O</v>
      </c>
      <c r="AN129" s="74" t="str">
        <f t="shared" si="16"/>
        <v/>
      </c>
      <c r="AO129" s="74" t="str">
        <f t="shared" si="16"/>
        <v/>
      </c>
      <c r="AP129" s="74" t="str">
        <f t="shared" si="22"/>
        <v/>
      </c>
      <c r="AQ129" s="74" t="str">
        <f t="shared" si="17"/>
        <v/>
      </c>
      <c r="AR129" s="74" t="str">
        <f t="shared" si="17"/>
        <v/>
      </c>
      <c r="AS129" s="74" t="s">
        <v>399</v>
      </c>
      <c r="AT129" s="70" t="s">
        <v>386</v>
      </c>
      <c r="AU129" s="70" t="str">
        <f t="shared" si="23"/>
        <v/>
      </c>
      <c r="AV129" s="74" t="str">
        <f t="shared" si="18"/>
        <v>O</v>
      </c>
      <c r="AW129" s="74" t="str">
        <f t="shared" si="18"/>
        <v/>
      </c>
      <c r="AX129" s="74" t="str">
        <f t="shared" si="18"/>
        <v>O</v>
      </c>
      <c r="AY129" s="74" t="str">
        <f t="shared" si="18"/>
        <v/>
      </c>
      <c r="AZ129" s="74" t="str">
        <f t="shared" si="24"/>
        <v>O</v>
      </c>
      <c r="BA129" s="74" t="str">
        <f t="shared" si="25"/>
        <v/>
      </c>
      <c r="BB129" s="74" t="str">
        <f t="shared" si="19"/>
        <v/>
      </c>
    </row>
    <row r="130" spans="1:54">
      <c r="A130" s="70">
        <v>2017</v>
      </c>
      <c r="B130" s="124" t="s">
        <v>500</v>
      </c>
      <c r="C130" s="124">
        <v>1042</v>
      </c>
      <c r="D130" s="124" t="s">
        <v>501</v>
      </c>
      <c r="E130" s="124" t="s">
        <v>228</v>
      </c>
      <c r="F130" s="124" t="s">
        <v>335</v>
      </c>
      <c r="G130" s="124" t="s">
        <v>329</v>
      </c>
      <c r="H130" s="124" t="s">
        <v>335</v>
      </c>
      <c r="I130" s="124" t="s">
        <v>352</v>
      </c>
      <c r="J130" s="124">
        <v>2003.7159999999999</v>
      </c>
      <c r="K130" s="124">
        <v>1.8796481209367257E-3</v>
      </c>
      <c r="M130" s="70">
        <v>2017</v>
      </c>
      <c r="N130" s="155" t="str">
        <f t="shared" si="6"/>
        <v>R38</v>
      </c>
      <c r="O130" s="137" t="s">
        <v>334</v>
      </c>
      <c r="P130" s="130" t="str">
        <f t="shared" si="7"/>
        <v>R19</v>
      </c>
      <c r="Q130" s="130" t="str">
        <f t="shared" si="8"/>
        <v>Better</v>
      </c>
      <c r="R130" s="130" t="s">
        <v>378</v>
      </c>
      <c r="S130" s="130" t="str">
        <f t="shared" si="9"/>
        <v>Electric Zonal</v>
      </c>
      <c r="T130" s="130" t="str">
        <f t="shared" si="10"/>
        <v>Existing</v>
      </c>
      <c r="U130" s="156" t="str">
        <f t="shared" si="20"/>
        <v>PTCS</v>
      </c>
      <c r="V130" s="130" t="str">
        <f t="shared" si="21"/>
        <v>Electric ZonalR38R11R19Better</v>
      </c>
      <c r="W130" s="130">
        <f t="shared" si="11"/>
        <v>3022</v>
      </c>
      <c r="X130" s="130"/>
      <c r="Y130" s="130">
        <f t="shared" si="12"/>
        <v>3</v>
      </c>
      <c r="Z130" s="130"/>
      <c r="AA130" s="74" t="str">
        <f t="shared" ref="AA130:AI145" si="26">IF(AA$109=$F130,AA$107,"")</f>
        <v/>
      </c>
      <c r="AB130" s="74" t="str">
        <f t="shared" si="26"/>
        <v/>
      </c>
      <c r="AC130" s="74" t="str">
        <f t="shared" si="26"/>
        <v/>
      </c>
      <c r="AD130" s="74" t="str">
        <f t="shared" si="26"/>
        <v/>
      </c>
      <c r="AE130" s="74" t="str">
        <f t="shared" si="26"/>
        <v>F</v>
      </c>
      <c r="AF130" s="74" t="str">
        <f t="shared" si="26"/>
        <v>O</v>
      </c>
      <c r="AG130" s="74" t="str">
        <f t="shared" si="26"/>
        <v/>
      </c>
      <c r="AH130" s="74" t="str">
        <f t="shared" si="26"/>
        <v/>
      </c>
      <c r="AI130" s="74" t="str">
        <f t="shared" si="26"/>
        <v/>
      </c>
      <c r="AJ130" s="74" t="str">
        <f t="shared" si="14"/>
        <v>F</v>
      </c>
      <c r="AK130" s="74" t="str">
        <f t="shared" si="15"/>
        <v/>
      </c>
      <c r="AL130" s="74" t="str">
        <f t="shared" si="15"/>
        <v/>
      </c>
      <c r="AM130" s="74" t="str">
        <f t="shared" si="15"/>
        <v/>
      </c>
      <c r="AN130" s="74" t="str">
        <f t="shared" si="16"/>
        <v/>
      </c>
      <c r="AO130" s="74" t="str">
        <f t="shared" si="16"/>
        <v/>
      </c>
      <c r="AP130" s="74" t="str">
        <f t="shared" si="22"/>
        <v/>
      </c>
      <c r="AQ130" s="74" t="str">
        <f t="shared" si="17"/>
        <v/>
      </c>
      <c r="AR130" s="74" t="str">
        <f t="shared" si="17"/>
        <v/>
      </c>
      <c r="AS130" s="74" t="s">
        <v>399</v>
      </c>
      <c r="AT130" s="70" t="s">
        <v>386</v>
      </c>
      <c r="AU130" s="70" t="str">
        <f t="shared" si="23"/>
        <v/>
      </c>
      <c r="AV130" s="74" t="str">
        <f t="shared" si="18"/>
        <v>O</v>
      </c>
      <c r="AW130" s="74" t="str">
        <f t="shared" si="18"/>
        <v/>
      </c>
      <c r="AX130" s="74" t="str">
        <f t="shared" si="18"/>
        <v>O</v>
      </c>
      <c r="AY130" s="74" t="str">
        <f t="shared" si="18"/>
        <v/>
      </c>
      <c r="AZ130" s="74" t="str">
        <f t="shared" si="24"/>
        <v>O</v>
      </c>
      <c r="BA130" s="74" t="str">
        <f t="shared" si="25"/>
        <v/>
      </c>
      <c r="BB130" s="74" t="str">
        <f t="shared" si="19"/>
        <v/>
      </c>
    </row>
    <row r="131" spans="1:54">
      <c r="A131" s="70">
        <v>2018</v>
      </c>
      <c r="B131" s="124" t="s">
        <v>502</v>
      </c>
      <c r="C131" s="124">
        <v>1047</v>
      </c>
      <c r="D131" s="124" t="s">
        <v>503</v>
      </c>
      <c r="E131" s="124" t="s">
        <v>228</v>
      </c>
      <c r="F131" s="124" t="s">
        <v>335</v>
      </c>
      <c r="G131" s="124" t="s">
        <v>334</v>
      </c>
      <c r="H131" s="124" t="s">
        <v>329</v>
      </c>
      <c r="I131" s="124" t="s">
        <v>339</v>
      </c>
      <c r="J131" s="124">
        <v>3148.395</v>
      </c>
      <c r="K131" s="124">
        <v>2.9534498630128139E-3</v>
      </c>
      <c r="M131" s="70">
        <v>2018</v>
      </c>
      <c r="N131" s="155" t="str">
        <f t="shared" si="6"/>
        <v>R38</v>
      </c>
      <c r="O131" s="137" t="s">
        <v>334</v>
      </c>
      <c r="P131" s="130" t="str">
        <f t="shared" si="7"/>
        <v>R25</v>
      </c>
      <c r="Q131" s="130" t="str">
        <f t="shared" si="8"/>
        <v>u30</v>
      </c>
      <c r="R131" s="130" t="s">
        <v>378</v>
      </c>
      <c r="S131" s="130" t="str">
        <f t="shared" si="9"/>
        <v>Electric Zonal</v>
      </c>
      <c r="T131" s="130" t="str">
        <f t="shared" si="10"/>
        <v>Existing</v>
      </c>
      <c r="U131" s="156" t="str">
        <f t="shared" si="20"/>
        <v>PTCS</v>
      </c>
      <c r="V131" s="130" t="str">
        <f t="shared" si="21"/>
        <v>Electric ZonalR38R11R25u30</v>
      </c>
      <c r="W131" s="130">
        <f t="shared" si="11"/>
        <v>3030</v>
      </c>
      <c r="X131" s="130"/>
      <c r="Y131" s="130">
        <f t="shared" si="12"/>
        <v>4</v>
      </c>
      <c r="Z131" s="130"/>
      <c r="AA131" s="74" t="str">
        <f t="shared" si="26"/>
        <v/>
      </c>
      <c r="AB131" s="74" t="str">
        <f t="shared" si="26"/>
        <v/>
      </c>
      <c r="AC131" s="74" t="str">
        <f t="shared" si="26"/>
        <v/>
      </c>
      <c r="AD131" s="74" t="str">
        <f t="shared" si="26"/>
        <v/>
      </c>
      <c r="AE131" s="74" t="str">
        <f t="shared" si="26"/>
        <v>F</v>
      </c>
      <c r="AF131" s="74" t="str">
        <f t="shared" si="26"/>
        <v>O</v>
      </c>
      <c r="AG131" s="74" t="str">
        <f t="shared" si="26"/>
        <v/>
      </c>
      <c r="AH131" s="74" t="str">
        <f t="shared" si="26"/>
        <v/>
      </c>
      <c r="AI131" s="74" t="str">
        <f t="shared" si="26"/>
        <v/>
      </c>
      <c r="AJ131" s="74" t="str">
        <f t="shared" si="14"/>
        <v/>
      </c>
      <c r="AK131" s="74" t="str">
        <f t="shared" si="15"/>
        <v>O</v>
      </c>
      <c r="AL131" s="74" t="str">
        <f t="shared" si="15"/>
        <v>F</v>
      </c>
      <c r="AM131" s="74" t="str">
        <f t="shared" si="15"/>
        <v>O</v>
      </c>
      <c r="AN131" s="74" t="str">
        <f t="shared" si="16"/>
        <v/>
      </c>
      <c r="AO131" s="74" t="str">
        <f t="shared" si="16"/>
        <v>F</v>
      </c>
      <c r="AP131" s="74" t="str">
        <f t="shared" si="22"/>
        <v>O</v>
      </c>
      <c r="AQ131" s="74" t="str">
        <f t="shared" si="17"/>
        <v/>
      </c>
      <c r="AR131" s="74" t="str">
        <f t="shared" si="17"/>
        <v>O</v>
      </c>
      <c r="AS131" s="74" t="s">
        <v>399</v>
      </c>
      <c r="AT131" s="70" t="s">
        <v>386</v>
      </c>
      <c r="AU131" s="70" t="str">
        <f t="shared" si="23"/>
        <v/>
      </c>
      <c r="AV131" s="74" t="str">
        <f t="shared" si="18"/>
        <v>O</v>
      </c>
      <c r="AW131" s="74" t="str">
        <f t="shared" si="18"/>
        <v/>
      </c>
      <c r="AX131" s="74" t="str">
        <f t="shared" si="18"/>
        <v>O</v>
      </c>
      <c r="AY131" s="74" t="str">
        <f t="shared" si="18"/>
        <v/>
      </c>
      <c r="AZ131" s="74" t="str">
        <f t="shared" si="24"/>
        <v>O</v>
      </c>
      <c r="BA131" s="74" t="str">
        <f t="shared" si="25"/>
        <v/>
      </c>
      <c r="BB131" s="74" t="str">
        <f t="shared" si="19"/>
        <v/>
      </c>
    </row>
    <row r="132" spans="1:54">
      <c r="A132" s="70">
        <v>2019</v>
      </c>
      <c r="B132" s="124" t="s">
        <v>504</v>
      </c>
      <c r="C132" s="124">
        <v>1048</v>
      </c>
      <c r="D132" s="124" t="s">
        <v>505</v>
      </c>
      <c r="E132" s="124" t="s">
        <v>228</v>
      </c>
      <c r="F132" s="124" t="s">
        <v>335</v>
      </c>
      <c r="G132" s="124" t="s">
        <v>334</v>
      </c>
      <c r="H132" s="124" t="s">
        <v>329</v>
      </c>
      <c r="I132" s="124" t="s">
        <v>352</v>
      </c>
      <c r="J132" s="124">
        <v>10309.49</v>
      </c>
      <c r="K132" s="124">
        <v>9.6711377791642954E-3</v>
      </c>
      <c r="M132" s="70">
        <v>2019</v>
      </c>
      <c r="N132" s="155" t="str">
        <f t="shared" si="6"/>
        <v>R38</v>
      </c>
      <c r="O132" s="137" t="s">
        <v>334</v>
      </c>
      <c r="P132" s="130" t="str">
        <f t="shared" si="7"/>
        <v>R25</v>
      </c>
      <c r="Q132" s="130" t="str">
        <f t="shared" si="8"/>
        <v>Better</v>
      </c>
      <c r="R132" s="130" t="s">
        <v>378</v>
      </c>
      <c r="S132" s="130" t="str">
        <f t="shared" si="9"/>
        <v>Electric Zonal</v>
      </c>
      <c r="T132" s="130" t="str">
        <f t="shared" si="10"/>
        <v>Existing</v>
      </c>
      <c r="U132" s="156" t="str">
        <f t="shared" si="20"/>
        <v>PTCS</v>
      </c>
      <c r="V132" s="130" t="str">
        <f t="shared" si="21"/>
        <v>Electric ZonalR38R11R25Better</v>
      </c>
      <c r="W132" s="130">
        <f t="shared" si="11"/>
        <v>3029</v>
      </c>
      <c r="X132" s="130"/>
      <c r="Y132" s="130">
        <f t="shared" si="12"/>
        <v>3</v>
      </c>
      <c r="Z132" s="130"/>
      <c r="AA132" s="74" t="str">
        <f t="shared" si="26"/>
        <v/>
      </c>
      <c r="AB132" s="74" t="str">
        <f t="shared" si="26"/>
        <v/>
      </c>
      <c r="AC132" s="74" t="str">
        <f t="shared" si="26"/>
        <v/>
      </c>
      <c r="AD132" s="74" t="str">
        <f t="shared" si="26"/>
        <v/>
      </c>
      <c r="AE132" s="74" t="str">
        <f t="shared" si="26"/>
        <v>F</v>
      </c>
      <c r="AF132" s="74" t="str">
        <f t="shared" si="26"/>
        <v>O</v>
      </c>
      <c r="AG132" s="74" t="str">
        <f t="shared" si="26"/>
        <v/>
      </c>
      <c r="AH132" s="74" t="str">
        <f t="shared" si="26"/>
        <v/>
      </c>
      <c r="AI132" s="74" t="str">
        <f t="shared" si="26"/>
        <v/>
      </c>
      <c r="AJ132" s="74" t="str">
        <f t="shared" si="14"/>
        <v/>
      </c>
      <c r="AK132" s="74" t="str">
        <f t="shared" si="15"/>
        <v>O</v>
      </c>
      <c r="AL132" s="74" t="str">
        <f t="shared" si="15"/>
        <v>F</v>
      </c>
      <c r="AM132" s="74" t="str">
        <f t="shared" si="15"/>
        <v>O</v>
      </c>
      <c r="AN132" s="74" t="str">
        <f t="shared" si="16"/>
        <v/>
      </c>
      <c r="AO132" s="74" t="str">
        <f t="shared" si="16"/>
        <v/>
      </c>
      <c r="AP132" s="74" t="str">
        <f t="shared" si="22"/>
        <v/>
      </c>
      <c r="AQ132" s="74" t="str">
        <f t="shared" si="17"/>
        <v/>
      </c>
      <c r="AR132" s="74" t="str">
        <f t="shared" si="17"/>
        <v/>
      </c>
      <c r="AS132" s="74" t="s">
        <v>399</v>
      </c>
      <c r="AT132" s="70" t="s">
        <v>386</v>
      </c>
      <c r="AU132" s="70" t="str">
        <f t="shared" si="23"/>
        <v/>
      </c>
      <c r="AV132" s="74" t="str">
        <f t="shared" si="18"/>
        <v>O</v>
      </c>
      <c r="AW132" s="74" t="str">
        <f t="shared" si="18"/>
        <v/>
      </c>
      <c r="AX132" s="74" t="str">
        <f t="shared" si="18"/>
        <v>O</v>
      </c>
      <c r="AY132" s="74" t="str">
        <f t="shared" si="18"/>
        <v/>
      </c>
      <c r="AZ132" s="74" t="str">
        <f t="shared" si="24"/>
        <v>O</v>
      </c>
      <c r="BA132" s="74" t="str">
        <f t="shared" si="25"/>
        <v/>
      </c>
      <c r="BB132" s="74" t="str">
        <f t="shared" si="19"/>
        <v/>
      </c>
    </row>
    <row r="133" spans="1:54">
      <c r="A133" s="70">
        <v>2020</v>
      </c>
      <c r="B133" s="124" t="s">
        <v>506</v>
      </c>
      <c r="C133" s="124">
        <v>1050</v>
      </c>
      <c r="D133" s="124" t="s">
        <v>507</v>
      </c>
      <c r="E133" s="124" t="s">
        <v>228</v>
      </c>
      <c r="F133" s="124" t="s">
        <v>335</v>
      </c>
      <c r="G133" s="124" t="s">
        <v>334</v>
      </c>
      <c r="H133" s="124" t="s">
        <v>335</v>
      </c>
      <c r="I133" s="124" t="s">
        <v>339</v>
      </c>
      <c r="J133" s="124">
        <v>1524.7619999999999</v>
      </c>
      <c r="K133" s="124">
        <v>1.4303504230019244E-3</v>
      </c>
      <c r="M133" s="70">
        <v>2020</v>
      </c>
      <c r="N133" s="155" t="str">
        <f t="shared" si="6"/>
        <v>R38</v>
      </c>
      <c r="O133" s="137" t="s">
        <v>334</v>
      </c>
      <c r="P133" s="130" t="str">
        <f t="shared" si="7"/>
        <v>R19</v>
      </c>
      <c r="Q133" s="130" t="str">
        <f t="shared" si="8"/>
        <v>u30</v>
      </c>
      <c r="R133" s="130" t="s">
        <v>378</v>
      </c>
      <c r="S133" s="130" t="str">
        <f t="shared" si="9"/>
        <v>Electric Zonal</v>
      </c>
      <c r="T133" s="130" t="str">
        <f t="shared" si="10"/>
        <v>Existing</v>
      </c>
      <c r="U133" s="156" t="str">
        <f t="shared" si="20"/>
        <v>PTCS</v>
      </c>
      <c r="V133" s="130" t="str">
        <f t="shared" si="21"/>
        <v>Electric ZonalR38R11R19u30</v>
      </c>
      <c r="W133" s="130">
        <f t="shared" si="11"/>
        <v>3023</v>
      </c>
      <c r="X133" s="130"/>
      <c r="Y133" s="130">
        <f t="shared" si="12"/>
        <v>3</v>
      </c>
      <c r="Z133" s="130"/>
      <c r="AA133" s="74" t="str">
        <f t="shared" si="26"/>
        <v/>
      </c>
      <c r="AB133" s="74" t="str">
        <f t="shared" si="26"/>
        <v/>
      </c>
      <c r="AC133" s="74" t="str">
        <f t="shared" si="26"/>
        <v/>
      </c>
      <c r="AD133" s="74" t="str">
        <f t="shared" si="26"/>
        <v/>
      </c>
      <c r="AE133" s="74" t="str">
        <f t="shared" si="26"/>
        <v>F</v>
      </c>
      <c r="AF133" s="74" t="str">
        <f t="shared" si="26"/>
        <v>O</v>
      </c>
      <c r="AG133" s="74" t="str">
        <f t="shared" si="26"/>
        <v/>
      </c>
      <c r="AH133" s="74" t="str">
        <f t="shared" si="26"/>
        <v/>
      </c>
      <c r="AI133" s="74" t="str">
        <f t="shared" si="26"/>
        <v/>
      </c>
      <c r="AJ133" s="74" t="str">
        <f t="shared" si="14"/>
        <v/>
      </c>
      <c r="AK133" s="74" t="str">
        <f t="shared" si="15"/>
        <v/>
      </c>
      <c r="AL133" s="74" t="str">
        <f t="shared" si="15"/>
        <v/>
      </c>
      <c r="AM133" s="74" t="str">
        <f t="shared" si="15"/>
        <v/>
      </c>
      <c r="AN133" s="74" t="str">
        <f t="shared" si="16"/>
        <v/>
      </c>
      <c r="AO133" s="74" t="str">
        <f t="shared" si="16"/>
        <v>F</v>
      </c>
      <c r="AP133" s="74" t="str">
        <f t="shared" si="22"/>
        <v>O</v>
      </c>
      <c r="AQ133" s="74" t="str">
        <f t="shared" si="17"/>
        <v/>
      </c>
      <c r="AR133" s="74" t="str">
        <f t="shared" si="17"/>
        <v>O</v>
      </c>
      <c r="AS133" s="74" t="s">
        <v>399</v>
      </c>
      <c r="AT133" s="70" t="s">
        <v>386</v>
      </c>
      <c r="AU133" s="70" t="str">
        <f t="shared" si="23"/>
        <v/>
      </c>
      <c r="AV133" s="74" t="str">
        <f t="shared" si="18"/>
        <v>O</v>
      </c>
      <c r="AW133" s="74" t="str">
        <f t="shared" si="18"/>
        <v/>
      </c>
      <c r="AX133" s="74" t="str">
        <f t="shared" si="18"/>
        <v>O</v>
      </c>
      <c r="AY133" s="74" t="str">
        <f t="shared" si="18"/>
        <v/>
      </c>
      <c r="AZ133" s="74" t="str">
        <f t="shared" si="24"/>
        <v>O</v>
      </c>
      <c r="BA133" s="74" t="str">
        <f t="shared" si="25"/>
        <v/>
      </c>
      <c r="BB133" s="74" t="str">
        <f t="shared" si="19"/>
        <v/>
      </c>
    </row>
    <row r="134" spans="1:54">
      <c r="A134" s="70">
        <v>2021</v>
      </c>
      <c r="B134" s="124" t="s">
        <v>508</v>
      </c>
      <c r="C134" s="124">
        <v>1051</v>
      </c>
      <c r="D134" s="124" t="s">
        <v>509</v>
      </c>
      <c r="E134" s="124" t="s">
        <v>228</v>
      </c>
      <c r="F134" s="124" t="s">
        <v>335</v>
      </c>
      <c r="G134" s="124" t="s">
        <v>334</v>
      </c>
      <c r="H134" s="124" t="s">
        <v>335</v>
      </c>
      <c r="I134" s="124" t="s">
        <v>352</v>
      </c>
      <c r="J134" s="124">
        <v>16489.944</v>
      </c>
      <c r="K134" s="124">
        <v>1.5468904901668619E-2</v>
      </c>
      <c r="M134" s="70">
        <v>2021</v>
      </c>
      <c r="N134" s="155" t="str">
        <f t="shared" si="6"/>
        <v>R38</v>
      </c>
      <c r="O134" s="137" t="s">
        <v>334</v>
      </c>
      <c r="P134" s="130" t="str">
        <f t="shared" si="7"/>
        <v>R19</v>
      </c>
      <c r="Q134" s="130" t="str">
        <f t="shared" si="8"/>
        <v>Better</v>
      </c>
      <c r="R134" s="130" t="s">
        <v>378</v>
      </c>
      <c r="S134" s="130" t="str">
        <f t="shared" si="9"/>
        <v>Electric Zonal</v>
      </c>
      <c r="T134" s="130" t="str">
        <f t="shared" si="10"/>
        <v>Existing</v>
      </c>
      <c r="U134" s="156" t="str">
        <f t="shared" si="20"/>
        <v>PTCS</v>
      </c>
      <c r="V134" s="130" t="str">
        <f t="shared" si="21"/>
        <v>Electric ZonalR38R11R19Better</v>
      </c>
      <c r="W134" s="130">
        <f t="shared" si="11"/>
        <v>3022</v>
      </c>
      <c r="X134" s="130"/>
      <c r="Y134" s="130">
        <f t="shared" si="12"/>
        <v>2</v>
      </c>
      <c r="Z134" s="130"/>
      <c r="AA134" s="74" t="str">
        <f t="shared" si="26"/>
        <v/>
      </c>
      <c r="AB134" s="74" t="str">
        <f t="shared" si="26"/>
        <v/>
      </c>
      <c r="AC134" s="74" t="str">
        <f t="shared" si="26"/>
        <v/>
      </c>
      <c r="AD134" s="74" t="str">
        <f t="shared" si="26"/>
        <v/>
      </c>
      <c r="AE134" s="74" t="str">
        <f t="shared" si="26"/>
        <v>F</v>
      </c>
      <c r="AF134" s="74" t="str">
        <f t="shared" si="26"/>
        <v>O</v>
      </c>
      <c r="AG134" s="74" t="str">
        <f t="shared" si="26"/>
        <v/>
      </c>
      <c r="AH134" s="74" t="str">
        <f t="shared" si="26"/>
        <v/>
      </c>
      <c r="AI134" s="74" t="str">
        <f t="shared" si="26"/>
        <v/>
      </c>
      <c r="AJ134" s="74" t="str">
        <f t="shared" si="14"/>
        <v/>
      </c>
      <c r="AK134" s="74" t="str">
        <f t="shared" ref="AK134:AM153" si="27">IF(AK$109=$H134,AK$107,"")</f>
        <v/>
      </c>
      <c r="AL134" s="74" t="str">
        <f t="shared" si="27"/>
        <v/>
      </c>
      <c r="AM134" s="74" t="str">
        <f t="shared" si="27"/>
        <v/>
      </c>
      <c r="AN134" s="74" t="str">
        <f t="shared" ref="AN134:AO153" si="28">IF(AN$109=$I134,AN$107,"")</f>
        <v/>
      </c>
      <c r="AO134" s="74" t="str">
        <f t="shared" si="28"/>
        <v/>
      </c>
      <c r="AP134" s="74" t="str">
        <f t="shared" si="22"/>
        <v/>
      </c>
      <c r="AQ134" s="74" t="str">
        <f t="shared" ref="AQ134:AR153" si="29">IF(AQ$109=$I134,AQ$107,"")</f>
        <v/>
      </c>
      <c r="AR134" s="74" t="str">
        <f t="shared" si="29"/>
        <v/>
      </c>
      <c r="AS134" s="74" t="s">
        <v>399</v>
      </c>
      <c r="AT134" s="70" t="s">
        <v>386</v>
      </c>
      <c r="AU134" s="70" t="str">
        <f t="shared" si="23"/>
        <v/>
      </c>
      <c r="AV134" s="74" t="str">
        <f t="shared" ref="AV134:AY153" si="30">IF(AV$109=$E134,AV$107,"")</f>
        <v>O</v>
      </c>
      <c r="AW134" s="74" t="str">
        <f t="shared" si="30"/>
        <v/>
      </c>
      <c r="AX134" s="74" t="str">
        <f t="shared" si="30"/>
        <v>O</v>
      </c>
      <c r="AY134" s="74" t="str">
        <f t="shared" si="30"/>
        <v/>
      </c>
      <c r="AZ134" s="74" t="str">
        <f t="shared" si="24"/>
        <v>O</v>
      </c>
      <c r="BA134" s="74" t="str">
        <f t="shared" si="25"/>
        <v/>
      </c>
      <c r="BB134" s="74" t="str">
        <f t="shared" si="19"/>
        <v/>
      </c>
    </row>
    <row r="135" spans="1:54">
      <c r="A135" s="70">
        <v>2022</v>
      </c>
      <c r="B135" s="124" t="s">
        <v>510</v>
      </c>
      <c r="C135" s="124">
        <v>1053</v>
      </c>
      <c r="D135" s="124" t="s">
        <v>511</v>
      </c>
      <c r="E135" s="124" t="s">
        <v>228</v>
      </c>
      <c r="F135" s="124" t="s">
        <v>335</v>
      </c>
      <c r="G135" s="124" t="s">
        <v>334</v>
      </c>
      <c r="H135" s="124" t="s">
        <v>352</v>
      </c>
      <c r="I135" s="124" t="s">
        <v>339</v>
      </c>
      <c r="J135" s="124">
        <v>3616.4079999999999</v>
      </c>
      <c r="K135" s="124">
        <v>3.3924840155693434E-3</v>
      </c>
      <c r="M135" s="70">
        <v>2022</v>
      </c>
      <c r="N135" s="155" t="str">
        <f t="shared" si="6"/>
        <v>R38</v>
      </c>
      <c r="O135" s="137" t="s">
        <v>334</v>
      </c>
      <c r="P135" s="130" t="str">
        <f t="shared" si="7"/>
        <v>Better</v>
      </c>
      <c r="Q135" s="130" t="str">
        <f t="shared" si="8"/>
        <v>u30</v>
      </c>
      <c r="R135" s="130" t="s">
        <v>378</v>
      </c>
      <c r="S135" s="130" t="str">
        <f t="shared" si="9"/>
        <v>Electric Zonal</v>
      </c>
      <c r="T135" s="130" t="str">
        <f t="shared" si="10"/>
        <v>Existing</v>
      </c>
      <c r="U135" s="156" t="str">
        <f t="shared" si="20"/>
        <v>PTCS</v>
      </c>
      <c r="V135" s="130" t="str">
        <f t="shared" si="21"/>
        <v>Electric ZonalR38R11Betteru30</v>
      </c>
      <c r="W135" s="130">
        <f t="shared" si="11"/>
        <v>3016</v>
      </c>
      <c r="X135" s="130"/>
      <c r="Y135" s="130">
        <f t="shared" si="12"/>
        <v>3</v>
      </c>
      <c r="Z135" s="130"/>
      <c r="AA135" s="74" t="str">
        <f t="shared" si="26"/>
        <v/>
      </c>
      <c r="AB135" s="74" t="str">
        <f t="shared" si="26"/>
        <v/>
      </c>
      <c r="AC135" s="74" t="str">
        <f t="shared" si="26"/>
        <v/>
      </c>
      <c r="AD135" s="74" t="str">
        <f t="shared" si="26"/>
        <v/>
      </c>
      <c r="AE135" s="74" t="str">
        <f t="shared" si="26"/>
        <v>F</v>
      </c>
      <c r="AF135" s="74" t="str">
        <f t="shared" si="26"/>
        <v>O</v>
      </c>
      <c r="AG135" s="74" t="str">
        <f t="shared" si="26"/>
        <v/>
      </c>
      <c r="AH135" s="74" t="str">
        <f t="shared" si="26"/>
        <v/>
      </c>
      <c r="AI135" s="74" t="str">
        <f t="shared" si="26"/>
        <v/>
      </c>
      <c r="AJ135" s="74" t="str">
        <f t="shared" si="14"/>
        <v/>
      </c>
      <c r="AK135" s="74" t="str">
        <f t="shared" si="27"/>
        <v/>
      </c>
      <c r="AL135" s="74" t="str">
        <f t="shared" si="27"/>
        <v/>
      </c>
      <c r="AM135" s="74" t="str">
        <f t="shared" si="27"/>
        <v/>
      </c>
      <c r="AN135" s="74" t="str">
        <f t="shared" si="28"/>
        <v/>
      </c>
      <c r="AO135" s="74" t="str">
        <f t="shared" si="28"/>
        <v>F</v>
      </c>
      <c r="AP135" s="74" t="str">
        <f t="shared" si="22"/>
        <v>O</v>
      </c>
      <c r="AQ135" s="74" t="str">
        <f t="shared" si="29"/>
        <v/>
      </c>
      <c r="AR135" s="74" t="str">
        <f t="shared" si="29"/>
        <v>O</v>
      </c>
      <c r="AS135" s="74" t="s">
        <v>399</v>
      </c>
      <c r="AT135" s="70" t="s">
        <v>386</v>
      </c>
      <c r="AU135" s="70" t="str">
        <f t="shared" si="23"/>
        <v/>
      </c>
      <c r="AV135" s="74" t="str">
        <f t="shared" si="30"/>
        <v>O</v>
      </c>
      <c r="AW135" s="74" t="str">
        <f t="shared" si="30"/>
        <v/>
      </c>
      <c r="AX135" s="74" t="str">
        <f t="shared" si="30"/>
        <v>O</v>
      </c>
      <c r="AY135" s="74" t="str">
        <f t="shared" si="30"/>
        <v/>
      </c>
      <c r="AZ135" s="74" t="str">
        <f t="shared" si="24"/>
        <v>O</v>
      </c>
      <c r="BA135" s="74" t="str">
        <f t="shared" si="25"/>
        <v/>
      </c>
      <c r="BB135" s="74" t="str">
        <f t="shared" si="19"/>
        <v/>
      </c>
    </row>
    <row r="136" spans="1:54">
      <c r="A136" s="70">
        <v>2023</v>
      </c>
      <c r="B136" s="124" t="s">
        <v>512</v>
      </c>
      <c r="C136" s="124">
        <v>1054</v>
      </c>
      <c r="D136" s="124" t="s">
        <v>513</v>
      </c>
      <c r="E136" s="124" t="s">
        <v>228</v>
      </c>
      <c r="F136" s="124" t="s">
        <v>335</v>
      </c>
      <c r="G136" s="124" t="s">
        <v>334</v>
      </c>
      <c r="H136" s="124" t="s">
        <v>352</v>
      </c>
      <c r="I136" s="124" t="s">
        <v>352</v>
      </c>
      <c r="J136" s="124">
        <v>4956.4930000000004</v>
      </c>
      <c r="K136" s="124">
        <v>4.649592434200274E-3</v>
      </c>
      <c r="M136" s="70">
        <v>2023</v>
      </c>
      <c r="N136" s="155" t="str">
        <f t="shared" si="6"/>
        <v>R38</v>
      </c>
      <c r="O136" s="137" t="s">
        <v>334</v>
      </c>
      <c r="P136" s="130" t="str">
        <f t="shared" si="7"/>
        <v>Better</v>
      </c>
      <c r="Q136" s="130" t="str">
        <f t="shared" si="8"/>
        <v>Better</v>
      </c>
      <c r="R136" s="130" t="s">
        <v>378</v>
      </c>
      <c r="S136" s="130" t="str">
        <f t="shared" si="9"/>
        <v>Electric Zonal</v>
      </c>
      <c r="T136" s="130" t="str">
        <f t="shared" si="10"/>
        <v>Existing</v>
      </c>
      <c r="U136" s="156" t="str">
        <f t="shared" si="20"/>
        <v>PTCS</v>
      </c>
      <c r="V136" s="130" t="str">
        <f t="shared" si="21"/>
        <v>Electric ZonalR38R11BetterBetter</v>
      </c>
      <c r="W136" s="130">
        <f t="shared" si="11"/>
        <v>3015</v>
      </c>
      <c r="X136" s="130"/>
      <c r="Y136" s="130">
        <f t="shared" si="12"/>
        <v>2</v>
      </c>
      <c r="Z136" s="130"/>
      <c r="AA136" s="74" t="str">
        <f t="shared" si="26"/>
        <v/>
      </c>
      <c r="AB136" s="74" t="str">
        <f t="shared" si="26"/>
        <v/>
      </c>
      <c r="AC136" s="74" t="str">
        <f t="shared" si="26"/>
        <v/>
      </c>
      <c r="AD136" s="74" t="str">
        <f t="shared" si="26"/>
        <v/>
      </c>
      <c r="AE136" s="74" t="str">
        <f t="shared" si="26"/>
        <v>F</v>
      </c>
      <c r="AF136" s="74" t="str">
        <f t="shared" si="26"/>
        <v>O</v>
      </c>
      <c r="AG136" s="74" t="str">
        <f t="shared" si="26"/>
        <v/>
      </c>
      <c r="AH136" s="74" t="str">
        <f t="shared" si="26"/>
        <v/>
      </c>
      <c r="AI136" s="74" t="str">
        <f t="shared" si="26"/>
        <v/>
      </c>
      <c r="AJ136" s="74" t="str">
        <f t="shared" si="14"/>
        <v/>
      </c>
      <c r="AK136" s="74" t="str">
        <f t="shared" si="27"/>
        <v/>
      </c>
      <c r="AL136" s="74" t="str">
        <f t="shared" si="27"/>
        <v/>
      </c>
      <c r="AM136" s="74" t="str">
        <f t="shared" si="27"/>
        <v/>
      </c>
      <c r="AN136" s="74" t="str">
        <f t="shared" si="28"/>
        <v/>
      </c>
      <c r="AO136" s="74" t="str">
        <f t="shared" si="28"/>
        <v/>
      </c>
      <c r="AP136" s="74" t="str">
        <f t="shared" si="22"/>
        <v/>
      </c>
      <c r="AQ136" s="74" t="str">
        <f t="shared" si="29"/>
        <v/>
      </c>
      <c r="AR136" s="74" t="str">
        <f t="shared" si="29"/>
        <v/>
      </c>
      <c r="AS136" s="74" t="s">
        <v>399</v>
      </c>
      <c r="AT136" s="70" t="s">
        <v>386</v>
      </c>
      <c r="AU136" s="70" t="str">
        <f t="shared" si="23"/>
        <v/>
      </c>
      <c r="AV136" s="74" t="str">
        <f t="shared" si="30"/>
        <v>O</v>
      </c>
      <c r="AW136" s="74" t="str">
        <f t="shared" si="30"/>
        <v/>
      </c>
      <c r="AX136" s="74" t="str">
        <f t="shared" si="30"/>
        <v>O</v>
      </c>
      <c r="AY136" s="74" t="str">
        <f t="shared" si="30"/>
        <v/>
      </c>
      <c r="AZ136" s="74" t="str">
        <f t="shared" si="24"/>
        <v>O</v>
      </c>
      <c r="BA136" s="74" t="str">
        <f t="shared" si="25"/>
        <v/>
      </c>
      <c r="BB136" s="74" t="str">
        <f t="shared" si="19"/>
        <v/>
      </c>
    </row>
    <row r="137" spans="1:54">
      <c r="A137" s="70">
        <v>2024</v>
      </c>
      <c r="B137" s="124" t="s">
        <v>514</v>
      </c>
      <c r="C137" s="124">
        <v>1063</v>
      </c>
      <c r="D137" s="124" t="s">
        <v>515</v>
      </c>
      <c r="E137" s="124" t="s">
        <v>228</v>
      </c>
      <c r="F137" s="124" t="s">
        <v>336</v>
      </c>
      <c r="G137" s="124" t="s">
        <v>329</v>
      </c>
      <c r="H137" s="124" t="s">
        <v>352</v>
      </c>
      <c r="I137" s="124" t="s">
        <v>352</v>
      </c>
      <c r="J137" s="124">
        <v>3692.6849999999999</v>
      </c>
      <c r="K137" s="124">
        <v>3.4640380280744547E-3</v>
      </c>
      <c r="M137" s="70">
        <v>2024</v>
      </c>
      <c r="N137" s="155" t="str">
        <f t="shared" si="6"/>
        <v>R30</v>
      </c>
      <c r="O137" s="137" t="s">
        <v>334</v>
      </c>
      <c r="P137" s="130" t="str">
        <f t="shared" si="7"/>
        <v>Better</v>
      </c>
      <c r="Q137" s="130" t="str">
        <f t="shared" si="8"/>
        <v>Better</v>
      </c>
      <c r="R137" s="130" t="s">
        <v>378</v>
      </c>
      <c r="S137" s="130" t="str">
        <f t="shared" si="9"/>
        <v>Electric Zonal</v>
      </c>
      <c r="T137" s="130" t="str">
        <f t="shared" si="10"/>
        <v>Existing</v>
      </c>
      <c r="U137" s="156" t="str">
        <f t="shared" si="20"/>
        <v>PTCS</v>
      </c>
      <c r="V137" s="130" t="str">
        <f t="shared" si="21"/>
        <v>Electric ZonalR30R11BetterBetter</v>
      </c>
      <c r="W137" s="130">
        <f t="shared" si="11"/>
        <v>3013</v>
      </c>
      <c r="X137" s="130"/>
      <c r="Y137" s="130">
        <f t="shared" si="12"/>
        <v>2</v>
      </c>
      <c r="Z137" s="130"/>
      <c r="AA137" s="74" t="str">
        <f t="shared" si="26"/>
        <v/>
      </c>
      <c r="AB137" s="74" t="str">
        <f t="shared" si="26"/>
        <v/>
      </c>
      <c r="AC137" s="74" t="str">
        <f t="shared" si="26"/>
        <v/>
      </c>
      <c r="AD137" s="74" t="str">
        <f t="shared" si="26"/>
        <v/>
      </c>
      <c r="AE137" s="74" t="str">
        <f t="shared" si="26"/>
        <v/>
      </c>
      <c r="AF137" s="74" t="str">
        <f t="shared" si="26"/>
        <v/>
      </c>
      <c r="AG137" s="74" t="str">
        <f t="shared" si="26"/>
        <v>O</v>
      </c>
      <c r="AH137" s="74" t="str">
        <f t="shared" si="26"/>
        <v>O</v>
      </c>
      <c r="AI137" s="74" t="str">
        <f t="shared" si="26"/>
        <v/>
      </c>
      <c r="AJ137" s="74" t="str">
        <f t="shared" si="14"/>
        <v>F</v>
      </c>
      <c r="AK137" s="74" t="str">
        <f t="shared" si="27"/>
        <v/>
      </c>
      <c r="AL137" s="74" t="str">
        <f t="shared" si="27"/>
        <v/>
      </c>
      <c r="AM137" s="74" t="str">
        <f t="shared" si="27"/>
        <v/>
      </c>
      <c r="AN137" s="74" t="str">
        <f t="shared" si="28"/>
        <v/>
      </c>
      <c r="AO137" s="74" t="str">
        <f t="shared" si="28"/>
        <v/>
      </c>
      <c r="AP137" s="74" t="str">
        <f t="shared" si="22"/>
        <v/>
      </c>
      <c r="AQ137" s="74" t="str">
        <f t="shared" si="29"/>
        <v/>
      </c>
      <c r="AR137" s="74" t="str">
        <f t="shared" si="29"/>
        <v/>
      </c>
      <c r="AS137" s="74" t="s">
        <v>399</v>
      </c>
      <c r="AT137" s="70" t="s">
        <v>386</v>
      </c>
      <c r="AU137" s="70" t="str">
        <f t="shared" si="23"/>
        <v/>
      </c>
      <c r="AV137" s="74" t="str">
        <f t="shared" si="30"/>
        <v>O</v>
      </c>
      <c r="AW137" s="74" t="str">
        <f t="shared" si="30"/>
        <v/>
      </c>
      <c r="AX137" s="74" t="str">
        <f t="shared" si="30"/>
        <v>O</v>
      </c>
      <c r="AY137" s="74" t="str">
        <f t="shared" si="30"/>
        <v/>
      </c>
      <c r="AZ137" s="74" t="str">
        <f t="shared" si="24"/>
        <v>O</v>
      </c>
      <c r="BA137" s="74" t="str">
        <f t="shared" si="25"/>
        <v/>
      </c>
      <c r="BB137" s="74" t="str">
        <f t="shared" si="19"/>
        <v/>
      </c>
    </row>
    <row r="138" spans="1:54">
      <c r="A138" s="70">
        <v>2025</v>
      </c>
      <c r="B138" s="124" t="s">
        <v>516</v>
      </c>
      <c r="C138" s="124">
        <v>1065</v>
      </c>
      <c r="D138" s="124" t="s">
        <v>517</v>
      </c>
      <c r="E138" s="124" t="s">
        <v>228</v>
      </c>
      <c r="F138" s="124" t="s">
        <v>336</v>
      </c>
      <c r="G138" s="124" t="s">
        <v>334</v>
      </c>
      <c r="H138" s="124" t="s">
        <v>329</v>
      </c>
      <c r="I138" s="124" t="s">
        <v>339</v>
      </c>
      <c r="J138" s="124">
        <v>2079.9929999999999</v>
      </c>
      <c r="K138" s="124">
        <v>1.9512021334418368E-3</v>
      </c>
      <c r="M138" s="70">
        <v>2025</v>
      </c>
      <c r="N138" s="155" t="str">
        <f t="shared" si="6"/>
        <v>R30</v>
      </c>
      <c r="O138" s="137" t="s">
        <v>334</v>
      </c>
      <c r="P138" s="130" t="str">
        <f t="shared" si="7"/>
        <v>R25</v>
      </c>
      <c r="Q138" s="130" t="str">
        <f t="shared" si="8"/>
        <v>u30</v>
      </c>
      <c r="R138" s="130" t="s">
        <v>378</v>
      </c>
      <c r="S138" s="130" t="str">
        <f t="shared" si="9"/>
        <v>Electric Zonal</v>
      </c>
      <c r="T138" s="130" t="str">
        <f t="shared" si="10"/>
        <v>Existing</v>
      </c>
      <c r="U138" s="156" t="str">
        <f t="shared" si="20"/>
        <v>PTCS</v>
      </c>
      <c r="V138" s="130" t="str">
        <f t="shared" si="21"/>
        <v>Electric ZonalR30R11R25u30</v>
      </c>
      <c r="W138" s="130">
        <f t="shared" si="11"/>
        <v>3028</v>
      </c>
      <c r="X138" s="130"/>
      <c r="Y138" s="130">
        <f t="shared" si="12"/>
        <v>3</v>
      </c>
      <c r="Z138" s="130"/>
      <c r="AA138" s="74" t="str">
        <f t="shared" si="26"/>
        <v/>
      </c>
      <c r="AB138" s="74" t="str">
        <f t="shared" si="26"/>
        <v/>
      </c>
      <c r="AC138" s="74" t="str">
        <f t="shared" si="26"/>
        <v/>
      </c>
      <c r="AD138" s="74" t="str">
        <f t="shared" si="26"/>
        <v/>
      </c>
      <c r="AE138" s="74" t="str">
        <f t="shared" si="26"/>
        <v/>
      </c>
      <c r="AF138" s="74" t="str">
        <f t="shared" si="26"/>
        <v/>
      </c>
      <c r="AG138" s="74" t="str">
        <f t="shared" si="26"/>
        <v>O</v>
      </c>
      <c r="AH138" s="74" t="str">
        <f t="shared" si="26"/>
        <v>O</v>
      </c>
      <c r="AI138" s="74" t="str">
        <f t="shared" si="26"/>
        <v/>
      </c>
      <c r="AJ138" s="74" t="str">
        <f t="shared" si="14"/>
        <v/>
      </c>
      <c r="AK138" s="74" t="str">
        <f t="shared" si="27"/>
        <v>O</v>
      </c>
      <c r="AL138" s="74" t="str">
        <f t="shared" si="27"/>
        <v>F</v>
      </c>
      <c r="AM138" s="74" t="str">
        <f t="shared" si="27"/>
        <v>O</v>
      </c>
      <c r="AN138" s="74" t="str">
        <f t="shared" si="28"/>
        <v/>
      </c>
      <c r="AO138" s="74" t="str">
        <f t="shared" si="28"/>
        <v>F</v>
      </c>
      <c r="AP138" s="74" t="str">
        <f t="shared" si="22"/>
        <v>O</v>
      </c>
      <c r="AQ138" s="74" t="str">
        <f t="shared" si="29"/>
        <v/>
      </c>
      <c r="AR138" s="74" t="str">
        <f t="shared" si="29"/>
        <v>O</v>
      </c>
      <c r="AS138" s="74" t="s">
        <v>399</v>
      </c>
      <c r="AT138" s="70" t="s">
        <v>386</v>
      </c>
      <c r="AU138" s="70" t="str">
        <f t="shared" si="23"/>
        <v/>
      </c>
      <c r="AV138" s="74" t="str">
        <f t="shared" si="30"/>
        <v>O</v>
      </c>
      <c r="AW138" s="74" t="str">
        <f t="shared" si="30"/>
        <v/>
      </c>
      <c r="AX138" s="74" t="str">
        <f t="shared" si="30"/>
        <v>O</v>
      </c>
      <c r="AY138" s="74" t="str">
        <f t="shared" si="30"/>
        <v/>
      </c>
      <c r="AZ138" s="74" t="str">
        <f t="shared" si="24"/>
        <v>O</v>
      </c>
      <c r="BA138" s="74" t="str">
        <f t="shared" si="25"/>
        <v/>
      </c>
      <c r="BB138" s="74" t="str">
        <f t="shared" si="19"/>
        <v/>
      </c>
    </row>
    <row r="139" spans="1:54">
      <c r="A139" s="70">
        <v>2026</v>
      </c>
      <c r="B139" s="124" t="s">
        <v>518</v>
      </c>
      <c r="C139" s="124">
        <v>1066</v>
      </c>
      <c r="D139" s="124" t="s">
        <v>519</v>
      </c>
      <c r="E139" s="124" t="s">
        <v>228</v>
      </c>
      <c r="F139" s="124" t="s">
        <v>336</v>
      </c>
      <c r="G139" s="124" t="s">
        <v>334</v>
      </c>
      <c r="H139" s="124" t="s">
        <v>329</v>
      </c>
      <c r="I139" s="124" t="s">
        <v>352</v>
      </c>
      <c r="J139" s="124">
        <v>8085.4869999999992</v>
      </c>
      <c r="K139" s="124">
        <v>7.5848425856799686E-3</v>
      </c>
      <c r="M139" s="70">
        <v>2026</v>
      </c>
      <c r="N139" s="155" t="str">
        <f t="shared" si="6"/>
        <v>R30</v>
      </c>
      <c r="O139" s="137" t="s">
        <v>334</v>
      </c>
      <c r="P139" s="130" t="str">
        <f t="shared" si="7"/>
        <v>R25</v>
      </c>
      <c r="Q139" s="130" t="str">
        <f t="shared" si="8"/>
        <v>Better</v>
      </c>
      <c r="R139" s="130" t="s">
        <v>378</v>
      </c>
      <c r="S139" s="130" t="str">
        <f t="shared" si="9"/>
        <v>Electric Zonal</v>
      </c>
      <c r="T139" s="130" t="str">
        <f t="shared" si="10"/>
        <v>Existing</v>
      </c>
      <c r="U139" s="156" t="str">
        <f t="shared" si="20"/>
        <v>PTCS</v>
      </c>
      <c r="V139" s="130" t="str">
        <f t="shared" si="21"/>
        <v>Electric ZonalR30R11R25Better</v>
      </c>
      <c r="W139" s="130">
        <f t="shared" si="11"/>
        <v>3027</v>
      </c>
      <c r="X139" s="130"/>
      <c r="Y139" s="130">
        <f t="shared" si="12"/>
        <v>2</v>
      </c>
      <c r="Z139" s="130"/>
      <c r="AA139" s="74" t="str">
        <f t="shared" si="26"/>
        <v/>
      </c>
      <c r="AB139" s="74" t="str">
        <f t="shared" si="26"/>
        <v/>
      </c>
      <c r="AC139" s="74" t="str">
        <f t="shared" si="26"/>
        <v/>
      </c>
      <c r="AD139" s="74" t="str">
        <f t="shared" si="26"/>
        <v/>
      </c>
      <c r="AE139" s="74" t="str">
        <f t="shared" si="26"/>
        <v/>
      </c>
      <c r="AF139" s="74" t="str">
        <f t="shared" si="26"/>
        <v/>
      </c>
      <c r="AG139" s="74" t="str">
        <f t="shared" si="26"/>
        <v>O</v>
      </c>
      <c r="AH139" s="74" t="str">
        <f t="shared" si="26"/>
        <v>O</v>
      </c>
      <c r="AI139" s="74" t="str">
        <f t="shared" si="26"/>
        <v/>
      </c>
      <c r="AJ139" s="74" t="str">
        <f t="shared" si="14"/>
        <v/>
      </c>
      <c r="AK139" s="74" t="str">
        <f t="shared" si="27"/>
        <v>O</v>
      </c>
      <c r="AL139" s="74" t="str">
        <f t="shared" si="27"/>
        <v>F</v>
      </c>
      <c r="AM139" s="74" t="str">
        <f t="shared" si="27"/>
        <v>O</v>
      </c>
      <c r="AN139" s="74" t="str">
        <f t="shared" si="28"/>
        <v/>
      </c>
      <c r="AO139" s="74" t="str">
        <f t="shared" si="28"/>
        <v/>
      </c>
      <c r="AP139" s="74" t="str">
        <f t="shared" si="22"/>
        <v/>
      </c>
      <c r="AQ139" s="74" t="str">
        <f t="shared" si="29"/>
        <v/>
      </c>
      <c r="AR139" s="74" t="str">
        <f t="shared" si="29"/>
        <v/>
      </c>
      <c r="AS139" s="74" t="s">
        <v>399</v>
      </c>
      <c r="AT139" s="70" t="s">
        <v>386</v>
      </c>
      <c r="AU139" s="70" t="str">
        <f t="shared" si="23"/>
        <v/>
      </c>
      <c r="AV139" s="74" t="str">
        <f t="shared" si="30"/>
        <v>O</v>
      </c>
      <c r="AW139" s="74" t="str">
        <f t="shared" si="30"/>
        <v/>
      </c>
      <c r="AX139" s="74" t="str">
        <f t="shared" si="30"/>
        <v>O</v>
      </c>
      <c r="AY139" s="74" t="str">
        <f t="shared" si="30"/>
        <v/>
      </c>
      <c r="AZ139" s="74" t="str">
        <f t="shared" si="24"/>
        <v>O</v>
      </c>
      <c r="BA139" s="74" t="str">
        <f t="shared" si="25"/>
        <v/>
      </c>
      <c r="BB139" s="74" t="str">
        <f t="shared" si="19"/>
        <v/>
      </c>
    </row>
    <row r="140" spans="1:54">
      <c r="A140" s="70">
        <v>2027</v>
      </c>
      <c r="B140" s="124" t="s">
        <v>520</v>
      </c>
      <c r="C140" s="124">
        <v>1067</v>
      </c>
      <c r="D140" s="124" t="s">
        <v>521</v>
      </c>
      <c r="E140" s="124" t="s">
        <v>228</v>
      </c>
      <c r="F140" s="124" t="s">
        <v>336</v>
      </c>
      <c r="G140" s="124" t="s">
        <v>334</v>
      </c>
      <c r="H140" s="124" t="s">
        <v>335</v>
      </c>
      <c r="I140" s="124" t="s">
        <v>355</v>
      </c>
      <c r="J140" s="124">
        <v>1612.692</v>
      </c>
      <c r="K140" s="124">
        <v>1.5128358946326179E-3</v>
      </c>
      <c r="M140" s="70">
        <v>2027</v>
      </c>
      <c r="N140" s="155" t="str">
        <f t="shared" si="6"/>
        <v>R30</v>
      </c>
      <c r="O140" s="137" t="s">
        <v>334</v>
      </c>
      <c r="P140" s="130" t="str">
        <f t="shared" si="7"/>
        <v>R19</v>
      </c>
      <c r="Q140" s="130" t="str">
        <f t="shared" si="8"/>
        <v>u30</v>
      </c>
      <c r="R140" s="130" t="s">
        <v>378</v>
      </c>
      <c r="S140" s="130" t="str">
        <f t="shared" si="9"/>
        <v>Electric Zonal</v>
      </c>
      <c r="T140" s="130" t="str">
        <f t="shared" si="10"/>
        <v>Existing</v>
      </c>
      <c r="U140" s="156" t="str">
        <f t="shared" si="20"/>
        <v>PTCS</v>
      </c>
      <c r="V140" s="130" t="str">
        <f t="shared" si="21"/>
        <v>Electric ZonalR30R11R19u30</v>
      </c>
      <c r="W140" s="130">
        <f t="shared" si="11"/>
        <v>3021</v>
      </c>
      <c r="X140" s="130"/>
      <c r="Y140" s="130">
        <f t="shared" si="12"/>
        <v>2</v>
      </c>
      <c r="Z140" s="130"/>
      <c r="AA140" s="74" t="str">
        <f t="shared" si="26"/>
        <v/>
      </c>
      <c r="AB140" s="74" t="str">
        <f t="shared" si="26"/>
        <v/>
      </c>
      <c r="AC140" s="74" t="str">
        <f t="shared" si="26"/>
        <v/>
      </c>
      <c r="AD140" s="74" t="str">
        <f t="shared" si="26"/>
        <v/>
      </c>
      <c r="AE140" s="74" t="str">
        <f t="shared" si="26"/>
        <v/>
      </c>
      <c r="AF140" s="74" t="str">
        <f t="shared" si="26"/>
        <v/>
      </c>
      <c r="AG140" s="74" t="str">
        <f t="shared" si="26"/>
        <v>O</v>
      </c>
      <c r="AH140" s="74" t="str">
        <f t="shared" si="26"/>
        <v>O</v>
      </c>
      <c r="AI140" s="74" t="str">
        <f t="shared" si="26"/>
        <v/>
      </c>
      <c r="AJ140" s="74" t="str">
        <f t="shared" si="14"/>
        <v/>
      </c>
      <c r="AK140" s="74" t="str">
        <f t="shared" si="27"/>
        <v/>
      </c>
      <c r="AL140" s="74" t="str">
        <f t="shared" si="27"/>
        <v/>
      </c>
      <c r="AM140" s="74" t="str">
        <f t="shared" si="27"/>
        <v/>
      </c>
      <c r="AN140" s="74" t="str">
        <f t="shared" si="28"/>
        <v>F</v>
      </c>
      <c r="AO140" s="74" t="str">
        <f t="shared" si="28"/>
        <v/>
      </c>
      <c r="AP140" s="74" t="str">
        <f t="shared" si="22"/>
        <v>O</v>
      </c>
      <c r="AQ140" s="74" t="str">
        <f t="shared" si="29"/>
        <v>O</v>
      </c>
      <c r="AR140" s="74" t="str">
        <f t="shared" si="29"/>
        <v/>
      </c>
      <c r="AS140" s="74" t="s">
        <v>399</v>
      </c>
      <c r="AT140" s="70" t="s">
        <v>386</v>
      </c>
      <c r="AU140" s="70" t="str">
        <f t="shared" si="23"/>
        <v/>
      </c>
      <c r="AV140" s="74" t="str">
        <f t="shared" si="30"/>
        <v>O</v>
      </c>
      <c r="AW140" s="74" t="str">
        <f t="shared" si="30"/>
        <v/>
      </c>
      <c r="AX140" s="74" t="str">
        <f t="shared" si="30"/>
        <v>O</v>
      </c>
      <c r="AY140" s="74" t="str">
        <f t="shared" si="30"/>
        <v/>
      </c>
      <c r="AZ140" s="74" t="str">
        <f t="shared" si="24"/>
        <v>O</v>
      </c>
      <c r="BA140" s="74" t="str">
        <f t="shared" si="25"/>
        <v/>
      </c>
      <c r="BB140" s="74" t="str">
        <f t="shared" si="19"/>
        <v/>
      </c>
    </row>
    <row r="141" spans="1:54">
      <c r="A141" s="70">
        <v>2028</v>
      </c>
      <c r="B141" s="124" t="s">
        <v>522</v>
      </c>
      <c r="C141" s="124">
        <v>1069</v>
      </c>
      <c r="D141" s="124" t="s">
        <v>523</v>
      </c>
      <c r="E141" s="124" t="s">
        <v>228</v>
      </c>
      <c r="F141" s="124" t="s">
        <v>336</v>
      </c>
      <c r="G141" s="124" t="s">
        <v>334</v>
      </c>
      <c r="H141" s="124" t="s">
        <v>335</v>
      </c>
      <c r="I141" s="124" t="s">
        <v>352</v>
      </c>
      <c r="J141" s="124">
        <v>17356.04</v>
      </c>
      <c r="K141" s="124">
        <v>1.6281373195054915E-2</v>
      </c>
      <c r="M141" s="70">
        <v>2028</v>
      </c>
      <c r="N141" s="155" t="str">
        <f t="shared" si="6"/>
        <v>R30</v>
      </c>
      <c r="O141" s="137" t="s">
        <v>334</v>
      </c>
      <c r="P141" s="130" t="str">
        <f t="shared" si="7"/>
        <v>R19</v>
      </c>
      <c r="Q141" s="130" t="str">
        <f t="shared" si="8"/>
        <v>Better</v>
      </c>
      <c r="R141" s="130" t="s">
        <v>378</v>
      </c>
      <c r="S141" s="130" t="str">
        <f t="shared" si="9"/>
        <v>Electric Zonal</v>
      </c>
      <c r="T141" s="130" t="str">
        <f t="shared" si="10"/>
        <v>Existing</v>
      </c>
      <c r="U141" s="156" t="str">
        <f t="shared" si="20"/>
        <v>PTCS</v>
      </c>
      <c r="V141" s="130" t="str">
        <f t="shared" si="21"/>
        <v>Electric ZonalR30R11R19Better</v>
      </c>
      <c r="W141" s="130">
        <f t="shared" si="11"/>
        <v>3020</v>
      </c>
      <c r="X141" s="130"/>
      <c r="Y141" s="130">
        <f t="shared" si="12"/>
        <v>1</v>
      </c>
      <c r="Z141" s="130"/>
      <c r="AA141" s="74" t="str">
        <f t="shared" si="26"/>
        <v/>
      </c>
      <c r="AB141" s="74" t="str">
        <f t="shared" si="26"/>
        <v/>
      </c>
      <c r="AC141" s="74" t="str">
        <f t="shared" si="26"/>
        <v/>
      </c>
      <c r="AD141" s="74" t="str">
        <f t="shared" si="26"/>
        <v/>
      </c>
      <c r="AE141" s="74" t="str">
        <f t="shared" si="26"/>
        <v/>
      </c>
      <c r="AF141" s="74" t="str">
        <f t="shared" si="26"/>
        <v/>
      </c>
      <c r="AG141" s="74" t="str">
        <f t="shared" si="26"/>
        <v>O</v>
      </c>
      <c r="AH141" s="74" t="str">
        <f t="shared" si="26"/>
        <v>O</v>
      </c>
      <c r="AI141" s="74" t="str">
        <f t="shared" si="26"/>
        <v/>
      </c>
      <c r="AJ141" s="74" t="str">
        <f t="shared" si="14"/>
        <v/>
      </c>
      <c r="AK141" s="74" t="str">
        <f t="shared" si="27"/>
        <v/>
      </c>
      <c r="AL141" s="74" t="str">
        <f t="shared" si="27"/>
        <v/>
      </c>
      <c r="AM141" s="74" t="str">
        <f t="shared" si="27"/>
        <v/>
      </c>
      <c r="AN141" s="74" t="str">
        <f t="shared" si="28"/>
        <v/>
      </c>
      <c r="AO141" s="74" t="str">
        <f t="shared" si="28"/>
        <v/>
      </c>
      <c r="AP141" s="74" t="str">
        <f t="shared" si="22"/>
        <v/>
      </c>
      <c r="AQ141" s="74" t="str">
        <f t="shared" si="29"/>
        <v/>
      </c>
      <c r="AR141" s="74" t="str">
        <f t="shared" si="29"/>
        <v/>
      </c>
      <c r="AS141" s="74" t="s">
        <v>399</v>
      </c>
      <c r="AT141" s="70" t="s">
        <v>386</v>
      </c>
      <c r="AU141" s="70" t="str">
        <f t="shared" si="23"/>
        <v/>
      </c>
      <c r="AV141" s="74" t="str">
        <f t="shared" si="30"/>
        <v>O</v>
      </c>
      <c r="AW141" s="74" t="str">
        <f t="shared" si="30"/>
        <v/>
      </c>
      <c r="AX141" s="74" t="str">
        <f t="shared" si="30"/>
        <v>O</v>
      </c>
      <c r="AY141" s="74" t="str">
        <f t="shared" si="30"/>
        <v/>
      </c>
      <c r="AZ141" s="74" t="str">
        <f t="shared" si="24"/>
        <v>O</v>
      </c>
      <c r="BA141" s="74" t="str">
        <f t="shared" si="25"/>
        <v/>
      </c>
      <c r="BB141" s="74" t="str">
        <f t="shared" si="19"/>
        <v/>
      </c>
    </row>
    <row r="142" spans="1:54">
      <c r="A142" s="70">
        <v>2029</v>
      </c>
      <c r="B142" s="124" t="s">
        <v>524</v>
      </c>
      <c r="C142" s="124">
        <v>1070</v>
      </c>
      <c r="D142" s="124" t="s">
        <v>525</v>
      </c>
      <c r="E142" s="124" t="s">
        <v>228</v>
      </c>
      <c r="F142" s="124" t="s">
        <v>336</v>
      </c>
      <c r="G142" s="124" t="s">
        <v>334</v>
      </c>
      <c r="H142" s="124" t="s">
        <v>352</v>
      </c>
      <c r="I142" s="124" t="s">
        <v>355</v>
      </c>
      <c r="J142" s="124">
        <v>1524.7619999999999</v>
      </c>
      <c r="K142" s="124">
        <v>1.4303504230019244E-3</v>
      </c>
      <c r="M142" s="70">
        <v>2029</v>
      </c>
      <c r="N142" s="155" t="str">
        <f t="shared" si="6"/>
        <v>R30</v>
      </c>
      <c r="O142" s="137" t="s">
        <v>334</v>
      </c>
      <c r="P142" s="130" t="str">
        <f t="shared" si="7"/>
        <v>Better</v>
      </c>
      <c r="Q142" s="130" t="str">
        <f t="shared" si="8"/>
        <v>u30</v>
      </c>
      <c r="R142" s="130" t="s">
        <v>378</v>
      </c>
      <c r="S142" s="130" t="str">
        <f t="shared" si="9"/>
        <v>Electric Zonal</v>
      </c>
      <c r="T142" s="130" t="str">
        <f t="shared" si="10"/>
        <v>Existing</v>
      </c>
      <c r="U142" s="156" t="str">
        <f t="shared" si="20"/>
        <v>PTCS</v>
      </c>
      <c r="V142" s="130" t="str">
        <f t="shared" si="21"/>
        <v>Electric ZonalR30R11Betteru30</v>
      </c>
      <c r="W142" s="130">
        <f t="shared" si="11"/>
        <v>3014</v>
      </c>
      <c r="X142" s="130"/>
      <c r="Y142" s="130">
        <f t="shared" si="12"/>
        <v>2</v>
      </c>
      <c r="Z142" s="130"/>
      <c r="AA142" s="74" t="str">
        <f t="shared" si="26"/>
        <v/>
      </c>
      <c r="AB142" s="74" t="str">
        <f t="shared" si="26"/>
        <v/>
      </c>
      <c r="AC142" s="74" t="str">
        <f t="shared" si="26"/>
        <v/>
      </c>
      <c r="AD142" s="74" t="str">
        <f t="shared" si="26"/>
        <v/>
      </c>
      <c r="AE142" s="74" t="str">
        <f t="shared" si="26"/>
        <v/>
      </c>
      <c r="AF142" s="74" t="str">
        <f t="shared" si="26"/>
        <v/>
      </c>
      <c r="AG142" s="74" t="str">
        <f t="shared" si="26"/>
        <v>O</v>
      </c>
      <c r="AH142" s="74" t="str">
        <f t="shared" si="26"/>
        <v>O</v>
      </c>
      <c r="AI142" s="74" t="str">
        <f t="shared" si="26"/>
        <v/>
      </c>
      <c r="AJ142" s="74" t="str">
        <f t="shared" si="14"/>
        <v/>
      </c>
      <c r="AK142" s="74" t="str">
        <f t="shared" si="27"/>
        <v/>
      </c>
      <c r="AL142" s="74" t="str">
        <f t="shared" si="27"/>
        <v/>
      </c>
      <c r="AM142" s="74" t="str">
        <f t="shared" si="27"/>
        <v/>
      </c>
      <c r="AN142" s="74" t="str">
        <f t="shared" si="28"/>
        <v>F</v>
      </c>
      <c r="AO142" s="74" t="str">
        <f t="shared" si="28"/>
        <v/>
      </c>
      <c r="AP142" s="74" t="str">
        <f t="shared" si="22"/>
        <v>O</v>
      </c>
      <c r="AQ142" s="74" t="str">
        <f t="shared" si="29"/>
        <v>O</v>
      </c>
      <c r="AR142" s="74" t="str">
        <f t="shared" si="29"/>
        <v/>
      </c>
      <c r="AS142" s="74" t="s">
        <v>399</v>
      </c>
      <c r="AT142" s="70" t="s">
        <v>386</v>
      </c>
      <c r="AU142" s="70" t="str">
        <f t="shared" si="23"/>
        <v/>
      </c>
      <c r="AV142" s="74" t="str">
        <f t="shared" si="30"/>
        <v>O</v>
      </c>
      <c r="AW142" s="74" t="str">
        <f t="shared" si="30"/>
        <v/>
      </c>
      <c r="AX142" s="74" t="str">
        <f t="shared" si="30"/>
        <v>O</v>
      </c>
      <c r="AY142" s="74" t="str">
        <f t="shared" si="30"/>
        <v/>
      </c>
      <c r="AZ142" s="74" t="str">
        <f t="shared" si="24"/>
        <v>O</v>
      </c>
      <c r="BA142" s="74" t="str">
        <f t="shared" si="25"/>
        <v/>
      </c>
      <c r="BB142" s="74" t="str">
        <f t="shared" si="19"/>
        <v/>
      </c>
    </row>
    <row r="143" spans="1:54">
      <c r="A143" s="70">
        <v>2030</v>
      </c>
      <c r="B143" s="124" t="s">
        <v>526</v>
      </c>
      <c r="C143" s="124">
        <v>1071</v>
      </c>
      <c r="D143" s="124" t="s">
        <v>527</v>
      </c>
      <c r="E143" s="124" t="s">
        <v>228</v>
      </c>
      <c r="F143" s="124" t="s">
        <v>336</v>
      </c>
      <c r="G143" s="124" t="s">
        <v>334</v>
      </c>
      <c r="H143" s="124" t="s">
        <v>352</v>
      </c>
      <c r="I143" s="124" t="s">
        <v>339</v>
      </c>
      <c r="J143" s="124">
        <v>3692.6849999999999</v>
      </c>
      <c r="K143" s="124">
        <v>3.4640380280744547E-3</v>
      </c>
      <c r="M143" s="70">
        <v>2030</v>
      </c>
      <c r="N143" s="155" t="str">
        <f t="shared" si="6"/>
        <v>R30</v>
      </c>
      <c r="O143" s="137" t="s">
        <v>334</v>
      </c>
      <c r="P143" s="130" t="str">
        <f t="shared" si="7"/>
        <v>Better</v>
      </c>
      <c r="Q143" s="130" t="str">
        <f t="shared" si="8"/>
        <v>u30</v>
      </c>
      <c r="R143" s="130" t="s">
        <v>378</v>
      </c>
      <c r="S143" s="130" t="str">
        <f t="shared" si="9"/>
        <v>Electric Zonal</v>
      </c>
      <c r="T143" s="130" t="str">
        <f t="shared" si="10"/>
        <v>Existing</v>
      </c>
      <c r="U143" s="156" t="str">
        <f t="shared" si="20"/>
        <v>PTCS</v>
      </c>
      <c r="V143" s="130" t="str">
        <f t="shared" si="21"/>
        <v>Electric ZonalR30R11Betteru30</v>
      </c>
      <c r="W143" s="130">
        <f t="shared" si="11"/>
        <v>3014</v>
      </c>
      <c r="X143" s="130"/>
      <c r="Y143" s="130">
        <f t="shared" si="12"/>
        <v>2</v>
      </c>
      <c r="Z143" s="130"/>
      <c r="AA143" s="74" t="str">
        <f t="shared" si="26"/>
        <v/>
      </c>
      <c r="AB143" s="74" t="str">
        <f t="shared" si="26"/>
        <v/>
      </c>
      <c r="AC143" s="74" t="str">
        <f t="shared" si="26"/>
        <v/>
      </c>
      <c r="AD143" s="74" t="str">
        <f t="shared" si="26"/>
        <v/>
      </c>
      <c r="AE143" s="74" t="str">
        <f t="shared" si="26"/>
        <v/>
      </c>
      <c r="AF143" s="74" t="str">
        <f t="shared" si="26"/>
        <v/>
      </c>
      <c r="AG143" s="74" t="str">
        <f t="shared" si="26"/>
        <v>O</v>
      </c>
      <c r="AH143" s="74" t="str">
        <f t="shared" si="26"/>
        <v>O</v>
      </c>
      <c r="AI143" s="74" t="str">
        <f t="shared" si="26"/>
        <v/>
      </c>
      <c r="AJ143" s="74" t="str">
        <f t="shared" si="14"/>
        <v/>
      </c>
      <c r="AK143" s="74" t="str">
        <f t="shared" si="27"/>
        <v/>
      </c>
      <c r="AL143" s="74" t="str">
        <f t="shared" si="27"/>
        <v/>
      </c>
      <c r="AM143" s="74" t="str">
        <f t="shared" si="27"/>
        <v/>
      </c>
      <c r="AN143" s="74" t="str">
        <f t="shared" si="28"/>
        <v/>
      </c>
      <c r="AO143" s="74" t="str">
        <f t="shared" si="28"/>
        <v>F</v>
      </c>
      <c r="AP143" s="74" t="str">
        <f t="shared" si="22"/>
        <v>O</v>
      </c>
      <c r="AQ143" s="74" t="str">
        <f t="shared" si="29"/>
        <v/>
      </c>
      <c r="AR143" s="74" t="str">
        <f t="shared" si="29"/>
        <v>O</v>
      </c>
      <c r="AS143" s="74" t="s">
        <v>399</v>
      </c>
      <c r="AT143" s="70" t="s">
        <v>386</v>
      </c>
      <c r="AU143" s="70" t="str">
        <f t="shared" si="23"/>
        <v/>
      </c>
      <c r="AV143" s="74" t="str">
        <f t="shared" si="30"/>
        <v>O</v>
      </c>
      <c r="AW143" s="74" t="str">
        <f t="shared" si="30"/>
        <v/>
      </c>
      <c r="AX143" s="74" t="str">
        <f t="shared" si="30"/>
        <v>O</v>
      </c>
      <c r="AY143" s="74" t="str">
        <f t="shared" si="30"/>
        <v/>
      </c>
      <c r="AZ143" s="74" t="str">
        <f t="shared" si="24"/>
        <v>O</v>
      </c>
      <c r="BA143" s="74" t="str">
        <f t="shared" si="25"/>
        <v/>
      </c>
      <c r="BB143" s="74" t="str">
        <f t="shared" si="19"/>
        <v/>
      </c>
    </row>
    <row r="144" spans="1:54">
      <c r="A144" s="70">
        <v>2031</v>
      </c>
      <c r="B144" s="124" t="s">
        <v>528</v>
      </c>
      <c r="C144" s="124">
        <v>1072</v>
      </c>
      <c r="D144" s="124" t="s">
        <v>529</v>
      </c>
      <c r="E144" s="124" t="s">
        <v>228</v>
      </c>
      <c r="F144" s="124" t="s">
        <v>336</v>
      </c>
      <c r="G144" s="124" t="s">
        <v>334</v>
      </c>
      <c r="H144" s="124" t="s">
        <v>352</v>
      </c>
      <c r="I144" s="124" t="s">
        <v>352</v>
      </c>
      <c r="J144" s="124">
        <v>10840.086000000001</v>
      </c>
      <c r="K144" s="124">
        <v>1.016887986156347E-2</v>
      </c>
      <c r="M144" s="70">
        <v>2031</v>
      </c>
      <c r="N144" s="155" t="str">
        <f t="shared" si="6"/>
        <v>R30</v>
      </c>
      <c r="O144" s="137" t="s">
        <v>334</v>
      </c>
      <c r="P144" s="130" t="str">
        <f t="shared" si="7"/>
        <v>Better</v>
      </c>
      <c r="Q144" s="130" t="str">
        <f t="shared" si="8"/>
        <v>Better</v>
      </c>
      <c r="R144" s="130" t="s">
        <v>378</v>
      </c>
      <c r="S144" s="130" t="str">
        <f t="shared" si="9"/>
        <v>Electric Zonal</v>
      </c>
      <c r="T144" s="130" t="str">
        <f t="shared" si="10"/>
        <v>Existing</v>
      </c>
      <c r="U144" s="156" t="str">
        <f t="shared" si="20"/>
        <v>PTCS</v>
      </c>
      <c r="V144" s="130" t="str">
        <f t="shared" si="21"/>
        <v>Electric ZonalR30R11BetterBetter</v>
      </c>
      <c r="W144" s="130">
        <f t="shared" si="11"/>
        <v>3013</v>
      </c>
      <c r="X144" s="130"/>
      <c r="Y144" s="130">
        <f t="shared" si="12"/>
        <v>1</v>
      </c>
      <c r="Z144" s="130"/>
      <c r="AA144" s="74" t="str">
        <f t="shared" si="26"/>
        <v/>
      </c>
      <c r="AB144" s="74" t="str">
        <f t="shared" si="26"/>
        <v/>
      </c>
      <c r="AC144" s="74" t="str">
        <f t="shared" si="26"/>
        <v/>
      </c>
      <c r="AD144" s="74" t="str">
        <f t="shared" si="26"/>
        <v/>
      </c>
      <c r="AE144" s="74" t="str">
        <f t="shared" si="26"/>
        <v/>
      </c>
      <c r="AF144" s="74" t="str">
        <f t="shared" si="26"/>
        <v/>
      </c>
      <c r="AG144" s="74" t="str">
        <f t="shared" si="26"/>
        <v>O</v>
      </c>
      <c r="AH144" s="74" t="str">
        <f t="shared" si="26"/>
        <v>O</v>
      </c>
      <c r="AI144" s="74" t="str">
        <f t="shared" si="26"/>
        <v/>
      </c>
      <c r="AJ144" s="74" t="str">
        <f t="shared" si="14"/>
        <v/>
      </c>
      <c r="AK144" s="74" t="str">
        <f t="shared" si="27"/>
        <v/>
      </c>
      <c r="AL144" s="74" t="str">
        <f t="shared" si="27"/>
        <v/>
      </c>
      <c r="AM144" s="74" t="str">
        <f t="shared" si="27"/>
        <v/>
      </c>
      <c r="AN144" s="74" t="str">
        <f t="shared" si="28"/>
        <v/>
      </c>
      <c r="AO144" s="74" t="str">
        <f t="shared" si="28"/>
        <v/>
      </c>
      <c r="AP144" s="74" t="str">
        <f t="shared" si="22"/>
        <v/>
      </c>
      <c r="AQ144" s="74" t="str">
        <f t="shared" si="29"/>
        <v/>
      </c>
      <c r="AR144" s="74" t="str">
        <f t="shared" si="29"/>
        <v/>
      </c>
      <c r="AS144" s="74" t="s">
        <v>399</v>
      </c>
      <c r="AT144" s="70" t="s">
        <v>386</v>
      </c>
      <c r="AU144" s="70" t="str">
        <f t="shared" si="23"/>
        <v/>
      </c>
      <c r="AV144" s="74" t="str">
        <f t="shared" si="30"/>
        <v>O</v>
      </c>
      <c r="AW144" s="74" t="str">
        <f t="shared" si="30"/>
        <v/>
      </c>
      <c r="AX144" s="74" t="str">
        <f t="shared" si="30"/>
        <v>O</v>
      </c>
      <c r="AY144" s="74" t="str">
        <f t="shared" si="30"/>
        <v/>
      </c>
      <c r="AZ144" s="74" t="str">
        <f t="shared" si="24"/>
        <v>O</v>
      </c>
      <c r="BA144" s="74" t="str">
        <f t="shared" si="25"/>
        <v/>
      </c>
      <c r="BB144" s="74" t="str">
        <f t="shared" si="19"/>
        <v/>
      </c>
    </row>
    <row r="145" spans="1:54">
      <c r="A145" s="70">
        <v>2032</v>
      </c>
      <c r="B145" s="124" t="s">
        <v>530</v>
      </c>
      <c r="C145" s="124">
        <v>1074</v>
      </c>
      <c r="D145" s="124" t="s">
        <v>531</v>
      </c>
      <c r="E145" s="124" t="s">
        <v>228</v>
      </c>
      <c r="F145" s="124" t="s">
        <v>331</v>
      </c>
      <c r="G145" s="124" t="s">
        <v>329</v>
      </c>
      <c r="H145" s="124" t="s">
        <v>329</v>
      </c>
      <c r="I145" s="124" t="s">
        <v>339</v>
      </c>
      <c r="J145" s="124">
        <v>2003.7159999999999</v>
      </c>
      <c r="K145" s="124">
        <v>1.8796481209367257E-3</v>
      </c>
      <c r="M145" s="70">
        <v>2032</v>
      </c>
      <c r="N145" s="155" t="str">
        <f t="shared" si="6"/>
        <v>R38</v>
      </c>
      <c r="O145" s="137" t="s">
        <v>334</v>
      </c>
      <c r="P145" s="130" t="str">
        <f t="shared" si="7"/>
        <v>R25</v>
      </c>
      <c r="Q145" s="130" t="str">
        <f t="shared" si="8"/>
        <v>u30</v>
      </c>
      <c r="R145" s="130" t="s">
        <v>378</v>
      </c>
      <c r="S145" s="130" t="str">
        <f t="shared" si="9"/>
        <v>Electric Zonal</v>
      </c>
      <c r="T145" s="130" t="str">
        <f t="shared" si="10"/>
        <v>Existing</v>
      </c>
      <c r="U145" s="156" t="str">
        <f t="shared" si="20"/>
        <v>PTCS</v>
      </c>
      <c r="V145" s="130" t="str">
        <f t="shared" si="21"/>
        <v>Electric ZonalR38R11R25u30</v>
      </c>
      <c r="W145" s="130">
        <f t="shared" si="11"/>
        <v>3030</v>
      </c>
      <c r="X145" s="130"/>
      <c r="Y145" s="130">
        <f t="shared" si="12"/>
        <v>4</v>
      </c>
      <c r="Z145" s="130"/>
      <c r="AA145" s="74" t="str">
        <f t="shared" si="26"/>
        <v/>
      </c>
      <c r="AB145" s="74" t="str">
        <f t="shared" si="26"/>
        <v/>
      </c>
      <c r="AC145" s="74" t="str">
        <f t="shared" si="26"/>
        <v/>
      </c>
      <c r="AD145" s="74" t="str">
        <f t="shared" si="26"/>
        <v/>
      </c>
      <c r="AE145" s="74" t="str">
        <f t="shared" si="26"/>
        <v/>
      </c>
      <c r="AF145" s="74" t="str">
        <f t="shared" si="26"/>
        <v/>
      </c>
      <c r="AG145" s="74" t="str">
        <f t="shared" si="26"/>
        <v/>
      </c>
      <c r="AH145" s="74" t="str">
        <f t="shared" si="26"/>
        <v/>
      </c>
      <c r="AI145" s="74" t="str">
        <f t="shared" si="26"/>
        <v>O</v>
      </c>
      <c r="AJ145" s="74" t="str">
        <f t="shared" si="14"/>
        <v>F</v>
      </c>
      <c r="AK145" s="74" t="str">
        <f t="shared" si="27"/>
        <v>O</v>
      </c>
      <c r="AL145" s="74" t="str">
        <f t="shared" si="27"/>
        <v>F</v>
      </c>
      <c r="AM145" s="74" t="str">
        <f t="shared" si="27"/>
        <v>O</v>
      </c>
      <c r="AN145" s="74" t="str">
        <f t="shared" si="28"/>
        <v/>
      </c>
      <c r="AO145" s="74" t="str">
        <f t="shared" si="28"/>
        <v>F</v>
      </c>
      <c r="AP145" s="74" t="str">
        <f t="shared" si="22"/>
        <v>O</v>
      </c>
      <c r="AQ145" s="74" t="str">
        <f t="shared" si="29"/>
        <v/>
      </c>
      <c r="AR145" s="74" t="str">
        <f t="shared" si="29"/>
        <v>O</v>
      </c>
      <c r="AS145" s="74" t="s">
        <v>399</v>
      </c>
      <c r="AT145" s="70" t="s">
        <v>386</v>
      </c>
      <c r="AU145" s="70" t="str">
        <f t="shared" si="23"/>
        <v/>
      </c>
      <c r="AV145" s="74" t="str">
        <f t="shared" si="30"/>
        <v>O</v>
      </c>
      <c r="AW145" s="74" t="str">
        <f t="shared" si="30"/>
        <v/>
      </c>
      <c r="AX145" s="74" t="str">
        <f t="shared" si="30"/>
        <v>O</v>
      </c>
      <c r="AY145" s="74" t="str">
        <f t="shared" si="30"/>
        <v/>
      </c>
      <c r="AZ145" s="74" t="str">
        <f t="shared" si="24"/>
        <v>O</v>
      </c>
      <c r="BA145" s="74" t="str">
        <f t="shared" si="25"/>
        <v/>
      </c>
      <c r="BB145" s="74" t="str">
        <f t="shared" si="19"/>
        <v/>
      </c>
    </row>
    <row r="146" spans="1:54">
      <c r="A146" s="70">
        <v>2033</v>
      </c>
      <c r="B146" s="124" t="s">
        <v>532</v>
      </c>
      <c r="C146" s="124">
        <v>1075</v>
      </c>
      <c r="D146" s="124" t="s">
        <v>533</v>
      </c>
      <c r="E146" s="124" t="s">
        <v>228</v>
      </c>
      <c r="F146" s="124" t="s">
        <v>331</v>
      </c>
      <c r="G146" s="124" t="s">
        <v>329</v>
      </c>
      <c r="H146" s="124" t="s">
        <v>329</v>
      </c>
      <c r="I146" s="124" t="s">
        <v>352</v>
      </c>
      <c r="J146" s="124">
        <v>2079.9929999999999</v>
      </c>
      <c r="K146" s="124">
        <v>1.9512021334418368E-3</v>
      </c>
      <c r="M146" s="70">
        <v>2033</v>
      </c>
      <c r="N146" s="155" t="str">
        <f t="shared" si="6"/>
        <v>R38</v>
      </c>
      <c r="O146" s="137" t="s">
        <v>334</v>
      </c>
      <c r="P146" s="130" t="str">
        <f t="shared" si="7"/>
        <v>R25</v>
      </c>
      <c r="Q146" s="130" t="str">
        <f t="shared" si="8"/>
        <v>Better</v>
      </c>
      <c r="R146" s="130" t="s">
        <v>378</v>
      </c>
      <c r="S146" s="130" t="str">
        <f t="shared" si="9"/>
        <v>Electric Zonal</v>
      </c>
      <c r="T146" s="130" t="str">
        <f t="shared" si="10"/>
        <v>Existing</v>
      </c>
      <c r="U146" s="156" t="str">
        <f t="shared" si="20"/>
        <v>PTCS</v>
      </c>
      <c r="V146" s="130" t="str">
        <f t="shared" si="21"/>
        <v>Electric ZonalR38R11R25Better</v>
      </c>
      <c r="W146" s="130">
        <f t="shared" si="11"/>
        <v>3029</v>
      </c>
      <c r="X146" s="130"/>
      <c r="Y146" s="130">
        <f t="shared" si="12"/>
        <v>3</v>
      </c>
      <c r="Z146" s="130"/>
      <c r="AA146" s="74" t="str">
        <f t="shared" ref="AA146:AI161" si="31">IF(AA$109=$F146,AA$107,"")</f>
        <v/>
      </c>
      <c r="AB146" s="74" t="str">
        <f t="shared" si="31"/>
        <v/>
      </c>
      <c r="AC146" s="74" t="str">
        <f t="shared" si="31"/>
        <v/>
      </c>
      <c r="AD146" s="74" t="str">
        <f t="shared" si="31"/>
        <v/>
      </c>
      <c r="AE146" s="74" t="str">
        <f t="shared" si="31"/>
        <v/>
      </c>
      <c r="AF146" s="74" t="str">
        <f t="shared" si="31"/>
        <v/>
      </c>
      <c r="AG146" s="74" t="str">
        <f t="shared" si="31"/>
        <v/>
      </c>
      <c r="AH146" s="74" t="str">
        <f t="shared" si="31"/>
        <v/>
      </c>
      <c r="AI146" s="74" t="str">
        <f t="shared" si="31"/>
        <v>O</v>
      </c>
      <c r="AJ146" s="74" t="str">
        <f t="shared" si="14"/>
        <v>F</v>
      </c>
      <c r="AK146" s="74" t="str">
        <f t="shared" si="27"/>
        <v>O</v>
      </c>
      <c r="AL146" s="74" t="str">
        <f t="shared" si="27"/>
        <v>F</v>
      </c>
      <c r="AM146" s="74" t="str">
        <f t="shared" si="27"/>
        <v>O</v>
      </c>
      <c r="AN146" s="74" t="str">
        <f t="shared" si="28"/>
        <v/>
      </c>
      <c r="AO146" s="74" t="str">
        <f t="shared" si="28"/>
        <v/>
      </c>
      <c r="AP146" s="74" t="str">
        <f t="shared" si="22"/>
        <v/>
      </c>
      <c r="AQ146" s="74" t="str">
        <f t="shared" si="29"/>
        <v/>
      </c>
      <c r="AR146" s="74" t="str">
        <f t="shared" si="29"/>
        <v/>
      </c>
      <c r="AS146" s="74" t="s">
        <v>399</v>
      </c>
      <c r="AT146" s="70" t="s">
        <v>386</v>
      </c>
      <c r="AU146" s="70" t="str">
        <f t="shared" si="23"/>
        <v/>
      </c>
      <c r="AV146" s="74" t="str">
        <f t="shared" si="30"/>
        <v>O</v>
      </c>
      <c r="AW146" s="74" t="str">
        <f t="shared" si="30"/>
        <v/>
      </c>
      <c r="AX146" s="74" t="str">
        <f t="shared" si="30"/>
        <v>O</v>
      </c>
      <c r="AY146" s="74" t="str">
        <f t="shared" si="30"/>
        <v/>
      </c>
      <c r="AZ146" s="74" t="str">
        <f t="shared" si="24"/>
        <v>O</v>
      </c>
      <c r="BA146" s="74" t="str">
        <f t="shared" si="25"/>
        <v/>
      </c>
      <c r="BB146" s="74" t="str">
        <f t="shared" si="19"/>
        <v/>
      </c>
    </row>
    <row r="147" spans="1:54">
      <c r="A147" s="70">
        <v>2034</v>
      </c>
      <c r="B147" s="124" t="s">
        <v>534</v>
      </c>
      <c r="C147" s="124">
        <v>1081</v>
      </c>
      <c r="D147" s="124" t="s">
        <v>535</v>
      </c>
      <c r="E147" s="124" t="s">
        <v>228</v>
      </c>
      <c r="F147" s="124" t="s">
        <v>331</v>
      </c>
      <c r="G147" s="124" t="s">
        <v>329</v>
      </c>
      <c r="H147" s="124" t="s">
        <v>352</v>
      </c>
      <c r="I147" s="124" t="s">
        <v>352</v>
      </c>
      <c r="J147" s="124">
        <v>2989.4560000000001</v>
      </c>
      <c r="K147" s="124">
        <v>2.8043521901422262E-3</v>
      </c>
      <c r="M147" s="70">
        <v>2034</v>
      </c>
      <c r="N147" s="155" t="str">
        <f t="shared" si="6"/>
        <v>R38</v>
      </c>
      <c r="O147" s="137" t="s">
        <v>334</v>
      </c>
      <c r="P147" s="130" t="str">
        <f t="shared" si="7"/>
        <v>Better</v>
      </c>
      <c r="Q147" s="130" t="str">
        <f t="shared" si="8"/>
        <v>Better</v>
      </c>
      <c r="R147" s="130" t="s">
        <v>378</v>
      </c>
      <c r="S147" s="130" t="str">
        <f t="shared" si="9"/>
        <v>Electric Zonal</v>
      </c>
      <c r="T147" s="130" t="str">
        <f t="shared" si="10"/>
        <v>Existing</v>
      </c>
      <c r="U147" s="156" t="str">
        <f t="shared" si="20"/>
        <v>PTCS</v>
      </c>
      <c r="V147" s="130" t="str">
        <f t="shared" si="21"/>
        <v>Electric ZonalR38R11BetterBetter</v>
      </c>
      <c r="W147" s="130">
        <f t="shared" si="11"/>
        <v>3015</v>
      </c>
      <c r="X147" s="130"/>
      <c r="Y147" s="130">
        <f t="shared" si="12"/>
        <v>2</v>
      </c>
      <c r="Z147" s="130"/>
      <c r="AA147" s="74" t="str">
        <f t="shared" si="31"/>
        <v/>
      </c>
      <c r="AB147" s="74" t="str">
        <f t="shared" si="31"/>
        <v/>
      </c>
      <c r="AC147" s="74" t="str">
        <f t="shared" si="31"/>
        <v/>
      </c>
      <c r="AD147" s="74" t="str">
        <f t="shared" si="31"/>
        <v/>
      </c>
      <c r="AE147" s="74" t="str">
        <f t="shared" si="31"/>
        <v/>
      </c>
      <c r="AF147" s="74" t="str">
        <f t="shared" si="31"/>
        <v/>
      </c>
      <c r="AG147" s="74" t="str">
        <f t="shared" si="31"/>
        <v/>
      </c>
      <c r="AH147" s="74" t="str">
        <f t="shared" si="31"/>
        <v/>
      </c>
      <c r="AI147" s="74" t="str">
        <f t="shared" si="31"/>
        <v>O</v>
      </c>
      <c r="AJ147" s="74" t="str">
        <f t="shared" si="14"/>
        <v>F</v>
      </c>
      <c r="AK147" s="74" t="str">
        <f t="shared" si="27"/>
        <v/>
      </c>
      <c r="AL147" s="74" t="str">
        <f t="shared" si="27"/>
        <v/>
      </c>
      <c r="AM147" s="74" t="str">
        <f t="shared" si="27"/>
        <v/>
      </c>
      <c r="AN147" s="74" t="str">
        <f t="shared" si="28"/>
        <v/>
      </c>
      <c r="AO147" s="74" t="str">
        <f t="shared" si="28"/>
        <v/>
      </c>
      <c r="AP147" s="74" t="str">
        <f t="shared" si="22"/>
        <v/>
      </c>
      <c r="AQ147" s="74" t="str">
        <f t="shared" si="29"/>
        <v/>
      </c>
      <c r="AR147" s="74" t="str">
        <f t="shared" si="29"/>
        <v/>
      </c>
      <c r="AS147" s="74" t="s">
        <v>399</v>
      </c>
      <c r="AT147" s="70" t="s">
        <v>386</v>
      </c>
      <c r="AU147" s="70" t="str">
        <f t="shared" si="23"/>
        <v/>
      </c>
      <c r="AV147" s="74" t="str">
        <f t="shared" si="30"/>
        <v>O</v>
      </c>
      <c r="AW147" s="74" t="str">
        <f t="shared" si="30"/>
        <v/>
      </c>
      <c r="AX147" s="74" t="str">
        <f t="shared" si="30"/>
        <v>O</v>
      </c>
      <c r="AY147" s="74" t="str">
        <f t="shared" si="30"/>
        <v/>
      </c>
      <c r="AZ147" s="74" t="str">
        <f t="shared" si="24"/>
        <v>O</v>
      </c>
      <c r="BA147" s="74" t="str">
        <f t="shared" si="25"/>
        <v/>
      </c>
      <c r="BB147" s="74" t="str">
        <f t="shared" si="19"/>
        <v/>
      </c>
    </row>
    <row r="148" spans="1:54">
      <c r="A148" s="70">
        <v>2035</v>
      </c>
      <c r="B148" s="124" t="s">
        <v>536</v>
      </c>
      <c r="C148" s="124">
        <v>1082</v>
      </c>
      <c r="D148" s="124" t="s">
        <v>537</v>
      </c>
      <c r="E148" s="124" t="s">
        <v>228</v>
      </c>
      <c r="F148" s="124" t="s">
        <v>331</v>
      </c>
      <c r="G148" s="124" t="s">
        <v>334</v>
      </c>
      <c r="H148" s="124" t="s">
        <v>329</v>
      </c>
      <c r="I148" s="124" t="s">
        <v>355</v>
      </c>
      <c r="J148" s="124">
        <v>1150.8789999999999</v>
      </c>
      <c r="K148" s="124">
        <v>1.0796178449318855E-3</v>
      </c>
      <c r="M148" s="70">
        <v>2035</v>
      </c>
      <c r="N148" s="155" t="str">
        <f t="shared" si="6"/>
        <v>R38</v>
      </c>
      <c r="O148" s="137" t="s">
        <v>334</v>
      </c>
      <c r="P148" s="130" t="str">
        <f t="shared" si="7"/>
        <v>R25</v>
      </c>
      <c r="Q148" s="130" t="str">
        <f t="shared" si="8"/>
        <v>u30</v>
      </c>
      <c r="R148" s="130" t="s">
        <v>378</v>
      </c>
      <c r="S148" s="130" t="str">
        <f t="shared" si="9"/>
        <v>Electric Zonal</v>
      </c>
      <c r="T148" s="130" t="str">
        <f t="shared" si="10"/>
        <v>Existing</v>
      </c>
      <c r="U148" s="156" t="str">
        <f t="shared" si="20"/>
        <v>PTCS</v>
      </c>
      <c r="V148" s="130" t="str">
        <f t="shared" si="21"/>
        <v>Electric ZonalR38R11R25u30</v>
      </c>
      <c r="W148" s="130">
        <f t="shared" si="11"/>
        <v>3030</v>
      </c>
      <c r="X148" s="130"/>
      <c r="Y148" s="130">
        <f t="shared" si="12"/>
        <v>3</v>
      </c>
      <c r="Z148" s="130"/>
      <c r="AA148" s="74" t="str">
        <f t="shared" si="31"/>
        <v/>
      </c>
      <c r="AB148" s="74" t="str">
        <f t="shared" si="31"/>
        <v/>
      </c>
      <c r="AC148" s="74" t="str">
        <f t="shared" si="31"/>
        <v/>
      </c>
      <c r="AD148" s="74" t="str">
        <f t="shared" si="31"/>
        <v/>
      </c>
      <c r="AE148" s="74" t="str">
        <f t="shared" si="31"/>
        <v/>
      </c>
      <c r="AF148" s="74" t="str">
        <f t="shared" si="31"/>
        <v/>
      </c>
      <c r="AG148" s="74" t="str">
        <f t="shared" si="31"/>
        <v/>
      </c>
      <c r="AH148" s="74" t="str">
        <f t="shared" si="31"/>
        <v/>
      </c>
      <c r="AI148" s="74" t="str">
        <f t="shared" si="31"/>
        <v>O</v>
      </c>
      <c r="AJ148" s="74" t="str">
        <f t="shared" si="14"/>
        <v/>
      </c>
      <c r="AK148" s="74" t="str">
        <f t="shared" si="27"/>
        <v>O</v>
      </c>
      <c r="AL148" s="74" t="str">
        <f t="shared" si="27"/>
        <v>F</v>
      </c>
      <c r="AM148" s="74" t="str">
        <f t="shared" si="27"/>
        <v>O</v>
      </c>
      <c r="AN148" s="74" t="str">
        <f t="shared" si="28"/>
        <v>F</v>
      </c>
      <c r="AO148" s="74" t="str">
        <f t="shared" si="28"/>
        <v/>
      </c>
      <c r="AP148" s="74" t="str">
        <f t="shared" si="22"/>
        <v>O</v>
      </c>
      <c r="AQ148" s="74" t="str">
        <f t="shared" si="29"/>
        <v>O</v>
      </c>
      <c r="AR148" s="74" t="str">
        <f t="shared" si="29"/>
        <v/>
      </c>
      <c r="AS148" s="74" t="s">
        <v>399</v>
      </c>
      <c r="AT148" s="70" t="s">
        <v>386</v>
      </c>
      <c r="AU148" s="70" t="str">
        <f t="shared" si="23"/>
        <v/>
      </c>
      <c r="AV148" s="74" t="str">
        <f t="shared" si="30"/>
        <v>O</v>
      </c>
      <c r="AW148" s="74" t="str">
        <f t="shared" si="30"/>
        <v/>
      </c>
      <c r="AX148" s="74" t="str">
        <f t="shared" si="30"/>
        <v>O</v>
      </c>
      <c r="AY148" s="74" t="str">
        <f t="shared" si="30"/>
        <v/>
      </c>
      <c r="AZ148" s="74" t="str">
        <f t="shared" si="24"/>
        <v>O</v>
      </c>
      <c r="BA148" s="74" t="str">
        <f t="shared" si="25"/>
        <v/>
      </c>
      <c r="BB148" s="74" t="str">
        <f t="shared" si="19"/>
        <v/>
      </c>
    </row>
    <row r="149" spans="1:54">
      <c r="A149" s="70">
        <v>2036</v>
      </c>
      <c r="B149" s="124" t="s">
        <v>538</v>
      </c>
      <c r="C149" s="124">
        <v>1083</v>
      </c>
      <c r="D149" s="124" t="s">
        <v>539</v>
      </c>
      <c r="E149" s="124" t="s">
        <v>228</v>
      </c>
      <c r="F149" s="124" t="s">
        <v>331</v>
      </c>
      <c r="G149" s="124" t="s">
        <v>334</v>
      </c>
      <c r="H149" s="124" t="s">
        <v>329</v>
      </c>
      <c r="I149" s="124" t="s">
        <v>339</v>
      </c>
      <c r="J149" s="124">
        <v>2338.9059999999999</v>
      </c>
      <c r="K149" s="124">
        <v>2.1940835267810579E-3</v>
      </c>
      <c r="M149" s="70">
        <v>2036</v>
      </c>
      <c r="N149" s="155" t="str">
        <f t="shared" si="6"/>
        <v>R38</v>
      </c>
      <c r="O149" s="137" t="s">
        <v>334</v>
      </c>
      <c r="P149" s="130" t="str">
        <f t="shared" si="7"/>
        <v>R25</v>
      </c>
      <c r="Q149" s="130" t="str">
        <f t="shared" si="8"/>
        <v>u30</v>
      </c>
      <c r="R149" s="130" t="s">
        <v>378</v>
      </c>
      <c r="S149" s="130" t="str">
        <f t="shared" si="9"/>
        <v>Electric Zonal</v>
      </c>
      <c r="T149" s="130" t="str">
        <f t="shared" si="10"/>
        <v>Existing</v>
      </c>
      <c r="U149" s="156" t="str">
        <f t="shared" si="20"/>
        <v>PTCS</v>
      </c>
      <c r="V149" s="130" t="str">
        <f t="shared" si="21"/>
        <v>Electric ZonalR38R11R25u30</v>
      </c>
      <c r="W149" s="130">
        <f t="shared" si="11"/>
        <v>3030</v>
      </c>
      <c r="X149" s="130"/>
      <c r="Y149" s="130">
        <f t="shared" si="12"/>
        <v>3</v>
      </c>
      <c r="Z149" s="130"/>
      <c r="AA149" s="74" t="str">
        <f t="shared" si="31"/>
        <v/>
      </c>
      <c r="AB149" s="74" t="str">
        <f t="shared" si="31"/>
        <v/>
      </c>
      <c r="AC149" s="74" t="str">
        <f t="shared" si="31"/>
        <v/>
      </c>
      <c r="AD149" s="74" t="str">
        <f t="shared" si="31"/>
        <v/>
      </c>
      <c r="AE149" s="74" t="str">
        <f t="shared" si="31"/>
        <v/>
      </c>
      <c r="AF149" s="74" t="str">
        <f t="shared" si="31"/>
        <v/>
      </c>
      <c r="AG149" s="74" t="str">
        <f t="shared" si="31"/>
        <v/>
      </c>
      <c r="AH149" s="74" t="str">
        <f t="shared" si="31"/>
        <v/>
      </c>
      <c r="AI149" s="74" t="str">
        <f t="shared" si="31"/>
        <v>O</v>
      </c>
      <c r="AJ149" s="74" t="str">
        <f t="shared" si="14"/>
        <v/>
      </c>
      <c r="AK149" s="74" t="str">
        <f t="shared" si="27"/>
        <v>O</v>
      </c>
      <c r="AL149" s="74" t="str">
        <f t="shared" si="27"/>
        <v>F</v>
      </c>
      <c r="AM149" s="74" t="str">
        <f t="shared" si="27"/>
        <v>O</v>
      </c>
      <c r="AN149" s="74" t="str">
        <f t="shared" si="28"/>
        <v/>
      </c>
      <c r="AO149" s="74" t="str">
        <f t="shared" si="28"/>
        <v>F</v>
      </c>
      <c r="AP149" s="74" t="str">
        <f t="shared" si="22"/>
        <v>O</v>
      </c>
      <c r="AQ149" s="74" t="str">
        <f t="shared" si="29"/>
        <v/>
      </c>
      <c r="AR149" s="74" t="str">
        <f t="shared" si="29"/>
        <v>O</v>
      </c>
      <c r="AS149" s="74" t="s">
        <v>399</v>
      </c>
      <c r="AT149" s="70" t="s">
        <v>386</v>
      </c>
      <c r="AU149" s="70" t="str">
        <f t="shared" si="23"/>
        <v/>
      </c>
      <c r="AV149" s="74" t="str">
        <f t="shared" si="30"/>
        <v>O</v>
      </c>
      <c r="AW149" s="74" t="str">
        <f t="shared" si="30"/>
        <v/>
      </c>
      <c r="AX149" s="74" t="str">
        <f t="shared" si="30"/>
        <v>O</v>
      </c>
      <c r="AY149" s="74" t="str">
        <f t="shared" si="30"/>
        <v/>
      </c>
      <c r="AZ149" s="74" t="str">
        <f t="shared" si="24"/>
        <v>O</v>
      </c>
      <c r="BA149" s="74" t="str">
        <f t="shared" si="25"/>
        <v/>
      </c>
      <c r="BB149" s="74" t="str">
        <f t="shared" si="19"/>
        <v/>
      </c>
    </row>
    <row r="150" spans="1:54">
      <c r="A150" s="70">
        <v>2037</v>
      </c>
      <c r="B150" s="124" t="s">
        <v>540</v>
      </c>
      <c r="C150" s="124">
        <v>1084</v>
      </c>
      <c r="D150" s="124" t="s">
        <v>541</v>
      </c>
      <c r="E150" s="124" t="s">
        <v>228</v>
      </c>
      <c r="F150" s="124" t="s">
        <v>331</v>
      </c>
      <c r="G150" s="124" t="s">
        <v>334</v>
      </c>
      <c r="H150" s="124" t="s">
        <v>329</v>
      </c>
      <c r="I150" s="124" t="s">
        <v>352</v>
      </c>
      <c r="J150" s="124">
        <v>8546.098</v>
      </c>
      <c r="K150" s="124">
        <v>8.0169330618915617E-3</v>
      </c>
      <c r="M150" s="70">
        <v>2037</v>
      </c>
      <c r="N150" s="155" t="str">
        <f t="shared" si="6"/>
        <v>R38</v>
      </c>
      <c r="O150" s="137" t="s">
        <v>334</v>
      </c>
      <c r="P150" s="130" t="str">
        <f t="shared" si="7"/>
        <v>R25</v>
      </c>
      <c r="Q150" s="130" t="str">
        <f t="shared" si="8"/>
        <v>Better</v>
      </c>
      <c r="R150" s="130" t="s">
        <v>378</v>
      </c>
      <c r="S150" s="130" t="str">
        <f t="shared" si="9"/>
        <v>Electric Zonal</v>
      </c>
      <c r="T150" s="130" t="str">
        <f t="shared" si="10"/>
        <v>Existing</v>
      </c>
      <c r="U150" s="156" t="str">
        <f t="shared" si="20"/>
        <v>PTCS</v>
      </c>
      <c r="V150" s="130" t="str">
        <f t="shared" si="21"/>
        <v>Electric ZonalR38R11R25Better</v>
      </c>
      <c r="W150" s="130">
        <f t="shared" si="11"/>
        <v>3029</v>
      </c>
      <c r="X150" s="130"/>
      <c r="Y150" s="130">
        <f t="shared" si="12"/>
        <v>2</v>
      </c>
      <c r="Z150" s="130"/>
      <c r="AA150" s="74" t="str">
        <f t="shared" si="31"/>
        <v/>
      </c>
      <c r="AB150" s="74" t="str">
        <f t="shared" si="31"/>
        <v/>
      </c>
      <c r="AC150" s="74" t="str">
        <f t="shared" si="31"/>
        <v/>
      </c>
      <c r="AD150" s="74" t="str">
        <f t="shared" si="31"/>
        <v/>
      </c>
      <c r="AE150" s="74" t="str">
        <f t="shared" si="31"/>
        <v/>
      </c>
      <c r="AF150" s="74" t="str">
        <f t="shared" si="31"/>
        <v/>
      </c>
      <c r="AG150" s="74" t="str">
        <f t="shared" si="31"/>
        <v/>
      </c>
      <c r="AH150" s="74" t="str">
        <f t="shared" si="31"/>
        <v/>
      </c>
      <c r="AI150" s="74" t="str">
        <f t="shared" si="31"/>
        <v>O</v>
      </c>
      <c r="AJ150" s="74" t="str">
        <f t="shared" si="14"/>
        <v/>
      </c>
      <c r="AK150" s="74" t="str">
        <f t="shared" si="27"/>
        <v>O</v>
      </c>
      <c r="AL150" s="74" t="str">
        <f t="shared" si="27"/>
        <v>F</v>
      </c>
      <c r="AM150" s="74" t="str">
        <f t="shared" si="27"/>
        <v>O</v>
      </c>
      <c r="AN150" s="74" t="str">
        <f t="shared" si="28"/>
        <v/>
      </c>
      <c r="AO150" s="74" t="str">
        <f t="shared" si="28"/>
        <v/>
      </c>
      <c r="AP150" s="74" t="str">
        <f t="shared" si="22"/>
        <v/>
      </c>
      <c r="AQ150" s="74" t="str">
        <f t="shared" si="29"/>
        <v/>
      </c>
      <c r="AR150" s="74" t="str">
        <f t="shared" si="29"/>
        <v/>
      </c>
      <c r="AS150" s="74" t="s">
        <v>399</v>
      </c>
      <c r="AT150" s="70" t="s">
        <v>386</v>
      </c>
      <c r="AU150" s="70" t="str">
        <f t="shared" si="23"/>
        <v/>
      </c>
      <c r="AV150" s="74" t="str">
        <f t="shared" si="30"/>
        <v>O</v>
      </c>
      <c r="AW150" s="74" t="str">
        <f t="shared" si="30"/>
        <v/>
      </c>
      <c r="AX150" s="74" t="str">
        <f t="shared" si="30"/>
        <v>O</v>
      </c>
      <c r="AY150" s="74" t="str">
        <f t="shared" si="30"/>
        <v/>
      </c>
      <c r="AZ150" s="74" t="str">
        <f t="shared" si="24"/>
        <v>O</v>
      </c>
      <c r="BA150" s="74" t="str">
        <f t="shared" si="25"/>
        <v/>
      </c>
      <c r="BB150" s="74" t="str">
        <f t="shared" si="19"/>
        <v/>
      </c>
    </row>
    <row r="151" spans="1:54">
      <c r="A151" s="70">
        <v>2038</v>
      </c>
      <c r="B151" s="124" t="s">
        <v>542</v>
      </c>
      <c r="C151" s="124">
        <v>1086</v>
      </c>
      <c r="D151" s="124" t="s">
        <v>543</v>
      </c>
      <c r="E151" s="124" t="s">
        <v>228</v>
      </c>
      <c r="F151" s="124" t="s">
        <v>331</v>
      </c>
      <c r="G151" s="124" t="s">
        <v>334</v>
      </c>
      <c r="H151" s="124" t="s">
        <v>335</v>
      </c>
      <c r="I151" s="124" t="s">
        <v>339</v>
      </c>
      <c r="J151" s="124">
        <v>4956.4930000000004</v>
      </c>
      <c r="K151" s="124">
        <v>4.649592434200274E-3</v>
      </c>
      <c r="M151" s="70">
        <v>2038</v>
      </c>
      <c r="N151" s="155" t="str">
        <f t="shared" si="6"/>
        <v>R38</v>
      </c>
      <c r="O151" s="137" t="s">
        <v>334</v>
      </c>
      <c r="P151" s="130" t="str">
        <f t="shared" si="7"/>
        <v>R19</v>
      </c>
      <c r="Q151" s="130" t="str">
        <f t="shared" si="8"/>
        <v>u30</v>
      </c>
      <c r="R151" s="130" t="s">
        <v>378</v>
      </c>
      <c r="S151" s="130" t="str">
        <f t="shared" si="9"/>
        <v>Electric Zonal</v>
      </c>
      <c r="T151" s="130" t="str">
        <f t="shared" si="10"/>
        <v>Existing</v>
      </c>
      <c r="U151" s="156" t="str">
        <f t="shared" si="20"/>
        <v>PTCS</v>
      </c>
      <c r="V151" s="130" t="str">
        <f t="shared" si="21"/>
        <v>Electric ZonalR38R11R19u30</v>
      </c>
      <c r="W151" s="130">
        <f t="shared" si="11"/>
        <v>3023</v>
      </c>
      <c r="X151" s="130"/>
      <c r="Y151" s="130">
        <f t="shared" si="12"/>
        <v>2</v>
      </c>
      <c r="Z151" s="130"/>
      <c r="AA151" s="74" t="str">
        <f t="shared" si="31"/>
        <v/>
      </c>
      <c r="AB151" s="74" t="str">
        <f t="shared" si="31"/>
        <v/>
      </c>
      <c r="AC151" s="74" t="str">
        <f t="shared" si="31"/>
        <v/>
      </c>
      <c r="AD151" s="74" t="str">
        <f t="shared" si="31"/>
        <v/>
      </c>
      <c r="AE151" s="74" t="str">
        <f t="shared" si="31"/>
        <v/>
      </c>
      <c r="AF151" s="74" t="str">
        <f t="shared" si="31"/>
        <v/>
      </c>
      <c r="AG151" s="74" t="str">
        <f t="shared" si="31"/>
        <v/>
      </c>
      <c r="AH151" s="74" t="str">
        <f t="shared" si="31"/>
        <v/>
      </c>
      <c r="AI151" s="74" t="str">
        <f t="shared" si="31"/>
        <v>O</v>
      </c>
      <c r="AJ151" s="74" t="str">
        <f t="shared" si="14"/>
        <v/>
      </c>
      <c r="AK151" s="74" t="str">
        <f t="shared" si="27"/>
        <v/>
      </c>
      <c r="AL151" s="74" t="str">
        <f t="shared" si="27"/>
        <v/>
      </c>
      <c r="AM151" s="74" t="str">
        <f t="shared" si="27"/>
        <v/>
      </c>
      <c r="AN151" s="74" t="str">
        <f t="shared" si="28"/>
        <v/>
      </c>
      <c r="AO151" s="74" t="str">
        <f t="shared" si="28"/>
        <v>F</v>
      </c>
      <c r="AP151" s="74" t="str">
        <f t="shared" si="22"/>
        <v>O</v>
      </c>
      <c r="AQ151" s="74" t="str">
        <f t="shared" si="29"/>
        <v/>
      </c>
      <c r="AR151" s="74" t="str">
        <f t="shared" si="29"/>
        <v>O</v>
      </c>
      <c r="AS151" s="74" t="s">
        <v>399</v>
      </c>
      <c r="AT151" s="70" t="s">
        <v>386</v>
      </c>
      <c r="AU151" s="70" t="str">
        <f t="shared" si="23"/>
        <v/>
      </c>
      <c r="AV151" s="74" t="str">
        <f t="shared" si="30"/>
        <v>O</v>
      </c>
      <c r="AW151" s="74" t="str">
        <f t="shared" si="30"/>
        <v/>
      </c>
      <c r="AX151" s="74" t="str">
        <f t="shared" si="30"/>
        <v>O</v>
      </c>
      <c r="AY151" s="74" t="str">
        <f t="shared" si="30"/>
        <v/>
      </c>
      <c r="AZ151" s="74" t="str">
        <f t="shared" si="24"/>
        <v>O</v>
      </c>
      <c r="BA151" s="74" t="str">
        <f t="shared" si="25"/>
        <v/>
      </c>
      <c r="BB151" s="74" t="str">
        <f t="shared" si="19"/>
        <v/>
      </c>
    </row>
    <row r="152" spans="1:54">
      <c r="A152" s="70">
        <v>2039</v>
      </c>
      <c r="B152" s="124" t="s">
        <v>544</v>
      </c>
      <c r="C152" s="124">
        <v>1087</v>
      </c>
      <c r="D152" s="124" t="s">
        <v>545</v>
      </c>
      <c r="E152" s="124" t="s">
        <v>228</v>
      </c>
      <c r="F152" s="124" t="s">
        <v>331</v>
      </c>
      <c r="G152" s="124" t="s">
        <v>334</v>
      </c>
      <c r="H152" s="124" t="s">
        <v>335</v>
      </c>
      <c r="I152" s="124" t="s">
        <v>352</v>
      </c>
      <c r="J152" s="124">
        <v>28410.553</v>
      </c>
      <c r="K152" s="124">
        <v>2.665140297388615E-2</v>
      </c>
      <c r="M152" s="70">
        <v>2039</v>
      </c>
      <c r="N152" s="155" t="str">
        <f t="shared" si="6"/>
        <v>R38</v>
      </c>
      <c r="O152" s="137" t="s">
        <v>334</v>
      </c>
      <c r="P152" s="130" t="str">
        <f t="shared" si="7"/>
        <v>R19</v>
      </c>
      <c r="Q152" s="130" t="str">
        <f t="shared" si="8"/>
        <v>Better</v>
      </c>
      <c r="R152" s="130" t="s">
        <v>378</v>
      </c>
      <c r="S152" s="130" t="str">
        <f t="shared" si="9"/>
        <v>Electric Zonal</v>
      </c>
      <c r="T152" s="130" t="str">
        <f t="shared" si="10"/>
        <v>Existing</v>
      </c>
      <c r="U152" s="156" t="str">
        <f t="shared" si="20"/>
        <v>PTCS</v>
      </c>
      <c r="V152" s="130" t="str">
        <f t="shared" si="21"/>
        <v>Electric ZonalR38R11R19Better</v>
      </c>
      <c r="W152" s="130">
        <f t="shared" si="11"/>
        <v>3022</v>
      </c>
      <c r="X152" s="130"/>
      <c r="Y152" s="130">
        <f t="shared" si="12"/>
        <v>1</v>
      </c>
      <c r="Z152" s="130"/>
      <c r="AA152" s="74" t="str">
        <f t="shared" si="31"/>
        <v/>
      </c>
      <c r="AB152" s="74" t="str">
        <f t="shared" si="31"/>
        <v/>
      </c>
      <c r="AC152" s="74" t="str">
        <f t="shared" si="31"/>
        <v/>
      </c>
      <c r="AD152" s="74" t="str">
        <f t="shared" si="31"/>
        <v/>
      </c>
      <c r="AE152" s="74" t="str">
        <f t="shared" si="31"/>
        <v/>
      </c>
      <c r="AF152" s="74" t="str">
        <f t="shared" si="31"/>
        <v/>
      </c>
      <c r="AG152" s="74" t="str">
        <f t="shared" si="31"/>
        <v/>
      </c>
      <c r="AH152" s="74" t="str">
        <f t="shared" si="31"/>
        <v/>
      </c>
      <c r="AI152" s="74" t="str">
        <f t="shared" si="31"/>
        <v>O</v>
      </c>
      <c r="AJ152" s="74" t="str">
        <f t="shared" si="14"/>
        <v/>
      </c>
      <c r="AK152" s="74" t="str">
        <f t="shared" si="27"/>
        <v/>
      </c>
      <c r="AL152" s="74" t="str">
        <f t="shared" si="27"/>
        <v/>
      </c>
      <c r="AM152" s="74" t="str">
        <f t="shared" si="27"/>
        <v/>
      </c>
      <c r="AN152" s="74" t="str">
        <f t="shared" si="28"/>
        <v/>
      </c>
      <c r="AO152" s="74" t="str">
        <f t="shared" si="28"/>
        <v/>
      </c>
      <c r="AP152" s="74" t="str">
        <f t="shared" si="22"/>
        <v/>
      </c>
      <c r="AQ152" s="74" t="str">
        <f t="shared" si="29"/>
        <v/>
      </c>
      <c r="AR152" s="74" t="str">
        <f t="shared" si="29"/>
        <v/>
      </c>
      <c r="AS152" s="74" t="s">
        <v>399</v>
      </c>
      <c r="AT152" s="70" t="s">
        <v>386</v>
      </c>
      <c r="AU152" s="70" t="str">
        <f t="shared" si="23"/>
        <v/>
      </c>
      <c r="AV152" s="74" t="str">
        <f t="shared" si="30"/>
        <v>O</v>
      </c>
      <c r="AW152" s="74" t="str">
        <f t="shared" si="30"/>
        <v/>
      </c>
      <c r="AX152" s="74" t="str">
        <f t="shared" si="30"/>
        <v>O</v>
      </c>
      <c r="AY152" s="74" t="str">
        <f t="shared" si="30"/>
        <v/>
      </c>
      <c r="AZ152" s="74" t="str">
        <f t="shared" si="24"/>
        <v>O</v>
      </c>
      <c r="BA152" s="74" t="str">
        <f t="shared" si="25"/>
        <v/>
      </c>
      <c r="BB152" s="74" t="str">
        <f t="shared" si="19"/>
        <v/>
      </c>
    </row>
    <row r="153" spans="1:54">
      <c r="A153" s="70">
        <v>2040</v>
      </c>
      <c r="B153" s="124" t="s">
        <v>546</v>
      </c>
      <c r="C153" s="124">
        <v>1089</v>
      </c>
      <c r="D153" s="124" t="s">
        <v>547</v>
      </c>
      <c r="E153" s="124" t="s">
        <v>228</v>
      </c>
      <c r="F153" s="124" t="s">
        <v>331</v>
      </c>
      <c r="G153" s="124" t="s">
        <v>334</v>
      </c>
      <c r="H153" s="124" t="s">
        <v>352</v>
      </c>
      <c r="I153" s="124" t="s">
        <v>339</v>
      </c>
      <c r="J153" s="124">
        <v>11889.231</v>
      </c>
      <c r="K153" s="124">
        <v>1.115306296328056E-2</v>
      </c>
      <c r="M153" s="70">
        <v>2040</v>
      </c>
      <c r="N153" s="155" t="str">
        <f t="shared" si="6"/>
        <v>R38</v>
      </c>
      <c r="O153" s="137" t="s">
        <v>334</v>
      </c>
      <c r="P153" s="130" t="str">
        <f t="shared" si="7"/>
        <v>Better</v>
      </c>
      <c r="Q153" s="130" t="str">
        <f t="shared" si="8"/>
        <v>u30</v>
      </c>
      <c r="R153" s="130" t="s">
        <v>378</v>
      </c>
      <c r="S153" s="130" t="str">
        <f t="shared" si="9"/>
        <v>Electric Zonal</v>
      </c>
      <c r="T153" s="130" t="str">
        <f t="shared" si="10"/>
        <v>Existing</v>
      </c>
      <c r="U153" s="156" t="str">
        <f t="shared" si="20"/>
        <v>PTCS</v>
      </c>
      <c r="V153" s="130" t="str">
        <f t="shared" si="21"/>
        <v>Electric ZonalR38R11Betteru30</v>
      </c>
      <c r="W153" s="130">
        <f t="shared" si="11"/>
        <v>3016</v>
      </c>
      <c r="X153" s="130"/>
      <c r="Y153" s="130">
        <f t="shared" si="12"/>
        <v>2</v>
      </c>
      <c r="Z153" s="130"/>
      <c r="AA153" s="74" t="str">
        <f t="shared" si="31"/>
        <v/>
      </c>
      <c r="AB153" s="74" t="str">
        <f t="shared" si="31"/>
        <v/>
      </c>
      <c r="AC153" s="74" t="str">
        <f t="shared" si="31"/>
        <v/>
      </c>
      <c r="AD153" s="74" t="str">
        <f t="shared" si="31"/>
        <v/>
      </c>
      <c r="AE153" s="74" t="str">
        <f t="shared" si="31"/>
        <v/>
      </c>
      <c r="AF153" s="74" t="str">
        <f t="shared" si="31"/>
        <v/>
      </c>
      <c r="AG153" s="74" t="str">
        <f t="shared" si="31"/>
        <v/>
      </c>
      <c r="AH153" s="74" t="str">
        <f t="shared" si="31"/>
        <v/>
      </c>
      <c r="AI153" s="74" t="str">
        <f t="shared" si="31"/>
        <v>O</v>
      </c>
      <c r="AJ153" s="74" t="str">
        <f t="shared" si="14"/>
        <v/>
      </c>
      <c r="AK153" s="74" t="str">
        <f t="shared" si="27"/>
        <v/>
      </c>
      <c r="AL153" s="74" t="str">
        <f t="shared" si="27"/>
        <v/>
      </c>
      <c r="AM153" s="74" t="str">
        <f t="shared" si="27"/>
        <v/>
      </c>
      <c r="AN153" s="74" t="str">
        <f t="shared" si="28"/>
        <v/>
      </c>
      <c r="AO153" s="74" t="str">
        <f t="shared" si="28"/>
        <v>F</v>
      </c>
      <c r="AP153" s="74" t="str">
        <f t="shared" si="22"/>
        <v>O</v>
      </c>
      <c r="AQ153" s="74" t="str">
        <f t="shared" si="29"/>
        <v/>
      </c>
      <c r="AR153" s="74" t="str">
        <f t="shared" si="29"/>
        <v>O</v>
      </c>
      <c r="AS153" s="74" t="s">
        <v>399</v>
      </c>
      <c r="AT153" s="70" t="s">
        <v>386</v>
      </c>
      <c r="AU153" s="70" t="str">
        <f t="shared" si="23"/>
        <v/>
      </c>
      <c r="AV153" s="74" t="str">
        <f t="shared" si="30"/>
        <v>O</v>
      </c>
      <c r="AW153" s="74" t="str">
        <f t="shared" si="30"/>
        <v/>
      </c>
      <c r="AX153" s="74" t="str">
        <f t="shared" si="30"/>
        <v>O</v>
      </c>
      <c r="AY153" s="74" t="str">
        <f t="shared" si="30"/>
        <v/>
      </c>
      <c r="AZ153" s="74" t="str">
        <f t="shared" si="24"/>
        <v>O</v>
      </c>
      <c r="BA153" s="74" t="str">
        <f t="shared" si="25"/>
        <v/>
      </c>
      <c r="BB153" s="74" t="str">
        <f t="shared" si="19"/>
        <v/>
      </c>
    </row>
    <row r="154" spans="1:54">
      <c r="A154" s="70">
        <v>2041</v>
      </c>
      <c r="B154" s="124" t="s">
        <v>548</v>
      </c>
      <c r="C154" s="124">
        <v>1090</v>
      </c>
      <c r="D154" s="124" t="s">
        <v>549</v>
      </c>
      <c r="E154" s="124" t="s">
        <v>228</v>
      </c>
      <c r="F154" s="124" t="s">
        <v>331</v>
      </c>
      <c r="G154" s="124" t="s">
        <v>334</v>
      </c>
      <c r="H154" s="124" t="s">
        <v>352</v>
      </c>
      <c r="I154" s="124" t="s">
        <v>352</v>
      </c>
      <c r="J154" s="124">
        <v>33292.517</v>
      </c>
      <c r="K154" s="124">
        <v>3.1231081161354205E-2</v>
      </c>
      <c r="M154" s="70">
        <v>2041</v>
      </c>
      <c r="N154" s="155" t="str">
        <f t="shared" si="6"/>
        <v>R38</v>
      </c>
      <c r="O154" s="137" t="s">
        <v>334</v>
      </c>
      <c r="P154" s="130" t="str">
        <f t="shared" si="7"/>
        <v>Better</v>
      </c>
      <c r="Q154" s="130" t="str">
        <f t="shared" si="8"/>
        <v>Better</v>
      </c>
      <c r="R154" s="130" t="s">
        <v>378</v>
      </c>
      <c r="S154" s="130" t="str">
        <f t="shared" si="9"/>
        <v>Electric Zonal</v>
      </c>
      <c r="T154" s="130" t="str">
        <f t="shared" si="10"/>
        <v>Existing</v>
      </c>
      <c r="U154" s="156" t="str">
        <f t="shared" si="20"/>
        <v>PTCS</v>
      </c>
      <c r="V154" s="130" t="str">
        <f t="shared" si="21"/>
        <v>Electric ZonalR38R11BetterBetter</v>
      </c>
      <c r="W154" s="130">
        <f t="shared" si="11"/>
        <v>3015</v>
      </c>
      <c r="X154" s="130"/>
      <c r="Y154" s="130">
        <f t="shared" si="12"/>
        <v>1</v>
      </c>
      <c r="Z154" s="130"/>
      <c r="AA154" s="74" t="str">
        <f t="shared" si="31"/>
        <v/>
      </c>
      <c r="AB154" s="74" t="str">
        <f t="shared" si="31"/>
        <v/>
      </c>
      <c r="AC154" s="74" t="str">
        <f t="shared" si="31"/>
        <v/>
      </c>
      <c r="AD154" s="74" t="str">
        <f t="shared" si="31"/>
        <v/>
      </c>
      <c r="AE154" s="74" t="str">
        <f t="shared" si="31"/>
        <v/>
      </c>
      <c r="AF154" s="74" t="str">
        <f t="shared" si="31"/>
        <v/>
      </c>
      <c r="AG154" s="74" t="str">
        <f t="shared" si="31"/>
        <v/>
      </c>
      <c r="AH154" s="74" t="str">
        <f t="shared" si="31"/>
        <v/>
      </c>
      <c r="AI154" s="74" t="str">
        <f t="shared" si="31"/>
        <v>O</v>
      </c>
      <c r="AJ154" s="74" t="str">
        <f t="shared" si="14"/>
        <v/>
      </c>
      <c r="AK154" s="74" t="str">
        <f t="shared" ref="AK154:AM173" si="32">IF(AK$109=$H154,AK$107,"")</f>
        <v/>
      </c>
      <c r="AL154" s="74" t="str">
        <f t="shared" si="32"/>
        <v/>
      </c>
      <c r="AM154" s="74" t="str">
        <f t="shared" si="32"/>
        <v/>
      </c>
      <c r="AN154" s="74" t="str">
        <f t="shared" ref="AN154:AO173" si="33">IF(AN$109=$I154,AN$107,"")</f>
        <v/>
      </c>
      <c r="AO154" s="74" t="str">
        <f t="shared" si="33"/>
        <v/>
      </c>
      <c r="AP154" s="74" t="str">
        <f t="shared" si="22"/>
        <v/>
      </c>
      <c r="AQ154" s="74" t="str">
        <f t="shared" ref="AQ154:AR173" si="34">IF(AQ$109=$I154,AQ$107,"")</f>
        <v/>
      </c>
      <c r="AR154" s="74" t="str">
        <f t="shared" si="34"/>
        <v/>
      </c>
      <c r="AS154" s="74" t="s">
        <v>399</v>
      </c>
      <c r="AT154" s="70" t="s">
        <v>386</v>
      </c>
      <c r="AU154" s="70" t="str">
        <f t="shared" si="23"/>
        <v/>
      </c>
      <c r="AV154" s="74" t="str">
        <f t="shared" ref="AV154:AY173" si="35">IF(AV$109=$E154,AV$107,"")</f>
        <v>O</v>
      </c>
      <c r="AW154" s="74" t="str">
        <f t="shared" si="35"/>
        <v/>
      </c>
      <c r="AX154" s="74" t="str">
        <f t="shared" si="35"/>
        <v>O</v>
      </c>
      <c r="AY154" s="74" t="str">
        <f t="shared" si="35"/>
        <v/>
      </c>
      <c r="AZ154" s="74" t="str">
        <f t="shared" si="24"/>
        <v>O</v>
      </c>
      <c r="BA154" s="74" t="str">
        <f t="shared" si="25"/>
        <v/>
      </c>
      <c r="BB154" s="74" t="str">
        <f t="shared" si="19"/>
        <v/>
      </c>
    </row>
    <row r="155" spans="1:54">
      <c r="A155" s="70">
        <v>2042</v>
      </c>
      <c r="B155" s="124" t="s">
        <v>550</v>
      </c>
      <c r="C155" s="124">
        <v>1093</v>
      </c>
      <c r="D155" s="124" t="s">
        <v>551</v>
      </c>
      <c r="E155" s="124" t="s">
        <v>227</v>
      </c>
      <c r="F155" s="124" t="s">
        <v>329</v>
      </c>
      <c r="G155" s="124" t="s">
        <v>329</v>
      </c>
      <c r="H155" s="124" t="s">
        <v>329</v>
      </c>
      <c r="I155" s="124" t="s">
        <v>352</v>
      </c>
      <c r="J155" s="124">
        <v>1144.6790000000001</v>
      </c>
      <c r="K155" s="124">
        <v>1.073801742076088E-3</v>
      </c>
      <c r="M155" s="70">
        <v>2042</v>
      </c>
      <c r="N155" s="155" t="str">
        <f t="shared" si="6"/>
        <v>R38</v>
      </c>
      <c r="O155" s="137" t="s">
        <v>334</v>
      </c>
      <c r="P155" s="130" t="str">
        <f t="shared" si="7"/>
        <v>R25</v>
      </c>
      <c r="Q155" s="130" t="str">
        <f t="shared" si="8"/>
        <v>Better</v>
      </c>
      <c r="R155" s="130" t="s">
        <v>378</v>
      </c>
      <c r="S155" s="130" t="str">
        <f t="shared" si="9"/>
        <v>Electric FAF</v>
      </c>
      <c r="T155" s="130" t="str">
        <f t="shared" si="10"/>
        <v>Existing</v>
      </c>
      <c r="U155" s="156" t="str">
        <f t="shared" si="20"/>
        <v>PTCS</v>
      </c>
      <c r="V155" s="130" t="str">
        <f t="shared" si="21"/>
        <v>Electric FAFR38R11R25Better</v>
      </c>
      <c r="W155" s="130">
        <f t="shared" si="11"/>
        <v>3025</v>
      </c>
      <c r="X155" s="130"/>
      <c r="Y155" s="130">
        <f t="shared" si="12"/>
        <v>5</v>
      </c>
      <c r="Z155" s="130"/>
      <c r="AA155" s="74" t="str">
        <f t="shared" si="31"/>
        <v>F</v>
      </c>
      <c r="AB155" s="74" t="str">
        <f t="shared" si="31"/>
        <v>O</v>
      </c>
      <c r="AC155" s="74" t="str">
        <f t="shared" si="31"/>
        <v/>
      </c>
      <c r="AD155" s="74" t="str">
        <f t="shared" si="31"/>
        <v/>
      </c>
      <c r="AE155" s="74" t="str">
        <f t="shared" si="31"/>
        <v/>
      </c>
      <c r="AF155" s="74" t="str">
        <f t="shared" si="31"/>
        <v/>
      </c>
      <c r="AG155" s="74" t="str">
        <f t="shared" si="31"/>
        <v/>
      </c>
      <c r="AH155" s="74" t="str">
        <f t="shared" si="31"/>
        <v/>
      </c>
      <c r="AI155" s="74" t="str">
        <f t="shared" si="31"/>
        <v/>
      </c>
      <c r="AJ155" s="74" t="str">
        <f t="shared" si="14"/>
        <v>F</v>
      </c>
      <c r="AK155" s="74" t="str">
        <f t="shared" si="32"/>
        <v>O</v>
      </c>
      <c r="AL155" s="74" t="str">
        <f t="shared" si="32"/>
        <v>F</v>
      </c>
      <c r="AM155" s="74" t="str">
        <f t="shared" si="32"/>
        <v>O</v>
      </c>
      <c r="AN155" s="74" t="str">
        <f t="shared" si="33"/>
        <v/>
      </c>
      <c r="AO155" s="74" t="str">
        <f t="shared" si="33"/>
        <v/>
      </c>
      <c r="AP155" s="74" t="str">
        <f t="shared" si="22"/>
        <v/>
      </c>
      <c r="AQ155" s="74" t="str">
        <f t="shared" si="34"/>
        <v/>
      </c>
      <c r="AR155" s="74" t="str">
        <f t="shared" si="34"/>
        <v/>
      </c>
      <c r="AS155" s="74" t="s">
        <v>399</v>
      </c>
      <c r="AT155" s="70" t="s">
        <v>386</v>
      </c>
      <c r="AU155" s="70" t="str">
        <f t="shared" si="23"/>
        <v>O</v>
      </c>
      <c r="AV155" s="74" t="str">
        <f t="shared" si="35"/>
        <v/>
      </c>
      <c r="AW155" s="74" t="str">
        <f t="shared" si="35"/>
        <v>O</v>
      </c>
      <c r="AX155" s="74" t="str">
        <f t="shared" si="35"/>
        <v/>
      </c>
      <c r="AY155" s="74" t="str">
        <f t="shared" si="35"/>
        <v>O</v>
      </c>
      <c r="AZ155" s="74" t="str">
        <f t="shared" si="24"/>
        <v>O</v>
      </c>
      <c r="BA155" s="74" t="str">
        <f t="shared" si="25"/>
        <v>O</v>
      </c>
      <c r="BB155" s="74" t="str">
        <f t="shared" si="19"/>
        <v>F</v>
      </c>
    </row>
    <row r="156" spans="1:54">
      <c r="A156" s="70">
        <v>2043</v>
      </c>
      <c r="B156" s="124" t="s">
        <v>552</v>
      </c>
      <c r="C156" s="124">
        <v>1102</v>
      </c>
      <c r="D156" s="124" t="s">
        <v>553</v>
      </c>
      <c r="E156" s="124" t="s">
        <v>227</v>
      </c>
      <c r="F156" s="124" t="s">
        <v>329</v>
      </c>
      <c r="G156" s="124" t="s">
        <v>334</v>
      </c>
      <c r="H156" s="124" t="s">
        <v>329</v>
      </c>
      <c r="I156" s="124" t="s">
        <v>352</v>
      </c>
      <c r="J156" s="124">
        <v>12050.708999999999</v>
      </c>
      <c r="K156" s="124">
        <v>1.1304542424078707E-2</v>
      </c>
      <c r="M156" s="70">
        <v>2043</v>
      </c>
      <c r="N156" s="155" t="str">
        <f t="shared" si="6"/>
        <v>R38</v>
      </c>
      <c r="O156" s="137" t="s">
        <v>334</v>
      </c>
      <c r="P156" s="130" t="str">
        <f t="shared" si="7"/>
        <v>R25</v>
      </c>
      <c r="Q156" s="130" t="str">
        <f t="shared" si="8"/>
        <v>Better</v>
      </c>
      <c r="R156" s="130" t="s">
        <v>378</v>
      </c>
      <c r="S156" s="130" t="str">
        <f t="shared" si="9"/>
        <v>Electric FAF</v>
      </c>
      <c r="T156" s="130" t="str">
        <f t="shared" si="10"/>
        <v>Existing</v>
      </c>
      <c r="U156" s="156" t="str">
        <f t="shared" si="20"/>
        <v>PTCS</v>
      </c>
      <c r="V156" s="130" t="str">
        <f t="shared" si="21"/>
        <v>Electric FAFR38R11R25Better</v>
      </c>
      <c r="W156" s="130">
        <f t="shared" si="11"/>
        <v>3025</v>
      </c>
      <c r="X156" s="130"/>
      <c r="Y156" s="130">
        <f t="shared" si="12"/>
        <v>4</v>
      </c>
      <c r="Z156" s="130"/>
      <c r="AA156" s="74" t="str">
        <f t="shared" si="31"/>
        <v>F</v>
      </c>
      <c r="AB156" s="74" t="str">
        <f t="shared" si="31"/>
        <v>O</v>
      </c>
      <c r="AC156" s="74" t="str">
        <f t="shared" si="31"/>
        <v/>
      </c>
      <c r="AD156" s="74" t="str">
        <f t="shared" si="31"/>
        <v/>
      </c>
      <c r="AE156" s="74" t="str">
        <f t="shared" si="31"/>
        <v/>
      </c>
      <c r="AF156" s="74" t="str">
        <f t="shared" si="31"/>
        <v/>
      </c>
      <c r="AG156" s="74" t="str">
        <f t="shared" si="31"/>
        <v/>
      </c>
      <c r="AH156" s="74" t="str">
        <f t="shared" si="31"/>
        <v/>
      </c>
      <c r="AI156" s="74" t="str">
        <f t="shared" si="31"/>
        <v/>
      </c>
      <c r="AJ156" s="74" t="str">
        <f t="shared" si="14"/>
        <v/>
      </c>
      <c r="AK156" s="74" t="str">
        <f t="shared" si="32"/>
        <v>O</v>
      </c>
      <c r="AL156" s="74" t="str">
        <f t="shared" si="32"/>
        <v>F</v>
      </c>
      <c r="AM156" s="74" t="str">
        <f t="shared" si="32"/>
        <v>O</v>
      </c>
      <c r="AN156" s="74" t="str">
        <f t="shared" si="33"/>
        <v/>
      </c>
      <c r="AO156" s="74" t="str">
        <f t="shared" si="33"/>
        <v/>
      </c>
      <c r="AP156" s="74" t="str">
        <f t="shared" si="22"/>
        <v/>
      </c>
      <c r="AQ156" s="74" t="str">
        <f t="shared" si="34"/>
        <v/>
      </c>
      <c r="AR156" s="74" t="str">
        <f t="shared" si="34"/>
        <v/>
      </c>
      <c r="AS156" s="74" t="s">
        <v>399</v>
      </c>
      <c r="AT156" s="70" t="s">
        <v>386</v>
      </c>
      <c r="AU156" s="70" t="str">
        <f t="shared" si="23"/>
        <v>O</v>
      </c>
      <c r="AV156" s="74" t="str">
        <f t="shared" si="35"/>
        <v/>
      </c>
      <c r="AW156" s="74" t="str">
        <f t="shared" si="35"/>
        <v>O</v>
      </c>
      <c r="AX156" s="74" t="str">
        <f t="shared" si="35"/>
        <v/>
      </c>
      <c r="AY156" s="74" t="str">
        <f t="shared" si="35"/>
        <v>O</v>
      </c>
      <c r="AZ156" s="74" t="str">
        <f t="shared" si="24"/>
        <v>O</v>
      </c>
      <c r="BA156" s="74" t="str">
        <f t="shared" si="25"/>
        <v>O</v>
      </c>
      <c r="BB156" s="74" t="str">
        <f t="shared" si="19"/>
        <v>F</v>
      </c>
    </row>
    <row r="157" spans="1:54">
      <c r="A157" s="70">
        <v>2044</v>
      </c>
      <c r="B157" s="124" t="s">
        <v>554</v>
      </c>
      <c r="C157" s="124">
        <v>1105</v>
      </c>
      <c r="D157" s="124" t="s">
        <v>555</v>
      </c>
      <c r="E157" s="124" t="s">
        <v>227</v>
      </c>
      <c r="F157" s="124" t="s">
        <v>329</v>
      </c>
      <c r="G157" s="124" t="s">
        <v>334</v>
      </c>
      <c r="H157" s="124" t="s">
        <v>335</v>
      </c>
      <c r="I157" s="124" t="s">
        <v>352</v>
      </c>
      <c r="J157" s="124">
        <v>12705.415999999999</v>
      </c>
      <c r="K157" s="124">
        <v>1.1918710690596577E-2</v>
      </c>
      <c r="M157" s="70">
        <v>2044</v>
      </c>
      <c r="N157" s="155" t="str">
        <f t="shared" si="6"/>
        <v>R38</v>
      </c>
      <c r="O157" s="137" t="s">
        <v>334</v>
      </c>
      <c r="P157" s="130" t="str">
        <f t="shared" si="7"/>
        <v>R19</v>
      </c>
      <c r="Q157" s="130" t="str">
        <f t="shared" si="8"/>
        <v>Better</v>
      </c>
      <c r="R157" s="130" t="s">
        <v>378</v>
      </c>
      <c r="S157" s="130" t="str">
        <f t="shared" si="9"/>
        <v>Electric FAF</v>
      </c>
      <c r="T157" s="130" t="str">
        <f t="shared" si="10"/>
        <v>Existing</v>
      </c>
      <c r="U157" s="156" t="str">
        <f t="shared" si="20"/>
        <v>PTCS</v>
      </c>
      <c r="V157" s="130" t="str">
        <f t="shared" si="21"/>
        <v>Electric FAFR38R11R19Better</v>
      </c>
      <c r="W157" s="130">
        <f t="shared" si="11"/>
        <v>3018</v>
      </c>
      <c r="X157" s="130"/>
      <c r="Y157" s="130">
        <f t="shared" si="12"/>
        <v>3</v>
      </c>
      <c r="Z157" s="130"/>
      <c r="AA157" s="74" t="str">
        <f t="shared" si="31"/>
        <v>F</v>
      </c>
      <c r="AB157" s="74" t="str">
        <f t="shared" si="31"/>
        <v>O</v>
      </c>
      <c r="AC157" s="74" t="str">
        <f t="shared" si="31"/>
        <v/>
      </c>
      <c r="AD157" s="74" t="str">
        <f t="shared" si="31"/>
        <v/>
      </c>
      <c r="AE157" s="74" t="str">
        <f t="shared" si="31"/>
        <v/>
      </c>
      <c r="AF157" s="74" t="str">
        <f t="shared" si="31"/>
        <v/>
      </c>
      <c r="AG157" s="74" t="str">
        <f t="shared" si="31"/>
        <v/>
      </c>
      <c r="AH157" s="74" t="str">
        <f t="shared" si="31"/>
        <v/>
      </c>
      <c r="AI157" s="74" t="str">
        <f t="shared" si="31"/>
        <v/>
      </c>
      <c r="AJ157" s="74" t="str">
        <f t="shared" si="14"/>
        <v/>
      </c>
      <c r="AK157" s="74" t="str">
        <f t="shared" si="32"/>
        <v/>
      </c>
      <c r="AL157" s="74" t="str">
        <f t="shared" si="32"/>
        <v/>
      </c>
      <c r="AM157" s="74" t="str">
        <f t="shared" si="32"/>
        <v/>
      </c>
      <c r="AN157" s="74" t="str">
        <f t="shared" si="33"/>
        <v/>
      </c>
      <c r="AO157" s="74" t="str">
        <f t="shared" si="33"/>
        <v/>
      </c>
      <c r="AP157" s="74" t="str">
        <f t="shared" si="22"/>
        <v/>
      </c>
      <c r="AQ157" s="74" t="str">
        <f t="shared" si="34"/>
        <v/>
      </c>
      <c r="AR157" s="74" t="str">
        <f t="shared" si="34"/>
        <v/>
      </c>
      <c r="AS157" s="74" t="s">
        <v>399</v>
      </c>
      <c r="AT157" s="70" t="s">
        <v>386</v>
      </c>
      <c r="AU157" s="70" t="str">
        <f t="shared" si="23"/>
        <v>O</v>
      </c>
      <c r="AV157" s="74" t="str">
        <f t="shared" si="35"/>
        <v/>
      </c>
      <c r="AW157" s="74" t="str">
        <f t="shared" si="35"/>
        <v>O</v>
      </c>
      <c r="AX157" s="74" t="str">
        <f t="shared" si="35"/>
        <v/>
      </c>
      <c r="AY157" s="74" t="str">
        <f t="shared" si="35"/>
        <v>O</v>
      </c>
      <c r="AZ157" s="74" t="str">
        <f t="shared" si="24"/>
        <v>O</v>
      </c>
      <c r="BA157" s="74" t="str">
        <f t="shared" si="25"/>
        <v>O</v>
      </c>
      <c r="BB157" s="74" t="str">
        <f t="shared" si="19"/>
        <v>F</v>
      </c>
    </row>
    <row r="158" spans="1:54">
      <c r="A158" s="70">
        <v>2045</v>
      </c>
      <c r="B158" s="124" t="s">
        <v>556</v>
      </c>
      <c r="C158" s="124">
        <v>1108</v>
      </c>
      <c r="D158" s="124" t="s">
        <v>557</v>
      </c>
      <c r="E158" s="124" t="s">
        <v>227</v>
      </c>
      <c r="F158" s="124" t="s">
        <v>329</v>
      </c>
      <c r="G158" s="124" t="s">
        <v>334</v>
      </c>
      <c r="H158" s="124" t="s">
        <v>352</v>
      </c>
      <c r="I158" s="124" t="s">
        <v>352</v>
      </c>
      <c r="J158" s="124">
        <v>1464.694</v>
      </c>
      <c r="K158" s="124">
        <v>1.3740017671403017E-3</v>
      </c>
      <c r="M158" s="70">
        <v>2045</v>
      </c>
      <c r="N158" s="155" t="str">
        <f t="shared" si="6"/>
        <v>R38</v>
      </c>
      <c r="O158" s="137" t="s">
        <v>334</v>
      </c>
      <c r="P158" s="130" t="str">
        <f t="shared" si="7"/>
        <v>Better</v>
      </c>
      <c r="Q158" s="130" t="str">
        <f t="shared" si="8"/>
        <v>Better</v>
      </c>
      <c r="R158" s="130" t="s">
        <v>378</v>
      </c>
      <c r="S158" s="130" t="str">
        <f t="shared" si="9"/>
        <v>Electric FAF</v>
      </c>
      <c r="T158" s="130" t="str">
        <f t="shared" si="10"/>
        <v>Existing</v>
      </c>
      <c r="U158" s="156" t="str">
        <f t="shared" si="20"/>
        <v>PTCS</v>
      </c>
      <c r="V158" s="130" t="str">
        <f t="shared" si="21"/>
        <v>Electric FAFR38R11BetterBetter</v>
      </c>
      <c r="W158" s="130">
        <f t="shared" si="11"/>
        <v>3011</v>
      </c>
      <c r="X158" s="130"/>
      <c r="Y158" s="130">
        <f t="shared" si="12"/>
        <v>3</v>
      </c>
      <c r="Z158" s="130"/>
      <c r="AA158" s="74" t="str">
        <f t="shared" si="31"/>
        <v>F</v>
      </c>
      <c r="AB158" s="74" t="str">
        <f t="shared" si="31"/>
        <v>O</v>
      </c>
      <c r="AC158" s="74" t="str">
        <f t="shared" si="31"/>
        <v/>
      </c>
      <c r="AD158" s="74" t="str">
        <f t="shared" si="31"/>
        <v/>
      </c>
      <c r="AE158" s="74" t="str">
        <f t="shared" si="31"/>
        <v/>
      </c>
      <c r="AF158" s="74" t="str">
        <f t="shared" si="31"/>
        <v/>
      </c>
      <c r="AG158" s="74" t="str">
        <f t="shared" si="31"/>
        <v/>
      </c>
      <c r="AH158" s="74" t="str">
        <f t="shared" si="31"/>
        <v/>
      </c>
      <c r="AI158" s="74" t="str">
        <f t="shared" si="31"/>
        <v/>
      </c>
      <c r="AJ158" s="74" t="str">
        <f t="shared" si="14"/>
        <v/>
      </c>
      <c r="AK158" s="74" t="str">
        <f t="shared" si="32"/>
        <v/>
      </c>
      <c r="AL158" s="74" t="str">
        <f t="shared" si="32"/>
        <v/>
      </c>
      <c r="AM158" s="74" t="str">
        <f t="shared" si="32"/>
        <v/>
      </c>
      <c r="AN158" s="74" t="str">
        <f t="shared" si="33"/>
        <v/>
      </c>
      <c r="AO158" s="74" t="str">
        <f t="shared" si="33"/>
        <v/>
      </c>
      <c r="AP158" s="74" t="str">
        <f t="shared" si="22"/>
        <v/>
      </c>
      <c r="AQ158" s="74" t="str">
        <f t="shared" si="34"/>
        <v/>
      </c>
      <c r="AR158" s="74" t="str">
        <f t="shared" si="34"/>
        <v/>
      </c>
      <c r="AS158" s="74" t="s">
        <v>399</v>
      </c>
      <c r="AT158" s="70" t="s">
        <v>386</v>
      </c>
      <c r="AU158" s="70" t="str">
        <f t="shared" si="23"/>
        <v>O</v>
      </c>
      <c r="AV158" s="74" t="str">
        <f t="shared" si="35"/>
        <v/>
      </c>
      <c r="AW158" s="74" t="str">
        <f t="shared" si="35"/>
        <v>O</v>
      </c>
      <c r="AX158" s="74" t="str">
        <f t="shared" si="35"/>
        <v/>
      </c>
      <c r="AY158" s="74" t="str">
        <f t="shared" si="35"/>
        <v>O</v>
      </c>
      <c r="AZ158" s="74" t="str">
        <f t="shared" si="24"/>
        <v>O</v>
      </c>
      <c r="BA158" s="74" t="str">
        <f t="shared" si="25"/>
        <v>O</v>
      </c>
      <c r="BB158" s="74" t="str">
        <f t="shared" si="19"/>
        <v>F</v>
      </c>
    </row>
    <row r="159" spans="1:54">
      <c r="A159" s="70">
        <v>2046</v>
      </c>
      <c r="B159" s="124" t="s">
        <v>558</v>
      </c>
      <c r="C159" s="124">
        <v>1117</v>
      </c>
      <c r="D159" s="124" t="s">
        <v>559</v>
      </c>
      <c r="E159" s="124" t="s">
        <v>227</v>
      </c>
      <c r="F159" s="124" t="s">
        <v>334</v>
      </c>
      <c r="G159" s="124" t="s">
        <v>329</v>
      </c>
      <c r="H159" s="124" t="s">
        <v>352</v>
      </c>
      <c r="I159" s="124" t="s">
        <v>352</v>
      </c>
      <c r="J159" s="124">
        <v>3908.0039999999999</v>
      </c>
      <c r="K159" s="124">
        <v>3.6660247136885708E-3</v>
      </c>
      <c r="M159" s="70">
        <v>2046</v>
      </c>
      <c r="N159" s="155" t="str">
        <f t="shared" si="6"/>
        <v>R38</v>
      </c>
      <c r="O159" s="137" t="s">
        <v>334</v>
      </c>
      <c r="P159" s="130" t="str">
        <f t="shared" si="7"/>
        <v>Better</v>
      </c>
      <c r="Q159" s="130" t="str">
        <f t="shared" si="8"/>
        <v>Better</v>
      </c>
      <c r="R159" s="130" t="s">
        <v>378</v>
      </c>
      <c r="S159" s="130" t="str">
        <f t="shared" si="9"/>
        <v>Electric FAF</v>
      </c>
      <c r="T159" s="130" t="str">
        <f t="shared" si="10"/>
        <v>Existing</v>
      </c>
      <c r="U159" s="156" t="str">
        <f t="shared" si="20"/>
        <v>PTCS</v>
      </c>
      <c r="V159" s="130" t="str">
        <f t="shared" si="21"/>
        <v>Electric FAFR38R11BetterBetter</v>
      </c>
      <c r="W159" s="130">
        <f t="shared" si="11"/>
        <v>3011</v>
      </c>
      <c r="X159" s="130"/>
      <c r="Y159" s="130">
        <f t="shared" si="12"/>
        <v>4</v>
      </c>
      <c r="Z159" s="130"/>
      <c r="AA159" s="74" t="str">
        <f t="shared" si="31"/>
        <v/>
      </c>
      <c r="AB159" s="74" t="str">
        <f t="shared" si="31"/>
        <v/>
      </c>
      <c r="AC159" s="74" t="str">
        <f t="shared" si="31"/>
        <v>F</v>
      </c>
      <c r="AD159" s="74" t="str">
        <f t="shared" si="31"/>
        <v>O</v>
      </c>
      <c r="AE159" s="74" t="str">
        <f t="shared" si="31"/>
        <v/>
      </c>
      <c r="AF159" s="74" t="str">
        <f t="shared" si="31"/>
        <v/>
      </c>
      <c r="AG159" s="74" t="str">
        <f t="shared" si="31"/>
        <v/>
      </c>
      <c r="AH159" s="74" t="str">
        <f t="shared" si="31"/>
        <v/>
      </c>
      <c r="AI159" s="74" t="str">
        <f t="shared" si="31"/>
        <v/>
      </c>
      <c r="AJ159" s="74" t="str">
        <f t="shared" si="14"/>
        <v>F</v>
      </c>
      <c r="AK159" s="74" t="str">
        <f t="shared" si="32"/>
        <v/>
      </c>
      <c r="AL159" s="74" t="str">
        <f t="shared" si="32"/>
        <v/>
      </c>
      <c r="AM159" s="74" t="str">
        <f t="shared" si="32"/>
        <v/>
      </c>
      <c r="AN159" s="74" t="str">
        <f t="shared" si="33"/>
        <v/>
      </c>
      <c r="AO159" s="74" t="str">
        <f t="shared" si="33"/>
        <v/>
      </c>
      <c r="AP159" s="74" t="str">
        <f t="shared" si="22"/>
        <v/>
      </c>
      <c r="AQ159" s="74" t="str">
        <f t="shared" si="34"/>
        <v/>
      </c>
      <c r="AR159" s="74" t="str">
        <f t="shared" si="34"/>
        <v/>
      </c>
      <c r="AS159" s="74" t="s">
        <v>399</v>
      </c>
      <c r="AT159" s="70" t="s">
        <v>386</v>
      </c>
      <c r="AU159" s="70" t="str">
        <f t="shared" si="23"/>
        <v>O</v>
      </c>
      <c r="AV159" s="74" t="str">
        <f t="shared" si="35"/>
        <v/>
      </c>
      <c r="AW159" s="74" t="str">
        <f t="shared" si="35"/>
        <v>O</v>
      </c>
      <c r="AX159" s="74" t="str">
        <f t="shared" si="35"/>
        <v/>
      </c>
      <c r="AY159" s="74" t="str">
        <f t="shared" si="35"/>
        <v>O</v>
      </c>
      <c r="AZ159" s="74" t="str">
        <f t="shared" si="24"/>
        <v>O</v>
      </c>
      <c r="BA159" s="74" t="str">
        <f t="shared" si="25"/>
        <v>O</v>
      </c>
      <c r="BB159" s="74" t="str">
        <f t="shared" si="19"/>
        <v>F</v>
      </c>
    </row>
    <row r="160" spans="1:54">
      <c r="A160" s="70">
        <v>2047</v>
      </c>
      <c r="B160" s="124" t="s">
        <v>560</v>
      </c>
      <c r="C160" s="124">
        <v>1119</v>
      </c>
      <c r="D160" s="124" t="s">
        <v>561</v>
      </c>
      <c r="E160" s="124" t="s">
        <v>227</v>
      </c>
      <c r="F160" s="124" t="s">
        <v>334</v>
      </c>
      <c r="G160" s="124" t="s">
        <v>334</v>
      </c>
      <c r="H160" s="124" t="s">
        <v>329</v>
      </c>
      <c r="I160" s="124" t="s">
        <v>339</v>
      </c>
      <c r="J160" s="124">
        <v>2079.9929999999999</v>
      </c>
      <c r="K160" s="124">
        <v>1.9512021334418368E-3</v>
      </c>
      <c r="M160" s="70">
        <v>2047</v>
      </c>
      <c r="N160" s="155" t="str">
        <f t="shared" si="6"/>
        <v>R38</v>
      </c>
      <c r="O160" s="137" t="s">
        <v>334</v>
      </c>
      <c r="P160" s="130" t="str">
        <f t="shared" si="7"/>
        <v>R25</v>
      </c>
      <c r="Q160" s="130" t="str">
        <f t="shared" si="8"/>
        <v>u30</v>
      </c>
      <c r="R160" s="130" t="s">
        <v>378</v>
      </c>
      <c r="S160" s="130" t="str">
        <f t="shared" si="9"/>
        <v>Electric FAF</v>
      </c>
      <c r="T160" s="130" t="str">
        <f t="shared" si="10"/>
        <v>Existing</v>
      </c>
      <c r="U160" s="156" t="str">
        <f t="shared" si="20"/>
        <v>PTCS</v>
      </c>
      <c r="V160" s="130" t="str">
        <f t="shared" si="21"/>
        <v>Electric FAFR38R11R25u30</v>
      </c>
      <c r="W160" s="130">
        <f t="shared" si="11"/>
        <v>3026</v>
      </c>
      <c r="X160" s="130"/>
      <c r="Y160" s="130">
        <f t="shared" si="12"/>
        <v>5</v>
      </c>
      <c r="Z160" s="130"/>
      <c r="AA160" s="74" t="str">
        <f t="shared" si="31"/>
        <v/>
      </c>
      <c r="AB160" s="74" t="str">
        <f t="shared" si="31"/>
        <v/>
      </c>
      <c r="AC160" s="74" t="str">
        <f t="shared" si="31"/>
        <v>F</v>
      </c>
      <c r="AD160" s="74" t="str">
        <f t="shared" si="31"/>
        <v>O</v>
      </c>
      <c r="AE160" s="74" t="str">
        <f t="shared" si="31"/>
        <v/>
      </c>
      <c r="AF160" s="74" t="str">
        <f t="shared" si="31"/>
        <v/>
      </c>
      <c r="AG160" s="74" t="str">
        <f t="shared" si="31"/>
        <v/>
      </c>
      <c r="AH160" s="74" t="str">
        <f t="shared" si="31"/>
        <v/>
      </c>
      <c r="AI160" s="74" t="str">
        <f t="shared" si="31"/>
        <v/>
      </c>
      <c r="AJ160" s="74" t="str">
        <f t="shared" si="14"/>
        <v/>
      </c>
      <c r="AK160" s="74" t="str">
        <f t="shared" si="32"/>
        <v>O</v>
      </c>
      <c r="AL160" s="74" t="str">
        <f t="shared" si="32"/>
        <v>F</v>
      </c>
      <c r="AM160" s="74" t="str">
        <f t="shared" si="32"/>
        <v>O</v>
      </c>
      <c r="AN160" s="74" t="str">
        <f t="shared" si="33"/>
        <v/>
      </c>
      <c r="AO160" s="74" t="str">
        <f t="shared" si="33"/>
        <v>F</v>
      </c>
      <c r="AP160" s="74" t="str">
        <f t="shared" si="22"/>
        <v>O</v>
      </c>
      <c r="AQ160" s="74" t="str">
        <f t="shared" si="34"/>
        <v/>
      </c>
      <c r="AR160" s="74" t="str">
        <f t="shared" si="34"/>
        <v>O</v>
      </c>
      <c r="AS160" s="74" t="s">
        <v>399</v>
      </c>
      <c r="AT160" s="70" t="s">
        <v>386</v>
      </c>
      <c r="AU160" s="70" t="str">
        <f t="shared" si="23"/>
        <v>O</v>
      </c>
      <c r="AV160" s="74" t="str">
        <f t="shared" si="35"/>
        <v/>
      </c>
      <c r="AW160" s="74" t="str">
        <f t="shared" si="35"/>
        <v>O</v>
      </c>
      <c r="AX160" s="74" t="str">
        <f t="shared" si="35"/>
        <v/>
      </c>
      <c r="AY160" s="74" t="str">
        <f t="shared" si="35"/>
        <v>O</v>
      </c>
      <c r="AZ160" s="74" t="str">
        <f t="shared" si="24"/>
        <v>O</v>
      </c>
      <c r="BA160" s="74" t="str">
        <f t="shared" si="25"/>
        <v>O</v>
      </c>
      <c r="BB160" s="74" t="str">
        <f t="shared" si="19"/>
        <v>F</v>
      </c>
    </row>
    <row r="161" spans="1:54">
      <c r="A161" s="70">
        <v>2048</v>
      </c>
      <c r="B161" s="124" t="s">
        <v>562</v>
      </c>
      <c r="C161" s="124">
        <v>1123</v>
      </c>
      <c r="D161" s="124" t="s">
        <v>563</v>
      </c>
      <c r="E161" s="124" t="s">
        <v>227</v>
      </c>
      <c r="F161" s="124" t="s">
        <v>334</v>
      </c>
      <c r="G161" s="124" t="s">
        <v>334</v>
      </c>
      <c r="H161" s="124" t="s">
        <v>335</v>
      </c>
      <c r="I161" s="124" t="s">
        <v>352</v>
      </c>
      <c r="J161" s="124">
        <v>2079.9929999999999</v>
      </c>
      <c r="K161" s="124">
        <v>1.9512021334418368E-3</v>
      </c>
      <c r="M161" s="70">
        <v>2048</v>
      </c>
      <c r="N161" s="155" t="str">
        <f t="shared" si="6"/>
        <v>R38</v>
      </c>
      <c r="O161" s="137" t="s">
        <v>334</v>
      </c>
      <c r="P161" s="130" t="str">
        <f t="shared" si="7"/>
        <v>R19</v>
      </c>
      <c r="Q161" s="130" t="str">
        <f t="shared" si="8"/>
        <v>Better</v>
      </c>
      <c r="R161" s="130" t="s">
        <v>378</v>
      </c>
      <c r="S161" s="130" t="str">
        <f t="shared" si="9"/>
        <v>Electric FAF</v>
      </c>
      <c r="T161" s="130" t="str">
        <f t="shared" si="10"/>
        <v>Existing</v>
      </c>
      <c r="U161" s="156" t="str">
        <f t="shared" si="20"/>
        <v>PTCS</v>
      </c>
      <c r="V161" s="130" t="str">
        <f t="shared" si="21"/>
        <v>Electric FAFR38R11R19Better</v>
      </c>
      <c r="W161" s="130">
        <f t="shared" si="11"/>
        <v>3018</v>
      </c>
      <c r="X161" s="130"/>
      <c r="Y161" s="130">
        <f t="shared" si="12"/>
        <v>3</v>
      </c>
      <c r="Z161" s="130"/>
      <c r="AA161" s="74" t="str">
        <f t="shared" si="31"/>
        <v/>
      </c>
      <c r="AB161" s="74" t="str">
        <f t="shared" si="31"/>
        <v/>
      </c>
      <c r="AC161" s="74" t="str">
        <f t="shared" si="31"/>
        <v>F</v>
      </c>
      <c r="AD161" s="74" t="str">
        <f t="shared" si="31"/>
        <v>O</v>
      </c>
      <c r="AE161" s="74" t="str">
        <f t="shared" si="31"/>
        <v/>
      </c>
      <c r="AF161" s="74" t="str">
        <f t="shared" si="31"/>
        <v/>
      </c>
      <c r="AG161" s="74" t="str">
        <f t="shared" si="31"/>
        <v/>
      </c>
      <c r="AH161" s="74" t="str">
        <f t="shared" si="31"/>
        <v/>
      </c>
      <c r="AI161" s="74" t="str">
        <f t="shared" si="31"/>
        <v/>
      </c>
      <c r="AJ161" s="74" t="str">
        <f t="shared" si="14"/>
        <v/>
      </c>
      <c r="AK161" s="74" t="str">
        <f t="shared" si="32"/>
        <v/>
      </c>
      <c r="AL161" s="74" t="str">
        <f t="shared" si="32"/>
        <v/>
      </c>
      <c r="AM161" s="74" t="str">
        <f t="shared" si="32"/>
        <v/>
      </c>
      <c r="AN161" s="74" t="str">
        <f t="shared" si="33"/>
        <v/>
      </c>
      <c r="AO161" s="74" t="str">
        <f t="shared" si="33"/>
        <v/>
      </c>
      <c r="AP161" s="74" t="str">
        <f t="shared" si="22"/>
        <v/>
      </c>
      <c r="AQ161" s="74" t="str">
        <f t="shared" si="34"/>
        <v/>
      </c>
      <c r="AR161" s="74" t="str">
        <f t="shared" si="34"/>
        <v/>
      </c>
      <c r="AS161" s="74" t="s">
        <v>399</v>
      </c>
      <c r="AT161" s="70" t="s">
        <v>386</v>
      </c>
      <c r="AU161" s="70" t="str">
        <f t="shared" si="23"/>
        <v>O</v>
      </c>
      <c r="AV161" s="74" t="str">
        <f t="shared" si="35"/>
        <v/>
      </c>
      <c r="AW161" s="74" t="str">
        <f t="shared" si="35"/>
        <v>O</v>
      </c>
      <c r="AX161" s="74" t="str">
        <f t="shared" si="35"/>
        <v/>
      </c>
      <c r="AY161" s="74" t="str">
        <f t="shared" si="35"/>
        <v>O</v>
      </c>
      <c r="AZ161" s="74" t="str">
        <f t="shared" si="24"/>
        <v>O</v>
      </c>
      <c r="BA161" s="74" t="str">
        <f t="shared" si="25"/>
        <v>O</v>
      </c>
      <c r="BB161" s="74" t="str">
        <f t="shared" si="19"/>
        <v>F</v>
      </c>
    </row>
    <row r="162" spans="1:54">
      <c r="A162" s="70">
        <v>2049</v>
      </c>
      <c r="B162" s="124" t="s">
        <v>564</v>
      </c>
      <c r="C162" s="124">
        <v>1137</v>
      </c>
      <c r="D162" s="124" t="s">
        <v>565</v>
      </c>
      <c r="E162" s="124" t="s">
        <v>227</v>
      </c>
      <c r="F162" s="124" t="s">
        <v>335</v>
      </c>
      <c r="G162" s="124" t="s">
        <v>334</v>
      </c>
      <c r="H162" s="124" t="s">
        <v>329</v>
      </c>
      <c r="I162" s="124" t="s">
        <v>339</v>
      </c>
      <c r="J162" s="124">
        <v>8264.9449999999997</v>
      </c>
      <c r="K162" s="124">
        <v>7.7531887447599302E-3</v>
      </c>
      <c r="M162" s="70">
        <v>2049</v>
      </c>
      <c r="N162" s="155" t="str">
        <f t="shared" si="6"/>
        <v>R38</v>
      </c>
      <c r="O162" s="137" t="s">
        <v>334</v>
      </c>
      <c r="P162" s="130" t="str">
        <f t="shared" si="7"/>
        <v>R25</v>
      </c>
      <c r="Q162" s="130" t="str">
        <f t="shared" si="8"/>
        <v>u30</v>
      </c>
      <c r="R162" s="130" t="s">
        <v>378</v>
      </c>
      <c r="S162" s="130" t="str">
        <f t="shared" si="9"/>
        <v>Electric FAF</v>
      </c>
      <c r="T162" s="130" t="str">
        <f t="shared" si="10"/>
        <v>Existing</v>
      </c>
      <c r="U162" s="156" t="str">
        <f t="shared" si="20"/>
        <v>PTCS</v>
      </c>
      <c r="V162" s="130" t="str">
        <f t="shared" si="21"/>
        <v>Electric FAFR38R11R25u30</v>
      </c>
      <c r="W162" s="130">
        <f t="shared" si="11"/>
        <v>3026</v>
      </c>
      <c r="X162" s="130"/>
      <c r="Y162" s="130">
        <f t="shared" si="12"/>
        <v>5</v>
      </c>
      <c r="Z162" s="130"/>
      <c r="AA162" s="74" t="str">
        <f t="shared" ref="AA162:AI177" si="36">IF(AA$109=$F162,AA$107,"")</f>
        <v/>
      </c>
      <c r="AB162" s="74" t="str">
        <f t="shared" si="36"/>
        <v/>
      </c>
      <c r="AC162" s="74" t="str">
        <f t="shared" si="36"/>
        <v/>
      </c>
      <c r="AD162" s="74" t="str">
        <f t="shared" si="36"/>
        <v/>
      </c>
      <c r="AE162" s="74" t="str">
        <f t="shared" si="36"/>
        <v>F</v>
      </c>
      <c r="AF162" s="74" t="str">
        <f t="shared" si="36"/>
        <v>O</v>
      </c>
      <c r="AG162" s="74" t="str">
        <f t="shared" si="36"/>
        <v/>
      </c>
      <c r="AH162" s="74" t="str">
        <f t="shared" si="36"/>
        <v/>
      </c>
      <c r="AI162" s="74" t="str">
        <f t="shared" si="36"/>
        <v/>
      </c>
      <c r="AJ162" s="74" t="str">
        <f t="shared" si="14"/>
        <v/>
      </c>
      <c r="AK162" s="74" t="str">
        <f t="shared" si="32"/>
        <v>O</v>
      </c>
      <c r="AL162" s="74" t="str">
        <f t="shared" si="32"/>
        <v>F</v>
      </c>
      <c r="AM162" s="74" t="str">
        <f t="shared" si="32"/>
        <v>O</v>
      </c>
      <c r="AN162" s="74" t="str">
        <f t="shared" si="33"/>
        <v/>
      </c>
      <c r="AO162" s="74" t="str">
        <f t="shared" si="33"/>
        <v>F</v>
      </c>
      <c r="AP162" s="74" t="str">
        <f t="shared" si="22"/>
        <v>O</v>
      </c>
      <c r="AQ162" s="74" t="str">
        <f t="shared" si="34"/>
        <v/>
      </c>
      <c r="AR162" s="74" t="str">
        <f t="shared" si="34"/>
        <v>O</v>
      </c>
      <c r="AS162" s="74" t="s">
        <v>399</v>
      </c>
      <c r="AT162" s="70" t="s">
        <v>386</v>
      </c>
      <c r="AU162" s="70" t="str">
        <f t="shared" si="23"/>
        <v>O</v>
      </c>
      <c r="AV162" s="74" t="str">
        <f t="shared" si="35"/>
        <v/>
      </c>
      <c r="AW162" s="74" t="str">
        <f t="shared" si="35"/>
        <v>O</v>
      </c>
      <c r="AX162" s="74" t="str">
        <f t="shared" si="35"/>
        <v/>
      </c>
      <c r="AY162" s="74" t="str">
        <f t="shared" si="35"/>
        <v>O</v>
      </c>
      <c r="AZ162" s="74" t="str">
        <f t="shared" si="24"/>
        <v>O</v>
      </c>
      <c r="BA162" s="74" t="str">
        <f t="shared" si="25"/>
        <v>O</v>
      </c>
      <c r="BB162" s="74" t="str">
        <f t="shared" si="19"/>
        <v>F</v>
      </c>
    </row>
    <row r="163" spans="1:54">
      <c r="A163" s="70">
        <v>2050</v>
      </c>
      <c r="B163" s="124" t="s">
        <v>566</v>
      </c>
      <c r="C163" s="124">
        <v>1138</v>
      </c>
      <c r="D163" s="124" t="s">
        <v>567</v>
      </c>
      <c r="E163" s="124" t="s">
        <v>227</v>
      </c>
      <c r="F163" s="124" t="s">
        <v>335</v>
      </c>
      <c r="G163" s="124" t="s">
        <v>334</v>
      </c>
      <c r="H163" s="124" t="s">
        <v>329</v>
      </c>
      <c r="I163" s="124" t="s">
        <v>352</v>
      </c>
      <c r="J163" s="124">
        <v>5081.1019999999999</v>
      </c>
      <c r="K163" s="124">
        <v>4.7664857827096454E-3</v>
      </c>
      <c r="M163" s="70">
        <v>2050</v>
      </c>
      <c r="N163" s="155" t="str">
        <f t="shared" si="6"/>
        <v>R38</v>
      </c>
      <c r="O163" s="137" t="s">
        <v>334</v>
      </c>
      <c r="P163" s="130" t="str">
        <f t="shared" si="7"/>
        <v>R25</v>
      </c>
      <c r="Q163" s="130" t="str">
        <f t="shared" si="8"/>
        <v>Better</v>
      </c>
      <c r="R163" s="130" t="s">
        <v>378</v>
      </c>
      <c r="S163" s="130" t="str">
        <f t="shared" si="9"/>
        <v>Electric FAF</v>
      </c>
      <c r="T163" s="130" t="str">
        <f t="shared" si="10"/>
        <v>Existing</v>
      </c>
      <c r="U163" s="156" t="str">
        <f t="shared" si="20"/>
        <v>PTCS</v>
      </c>
      <c r="V163" s="130" t="str">
        <f t="shared" si="21"/>
        <v>Electric FAFR38R11R25Better</v>
      </c>
      <c r="W163" s="130">
        <f t="shared" si="11"/>
        <v>3025</v>
      </c>
      <c r="X163" s="130"/>
      <c r="Y163" s="130">
        <f t="shared" si="12"/>
        <v>4</v>
      </c>
      <c r="Z163" s="130"/>
      <c r="AA163" s="74" t="str">
        <f t="shared" si="36"/>
        <v/>
      </c>
      <c r="AB163" s="74" t="str">
        <f t="shared" si="36"/>
        <v/>
      </c>
      <c r="AC163" s="74" t="str">
        <f t="shared" si="36"/>
        <v/>
      </c>
      <c r="AD163" s="74" t="str">
        <f t="shared" si="36"/>
        <v/>
      </c>
      <c r="AE163" s="74" t="str">
        <f t="shared" si="36"/>
        <v>F</v>
      </c>
      <c r="AF163" s="74" t="str">
        <f t="shared" si="36"/>
        <v>O</v>
      </c>
      <c r="AG163" s="74" t="str">
        <f t="shared" si="36"/>
        <v/>
      </c>
      <c r="AH163" s="74" t="str">
        <f t="shared" si="36"/>
        <v/>
      </c>
      <c r="AI163" s="74" t="str">
        <f t="shared" si="36"/>
        <v/>
      </c>
      <c r="AJ163" s="74" t="str">
        <f t="shared" si="14"/>
        <v/>
      </c>
      <c r="AK163" s="74" t="str">
        <f t="shared" si="32"/>
        <v>O</v>
      </c>
      <c r="AL163" s="74" t="str">
        <f t="shared" si="32"/>
        <v>F</v>
      </c>
      <c r="AM163" s="74" t="str">
        <f t="shared" si="32"/>
        <v>O</v>
      </c>
      <c r="AN163" s="74" t="str">
        <f t="shared" si="33"/>
        <v/>
      </c>
      <c r="AO163" s="74" t="str">
        <f t="shared" si="33"/>
        <v/>
      </c>
      <c r="AP163" s="74" t="str">
        <f t="shared" si="22"/>
        <v/>
      </c>
      <c r="AQ163" s="74" t="str">
        <f t="shared" si="34"/>
        <v/>
      </c>
      <c r="AR163" s="74" t="str">
        <f t="shared" si="34"/>
        <v/>
      </c>
      <c r="AS163" s="74" t="s">
        <v>399</v>
      </c>
      <c r="AT163" s="70" t="s">
        <v>386</v>
      </c>
      <c r="AU163" s="70" t="str">
        <f t="shared" si="23"/>
        <v>O</v>
      </c>
      <c r="AV163" s="74" t="str">
        <f t="shared" si="35"/>
        <v/>
      </c>
      <c r="AW163" s="74" t="str">
        <f t="shared" si="35"/>
        <v>O</v>
      </c>
      <c r="AX163" s="74" t="str">
        <f t="shared" si="35"/>
        <v/>
      </c>
      <c r="AY163" s="74" t="str">
        <f t="shared" si="35"/>
        <v>O</v>
      </c>
      <c r="AZ163" s="74" t="str">
        <f t="shared" si="24"/>
        <v>O</v>
      </c>
      <c r="BA163" s="74" t="str">
        <f t="shared" si="25"/>
        <v>O</v>
      </c>
      <c r="BB163" s="74" t="str">
        <f t="shared" si="19"/>
        <v>F</v>
      </c>
    </row>
    <row r="164" spans="1:54">
      <c r="A164" s="70">
        <v>2051</v>
      </c>
      <c r="B164" s="124" t="s">
        <v>568</v>
      </c>
      <c r="C164" s="124">
        <v>1140</v>
      </c>
      <c r="D164" s="124" t="s">
        <v>569</v>
      </c>
      <c r="E164" s="124" t="s">
        <v>227</v>
      </c>
      <c r="F164" s="124" t="s">
        <v>335</v>
      </c>
      <c r="G164" s="124" t="s">
        <v>334</v>
      </c>
      <c r="H164" s="124" t="s">
        <v>335</v>
      </c>
      <c r="I164" s="124" t="s">
        <v>339</v>
      </c>
      <c r="J164" s="124">
        <v>1612.692</v>
      </c>
      <c r="K164" s="124">
        <v>1.5128358946326179E-3</v>
      </c>
      <c r="M164" s="70">
        <v>2051</v>
      </c>
      <c r="N164" s="155" t="str">
        <f t="shared" si="6"/>
        <v>R38</v>
      </c>
      <c r="O164" s="137" t="s">
        <v>334</v>
      </c>
      <c r="P164" s="130" t="str">
        <f t="shared" si="7"/>
        <v>R19</v>
      </c>
      <c r="Q164" s="130" t="str">
        <f t="shared" si="8"/>
        <v>u30</v>
      </c>
      <c r="R164" s="130" t="s">
        <v>378</v>
      </c>
      <c r="S164" s="130" t="str">
        <f t="shared" si="9"/>
        <v>Electric FAF</v>
      </c>
      <c r="T164" s="130" t="str">
        <f t="shared" si="10"/>
        <v>Existing</v>
      </c>
      <c r="U164" s="156" t="str">
        <f t="shared" si="20"/>
        <v>PTCS</v>
      </c>
      <c r="V164" s="130" t="str">
        <f t="shared" si="21"/>
        <v>Electric FAFR38R11R19u30</v>
      </c>
      <c r="W164" s="130">
        <f t="shared" si="11"/>
        <v>3019</v>
      </c>
      <c r="X164" s="130"/>
      <c r="Y164" s="130">
        <f t="shared" si="12"/>
        <v>4</v>
      </c>
      <c r="Z164" s="130"/>
      <c r="AA164" s="74" t="str">
        <f t="shared" si="36"/>
        <v/>
      </c>
      <c r="AB164" s="74" t="str">
        <f t="shared" si="36"/>
        <v/>
      </c>
      <c r="AC164" s="74" t="str">
        <f t="shared" si="36"/>
        <v/>
      </c>
      <c r="AD164" s="74" t="str">
        <f t="shared" si="36"/>
        <v/>
      </c>
      <c r="AE164" s="74" t="str">
        <f t="shared" si="36"/>
        <v>F</v>
      </c>
      <c r="AF164" s="74" t="str">
        <f t="shared" si="36"/>
        <v>O</v>
      </c>
      <c r="AG164" s="74" t="str">
        <f t="shared" si="36"/>
        <v/>
      </c>
      <c r="AH164" s="74" t="str">
        <f t="shared" si="36"/>
        <v/>
      </c>
      <c r="AI164" s="74" t="str">
        <f t="shared" si="36"/>
        <v/>
      </c>
      <c r="AJ164" s="74" t="str">
        <f t="shared" si="14"/>
        <v/>
      </c>
      <c r="AK164" s="74" t="str">
        <f t="shared" si="32"/>
        <v/>
      </c>
      <c r="AL164" s="74" t="str">
        <f t="shared" si="32"/>
        <v/>
      </c>
      <c r="AM164" s="74" t="str">
        <f t="shared" si="32"/>
        <v/>
      </c>
      <c r="AN164" s="74" t="str">
        <f t="shared" si="33"/>
        <v/>
      </c>
      <c r="AO164" s="74" t="str">
        <f t="shared" si="33"/>
        <v>F</v>
      </c>
      <c r="AP164" s="74" t="str">
        <f t="shared" si="22"/>
        <v>O</v>
      </c>
      <c r="AQ164" s="74" t="str">
        <f t="shared" si="34"/>
        <v/>
      </c>
      <c r="AR164" s="74" t="str">
        <f t="shared" si="34"/>
        <v>O</v>
      </c>
      <c r="AS164" s="74" t="s">
        <v>399</v>
      </c>
      <c r="AT164" s="70" t="s">
        <v>386</v>
      </c>
      <c r="AU164" s="70" t="str">
        <f t="shared" si="23"/>
        <v>O</v>
      </c>
      <c r="AV164" s="74" t="str">
        <f t="shared" si="35"/>
        <v/>
      </c>
      <c r="AW164" s="74" t="str">
        <f t="shared" si="35"/>
        <v>O</v>
      </c>
      <c r="AX164" s="74" t="str">
        <f t="shared" si="35"/>
        <v/>
      </c>
      <c r="AY164" s="74" t="str">
        <f t="shared" si="35"/>
        <v>O</v>
      </c>
      <c r="AZ164" s="74" t="str">
        <f t="shared" si="24"/>
        <v>O</v>
      </c>
      <c r="BA164" s="74" t="str">
        <f t="shared" si="25"/>
        <v>O</v>
      </c>
      <c r="BB164" s="74" t="str">
        <f t="shared" si="19"/>
        <v>F</v>
      </c>
    </row>
    <row r="165" spans="1:54">
      <c r="A165" s="70">
        <v>2052</v>
      </c>
      <c r="B165" s="124" t="s">
        <v>570</v>
      </c>
      <c r="C165" s="124">
        <v>1141</v>
      </c>
      <c r="D165" s="124" t="s">
        <v>571</v>
      </c>
      <c r="E165" s="124" t="s">
        <v>227</v>
      </c>
      <c r="F165" s="124" t="s">
        <v>335</v>
      </c>
      <c r="G165" s="124" t="s">
        <v>334</v>
      </c>
      <c r="H165" s="124" t="s">
        <v>335</v>
      </c>
      <c r="I165" s="124" t="s">
        <v>352</v>
      </c>
      <c r="J165" s="124">
        <v>6569.1850000000004</v>
      </c>
      <c r="K165" s="124">
        <v>6.1624283288328916E-3</v>
      </c>
      <c r="M165" s="70">
        <v>2052</v>
      </c>
      <c r="N165" s="155" t="str">
        <f t="shared" si="6"/>
        <v>R38</v>
      </c>
      <c r="O165" s="137" t="s">
        <v>334</v>
      </c>
      <c r="P165" s="130" t="str">
        <f t="shared" si="7"/>
        <v>R19</v>
      </c>
      <c r="Q165" s="130" t="str">
        <f t="shared" si="8"/>
        <v>Better</v>
      </c>
      <c r="R165" s="130" t="s">
        <v>378</v>
      </c>
      <c r="S165" s="130" t="str">
        <f t="shared" si="9"/>
        <v>Electric FAF</v>
      </c>
      <c r="T165" s="130" t="str">
        <f t="shared" si="10"/>
        <v>Existing</v>
      </c>
      <c r="U165" s="156" t="str">
        <f t="shared" si="20"/>
        <v>PTCS</v>
      </c>
      <c r="V165" s="130" t="str">
        <f t="shared" si="21"/>
        <v>Electric FAFR38R11R19Better</v>
      </c>
      <c r="W165" s="130">
        <f t="shared" si="11"/>
        <v>3018</v>
      </c>
      <c r="X165" s="130"/>
      <c r="Y165" s="130">
        <f t="shared" si="12"/>
        <v>3</v>
      </c>
      <c r="Z165" s="130"/>
      <c r="AA165" s="74" t="str">
        <f t="shared" si="36"/>
        <v/>
      </c>
      <c r="AB165" s="74" t="str">
        <f t="shared" si="36"/>
        <v/>
      </c>
      <c r="AC165" s="74" t="str">
        <f t="shared" si="36"/>
        <v/>
      </c>
      <c r="AD165" s="74" t="str">
        <f t="shared" si="36"/>
        <v/>
      </c>
      <c r="AE165" s="74" t="str">
        <f t="shared" si="36"/>
        <v>F</v>
      </c>
      <c r="AF165" s="74" t="str">
        <f t="shared" si="36"/>
        <v>O</v>
      </c>
      <c r="AG165" s="74" t="str">
        <f t="shared" si="36"/>
        <v/>
      </c>
      <c r="AH165" s="74" t="str">
        <f t="shared" si="36"/>
        <v/>
      </c>
      <c r="AI165" s="74" t="str">
        <f t="shared" si="36"/>
        <v/>
      </c>
      <c r="AJ165" s="74" t="str">
        <f t="shared" si="14"/>
        <v/>
      </c>
      <c r="AK165" s="74" t="str">
        <f t="shared" si="32"/>
        <v/>
      </c>
      <c r="AL165" s="74" t="str">
        <f t="shared" si="32"/>
        <v/>
      </c>
      <c r="AM165" s="74" t="str">
        <f t="shared" si="32"/>
        <v/>
      </c>
      <c r="AN165" s="74" t="str">
        <f t="shared" si="33"/>
        <v/>
      </c>
      <c r="AO165" s="74" t="str">
        <f t="shared" si="33"/>
        <v/>
      </c>
      <c r="AP165" s="74" t="str">
        <f t="shared" si="22"/>
        <v/>
      </c>
      <c r="AQ165" s="74" t="str">
        <f t="shared" si="34"/>
        <v/>
      </c>
      <c r="AR165" s="74" t="str">
        <f t="shared" si="34"/>
        <v/>
      </c>
      <c r="AS165" s="74" t="s">
        <v>399</v>
      </c>
      <c r="AT165" s="70" t="s">
        <v>386</v>
      </c>
      <c r="AU165" s="70" t="str">
        <f t="shared" si="23"/>
        <v>O</v>
      </c>
      <c r="AV165" s="74" t="str">
        <f t="shared" si="35"/>
        <v/>
      </c>
      <c r="AW165" s="74" t="str">
        <f t="shared" si="35"/>
        <v>O</v>
      </c>
      <c r="AX165" s="74" t="str">
        <f t="shared" si="35"/>
        <v/>
      </c>
      <c r="AY165" s="74" t="str">
        <f t="shared" si="35"/>
        <v>O</v>
      </c>
      <c r="AZ165" s="74" t="str">
        <f t="shared" si="24"/>
        <v>O</v>
      </c>
      <c r="BA165" s="74" t="str">
        <f t="shared" si="25"/>
        <v>O</v>
      </c>
      <c r="BB165" s="74" t="str">
        <f t="shared" si="19"/>
        <v>F</v>
      </c>
    </row>
    <row r="166" spans="1:54">
      <c r="A166" s="70">
        <v>2053</v>
      </c>
      <c r="B166" s="124" t="s">
        <v>572</v>
      </c>
      <c r="C166" s="124">
        <v>1144</v>
      </c>
      <c r="D166" s="124" t="s">
        <v>573</v>
      </c>
      <c r="E166" s="124" t="s">
        <v>227</v>
      </c>
      <c r="F166" s="124" t="s">
        <v>335</v>
      </c>
      <c r="G166" s="124" t="s">
        <v>334</v>
      </c>
      <c r="H166" s="124" t="s">
        <v>352</v>
      </c>
      <c r="I166" s="124" t="s">
        <v>352</v>
      </c>
      <c r="J166" s="124">
        <v>3225.384</v>
      </c>
      <c r="K166" s="124">
        <v>3.0256717892652358E-3</v>
      </c>
      <c r="M166" s="70">
        <v>2053</v>
      </c>
      <c r="N166" s="155" t="str">
        <f t="shared" si="6"/>
        <v>R38</v>
      </c>
      <c r="O166" s="137" t="s">
        <v>334</v>
      </c>
      <c r="P166" s="130" t="str">
        <f t="shared" si="7"/>
        <v>Better</v>
      </c>
      <c r="Q166" s="130" t="str">
        <f t="shared" si="8"/>
        <v>Better</v>
      </c>
      <c r="R166" s="130" t="s">
        <v>378</v>
      </c>
      <c r="S166" s="130" t="str">
        <f t="shared" si="9"/>
        <v>Electric FAF</v>
      </c>
      <c r="T166" s="130" t="str">
        <f t="shared" si="10"/>
        <v>Existing</v>
      </c>
      <c r="U166" s="156" t="str">
        <f t="shared" si="20"/>
        <v>PTCS</v>
      </c>
      <c r="V166" s="130" t="str">
        <f t="shared" si="21"/>
        <v>Electric FAFR38R11BetterBetter</v>
      </c>
      <c r="W166" s="130">
        <f t="shared" si="11"/>
        <v>3011</v>
      </c>
      <c r="X166" s="130"/>
      <c r="Y166" s="130">
        <f t="shared" si="12"/>
        <v>3</v>
      </c>
      <c r="Z166" s="130"/>
      <c r="AA166" s="74" t="str">
        <f t="shared" si="36"/>
        <v/>
      </c>
      <c r="AB166" s="74" t="str">
        <f t="shared" si="36"/>
        <v/>
      </c>
      <c r="AC166" s="74" t="str">
        <f t="shared" si="36"/>
        <v/>
      </c>
      <c r="AD166" s="74" t="str">
        <f t="shared" si="36"/>
        <v/>
      </c>
      <c r="AE166" s="74" t="str">
        <f t="shared" si="36"/>
        <v>F</v>
      </c>
      <c r="AF166" s="74" t="str">
        <f t="shared" si="36"/>
        <v>O</v>
      </c>
      <c r="AG166" s="74" t="str">
        <f t="shared" si="36"/>
        <v/>
      </c>
      <c r="AH166" s="74" t="str">
        <f t="shared" si="36"/>
        <v/>
      </c>
      <c r="AI166" s="74" t="str">
        <f t="shared" si="36"/>
        <v/>
      </c>
      <c r="AJ166" s="74" t="str">
        <f t="shared" si="14"/>
        <v/>
      </c>
      <c r="AK166" s="74" t="str">
        <f t="shared" si="32"/>
        <v/>
      </c>
      <c r="AL166" s="74" t="str">
        <f t="shared" si="32"/>
        <v/>
      </c>
      <c r="AM166" s="74" t="str">
        <f t="shared" si="32"/>
        <v/>
      </c>
      <c r="AN166" s="74" t="str">
        <f t="shared" si="33"/>
        <v/>
      </c>
      <c r="AO166" s="74" t="str">
        <f t="shared" si="33"/>
        <v/>
      </c>
      <c r="AP166" s="74" t="str">
        <f t="shared" si="22"/>
        <v/>
      </c>
      <c r="AQ166" s="74" t="str">
        <f t="shared" si="34"/>
        <v/>
      </c>
      <c r="AR166" s="74" t="str">
        <f t="shared" si="34"/>
        <v/>
      </c>
      <c r="AS166" s="74" t="s">
        <v>399</v>
      </c>
      <c r="AT166" s="70" t="s">
        <v>386</v>
      </c>
      <c r="AU166" s="70" t="str">
        <f t="shared" si="23"/>
        <v>O</v>
      </c>
      <c r="AV166" s="74" t="str">
        <f t="shared" si="35"/>
        <v/>
      </c>
      <c r="AW166" s="74" t="str">
        <f t="shared" si="35"/>
        <v>O</v>
      </c>
      <c r="AX166" s="74" t="str">
        <f t="shared" si="35"/>
        <v/>
      </c>
      <c r="AY166" s="74" t="str">
        <f t="shared" si="35"/>
        <v>O</v>
      </c>
      <c r="AZ166" s="74" t="str">
        <f t="shared" si="24"/>
        <v>O</v>
      </c>
      <c r="BA166" s="74" t="str">
        <f t="shared" si="25"/>
        <v>O</v>
      </c>
      <c r="BB166" s="74" t="str">
        <f t="shared" si="19"/>
        <v>F</v>
      </c>
    </row>
    <row r="167" spans="1:54">
      <c r="A167" s="70">
        <v>2054</v>
      </c>
      <c r="B167" s="124" t="s">
        <v>574</v>
      </c>
      <c r="C167" s="124">
        <v>1156</v>
      </c>
      <c r="D167" s="124" t="s">
        <v>575</v>
      </c>
      <c r="E167" s="124" t="s">
        <v>227</v>
      </c>
      <c r="F167" s="124" t="s">
        <v>336</v>
      </c>
      <c r="G167" s="124" t="s">
        <v>334</v>
      </c>
      <c r="H167" s="124" t="s">
        <v>329</v>
      </c>
      <c r="I167" s="124" t="s">
        <v>352</v>
      </c>
      <c r="J167" s="124">
        <v>1904.288</v>
      </c>
      <c r="K167" s="124">
        <v>1.7863765927518451E-3</v>
      </c>
      <c r="M167" s="70">
        <v>2054</v>
      </c>
      <c r="N167" s="155" t="str">
        <f t="shared" si="6"/>
        <v>R30</v>
      </c>
      <c r="O167" s="137" t="s">
        <v>334</v>
      </c>
      <c r="P167" s="130" t="str">
        <f t="shared" si="7"/>
        <v>R25</v>
      </c>
      <c r="Q167" s="130" t="str">
        <f t="shared" si="8"/>
        <v>Better</v>
      </c>
      <c r="R167" s="130" t="s">
        <v>378</v>
      </c>
      <c r="S167" s="130" t="str">
        <f t="shared" si="9"/>
        <v>Electric FAF</v>
      </c>
      <c r="T167" s="130" t="str">
        <f t="shared" si="10"/>
        <v>Existing</v>
      </c>
      <c r="U167" s="156" t="str">
        <f t="shared" si="20"/>
        <v>PTCS</v>
      </c>
      <c r="V167" s="130" t="str">
        <f t="shared" si="21"/>
        <v>Electric FAFR30R11R25Better</v>
      </c>
      <c r="W167" s="130">
        <f t="shared" si="11"/>
        <v>3024</v>
      </c>
      <c r="X167" s="130"/>
      <c r="Y167" s="130">
        <f t="shared" si="12"/>
        <v>3</v>
      </c>
      <c r="Z167" s="130"/>
      <c r="AA167" s="74" t="str">
        <f t="shared" si="36"/>
        <v/>
      </c>
      <c r="AB167" s="74" t="str">
        <f t="shared" si="36"/>
        <v/>
      </c>
      <c r="AC167" s="74" t="str">
        <f t="shared" si="36"/>
        <v/>
      </c>
      <c r="AD167" s="74" t="str">
        <f t="shared" si="36"/>
        <v/>
      </c>
      <c r="AE167" s="74" t="str">
        <f t="shared" si="36"/>
        <v/>
      </c>
      <c r="AF167" s="74" t="str">
        <f t="shared" si="36"/>
        <v/>
      </c>
      <c r="AG167" s="74" t="str">
        <f t="shared" si="36"/>
        <v>O</v>
      </c>
      <c r="AH167" s="74" t="str">
        <f t="shared" si="36"/>
        <v>O</v>
      </c>
      <c r="AI167" s="74" t="str">
        <f t="shared" si="36"/>
        <v/>
      </c>
      <c r="AJ167" s="74" t="str">
        <f t="shared" si="14"/>
        <v/>
      </c>
      <c r="AK167" s="74" t="str">
        <f t="shared" si="32"/>
        <v>O</v>
      </c>
      <c r="AL167" s="74" t="str">
        <f t="shared" si="32"/>
        <v>F</v>
      </c>
      <c r="AM167" s="74" t="str">
        <f t="shared" si="32"/>
        <v>O</v>
      </c>
      <c r="AN167" s="74" t="str">
        <f t="shared" si="33"/>
        <v/>
      </c>
      <c r="AO167" s="74" t="str">
        <f t="shared" si="33"/>
        <v/>
      </c>
      <c r="AP167" s="74" t="str">
        <f t="shared" si="22"/>
        <v/>
      </c>
      <c r="AQ167" s="74" t="str">
        <f t="shared" si="34"/>
        <v/>
      </c>
      <c r="AR167" s="74" t="str">
        <f t="shared" si="34"/>
        <v/>
      </c>
      <c r="AS167" s="74" t="s">
        <v>399</v>
      </c>
      <c r="AT167" s="70" t="s">
        <v>386</v>
      </c>
      <c r="AU167" s="70" t="str">
        <f t="shared" si="23"/>
        <v>O</v>
      </c>
      <c r="AV167" s="74" t="str">
        <f t="shared" si="35"/>
        <v/>
      </c>
      <c r="AW167" s="74" t="str">
        <f t="shared" si="35"/>
        <v>O</v>
      </c>
      <c r="AX167" s="74" t="str">
        <f t="shared" si="35"/>
        <v/>
      </c>
      <c r="AY167" s="74" t="str">
        <f t="shared" si="35"/>
        <v>O</v>
      </c>
      <c r="AZ167" s="74" t="str">
        <f t="shared" si="24"/>
        <v>O</v>
      </c>
      <c r="BA167" s="74" t="str">
        <f t="shared" si="25"/>
        <v>O</v>
      </c>
      <c r="BB167" s="74" t="str">
        <f t="shared" si="19"/>
        <v>F</v>
      </c>
    </row>
    <row r="168" spans="1:54">
      <c r="A168" s="70">
        <v>2055</v>
      </c>
      <c r="B168" s="124" t="s">
        <v>576</v>
      </c>
      <c r="C168" s="124">
        <v>1159</v>
      </c>
      <c r="D168" s="124" t="s">
        <v>577</v>
      </c>
      <c r="E168" s="124" t="s">
        <v>227</v>
      </c>
      <c r="F168" s="124" t="s">
        <v>336</v>
      </c>
      <c r="G168" s="124" t="s">
        <v>334</v>
      </c>
      <c r="H168" s="124" t="s">
        <v>335</v>
      </c>
      <c r="I168" s="124" t="s">
        <v>352</v>
      </c>
      <c r="J168" s="124">
        <v>1925.059</v>
      </c>
      <c r="K168" s="124">
        <v>1.8058614753998733E-3</v>
      </c>
      <c r="M168" s="70">
        <v>2055</v>
      </c>
      <c r="N168" s="155" t="str">
        <f t="shared" si="6"/>
        <v>R30</v>
      </c>
      <c r="O168" s="137" t="s">
        <v>334</v>
      </c>
      <c r="P168" s="130" t="str">
        <f t="shared" si="7"/>
        <v>R19</v>
      </c>
      <c r="Q168" s="130" t="str">
        <f t="shared" si="8"/>
        <v>Better</v>
      </c>
      <c r="R168" s="130" t="s">
        <v>378</v>
      </c>
      <c r="S168" s="130" t="str">
        <f t="shared" si="9"/>
        <v>Electric FAF</v>
      </c>
      <c r="T168" s="130" t="str">
        <f t="shared" si="10"/>
        <v>Existing</v>
      </c>
      <c r="U168" s="156" t="str">
        <f t="shared" si="20"/>
        <v>PTCS</v>
      </c>
      <c r="V168" s="130" t="str">
        <f t="shared" si="21"/>
        <v>Electric FAFR30R11R19Better</v>
      </c>
      <c r="W168" s="130">
        <f t="shared" si="11"/>
        <v>3017</v>
      </c>
      <c r="X168" s="130"/>
      <c r="Y168" s="130">
        <f t="shared" si="12"/>
        <v>2</v>
      </c>
      <c r="Z168" s="130"/>
      <c r="AA168" s="74" t="str">
        <f t="shared" si="36"/>
        <v/>
      </c>
      <c r="AB168" s="74" t="str">
        <f t="shared" si="36"/>
        <v/>
      </c>
      <c r="AC168" s="74" t="str">
        <f t="shared" si="36"/>
        <v/>
      </c>
      <c r="AD168" s="74" t="str">
        <f t="shared" si="36"/>
        <v/>
      </c>
      <c r="AE168" s="74" t="str">
        <f t="shared" si="36"/>
        <v/>
      </c>
      <c r="AF168" s="74" t="str">
        <f t="shared" si="36"/>
        <v/>
      </c>
      <c r="AG168" s="74" t="str">
        <f t="shared" si="36"/>
        <v>O</v>
      </c>
      <c r="AH168" s="74" t="str">
        <f t="shared" si="36"/>
        <v>O</v>
      </c>
      <c r="AI168" s="74" t="str">
        <f t="shared" si="36"/>
        <v/>
      </c>
      <c r="AJ168" s="74" t="str">
        <f t="shared" si="14"/>
        <v/>
      </c>
      <c r="AK168" s="74" t="str">
        <f t="shared" si="32"/>
        <v/>
      </c>
      <c r="AL168" s="74" t="str">
        <f t="shared" si="32"/>
        <v/>
      </c>
      <c r="AM168" s="74" t="str">
        <f t="shared" si="32"/>
        <v/>
      </c>
      <c r="AN168" s="74" t="str">
        <f t="shared" si="33"/>
        <v/>
      </c>
      <c r="AO168" s="74" t="str">
        <f t="shared" si="33"/>
        <v/>
      </c>
      <c r="AP168" s="74" t="str">
        <f t="shared" si="22"/>
        <v/>
      </c>
      <c r="AQ168" s="74" t="str">
        <f t="shared" si="34"/>
        <v/>
      </c>
      <c r="AR168" s="74" t="str">
        <f t="shared" si="34"/>
        <v/>
      </c>
      <c r="AS168" s="74" t="s">
        <v>399</v>
      </c>
      <c r="AT168" s="70" t="s">
        <v>386</v>
      </c>
      <c r="AU168" s="70" t="str">
        <f t="shared" si="23"/>
        <v>O</v>
      </c>
      <c r="AV168" s="74" t="str">
        <f t="shared" si="35"/>
        <v/>
      </c>
      <c r="AW168" s="74" t="str">
        <f t="shared" si="35"/>
        <v>O</v>
      </c>
      <c r="AX168" s="74" t="str">
        <f t="shared" si="35"/>
        <v/>
      </c>
      <c r="AY168" s="74" t="str">
        <f t="shared" si="35"/>
        <v>O</v>
      </c>
      <c r="AZ168" s="74" t="str">
        <f t="shared" si="24"/>
        <v>O</v>
      </c>
      <c r="BA168" s="74" t="str">
        <f t="shared" si="25"/>
        <v>O</v>
      </c>
      <c r="BB168" s="74" t="str">
        <f t="shared" si="19"/>
        <v>F</v>
      </c>
    </row>
    <row r="169" spans="1:54">
      <c r="A169" s="70">
        <v>2056</v>
      </c>
      <c r="B169" s="124" t="s">
        <v>578</v>
      </c>
      <c r="C169" s="124">
        <v>1161</v>
      </c>
      <c r="D169" s="124" t="s">
        <v>579</v>
      </c>
      <c r="E169" s="124" t="s">
        <v>227</v>
      </c>
      <c r="F169" s="124" t="s">
        <v>336</v>
      </c>
      <c r="G169" s="124" t="s">
        <v>334</v>
      </c>
      <c r="H169" s="124" t="s">
        <v>352</v>
      </c>
      <c r="I169" s="124" t="s">
        <v>339</v>
      </c>
      <c r="J169" s="124">
        <v>1612.692</v>
      </c>
      <c r="K169" s="124">
        <v>1.5128358946326179E-3</v>
      </c>
      <c r="M169" s="70">
        <v>2056</v>
      </c>
      <c r="N169" s="155" t="str">
        <f t="shared" si="6"/>
        <v>R30</v>
      </c>
      <c r="O169" s="137" t="s">
        <v>334</v>
      </c>
      <c r="P169" s="130" t="str">
        <f t="shared" si="7"/>
        <v>Better</v>
      </c>
      <c r="Q169" s="130" t="str">
        <f t="shared" si="8"/>
        <v>u30</v>
      </c>
      <c r="R169" s="130" t="s">
        <v>378</v>
      </c>
      <c r="S169" s="130" t="str">
        <f t="shared" si="9"/>
        <v>Electric FAF</v>
      </c>
      <c r="T169" s="130" t="str">
        <f t="shared" si="10"/>
        <v>Existing</v>
      </c>
      <c r="U169" s="156" t="str">
        <f t="shared" si="20"/>
        <v>PTCS</v>
      </c>
      <c r="V169" s="130" t="str">
        <f t="shared" si="21"/>
        <v>Electric FAFR30R11Betteru30</v>
      </c>
      <c r="W169" s="130">
        <f t="shared" si="11"/>
        <v>3010</v>
      </c>
      <c r="X169" s="130"/>
      <c r="Y169" s="130">
        <f t="shared" si="12"/>
        <v>3</v>
      </c>
      <c r="Z169" s="130"/>
      <c r="AA169" s="74" t="str">
        <f t="shared" si="36"/>
        <v/>
      </c>
      <c r="AB169" s="74" t="str">
        <f t="shared" si="36"/>
        <v/>
      </c>
      <c r="AC169" s="74" t="str">
        <f t="shared" si="36"/>
        <v/>
      </c>
      <c r="AD169" s="74" t="str">
        <f t="shared" si="36"/>
        <v/>
      </c>
      <c r="AE169" s="74" t="str">
        <f t="shared" si="36"/>
        <v/>
      </c>
      <c r="AF169" s="74" t="str">
        <f t="shared" si="36"/>
        <v/>
      </c>
      <c r="AG169" s="74" t="str">
        <f t="shared" si="36"/>
        <v>O</v>
      </c>
      <c r="AH169" s="74" t="str">
        <f t="shared" si="36"/>
        <v>O</v>
      </c>
      <c r="AI169" s="74" t="str">
        <f t="shared" si="36"/>
        <v/>
      </c>
      <c r="AJ169" s="74" t="str">
        <f t="shared" si="14"/>
        <v/>
      </c>
      <c r="AK169" s="74" t="str">
        <f t="shared" si="32"/>
        <v/>
      </c>
      <c r="AL169" s="74" t="str">
        <f t="shared" si="32"/>
        <v/>
      </c>
      <c r="AM169" s="74" t="str">
        <f t="shared" si="32"/>
        <v/>
      </c>
      <c r="AN169" s="74" t="str">
        <f t="shared" si="33"/>
        <v/>
      </c>
      <c r="AO169" s="74" t="str">
        <f t="shared" si="33"/>
        <v>F</v>
      </c>
      <c r="AP169" s="74" t="str">
        <f t="shared" si="22"/>
        <v>O</v>
      </c>
      <c r="AQ169" s="74" t="str">
        <f t="shared" si="34"/>
        <v/>
      </c>
      <c r="AR169" s="74" t="str">
        <f t="shared" si="34"/>
        <v>O</v>
      </c>
      <c r="AS169" s="74" t="s">
        <v>399</v>
      </c>
      <c r="AT169" s="70" t="s">
        <v>386</v>
      </c>
      <c r="AU169" s="70" t="str">
        <f t="shared" si="23"/>
        <v>O</v>
      </c>
      <c r="AV169" s="74" t="str">
        <f t="shared" si="35"/>
        <v/>
      </c>
      <c r="AW169" s="74" t="str">
        <f t="shared" si="35"/>
        <v>O</v>
      </c>
      <c r="AX169" s="74" t="str">
        <f t="shared" si="35"/>
        <v/>
      </c>
      <c r="AY169" s="74" t="str">
        <f t="shared" si="35"/>
        <v>O</v>
      </c>
      <c r="AZ169" s="74" t="str">
        <f t="shared" si="24"/>
        <v>O</v>
      </c>
      <c r="BA169" s="74" t="str">
        <f t="shared" si="25"/>
        <v>O</v>
      </c>
      <c r="BB169" s="74" t="str">
        <f t="shared" si="19"/>
        <v>F</v>
      </c>
    </row>
    <row r="170" spans="1:54">
      <c r="A170" s="70">
        <v>2057</v>
      </c>
      <c r="B170" s="124" t="s">
        <v>580</v>
      </c>
      <c r="C170" s="124">
        <v>1162</v>
      </c>
      <c r="D170" s="124" t="s">
        <v>581</v>
      </c>
      <c r="E170" s="124" t="s">
        <v>227</v>
      </c>
      <c r="F170" s="124" t="s">
        <v>336</v>
      </c>
      <c r="G170" s="124" t="s">
        <v>334</v>
      </c>
      <c r="H170" s="124" t="s">
        <v>352</v>
      </c>
      <c r="I170" s="124" t="s">
        <v>352</v>
      </c>
      <c r="J170" s="124">
        <v>7036.4860000000008</v>
      </c>
      <c r="K170" s="124">
        <v>6.6007945676421114E-3</v>
      </c>
      <c r="M170" s="70">
        <v>2057</v>
      </c>
      <c r="N170" s="155" t="str">
        <f t="shared" si="6"/>
        <v>R30</v>
      </c>
      <c r="O170" s="137" t="s">
        <v>334</v>
      </c>
      <c r="P170" s="130" t="str">
        <f t="shared" si="7"/>
        <v>Better</v>
      </c>
      <c r="Q170" s="130" t="str">
        <f t="shared" si="8"/>
        <v>Better</v>
      </c>
      <c r="R170" s="130" t="s">
        <v>378</v>
      </c>
      <c r="S170" s="130" t="str">
        <f t="shared" si="9"/>
        <v>Electric FAF</v>
      </c>
      <c r="T170" s="130" t="str">
        <f t="shared" si="10"/>
        <v>Existing</v>
      </c>
      <c r="U170" s="156" t="str">
        <f t="shared" si="20"/>
        <v>PTCS</v>
      </c>
      <c r="V170" s="130" t="str">
        <f t="shared" si="21"/>
        <v>Electric FAFR30R11BetterBetter</v>
      </c>
      <c r="W170" s="130">
        <f t="shared" si="11"/>
        <v>3009</v>
      </c>
      <c r="X170" s="130"/>
      <c r="Y170" s="130">
        <f t="shared" si="12"/>
        <v>2</v>
      </c>
      <c r="Z170" s="130"/>
      <c r="AA170" s="74" t="str">
        <f t="shared" si="36"/>
        <v/>
      </c>
      <c r="AB170" s="74" t="str">
        <f t="shared" si="36"/>
        <v/>
      </c>
      <c r="AC170" s="74" t="str">
        <f t="shared" si="36"/>
        <v/>
      </c>
      <c r="AD170" s="74" t="str">
        <f t="shared" si="36"/>
        <v/>
      </c>
      <c r="AE170" s="74" t="str">
        <f t="shared" si="36"/>
        <v/>
      </c>
      <c r="AF170" s="74" t="str">
        <f t="shared" si="36"/>
        <v/>
      </c>
      <c r="AG170" s="74" t="str">
        <f t="shared" si="36"/>
        <v>O</v>
      </c>
      <c r="AH170" s="74" t="str">
        <f t="shared" si="36"/>
        <v>O</v>
      </c>
      <c r="AI170" s="74" t="str">
        <f t="shared" si="36"/>
        <v/>
      </c>
      <c r="AJ170" s="74" t="str">
        <f t="shared" si="14"/>
        <v/>
      </c>
      <c r="AK170" s="74" t="str">
        <f t="shared" si="32"/>
        <v/>
      </c>
      <c r="AL170" s="74" t="str">
        <f t="shared" si="32"/>
        <v/>
      </c>
      <c r="AM170" s="74" t="str">
        <f t="shared" si="32"/>
        <v/>
      </c>
      <c r="AN170" s="74" t="str">
        <f t="shared" si="33"/>
        <v/>
      </c>
      <c r="AO170" s="74" t="str">
        <f t="shared" si="33"/>
        <v/>
      </c>
      <c r="AP170" s="74" t="str">
        <f t="shared" si="22"/>
        <v/>
      </c>
      <c r="AQ170" s="74" t="str">
        <f t="shared" si="34"/>
        <v/>
      </c>
      <c r="AR170" s="74" t="str">
        <f t="shared" si="34"/>
        <v/>
      </c>
      <c r="AS170" s="74" t="s">
        <v>399</v>
      </c>
      <c r="AT170" s="70" t="s">
        <v>386</v>
      </c>
      <c r="AU170" s="70" t="str">
        <f t="shared" si="23"/>
        <v>O</v>
      </c>
      <c r="AV170" s="74" t="str">
        <f t="shared" si="35"/>
        <v/>
      </c>
      <c r="AW170" s="74" t="str">
        <f t="shared" si="35"/>
        <v>O</v>
      </c>
      <c r="AX170" s="74" t="str">
        <f t="shared" si="35"/>
        <v/>
      </c>
      <c r="AY170" s="74" t="str">
        <f t="shared" si="35"/>
        <v>O</v>
      </c>
      <c r="AZ170" s="74" t="str">
        <f t="shared" si="24"/>
        <v>O</v>
      </c>
      <c r="BA170" s="74" t="str">
        <f t="shared" si="25"/>
        <v>O</v>
      </c>
      <c r="BB170" s="74" t="str">
        <f t="shared" si="19"/>
        <v>F</v>
      </c>
    </row>
    <row r="171" spans="1:54">
      <c r="A171" s="70">
        <v>2058</v>
      </c>
      <c r="B171" s="124" t="s">
        <v>582</v>
      </c>
      <c r="C171" s="124">
        <v>1171</v>
      </c>
      <c r="D171" s="124" t="s">
        <v>583</v>
      </c>
      <c r="E171" s="124" t="s">
        <v>227</v>
      </c>
      <c r="F171" s="124" t="s">
        <v>331</v>
      </c>
      <c r="G171" s="124" t="s">
        <v>329</v>
      </c>
      <c r="H171" s="124" t="s">
        <v>352</v>
      </c>
      <c r="I171" s="124" t="s">
        <v>352</v>
      </c>
      <c r="J171" s="124">
        <v>1524.7619999999999</v>
      </c>
      <c r="K171" s="124">
        <v>1.4303504230019244E-3</v>
      </c>
      <c r="M171" s="70">
        <v>2058</v>
      </c>
      <c r="N171" s="155" t="str">
        <f t="shared" si="6"/>
        <v>R38</v>
      </c>
      <c r="O171" s="137" t="s">
        <v>334</v>
      </c>
      <c r="P171" s="130" t="str">
        <f t="shared" si="7"/>
        <v>Better</v>
      </c>
      <c r="Q171" s="130" t="str">
        <f t="shared" si="8"/>
        <v>Better</v>
      </c>
      <c r="R171" s="130" t="s">
        <v>378</v>
      </c>
      <c r="S171" s="130" t="str">
        <f t="shared" si="9"/>
        <v>Electric FAF</v>
      </c>
      <c r="T171" s="130" t="str">
        <f t="shared" si="10"/>
        <v>Existing</v>
      </c>
      <c r="U171" s="156" t="str">
        <f t="shared" si="20"/>
        <v>PTCS</v>
      </c>
      <c r="V171" s="130" t="str">
        <f t="shared" si="21"/>
        <v>Electric FAFR38R11BetterBetter</v>
      </c>
      <c r="W171" s="130">
        <f t="shared" si="11"/>
        <v>3011</v>
      </c>
      <c r="X171" s="130"/>
      <c r="Y171" s="130">
        <f t="shared" si="12"/>
        <v>3</v>
      </c>
      <c r="Z171" s="130"/>
      <c r="AA171" s="74" t="str">
        <f t="shared" si="36"/>
        <v/>
      </c>
      <c r="AB171" s="74" t="str">
        <f t="shared" si="36"/>
        <v/>
      </c>
      <c r="AC171" s="74" t="str">
        <f t="shared" si="36"/>
        <v/>
      </c>
      <c r="AD171" s="74" t="str">
        <f t="shared" si="36"/>
        <v/>
      </c>
      <c r="AE171" s="74" t="str">
        <f t="shared" si="36"/>
        <v/>
      </c>
      <c r="AF171" s="74" t="str">
        <f t="shared" si="36"/>
        <v/>
      </c>
      <c r="AG171" s="74" t="str">
        <f t="shared" si="36"/>
        <v/>
      </c>
      <c r="AH171" s="74" t="str">
        <f t="shared" si="36"/>
        <v/>
      </c>
      <c r="AI171" s="74" t="str">
        <f t="shared" si="36"/>
        <v>O</v>
      </c>
      <c r="AJ171" s="74" t="str">
        <f t="shared" si="14"/>
        <v>F</v>
      </c>
      <c r="AK171" s="74" t="str">
        <f t="shared" si="32"/>
        <v/>
      </c>
      <c r="AL171" s="74" t="str">
        <f t="shared" si="32"/>
        <v/>
      </c>
      <c r="AM171" s="74" t="str">
        <f t="shared" si="32"/>
        <v/>
      </c>
      <c r="AN171" s="74" t="str">
        <f t="shared" si="33"/>
        <v/>
      </c>
      <c r="AO171" s="74" t="str">
        <f t="shared" si="33"/>
        <v/>
      </c>
      <c r="AP171" s="74" t="str">
        <f t="shared" si="22"/>
        <v/>
      </c>
      <c r="AQ171" s="74" t="str">
        <f t="shared" si="34"/>
        <v/>
      </c>
      <c r="AR171" s="74" t="str">
        <f t="shared" si="34"/>
        <v/>
      </c>
      <c r="AS171" s="74" t="s">
        <v>399</v>
      </c>
      <c r="AT171" s="70" t="s">
        <v>386</v>
      </c>
      <c r="AU171" s="70" t="str">
        <f t="shared" si="23"/>
        <v>O</v>
      </c>
      <c r="AV171" s="74" t="str">
        <f t="shared" si="35"/>
        <v/>
      </c>
      <c r="AW171" s="74" t="str">
        <f t="shared" si="35"/>
        <v>O</v>
      </c>
      <c r="AX171" s="74" t="str">
        <f t="shared" si="35"/>
        <v/>
      </c>
      <c r="AY171" s="74" t="str">
        <f t="shared" si="35"/>
        <v>O</v>
      </c>
      <c r="AZ171" s="74" t="str">
        <f t="shared" si="24"/>
        <v>O</v>
      </c>
      <c r="BA171" s="74" t="str">
        <f t="shared" si="25"/>
        <v>O</v>
      </c>
      <c r="BB171" s="74" t="str">
        <f t="shared" si="19"/>
        <v>F</v>
      </c>
    </row>
    <row r="172" spans="1:54">
      <c r="A172" s="70">
        <v>2059</v>
      </c>
      <c r="B172" s="124" t="s">
        <v>584</v>
      </c>
      <c r="C172" s="124">
        <v>1172</v>
      </c>
      <c r="D172" s="124" t="s">
        <v>585</v>
      </c>
      <c r="E172" s="124" t="s">
        <v>227</v>
      </c>
      <c r="F172" s="124" t="s">
        <v>331</v>
      </c>
      <c r="G172" s="124" t="s">
        <v>334</v>
      </c>
      <c r="H172" s="124" t="s">
        <v>329</v>
      </c>
      <c r="I172" s="124" t="s">
        <v>355</v>
      </c>
      <c r="J172" s="124">
        <v>2079.9929999999999</v>
      </c>
      <c r="K172" s="124">
        <v>1.9512021334418368E-3</v>
      </c>
      <c r="M172" s="70">
        <v>2059</v>
      </c>
      <c r="N172" s="155" t="str">
        <f t="shared" si="6"/>
        <v>R38</v>
      </c>
      <c r="O172" s="137" t="s">
        <v>334</v>
      </c>
      <c r="P172" s="130" t="str">
        <f t="shared" si="7"/>
        <v>R25</v>
      </c>
      <c r="Q172" s="130" t="str">
        <f t="shared" si="8"/>
        <v>u30</v>
      </c>
      <c r="R172" s="130" t="s">
        <v>378</v>
      </c>
      <c r="S172" s="130" t="str">
        <f t="shared" si="9"/>
        <v>Electric FAF</v>
      </c>
      <c r="T172" s="130" t="str">
        <f t="shared" si="10"/>
        <v>Existing</v>
      </c>
      <c r="U172" s="156" t="str">
        <f t="shared" si="20"/>
        <v>PTCS</v>
      </c>
      <c r="V172" s="130" t="str">
        <f t="shared" si="21"/>
        <v>Electric FAFR38R11R25u30</v>
      </c>
      <c r="W172" s="130">
        <f t="shared" si="11"/>
        <v>3026</v>
      </c>
      <c r="X172" s="130"/>
      <c r="Y172" s="130">
        <f t="shared" si="12"/>
        <v>4</v>
      </c>
      <c r="Z172" s="130"/>
      <c r="AA172" s="74" t="str">
        <f t="shared" si="36"/>
        <v/>
      </c>
      <c r="AB172" s="74" t="str">
        <f t="shared" si="36"/>
        <v/>
      </c>
      <c r="AC172" s="74" t="str">
        <f t="shared" si="36"/>
        <v/>
      </c>
      <c r="AD172" s="74" t="str">
        <f t="shared" si="36"/>
        <v/>
      </c>
      <c r="AE172" s="74" t="str">
        <f t="shared" si="36"/>
        <v/>
      </c>
      <c r="AF172" s="74" t="str">
        <f t="shared" si="36"/>
        <v/>
      </c>
      <c r="AG172" s="74" t="str">
        <f t="shared" si="36"/>
        <v/>
      </c>
      <c r="AH172" s="74" t="str">
        <f t="shared" si="36"/>
        <v/>
      </c>
      <c r="AI172" s="74" t="str">
        <f t="shared" si="36"/>
        <v>O</v>
      </c>
      <c r="AJ172" s="74" t="str">
        <f t="shared" si="14"/>
        <v/>
      </c>
      <c r="AK172" s="74" t="str">
        <f t="shared" si="32"/>
        <v>O</v>
      </c>
      <c r="AL172" s="74" t="str">
        <f t="shared" si="32"/>
        <v>F</v>
      </c>
      <c r="AM172" s="74" t="str">
        <f t="shared" si="32"/>
        <v>O</v>
      </c>
      <c r="AN172" s="74" t="str">
        <f t="shared" si="33"/>
        <v>F</v>
      </c>
      <c r="AO172" s="74" t="str">
        <f t="shared" si="33"/>
        <v/>
      </c>
      <c r="AP172" s="74" t="str">
        <f t="shared" si="22"/>
        <v>O</v>
      </c>
      <c r="AQ172" s="74" t="str">
        <f t="shared" si="34"/>
        <v>O</v>
      </c>
      <c r="AR172" s="74" t="str">
        <f t="shared" si="34"/>
        <v/>
      </c>
      <c r="AS172" s="74" t="s">
        <v>399</v>
      </c>
      <c r="AT172" s="70" t="s">
        <v>386</v>
      </c>
      <c r="AU172" s="70" t="str">
        <f t="shared" si="23"/>
        <v>O</v>
      </c>
      <c r="AV172" s="74" t="str">
        <f t="shared" si="35"/>
        <v/>
      </c>
      <c r="AW172" s="74" t="str">
        <f t="shared" si="35"/>
        <v>O</v>
      </c>
      <c r="AX172" s="74" t="str">
        <f t="shared" si="35"/>
        <v/>
      </c>
      <c r="AY172" s="74" t="str">
        <f t="shared" si="35"/>
        <v>O</v>
      </c>
      <c r="AZ172" s="74" t="str">
        <f t="shared" si="24"/>
        <v>O</v>
      </c>
      <c r="BA172" s="74" t="str">
        <f t="shared" si="25"/>
        <v>O</v>
      </c>
      <c r="BB172" s="74" t="str">
        <f t="shared" si="19"/>
        <v>F</v>
      </c>
    </row>
    <row r="173" spans="1:54">
      <c r="A173" s="70">
        <v>2060</v>
      </c>
      <c r="B173" s="124" t="s">
        <v>586</v>
      </c>
      <c r="C173" s="124">
        <v>1174</v>
      </c>
      <c r="D173" s="124" t="s">
        <v>587</v>
      </c>
      <c r="E173" s="124" t="s">
        <v>227</v>
      </c>
      <c r="F173" s="124" t="s">
        <v>331</v>
      </c>
      <c r="G173" s="124" t="s">
        <v>334</v>
      </c>
      <c r="H173" s="124" t="s">
        <v>329</v>
      </c>
      <c r="I173" s="124" t="s">
        <v>352</v>
      </c>
      <c r="J173" s="124">
        <v>7790.8160000000007</v>
      </c>
      <c r="K173" s="124">
        <v>7.3084172881604879E-3</v>
      </c>
      <c r="M173" s="70">
        <v>2060</v>
      </c>
      <c r="N173" s="155" t="str">
        <f t="shared" si="6"/>
        <v>R38</v>
      </c>
      <c r="O173" s="137" t="s">
        <v>334</v>
      </c>
      <c r="P173" s="130" t="str">
        <f t="shared" si="7"/>
        <v>R25</v>
      </c>
      <c r="Q173" s="130" t="str">
        <f t="shared" si="8"/>
        <v>Better</v>
      </c>
      <c r="R173" s="130" t="s">
        <v>378</v>
      </c>
      <c r="S173" s="130" t="str">
        <f t="shared" si="9"/>
        <v>Electric FAF</v>
      </c>
      <c r="T173" s="130" t="str">
        <f t="shared" si="10"/>
        <v>Existing</v>
      </c>
      <c r="U173" s="156" t="str">
        <f t="shared" si="20"/>
        <v>PTCS</v>
      </c>
      <c r="V173" s="130" t="str">
        <f t="shared" si="21"/>
        <v>Electric FAFR38R11R25Better</v>
      </c>
      <c r="W173" s="130">
        <f t="shared" si="11"/>
        <v>3025</v>
      </c>
      <c r="X173" s="130"/>
      <c r="Y173" s="130">
        <f t="shared" si="12"/>
        <v>3</v>
      </c>
      <c r="Z173" s="130"/>
      <c r="AA173" s="74" t="str">
        <f t="shared" si="36"/>
        <v/>
      </c>
      <c r="AB173" s="74" t="str">
        <f t="shared" si="36"/>
        <v/>
      </c>
      <c r="AC173" s="74" t="str">
        <f t="shared" si="36"/>
        <v/>
      </c>
      <c r="AD173" s="74" t="str">
        <f t="shared" si="36"/>
        <v/>
      </c>
      <c r="AE173" s="74" t="str">
        <f t="shared" si="36"/>
        <v/>
      </c>
      <c r="AF173" s="74" t="str">
        <f t="shared" si="36"/>
        <v/>
      </c>
      <c r="AG173" s="74" t="str">
        <f t="shared" si="36"/>
        <v/>
      </c>
      <c r="AH173" s="74" t="str">
        <f t="shared" si="36"/>
        <v/>
      </c>
      <c r="AI173" s="74" t="str">
        <f t="shared" si="36"/>
        <v>O</v>
      </c>
      <c r="AJ173" s="74" t="str">
        <f t="shared" si="14"/>
        <v/>
      </c>
      <c r="AK173" s="74" t="str">
        <f t="shared" si="32"/>
        <v>O</v>
      </c>
      <c r="AL173" s="74" t="str">
        <f t="shared" si="32"/>
        <v>F</v>
      </c>
      <c r="AM173" s="74" t="str">
        <f t="shared" si="32"/>
        <v>O</v>
      </c>
      <c r="AN173" s="74" t="str">
        <f t="shared" si="33"/>
        <v/>
      </c>
      <c r="AO173" s="74" t="str">
        <f t="shared" si="33"/>
        <v/>
      </c>
      <c r="AP173" s="74" t="str">
        <f t="shared" si="22"/>
        <v/>
      </c>
      <c r="AQ173" s="74" t="str">
        <f t="shared" si="34"/>
        <v/>
      </c>
      <c r="AR173" s="74" t="str">
        <f t="shared" si="34"/>
        <v/>
      </c>
      <c r="AS173" s="74" t="s">
        <v>399</v>
      </c>
      <c r="AT173" s="70" t="s">
        <v>386</v>
      </c>
      <c r="AU173" s="70" t="str">
        <f t="shared" si="23"/>
        <v>O</v>
      </c>
      <c r="AV173" s="74" t="str">
        <f t="shared" si="35"/>
        <v/>
      </c>
      <c r="AW173" s="74" t="str">
        <f t="shared" si="35"/>
        <v>O</v>
      </c>
      <c r="AX173" s="74" t="str">
        <f t="shared" si="35"/>
        <v/>
      </c>
      <c r="AY173" s="74" t="str">
        <f t="shared" si="35"/>
        <v>O</v>
      </c>
      <c r="AZ173" s="74" t="str">
        <f t="shared" si="24"/>
        <v>O</v>
      </c>
      <c r="BA173" s="74" t="str">
        <f t="shared" si="25"/>
        <v>O</v>
      </c>
      <c r="BB173" s="74" t="str">
        <f t="shared" si="19"/>
        <v>F</v>
      </c>
    </row>
    <row r="174" spans="1:54">
      <c r="A174" s="70">
        <v>2061</v>
      </c>
      <c r="B174" s="124" t="s">
        <v>588</v>
      </c>
      <c r="C174" s="124">
        <v>1177</v>
      </c>
      <c r="D174" s="124" t="s">
        <v>589</v>
      </c>
      <c r="E174" s="124" t="s">
        <v>227</v>
      </c>
      <c r="F174" s="124" t="s">
        <v>331</v>
      </c>
      <c r="G174" s="124" t="s">
        <v>334</v>
      </c>
      <c r="H174" s="124" t="s">
        <v>335</v>
      </c>
      <c r="I174" s="124" t="s">
        <v>352</v>
      </c>
      <c r="J174" s="124">
        <v>5217.4470000000001</v>
      </c>
      <c r="K174" s="124">
        <v>4.8943884510763789E-3</v>
      </c>
      <c r="M174" s="70">
        <v>2061</v>
      </c>
      <c r="N174" s="155" t="str">
        <f t="shared" si="6"/>
        <v>R38</v>
      </c>
      <c r="O174" s="137" t="s">
        <v>334</v>
      </c>
      <c r="P174" s="130" t="str">
        <f t="shared" si="7"/>
        <v>R19</v>
      </c>
      <c r="Q174" s="130" t="str">
        <f t="shared" si="8"/>
        <v>Better</v>
      </c>
      <c r="R174" s="130" t="s">
        <v>378</v>
      </c>
      <c r="S174" s="130" t="str">
        <f t="shared" si="9"/>
        <v>Electric FAF</v>
      </c>
      <c r="T174" s="130" t="str">
        <f t="shared" si="10"/>
        <v>Existing</v>
      </c>
      <c r="U174" s="156" t="str">
        <f t="shared" si="20"/>
        <v>PTCS</v>
      </c>
      <c r="V174" s="130" t="str">
        <f t="shared" si="21"/>
        <v>Electric FAFR38R11R19Better</v>
      </c>
      <c r="W174" s="130">
        <f t="shared" si="11"/>
        <v>3018</v>
      </c>
      <c r="X174" s="130"/>
      <c r="Y174" s="130">
        <f t="shared" si="12"/>
        <v>2</v>
      </c>
      <c r="Z174" s="130"/>
      <c r="AA174" s="74" t="str">
        <f t="shared" si="36"/>
        <v/>
      </c>
      <c r="AB174" s="74" t="str">
        <f t="shared" si="36"/>
        <v/>
      </c>
      <c r="AC174" s="74" t="str">
        <f t="shared" si="36"/>
        <v/>
      </c>
      <c r="AD174" s="74" t="str">
        <f t="shared" si="36"/>
        <v/>
      </c>
      <c r="AE174" s="74" t="str">
        <f t="shared" si="36"/>
        <v/>
      </c>
      <c r="AF174" s="74" t="str">
        <f t="shared" si="36"/>
        <v/>
      </c>
      <c r="AG174" s="74" t="str">
        <f t="shared" si="36"/>
        <v/>
      </c>
      <c r="AH174" s="74" t="str">
        <f t="shared" si="36"/>
        <v/>
      </c>
      <c r="AI174" s="74" t="str">
        <f t="shared" si="36"/>
        <v>O</v>
      </c>
      <c r="AJ174" s="74" t="str">
        <f t="shared" si="14"/>
        <v/>
      </c>
      <c r="AK174" s="74" t="str">
        <f t="shared" ref="AK174:AM193" si="37">IF(AK$109=$H174,AK$107,"")</f>
        <v/>
      </c>
      <c r="AL174" s="74" t="str">
        <f t="shared" si="37"/>
        <v/>
      </c>
      <c r="AM174" s="74" t="str">
        <f t="shared" si="37"/>
        <v/>
      </c>
      <c r="AN174" s="74" t="str">
        <f t="shared" ref="AN174:AO193" si="38">IF(AN$109=$I174,AN$107,"")</f>
        <v/>
      </c>
      <c r="AO174" s="74" t="str">
        <f t="shared" si="38"/>
        <v/>
      </c>
      <c r="AP174" s="74" t="str">
        <f t="shared" si="22"/>
        <v/>
      </c>
      <c r="AQ174" s="74" t="str">
        <f t="shared" ref="AQ174:AR193" si="39">IF(AQ$109=$I174,AQ$107,"")</f>
        <v/>
      </c>
      <c r="AR174" s="74" t="str">
        <f t="shared" si="39"/>
        <v/>
      </c>
      <c r="AS174" s="74" t="s">
        <v>399</v>
      </c>
      <c r="AT174" s="70" t="s">
        <v>386</v>
      </c>
      <c r="AU174" s="70" t="str">
        <f t="shared" si="23"/>
        <v>O</v>
      </c>
      <c r="AV174" s="74" t="str">
        <f t="shared" ref="AV174:AY193" si="40">IF(AV$109=$E174,AV$107,"")</f>
        <v/>
      </c>
      <c r="AW174" s="74" t="str">
        <f t="shared" si="40"/>
        <v>O</v>
      </c>
      <c r="AX174" s="74" t="str">
        <f t="shared" si="40"/>
        <v/>
      </c>
      <c r="AY174" s="74" t="str">
        <f t="shared" si="40"/>
        <v>O</v>
      </c>
      <c r="AZ174" s="74" t="str">
        <f t="shared" si="24"/>
        <v>O</v>
      </c>
      <c r="BA174" s="74" t="str">
        <f t="shared" si="25"/>
        <v>O</v>
      </c>
      <c r="BB174" s="74" t="str">
        <f t="shared" si="19"/>
        <v>F</v>
      </c>
    </row>
    <row r="175" spans="1:54">
      <c r="A175" s="70">
        <v>2062</v>
      </c>
      <c r="B175" s="124" t="s">
        <v>590</v>
      </c>
      <c r="C175" s="124">
        <v>1178</v>
      </c>
      <c r="D175" s="124" t="s">
        <v>591</v>
      </c>
      <c r="E175" s="124" t="s">
        <v>227</v>
      </c>
      <c r="F175" s="124" t="s">
        <v>331</v>
      </c>
      <c r="G175" s="124" t="s">
        <v>334</v>
      </c>
      <c r="H175" s="124" t="s">
        <v>352</v>
      </c>
      <c r="I175" s="124" t="s">
        <v>355</v>
      </c>
      <c r="J175" s="124">
        <v>8264.9449999999997</v>
      </c>
      <c r="K175" s="124">
        <v>7.7531887447599302E-3</v>
      </c>
      <c r="M175" s="70">
        <v>2062</v>
      </c>
      <c r="N175" s="155" t="str">
        <f t="shared" si="6"/>
        <v>R38</v>
      </c>
      <c r="O175" s="137" t="s">
        <v>334</v>
      </c>
      <c r="P175" s="130" t="str">
        <f t="shared" si="7"/>
        <v>Better</v>
      </c>
      <c r="Q175" s="130" t="str">
        <f t="shared" si="8"/>
        <v>u30</v>
      </c>
      <c r="R175" s="130" t="s">
        <v>378</v>
      </c>
      <c r="S175" s="130" t="str">
        <f t="shared" si="9"/>
        <v>Electric FAF</v>
      </c>
      <c r="T175" s="130" t="str">
        <f t="shared" si="10"/>
        <v>Existing</v>
      </c>
      <c r="U175" s="156" t="str">
        <f t="shared" si="20"/>
        <v>PTCS</v>
      </c>
      <c r="V175" s="130" t="str">
        <f t="shared" si="21"/>
        <v>Electric FAFR38R11Betteru30</v>
      </c>
      <c r="W175" s="130">
        <f t="shared" si="11"/>
        <v>3012</v>
      </c>
      <c r="X175" s="130"/>
      <c r="Y175" s="130">
        <f t="shared" si="12"/>
        <v>3</v>
      </c>
      <c r="Z175" s="130"/>
      <c r="AA175" s="74" t="str">
        <f t="shared" si="36"/>
        <v/>
      </c>
      <c r="AB175" s="74" t="str">
        <f t="shared" si="36"/>
        <v/>
      </c>
      <c r="AC175" s="74" t="str">
        <f t="shared" si="36"/>
        <v/>
      </c>
      <c r="AD175" s="74" t="str">
        <f t="shared" si="36"/>
        <v/>
      </c>
      <c r="AE175" s="74" t="str">
        <f t="shared" si="36"/>
        <v/>
      </c>
      <c r="AF175" s="74" t="str">
        <f t="shared" si="36"/>
        <v/>
      </c>
      <c r="AG175" s="74" t="str">
        <f t="shared" si="36"/>
        <v/>
      </c>
      <c r="AH175" s="74" t="str">
        <f t="shared" si="36"/>
        <v/>
      </c>
      <c r="AI175" s="74" t="str">
        <f t="shared" si="36"/>
        <v>O</v>
      </c>
      <c r="AJ175" s="74" t="str">
        <f t="shared" si="14"/>
        <v/>
      </c>
      <c r="AK175" s="74" t="str">
        <f t="shared" si="37"/>
        <v/>
      </c>
      <c r="AL175" s="74" t="str">
        <f t="shared" si="37"/>
        <v/>
      </c>
      <c r="AM175" s="74" t="str">
        <f t="shared" si="37"/>
        <v/>
      </c>
      <c r="AN175" s="74" t="str">
        <f t="shared" si="38"/>
        <v>F</v>
      </c>
      <c r="AO175" s="74" t="str">
        <f t="shared" si="38"/>
        <v/>
      </c>
      <c r="AP175" s="74" t="str">
        <f t="shared" si="22"/>
        <v>O</v>
      </c>
      <c r="AQ175" s="74" t="str">
        <f t="shared" si="39"/>
        <v>O</v>
      </c>
      <c r="AR175" s="74" t="str">
        <f t="shared" si="39"/>
        <v/>
      </c>
      <c r="AS175" s="74" t="s">
        <v>399</v>
      </c>
      <c r="AT175" s="70" t="s">
        <v>386</v>
      </c>
      <c r="AU175" s="70" t="str">
        <f t="shared" si="23"/>
        <v>O</v>
      </c>
      <c r="AV175" s="74" t="str">
        <f t="shared" si="40"/>
        <v/>
      </c>
      <c r="AW175" s="74" t="str">
        <f t="shared" si="40"/>
        <v>O</v>
      </c>
      <c r="AX175" s="74" t="str">
        <f t="shared" si="40"/>
        <v/>
      </c>
      <c r="AY175" s="74" t="str">
        <f t="shared" si="40"/>
        <v>O</v>
      </c>
      <c r="AZ175" s="74" t="str">
        <f t="shared" si="24"/>
        <v>O</v>
      </c>
      <c r="BA175" s="74" t="str">
        <f t="shared" si="25"/>
        <v>O</v>
      </c>
      <c r="BB175" s="74" t="str">
        <f t="shared" si="19"/>
        <v>F</v>
      </c>
    </row>
    <row r="176" spans="1:54">
      <c r="A176" s="70">
        <v>2063</v>
      </c>
      <c r="B176" s="124" t="s">
        <v>592</v>
      </c>
      <c r="C176" s="124">
        <v>1180</v>
      </c>
      <c r="D176" s="124" t="s">
        <v>593</v>
      </c>
      <c r="E176" s="124" t="s">
        <v>227</v>
      </c>
      <c r="F176" s="124" t="s">
        <v>331</v>
      </c>
      <c r="G176" s="124" t="s">
        <v>334</v>
      </c>
      <c r="H176" s="124" t="s">
        <v>352</v>
      </c>
      <c r="I176" s="124" t="s">
        <v>352</v>
      </c>
      <c r="J176" s="124">
        <v>32233.588000000003</v>
      </c>
      <c r="K176" s="124">
        <v>3.0237719874098228E-2</v>
      </c>
      <c r="M176" s="70">
        <v>2063</v>
      </c>
      <c r="N176" s="155" t="str">
        <f t="shared" si="6"/>
        <v>R38</v>
      </c>
      <c r="O176" s="137" t="s">
        <v>334</v>
      </c>
      <c r="P176" s="130" t="str">
        <f t="shared" si="7"/>
        <v>Better</v>
      </c>
      <c r="Q176" s="130" t="str">
        <f t="shared" si="8"/>
        <v>Better</v>
      </c>
      <c r="R176" s="130" t="s">
        <v>378</v>
      </c>
      <c r="S176" s="130" t="str">
        <f t="shared" si="9"/>
        <v>Electric FAF</v>
      </c>
      <c r="T176" s="130" t="str">
        <f t="shared" si="10"/>
        <v>Existing</v>
      </c>
      <c r="U176" s="156" t="str">
        <f t="shared" si="20"/>
        <v>PTCS</v>
      </c>
      <c r="V176" s="130" t="str">
        <f t="shared" si="21"/>
        <v>Electric FAFR38R11BetterBetter</v>
      </c>
      <c r="W176" s="130">
        <f t="shared" si="11"/>
        <v>3011</v>
      </c>
      <c r="X176" s="130"/>
      <c r="Y176" s="130">
        <f t="shared" si="12"/>
        <v>2</v>
      </c>
      <c r="Z176" s="130"/>
      <c r="AA176" s="74" t="str">
        <f t="shared" si="36"/>
        <v/>
      </c>
      <c r="AB176" s="74" t="str">
        <f t="shared" si="36"/>
        <v/>
      </c>
      <c r="AC176" s="74" t="str">
        <f t="shared" si="36"/>
        <v/>
      </c>
      <c r="AD176" s="74" t="str">
        <f t="shared" si="36"/>
        <v/>
      </c>
      <c r="AE176" s="74" t="str">
        <f t="shared" si="36"/>
        <v/>
      </c>
      <c r="AF176" s="74" t="str">
        <f t="shared" si="36"/>
        <v/>
      </c>
      <c r="AG176" s="74" t="str">
        <f t="shared" si="36"/>
        <v/>
      </c>
      <c r="AH176" s="74" t="str">
        <f t="shared" si="36"/>
        <v/>
      </c>
      <c r="AI176" s="74" t="str">
        <f t="shared" si="36"/>
        <v>O</v>
      </c>
      <c r="AJ176" s="74" t="str">
        <f t="shared" si="14"/>
        <v/>
      </c>
      <c r="AK176" s="74" t="str">
        <f t="shared" si="37"/>
        <v/>
      </c>
      <c r="AL176" s="74" t="str">
        <f t="shared" si="37"/>
        <v/>
      </c>
      <c r="AM176" s="74" t="str">
        <f t="shared" si="37"/>
        <v/>
      </c>
      <c r="AN176" s="74" t="str">
        <f t="shared" si="38"/>
        <v/>
      </c>
      <c r="AO176" s="74" t="str">
        <f t="shared" si="38"/>
        <v/>
      </c>
      <c r="AP176" s="74" t="str">
        <f t="shared" si="22"/>
        <v/>
      </c>
      <c r="AQ176" s="74" t="str">
        <f t="shared" si="39"/>
        <v/>
      </c>
      <c r="AR176" s="74" t="str">
        <f t="shared" si="39"/>
        <v/>
      </c>
      <c r="AS176" s="74" t="s">
        <v>399</v>
      </c>
      <c r="AT176" s="70" t="s">
        <v>386</v>
      </c>
      <c r="AU176" s="70" t="str">
        <f t="shared" si="23"/>
        <v>O</v>
      </c>
      <c r="AV176" s="74" t="str">
        <f t="shared" si="40"/>
        <v/>
      </c>
      <c r="AW176" s="74" t="str">
        <f t="shared" si="40"/>
        <v>O</v>
      </c>
      <c r="AX176" s="74" t="str">
        <f t="shared" si="40"/>
        <v/>
      </c>
      <c r="AY176" s="74" t="str">
        <f t="shared" si="40"/>
        <v>O</v>
      </c>
      <c r="AZ176" s="74" t="str">
        <f t="shared" si="24"/>
        <v>O</v>
      </c>
      <c r="BA176" s="74" t="str">
        <f t="shared" si="25"/>
        <v>O</v>
      </c>
      <c r="BB176" s="74" t="str">
        <f t="shared" si="19"/>
        <v>F</v>
      </c>
    </row>
    <row r="177" spans="1:54">
      <c r="A177" s="70">
        <v>2064</v>
      </c>
      <c r="B177" s="124" t="s">
        <v>594</v>
      </c>
      <c r="C177" s="124">
        <v>1273</v>
      </c>
      <c r="D177" s="124" t="s">
        <v>595</v>
      </c>
      <c r="E177" s="124" t="s">
        <v>228</v>
      </c>
      <c r="F177" s="124" t="s">
        <v>329</v>
      </c>
      <c r="G177" s="124" t="s">
        <v>329</v>
      </c>
      <c r="H177" s="124" t="s">
        <v>377</v>
      </c>
      <c r="I177" s="124" t="s">
        <v>352</v>
      </c>
      <c r="J177" s="124">
        <v>1904.288</v>
      </c>
      <c r="K177" s="124">
        <v>1.7863765927518451E-3</v>
      </c>
      <c r="M177" s="70">
        <v>2064</v>
      </c>
      <c r="N177" s="155" t="str">
        <f t="shared" si="6"/>
        <v>R38</v>
      </c>
      <c r="O177" s="137" t="s">
        <v>334</v>
      </c>
      <c r="P177" s="130" t="str">
        <f t="shared" si="7"/>
        <v>Basement</v>
      </c>
      <c r="Q177" s="130" t="str">
        <f t="shared" si="8"/>
        <v>Better</v>
      </c>
      <c r="R177" s="130" t="s">
        <v>378</v>
      </c>
      <c r="S177" s="130" t="str">
        <f t="shared" si="9"/>
        <v>Electric Zonal</v>
      </c>
      <c r="T177" s="130" t="str">
        <f t="shared" si="10"/>
        <v>Existing</v>
      </c>
      <c r="U177" s="156" t="str">
        <f t="shared" si="20"/>
        <v>PTCS</v>
      </c>
      <c r="V177" s="130" t="str">
        <f t="shared" si="21"/>
        <v>Electric ZonalR38R11BasementBetter</v>
      </c>
      <c r="W177" s="130">
        <f t="shared" si="11"/>
        <v>3007</v>
      </c>
      <c r="X177" s="130"/>
      <c r="Y177" s="130">
        <f t="shared" si="12"/>
        <v>3</v>
      </c>
      <c r="Z177" s="130"/>
      <c r="AA177" s="74" t="str">
        <f t="shared" si="36"/>
        <v>F</v>
      </c>
      <c r="AB177" s="74" t="str">
        <f t="shared" si="36"/>
        <v>O</v>
      </c>
      <c r="AC177" s="74" t="str">
        <f t="shared" si="36"/>
        <v/>
      </c>
      <c r="AD177" s="74" t="str">
        <f t="shared" si="36"/>
        <v/>
      </c>
      <c r="AE177" s="74" t="str">
        <f t="shared" si="36"/>
        <v/>
      </c>
      <c r="AF177" s="74" t="str">
        <f t="shared" si="36"/>
        <v/>
      </c>
      <c r="AG177" s="74" t="str">
        <f t="shared" si="36"/>
        <v/>
      </c>
      <c r="AH177" s="74" t="str">
        <f t="shared" si="36"/>
        <v/>
      </c>
      <c r="AI177" s="74" t="str">
        <f t="shared" si="36"/>
        <v/>
      </c>
      <c r="AJ177" s="74" t="str">
        <f t="shared" si="14"/>
        <v>F</v>
      </c>
      <c r="AK177" s="74" t="str">
        <f t="shared" si="37"/>
        <v/>
      </c>
      <c r="AL177" s="74" t="str">
        <f t="shared" si="37"/>
        <v/>
      </c>
      <c r="AM177" s="74" t="str">
        <f t="shared" si="37"/>
        <v/>
      </c>
      <c r="AN177" s="74" t="str">
        <f t="shared" si="38"/>
        <v/>
      </c>
      <c r="AO177" s="74" t="str">
        <f t="shared" si="38"/>
        <v/>
      </c>
      <c r="AP177" s="74" t="str">
        <f t="shared" si="22"/>
        <v/>
      </c>
      <c r="AQ177" s="74" t="str">
        <f t="shared" si="39"/>
        <v/>
      </c>
      <c r="AR177" s="74" t="str">
        <f t="shared" si="39"/>
        <v/>
      </c>
      <c r="AS177" s="74" t="s">
        <v>399</v>
      </c>
      <c r="AT177" s="70" t="s">
        <v>386</v>
      </c>
      <c r="AU177" s="70" t="str">
        <f t="shared" si="23"/>
        <v/>
      </c>
      <c r="AV177" s="74" t="str">
        <f t="shared" si="40"/>
        <v>O</v>
      </c>
      <c r="AW177" s="74" t="str">
        <f t="shared" si="40"/>
        <v/>
      </c>
      <c r="AX177" s="74" t="str">
        <f t="shared" si="40"/>
        <v>O</v>
      </c>
      <c r="AY177" s="74" t="str">
        <f t="shared" si="40"/>
        <v/>
      </c>
      <c r="AZ177" s="74" t="str">
        <f t="shared" si="24"/>
        <v>O</v>
      </c>
      <c r="BA177" s="74" t="str">
        <f t="shared" si="25"/>
        <v/>
      </c>
      <c r="BB177" s="74" t="str">
        <f t="shared" si="19"/>
        <v/>
      </c>
    </row>
    <row r="178" spans="1:54">
      <c r="A178" s="70">
        <v>2065</v>
      </c>
      <c r="B178" s="124" t="s">
        <v>596</v>
      </c>
      <c r="C178" s="124">
        <v>1276</v>
      </c>
      <c r="D178" s="124" t="s">
        <v>597</v>
      </c>
      <c r="E178" s="124" t="s">
        <v>228</v>
      </c>
      <c r="F178" s="124" t="s">
        <v>329</v>
      </c>
      <c r="G178" s="124" t="s">
        <v>334</v>
      </c>
      <c r="H178" s="124" t="s">
        <v>377</v>
      </c>
      <c r="I178" s="124" t="s">
        <v>352</v>
      </c>
      <c r="J178" s="124">
        <v>3692.6849999999999</v>
      </c>
      <c r="K178" s="124">
        <v>3.4640380280744547E-3</v>
      </c>
      <c r="M178" s="70">
        <v>2065</v>
      </c>
      <c r="N178" s="155" t="str">
        <f t="shared" ref="N178:N208" si="41">IFERROR(INDEX($AA$108:$AI$108,MATCH("F",AA178:AI178,0)),F178)</f>
        <v>R38</v>
      </c>
      <c r="O178" s="137" t="s">
        <v>334</v>
      </c>
      <c r="P178" s="130" t="str">
        <f t="shared" ref="P178:P208" si="42">IFERROR(INDEX($AK$108:$AM$108,MATCH("F",AK178:AM178,0)),H178)</f>
        <v>Basement</v>
      </c>
      <c r="Q178" s="130" t="str">
        <f t="shared" ref="Q178:Q208" si="43">IFERROR(INDEX($AN$108:$AS$108,MATCH("F",AN178:AS178,0)),I178)</f>
        <v>Better</v>
      </c>
      <c r="R178" s="130" t="s">
        <v>378</v>
      </c>
      <c r="S178" s="130" t="str">
        <f t="shared" ref="S178:S208" si="44">IFERROR(INDEX($AV$108:$AY$108,MATCH("F",AV178:AY178,0)),E178)</f>
        <v>Electric Zonal</v>
      </c>
      <c r="T178" s="130" t="str">
        <f t="shared" ref="T178:T208" si="45">IF(E178="DHP","n/a","Existing")</f>
        <v>Existing</v>
      </c>
      <c r="U178" s="156" t="str">
        <f t="shared" si="20"/>
        <v>PTCS</v>
      </c>
      <c r="V178" s="130" t="str">
        <f t="shared" si="21"/>
        <v>Electric ZonalR38R11BasementBetter</v>
      </c>
      <c r="W178" s="130">
        <f t="shared" ref="W178:W208" si="46">VLOOKUP(V178,$J$46:$K$82,2,FALSE)</f>
        <v>3007</v>
      </c>
      <c r="X178" s="130"/>
      <c r="Y178" s="130">
        <f t="shared" ref="Y178:Y208" si="47">COUNTIF(AA178:BB178,"F")</f>
        <v>2</v>
      </c>
      <c r="Z178" s="130"/>
      <c r="AA178" s="74" t="str">
        <f t="shared" ref="AA178:AI193" si="48">IF(AA$109=$F178,AA$107,"")</f>
        <v>F</v>
      </c>
      <c r="AB178" s="74" t="str">
        <f t="shared" si="48"/>
        <v>O</v>
      </c>
      <c r="AC178" s="74" t="str">
        <f t="shared" si="48"/>
        <v/>
      </c>
      <c r="AD178" s="74" t="str">
        <f t="shared" si="48"/>
        <v/>
      </c>
      <c r="AE178" s="74" t="str">
        <f t="shared" si="48"/>
        <v/>
      </c>
      <c r="AF178" s="74" t="str">
        <f t="shared" si="48"/>
        <v/>
      </c>
      <c r="AG178" s="74" t="str">
        <f t="shared" si="48"/>
        <v/>
      </c>
      <c r="AH178" s="74" t="str">
        <f t="shared" si="48"/>
        <v/>
      </c>
      <c r="AI178" s="74" t="str">
        <f t="shared" si="48"/>
        <v/>
      </c>
      <c r="AJ178" s="74" t="str">
        <f t="shared" ref="AJ178:AJ208" si="49">IF(AJ$109=$G178,AJ$107,"")</f>
        <v/>
      </c>
      <c r="AK178" s="74" t="str">
        <f t="shared" si="37"/>
        <v/>
      </c>
      <c r="AL178" s="74" t="str">
        <f t="shared" si="37"/>
        <v/>
      </c>
      <c r="AM178" s="74" t="str">
        <f t="shared" si="37"/>
        <v/>
      </c>
      <c r="AN178" s="74" t="str">
        <f t="shared" si="38"/>
        <v/>
      </c>
      <c r="AO178" s="74" t="str">
        <f t="shared" si="38"/>
        <v/>
      </c>
      <c r="AP178" s="74" t="str">
        <f t="shared" si="22"/>
        <v/>
      </c>
      <c r="AQ178" s="74" t="str">
        <f t="shared" si="39"/>
        <v/>
      </c>
      <c r="AR178" s="74" t="str">
        <f t="shared" si="39"/>
        <v/>
      </c>
      <c r="AS178" s="74" t="s">
        <v>399</v>
      </c>
      <c r="AT178" s="70" t="s">
        <v>386</v>
      </c>
      <c r="AU178" s="70" t="str">
        <f t="shared" si="23"/>
        <v/>
      </c>
      <c r="AV178" s="74" t="str">
        <f t="shared" si="40"/>
        <v>O</v>
      </c>
      <c r="AW178" s="74" t="str">
        <f t="shared" si="40"/>
        <v/>
      </c>
      <c r="AX178" s="74" t="str">
        <f t="shared" si="40"/>
        <v>O</v>
      </c>
      <c r="AY178" s="74" t="str">
        <f t="shared" si="40"/>
        <v/>
      </c>
      <c r="AZ178" s="74" t="str">
        <f t="shared" si="24"/>
        <v>O</v>
      </c>
      <c r="BA178" s="74" t="str">
        <f t="shared" si="25"/>
        <v/>
      </c>
      <c r="BB178" s="74" t="str">
        <f t="shared" ref="BB178:BB208" si="50">IF($E178="Electric Zonal","",BB$107)</f>
        <v/>
      </c>
    </row>
    <row r="179" spans="1:54">
      <c r="A179" s="70">
        <v>2066</v>
      </c>
      <c r="B179" s="124" t="s">
        <v>598</v>
      </c>
      <c r="C179" s="124">
        <v>1281</v>
      </c>
      <c r="D179" s="124" t="s">
        <v>599</v>
      </c>
      <c r="E179" s="124" t="s">
        <v>228</v>
      </c>
      <c r="F179" s="124" t="s">
        <v>334</v>
      </c>
      <c r="G179" s="124" t="s">
        <v>334</v>
      </c>
      <c r="H179" s="124" t="s">
        <v>377</v>
      </c>
      <c r="I179" s="124" t="s">
        <v>339</v>
      </c>
      <c r="J179" s="124">
        <v>2003.7159999999999</v>
      </c>
      <c r="K179" s="124">
        <v>1.8796481209367257E-3</v>
      </c>
      <c r="M179" s="70">
        <v>2066</v>
      </c>
      <c r="N179" s="155" t="str">
        <f t="shared" si="41"/>
        <v>R38</v>
      </c>
      <c r="O179" s="137" t="s">
        <v>334</v>
      </c>
      <c r="P179" s="130" t="str">
        <f t="shared" si="42"/>
        <v>Basement</v>
      </c>
      <c r="Q179" s="130" t="str">
        <f t="shared" si="43"/>
        <v>u30</v>
      </c>
      <c r="R179" s="130" t="s">
        <v>378</v>
      </c>
      <c r="S179" s="130" t="str">
        <f t="shared" si="44"/>
        <v>Electric Zonal</v>
      </c>
      <c r="T179" s="130" t="str">
        <f t="shared" si="45"/>
        <v>Existing</v>
      </c>
      <c r="U179" s="156" t="str">
        <f t="shared" ref="U179:U208" si="51">IF(E179="DHP","n/a","PTCS")</f>
        <v>PTCS</v>
      </c>
      <c r="V179" s="130" t="str">
        <f t="shared" ref="V179:V208" si="52">S179&amp;N179&amp;O179&amp;P179&amp;Q179</f>
        <v>Electric ZonalR38R11Basementu30</v>
      </c>
      <c r="W179" s="130">
        <f t="shared" si="46"/>
        <v>3008</v>
      </c>
      <c r="X179" s="130"/>
      <c r="Y179" s="130">
        <f t="shared" si="47"/>
        <v>3</v>
      </c>
      <c r="Z179" s="130"/>
      <c r="AA179" s="74" t="str">
        <f t="shared" si="48"/>
        <v/>
      </c>
      <c r="AB179" s="74" t="str">
        <f t="shared" si="48"/>
        <v/>
      </c>
      <c r="AC179" s="74" t="str">
        <f t="shared" si="48"/>
        <v>F</v>
      </c>
      <c r="AD179" s="74" t="str">
        <f t="shared" si="48"/>
        <v>O</v>
      </c>
      <c r="AE179" s="74" t="str">
        <f t="shared" si="48"/>
        <v/>
      </c>
      <c r="AF179" s="74" t="str">
        <f t="shared" si="48"/>
        <v/>
      </c>
      <c r="AG179" s="74" t="str">
        <f t="shared" si="48"/>
        <v/>
      </c>
      <c r="AH179" s="74" t="str">
        <f t="shared" si="48"/>
        <v/>
      </c>
      <c r="AI179" s="74" t="str">
        <f t="shared" si="48"/>
        <v/>
      </c>
      <c r="AJ179" s="74" t="str">
        <f t="shared" si="49"/>
        <v/>
      </c>
      <c r="AK179" s="74" t="str">
        <f t="shared" si="37"/>
        <v/>
      </c>
      <c r="AL179" s="74" t="str">
        <f t="shared" si="37"/>
        <v/>
      </c>
      <c r="AM179" s="74" t="str">
        <f t="shared" si="37"/>
        <v/>
      </c>
      <c r="AN179" s="74" t="str">
        <f t="shared" si="38"/>
        <v/>
      </c>
      <c r="AO179" s="74" t="str">
        <f t="shared" si="38"/>
        <v>F</v>
      </c>
      <c r="AP179" s="74" t="str">
        <f t="shared" ref="AP179:AP208" si="53">IF(OR(I179="Single",I179="Double"),AP$107,"")</f>
        <v>O</v>
      </c>
      <c r="AQ179" s="74" t="str">
        <f t="shared" si="39"/>
        <v/>
      </c>
      <c r="AR179" s="74" t="str">
        <f t="shared" si="39"/>
        <v>O</v>
      </c>
      <c r="AS179" s="74" t="s">
        <v>399</v>
      </c>
      <c r="AT179" s="70" t="s">
        <v>386</v>
      </c>
      <c r="AU179" s="70" t="str">
        <f t="shared" ref="AU179:AU208" si="54">IF(OR(S179="Electric FAF",S179="Heat Pump"),AU$107,"")</f>
        <v/>
      </c>
      <c r="AV179" s="74" t="str">
        <f t="shared" si="40"/>
        <v>O</v>
      </c>
      <c r="AW179" s="74" t="str">
        <f t="shared" si="40"/>
        <v/>
      </c>
      <c r="AX179" s="74" t="str">
        <f t="shared" si="40"/>
        <v>O</v>
      </c>
      <c r="AY179" s="74" t="str">
        <f t="shared" si="40"/>
        <v/>
      </c>
      <c r="AZ179" s="74" t="str">
        <f t="shared" ref="AZ179:AZ208" si="55">IF($E179="Electric Zonal","O",AZ$107)</f>
        <v>O</v>
      </c>
      <c r="BA179" s="74" t="str">
        <f t="shared" ref="BA179:BA208" si="56">IF(OR($E179="Electric Zonal",$E179="DHP"),"",BA$107)</f>
        <v/>
      </c>
      <c r="BB179" s="74" t="str">
        <f t="shared" si="50"/>
        <v/>
      </c>
    </row>
    <row r="180" spans="1:54">
      <c r="A180" s="70">
        <v>2067</v>
      </c>
      <c r="B180" s="124" t="s">
        <v>600</v>
      </c>
      <c r="C180" s="124">
        <v>1282</v>
      </c>
      <c r="D180" s="124" t="s">
        <v>601</v>
      </c>
      <c r="E180" s="124" t="s">
        <v>228</v>
      </c>
      <c r="F180" s="124" t="s">
        <v>334</v>
      </c>
      <c r="G180" s="124" t="s">
        <v>334</v>
      </c>
      <c r="H180" s="124" t="s">
        <v>377</v>
      </c>
      <c r="I180" s="124" t="s">
        <v>352</v>
      </c>
      <c r="J180" s="124">
        <v>2657.1589999999997</v>
      </c>
      <c r="K180" s="124">
        <v>2.4926306529368977E-3</v>
      </c>
      <c r="M180" s="70">
        <v>2067</v>
      </c>
      <c r="N180" s="155" t="str">
        <f t="shared" si="41"/>
        <v>R38</v>
      </c>
      <c r="O180" s="137" t="s">
        <v>334</v>
      </c>
      <c r="P180" s="130" t="str">
        <f t="shared" si="42"/>
        <v>Basement</v>
      </c>
      <c r="Q180" s="130" t="str">
        <f t="shared" si="43"/>
        <v>Better</v>
      </c>
      <c r="R180" s="130" t="s">
        <v>378</v>
      </c>
      <c r="S180" s="130" t="str">
        <f t="shared" si="44"/>
        <v>Electric Zonal</v>
      </c>
      <c r="T180" s="130" t="str">
        <f t="shared" si="45"/>
        <v>Existing</v>
      </c>
      <c r="U180" s="156" t="str">
        <f t="shared" si="51"/>
        <v>PTCS</v>
      </c>
      <c r="V180" s="130" t="str">
        <f t="shared" si="52"/>
        <v>Electric ZonalR38R11BasementBetter</v>
      </c>
      <c r="W180" s="130">
        <f t="shared" si="46"/>
        <v>3007</v>
      </c>
      <c r="X180" s="130"/>
      <c r="Y180" s="130">
        <f t="shared" si="47"/>
        <v>2</v>
      </c>
      <c r="Z180" s="130"/>
      <c r="AA180" s="74" t="str">
        <f t="shared" si="48"/>
        <v/>
      </c>
      <c r="AB180" s="74" t="str">
        <f t="shared" si="48"/>
        <v/>
      </c>
      <c r="AC180" s="74" t="str">
        <f t="shared" si="48"/>
        <v>F</v>
      </c>
      <c r="AD180" s="74" t="str">
        <f t="shared" si="48"/>
        <v>O</v>
      </c>
      <c r="AE180" s="74" t="str">
        <f t="shared" si="48"/>
        <v/>
      </c>
      <c r="AF180" s="74" t="str">
        <f t="shared" si="48"/>
        <v/>
      </c>
      <c r="AG180" s="74" t="str">
        <f t="shared" si="48"/>
        <v/>
      </c>
      <c r="AH180" s="74" t="str">
        <f t="shared" si="48"/>
        <v/>
      </c>
      <c r="AI180" s="74" t="str">
        <f t="shared" si="48"/>
        <v/>
      </c>
      <c r="AJ180" s="74" t="str">
        <f t="shared" si="49"/>
        <v/>
      </c>
      <c r="AK180" s="74" t="str">
        <f t="shared" si="37"/>
        <v/>
      </c>
      <c r="AL180" s="74" t="str">
        <f t="shared" si="37"/>
        <v/>
      </c>
      <c r="AM180" s="74" t="str">
        <f t="shared" si="37"/>
        <v/>
      </c>
      <c r="AN180" s="74" t="str">
        <f t="shared" si="38"/>
        <v/>
      </c>
      <c r="AO180" s="74" t="str">
        <f t="shared" si="38"/>
        <v/>
      </c>
      <c r="AP180" s="74" t="str">
        <f t="shared" si="53"/>
        <v/>
      </c>
      <c r="AQ180" s="74" t="str">
        <f t="shared" si="39"/>
        <v/>
      </c>
      <c r="AR180" s="74" t="str">
        <f t="shared" si="39"/>
        <v/>
      </c>
      <c r="AS180" s="74" t="s">
        <v>399</v>
      </c>
      <c r="AT180" s="70" t="s">
        <v>386</v>
      </c>
      <c r="AU180" s="70" t="str">
        <f t="shared" si="54"/>
        <v/>
      </c>
      <c r="AV180" s="74" t="str">
        <f t="shared" si="40"/>
        <v>O</v>
      </c>
      <c r="AW180" s="74" t="str">
        <f t="shared" si="40"/>
        <v/>
      </c>
      <c r="AX180" s="74" t="str">
        <f t="shared" si="40"/>
        <v>O</v>
      </c>
      <c r="AY180" s="74" t="str">
        <f t="shared" si="40"/>
        <v/>
      </c>
      <c r="AZ180" s="74" t="str">
        <f t="shared" si="55"/>
        <v>O</v>
      </c>
      <c r="BA180" s="74" t="str">
        <f t="shared" si="56"/>
        <v/>
      </c>
      <c r="BB180" s="74" t="str">
        <f t="shared" si="50"/>
        <v/>
      </c>
    </row>
    <row r="181" spans="1:54">
      <c r="A181" s="70">
        <v>2068</v>
      </c>
      <c r="B181" s="124" t="s">
        <v>602</v>
      </c>
      <c r="C181" s="124">
        <v>1288</v>
      </c>
      <c r="D181" s="124" t="s">
        <v>603</v>
      </c>
      <c r="E181" s="124" t="s">
        <v>228</v>
      </c>
      <c r="F181" s="124" t="s">
        <v>335</v>
      </c>
      <c r="G181" s="124" t="s">
        <v>334</v>
      </c>
      <c r="H181" s="124" t="s">
        <v>377</v>
      </c>
      <c r="I181" s="124" t="s">
        <v>352</v>
      </c>
      <c r="J181" s="124">
        <v>9395.366</v>
      </c>
      <c r="K181" s="124">
        <v>8.8136153264298939E-3</v>
      </c>
      <c r="M181" s="70">
        <v>2068</v>
      </c>
      <c r="N181" s="155" t="str">
        <f t="shared" si="41"/>
        <v>R38</v>
      </c>
      <c r="O181" s="137" t="s">
        <v>334</v>
      </c>
      <c r="P181" s="130" t="str">
        <f t="shared" si="42"/>
        <v>Basement</v>
      </c>
      <c r="Q181" s="130" t="str">
        <f t="shared" si="43"/>
        <v>Better</v>
      </c>
      <c r="R181" s="130" t="s">
        <v>378</v>
      </c>
      <c r="S181" s="130" t="str">
        <f t="shared" si="44"/>
        <v>Electric Zonal</v>
      </c>
      <c r="T181" s="130" t="str">
        <f t="shared" si="45"/>
        <v>Existing</v>
      </c>
      <c r="U181" s="156" t="str">
        <f t="shared" si="51"/>
        <v>PTCS</v>
      </c>
      <c r="V181" s="130" t="str">
        <f t="shared" si="52"/>
        <v>Electric ZonalR38R11BasementBetter</v>
      </c>
      <c r="W181" s="130">
        <f t="shared" si="46"/>
        <v>3007</v>
      </c>
      <c r="X181" s="130"/>
      <c r="Y181" s="130">
        <f t="shared" si="47"/>
        <v>2</v>
      </c>
      <c r="Z181" s="130"/>
      <c r="AA181" s="74" t="str">
        <f t="shared" si="48"/>
        <v/>
      </c>
      <c r="AB181" s="74" t="str">
        <f t="shared" si="48"/>
        <v/>
      </c>
      <c r="AC181" s="74" t="str">
        <f t="shared" si="48"/>
        <v/>
      </c>
      <c r="AD181" s="74" t="str">
        <f t="shared" si="48"/>
        <v/>
      </c>
      <c r="AE181" s="74" t="str">
        <f t="shared" si="48"/>
        <v>F</v>
      </c>
      <c r="AF181" s="74" t="str">
        <f t="shared" si="48"/>
        <v>O</v>
      </c>
      <c r="AG181" s="74" t="str">
        <f t="shared" si="48"/>
        <v/>
      </c>
      <c r="AH181" s="74" t="str">
        <f t="shared" si="48"/>
        <v/>
      </c>
      <c r="AI181" s="74" t="str">
        <f t="shared" si="48"/>
        <v/>
      </c>
      <c r="AJ181" s="74" t="str">
        <f t="shared" si="49"/>
        <v/>
      </c>
      <c r="AK181" s="74" t="str">
        <f t="shared" si="37"/>
        <v/>
      </c>
      <c r="AL181" s="74" t="str">
        <f t="shared" si="37"/>
        <v/>
      </c>
      <c r="AM181" s="74" t="str">
        <f t="shared" si="37"/>
        <v/>
      </c>
      <c r="AN181" s="74" t="str">
        <f t="shared" si="38"/>
        <v/>
      </c>
      <c r="AO181" s="74" t="str">
        <f t="shared" si="38"/>
        <v/>
      </c>
      <c r="AP181" s="74" t="str">
        <f t="shared" si="53"/>
        <v/>
      </c>
      <c r="AQ181" s="74" t="str">
        <f t="shared" si="39"/>
        <v/>
      </c>
      <c r="AR181" s="74" t="str">
        <f t="shared" si="39"/>
        <v/>
      </c>
      <c r="AS181" s="74" t="s">
        <v>399</v>
      </c>
      <c r="AT181" s="70" t="s">
        <v>386</v>
      </c>
      <c r="AU181" s="70" t="str">
        <f t="shared" si="54"/>
        <v/>
      </c>
      <c r="AV181" s="74" t="str">
        <f t="shared" si="40"/>
        <v>O</v>
      </c>
      <c r="AW181" s="74" t="str">
        <f t="shared" si="40"/>
        <v/>
      </c>
      <c r="AX181" s="74" t="str">
        <f t="shared" si="40"/>
        <v>O</v>
      </c>
      <c r="AY181" s="74" t="str">
        <f t="shared" si="40"/>
        <v/>
      </c>
      <c r="AZ181" s="74" t="str">
        <f t="shared" si="55"/>
        <v>O</v>
      </c>
      <c r="BA181" s="74" t="str">
        <f t="shared" si="56"/>
        <v/>
      </c>
      <c r="BB181" s="74" t="str">
        <f t="shared" si="50"/>
        <v/>
      </c>
    </row>
    <row r="182" spans="1:54">
      <c r="A182" s="70">
        <v>2069</v>
      </c>
      <c r="B182" s="124" t="s">
        <v>604</v>
      </c>
      <c r="C182" s="124">
        <v>1289</v>
      </c>
      <c r="D182" s="124" t="s">
        <v>605</v>
      </c>
      <c r="E182" s="124" t="s">
        <v>228</v>
      </c>
      <c r="F182" s="124" t="s">
        <v>336</v>
      </c>
      <c r="G182" s="124" t="s">
        <v>329</v>
      </c>
      <c r="H182" s="124" t="s">
        <v>377</v>
      </c>
      <c r="I182" s="124" t="s">
        <v>355</v>
      </c>
      <c r="J182" s="124">
        <v>1524.7619999999999</v>
      </c>
      <c r="K182" s="124">
        <v>1.4303504230019244E-3</v>
      </c>
      <c r="M182" s="70">
        <v>2069</v>
      </c>
      <c r="N182" s="155" t="str">
        <f t="shared" si="41"/>
        <v>R30</v>
      </c>
      <c r="O182" s="137" t="s">
        <v>334</v>
      </c>
      <c r="P182" s="130" t="str">
        <f t="shared" si="42"/>
        <v>Basement</v>
      </c>
      <c r="Q182" s="130" t="str">
        <f t="shared" si="43"/>
        <v>u30</v>
      </c>
      <c r="R182" s="130" t="s">
        <v>378</v>
      </c>
      <c r="S182" s="130" t="str">
        <f t="shared" si="44"/>
        <v>Electric Zonal</v>
      </c>
      <c r="T182" s="130" t="str">
        <f t="shared" si="45"/>
        <v>Existing</v>
      </c>
      <c r="U182" s="156" t="str">
        <f t="shared" si="51"/>
        <v>PTCS</v>
      </c>
      <c r="V182" s="130" t="str">
        <f t="shared" si="52"/>
        <v>Electric ZonalR30R11Basementu30</v>
      </c>
      <c r="W182" s="130">
        <f t="shared" si="46"/>
        <v>3006</v>
      </c>
      <c r="X182" s="130"/>
      <c r="Y182" s="130">
        <f t="shared" si="47"/>
        <v>3</v>
      </c>
      <c r="Z182" s="130"/>
      <c r="AA182" s="74" t="str">
        <f t="shared" si="48"/>
        <v/>
      </c>
      <c r="AB182" s="74" t="str">
        <f t="shared" si="48"/>
        <v/>
      </c>
      <c r="AC182" s="74" t="str">
        <f t="shared" si="48"/>
        <v/>
      </c>
      <c r="AD182" s="74" t="str">
        <f t="shared" si="48"/>
        <v/>
      </c>
      <c r="AE182" s="74" t="str">
        <f t="shared" si="48"/>
        <v/>
      </c>
      <c r="AF182" s="74" t="str">
        <f t="shared" si="48"/>
        <v/>
      </c>
      <c r="AG182" s="74" t="str">
        <f t="shared" si="48"/>
        <v>O</v>
      </c>
      <c r="AH182" s="74" t="str">
        <f t="shared" si="48"/>
        <v>O</v>
      </c>
      <c r="AI182" s="74" t="str">
        <f t="shared" si="48"/>
        <v/>
      </c>
      <c r="AJ182" s="74" t="str">
        <f t="shared" si="49"/>
        <v>F</v>
      </c>
      <c r="AK182" s="74" t="str">
        <f t="shared" si="37"/>
        <v/>
      </c>
      <c r="AL182" s="74" t="str">
        <f t="shared" si="37"/>
        <v/>
      </c>
      <c r="AM182" s="74" t="str">
        <f t="shared" si="37"/>
        <v/>
      </c>
      <c r="AN182" s="74" t="str">
        <f t="shared" si="38"/>
        <v>F</v>
      </c>
      <c r="AO182" s="74" t="str">
        <f t="shared" si="38"/>
        <v/>
      </c>
      <c r="AP182" s="74" t="str">
        <f t="shared" si="53"/>
        <v>O</v>
      </c>
      <c r="AQ182" s="74" t="str">
        <f t="shared" si="39"/>
        <v>O</v>
      </c>
      <c r="AR182" s="74" t="str">
        <f t="shared" si="39"/>
        <v/>
      </c>
      <c r="AS182" s="74" t="s">
        <v>399</v>
      </c>
      <c r="AT182" s="70" t="s">
        <v>386</v>
      </c>
      <c r="AU182" s="70" t="str">
        <f t="shared" si="54"/>
        <v/>
      </c>
      <c r="AV182" s="74" t="str">
        <f t="shared" si="40"/>
        <v>O</v>
      </c>
      <c r="AW182" s="74" t="str">
        <f t="shared" si="40"/>
        <v/>
      </c>
      <c r="AX182" s="74" t="str">
        <f t="shared" si="40"/>
        <v>O</v>
      </c>
      <c r="AY182" s="74" t="str">
        <f t="shared" si="40"/>
        <v/>
      </c>
      <c r="AZ182" s="74" t="str">
        <f t="shared" si="55"/>
        <v>O</v>
      </c>
      <c r="BA182" s="74" t="str">
        <f t="shared" si="56"/>
        <v/>
      </c>
      <c r="BB182" s="74" t="str">
        <f t="shared" si="50"/>
        <v/>
      </c>
    </row>
    <row r="183" spans="1:54">
      <c r="A183" s="70">
        <v>2070</v>
      </c>
      <c r="B183" s="124" t="s">
        <v>606</v>
      </c>
      <c r="C183" s="124">
        <v>1293</v>
      </c>
      <c r="D183" s="124" t="s">
        <v>607</v>
      </c>
      <c r="E183" s="124" t="s">
        <v>228</v>
      </c>
      <c r="F183" s="124" t="s">
        <v>336</v>
      </c>
      <c r="G183" s="124" t="s">
        <v>334</v>
      </c>
      <c r="H183" s="124" t="s">
        <v>377</v>
      </c>
      <c r="I183" s="124" t="s">
        <v>339</v>
      </c>
      <c r="J183" s="124">
        <v>1144.6790000000001</v>
      </c>
      <c r="K183" s="124">
        <v>1.073801742076088E-3</v>
      </c>
      <c r="M183" s="70">
        <v>2070</v>
      </c>
      <c r="N183" s="155" t="str">
        <f t="shared" si="41"/>
        <v>R30</v>
      </c>
      <c r="O183" s="137" t="s">
        <v>334</v>
      </c>
      <c r="P183" s="130" t="str">
        <f t="shared" si="42"/>
        <v>Basement</v>
      </c>
      <c r="Q183" s="130" t="str">
        <f t="shared" si="43"/>
        <v>u30</v>
      </c>
      <c r="R183" s="130" t="s">
        <v>378</v>
      </c>
      <c r="S183" s="130" t="str">
        <f t="shared" si="44"/>
        <v>Electric Zonal</v>
      </c>
      <c r="T183" s="130" t="str">
        <f t="shared" si="45"/>
        <v>Existing</v>
      </c>
      <c r="U183" s="156" t="str">
        <f t="shared" si="51"/>
        <v>PTCS</v>
      </c>
      <c r="V183" s="130" t="str">
        <f t="shared" si="52"/>
        <v>Electric ZonalR30R11Basementu30</v>
      </c>
      <c r="W183" s="130">
        <f t="shared" si="46"/>
        <v>3006</v>
      </c>
      <c r="X183" s="130"/>
      <c r="Y183" s="130">
        <f t="shared" si="47"/>
        <v>2</v>
      </c>
      <c r="Z183" s="130"/>
      <c r="AA183" s="74" t="str">
        <f t="shared" si="48"/>
        <v/>
      </c>
      <c r="AB183" s="74" t="str">
        <f t="shared" si="48"/>
        <v/>
      </c>
      <c r="AC183" s="74" t="str">
        <f t="shared" si="48"/>
        <v/>
      </c>
      <c r="AD183" s="74" t="str">
        <f t="shared" si="48"/>
        <v/>
      </c>
      <c r="AE183" s="74" t="str">
        <f t="shared" si="48"/>
        <v/>
      </c>
      <c r="AF183" s="74" t="str">
        <f t="shared" si="48"/>
        <v/>
      </c>
      <c r="AG183" s="74" t="str">
        <f t="shared" si="48"/>
        <v>O</v>
      </c>
      <c r="AH183" s="74" t="str">
        <f t="shared" si="48"/>
        <v>O</v>
      </c>
      <c r="AI183" s="74" t="str">
        <f t="shared" si="48"/>
        <v/>
      </c>
      <c r="AJ183" s="74" t="str">
        <f t="shared" si="49"/>
        <v/>
      </c>
      <c r="AK183" s="74" t="str">
        <f t="shared" si="37"/>
        <v/>
      </c>
      <c r="AL183" s="74" t="str">
        <f t="shared" si="37"/>
        <v/>
      </c>
      <c r="AM183" s="74" t="str">
        <f t="shared" si="37"/>
        <v/>
      </c>
      <c r="AN183" s="74" t="str">
        <f t="shared" si="38"/>
        <v/>
      </c>
      <c r="AO183" s="74" t="str">
        <f t="shared" si="38"/>
        <v>F</v>
      </c>
      <c r="AP183" s="74" t="str">
        <f t="shared" si="53"/>
        <v>O</v>
      </c>
      <c r="AQ183" s="74" t="str">
        <f t="shared" si="39"/>
        <v/>
      </c>
      <c r="AR183" s="74" t="str">
        <f t="shared" si="39"/>
        <v>O</v>
      </c>
      <c r="AS183" s="74" t="s">
        <v>399</v>
      </c>
      <c r="AT183" s="70" t="s">
        <v>386</v>
      </c>
      <c r="AU183" s="70" t="str">
        <f t="shared" si="54"/>
        <v/>
      </c>
      <c r="AV183" s="74" t="str">
        <f t="shared" si="40"/>
        <v>O</v>
      </c>
      <c r="AW183" s="74" t="str">
        <f t="shared" si="40"/>
        <v/>
      </c>
      <c r="AX183" s="74" t="str">
        <f t="shared" si="40"/>
        <v>O</v>
      </c>
      <c r="AY183" s="74" t="str">
        <f t="shared" si="40"/>
        <v/>
      </c>
      <c r="AZ183" s="74" t="str">
        <f t="shared" si="55"/>
        <v>O</v>
      </c>
      <c r="BA183" s="74" t="str">
        <f t="shared" si="56"/>
        <v/>
      </c>
      <c r="BB183" s="74" t="str">
        <f t="shared" si="50"/>
        <v/>
      </c>
    </row>
    <row r="184" spans="1:54">
      <c r="A184" s="70">
        <v>2071</v>
      </c>
      <c r="B184" s="124" t="s">
        <v>608</v>
      </c>
      <c r="C184" s="124">
        <v>1294</v>
      </c>
      <c r="D184" s="124" t="s">
        <v>609</v>
      </c>
      <c r="E184" s="124" t="s">
        <v>228</v>
      </c>
      <c r="F184" s="124" t="s">
        <v>336</v>
      </c>
      <c r="G184" s="124" t="s">
        <v>334</v>
      </c>
      <c r="H184" s="124" t="s">
        <v>377</v>
      </c>
      <c r="I184" s="124" t="s">
        <v>352</v>
      </c>
      <c r="J184" s="124">
        <v>11537.403</v>
      </c>
      <c r="K184" s="124">
        <v>1.0823019763998364E-2</v>
      </c>
      <c r="M184" s="70">
        <v>2071</v>
      </c>
      <c r="N184" s="155" t="str">
        <f t="shared" si="41"/>
        <v>R30</v>
      </c>
      <c r="O184" s="137" t="s">
        <v>334</v>
      </c>
      <c r="P184" s="130" t="str">
        <f t="shared" si="42"/>
        <v>Basement</v>
      </c>
      <c r="Q184" s="130" t="str">
        <f t="shared" si="43"/>
        <v>Better</v>
      </c>
      <c r="R184" s="130" t="s">
        <v>378</v>
      </c>
      <c r="S184" s="130" t="str">
        <f t="shared" si="44"/>
        <v>Electric Zonal</v>
      </c>
      <c r="T184" s="130" t="str">
        <f t="shared" si="45"/>
        <v>Existing</v>
      </c>
      <c r="U184" s="156" t="str">
        <f t="shared" si="51"/>
        <v>PTCS</v>
      </c>
      <c r="V184" s="130" t="str">
        <f t="shared" si="52"/>
        <v>Electric ZonalR30R11BasementBetter</v>
      </c>
      <c r="W184" s="130">
        <f t="shared" si="46"/>
        <v>3005</v>
      </c>
      <c r="X184" s="130"/>
      <c r="Y184" s="130">
        <f t="shared" si="47"/>
        <v>1</v>
      </c>
      <c r="Z184" s="130"/>
      <c r="AA184" s="74" t="str">
        <f t="shared" si="48"/>
        <v/>
      </c>
      <c r="AB184" s="74" t="str">
        <f t="shared" si="48"/>
        <v/>
      </c>
      <c r="AC184" s="74" t="str">
        <f t="shared" si="48"/>
        <v/>
      </c>
      <c r="AD184" s="74" t="str">
        <f t="shared" si="48"/>
        <v/>
      </c>
      <c r="AE184" s="74" t="str">
        <f t="shared" si="48"/>
        <v/>
      </c>
      <c r="AF184" s="74" t="str">
        <f t="shared" si="48"/>
        <v/>
      </c>
      <c r="AG184" s="74" t="str">
        <f t="shared" si="48"/>
        <v>O</v>
      </c>
      <c r="AH184" s="74" t="str">
        <f t="shared" si="48"/>
        <v>O</v>
      </c>
      <c r="AI184" s="74" t="str">
        <f t="shared" si="48"/>
        <v/>
      </c>
      <c r="AJ184" s="74" t="str">
        <f t="shared" si="49"/>
        <v/>
      </c>
      <c r="AK184" s="74" t="str">
        <f t="shared" si="37"/>
        <v/>
      </c>
      <c r="AL184" s="74" t="str">
        <f t="shared" si="37"/>
        <v/>
      </c>
      <c r="AM184" s="74" t="str">
        <f t="shared" si="37"/>
        <v/>
      </c>
      <c r="AN184" s="74" t="str">
        <f t="shared" si="38"/>
        <v/>
      </c>
      <c r="AO184" s="74" t="str">
        <f t="shared" si="38"/>
        <v/>
      </c>
      <c r="AP184" s="74" t="str">
        <f t="shared" si="53"/>
        <v/>
      </c>
      <c r="AQ184" s="74" t="str">
        <f t="shared" si="39"/>
        <v/>
      </c>
      <c r="AR184" s="74" t="str">
        <f t="shared" si="39"/>
        <v/>
      </c>
      <c r="AS184" s="74" t="s">
        <v>399</v>
      </c>
      <c r="AT184" s="70" t="s">
        <v>386</v>
      </c>
      <c r="AU184" s="70" t="str">
        <f t="shared" si="54"/>
        <v/>
      </c>
      <c r="AV184" s="74" t="str">
        <f t="shared" si="40"/>
        <v>O</v>
      </c>
      <c r="AW184" s="74" t="str">
        <f t="shared" si="40"/>
        <v/>
      </c>
      <c r="AX184" s="74" t="str">
        <f t="shared" si="40"/>
        <v>O</v>
      </c>
      <c r="AY184" s="74" t="str">
        <f t="shared" si="40"/>
        <v/>
      </c>
      <c r="AZ184" s="74" t="str">
        <f t="shared" si="55"/>
        <v>O</v>
      </c>
      <c r="BA184" s="74" t="str">
        <f t="shared" si="56"/>
        <v/>
      </c>
      <c r="BB184" s="74" t="str">
        <f t="shared" si="50"/>
        <v/>
      </c>
    </row>
    <row r="185" spans="1:54">
      <c r="A185" s="70">
        <v>2072</v>
      </c>
      <c r="B185" s="124" t="s">
        <v>610</v>
      </c>
      <c r="C185" s="124">
        <v>1297</v>
      </c>
      <c r="D185" s="124" t="s">
        <v>611</v>
      </c>
      <c r="E185" s="124" t="s">
        <v>228</v>
      </c>
      <c r="F185" s="124" t="s">
        <v>331</v>
      </c>
      <c r="G185" s="124" t="s">
        <v>329</v>
      </c>
      <c r="H185" s="124" t="s">
        <v>377</v>
      </c>
      <c r="I185" s="124" t="s">
        <v>352</v>
      </c>
      <c r="J185" s="124">
        <v>1524.7619999999999</v>
      </c>
      <c r="K185" s="124">
        <v>1.4303504230019244E-3</v>
      </c>
      <c r="M185" s="70">
        <v>2072</v>
      </c>
      <c r="N185" s="155" t="str">
        <f t="shared" si="41"/>
        <v>R38</v>
      </c>
      <c r="O185" s="137" t="s">
        <v>334</v>
      </c>
      <c r="P185" s="130" t="str">
        <f t="shared" si="42"/>
        <v>Basement</v>
      </c>
      <c r="Q185" s="130" t="str">
        <f t="shared" si="43"/>
        <v>Better</v>
      </c>
      <c r="R185" s="130" t="s">
        <v>378</v>
      </c>
      <c r="S185" s="130" t="str">
        <f t="shared" si="44"/>
        <v>Electric Zonal</v>
      </c>
      <c r="T185" s="130" t="str">
        <f t="shared" si="45"/>
        <v>Existing</v>
      </c>
      <c r="U185" s="156" t="str">
        <f t="shared" si="51"/>
        <v>PTCS</v>
      </c>
      <c r="V185" s="130" t="str">
        <f t="shared" si="52"/>
        <v>Electric ZonalR38R11BasementBetter</v>
      </c>
      <c r="W185" s="130">
        <f t="shared" si="46"/>
        <v>3007</v>
      </c>
      <c r="X185" s="130"/>
      <c r="Y185" s="130">
        <f t="shared" si="47"/>
        <v>2</v>
      </c>
      <c r="Z185" s="130"/>
      <c r="AA185" s="74" t="str">
        <f t="shared" si="48"/>
        <v/>
      </c>
      <c r="AB185" s="74" t="str">
        <f t="shared" si="48"/>
        <v/>
      </c>
      <c r="AC185" s="74" t="str">
        <f t="shared" si="48"/>
        <v/>
      </c>
      <c r="AD185" s="74" t="str">
        <f t="shared" si="48"/>
        <v/>
      </c>
      <c r="AE185" s="74" t="str">
        <f t="shared" si="48"/>
        <v/>
      </c>
      <c r="AF185" s="74" t="str">
        <f t="shared" si="48"/>
        <v/>
      </c>
      <c r="AG185" s="74" t="str">
        <f t="shared" si="48"/>
        <v/>
      </c>
      <c r="AH185" s="74" t="str">
        <f t="shared" si="48"/>
        <v/>
      </c>
      <c r="AI185" s="74" t="str">
        <f t="shared" si="48"/>
        <v>O</v>
      </c>
      <c r="AJ185" s="74" t="str">
        <f t="shared" si="49"/>
        <v>F</v>
      </c>
      <c r="AK185" s="74" t="str">
        <f t="shared" si="37"/>
        <v/>
      </c>
      <c r="AL185" s="74" t="str">
        <f t="shared" si="37"/>
        <v/>
      </c>
      <c r="AM185" s="74" t="str">
        <f t="shared" si="37"/>
        <v/>
      </c>
      <c r="AN185" s="74" t="str">
        <f t="shared" si="38"/>
        <v/>
      </c>
      <c r="AO185" s="74" t="str">
        <f t="shared" si="38"/>
        <v/>
      </c>
      <c r="AP185" s="74" t="str">
        <f t="shared" si="53"/>
        <v/>
      </c>
      <c r="AQ185" s="74" t="str">
        <f t="shared" si="39"/>
        <v/>
      </c>
      <c r="AR185" s="74" t="str">
        <f t="shared" si="39"/>
        <v/>
      </c>
      <c r="AS185" s="74" t="s">
        <v>399</v>
      </c>
      <c r="AT185" s="70" t="s">
        <v>386</v>
      </c>
      <c r="AU185" s="70" t="str">
        <f t="shared" si="54"/>
        <v/>
      </c>
      <c r="AV185" s="74" t="str">
        <f t="shared" si="40"/>
        <v>O</v>
      </c>
      <c r="AW185" s="74" t="str">
        <f t="shared" si="40"/>
        <v/>
      </c>
      <c r="AX185" s="74" t="str">
        <f t="shared" si="40"/>
        <v>O</v>
      </c>
      <c r="AY185" s="74" t="str">
        <f t="shared" si="40"/>
        <v/>
      </c>
      <c r="AZ185" s="74" t="str">
        <f t="shared" si="55"/>
        <v>O</v>
      </c>
      <c r="BA185" s="74" t="str">
        <f t="shared" si="56"/>
        <v/>
      </c>
      <c r="BB185" s="74" t="str">
        <f t="shared" si="50"/>
        <v/>
      </c>
    </row>
    <row r="186" spans="1:54">
      <c r="A186" s="70">
        <v>2073</v>
      </c>
      <c r="B186" s="124" t="s">
        <v>612</v>
      </c>
      <c r="C186" s="124">
        <v>1299</v>
      </c>
      <c r="D186" s="124" t="s">
        <v>613</v>
      </c>
      <c r="E186" s="124" t="s">
        <v>228</v>
      </c>
      <c r="F186" s="124" t="s">
        <v>331</v>
      </c>
      <c r="G186" s="124" t="s">
        <v>334</v>
      </c>
      <c r="H186" s="124" t="s">
        <v>377</v>
      </c>
      <c r="I186" s="124" t="s">
        <v>339</v>
      </c>
      <c r="J186" s="124">
        <v>2130.886</v>
      </c>
      <c r="K186" s="124">
        <v>1.9989438951579846E-3</v>
      </c>
      <c r="M186" s="70">
        <v>2073</v>
      </c>
      <c r="N186" s="155" t="str">
        <f t="shared" si="41"/>
        <v>R38</v>
      </c>
      <c r="O186" s="137" t="s">
        <v>334</v>
      </c>
      <c r="P186" s="130" t="str">
        <f t="shared" si="42"/>
        <v>Basement</v>
      </c>
      <c r="Q186" s="130" t="str">
        <f t="shared" si="43"/>
        <v>u30</v>
      </c>
      <c r="R186" s="130" t="s">
        <v>378</v>
      </c>
      <c r="S186" s="130" t="str">
        <f t="shared" si="44"/>
        <v>Electric Zonal</v>
      </c>
      <c r="T186" s="130" t="str">
        <f t="shared" si="45"/>
        <v>Existing</v>
      </c>
      <c r="U186" s="156" t="str">
        <f t="shared" si="51"/>
        <v>PTCS</v>
      </c>
      <c r="V186" s="130" t="str">
        <f t="shared" si="52"/>
        <v>Electric ZonalR38R11Basementu30</v>
      </c>
      <c r="W186" s="130">
        <f t="shared" si="46"/>
        <v>3008</v>
      </c>
      <c r="X186" s="130"/>
      <c r="Y186" s="130">
        <f t="shared" si="47"/>
        <v>2</v>
      </c>
      <c r="Z186" s="130"/>
      <c r="AA186" s="74" t="str">
        <f t="shared" si="48"/>
        <v/>
      </c>
      <c r="AB186" s="74" t="str">
        <f t="shared" si="48"/>
        <v/>
      </c>
      <c r="AC186" s="74" t="str">
        <f t="shared" si="48"/>
        <v/>
      </c>
      <c r="AD186" s="74" t="str">
        <f t="shared" si="48"/>
        <v/>
      </c>
      <c r="AE186" s="74" t="str">
        <f t="shared" si="48"/>
        <v/>
      </c>
      <c r="AF186" s="74" t="str">
        <f t="shared" si="48"/>
        <v/>
      </c>
      <c r="AG186" s="74" t="str">
        <f t="shared" si="48"/>
        <v/>
      </c>
      <c r="AH186" s="74" t="str">
        <f t="shared" si="48"/>
        <v/>
      </c>
      <c r="AI186" s="74" t="str">
        <f t="shared" si="48"/>
        <v>O</v>
      </c>
      <c r="AJ186" s="74" t="str">
        <f t="shared" si="49"/>
        <v/>
      </c>
      <c r="AK186" s="74" t="str">
        <f t="shared" si="37"/>
        <v/>
      </c>
      <c r="AL186" s="74" t="str">
        <f t="shared" si="37"/>
        <v/>
      </c>
      <c r="AM186" s="74" t="str">
        <f t="shared" si="37"/>
        <v/>
      </c>
      <c r="AN186" s="74" t="str">
        <f t="shared" si="38"/>
        <v/>
      </c>
      <c r="AO186" s="74" t="str">
        <f t="shared" si="38"/>
        <v>F</v>
      </c>
      <c r="AP186" s="74" t="str">
        <f t="shared" si="53"/>
        <v>O</v>
      </c>
      <c r="AQ186" s="74" t="str">
        <f t="shared" si="39"/>
        <v/>
      </c>
      <c r="AR186" s="74" t="str">
        <f t="shared" si="39"/>
        <v>O</v>
      </c>
      <c r="AS186" s="74" t="s">
        <v>399</v>
      </c>
      <c r="AT186" s="70" t="s">
        <v>386</v>
      </c>
      <c r="AU186" s="70" t="str">
        <f t="shared" si="54"/>
        <v/>
      </c>
      <c r="AV186" s="74" t="str">
        <f t="shared" si="40"/>
        <v>O</v>
      </c>
      <c r="AW186" s="74" t="str">
        <f t="shared" si="40"/>
        <v/>
      </c>
      <c r="AX186" s="74" t="str">
        <f t="shared" si="40"/>
        <v>O</v>
      </c>
      <c r="AY186" s="74" t="str">
        <f t="shared" si="40"/>
        <v/>
      </c>
      <c r="AZ186" s="74" t="str">
        <f t="shared" si="55"/>
        <v>O</v>
      </c>
      <c r="BA186" s="74" t="str">
        <f t="shared" si="56"/>
        <v/>
      </c>
      <c r="BB186" s="74" t="str">
        <f t="shared" si="50"/>
        <v/>
      </c>
    </row>
    <row r="187" spans="1:54">
      <c r="A187" s="70">
        <v>2074</v>
      </c>
      <c r="B187" s="124" t="s">
        <v>614</v>
      </c>
      <c r="C187" s="124">
        <v>1300</v>
      </c>
      <c r="D187" s="124" t="s">
        <v>615</v>
      </c>
      <c r="E187" s="124" t="s">
        <v>228</v>
      </c>
      <c r="F187" s="124" t="s">
        <v>331</v>
      </c>
      <c r="G187" s="124" t="s">
        <v>334</v>
      </c>
      <c r="H187" s="124" t="s">
        <v>377</v>
      </c>
      <c r="I187" s="124" t="s">
        <v>352</v>
      </c>
      <c r="J187" s="124">
        <v>18541.418000000001</v>
      </c>
      <c r="K187" s="124">
        <v>1.7393353900054892E-2</v>
      </c>
      <c r="M187" s="70">
        <v>2074</v>
      </c>
      <c r="N187" s="155" t="str">
        <f t="shared" si="41"/>
        <v>R38</v>
      </c>
      <c r="O187" s="137" t="s">
        <v>334</v>
      </c>
      <c r="P187" s="130" t="str">
        <f t="shared" si="42"/>
        <v>Basement</v>
      </c>
      <c r="Q187" s="130" t="str">
        <f t="shared" si="43"/>
        <v>Better</v>
      </c>
      <c r="R187" s="130" t="s">
        <v>378</v>
      </c>
      <c r="S187" s="130" t="str">
        <f t="shared" si="44"/>
        <v>Electric Zonal</v>
      </c>
      <c r="T187" s="130" t="str">
        <f t="shared" si="45"/>
        <v>Existing</v>
      </c>
      <c r="U187" s="156" t="str">
        <f t="shared" si="51"/>
        <v>PTCS</v>
      </c>
      <c r="V187" s="130" t="str">
        <f t="shared" si="52"/>
        <v>Electric ZonalR38R11BasementBetter</v>
      </c>
      <c r="W187" s="130">
        <f t="shared" si="46"/>
        <v>3007</v>
      </c>
      <c r="X187" s="130"/>
      <c r="Y187" s="130">
        <f t="shared" si="47"/>
        <v>1</v>
      </c>
      <c r="Z187" s="130"/>
      <c r="AA187" s="74" t="str">
        <f t="shared" si="48"/>
        <v/>
      </c>
      <c r="AB187" s="74" t="str">
        <f t="shared" si="48"/>
        <v/>
      </c>
      <c r="AC187" s="74" t="str">
        <f t="shared" si="48"/>
        <v/>
      </c>
      <c r="AD187" s="74" t="str">
        <f t="shared" si="48"/>
        <v/>
      </c>
      <c r="AE187" s="74" t="str">
        <f t="shared" si="48"/>
        <v/>
      </c>
      <c r="AF187" s="74" t="str">
        <f t="shared" si="48"/>
        <v/>
      </c>
      <c r="AG187" s="74" t="str">
        <f t="shared" si="48"/>
        <v/>
      </c>
      <c r="AH187" s="74" t="str">
        <f t="shared" si="48"/>
        <v/>
      </c>
      <c r="AI187" s="74" t="str">
        <f t="shared" si="48"/>
        <v>O</v>
      </c>
      <c r="AJ187" s="74" t="str">
        <f t="shared" si="49"/>
        <v/>
      </c>
      <c r="AK187" s="74" t="str">
        <f t="shared" si="37"/>
        <v/>
      </c>
      <c r="AL187" s="74" t="str">
        <f t="shared" si="37"/>
        <v/>
      </c>
      <c r="AM187" s="74" t="str">
        <f t="shared" si="37"/>
        <v/>
      </c>
      <c r="AN187" s="74" t="str">
        <f t="shared" si="38"/>
        <v/>
      </c>
      <c r="AO187" s="74" t="str">
        <f t="shared" si="38"/>
        <v/>
      </c>
      <c r="AP187" s="74" t="str">
        <f t="shared" si="53"/>
        <v/>
      </c>
      <c r="AQ187" s="74" t="str">
        <f t="shared" si="39"/>
        <v/>
      </c>
      <c r="AR187" s="74" t="str">
        <f t="shared" si="39"/>
        <v/>
      </c>
      <c r="AS187" s="74" t="s">
        <v>399</v>
      </c>
      <c r="AT187" s="70" t="s">
        <v>386</v>
      </c>
      <c r="AU187" s="70" t="str">
        <f t="shared" si="54"/>
        <v/>
      </c>
      <c r="AV187" s="74" t="str">
        <f t="shared" si="40"/>
        <v>O</v>
      </c>
      <c r="AW187" s="74" t="str">
        <f t="shared" si="40"/>
        <v/>
      </c>
      <c r="AX187" s="74" t="str">
        <f t="shared" si="40"/>
        <v>O</v>
      </c>
      <c r="AY187" s="74" t="str">
        <f t="shared" si="40"/>
        <v/>
      </c>
      <c r="AZ187" s="74" t="str">
        <f t="shared" si="55"/>
        <v>O</v>
      </c>
      <c r="BA187" s="74" t="str">
        <f t="shared" si="56"/>
        <v/>
      </c>
      <c r="BB187" s="74" t="str">
        <f t="shared" si="50"/>
        <v/>
      </c>
    </row>
    <row r="188" spans="1:54">
      <c r="A188" s="70">
        <v>2075</v>
      </c>
      <c r="B188" s="124" t="s">
        <v>616</v>
      </c>
      <c r="C188" s="124">
        <v>1306</v>
      </c>
      <c r="D188" s="124" t="s">
        <v>617</v>
      </c>
      <c r="E188" s="124" t="s">
        <v>227</v>
      </c>
      <c r="F188" s="124" t="s">
        <v>329</v>
      </c>
      <c r="G188" s="124" t="s">
        <v>334</v>
      </c>
      <c r="H188" s="124" t="s">
        <v>377</v>
      </c>
      <c r="I188" s="124" t="s">
        <v>352</v>
      </c>
      <c r="J188" s="124">
        <v>1192.4649999999999</v>
      </c>
      <c r="K188" s="124">
        <v>1.1186288857965962E-3</v>
      </c>
      <c r="M188" s="70">
        <v>2075</v>
      </c>
      <c r="N188" s="155" t="str">
        <f t="shared" si="41"/>
        <v>R38</v>
      </c>
      <c r="O188" s="137" t="s">
        <v>334</v>
      </c>
      <c r="P188" s="130" t="str">
        <f t="shared" si="42"/>
        <v>Basement</v>
      </c>
      <c r="Q188" s="130" t="str">
        <f t="shared" si="43"/>
        <v>Better</v>
      </c>
      <c r="R188" s="130" t="s">
        <v>378</v>
      </c>
      <c r="S188" s="130" t="str">
        <f t="shared" si="44"/>
        <v>Electric FAF</v>
      </c>
      <c r="T188" s="130" t="str">
        <f t="shared" si="45"/>
        <v>Existing</v>
      </c>
      <c r="U188" s="156" t="str">
        <f t="shared" si="51"/>
        <v>PTCS</v>
      </c>
      <c r="V188" s="130" t="str">
        <f t="shared" si="52"/>
        <v>Electric FAFR38R11BasementBetter</v>
      </c>
      <c r="W188" s="130">
        <f t="shared" si="46"/>
        <v>3003</v>
      </c>
      <c r="X188" s="130"/>
      <c r="Y188" s="130">
        <f t="shared" si="47"/>
        <v>3</v>
      </c>
      <c r="Z188" s="130"/>
      <c r="AA188" s="74" t="str">
        <f t="shared" si="48"/>
        <v>F</v>
      </c>
      <c r="AB188" s="74" t="str">
        <f t="shared" si="48"/>
        <v>O</v>
      </c>
      <c r="AC188" s="74" t="str">
        <f t="shared" si="48"/>
        <v/>
      </c>
      <c r="AD188" s="74" t="str">
        <f t="shared" si="48"/>
        <v/>
      </c>
      <c r="AE188" s="74" t="str">
        <f t="shared" si="48"/>
        <v/>
      </c>
      <c r="AF188" s="74" t="str">
        <f t="shared" si="48"/>
        <v/>
      </c>
      <c r="AG188" s="74" t="str">
        <f t="shared" si="48"/>
        <v/>
      </c>
      <c r="AH188" s="74" t="str">
        <f t="shared" si="48"/>
        <v/>
      </c>
      <c r="AI188" s="74" t="str">
        <f t="shared" si="48"/>
        <v/>
      </c>
      <c r="AJ188" s="74" t="str">
        <f t="shared" si="49"/>
        <v/>
      </c>
      <c r="AK188" s="74" t="str">
        <f t="shared" si="37"/>
        <v/>
      </c>
      <c r="AL188" s="74" t="str">
        <f t="shared" si="37"/>
        <v/>
      </c>
      <c r="AM188" s="74" t="str">
        <f t="shared" si="37"/>
        <v/>
      </c>
      <c r="AN188" s="74" t="str">
        <f t="shared" si="38"/>
        <v/>
      </c>
      <c r="AO188" s="74" t="str">
        <f t="shared" si="38"/>
        <v/>
      </c>
      <c r="AP188" s="74" t="str">
        <f t="shared" si="53"/>
        <v/>
      </c>
      <c r="AQ188" s="74" t="str">
        <f t="shared" si="39"/>
        <v/>
      </c>
      <c r="AR188" s="74" t="str">
        <f t="shared" si="39"/>
        <v/>
      </c>
      <c r="AS188" s="74" t="s">
        <v>399</v>
      </c>
      <c r="AT188" s="70" t="s">
        <v>386</v>
      </c>
      <c r="AU188" s="70" t="str">
        <f t="shared" si="54"/>
        <v>O</v>
      </c>
      <c r="AV188" s="74" t="str">
        <f t="shared" si="40"/>
        <v/>
      </c>
      <c r="AW188" s="74" t="str">
        <f t="shared" si="40"/>
        <v>O</v>
      </c>
      <c r="AX188" s="74" t="str">
        <f t="shared" si="40"/>
        <v/>
      </c>
      <c r="AY188" s="74" t="str">
        <f t="shared" si="40"/>
        <v>O</v>
      </c>
      <c r="AZ188" s="74" t="str">
        <f t="shared" si="55"/>
        <v>O</v>
      </c>
      <c r="BA188" s="74" t="str">
        <f t="shared" si="56"/>
        <v>O</v>
      </c>
      <c r="BB188" s="74" t="str">
        <f t="shared" si="50"/>
        <v>F</v>
      </c>
    </row>
    <row r="189" spans="1:54">
      <c r="A189" s="70">
        <v>2076</v>
      </c>
      <c r="B189" s="124" t="s">
        <v>618</v>
      </c>
      <c r="C189" s="124">
        <v>1312</v>
      </c>
      <c r="D189" s="124" t="s">
        <v>619</v>
      </c>
      <c r="E189" s="124" t="s">
        <v>227</v>
      </c>
      <c r="F189" s="124" t="s">
        <v>334</v>
      </c>
      <c r="G189" s="124" t="s">
        <v>334</v>
      </c>
      <c r="H189" s="124" t="s">
        <v>377</v>
      </c>
      <c r="I189" s="124" t="s">
        <v>352</v>
      </c>
      <c r="J189" s="124">
        <v>3096.7529999999997</v>
      </c>
      <c r="K189" s="124">
        <v>2.9050054785484413E-3</v>
      </c>
      <c r="M189" s="70">
        <v>2076</v>
      </c>
      <c r="N189" s="155" t="str">
        <f t="shared" si="41"/>
        <v>R38</v>
      </c>
      <c r="O189" s="137" t="s">
        <v>334</v>
      </c>
      <c r="P189" s="130" t="str">
        <f t="shared" si="42"/>
        <v>Basement</v>
      </c>
      <c r="Q189" s="130" t="str">
        <f t="shared" si="43"/>
        <v>Better</v>
      </c>
      <c r="R189" s="130" t="s">
        <v>378</v>
      </c>
      <c r="S189" s="130" t="str">
        <f t="shared" si="44"/>
        <v>Electric FAF</v>
      </c>
      <c r="T189" s="130" t="str">
        <f t="shared" si="45"/>
        <v>Existing</v>
      </c>
      <c r="U189" s="156" t="str">
        <f t="shared" si="51"/>
        <v>PTCS</v>
      </c>
      <c r="V189" s="130" t="str">
        <f t="shared" si="52"/>
        <v>Electric FAFR38R11BasementBetter</v>
      </c>
      <c r="W189" s="130">
        <f t="shared" si="46"/>
        <v>3003</v>
      </c>
      <c r="X189" s="130"/>
      <c r="Y189" s="130">
        <f t="shared" si="47"/>
        <v>3</v>
      </c>
      <c r="Z189" s="130"/>
      <c r="AA189" s="74" t="str">
        <f t="shared" si="48"/>
        <v/>
      </c>
      <c r="AB189" s="74" t="str">
        <f t="shared" si="48"/>
        <v/>
      </c>
      <c r="AC189" s="74" t="str">
        <f t="shared" si="48"/>
        <v>F</v>
      </c>
      <c r="AD189" s="74" t="str">
        <f t="shared" si="48"/>
        <v>O</v>
      </c>
      <c r="AE189" s="74" t="str">
        <f t="shared" si="48"/>
        <v/>
      </c>
      <c r="AF189" s="74" t="str">
        <f t="shared" si="48"/>
        <v/>
      </c>
      <c r="AG189" s="74" t="str">
        <f t="shared" si="48"/>
        <v/>
      </c>
      <c r="AH189" s="74" t="str">
        <f t="shared" si="48"/>
        <v/>
      </c>
      <c r="AI189" s="74" t="str">
        <f t="shared" si="48"/>
        <v/>
      </c>
      <c r="AJ189" s="74" t="str">
        <f t="shared" si="49"/>
        <v/>
      </c>
      <c r="AK189" s="74" t="str">
        <f t="shared" si="37"/>
        <v/>
      </c>
      <c r="AL189" s="74" t="str">
        <f t="shared" si="37"/>
        <v/>
      </c>
      <c r="AM189" s="74" t="str">
        <f t="shared" si="37"/>
        <v/>
      </c>
      <c r="AN189" s="74" t="str">
        <f t="shared" si="38"/>
        <v/>
      </c>
      <c r="AO189" s="74" t="str">
        <f t="shared" si="38"/>
        <v/>
      </c>
      <c r="AP189" s="74" t="str">
        <f t="shared" si="53"/>
        <v/>
      </c>
      <c r="AQ189" s="74" t="str">
        <f t="shared" si="39"/>
        <v/>
      </c>
      <c r="AR189" s="74" t="str">
        <f t="shared" si="39"/>
        <v/>
      </c>
      <c r="AS189" s="74" t="s">
        <v>399</v>
      </c>
      <c r="AT189" s="70" t="s">
        <v>386</v>
      </c>
      <c r="AU189" s="70" t="str">
        <f t="shared" si="54"/>
        <v>O</v>
      </c>
      <c r="AV189" s="74" t="str">
        <f t="shared" si="40"/>
        <v/>
      </c>
      <c r="AW189" s="74" t="str">
        <f t="shared" si="40"/>
        <v>O</v>
      </c>
      <c r="AX189" s="74" t="str">
        <f t="shared" si="40"/>
        <v/>
      </c>
      <c r="AY189" s="74" t="str">
        <f t="shared" si="40"/>
        <v>O</v>
      </c>
      <c r="AZ189" s="74" t="str">
        <f t="shared" si="55"/>
        <v>O</v>
      </c>
      <c r="BA189" s="74" t="str">
        <f t="shared" si="56"/>
        <v>O</v>
      </c>
      <c r="BB189" s="74" t="str">
        <f t="shared" si="50"/>
        <v>F</v>
      </c>
    </row>
    <row r="190" spans="1:54">
      <c r="A190" s="70">
        <v>2077</v>
      </c>
      <c r="B190" s="124" t="s">
        <v>620</v>
      </c>
      <c r="C190" s="124">
        <v>1314</v>
      </c>
      <c r="D190" s="124" t="s">
        <v>621</v>
      </c>
      <c r="E190" s="124" t="s">
        <v>227</v>
      </c>
      <c r="F190" s="124" t="s">
        <v>335</v>
      </c>
      <c r="G190" s="124" t="s">
        <v>329</v>
      </c>
      <c r="H190" s="124" t="s">
        <v>377</v>
      </c>
      <c r="I190" s="124" t="s">
        <v>339</v>
      </c>
      <c r="J190" s="124">
        <v>2003.7159999999999</v>
      </c>
      <c r="K190" s="124">
        <v>1.8796481209367257E-3</v>
      </c>
      <c r="M190" s="70">
        <v>2077</v>
      </c>
      <c r="N190" s="155" t="str">
        <f t="shared" si="41"/>
        <v>R38</v>
      </c>
      <c r="O190" s="137" t="s">
        <v>334</v>
      </c>
      <c r="P190" s="130" t="str">
        <f t="shared" si="42"/>
        <v>Basement</v>
      </c>
      <c r="Q190" s="130" t="str">
        <f t="shared" si="43"/>
        <v>u30</v>
      </c>
      <c r="R190" s="130" t="s">
        <v>378</v>
      </c>
      <c r="S190" s="130" t="str">
        <f t="shared" si="44"/>
        <v>Electric FAF</v>
      </c>
      <c r="T190" s="130" t="str">
        <f t="shared" si="45"/>
        <v>Existing</v>
      </c>
      <c r="U190" s="156" t="str">
        <f t="shared" si="51"/>
        <v>PTCS</v>
      </c>
      <c r="V190" s="130" t="str">
        <f t="shared" si="52"/>
        <v>Electric FAFR38R11Basementu30</v>
      </c>
      <c r="W190" s="130">
        <f t="shared" si="46"/>
        <v>3004</v>
      </c>
      <c r="X190" s="130"/>
      <c r="Y190" s="130">
        <f t="shared" si="47"/>
        <v>5</v>
      </c>
      <c r="Z190" s="130"/>
      <c r="AA190" s="74" t="str">
        <f t="shared" si="48"/>
        <v/>
      </c>
      <c r="AB190" s="74" t="str">
        <f t="shared" si="48"/>
        <v/>
      </c>
      <c r="AC190" s="74" t="str">
        <f t="shared" si="48"/>
        <v/>
      </c>
      <c r="AD190" s="74" t="str">
        <f t="shared" si="48"/>
        <v/>
      </c>
      <c r="AE190" s="74" t="str">
        <f t="shared" si="48"/>
        <v>F</v>
      </c>
      <c r="AF190" s="74" t="str">
        <f t="shared" si="48"/>
        <v>O</v>
      </c>
      <c r="AG190" s="74" t="str">
        <f t="shared" si="48"/>
        <v/>
      </c>
      <c r="AH190" s="74" t="str">
        <f t="shared" si="48"/>
        <v/>
      </c>
      <c r="AI190" s="74" t="str">
        <f t="shared" si="48"/>
        <v/>
      </c>
      <c r="AJ190" s="74" t="str">
        <f t="shared" si="49"/>
        <v>F</v>
      </c>
      <c r="AK190" s="74" t="str">
        <f t="shared" si="37"/>
        <v/>
      </c>
      <c r="AL190" s="74" t="str">
        <f t="shared" si="37"/>
        <v/>
      </c>
      <c r="AM190" s="74" t="str">
        <f t="shared" si="37"/>
        <v/>
      </c>
      <c r="AN190" s="74" t="str">
        <f t="shared" si="38"/>
        <v/>
      </c>
      <c r="AO190" s="74" t="str">
        <f t="shared" si="38"/>
        <v>F</v>
      </c>
      <c r="AP190" s="74" t="str">
        <f t="shared" si="53"/>
        <v>O</v>
      </c>
      <c r="AQ190" s="74" t="str">
        <f t="shared" si="39"/>
        <v/>
      </c>
      <c r="AR190" s="74" t="str">
        <f t="shared" si="39"/>
        <v>O</v>
      </c>
      <c r="AS190" s="74" t="s">
        <v>399</v>
      </c>
      <c r="AT190" s="70" t="s">
        <v>386</v>
      </c>
      <c r="AU190" s="70" t="str">
        <f t="shared" si="54"/>
        <v>O</v>
      </c>
      <c r="AV190" s="74" t="str">
        <f t="shared" si="40"/>
        <v/>
      </c>
      <c r="AW190" s="74" t="str">
        <f t="shared" si="40"/>
        <v>O</v>
      </c>
      <c r="AX190" s="74" t="str">
        <f t="shared" si="40"/>
        <v/>
      </c>
      <c r="AY190" s="74" t="str">
        <f t="shared" si="40"/>
        <v>O</v>
      </c>
      <c r="AZ190" s="74" t="str">
        <f t="shared" si="55"/>
        <v>O</v>
      </c>
      <c r="BA190" s="74" t="str">
        <f t="shared" si="56"/>
        <v>O</v>
      </c>
      <c r="BB190" s="74" t="str">
        <f t="shared" si="50"/>
        <v>F</v>
      </c>
    </row>
    <row r="191" spans="1:54">
      <c r="A191" s="70">
        <v>2078</v>
      </c>
      <c r="B191" s="124" t="s">
        <v>622</v>
      </c>
      <c r="C191" s="124">
        <v>1317</v>
      </c>
      <c r="D191" s="124" t="s">
        <v>623</v>
      </c>
      <c r="E191" s="124" t="s">
        <v>227</v>
      </c>
      <c r="F191" s="124" t="s">
        <v>335</v>
      </c>
      <c r="G191" s="124" t="s">
        <v>334</v>
      </c>
      <c r="H191" s="124" t="s">
        <v>377</v>
      </c>
      <c r="I191" s="124" t="s">
        <v>339</v>
      </c>
      <c r="J191" s="124">
        <v>1464.694</v>
      </c>
      <c r="K191" s="124">
        <v>1.3740017671403017E-3</v>
      </c>
      <c r="M191" s="70">
        <v>2078</v>
      </c>
      <c r="N191" s="155" t="str">
        <f t="shared" si="41"/>
        <v>R38</v>
      </c>
      <c r="O191" s="137" t="s">
        <v>334</v>
      </c>
      <c r="P191" s="130" t="str">
        <f t="shared" si="42"/>
        <v>Basement</v>
      </c>
      <c r="Q191" s="130" t="str">
        <f t="shared" si="43"/>
        <v>u30</v>
      </c>
      <c r="R191" s="130" t="s">
        <v>378</v>
      </c>
      <c r="S191" s="130" t="str">
        <f t="shared" si="44"/>
        <v>Electric FAF</v>
      </c>
      <c r="T191" s="130" t="str">
        <f t="shared" si="45"/>
        <v>Existing</v>
      </c>
      <c r="U191" s="156" t="str">
        <f t="shared" si="51"/>
        <v>PTCS</v>
      </c>
      <c r="V191" s="130" t="str">
        <f t="shared" si="52"/>
        <v>Electric FAFR38R11Basementu30</v>
      </c>
      <c r="W191" s="130">
        <f t="shared" si="46"/>
        <v>3004</v>
      </c>
      <c r="X191" s="130"/>
      <c r="Y191" s="130">
        <f t="shared" si="47"/>
        <v>4</v>
      </c>
      <c r="Z191" s="130"/>
      <c r="AA191" s="74" t="str">
        <f t="shared" si="48"/>
        <v/>
      </c>
      <c r="AB191" s="74" t="str">
        <f t="shared" si="48"/>
        <v/>
      </c>
      <c r="AC191" s="74" t="str">
        <f t="shared" si="48"/>
        <v/>
      </c>
      <c r="AD191" s="74" t="str">
        <f t="shared" si="48"/>
        <v/>
      </c>
      <c r="AE191" s="74" t="str">
        <f t="shared" si="48"/>
        <v>F</v>
      </c>
      <c r="AF191" s="74" t="str">
        <f t="shared" si="48"/>
        <v>O</v>
      </c>
      <c r="AG191" s="74" t="str">
        <f t="shared" si="48"/>
        <v/>
      </c>
      <c r="AH191" s="74" t="str">
        <f t="shared" si="48"/>
        <v/>
      </c>
      <c r="AI191" s="74" t="str">
        <f t="shared" si="48"/>
        <v/>
      </c>
      <c r="AJ191" s="74" t="str">
        <f t="shared" si="49"/>
        <v/>
      </c>
      <c r="AK191" s="74" t="str">
        <f t="shared" si="37"/>
        <v/>
      </c>
      <c r="AL191" s="74" t="str">
        <f t="shared" si="37"/>
        <v/>
      </c>
      <c r="AM191" s="74" t="str">
        <f t="shared" si="37"/>
        <v/>
      </c>
      <c r="AN191" s="74" t="str">
        <f t="shared" si="38"/>
        <v/>
      </c>
      <c r="AO191" s="74" t="str">
        <f t="shared" si="38"/>
        <v>F</v>
      </c>
      <c r="AP191" s="74" t="str">
        <f t="shared" si="53"/>
        <v>O</v>
      </c>
      <c r="AQ191" s="74" t="str">
        <f t="shared" si="39"/>
        <v/>
      </c>
      <c r="AR191" s="74" t="str">
        <f t="shared" si="39"/>
        <v>O</v>
      </c>
      <c r="AS191" s="74" t="s">
        <v>399</v>
      </c>
      <c r="AT191" s="70" t="s">
        <v>386</v>
      </c>
      <c r="AU191" s="70" t="str">
        <f t="shared" si="54"/>
        <v>O</v>
      </c>
      <c r="AV191" s="74" t="str">
        <f t="shared" si="40"/>
        <v/>
      </c>
      <c r="AW191" s="74" t="str">
        <f t="shared" si="40"/>
        <v>O</v>
      </c>
      <c r="AX191" s="74" t="str">
        <f t="shared" si="40"/>
        <v/>
      </c>
      <c r="AY191" s="74" t="str">
        <f t="shared" si="40"/>
        <v>O</v>
      </c>
      <c r="AZ191" s="74" t="str">
        <f t="shared" si="55"/>
        <v>O</v>
      </c>
      <c r="BA191" s="74" t="str">
        <f t="shared" si="56"/>
        <v>O</v>
      </c>
      <c r="BB191" s="74" t="str">
        <f t="shared" si="50"/>
        <v>F</v>
      </c>
    </row>
    <row r="192" spans="1:54">
      <c r="A192" s="70">
        <v>2079</v>
      </c>
      <c r="B192" s="124" t="s">
        <v>624</v>
      </c>
      <c r="C192" s="124">
        <v>1318</v>
      </c>
      <c r="D192" s="124" t="s">
        <v>625</v>
      </c>
      <c r="E192" s="124" t="s">
        <v>227</v>
      </c>
      <c r="F192" s="124" t="s">
        <v>335</v>
      </c>
      <c r="G192" s="124" t="s">
        <v>334</v>
      </c>
      <c r="H192" s="124" t="s">
        <v>377</v>
      </c>
      <c r="I192" s="124" t="s">
        <v>352</v>
      </c>
      <c r="J192" s="124">
        <v>3604.7550000000001</v>
      </c>
      <c r="K192" s="124">
        <v>3.3815525564437612E-3</v>
      </c>
      <c r="M192" s="70">
        <v>2079</v>
      </c>
      <c r="N192" s="155" t="str">
        <f t="shared" si="41"/>
        <v>R38</v>
      </c>
      <c r="O192" s="137" t="s">
        <v>334</v>
      </c>
      <c r="P192" s="130" t="str">
        <f t="shared" si="42"/>
        <v>Basement</v>
      </c>
      <c r="Q192" s="130" t="str">
        <f t="shared" si="43"/>
        <v>Better</v>
      </c>
      <c r="R192" s="130" t="s">
        <v>378</v>
      </c>
      <c r="S192" s="130" t="str">
        <f t="shared" si="44"/>
        <v>Electric FAF</v>
      </c>
      <c r="T192" s="130" t="str">
        <f t="shared" si="45"/>
        <v>Existing</v>
      </c>
      <c r="U192" s="156" t="str">
        <f t="shared" si="51"/>
        <v>PTCS</v>
      </c>
      <c r="V192" s="130" t="str">
        <f t="shared" si="52"/>
        <v>Electric FAFR38R11BasementBetter</v>
      </c>
      <c r="W192" s="130">
        <f t="shared" si="46"/>
        <v>3003</v>
      </c>
      <c r="X192" s="130"/>
      <c r="Y192" s="130">
        <f t="shared" si="47"/>
        <v>3</v>
      </c>
      <c r="Z192" s="130"/>
      <c r="AA192" s="74" t="str">
        <f t="shared" si="48"/>
        <v/>
      </c>
      <c r="AB192" s="74" t="str">
        <f t="shared" si="48"/>
        <v/>
      </c>
      <c r="AC192" s="74" t="str">
        <f t="shared" si="48"/>
        <v/>
      </c>
      <c r="AD192" s="74" t="str">
        <f t="shared" si="48"/>
        <v/>
      </c>
      <c r="AE192" s="74" t="str">
        <f t="shared" si="48"/>
        <v>F</v>
      </c>
      <c r="AF192" s="74" t="str">
        <f t="shared" si="48"/>
        <v>O</v>
      </c>
      <c r="AG192" s="74" t="str">
        <f t="shared" si="48"/>
        <v/>
      </c>
      <c r="AH192" s="74" t="str">
        <f t="shared" si="48"/>
        <v/>
      </c>
      <c r="AI192" s="74" t="str">
        <f t="shared" si="48"/>
        <v/>
      </c>
      <c r="AJ192" s="74" t="str">
        <f t="shared" si="49"/>
        <v/>
      </c>
      <c r="AK192" s="74" t="str">
        <f t="shared" si="37"/>
        <v/>
      </c>
      <c r="AL192" s="74" t="str">
        <f t="shared" si="37"/>
        <v/>
      </c>
      <c r="AM192" s="74" t="str">
        <f t="shared" si="37"/>
        <v/>
      </c>
      <c r="AN192" s="74" t="str">
        <f t="shared" si="38"/>
        <v/>
      </c>
      <c r="AO192" s="74" t="str">
        <f t="shared" si="38"/>
        <v/>
      </c>
      <c r="AP192" s="74" t="str">
        <f t="shared" si="53"/>
        <v/>
      </c>
      <c r="AQ192" s="74" t="str">
        <f t="shared" si="39"/>
        <v/>
      </c>
      <c r="AR192" s="74" t="str">
        <f t="shared" si="39"/>
        <v/>
      </c>
      <c r="AS192" s="74" t="s">
        <v>399</v>
      </c>
      <c r="AT192" s="70" t="s">
        <v>386</v>
      </c>
      <c r="AU192" s="70" t="str">
        <f t="shared" si="54"/>
        <v>O</v>
      </c>
      <c r="AV192" s="74" t="str">
        <f t="shared" si="40"/>
        <v/>
      </c>
      <c r="AW192" s="74" t="str">
        <f t="shared" si="40"/>
        <v>O</v>
      </c>
      <c r="AX192" s="74" t="str">
        <f t="shared" si="40"/>
        <v/>
      </c>
      <c r="AY192" s="74" t="str">
        <f t="shared" si="40"/>
        <v>O</v>
      </c>
      <c r="AZ192" s="74" t="str">
        <f t="shared" si="55"/>
        <v>O</v>
      </c>
      <c r="BA192" s="74" t="str">
        <f t="shared" si="56"/>
        <v>O</v>
      </c>
      <c r="BB192" s="74" t="str">
        <f t="shared" si="50"/>
        <v>F</v>
      </c>
    </row>
    <row r="193" spans="1:54">
      <c r="A193" s="70">
        <v>2080</v>
      </c>
      <c r="B193" s="124" t="s">
        <v>626</v>
      </c>
      <c r="C193" s="124">
        <v>1323</v>
      </c>
      <c r="D193" s="124" t="s">
        <v>627</v>
      </c>
      <c r="E193" s="124" t="s">
        <v>227</v>
      </c>
      <c r="F193" s="124" t="s">
        <v>336</v>
      </c>
      <c r="G193" s="124" t="s">
        <v>334</v>
      </c>
      <c r="H193" s="124" t="s">
        <v>377</v>
      </c>
      <c r="I193" s="124" t="s">
        <v>339</v>
      </c>
      <c r="J193" s="124">
        <v>3808.576</v>
      </c>
      <c r="K193" s="124">
        <v>3.5727531855036902E-3</v>
      </c>
      <c r="M193" s="70">
        <v>2080</v>
      </c>
      <c r="N193" s="155" t="str">
        <f t="shared" si="41"/>
        <v>R30</v>
      </c>
      <c r="O193" s="137" t="s">
        <v>334</v>
      </c>
      <c r="P193" s="130" t="str">
        <f t="shared" si="42"/>
        <v>Basement</v>
      </c>
      <c r="Q193" s="130" t="str">
        <f t="shared" si="43"/>
        <v>u30</v>
      </c>
      <c r="R193" s="130" t="s">
        <v>378</v>
      </c>
      <c r="S193" s="130" t="str">
        <f t="shared" si="44"/>
        <v>Electric FAF</v>
      </c>
      <c r="T193" s="130" t="str">
        <f t="shared" si="45"/>
        <v>Existing</v>
      </c>
      <c r="U193" s="156" t="str">
        <f t="shared" si="51"/>
        <v>PTCS</v>
      </c>
      <c r="V193" s="130" t="str">
        <f t="shared" si="52"/>
        <v>Electric FAFR30R11Basementu30</v>
      </c>
      <c r="W193" s="130">
        <f t="shared" si="46"/>
        <v>3002</v>
      </c>
      <c r="X193" s="130"/>
      <c r="Y193" s="130">
        <f t="shared" si="47"/>
        <v>3</v>
      </c>
      <c r="Z193" s="130"/>
      <c r="AA193" s="74" t="str">
        <f t="shared" si="48"/>
        <v/>
      </c>
      <c r="AB193" s="74" t="str">
        <f t="shared" si="48"/>
        <v/>
      </c>
      <c r="AC193" s="74" t="str">
        <f t="shared" si="48"/>
        <v/>
      </c>
      <c r="AD193" s="74" t="str">
        <f t="shared" si="48"/>
        <v/>
      </c>
      <c r="AE193" s="74" t="str">
        <f t="shared" si="48"/>
        <v/>
      </c>
      <c r="AF193" s="74" t="str">
        <f t="shared" si="48"/>
        <v/>
      </c>
      <c r="AG193" s="74" t="str">
        <f t="shared" si="48"/>
        <v>O</v>
      </c>
      <c r="AH193" s="74" t="str">
        <f t="shared" si="48"/>
        <v>O</v>
      </c>
      <c r="AI193" s="74" t="str">
        <f t="shared" si="48"/>
        <v/>
      </c>
      <c r="AJ193" s="74" t="str">
        <f t="shared" si="49"/>
        <v/>
      </c>
      <c r="AK193" s="74" t="str">
        <f t="shared" si="37"/>
        <v/>
      </c>
      <c r="AL193" s="74" t="str">
        <f t="shared" si="37"/>
        <v/>
      </c>
      <c r="AM193" s="74" t="str">
        <f t="shared" si="37"/>
        <v/>
      </c>
      <c r="AN193" s="74" t="str">
        <f t="shared" si="38"/>
        <v/>
      </c>
      <c r="AO193" s="74" t="str">
        <f t="shared" si="38"/>
        <v>F</v>
      </c>
      <c r="AP193" s="74" t="str">
        <f t="shared" si="53"/>
        <v>O</v>
      </c>
      <c r="AQ193" s="74" t="str">
        <f t="shared" si="39"/>
        <v/>
      </c>
      <c r="AR193" s="74" t="str">
        <f t="shared" si="39"/>
        <v>O</v>
      </c>
      <c r="AS193" s="74" t="s">
        <v>399</v>
      </c>
      <c r="AT193" s="70" t="s">
        <v>386</v>
      </c>
      <c r="AU193" s="70" t="str">
        <f t="shared" si="54"/>
        <v>O</v>
      </c>
      <c r="AV193" s="74" t="str">
        <f t="shared" si="40"/>
        <v/>
      </c>
      <c r="AW193" s="74" t="str">
        <f t="shared" si="40"/>
        <v>O</v>
      </c>
      <c r="AX193" s="74" t="str">
        <f t="shared" si="40"/>
        <v/>
      </c>
      <c r="AY193" s="74" t="str">
        <f t="shared" si="40"/>
        <v>O</v>
      </c>
      <c r="AZ193" s="74" t="str">
        <f t="shared" si="55"/>
        <v>O</v>
      </c>
      <c r="BA193" s="74" t="str">
        <f t="shared" si="56"/>
        <v>O</v>
      </c>
      <c r="BB193" s="74" t="str">
        <f t="shared" si="50"/>
        <v>F</v>
      </c>
    </row>
    <row r="194" spans="1:54">
      <c r="A194" s="70">
        <v>2081</v>
      </c>
      <c r="B194" s="124" t="s">
        <v>628</v>
      </c>
      <c r="C194" s="124">
        <v>1324</v>
      </c>
      <c r="D194" s="124" t="s">
        <v>629</v>
      </c>
      <c r="E194" s="124" t="s">
        <v>227</v>
      </c>
      <c r="F194" s="124" t="s">
        <v>336</v>
      </c>
      <c r="G194" s="124" t="s">
        <v>334</v>
      </c>
      <c r="H194" s="124" t="s">
        <v>377</v>
      </c>
      <c r="I194" s="124" t="s">
        <v>352</v>
      </c>
      <c r="J194" s="124">
        <v>7245.8510000000006</v>
      </c>
      <c r="K194" s="124">
        <v>6.7971959183524503E-3</v>
      </c>
      <c r="M194" s="70">
        <v>2081</v>
      </c>
      <c r="N194" s="155" t="str">
        <f t="shared" si="41"/>
        <v>R30</v>
      </c>
      <c r="O194" s="137" t="s">
        <v>334</v>
      </c>
      <c r="P194" s="130" t="str">
        <f t="shared" si="42"/>
        <v>Basement</v>
      </c>
      <c r="Q194" s="130" t="str">
        <f t="shared" si="43"/>
        <v>Better</v>
      </c>
      <c r="R194" s="130" t="s">
        <v>378</v>
      </c>
      <c r="S194" s="130" t="str">
        <f t="shared" si="44"/>
        <v>Electric FAF</v>
      </c>
      <c r="T194" s="130" t="str">
        <f t="shared" si="45"/>
        <v>Existing</v>
      </c>
      <c r="U194" s="156" t="str">
        <f t="shared" si="51"/>
        <v>PTCS</v>
      </c>
      <c r="V194" s="130" t="str">
        <f t="shared" si="52"/>
        <v>Electric FAFR30R11BasementBetter</v>
      </c>
      <c r="W194" s="130">
        <f t="shared" si="46"/>
        <v>3001</v>
      </c>
      <c r="X194" s="130"/>
      <c r="Y194" s="130">
        <f t="shared" si="47"/>
        <v>2</v>
      </c>
      <c r="Z194" s="130"/>
      <c r="AA194" s="74" t="str">
        <f t="shared" ref="AA194:AI208" si="57">IF(AA$109=$F194,AA$107,"")</f>
        <v/>
      </c>
      <c r="AB194" s="74" t="str">
        <f t="shared" si="57"/>
        <v/>
      </c>
      <c r="AC194" s="74" t="str">
        <f t="shared" si="57"/>
        <v/>
      </c>
      <c r="AD194" s="74" t="str">
        <f t="shared" si="57"/>
        <v/>
      </c>
      <c r="AE194" s="74" t="str">
        <f t="shared" si="57"/>
        <v/>
      </c>
      <c r="AF194" s="74" t="str">
        <f t="shared" si="57"/>
        <v/>
      </c>
      <c r="AG194" s="74" t="str">
        <f t="shared" si="57"/>
        <v>O</v>
      </c>
      <c r="AH194" s="74" t="str">
        <f t="shared" si="57"/>
        <v>O</v>
      </c>
      <c r="AI194" s="74" t="str">
        <f t="shared" si="57"/>
        <v/>
      </c>
      <c r="AJ194" s="74" t="str">
        <f t="shared" si="49"/>
        <v/>
      </c>
      <c r="AK194" s="74" t="str">
        <f t="shared" ref="AK194:AM208" si="58">IF(AK$109=$H194,AK$107,"")</f>
        <v/>
      </c>
      <c r="AL194" s="74" t="str">
        <f t="shared" si="58"/>
        <v/>
      </c>
      <c r="AM194" s="74" t="str">
        <f t="shared" si="58"/>
        <v/>
      </c>
      <c r="AN194" s="74" t="str">
        <f t="shared" ref="AN194:AO208" si="59">IF(AN$109=$I194,AN$107,"")</f>
        <v/>
      </c>
      <c r="AO194" s="74" t="str">
        <f t="shared" si="59"/>
        <v/>
      </c>
      <c r="AP194" s="74" t="str">
        <f t="shared" si="53"/>
        <v/>
      </c>
      <c r="AQ194" s="74" t="str">
        <f t="shared" ref="AQ194:AR208" si="60">IF(AQ$109=$I194,AQ$107,"")</f>
        <v/>
      </c>
      <c r="AR194" s="74" t="str">
        <f t="shared" si="60"/>
        <v/>
      </c>
      <c r="AS194" s="74" t="s">
        <v>399</v>
      </c>
      <c r="AT194" s="70" t="s">
        <v>386</v>
      </c>
      <c r="AU194" s="70" t="str">
        <f t="shared" si="54"/>
        <v>O</v>
      </c>
      <c r="AV194" s="74" t="str">
        <f t="shared" ref="AV194:AY208" si="61">IF(AV$109=$E194,AV$107,"")</f>
        <v/>
      </c>
      <c r="AW194" s="74" t="str">
        <f t="shared" si="61"/>
        <v>O</v>
      </c>
      <c r="AX194" s="74" t="str">
        <f t="shared" si="61"/>
        <v/>
      </c>
      <c r="AY194" s="74" t="str">
        <f t="shared" si="61"/>
        <v>O</v>
      </c>
      <c r="AZ194" s="74" t="str">
        <f t="shared" si="55"/>
        <v>O</v>
      </c>
      <c r="BA194" s="74" t="str">
        <f t="shared" si="56"/>
        <v>O</v>
      </c>
      <c r="BB194" s="74" t="str">
        <f t="shared" si="50"/>
        <v>F</v>
      </c>
    </row>
    <row r="195" spans="1:54">
      <c r="A195" s="70">
        <v>2082</v>
      </c>
      <c r="B195" s="124" t="s">
        <v>630</v>
      </c>
      <c r="C195" s="124">
        <v>1329</v>
      </c>
      <c r="D195" s="124" t="s">
        <v>631</v>
      </c>
      <c r="E195" s="124" t="s">
        <v>227</v>
      </c>
      <c r="F195" s="124" t="s">
        <v>331</v>
      </c>
      <c r="G195" s="124" t="s">
        <v>334</v>
      </c>
      <c r="H195" s="124" t="s">
        <v>377</v>
      </c>
      <c r="I195" s="124" t="s">
        <v>339</v>
      </c>
      <c r="J195" s="124">
        <v>22184.296000000002</v>
      </c>
      <c r="K195" s="124">
        <v>2.0810668922494072E-2</v>
      </c>
      <c r="M195" s="70">
        <v>2082</v>
      </c>
      <c r="N195" s="155" t="str">
        <f t="shared" si="41"/>
        <v>R38</v>
      </c>
      <c r="O195" s="137" t="s">
        <v>334</v>
      </c>
      <c r="P195" s="130" t="str">
        <f t="shared" si="42"/>
        <v>Basement</v>
      </c>
      <c r="Q195" s="130" t="str">
        <f t="shared" si="43"/>
        <v>u30</v>
      </c>
      <c r="R195" s="130" t="s">
        <v>378</v>
      </c>
      <c r="S195" s="130" t="str">
        <f t="shared" si="44"/>
        <v>Electric FAF</v>
      </c>
      <c r="T195" s="130" t="str">
        <f t="shared" si="45"/>
        <v>Existing</v>
      </c>
      <c r="U195" s="156" t="str">
        <f t="shared" si="51"/>
        <v>PTCS</v>
      </c>
      <c r="V195" s="130" t="str">
        <f t="shared" si="52"/>
        <v>Electric FAFR38R11Basementu30</v>
      </c>
      <c r="W195" s="130">
        <f t="shared" si="46"/>
        <v>3004</v>
      </c>
      <c r="X195" s="130"/>
      <c r="Y195" s="130">
        <f t="shared" si="47"/>
        <v>3</v>
      </c>
      <c r="Z195" s="130"/>
      <c r="AA195" s="74" t="str">
        <f t="shared" si="57"/>
        <v/>
      </c>
      <c r="AB195" s="74" t="str">
        <f t="shared" si="57"/>
        <v/>
      </c>
      <c r="AC195" s="74" t="str">
        <f t="shared" si="57"/>
        <v/>
      </c>
      <c r="AD195" s="74" t="str">
        <f t="shared" si="57"/>
        <v/>
      </c>
      <c r="AE195" s="74" t="str">
        <f t="shared" si="57"/>
        <v/>
      </c>
      <c r="AF195" s="74" t="str">
        <f t="shared" si="57"/>
        <v/>
      </c>
      <c r="AG195" s="74" t="str">
        <f t="shared" si="57"/>
        <v/>
      </c>
      <c r="AH195" s="74" t="str">
        <f t="shared" si="57"/>
        <v/>
      </c>
      <c r="AI195" s="74" t="str">
        <f t="shared" si="57"/>
        <v>O</v>
      </c>
      <c r="AJ195" s="74" t="str">
        <f t="shared" si="49"/>
        <v/>
      </c>
      <c r="AK195" s="74" t="str">
        <f t="shared" si="58"/>
        <v/>
      </c>
      <c r="AL195" s="74" t="str">
        <f t="shared" si="58"/>
        <v/>
      </c>
      <c r="AM195" s="74" t="str">
        <f t="shared" si="58"/>
        <v/>
      </c>
      <c r="AN195" s="74" t="str">
        <f t="shared" si="59"/>
        <v/>
      </c>
      <c r="AO195" s="74" t="str">
        <f t="shared" si="59"/>
        <v>F</v>
      </c>
      <c r="AP195" s="74" t="str">
        <f t="shared" si="53"/>
        <v>O</v>
      </c>
      <c r="AQ195" s="74" t="str">
        <f t="shared" si="60"/>
        <v/>
      </c>
      <c r="AR195" s="74" t="str">
        <f t="shared" si="60"/>
        <v>O</v>
      </c>
      <c r="AS195" s="74" t="s">
        <v>399</v>
      </c>
      <c r="AT195" s="70" t="s">
        <v>386</v>
      </c>
      <c r="AU195" s="70" t="str">
        <f t="shared" si="54"/>
        <v>O</v>
      </c>
      <c r="AV195" s="74" t="str">
        <f t="shared" si="61"/>
        <v/>
      </c>
      <c r="AW195" s="74" t="str">
        <f t="shared" si="61"/>
        <v>O</v>
      </c>
      <c r="AX195" s="74" t="str">
        <f t="shared" si="61"/>
        <v/>
      </c>
      <c r="AY195" s="74" t="str">
        <f t="shared" si="61"/>
        <v>O</v>
      </c>
      <c r="AZ195" s="74" t="str">
        <f t="shared" si="55"/>
        <v>O</v>
      </c>
      <c r="BA195" s="74" t="str">
        <f t="shared" si="56"/>
        <v>O</v>
      </c>
      <c r="BB195" s="74" t="str">
        <f t="shared" si="50"/>
        <v>F</v>
      </c>
    </row>
    <row r="196" spans="1:54">
      <c r="A196" s="70">
        <v>2083</v>
      </c>
      <c r="B196" s="124" t="s">
        <v>632</v>
      </c>
      <c r="C196" s="124">
        <v>1330</v>
      </c>
      <c r="D196" s="124" t="s">
        <v>633</v>
      </c>
      <c r="E196" s="124" t="s">
        <v>227</v>
      </c>
      <c r="F196" s="124" t="s">
        <v>331</v>
      </c>
      <c r="G196" s="124" t="s">
        <v>334</v>
      </c>
      <c r="H196" s="124" t="s">
        <v>377</v>
      </c>
      <c r="I196" s="124" t="s">
        <v>352</v>
      </c>
      <c r="J196" s="124">
        <v>9361.2289999999994</v>
      </c>
      <c r="K196" s="124">
        <v>8.7815920517220931E-3</v>
      </c>
      <c r="M196" s="70">
        <v>2083</v>
      </c>
      <c r="N196" s="155" t="str">
        <f t="shared" si="41"/>
        <v>R38</v>
      </c>
      <c r="O196" s="137" t="s">
        <v>334</v>
      </c>
      <c r="P196" s="130" t="str">
        <f t="shared" si="42"/>
        <v>Basement</v>
      </c>
      <c r="Q196" s="130" t="str">
        <f t="shared" si="43"/>
        <v>Better</v>
      </c>
      <c r="R196" s="130" t="s">
        <v>378</v>
      </c>
      <c r="S196" s="130" t="str">
        <f t="shared" si="44"/>
        <v>Electric FAF</v>
      </c>
      <c r="T196" s="130" t="str">
        <f t="shared" si="45"/>
        <v>Existing</v>
      </c>
      <c r="U196" s="156" t="str">
        <f t="shared" si="51"/>
        <v>PTCS</v>
      </c>
      <c r="V196" s="130" t="str">
        <f t="shared" si="52"/>
        <v>Electric FAFR38R11BasementBetter</v>
      </c>
      <c r="W196" s="130">
        <f t="shared" si="46"/>
        <v>3003</v>
      </c>
      <c r="X196" s="130"/>
      <c r="Y196" s="130">
        <f t="shared" si="47"/>
        <v>2</v>
      </c>
      <c r="Z196" s="130"/>
      <c r="AA196" s="74" t="str">
        <f t="shared" si="57"/>
        <v/>
      </c>
      <c r="AB196" s="74" t="str">
        <f t="shared" si="57"/>
        <v/>
      </c>
      <c r="AC196" s="74" t="str">
        <f t="shared" si="57"/>
        <v/>
      </c>
      <c r="AD196" s="74" t="str">
        <f t="shared" si="57"/>
        <v/>
      </c>
      <c r="AE196" s="74" t="str">
        <f t="shared" si="57"/>
        <v/>
      </c>
      <c r="AF196" s="74" t="str">
        <f t="shared" si="57"/>
        <v/>
      </c>
      <c r="AG196" s="74" t="str">
        <f t="shared" si="57"/>
        <v/>
      </c>
      <c r="AH196" s="74" t="str">
        <f t="shared" si="57"/>
        <v/>
      </c>
      <c r="AI196" s="74" t="str">
        <f t="shared" si="57"/>
        <v>O</v>
      </c>
      <c r="AJ196" s="74" t="str">
        <f t="shared" si="49"/>
        <v/>
      </c>
      <c r="AK196" s="74" t="str">
        <f t="shared" si="58"/>
        <v/>
      </c>
      <c r="AL196" s="74" t="str">
        <f t="shared" si="58"/>
        <v/>
      </c>
      <c r="AM196" s="74" t="str">
        <f t="shared" si="58"/>
        <v/>
      </c>
      <c r="AN196" s="74" t="str">
        <f t="shared" si="59"/>
        <v/>
      </c>
      <c r="AO196" s="74" t="str">
        <f t="shared" si="59"/>
        <v/>
      </c>
      <c r="AP196" s="74" t="str">
        <f t="shared" si="53"/>
        <v/>
      </c>
      <c r="AQ196" s="74" t="str">
        <f t="shared" si="60"/>
        <v/>
      </c>
      <c r="AR196" s="74" t="str">
        <f t="shared" si="60"/>
        <v/>
      </c>
      <c r="AS196" s="74" t="s">
        <v>399</v>
      </c>
      <c r="AT196" s="70" t="s">
        <v>386</v>
      </c>
      <c r="AU196" s="70" t="str">
        <f t="shared" si="54"/>
        <v>O</v>
      </c>
      <c r="AV196" s="74" t="str">
        <f t="shared" si="61"/>
        <v/>
      </c>
      <c r="AW196" s="74" t="str">
        <f t="shared" si="61"/>
        <v>O</v>
      </c>
      <c r="AX196" s="74" t="str">
        <f t="shared" si="61"/>
        <v/>
      </c>
      <c r="AY196" s="74" t="str">
        <f t="shared" si="61"/>
        <v>O</v>
      </c>
      <c r="AZ196" s="74" t="str">
        <f t="shared" si="55"/>
        <v>O</v>
      </c>
      <c r="BA196" s="74" t="str">
        <f t="shared" si="56"/>
        <v>O</v>
      </c>
      <c r="BB196" s="74" t="str">
        <f t="shared" si="50"/>
        <v>F</v>
      </c>
    </row>
    <row r="197" spans="1:54">
      <c r="A197" s="70">
        <v>2084</v>
      </c>
      <c r="B197" s="124" t="s">
        <v>634</v>
      </c>
      <c r="C197" s="124">
        <v>1371</v>
      </c>
      <c r="D197" s="124" t="s">
        <v>635</v>
      </c>
      <c r="E197" s="124" t="s">
        <v>228</v>
      </c>
      <c r="F197" s="124" t="s">
        <v>334</v>
      </c>
      <c r="G197" s="124" t="s">
        <v>334</v>
      </c>
      <c r="H197" s="124" t="s">
        <v>379</v>
      </c>
      <c r="I197" s="124" t="s">
        <v>339</v>
      </c>
      <c r="J197" s="124">
        <v>8275.4060000000009</v>
      </c>
      <c r="K197" s="124">
        <v>7.7630020112074314E-3</v>
      </c>
      <c r="M197" s="70">
        <v>2084</v>
      </c>
      <c r="N197" s="155" t="str">
        <f t="shared" si="41"/>
        <v>R38</v>
      </c>
      <c r="O197" s="137" t="s">
        <v>334</v>
      </c>
      <c r="P197" s="130" t="str">
        <f t="shared" si="42"/>
        <v>Slab</v>
      </c>
      <c r="Q197" s="130" t="str">
        <f t="shared" si="43"/>
        <v>u30</v>
      </c>
      <c r="R197" s="130" t="s">
        <v>378</v>
      </c>
      <c r="S197" s="130" t="str">
        <f t="shared" si="44"/>
        <v>Electric Zonal</v>
      </c>
      <c r="T197" s="130" t="str">
        <f t="shared" si="45"/>
        <v>Existing</v>
      </c>
      <c r="U197" s="156" t="str">
        <f t="shared" si="51"/>
        <v>PTCS</v>
      </c>
      <c r="V197" s="130" t="str">
        <f t="shared" si="52"/>
        <v>Electric ZonalR38R11Slabu30</v>
      </c>
      <c r="W197" s="130">
        <f t="shared" si="46"/>
        <v>3037</v>
      </c>
      <c r="X197" s="130"/>
      <c r="Y197" s="130">
        <f t="shared" si="47"/>
        <v>3</v>
      </c>
      <c r="Z197" s="130"/>
      <c r="AA197" s="74" t="str">
        <f t="shared" si="57"/>
        <v/>
      </c>
      <c r="AB197" s="74" t="str">
        <f t="shared" si="57"/>
        <v/>
      </c>
      <c r="AC197" s="74" t="str">
        <f t="shared" si="57"/>
        <v>F</v>
      </c>
      <c r="AD197" s="74" t="str">
        <f t="shared" si="57"/>
        <v>O</v>
      </c>
      <c r="AE197" s="74" t="str">
        <f t="shared" si="57"/>
        <v/>
      </c>
      <c r="AF197" s="74" t="str">
        <f t="shared" si="57"/>
        <v/>
      </c>
      <c r="AG197" s="74" t="str">
        <f t="shared" si="57"/>
        <v/>
      </c>
      <c r="AH197" s="74" t="str">
        <f t="shared" si="57"/>
        <v/>
      </c>
      <c r="AI197" s="74" t="str">
        <f t="shared" si="57"/>
        <v/>
      </c>
      <c r="AJ197" s="74" t="str">
        <f t="shared" si="49"/>
        <v/>
      </c>
      <c r="AK197" s="74" t="str">
        <f t="shared" si="58"/>
        <v/>
      </c>
      <c r="AL197" s="74" t="str">
        <f t="shared" si="58"/>
        <v/>
      </c>
      <c r="AM197" s="74" t="str">
        <f t="shared" si="58"/>
        <v/>
      </c>
      <c r="AN197" s="74" t="str">
        <f t="shared" si="59"/>
        <v/>
      </c>
      <c r="AO197" s="74" t="str">
        <f t="shared" si="59"/>
        <v>F</v>
      </c>
      <c r="AP197" s="74" t="str">
        <f t="shared" si="53"/>
        <v>O</v>
      </c>
      <c r="AQ197" s="74" t="str">
        <f t="shared" si="60"/>
        <v/>
      </c>
      <c r="AR197" s="74" t="str">
        <f t="shared" si="60"/>
        <v>O</v>
      </c>
      <c r="AS197" s="74" t="s">
        <v>399</v>
      </c>
      <c r="AT197" s="70" t="s">
        <v>386</v>
      </c>
      <c r="AU197" s="70" t="str">
        <f t="shared" si="54"/>
        <v/>
      </c>
      <c r="AV197" s="74" t="str">
        <f t="shared" si="61"/>
        <v>O</v>
      </c>
      <c r="AW197" s="74" t="str">
        <f t="shared" si="61"/>
        <v/>
      </c>
      <c r="AX197" s="74" t="str">
        <f t="shared" si="61"/>
        <v>O</v>
      </c>
      <c r="AY197" s="74" t="str">
        <f t="shared" si="61"/>
        <v/>
      </c>
      <c r="AZ197" s="74" t="str">
        <f t="shared" si="55"/>
        <v>O</v>
      </c>
      <c r="BA197" s="74" t="str">
        <f t="shared" si="56"/>
        <v/>
      </c>
      <c r="BB197" s="74" t="str">
        <f t="shared" si="50"/>
        <v/>
      </c>
    </row>
    <row r="198" spans="1:54">
      <c r="A198" s="70">
        <v>2085</v>
      </c>
      <c r="B198" s="124" t="s">
        <v>636</v>
      </c>
      <c r="C198" s="124">
        <v>1372</v>
      </c>
      <c r="D198" s="124" t="s">
        <v>637</v>
      </c>
      <c r="E198" s="124" t="s">
        <v>228</v>
      </c>
      <c r="F198" s="124" t="s">
        <v>334</v>
      </c>
      <c r="G198" s="124" t="s">
        <v>334</v>
      </c>
      <c r="H198" s="124" t="s">
        <v>379</v>
      </c>
      <c r="I198" s="124" t="s">
        <v>352</v>
      </c>
      <c r="J198" s="124">
        <v>10763.271000000001</v>
      </c>
      <c r="K198" s="124">
        <v>1.0096821161423453E-2</v>
      </c>
      <c r="M198" s="70">
        <v>2085</v>
      </c>
      <c r="N198" s="155" t="str">
        <f t="shared" si="41"/>
        <v>R38</v>
      </c>
      <c r="O198" s="137" t="s">
        <v>334</v>
      </c>
      <c r="P198" s="130" t="str">
        <f t="shared" si="42"/>
        <v>Slab</v>
      </c>
      <c r="Q198" s="130" t="str">
        <f t="shared" si="43"/>
        <v>Better</v>
      </c>
      <c r="R198" s="130" t="s">
        <v>378</v>
      </c>
      <c r="S198" s="130" t="str">
        <f t="shared" si="44"/>
        <v>Electric Zonal</v>
      </c>
      <c r="T198" s="130" t="str">
        <f t="shared" si="45"/>
        <v>Existing</v>
      </c>
      <c r="U198" s="156" t="str">
        <f t="shared" si="51"/>
        <v>PTCS</v>
      </c>
      <c r="V198" s="130" t="str">
        <f t="shared" si="52"/>
        <v>Electric ZonalR38R11SlabBetter</v>
      </c>
      <c r="W198" s="130">
        <f t="shared" si="46"/>
        <v>3036</v>
      </c>
      <c r="X198" s="130"/>
      <c r="Y198" s="130">
        <f t="shared" si="47"/>
        <v>2</v>
      </c>
      <c r="Z198" s="130"/>
      <c r="AA198" s="74" t="str">
        <f t="shared" si="57"/>
        <v/>
      </c>
      <c r="AB198" s="74" t="str">
        <f t="shared" si="57"/>
        <v/>
      </c>
      <c r="AC198" s="74" t="str">
        <f t="shared" si="57"/>
        <v>F</v>
      </c>
      <c r="AD198" s="74" t="str">
        <f t="shared" si="57"/>
        <v>O</v>
      </c>
      <c r="AE198" s="74" t="str">
        <f t="shared" si="57"/>
        <v/>
      </c>
      <c r="AF198" s="74" t="str">
        <f t="shared" si="57"/>
        <v/>
      </c>
      <c r="AG198" s="74" t="str">
        <f t="shared" si="57"/>
        <v/>
      </c>
      <c r="AH198" s="74" t="str">
        <f t="shared" si="57"/>
        <v/>
      </c>
      <c r="AI198" s="74" t="str">
        <f t="shared" si="57"/>
        <v/>
      </c>
      <c r="AJ198" s="74" t="str">
        <f t="shared" si="49"/>
        <v/>
      </c>
      <c r="AK198" s="74" t="str">
        <f t="shared" si="58"/>
        <v/>
      </c>
      <c r="AL198" s="74" t="str">
        <f t="shared" si="58"/>
        <v/>
      </c>
      <c r="AM198" s="74" t="str">
        <f t="shared" si="58"/>
        <v/>
      </c>
      <c r="AN198" s="74" t="str">
        <f t="shared" si="59"/>
        <v/>
      </c>
      <c r="AO198" s="74" t="str">
        <f t="shared" si="59"/>
        <v/>
      </c>
      <c r="AP198" s="74" t="str">
        <f t="shared" si="53"/>
        <v/>
      </c>
      <c r="AQ198" s="74" t="str">
        <f t="shared" si="60"/>
        <v/>
      </c>
      <c r="AR198" s="74" t="str">
        <f t="shared" si="60"/>
        <v/>
      </c>
      <c r="AS198" s="74" t="s">
        <v>399</v>
      </c>
      <c r="AT198" s="70" t="s">
        <v>386</v>
      </c>
      <c r="AU198" s="70" t="str">
        <f t="shared" si="54"/>
        <v/>
      </c>
      <c r="AV198" s="74" t="str">
        <f t="shared" si="61"/>
        <v>O</v>
      </c>
      <c r="AW198" s="74" t="str">
        <f t="shared" si="61"/>
        <v/>
      </c>
      <c r="AX198" s="74" t="str">
        <f t="shared" si="61"/>
        <v>O</v>
      </c>
      <c r="AY198" s="74" t="str">
        <f t="shared" si="61"/>
        <v/>
      </c>
      <c r="AZ198" s="74" t="str">
        <f t="shared" si="55"/>
        <v>O</v>
      </c>
      <c r="BA198" s="74" t="str">
        <f t="shared" si="56"/>
        <v/>
      </c>
      <c r="BB198" s="74" t="str">
        <f t="shared" si="50"/>
        <v/>
      </c>
    </row>
    <row r="199" spans="1:54">
      <c r="A199" s="70">
        <v>2086</v>
      </c>
      <c r="B199" s="124" t="s">
        <v>638</v>
      </c>
      <c r="C199" s="124">
        <v>1375</v>
      </c>
      <c r="D199" s="124" t="s">
        <v>639</v>
      </c>
      <c r="E199" s="124" t="s">
        <v>228</v>
      </c>
      <c r="F199" s="124" t="s">
        <v>335</v>
      </c>
      <c r="G199" s="124" t="s">
        <v>329</v>
      </c>
      <c r="H199" s="124" t="s">
        <v>379</v>
      </c>
      <c r="I199" s="124" t="s">
        <v>352</v>
      </c>
      <c r="J199" s="124">
        <v>5448.9750000000004</v>
      </c>
      <c r="K199" s="124">
        <v>5.111580493333984E-3</v>
      </c>
      <c r="M199" s="70">
        <v>2086</v>
      </c>
      <c r="N199" s="155" t="str">
        <f t="shared" si="41"/>
        <v>R38</v>
      </c>
      <c r="O199" s="137" t="s">
        <v>334</v>
      </c>
      <c r="P199" s="130" t="str">
        <f t="shared" si="42"/>
        <v>Slab</v>
      </c>
      <c r="Q199" s="130" t="str">
        <f t="shared" si="43"/>
        <v>Better</v>
      </c>
      <c r="R199" s="130" t="s">
        <v>378</v>
      </c>
      <c r="S199" s="130" t="str">
        <f t="shared" si="44"/>
        <v>Electric Zonal</v>
      </c>
      <c r="T199" s="130" t="str">
        <f t="shared" si="45"/>
        <v>Existing</v>
      </c>
      <c r="U199" s="156" t="str">
        <f t="shared" si="51"/>
        <v>PTCS</v>
      </c>
      <c r="V199" s="130" t="str">
        <f t="shared" si="52"/>
        <v>Electric ZonalR38R11SlabBetter</v>
      </c>
      <c r="W199" s="130">
        <f t="shared" si="46"/>
        <v>3036</v>
      </c>
      <c r="X199" s="130"/>
      <c r="Y199" s="130">
        <f t="shared" si="47"/>
        <v>3</v>
      </c>
      <c r="Z199" s="130"/>
      <c r="AA199" s="74" t="str">
        <f t="shared" si="57"/>
        <v/>
      </c>
      <c r="AB199" s="74" t="str">
        <f t="shared" si="57"/>
        <v/>
      </c>
      <c r="AC199" s="74" t="str">
        <f t="shared" si="57"/>
        <v/>
      </c>
      <c r="AD199" s="74" t="str">
        <f t="shared" si="57"/>
        <v/>
      </c>
      <c r="AE199" s="74" t="str">
        <f t="shared" si="57"/>
        <v>F</v>
      </c>
      <c r="AF199" s="74" t="str">
        <f t="shared" si="57"/>
        <v>O</v>
      </c>
      <c r="AG199" s="74" t="str">
        <f t="shared" si="57"/>
        <v/>
      </c>
      <c r="AH199" s="74" t="str">
        <f t="shared" si="57"/>
        <v/>
      </c>
      <c r="AI199" s="74" t="str">
        <f t="shared" si="57"/>
        <v/>
      </c>
      <c r="AJ199" s="74" t="str">
        <f t="shared" si="49"/>
        <v>F</v>
      </c>
      <c r="AK199" s="74" t="str">
        <f t="shared" si="58"/>
        <v/>
      </c>
      <c r="AL199" s="74" t="str">
        <f t="shared" si="58"/>
        <v/>
      </c>
      <c r="AM199" s="74" t="str">
        <f t="shared" si="58"/>
        <v/>
      </c>
      <c r="AN199" s="74" t="str">
        <f t="shared" si="59"/>
        <v/>
      </c>
      <c r="AO199" s="74" t="str">
        <f t="shared" si="59"/>
        <v/>
      </c>
      <c r="AP199" s="74" t="str">
        <f t="shared" si="53"/>
        <v/>
      </c>
      <c r="AQ199" s="74" t="str">
        <f t="shared" si="60"/>
        <v/>
      </c>
      <c r="AR199" s="74" t="str">
        <f t="shared" si="60"/>
        <v/>
      </c>
      <c r="AS199" s="74" t="s">
        <v>399</v>
      </c>
      <c r="AT199" s="70" t="s">
        <v>386</v>
      </c>
      <c r="AU199" s="70" t="str">
        <f t="shared" si="54"/>
        <v/>
      </c>
      <c r="AV199" s="74" t="str">
        <f t="shared" si="61"/>
        <v>O</v>
      </c>
      <c r="AW199" s="74" t="str">
        <f t="shared" si="61"/>
        <v/>
      </c>
      <c r="AX199" s="74" t="str">
        <f t="shared" si="61"/>
        <v>O</v>
      </c>
      <c r="AY199" s="74" t="str">
        <f t="shared" si="61"/>
        <v/>
      </c>
      <c r="AZ199" s="74" t="str">
        <f t="shared" si="55"/>
        <v>O</v>
      </c>
      <c r="BA199" s="74" t="str">
        <f t="shared" si="56"/>
        <v/>
      </c>
      <c r="BB199" s="74" t="str">
        <f t="shared" si="50"/>
        <v/>
      </c>
    </row>
    <row r="200" spans="1:54">
      <c r="A200" s="70">
        <v>2087</v>
      </c>
      <c r="B200" s="124" t="s">
        <v>640</v>
      </c>
      <c r="C200" s="124">
        <v>1377</v>
      </c>
      <c r="D200" s="124" t="s">
        <v>641</v>
      </c>
      <c r="E200" s="124" t="s">
        <v>228</v>
      </c>
      <c r="F200" s="124" t="s">
        <v>335</v>
      </c>
      <c r="G200" s="124" t="s">
        <v>334</v>
      </c>
      <c r="H200" s="124" t="s">
        <v>379</v>
      </c>
      <c r="I200" s="124" t="s">
        <v>339</v>
      </c>
      <c r="J200" s="124">
        <v>2079.9929999999999</v>
      </c>
      <c r="K200" s="124">
        <v>1.9512021334418368E-3</v>
      </c>
      <c r="M200" s="70">
        <v>2087</v>
      </c>
      <c r="N200" s="155" t="str">
        <f t="shared" si="41"/>
        <v>R38</v>
      </c>
      <c r="O200" s="137" t="s">
        <v>334</v>
      </c>
      <c r="P200" s="130" t="str">
        <f t="shared" si="42"/>
        <v>Slab</v>
      </c>
      <c r="Q200" s="130" t="str">
        <f t="shared" si="43"/>
        <v>u30</v>
      </c>
      <c r="R200" s="130" t="s">
        <v>378</v>
      </c>
      <c r="S200" s="130" t="str">
        <f t="shared" si="44"/>
        <v>Electric Zonal</v>
      </c>
      <c r="T200" s="130" t="str">
        <f t="shared" si="45"/>
        <v>Existing</v>
      </c>
      <c r="U200" s="156" t="str">
        <f t="shared" si="51"/>
        <v>PTCS</v>
      </c>
      <c r="V200" s="130" t="str">
        <f t="shared" si="52"/>
        <v>Electric ZonalR38R11Slabu30</v>
      </c>
      <c r="W200" s="130">
        <f t="shared" si="46"/>
        <v>3037</v>
      </c>
      <c r="X200" s="130"/>
      <c r="Y200" s="130">
        <f t="shared" si="47"/>
        <v>3</v>
      </c>
      <c r="Z200" s="130"/>
      <c r="AA200" s="74" t="str">
        <f t="shared" si="57"/>
        <v/>
      </c>
      <c r="AB200" s="74" t="str">
        <f t="shared" si="57"/>
        <v/>
      </c>
      <c r="AC200" s="74" t="str">
        <f t="shared" si="57"/>
        <v/>
      </c>
      <c r="AD200" s="74" t="str">
        <f t="shared" si="57"/>
        <v/>
      </c>
      <c r="AE200" s="74" t="str">
        <f t="shared" si="57"/>
        <v>F</v>
      </c>
      <c r="AF200" s="74" t="str">
        <f t="shared" si="57"/>
        <v>O</v>
      </c>
      <c r="AG200" s="74" t="str">
        <f t="shared" si="57"/>
        <v/>
      </c>
      <c r="AH200" s="74" t="str">
        <f t="shared" si="57"/>
        <v/>
      </c>
      <c r="AI200" s="74" t="str">
        <f t="shared" si="57"/>
        <v/>
      </c>
      <c r="AJ200" s="74" t="str">
        <f t="shared" si="49"/>
        <v/>
      </c>
      <c r="AK200" s="74" t="str">
        <f t="shared" si="58"/>
        <v/>
      </c>
      <c r="AL200" s="74" t="str">
        <f t="shared" si="58"/>
        <v/>
      </c>
      <c r="AM200" s="74" t="str">
        <f t="shared" si="58"/>
        <v/>
      </c>
      <c r="AN200" s="74" t="str">
        <f t="shared" si="59"/>
        <v/>
      </c>
      <c r="AO200" s="74" t="str">
        <f t="shared" si="59"/>
        <v>F</v>
      </c>
      <c r="AP200" s="74" t="str">
        <f t="shared" si="53"/>
        <v>O</v>
      </c>
      <c r="AQ200" s="74" t="str">
        <f t="shared" si="60"/>
        <v/>
      </c>
      <c r="AR200" s="74" t="str">
        <f t="shared" si="60"/>
        <v>O</v>
      </c>
      <c r="AS200" s="74" t="s">
        <v>399</v>
      </c>
      <c r="AT200" s="70" t="s">
        <v>386</v>
      </c>
      <c r="AU200" s="70" t="str">
        <f t="shared" si="54"/>
        <v/>
      </c>
      <c r="AV200" s="74" t="str">
        <f t="shared" si="61"/>
        <v>O</v>
      </c>
      <c r="AW200" s="74" t="str">
        <f t="shared" si="61"/>
        <v/>
      </c>
      <c r="AX200" s="74" t="str">
        <f t="shared" si="61"/>
        <v>O</v>
      </c>
      <c r="AY200" s="74" t="str">
        <f t="shared" si="61"/>
        <v/>
      </c>
      <c r="AZ200" s="74" t="str">
        <f t="shared" si="55"/>
        <v>O</v>
      </c>
      <c r="BA200" s="74" t="str">
        <f t="shared" si="56"/>
        <v/>
      </c>
      <c r="BB200" s="74" t="str">
        <f t="shared" si="50"/>
        <v/>
      </c>
    </row>
    <row r="201" spans="1:54">
      <c r="A201" s="70">
        <v>2088</v>
      </c>
      <c r="B201" s="124" t="s">
        <v>642</v>
      </c>
      <c r="C201" s="124">
        <v>1378</v>
      </c>
      <c r="D201" s="124" t="s">
        <v>643</v>
      </c>
      <c r="E201" s="124" t="s">
        <v>228</v>
      </c>
      <c r="F201" s="124" t="s">
        <v>335</v>
      </c>
      <c r="G201" s="124" t="s">
        <v>334</v>
      </c>
      <c r="H201" s="124" t="s">
        <v>379</v>
      </c>
      <c r="I201" s="124" t="s">
        <v>352</v>
      </c>
      <c r="J201" s="124">
        <v>11105.451000000001</v>
      </c>
      <c r="K201" s="124">
        <v>1.0417813754197144E-2</v>
      </c>
      <c r="M201" s="70">
        <v>2088</v>
      </c>
      <c r="N201" s="155" t="str">
        <f t="shared" si="41"/>
        <v>R38</v>
      </c>
      <c r="O201" s="137" t="s">
        <v>334</v>
      </c>
      <c r="P201" s="130" t="str">
        <f t="shared" si="42"/>
        <v>Slab</v>
      </c>
      <c r="Q201" s="130" t="str">
        <f t="shared" si="43"/>
        <v>Better</v>
      </c>
      <c r="R201" s="130" t="s">
        <v>378</v>
      </c>
      <c r="S201" s="130" t="str">
        <f t="shared" si="44"/>
        <v>Electric Zonal</v>
      </c>
      <c r="T201" s="130" t="str">
        <f t="shared" si="45"/>
        <v>Existing</v>
      </c>
      <c r="U201" s="156" t="str">
        <f t="shared" si="51"/>
        <v>PTCS</v>
      </c>
      <c r="V201" s="130" t="str">
        <f t="shared" si="52"/>
        <v>Electric ZonalR38R11SlabBetter</v>
      </c>
      <c r="W201" s="130">
        <f t="shared" si="46"/>
        <v>3036</v>
      </c>
      <c r="X201" s="130"/>
      <c r="Y201" s="130">
        <f t="shared" si="47"/>
        <v>2</v>
      </c>
      <c r="Z201" s="130"/>
      <c r="AA201" s="74" t="str">
        <f t="shared" si="57"/>
        <v/>
      </c>
      <c r="AB201" s="74" t="str">
        <f t="shared" si="57"/>
        <v/>
      </c>
      <c r="AC201" s="74" t="str">
        <f t="shared" si="57"/>
        <v/>
      </c>
      <c r="AD201" s="74" t="str">
        <f t="shared" si="57"/>
        <v/>
      </c>
      <c r="AE201" s="74" t="str">
        <f t="shared" si="57"/>
        <v>F</v>
      </c>
      <c r="AF201" s="74" t="str">
        <f t="shared" si="57"/>
        <v>O</v>
      </c>
      <c r="AG201" s="74" t="str">
        <f t="shared" si="57"/>
        <v/>
      </c>
      <c r="AH201" s="74" t="str">
        <f t="shared" si="57"/>
        <v/>
      </c>
      <c r="AI201" s="74" t="str">
        <f t="shared" si="57"/>
        <v/>
      </c>
      <c r="AJ201" s="74" t="str">
        <f t="shared" si="49"/>
        <v/>
      </c>
      <c r="AK201" s="74" t="str">
        <f t="shared" si="58"/>
        <v/>
      </c>
      <c r="AL201" s="74" t="str">
        <f t="shared" si="58"/>
        <v/>
      </c>
      <c r="AM201" s="74" t="str">
        <f t="shared" si="58"/>
        <v/>
      </c>
      <c r="AN201" s="74" t="str">
        <f t="shared" si="59"/>
        <v/>
      </c>
      <c r="AO201" s="74" t="str">
        <f t="shared" si="59"/>
        <v/>
      </c>
      <c r="AP201" s="74" t="str">
        <f t="shared" si="53"/>
        <v/>
      </c>
      <c r="AQ201" s="74" t="str">
        <f t="shared" si="60"/>
        <v/>
      </c>
      <c r="AR201" s="74" t="str">
        <f t="shared" si="60"/>
        <v/>
      </c>
      <c r="AS201" s="74" t="s">
        <v>399</v>
      </c>
      <c r="AT201" s="70" t="s">
        <v>386</v>
      </c>
      <c r="AU201" s="70" t="str">
        <f t="shared" si="54"/>
        <v/>
      </c>
      <c r="AV201" s="74" t="str">
        <f t="shared" si="61"/>
        <v>O</v>
      </c>
      <c r="AW201" s="74" t="str">
        <f t="shared" si="61"/>
        <v/>
      </c>
      <c r="AX201" s="74" t="str">
        <f t="shared" si="61"/>
        <v>O</v>
      </c>
      <c r="AY201" s="74" t="str">
        <f t="shared" si="61"/>
        <v/>
      </c>
      <c r="AZ201" s="74" t="str">
        <f t="shared" si="55"/>
        <v>O</v>
      </c>
      <c r="BA201" s="74" t="str">
        <f t="shared" si="56"/>
        <v/>
      </c>
      <c r="BB201" s="74" t="str">
        <f t="shared" si="50"/>
        <v/>
      </c>
    </row>
    <row r="202" spans="1:54">
      <c r="A202" s="70">
        <v>2089</v>
      </c>
      <c r="B202" s="124" t="s">
        <v>644</v>
      </c>
      <c r="C202" s="124">
        <v>1383</v>
      </c>
      <c r="D202" s="124" t="s">
        <v>645</v>
      </c>
      <c r="E202" s="124" t="s">
        <v>228</v>
      </c>
      <c r="F202" s="124" t="s">
        <v>336</v>
      </c>
      <c r="G202" s="124" t="s">
        <v>334</v>
      </c>
      <c r="H202" s="124" t="s">
        <v>379</v>
      </c>
      <c r="I202" s="124" t="s">
        <v>339</v>
      </c>
      <c r="J202" s="124">
        <v>5250.4580000000005</v>
      </c>
      <c r="K202" s="124">
        <v>4.92535544645908E-3</v>
      </c>
      <c r="M202" s="70">
        <v>2089</v>
      </c>
      <c r="N202" s="155" t="str">
        <f t="shared" si="41"/>
        <v>R30</v>
      </c>
      <c r="O202" s="137" t="s">
        <v>334</v>
      </c>
      <c r="P202" s="130" t="str">
        <f t="shared" si="42"/>
        <v>Slab</v>
      </c>
      <c r="Q202" s="130" t="str">
        <f t="shared" si="43"/>
        <v>u30</v>
      </c>
      <c r="R202" s="130" t="s">
        <v>378</v>
      </c>
      <c r="S202" s="130" t="str">
        <f t="shared" si="44"/>
        <v>Electric Zonal</v>
      </c>
      <c r="T202" s="130" t="str">
        <f t="shared" si="45"/>
        <v>Existing</v>
      </c>
      <c r="U202" s="156" t="str">
        <f t="shared" si="51"/>
        <v>PTCS</v>
      </c>
      <c r="V202" s="130" t="str">
        <f t="shared" si="52"/>
        <v>Electric ZonalR30R11Slabu30</v>
      </c>
      <c r="W202" s="130">
        <f t="shared" si="46"/>
        <v>3035</v>
      </c>
      <c r="X202" s="130"/>
      <c r="Y202" s="130">
        <f t="shared" si="47"/>
        <v>2</v>
      </c>
      <c r="Z202" s="130"/>
      <c r="AA202" s="74" t="str">
        <f t="shared" si="57"/>
        <v/>
      </c>
      <c r="AB202" s="74" t="str">
        <f t="shared" si="57"/>
        <v/>
      </c>
      <c r="AC202" s="74" t="str">
        <f t="shared" si="57"/>
        <v/>
      </c>
      <c r="AD202" s="74" t="str">
        <f t="shared" si="57"/>
        <v/>
      </c>
      <c r="AE202" s="74" t="str">
        <f t="shared" si="57"/>
        <v/>
      </c>
      <c r="AF202" s="74" t="str">
        <f t="shared" si="57"/>
        <v/>
      </c>
      <c r="AG202" s="74" t="str">
        <f t="shared" si="57"/>
        <v>O</v>
      </c>
      <c r="AH202" s="74" t="str">
        <f t="shared" si="57"/>
        <v>O</v>
      </c>
      <c r="AI202" s="74" t="str">
        <f t="shared" si="57"/>
        <v/>
      </c>
      <c r="AJ202" s="74" t="str">
        <f t="shared" si="49"/>
        <v/>
      </c>
      <c r="AK202" s="74" t="str">
        <f t="shared" si="58"/>
        <v/>
      </c>
      <c r="AL202" s="74" t="str">
        <f t="shared" si="58"/>
        <v/>
      </c>
      <c r="AM202" s="74" t="str">
        <f t="shared" si="58"/>
        <v/>
      </c>
      <c r="AN202" s="74" t="str">
        <f t="shared" si="59"/>
        <v/>
      </c>
      <c r="AO202" s="74" t="str">
        <f t="shared" si="59"/>
        <v>F</v>
      </c>
      <c r="AP202" s="74" t="str">
        <f t="shared" si="53"/>
        <v>O</v>
      </c>
      <c r="AQ202" s="74" t="str">
        <f t="shared" si="60"/>
        <v/>
      </c>
      <c r="AR202" s="74" t="str">
        <f t="shared" si="60"/>
        <v>O</v>
      </c>
      <c r="AS202" s="74" t="s">
        <v>399</v>
      </c>
      <c r="AT202" s="70" t="s">
        <v>386</v>
      </c>
      <c r="AU202" s="70" t="str">
        <f t="shared" si="54"/>
        <v/>
      </c>
      <c r="AV202" s="74" t="str">
        <f t="shared" si="61"/>
        <v>O</v>
      </c>
      <c r="AW202" s="74" t="str">
        <f t="shared" si="61"/>
        <v/>
      </c>
      <c r="AX202" s="74" t="str">
        <f t="shared" si="61"/>
        <v>O</v>
      </c>
      <c r="AY202" s="74" t="str">
        <f t="shared" si="61"/>
        <v/>
      </c>
      <c r="AZ202" s="74" t="str">
        <f t="shared" si="55"/>
        <v>O</v>
      </c>
      <c r="BA202" s="74" t="str">
        <f t="shared" si="56"/>
        <v/>
      </c>
      <c r="BB202" s="74" t="str">
        <f t="shared" si="50"/>
        <v/>
      </c>
    </row>
    <row r="203" spans="1:54">
      <c r="A203" s="70">
        <v>2090</v>
      </c>
      <c r="B203" s="124" t="s">
        <v>646</v>
      </c>
      <c r="C203" s="124">
        <v>1384</v>
      </c>
      <c r="D203" s="124" t="s">
        <v>647</v>
      </c>
      <c r="E203" s="124" t="s">
        <v>228</v>
      </c>
      <c r="F203" s="124" t="s">
        <v>336</v>
      </c>
      <c r="G203" s="124" t="s">
        <v>334</v>
      </c>
      <c r="H203" s="124" t="s">
        <v>379</v>
      </c>
      <c r="I203" s="124" t="s">
        <v>352</v>
      </c>
      <c r="J203" s="124">
        <v>7713.8640000000005</v>
      </c>
      <c r="K203" s="124">
        <v>7.2362300709089798E-3</v>
      </c>
      <c r="M203" s="70">
        <v>2090</v>
      </c>
      <c r="N203" s="155" t="str">
        <f t="shared" si="41"/>
        <v>R30</v>
      </c>
      <c r="O203" s="137" t="s">
        <v>334</v>
      </c>
      <c r="P203" s="130" t="str">
        <f t="shared" si="42"/>
        <v>Slab</v>
      </c>
      <c r="Q203" s="130" t="str">
        <f t="shared" si="43"/>
        <v>Better</v>
      </c>
      <c r="R203" s="130" t="s">
        <v>378</v>
      </c>
      <c r="S203" s="130" t="str">
        <f t="shared" si="44"/>
        <v>Electric Zonal</v>
      </c>
      <c r="T203" s="130" t="str">
        <f t="shared" si="45"/>
        <v>Existing</v>
      </c>
      <c r="U203" s="156" t="str">
        <f t="shared" si="51"/>
        <v>PTCS</v>
      </c>
      <c r="V203" s="130" t="str">
        <f t="shared" si="52"/>
        <v>Electric ZonalR30R11SlabBetter</v>
      </c>
      <c r="W203" s="130">
        <f t="shared" si="46"/>
        <v>3034</v>
      </c>
      <c r="X203" s="130"/>
      <c r="Y203" s="130">
        <f t="shared" si="47"/>
        <v>1</v>
      </c>
      <c r="Z203" s="130"/>
      <c r="AA203" s="74" t="str">
        <f t="shared" si="57"/>
        <v/>
      </c>
      <c r="AB203" s="74" t="str">
        <f t="shared" si="57"/>
        <v/>
      </c>
      <c r="AC203" s="74" t="str">
        <f t="shared" si="57"/>
        <v/>
      </c>
      <c r="AD203" s="74" t="str">
        <f t="shared" si="57"/>
        <v/>
      </c>
      <c r="AE203" s="74" t="str">
        <f t="shared" si="57"/>
        <v/>
      </c>
      <c r="AF203" s="74" t="str">
        <f t="shared" si="57"/>
        <v/>
      </c>
      <c r="AG203" s="74" t="str">
        <f t="shared" si="57"/>
        <v>O</v>
      </c>
      <c r="AH203" s="74" t="str">
        <f t="shared" si="57"/>
        <v>O</v>
      </c>
      <c r="AI203" s="74" t="str">
        <f t="shared" si="57"/>
        <v/>
      </c>
      <c r="AJ203" s="74" t="str">
        <f t="shared" si="49"/>
        <v/>
      </c>
      <c r="AK203" s="74" t="str">
        <f t="shared" si="58"/>
        <v/>
      </c>
      <c r="AL203" s="74" t="str">
        <f t="shared" si="58"/>
        <v/>
      </c>
      <c r="AM203" s="74" t="str">
        <f t="shared" si="58"/>
        <v/>
      </c>
      <c r="AN203" s="74" t="str">
        <f t="shared" si="59"/>
        <v/>
      </c>
      <c r="AO203" s="74" t="str">
        <f t="shared" si="59"/>
        <v/>
      </c>
      <c r="AP203" s="74" t="str">
        <f t="shared" si="53"/>
        <v/>
      </c>
      <c r="AQ203" s="74" t="str">
        <f t="shared" si="60"/>
        <v/>
      </c>
      <c r="AR203" s="74" t="str">
        <f t="shared" si="60"/>
        <v/>
      </c>
      <c r="AS203" s="74" t="s">
        <v>399</v>
      </c>
      <c r="AT203" s="70" t="s">
        <v>386</v>
      </c>
      <c r="AU203" s="70" t="str">
        <f t="shared" si="54"/>
        <v/>
      </c>
      <c r="AV203" s="74" t="str">
        <f t="shared" si="61"/>
        <v>O</v>
      </c>
      <c r="AW203" s="74" t="str">
        <f t="shared" si="61"/>
        <v/>
      </c>
      <c r="AX203" s="74" t="str">
        <f t="shared" si="61"/>
        <v>O</v>
      </c>
      <c r="AY203" s="74" t="str">
        <f t="shared" si="61"/>
        <v/>
      </c>
      <c r="AZ203" s="74" t="str">
        <f t="shared" si="55"/>
        <v>O</v>
      </c>
      <c r="BA203" s="74" t="str">
        <f t="shared" si="56"/>
        <v/>
      </c>
      <c r="BB203" s="74" t="str">
        <f t="shared" si="50"/>
        <v/>
      </c>
    </row>
    <row r="204" spans="1:54">
      <c r="A204" s="70">
        <v>2091</v>
      </c>
      <c r="B204" s="124" t="s">
        <v>648</v>
      </c>
      <c r="C204" s="124">
        <v>1390</v>
      </c>
      <c r="D204" s="124" t="s">
        <v>649</v>
      </c>
      <c r="E204" s="124" t="s">
        <v>228</v>
      </c>
      <c r="F204" s="124" t="s">
        <v>331</v>
      </c>
      <c r="G204" s="124" t="s">
        <v>334</v>
      </c>
      <c r="H204" s="124" t="s">
        <v>379</v>
      </c>
      <c r="I204" s="124" t="s">
        <v>352</v>
      </c>
      <c r="J204" s="124">
        <v>24822.143</v>
      </c>
      <c r="K204" s="124">
        <v>2.3285183353116263E-2</v>
      </c>
      <c r="M204" s="70">
        <v>2091</v>
      </c>
      <c r="N204" s="155" t="str">
        <f t="shared" si="41"/>
        <v>R38</v>
      </c>
      <c r="O204" s="137" t="s">
        <v>334</v>
      </c>
      <c r="P204" s="130" t="str">
        <f t="shared" si="42"/>
        <v>Slab</v>
      </c>
      <c r="Q204" s="130" t="str">
        <f t="shared" si="43"/>
        <v>Better</v>
      </c>
      <c r="R204" s="130" t="s">
        <v>378</v>
      </c>
      <c r="S204" s="130" t="str">
        <f t="shared" si="44"/>
        <v>Electric Zonal</v>
      </c>
      <c r="T204" s="130" t="str">
        <f t="shared" si="45"/>
        <v>Existing</v>
      </c>
      <c r="U204" s="156" t="str">
        <f t="shared" si="51"/>
        <v>PTCS</v>
      </c>
      <c r="V204" s="130" t="str">
        <f t="shared" si="52"/>
        <v>Electric ZonalR38R11SlabBetter</v>
      </c>
      <c r="W204" s="130">
        <f t="shared" si="46"/>
        <v>3036</v>
      </c>
      <c r="X204" s="130"/>
      <c r="Y204" s="130">
        <f t="shared" si="47"/>
        <v>1</v>
      </c>
      <c r="Z204" s="130"/>
      <c r="AA204" s="74" t="str">
        <f t="shared" si="57"/>
        <v/>
      </c>
      <c r="AB204" s="74" t="str">
        <f t="shared" si="57"/>
        <v/>
      </c>
      <c r="AC204" s="74" t="str">
        <f t="shared" si="57"/>
        <v/>
      </c>
      <c r="AD204" s="74" t="str">
        <f t="shared" si="57"/>
        <v/>
      </c>
      <c r="AE204" s="74" t="str">
        <f t="shared" si="57"/>
        <v/>
      </c>
      <c r="AF204" s="74" t="str">
        <f t="shared" si="57"/>
        <v/>
      </c>
      <c r="AG204" s="74" t="str">
        <f t="shared" si="57"/>
        <v/>
      </c>
      <c r="AH204" s="74" t="str">
        <f t="shared" si="57"/>
        <v/>
      </c>
      <c r="AI204" s="74" t="str">
        <f t="shared" si="57"/>
        <v>O</v>
      </c>
      <c r="AJ204" s="74" t="str">
        <f t="shared" si="49"/>
        <v/>
      </c>
      <c r="AK204" s="74" t="str">
        <f t="shared" si="58"/>
        <v/>
      </c>
      <c r="AL204" s="74" t="str">
        <f t="shared" si="58"/>
        <v/>
      </c>
      <c r="AM204" s="74" t="str">
        <f t="shared" si="58"/>
        <v/>
      </c>
      <c r="AN204" s="74" t="str">
        <f t="shared" si="59"/>
        <v/>
      </c>
      <c r="AO204" s="74" t="str">
        <f t="shared" si="59"/>
        <v/>
      </c>
      <c r="AP204" s="74" t="str">
        <f t="shared" si="53"/>
        <v/>
      </c>
      <c r="AQ204" s="74" t="str">
        <f t="shared" si="60"/>
        <v/>
      </c>
      <c r="AR204" s="74" t="str">
        <f t="shared" si="60"/>
        <v/>
      </c>
      <c r="AS204" s="74" t="s">
        <v>399</v>
      </c>
      <c r="AT204" s="70" t="s">
        <v>386</v>
      </c>
      <c r="AU204" s="70" t="str">
        <f t="shared" si="54"/>
        <v/>
      </c>
      <c r="AV204" s="74" t="str">
        <f t="shared" si="61"/>
        <v>O</v>
      </c>
      <c r="AW204" s="74" t="str">
        <f t="shared" si="61"/>
        <v/>
      </c>
      <c r="AX204" s="74" t="str">
        <f t="shared" si="61"/>
        <v>O</v>
      </c>
      <c r="AY204" s="74" t="str">
        <f t="shared" si="61"/>
        <v/>
      </c>
      <c r="AZ204" s="74" t="str">
        <f t="shared" si="55"/>
        <v>O</v>
      </c>
      <c r="BA204" s="74" t="str">
        <f t="shared" si="56"/>
        <v/>
      </c>
      <c r="BB204" s="74" t="str">
        <f t="shared" si="50"/>
        <v/>
      </c>
    </row>
    <row r="205" spans="1:54">
      <c r="A205" s="70">
        <v>2092</v>
      </c>
      <c r="B205" s="124" t="s">
        <v>650</v>
      </c>
      <c r="C205" s="124">
        <v>1408</v>
      </c>
      <c r="D205" s="124" t="s">
        <v>651</v>
      </c>
      <c r="E205" s="124" t="s">
        <v>227</v>
      </c>
      <c r="F205" s="124" t="s">
        <v>335</v>
      </c>
      <c r="G205" s="124" t="s">
        <v>334</v>
      </c>
      <c r="H205" s="124" t="s">
        <v>379</v>
      </c>
      <c r="I205" s="124" t="s">
        <v>352</v>
      </c>
      <c r="J205" s="124">
        <v>1904.288</v>
      </c>
      <c r="K205" s="124">
        <v>1.7863765927518451E-3</v>
      </c>
      <c r="M205" s="70">
        <v>2092</v>
      </c>
      <c r="N205" s="155" t="str">
        <f t="shared" si="41"/>
        <v>R38</v>
      </c>
      <c r="O205" s="137" t="s">
        <v>334</v>
      </c>
      <c r="P205" s="130" t="str">
        <f t="shared" si="42"/>
        <v>Slab</v>
      </c>
      <c r="Q205" s="130" t="str">
        <f t="shared" si="43"/>
        <v>Better</v>
      </c>
      <c r="R205" s="130" t="s">
        <v>378</v>
      </c>
      <c r="S205" s="130" t="str">
        <f t="shared" si="44"/>
        <v>Electric FAF</v>
      </c>
      <c r="T205" s="130" t="str">
        <f t="shared" si="45"/>
        <v>Existing</v>
      </c>
      <c r="U205" s="156" t="str">
        <f t="shared" si="51"/>
        <v>PTCS</v>
      </c>
      <c r="V205" s="130" t="str">
        <f t="shared" si="52"/>
        <v>Electric FAFR38R11SlabBetter</v>
      </c>
      <c r="W205" s="130">
        <f t="shared" si="46"/>
        <v>3032</v>
      </c>
      <c r="X205" s="130"/>
      <c r="Y205" s="130">
        <f t="shared" si="47"/>
        <v>3</v>
      </c>
      <c r="Z205" s="130"/>
      <c r="AA205" s="74" t="str">
        <f t="shared" si="57"/>
        <v/>
      </c>
      <c r="AB205" s="74" t="str">
        <f t="shared" si="57"/>
        <v/>
      </c>
      <c r="AC205" s="74" t="str">
        <f t="shared" si="57"/>
        <v/>
      </c>
      <c r="AD205" s="74" t="str">
        <f t="shared" si="57"/>
        <v/>
      </c>
      <c r="AE205" s="74" t="str">
        <f t="shared" si="57"/>
        <v>F</v>
      </c>
      <c r="AF205" s="74" t="str">
        <f t="shared" si="57"/>
        <v>O</v>
      </c>
      <c r="AG205" s="74" t="str">
        <f t="shared" si="57"/>
        <v/>
      </c>
      <c r="AH205" s="74" t="str">
        <f t="shared" si="57"/>
        <v/>
      </c>
      <c r="AI205" s="74" t="str">
        <f t="shared" si="57"/>
        <v/>
      </c>
      <c r="AJ205" s="74" t="str">
        <f t="shared" si="49"/>
        <v/>
      </c>
      <c r="AK205" s="74" t="str">
        <f t="shared" si="58"/>
        <v/>
      </c>
      <c r="AL205" s="74" t="str">
        <f t="shared" si="58"/>
        <v/>
      </c>
      <c r="AM205" s="74" t="str">
        <f t="shared" si="58"/>
        <v/>
      </c>
      <c r="AN205" s="74" t="str">
        <f t="shared" si="59"/>
        <v/>
      </c>
      <c r="AO205" s="74" t="str">
        <f t="shared" si="59"/>
        <v/>
      </c>
      <c r="AP205" s="74" t="str">
        <f t="shared" si="53"/>
        <v/>
      </c>
      <c r="AQ205" s="74" t="str">
        <f t="shared" si="60"/>
        <v/>
      </c>
      <c r="AR205" s="74" t="str">
        <f t="shared" si="60"/>
        <v/>
      </c>
      <c r="AS205" s="74" t="s">
        <v>399</v>
      </c>
      <c r="AT205" s="70" t="s">
        <v>386</v>
      </c>
      <c r="AU205" s="70" t="str">
        <f t="shared" si="54"/>
        <v>O</v>
      </c>
      <c r="AV205" s="74" t="str">
        <f t="shared" si="61"/>
        <v/>
      </c>
      <c r="AW205" s="74" t="str">
        <f t="shared" si="61"/>
        <v>O</v>
      </c>
      <c r="AX205" s="74" t="str">
        <f t="shared" si="61"/>
        <v/>
      </c>
      <c r="AY205" s="74" t="str">
        <f t="shared" si="61"/>
        <v>O</v>
      </c>
      <c r="AZ205" s="74" t="str">
        <f t="shared" si="55"/>
        <v>O</v>
      </c>
      <c r="BA205" s="74" t="str">
        <f t="shared" si="56"/>
        <v>O</v>
      </c>
      <c r="BB205" s="74" t="str">
        <f t="shared" si="50"/>
        <v>F</v>
      </c>
    </row>
    <row r="206" spans="1:54">
      <c r="A206" s="70">
        <v>2093</v>
      </c>
      <c r="B206" s="124" t="s">
        <v>652</v>
      </c>
      <c r="C206" s="124">
        <v>1413</v>
      </c>
      <c r="D206" s="124" t="s">
        <v>653</v>
      </c>
      <c r="E206" s="124" t="s">
        <v>227</v>
      </c>
      <c r="F206" s="124" t="s">
        <v>336</v>
      </c>
      <c r="G206" s="124" t="s">
        <v>334</v>
      </c>
      <c r="H206" s="124" t="s">
        <v>379</v>
      </c>
      <c r="I206" s="124" t="s">
        <v>339</v>
      </c>
      <c r="J206" s="124">
        <v>1904.288</v>
      </c>
      <c r="K206" s="124">
        <v>1.7863765927518451E-3</v>
      </c>
      <c r="M206" s="70">
        <v>2093</v>
      </c>
      <c r="N206" s="155" t="str">
        <f t="shared" si="41"/>
        <v>R30</v>
      </c>
      <c r="O206" s="137" t="s">
        <v>334</v>
      </c>
      <c r="P206" s="130" t="str">
        <f t="shared" si="42"/>
        <v>Slab</v>
      </c>
      <c r="Q206" s="130" t="str">
        <f t="shared" si="43"/>
        <v>u30</v>
      </c>
      <c r="R206" s="130" t="s">
        <v>378</v>
      </c>
      <c r="S206" s="130" t="str">
        <f t="shared" si="44"/>
        <v>Electric FAF</v>
      </c>
      <c r="T206" s="130" t="str">
        <f t="shared" si="45"/>
        <v>Existing</v>
      </c>
      <c r="U206" s="156" t="str">
        <f t="shared" si="51"/>
        <v>PTCS</v>
      </c>
      <c r="V206" s="130" t="str">
        <f t="shared" si="52"/>
        <v>Electric FAFR30R11Slabu30</v>
      </c>
      <c r="W206" s="130">
        <f t="shared" si="46"/>
        <v>3031</v>
      </c>
      <c r="X206" s="130"/>
      <c r="Y206" s="130">
        <f t="shared" si="47"/>
        <v>3</v>
      </c>
      <c r="Z206" s="130"/>
      <c r="AA206" s="74" t="str">
        <f t="shared" si="57"/>
        <v/>
      </c>
      <c r="AB206" s="74" t="str">
        <f t="shared" si="57"/>
        <v/>
      </c>
      <c r="AC206" s="74" t="str">
        <f t="shared" si="57"/>
        <v/>
      </c>
      <c r="AD206" s="74" t="str">
        <f t="shared" si="57"/>
        <v/>
      </c>
      <c r="AE206" s="74" t="str">
        <f t="shared" si="57"/>
        <v/>
      </c>
      <c r="AF206" s="74" t="str">
        <f t="shared" si="57"/>
        <v/>
      </c>
      <c r="AG206" s="74" t="str">
        <f t="shared" si="57"/>
        <v>O</v>
      </c>
      <c r="AH206" s="74" t="str">
        <f t="shared" si="57"/>
        <v>O</v>
      </c>
      <c r="AI206" s="74" t="str">
        <f t="shared" si="57"/>
        <v/>
      </c>
      <c r="AJ206" s="74" t="str">
        <f t="shared" si="49"/>
        <v/>
      </c>
      <c r="AK206" s="74" t="str">
        <f t="shared" si="58"/>
        <v/>
      </c>
      <c r="AL206" s="74" t="str">
        <f t="shared" si="58"/>
        <v/>
      </c>
      <c r="AM206" s="74" t="str">
        <f t="shared" si="58"/>
        <v/>
      </c>
      <c r="AN206" s="74" t="str">
        <f t="shared" si="59"/>
        <v/>
      </c>
      <c r="AO206" s="74" t="str">
        <f t="shared" si="59"/>
        <v>F</v>
      </c>
      <c r="AP206" s="74" t="str">
        <f t="shared" si="53"/>
        <v>O</v>
      </c>
      <c r="AQ206" s="74" t="str">
        <f t="shared" si="60"/>
        <v/>
      </c>
      <c r="AR206" s="74" t="str">
        <f t="shared" si="60"/>
        <v>O</v>
      </c>
      <c r="AS206" s="74" t="s">
        <v>399</v>
      </c>
      <c r="AT206" s="70" t="s">
        <v>386</v>
      </c>
      <c r="AU206" s="70" t="str">
        <f t="shared" si="54"/>
        <v>O</v>
      </c>
      <c r="AV206" s="74" t="str">
        <f t="shared" si="61"/>
        <v/>
      </c>
      <c r="AW206" s="74" t="str">
        <f t="shared" si="61"/>
        <v>O</v>
      </c>
      <c r="AX206" s="74" t="str">
        <f t="shared" si="61"/>
        <v/>
      </c>
      <c r="AY206" s="74" t="str">
        <f t="shared" si="61"/>
        <v>O</v>
      </c>
      <c r="AZ206" s="74" t="str">
        <f t="shared" si="55"/>
        <v>O</v>
      </c>
      <c r="BA206" s="74" t="str">
        <f t="shared" si="56"/>
        <v>O</v>
      </c>
      <c r="BB206" s="74" t="str">
        <f t="shared" si="50"/>
        <v>F</v>
      </c>
    </row>
    <row r="207" spans="1:54">
      <c r="A207" s="70">
        <v>2094</v>
      </c>
      <c r="B207" s="124" t="s">
        <v>654</v>
      </c>
      <c r="C207" s="124">
        <v>1419</v>
      </c>
      <c r="D207" s="124" t="s">
        <v>655</v>
      </c>
      <c r="E207" s="124" t="s">
        <v>227</v>
      </c>
      <c r="F207" s="124" t="s">
        <v>331</v>
      </c>
      <c r="G207" s="124" t="s">
        <v>334</v>
      </c>
      <c r="H207" s="124" t="s">
        <v>379</v>
      </c>
      <c r="I207" s="124" t="s">
        <v>339</v>
      </c>
      <c r="J207" s="124">
        <v>2003.7159999999999</v>
      </c>
      <c r="K207" s="124">
        <v>1.8796481209367257E-3</v>
      </c>
      <c r="M207" s="70">
        <v>2094</v>
      </c>
      <c r="N207" s="155" t="str">
        <f t="shared" si="41"/>
        <v>R38</v>
      </c>
      <c r="O207" s="137" t="s">
        <v>334</v>
      </c>
      <c r="P207" s="130" t="str">
        <f t="shared" si="42"/>
        <v>Slab</v>
      </c>
      <c r="Q207" s="130" t="str">
        <f t="shared" si="43"/>
        <v>u30</v>
      </c>
      <c r="R207" s="130" t="s">
        <v>378</v>
      </c>
      <c r="S207" s="130" t="str">
        <f t="shared" si="44"/>
        <v>Electric FAF</v>
      </c>
      <c r="T207" s="130" t="str">
        <f t="shared" si="45"/>
        <v>Existing</v>
      </c>
      <c r="U207" s="156" t="str">
        <f t="shared" si="51"/>
        <v>PTCS</v>
      </c>
      <c r="V207" s="130" t="str">
        <f t="shared" si="52"/>
        <v>Electric FAFR38R11Slabu30</v>
      </c>
      <c r="W207" s="130">
        <f t="shared" si="46"/>
        <v>3033</v>
      </c>
      <c r="X207" s="130"/>
      <c r="Y207" s="130">
        <f t="shared" si="47"/>
        <v>3</v>
      </c>
      <c r="Z207" s="130"/>
      <c r="AA207" s="74" t="str">
        <f t="shared" si="57"/>
        <v/>
      </c>
      <c r="AB207" s="74" t="str">
        <f t="shared" si="57"/>
        <v/>
      </c>
      <c r="AC207" s="74" t="str">
        <f t="shared" si="57"/>
        <v/>
      </c>
      <c r="AD207" s="74" t="str">
        <f t="shared" si="57"/>
        <v/>
      </c>
      <c r="AE207" s="74" t="str">
        <f t="shared" si="57"/>
        <v/>
      </c>
      <c r="AF207" s="74" t="str">
        <f t="shared" si="57"/>
        <v/>
      </c>
      <c r="AG207" s="74" t="str">
        <f t="shared" si="57"/>
        <v/>
      </c>
      <c r="AH207" s="74" t="str">
        <f t="shared" si="57"/>
        <v/>
      </c>
      <c r="AI207" s="74" t="str">
        <f t="shared" si="57"/>
        <v>O</v>
      </c>
      <c r="AJ207" s="74" t="str">
        <f t="shared" si="49"/>
        <v/>
      </c>
      <c r="AK207" s="74" t="str">
        <f t="shared" si="58"/>
        <v/>
      </c>
      <c r="AL207" s="74" t="str">
        <f t="shared" si="58"/>
        <v/>
      </c>
      <c r="AM207" s="74" t="str">
        <f t="shared" si="58"/>
        <v/>
      </c>
      <c r="AN207" s="74" t="str">
        <f t="shared" si="59"/>
        <v/>
      </c>
      <c r="AO207" s="74" t="str">
        <f t="shared" si="59"/>
        <v>F</v>
      </c>
      <c r="AP207" s="74" t="str">
        <f t="shared" si="53"/>
        <v>O</v>
      </c>
      <c r="AQ207" s="74" t="str">
        <f t="shared" si="60"/>
        <v/>
      </c>
      <c r="AR207" s="74" t="str">
        <f t="shared" si="60"/>
        <v>O</v>
      </c>
      <c r="AS207" s="74" t="s">
        <v>399</v>
      </c>
      <c r="AT207" s="70" t="s">
        <v>386</v>
      </c>
      <c r="AU207" s="70" t="str">
        <f t="shared" si="54"/>
        <v>O</v>
      </c>
      <c r="AV207" s="74" t="str">
        <f t="shared" si="61"/>
        <v/>
      </c>
      <c r="AW207" s="74" t="str">
        <f t="shared" si="61"/>
        <v>O</v>
      </c>
      <c r="AX207" s="74" t="str">
        <f t="shared" si="61"/>
        <v/>
      </c>
      <c r="AY207" s="74" t="str">
        <f t="shared" si="61"/>
        <v>O</v>
      </c>
      <c r="AZ207" s="74" t="str">
        <f t="shared" si="55"/>
        <v>O</v>
      </c>
      <c r="BA207" s="74" t="str">
        <f t="shared" si="56"/>
        <v>O</v>
      </c>
      <c r="BB207" s="74" t="str">
        <f t="shared" si="50"/>
        <v>F</v>
      </c>
    </row>
    <row r="208" spans="1:54">
      <c r="A208" s="70">
        <v>2095</v>
      </c>
      <c r="B208" s="124" t="s">
        <v>656</v>
      </c>
      <c r="C208" s="124">
        <v>1420</v>
      </c>
      <c r="D208" s="124" t="s">
        <v>657</v>
      </c>
      <c r="E208" s="124" t="s">
        <v>227</v>
      </c>
      <c r="F208" s="124" t="s">
        <v>331</v>
      </c>
      <c r="G208" s="124" t="s">
        <v>334</v>
      </c>
      <c r="H208" s="124" t="s">
        <v>379</v>
      </c>
      <c r="I208" s="124" t="s">
        <v>352</v>
      </c>
      <c r="J208" s="124">
        <v>7302.7439999999997</v>
      </c>
      <c r="K208" s="124">
        <v>6.8505661667032395E-3</v>
      </c>
      <c r="M208" s="70">
        <v>2095</v>
      </c>
      <c r="N208" s="155" t="str">
        <f t="shared" si="41"/>
        <v>R38</v>
      </c>
      <c r="O208" s="137" t="s">
        <v>334</v>
      </c>
      <c r="P208" s="130" t="str">
        <f t="shared" si="42"/>
        <v>Slab</v>
      </c>
      <c r="Q208" s="130" t="str">
        <f t="shared" si="43"/>
        <v>Better</v>
      </c>
      <c r="R208" s="130" t="s">
        <v>378</v>
      </c>
      <c r="S208" s="130" t="str">
        <f t="shared" si="44"/>
        <v>Electric FAF</v>
      </c>
      <c r="T208" s="130" t="str">
        <f t="shared" si="45"/>
        <v>Existing</v>
      </c>
      <c r="U208" s="156" t="str">
        <f t="shared" si="51"/>
        <v>PTCS</v>
      </c>
      <c r="V208" s="130" t="str">
        <f t="shared" si="52"/>
        <v>Electric FAFR38R11SlabBetter</v>
      </c>
      <c r="W208" s="130">
        <f t="shared" si="46"/>
        <v>3032</v>
      </c>
      <c r="X208" s="130"/>
      <c r="Y208" s="130">
        <f t="shared" si="47"/>
        <v>2</v>
      </c>
      <c r="Z208" s="130"/>
      <c r="AA208" s="74" t="str">
        <f t="shared" si="57"/>
        <v/>
      </c>
      <c r="AB208" s="74" t="str">
        <f t="shared" si="57"/>
        <v/>
      </c>
      <c r="AC208" s="74" t="str">
        <f t="shared" si="57"/>
        <v/>
      </c>
      <c r="AD208" s="74" t="str">
        <f t="shared" si="57"/>
        <v/>
      </c>
      <c r="AE208" s="74" t="str">
        <f t="shared" si="57"/>
        <v/>
      </c>
      <c r="AF208" s="74" t="str">
        <f t="shared" si="57"/>
        <v/>
      </c>
      <c r="AG208" s="74" t="str">
        <f t="shared" si="57"/>
        <v/>
      </c>
      <c r="AH208" s="74" t="str">
        <f t="shared" si="57"/>
        <v/>
      </c>
      <c r="AI208" s="74" t="str">
        <f t="shared" si="57"/>
        <v>O</v>
      </c>
      <c r="AJ208" s="74" t="str">
        <f t="shared" si="49"/>
        <v/>
      </c>
      <c r="AK208" s="74" t="str">
        <f t="shared" si="58"/>
        <v/>
      </c>
      <c r="AL208" s="74" t="str">
        <f t="shared" si="58"/>
        <v/>
      </c>
      <c r="AM208" s="74" t="str">
        <f t="shared" si="58"/>
        <v/>
      </c>
      <c r="AN208" s="74" t="str">
        <f t="shared" si="59"/>
        <v/>
      </c>
      <c r="AO208" s="74" t="str">
        <f t="shared" si="59"/>
        <v/>
      </c>
      <c r="AP208" s="74" t="str">
        <f t="shared" si="53"/>
        <v/>
      </c>
      <c r="AQ208" s="74" t="str">
        <f t="shared" si="60"/>
        <v/>
      </c>
      <c r="AR208" s="74" t="str">
        <f t="shared" si="60"/>
        <v/>
      </c>
      <c r="AS208" s="74" t="s">
        <v>399</v>
      </c>
      <c r="AT208" s="70" t="s">
        <v>386</v>
      </c>
      <c r="AU208" s="70" t="str">
        <f t="shared" si="54"/>
        <v>O</v>
      </c>
      <c r="AV208" s="74" t="str">
        <f t="shared" si="61"/>
        <v/>
      </c>
      <c r="AW208" s="74" t="str">
        <f t="shared" si="61"/>
        <v>O</v>
      </c>
      <c r="AX208" s="74" t="str">
        <f t="shared" si="61"/>
        <v/>
      </c>
      <c r="AY208" s="74" t="str">
        <f t="shared" si="61"/>
        <v>O</v>
      </c>
      <c r="AZ208" s="74" t="str">
        <f t="shared" si="55"/>
        <v>O</v>
      </c>
      <c r="BA208" s="74" t="str">
        <f t="shared" si="56"/>
        <v>O</v>
      </c>
      <c r="BB208" s="74" t="str">
        <f t="shared" si="50"/>
        <v>F</v>
      </c>
    </row>
    <row r="209" spans="2:54">
      <c r="B209" s="124"/>
      <c r="C209" s="124"/>
      <c r="D209" s="124"/>
      <c r="E209" s="124"/>
      <c r="F209" s="124"/>
      <c r="G209" s="124"/>
      <c r="H209" s="124"/>
      <c r="I209" s="124"/>
      <c r="J209" s="124"/>
      <c r="K209" s="124"/>
      <c r="M209" s="70"/>
      <c r="N209" s="130"/>
      <c r="O209" s="137"/>
      <c r="P209" s="130"/>
      <c r="Q209" s="130"/>
      <c r="R209" s="130"/>
      <c r="S209" s="130"/>
      <c r="T209" s="130"/>
      <c r="U209" s="130"/>
      <c r="V209" s="130"/>
      <c r="W209" s="130"/>
      <c r="X209" s="130"/>
      <c r="Y209" s="130"/>
      <c r="Z209" s="130"/>
      <c r="AA209" s="74"/>
      <c r="AB209" s="74"/>
      <c r="AC209" s="74"/>
      <c r="AD209" s="74"/>
      <c r="AE209" s="74"/>
      <c r="AF209" s="74"/>
      <c r="AG209" s="74"/>
      <c r="AH209" s="74"/>
      <c r="AI209" s="74"/>
      <c r="AJ209" s="74"/>
      <c r="AK209" s="74"/>
      <c r="AL209" s="74"/>
      <c r="AM209" s="74"/>
      <c r="AN209" s="74"/>
      <c r="AO209" s="74"/>
      <c r="AP209" s="74"/>
      <c r="AQ209" s="74"/>
      <c r="AR209" s="74"/>
      <c r="AS209" s="74"/>
      <c r="AV209" s="74"/>
      <c r="AW209" s="74"/>
      <c r="AX209" s="74"/>
      <c r="AY209" s="74"/>
      <c r="AZ209" s="74"/>
      <c r="BA209" s="74"/>
      <c r="BB209" s="74"/>
    </row>
    <row r="210" spans="2:54">
      <c r="B210" s="124"/>
      <c r="C210" s="124"/>
      <c r="D210" s="124"/>
      <c r="E210" s="124"/>
      <c r="F210" s="124"/>
      <c r="G210" s="124"/>
      <c r="H210" s="124"/>
      <c r="I210" s="124"/>
      <c r="J210" s="124"/>
      <c r="K210" s="124"/>
      <c r="M210" s="70"/>
      <c r="N210" s="130"/>
      <c r="O210" s="137"/>
      <c r="P210" s="130"/>
      <c r="Q210" s="130"/>
      <c r="R210" s="130"/>
      <c r="S210" s="130"/>
      <c r="T210" s="130"/>
      <c r="U210" s="130"/>
      <c r="V210" s="130"/>
      <c r="W210" s="130"/>
      <c r="X210" s="130"/>
      <c r="Y210" s="130"/>
      <c r="Z210" s="130"/>
      <c r="AA210" s="74"/>
      <c r="AB210" s="74"/>
      <c r="AC210" s="74"/>
      <c r="AD210" s="74"/>
      <c r="AE210" s="74"/>
      <c r="AF210" s="74"/>
      <c r="AG210" s="74"/>
      <c r="AH210" s="74"/>
      <c r="AI210" s="74"/>
      <c r="AJ210" s="74"/>
      <c r="AK210" s="74"/>
      <c r="AL210" s="74"/>
      <c r="AM210" s="74"/>
      <c r="AN210" s="74"/>
      <c r="AO210" s="74"/>
      <c r="AP210" s="74"/>
      <c r="AQ210" s="74"/>
      <c r="AR210" s="74"/>
      <c r="AS210" s="74"/>
      <c r="AV210" s="74"/>
      <c r="AW210" s="74"/>
      <c r="AX210" s="74"/>
      <c r="AY210" s="74"/>
      <c r="AZ210" s="74"/>
      <c r="BA210" s="74"/>
      <c r="BB210" s="74"/>
    </row>
    <row r="211" spans="2:54">
      <c r="B211" s="124"/>
      <c r="C211" s="124"/>
      <c r="D211" s="124"/>
      <c r="E211" s="124"/>
      <c r="F211" s="124"/>
      <c r="G211" s="124"/>
      <c r="H211" s="124"/>
      <c r="I211" s="124"/>
      <c r="J211" s="124"/>
      <c r="K211" s="124"/>
      <c r="M211" s="70"/>
      <c r="N211" s="130"/>
      <c r="O211" s="137"/>
      <c r="P211" s="130"/>
      <c r="Q211" s="130"/>
      <c r="R211" s="130"/>
      <c r="S211" s="130"/>
      <c r="T211" s="130"/>
      <c r="U211" s="130"/>
      <c r="V211" s="130"/>
      <c r="W211" s="130"/>
      <c r="X211" s="130"/>
      <c r="Y211" s="130"/>
      <c r="Z211" s="130"/>
      <c r="AA211" s="74"/>
      <c r="AB211" s="74"/>
      <c r="AC211" s="74"/>
      <c r="AD211" s="74"/>
      <c r="AE211" s="74"/>
      <c r="AF211" s="74"/>
      <c r="AG211" s="74"/>
      <c r="AH211" s="74"/>
      <c r="AI211" s="74"/>
      <c r="AJ211" s="74"/>
      <c r="AK211" s="74"/>
      <c r="AL211" s="74"/>
      <c r="AM211" s="74"/>
      <c r="AN211" s="74"/>
      <c r="AO211" s="74"/>
      <c r="AP211" s="74"/>
      <c r="AQ211" s="74"/>
      <c r="AR211" s="74"/>
      <c r="AS211" s="74"/>
      <c r="AV211" s="74"/>
      <c r="AW211" s="74"/>
      <c r="AX211" s="74"/>
      <c r="AY211" s="74"/>
      <c r="AZ211" s="74"/>
      <c r="BA211" s="74"/>
      <c r="BB211" s="74"/>
    </row>
    <row r="212" spans="2:54">
      <c r="B212" s="124"/>
      <c r="C212" s="124"/>
      <c r="D212" s="124"/>
      <c r="E212" s="124"/>
      <c r="F212" s="124"/>
      <c r="G212" s="124"/>
      <c r="H212" s="124"/>
      <c r="I212" s="124"/>
      <c r="J212" s="124"/>
      <c r="K212" s="124"/>
      <c r="M212" s="70"/>
      <c r="N212" s="130"/>
      <c r="O212" s="137"/>
      <c r="P212" s="130"/>
      <c r="Q212" s="130"/>
      <c r="R212" s="130"/>
      <c r="S212" s="130"/>
      <c r="T212" s="130"/>
      <c r="U212" s="130"/>
      <c r="V212" s="130"/>
      <c r="W212" s="130"/>
      <c r="X212" s="130"/>
      <c r="Y212" s="130"/>
      <c r="Z212" s="130"/>
      <c r="AA212" s="74"/>
      <c r="AB212" s="74"/>
      <c r="AC212" s="74"/>
      <c r="AD212" s="74"/>
      <c r="AE212" s="74"/>
      <c r="AF212" s="74"/>
      <c r="AG212" s="74"/>
      <c r="AH212" s="74"/>
      <c r="AI212" s="74"/>
      <c r="AJ212" s="74"/>
      <c r="AK212" s="74"/>
      <c r="AL212" s="74"/>
      <c r="AM212" s="74"/>
      <c r="AN212" s="74"/>
      <c r="AO212" s="74"/>
      <c r="AP212" s="74"/>
      <c r="AQ212" s="74"/>
      <c r="AR212" s="74"/>
      <c r="AS212" s="74"/>
      <c r="AV212" s="74"/>
      <c r="AW212" s="74"/>
      <c r="AX212" s="74"/>
      <c r="AY212" s="74"/>
      <c r="AZ212" s="74"/>
      <c r="BA212" s="74"/>
      <c r="BB212" s="74"/>
    </row>
    <row r="213" spans="2:54">
      <c r="B213" s="124"/>
      <c r="C213" s="124"/>
      <c r="D213" s="124"/>
      <c r="E213" s="124"/>
      <c r="F213" s="124"/>
      <c r="G213" s="124"/>
      <c r="H213" s="124"/>
      <c r="I213" s="124"/>
      <c r="J213" s="124"/>
      <c r="K213" s="124"/>
      <c r="M213" s="70"/>
      <c r="N213" s="130"/>
      <c r="O213" s="137"/>
      <c r="P213" s="130"/>
      <c r="Q213" s="130"/>
      <c r="R213" s="130"/>
      <c r="S213" s="130"/>
      <c r="T213" s="130"/>
      <c r="U213" s="130"/>
      <c r="V213" s="130"/>
      <c r="W213" s="130"/>
      <c r="X213" s="130"/>
      <c r="Y213" s="130"/>
      <c r="Z213" s="130"/>
      <c r="AA213" s="74"/>
      <c r="AB213" s="74"/>
      <c r="AC213" s="74"/>
      <c r="AD213" s="74"/>
      <c r="AE213" s="74"/>
      <c r="AF213" s="74"/>
      <c r="AG213" s="74"/>
      <c r="AH213" s="74"/>
      <c r="AI213" s="74"/>
      <c r="AJ213" s="74"/>
      <c r="AK213" s="74"/>
      <c r="AL213" s="74"/>
      <c r="AM213" s="74"/>
      <c r="AN213" s="74"/>
      <c r="AO213" s="74"/>
      <c r="AP213" s="74"/>
      <c r="AQ213" s="74"/>
      <c r="AR213" s="74"/>
      <c r="AS213" s="74"/>
      <c r="AV213" s="74"/>
      <c r="AW213" s="74"/>
      <c r="AX213" s="74"/>
      <c r="AY213" s="74"/>
      <c r="AZ213" s="74"/>
      <c r="BA213" s="74"/>
      <c r="BB213" s="74"/>
    </row>
    <row r="214" spans="2:54">
      <c r="B214" s="124"/>
      <c r="C214" s="124"/>
      <c r="D214" s="124"/>
      <c r="E214" s="124"/>
      <c r="F214" s="124"/>
      <c r="G214" s="124"/>
      <c r="H214" s="124"/>
      <c r="I214" s="124"/>
      <c r="J214" s="124"/>
      <c r="K214" s="124"/>
      <c r="M214" s="70"/>
      <c r="N214" s="130"/>
      <c r="O214" s="137"/>
      <c r="P214" s="130"/>
      <c r="Q214" s="130"/>
      <c r="R214" s="130"/>
      <c r="S214" s="130"/>
      <c r="T214" s="130"/>
      <c r="U214" s="130"/>
      <c r="V214" s="130"/>
      <c r="W214" s="130"/>
      <c r="X214" s="130"/>
      <c r="Y214" s="130"/>
      <c r="Z214" s="130"/>
      <c r="AA214" s="74"/>
      <c r="AB214" s="74"/>
      <c r="AC214" s="74"/>
      <c r="AD214" s="74"/>
      <c r="AE214" s="74"/>
      <c r="AF214" s="74"/>
      <c r="AG214" s="74"/>
      <c r="AH214" s="74"/>
      <c r="AI214" s="74"/>
      <c r="AJ214" s="74"/>
      <c r="AK214" s="74"/>
      <c r="AL214" s="74"/>
      <c r="AM214" s="74"/>
      <c r="AN214" s="74"/>
      <c r="AO214" s="74"/>
      <c r="AP214" s="74"/>
      <c r="AQ214" s="74"/>
      <c r="AR214" s="74"/>
      <c r="AS214" s="74"/>
      <c r="AV214" s="74"/>
      <c r="AW214" s="74"/>
      <c r="AX214" s="74"/>
      <c r="AY214" s="74"/>
      <c r="AZ214" s="74"/>
      <c r="BA214" s="74"/>
      <c r="BB214" s="74"/>
    </row>
    <row r="215" spans="2:54">
      <c r="B215" s="124"/>
      <c r="C215" s="124"/>
      <c r="D215" s="124"/>
      <c r="E215" s="124"/>
      <c r="F215" s="124"/>
      <c r="G215" s="124"/>
      <c r="H215" s="124"/>
      <c r="I215" s="124"/>
      <c r="J215" s="124"/>
      <c r="K215" s="124"/>
      <c r="M215" s="70"/>
      <c r="N215" s="130"/>
      <c r="O215" s="137"/>
      <c r="P215" s="130"/>
      <c r="Q215" s="130"/>
      <c r="R215" s="130"/>
      <c r="S215" s="130"/>
      <c r="T215" s="130"/>
      <c r="U215" s="130"/>
      <c r="V215" s="130"/>
      <c r="W215" s="130"/>
      <c r="X215" s="130"/>
      <c r="Y215" s="130"/>
      <c r="Z215" s="130"/>
      <c r="AA215" s="74"/>
      <c r="AB215" s="74"/>
      <c r="AC215" s="74"/>
      <c r="AD215" s="74"/>
      <c r="AE215" s="74"/>
      <c r="AF215" s="74"/>
      <c r="AG215" s="74"/>
      <c r="AH215" s="74"/>
      <c r="AI215" s="74"/>
      <c r="AJ215" s="74"/>
      <c r="AK215" s="74"/>
      <c r="AL215" s="74"/>
      <c r="AM215" s="74"/>
      <c r="AN215" s="74"/>
      <c r="AO215" s="74"/>
      <c r="AP215" s="74"/>
      <c r="AQ215" s="74"/>
      <c r="AR215" s="74"/>
      <c r="AS215" s="74"/>
      <c r="AV215" s="74"/>
      <c r="AW215" s="74"/>
      <c r="AX215" s="74"/>
      <c r="AY215" s="74"/>
      <c r="AZ215" s="74"/>
      <c r="BA215" s="74"/>
      <c r="BB215" s="74"/>
    </row>
    <row r="216" spans="2:54">
      <c r="B216" s="124"/>
      <c r="C216" s="124"/>
      <c r="D216" s="124"/>
      <c r="E216" s="124"/>
      <c r="F216" s="124"/>
      <c r="G216" s="124"/>
      <c r="H216" s="124"/>
      <c r="I216" s="124"/>
      <c r="J216" s="124"/>
      <c r="K216" s="124"/>
      <c r="M216" s="70"/>
      <c r="N216" s="130"/>
      <c r="O216" s="137"/>
      <c r="P216" s="130"/>
      <c r="Q216" s="130"/>
      <c r="R216" s="130"/>
      <c r="S216" s="130"/>
      <c r="T216" s="130"/>
      <c r="U216" s="130"/>
      <c r="V216" s="130"/>
      <c r="W216" s="130"/>
      <c r="X216" s="130"/>
      <c r="Y216" s="130"/>
      <c r="Z216" s="130"/>
      <c r="AA216" s="74"/>
      <c r="AB216" s="74"/>
      <c r="AC216" s="74"/>
      <c r="AD216" s="74"/>
      <c r="AE216" s="74"/>
      <c r="AF216" s="74"/>
      <c r="AG216" s="74"/>
      <c r="AH216" s="74"/>
      <c r="AI216" s="74"/>
      <c r="AJ216" s="74"/>
      <c r="AK216" s="74"/>
      <c r="AL216" s="74"/>
      <c r="AM216" s="74"/>
      <c r="AN216" s="74"/>
      <c r="AO216" s="74"/>
      <c r="AP216" s="74"/>
      <c r="AQ216" s="74"/>
      <c r="AR216" s="74"/>
      <c r="AS216" s="74"/>
      <c r="AV216" s="74"/>
      <c r="AW216" s="74"/>
      <c r="AX216" s="74"/>
      <c r="AY216" s="74"/>
      <c r="AZ216" s="74"/>
      <c r="BA216" s="74"/>
      <c r="BB216" s="74"/>
    </row>
    <row r="217" spans="2:54">
      <c r="B217" s="124"/>
      <c r="C217" s="124"/>
      <c r="D217" s="124"/>
      <c r="E217" s="124"/>
      <c r="F217" s="124"/>
      <c r="G217" s="124"/>
      <c r="H217" s="124"/>
      <c r="I217" s="124"/>
      <c r="J217" s="124"/>
      <c r="K217" s="124"/>
      <c r="M217" s="70"/>
      <c r="N217" s="130"/>
      <c r="O217" s="137"/>
      <c r="P217" s="130"/>
      <c r="Q217" s="130"/>
      <c r="R217" s="130"/>
      <c r="S217" s="130"/>
      <c r="T217" s="130"/>
      <c r="U217" s="130"/>
      <c r="V217" s="130"/>
      <c r="W217" s="130"/>
      <c r="X217" s="130"/>
      <c r="Y217" s="130"/>
      <c r="Z217" s="130"/>
      <c r="AA217" s="74"/>
      <c r="AB217" s="74"/>
      <c r="AC217" s="74"/>
      <c r="AD217" s="74"/>
      <c r="AE217" s="74"/>
      <c r="AF217" s="74"/>
      <c r="AG217" s="74"/>
      <c r="AH217" s="74"/>
      <c r="AI217" s="74"/>
      <c r="AJ217" s="74"/>
      <c r="AK217" s="74"/>
      <c r="AL217" s="74"/>
      <c r="AM217" s="74"/>
      <c r="AN217" s="74"/>
      <c r="AO217" s="74"/>
      <c r="AP217" s="74"/>
      <c r="AQ217" s="74"/>
      <c r="AR217" s="74"/>
      <c r="AS217" s="74"/>
      <c r="AV217" s="74"/>
      <c r="AW217" s="74"/>
      <c r="AX217" s="74"/>
      <c r="AY217" s="74"/>
      <c r="AZ217" s="74"/>
      <c r="BA217" s="74"/>
      <c r="BB217" s="74"/>
    </row>
    <row r="218" spans="2:54">
      <c r="B218" s="124"/>
      <c r="C218" s="124"/>
      <c r="D218" s="124"/>
      <c r="E218" s="124"/>
      <c r="F218" s="124"/>
      <c r="G218" s="124"/>
      <c r="H218" s="124"/>
      <c r="I218" s="124"/>
      <c r="J218" s="124"/>
      <c r="K218" s="124"/>
      <c r="M218" s="70"/>
      <c r="N218" s="130"/>
      <c r="O218" s="137"/>
      <c r="P218" s="130"/>
      <c r="Q218" s="130"/>
      <c r="R218" s="130"/>
      <c r="S218" s="130"/>
      <c r="T218" s="130"/>
      <c r="U218" s="130"/>
      <c r="V218" s="130"/>
      <c r="W218" s="130"/>
      <c r="X218" s="130"/>
      <c r="Y218" s="130"/>
      <c r="Z218" s="130"/>
      <c r="AA218" s="74"/>
      <c r="AB218" s="74"/>
      <c r="AC218" s="74"/>
      <c r="AD218" s="74"/>
      <c r="AE218" s="74"/>
      <c r="AF218" s="74"/>
      <c r="AG218" s="74"/>
      <c r="AH218" s="74"/>
      <c r="AI218" s="74"/>
      <c r="AJ218" s="74"/>
      <c r="AK218" s="74"/>
      <c r="AL218" s="74"/>
      <c r="AM218" s="74"/>
      <c r="AN218" s="74"/>
      <c r="AO218" s="74"/>
      <c r="AP218" s="74"/>
      <c r="AQ218" s="74"/>
      <c r="AR218" s="74"/>
      <c r="AS218" s="74"/>
      <c r="AV218" s="74"/>
      <c r="AW218" s="74"/>
      <c r="AX218" s="74"/>
      <c r="AY218" s="74"/>
      <c r="AZ218" s="74"/>
      <c r="BA218" s="74"/>
      <c r="BB218" s="74"/>
    </row>
    <row r="219" spans="2:54">
      <c r="B219" s="124"/>
      <c r="C219" s="124"/>
      <c r="D219" s="124"/>
      <c r="E219" s="124"/>
      <c r="F219" s="124"/>
      <c r="G219" s="124"/>
      <c r="H219" s="124"/>
      <c r="I219" s="124"/>
      <c r="J219" s="124"/>
      <c r="K219" s="124"/>
      <c r="M219" s="70"/>
      <c r="N219" s="130"/>
      <c r="O219" s="137"/>
      <c r="P219" s="130"/>
      <c r="Q219" s="130"/>
      <c r="R219" s="130"/>
      <c r="S219" s="130"/>
      <c r="T219" s="130"/>
      <c r="U219" s="130"/>
      <c r="V219" s="130"/>
      <c r="W219" s="130"/>
      <c r="X219" s="130"/>
      <c r="Y219" s="130"/>
      <c r="Z219" s="130"/>
      <c r="AA219" s="74"/>
      <c r="AB219" s="74"/>
      <c r="AC219" s="74"/>
      <c r="AD219" s="74"/>
      <c r="AE219" s="74"/>
      <c r="AF219" s="74"/>
      <c r="AG219" s="74"/>
      <c r="AH219" s="74"/>
      <c r="AI219" s="74"/>
      <c r="AJ219" s="74"/>
      <c r="AK219" s="74"/>
      <c r="AL219" s="74"/>
      <c r="AM219" s="74"/>
      <c r="AN219" s="74"/>
      <c r="AO219" s="74"/>
      <c r="AP219" s="74"/>
      <c r="AQ219" s="74"/>
      <c r="AR219" s="74"/>
      <c r="AS219" s="74"/>
      <c r="AV219" s="74"/>
      <c r="AW219" s="74"/>
      <c r="AX219" s="74"/>
      <c r="AY219" s="74"/>
      <c r="AZ219" s="74"/>
      <c r="BA219" s="74"/>
      <c r="BB219" s="74"/>
    </row>
    <row r="220" spans="2:54">
      <c r="B220" s="124"/>
      <c r="C220" s="124"/>
      <c r="D220" s="124"/>
      <c r="E220" s="124"/>
      <c r="F220" s="124"/>
      <c r="G220" s="124"/>
      <c r="H220" s="124"/>
      <c r="I220" s="124"/>
      <c r="J220" s="124"/>
      <c r="K220" s="124"/>
      <c r="M220" s="70"/>
      <c r="N220" s="130"/>
      <c r="O220" s="137"/>
      <c r="P220" s="130"/>
      <c r="Q220" s="130"/>
      <c r="R220" s="130"/>
      <c r="S220" s="130"/>
      <c r="T220" s="130"/>
      <c r="U220" s="130"/>
      <c r="V220" s="130"/>
      <c r="W220" s="130"/>
      <c r="X220" s="130"/>
      <c r="Y220" s="130"/>
      <c r="Z220" s="130"/>
      <c r="AA220" s="74"/>
      <c r="AB220" s="74"/>
      <c r="AC220" s="74"/>
      <c r="AD220" s="74"/>
      <c r="AE220" s="74"/>
      <c r="AF220" s="74"/>
      <c r="AG220" s="74"/>
      <c r="AH220" s="74"/>
      <c r="AI220" s="74"/>
      <c r="AJ220" s="74"/>
      <c r="AK220" s="74"/>
      <c r="AL220" s="74"/>
      <c r="AM220" s="74"/>
      <c r="AN220" s="74"/>
      <c r="AO220" s="74"/>
      <c r="AP220" s="74"/>
      <c r="AQ220" s="74"/>
      <c r="AR220" s="74"/>
      <c r="AS220" s="74"/>
      <c r="AV220" s="74"/>
      <c r="AW220" s="74"/>
      <c r="AX220" s="74"/>
      <c r="AY220" s="74"/>
      <c r="AZ220" s="74"/>
      <c r="BA220" s="74"/>
      <c r="BB220" s="74"/>
    </row>
    <row r="221" spans="2:54">
      <c r="B221" s="124"/>
      <c r="C221" s="124"/>
      <c r="D221" s="124"/>
      <c r="E221" s="124"/>
      <c r="F221" s="124"/>
      <c r="G221" s="124"/>
      <c r="H221" s="124"/>
      <c r="I221" s="124"/>
      <c r="J221" s="124"/>
      <c r="K221" s="124"/>
      <c r="M221" s="70"/>
      <c r="N221" s="130"/>
      <c r="O221" s="137"/>
      <c r="P221" s="130"/>
      <c r="Q221" s="130"/>
      <c r="R221" s="130"/>
      <c r="S221" s="130"/>
      <c r="T221" s="130"/>
      <c r="U221" s="130"/>
      <c r="V221" s="130"/>
      <c r="W221" s="130"/>
      <c r="X221" s="130"/>
      <c r="Y221" s="130"/>
      <c r="Z221" s="130"/>
      <c r="AA221" s="74"/>
      <c r="AB221" s="74"/>
      <c r="AC221" s="74"/>
      <c r="AD221" s="74"/>
      <c r="AE221" s="74"/>
      <c r="AF221" s="74"/>
      <c r="AG221" s="74"/>
      <c r="AH221" s="74"/>
      <c r="AI221" s="74"/>
      <c r="AJ221" s="74"/>
      <c r="AK221" s="74"/>
      <c r="AL221" s="74"/>
      <c r="AM221" s="74"/>
      <c r="AN221" s="74"/>
      <c r="AO221" s="74"/>
      <c r="AP221" s="74"/>
      <c r="AQ221" s="74"/>
      <c r="AR221" s="74"/>
      <c r="AS221" s="74"/>
      <c r="AV221" s="74"/>
      <c r="AW221" s="74"/>
      <c r="AX221" s="74"/>
      <c r="AY221" s="74"/>
      <c r="AZ221" s="74"/>
      <c r="BA221" s="74"/>
      <c r="BB221" s="74"/>
    </row>
    <row r="222" spans="2:54">
      <c r="B222" s="124"/>
      <c r="C222" s="124"/>
      <c r="D222" s="124"/>
      <c r="E222" s="124"/>
      <c r="F222" s="124"/>
      <c r="G222" s="124"/>
      <c r="H222" s="124"/>
      <c r="I222" s="124"/>
      <c r="J222" s="124"/>
      <c r="K222" s="124"/>
      <c r="M222" s="70"/>
      <c r="N222" s="130"/>
      <c r="O222" s="137"/>
      <c r="P222" s="130"/>
      <c r="Q222" s="130"/>
      <c r="R222" s="130"/>
      <c r="S222" s="130"/>
      <c r="T222" s="130"/>
      <c r="U222" s="130"/>
      <c r="V222" s="130"/>
      <c r="W222" s="130"/>
      <c r="X222" s="130"/>
      <c r="Y222" s="130"/>
      <c r="Z222" s="130"/>
      <c r="AA222" s="74"/>
      <c r="AB222" s="74"/>
      <c r="AC222" s="74"/>
      <c r="AD222" s="74"/>
      <c r="AE222" s="74"/>
      <c r="AF222" s="74"/>
      <c r="AG222" s="74"/>
      <c r="AH222" s="74"/>
      <c r="AI222" s="74"/>
      <c r="AJ222" s="74"/>
      <c r="AK222" s="74"/>
      <c r="AL222" s="74"/>
      <c r="AM222" s="74"/>
      <c r="AN222" s="74"/>
      <c r="AO222" s="74"/>
      <c r="AP222" s="74"/>
      <c r="AQ222" s="74"/>
      <c r="AR222" s="74"/>
      <c r="AS222" s="74"/>
      <c r="AV222" s="74"/>
      <c r="AW222" s="74"/>
      <c r="AX222" s="74"/>
      <c r="AY222" s="74"/>
      <c r="AZ222" s="74"/>
      <c r="BA222" s="74"/>
      <c r="BB222" s="74"/>
    </row>
    <row r="223" spans="2:54">
      <c r="B223" s="124"/>
      <c r="C223" s="124"/>
      <c r="D223" s="124"/>
      <c r="E223" s="124"/>
      <c r="F223" s="124"/>
      <c r="G223" s="124"/>
      <c r="H223" s="124"/>
      <c r="I223" s="124"/>
      <c r="J223" s="124"/>
      <c r="K223" s="124"/>
      <c r="M223" s="70"/>
      <c r="N223" s="130"/>
      <c r="O223" s="137"/>
      <c r="P223" s="130"/>
      <c r="Q223" s="130"/>
      <c r="R223" s="130"/>
      <c r="S223" s="130"/>
      <c r="T223" s="130"/>
      <c r="U223" s="130"/>
      <c r="V223" s="130"/>
      <c r="W223" s="130"/>
      <c r="X223" s="130"/>
      <c r="Y223" s="130"/>
      <c r="Z223" s="130"/>
      <c r="AA223" s="74"/>
      <c r="AB223" s="74"/>
      <c r="AC223" s="74"/>
      <c r="AD223" s="74"/>
      <c r="AE223" s="74"/>
      <c r="AF223" s="74"/>
      <c r="AG223" s="74"/>
      <c r="AH223" s="74"/>
      <c r="AI223" s="74"/>
      <c r="AJ223" s="74"/>
      <c r="AK223" s="74"/>
      <c r="AL223" s="74"/>
      <c r="AM223" s="74"/>
      <c r="AN223" s="74"/>
      <c r="AO223" s="74"/>
      <c r="AP223" s="74"/>
      <c r="AQ223" s="74"/>
      <c r="AR223" s="74"/>
      <c r="AS223" s="74"/>
      <c r="AV223" s="74"/>
      <c r="AW223" s="74"/>
      <c r="AX223" s="74"/>
      <c r="AY223" s="74"/>
      <c r="AZ223" s="74"/>
      <c r="BA223" s="74"/>
      <c r="BB223" s="74"/>
    </row>
    <row r="224" spans="2:54">
      <c r="B224" s="124"/>
      <c r="C224" s="124"/>
      <c r="D224" s="124"/>
      <c r="E224" s="124"/>
      <c r="F224" s="124"/>
      <c r="G224" s="124"/>
      <c r="H224" s="124"/>
      <c r="I224" s="124"/>
      <c r="J224" s="124"/>
      <c r="K224" s="124"/>
      <c r="M224" s="70"/>
      <c r="N224" s="130"/>
      <c r="O224" s="137"/>
      <c r="P224" s="130"/>
      <c r="Q224" s="130"/>
      <c r="R224" s="130"/>
      <c r="S224" s="130"/>
      <c r="T224" s="130"/>
      <c r="U224" s="130"/>
      <c r="V224" s="130"/>
      <c r="W224" s="130"/>
      <c r="X224" s="130"/>
      <c r="Y224" s="130"/>
      <c r="Z224" s="130"/>
      <c r="AA224" s="74"/>
      <c r="AB224" s="74"/>
      <c r="AC224" s="74"/>
      <c r="AD224" s="74"/>
      <c r="AE224" s="74"/>
      <c r="AF224" s="74"/>
      <c r="AG224" s="74"/>
      <c r="AH224" s="74"/>
      <c r="AI224" s="74"/>
      <c r="AJ224" s="74"/>
      <c r="AK224" s="74"/>
      <c r="AL224" s="74"/>
      <c r="AM224" s="74"/>
      <c r="AN224" s="74"/>
      <c r="AO224" s="74"/>
      <c r="AP224" s="74"/>
      <c r="AQ224" s="74"/>
      <c r="AR224" s="74"/>
      <c r="AS224" s="74"/>
      <c r="AV224" s="74"/>
      <c r="AW224" s="74"/>
      <c r="AX224" s="74"/>
      <c r="AY224" s="74"/>
      <c r="AZ224" s="74"/>
      <c r="BA224" s="74"/>
      <c r="BB224" s="74"/>
    </row>
    <row r="225" spans="1:54">
      <c r="B225" s="124"/>
      <c r="C225" s="124"/>
      <c r="D225" s="124"/>
      <c r="E225" s="124"/>
      <c r="F225" s="124"/>
      <c r="G225" s="124"/>
      <c r="H225" s="124"/>
      <c r="I225" s="124"/>
      <c r="J225" s="124"/>
      <c r="K225" s="124"/>
      <c r="M225" s="70"/>
      <c r="N225" s="130"/>
      <c r="O225" s="137"/>
      <c r="P225" s="130"/>
      <c r="Q225" s="130"/>
      <c r="R225" s="130"/>
      <c r="S225" s="130"/>
      <c r="T225" s="130"/>
      <c r="U225" s="130"/>
      <c r="V225" s="130"/>
      <c r="W225" s="130"/>
      <c r="X225" s="130"/>
      <c r="Y225" s="130"/>
      <c r="Z225" s="130"/>
      <c r="AA225" s="74"/>
      <c r="AB225" s="74"/>
      <c r="AC225" s="74"/>
      <c r="AD225" s="74"/>
      <c r="AE225" s="74"/>
      <c r="AF225" s="74"/>
      <c r="AG225" s="74"/>
      <c r="AH225" s="74"/>
      <c r="AI225" s="74"/>
      <c r="AJ225" s="74"/>
      <c r="AK225" s="74"/>
      <c r="AL225" s="74"/>
      <c r="AM225" s="74"/>
      <c r="AN225" s="74"/>
      <c r="AO225" s="74"/>
      <c r="AP225" s="74"/>
      <c r="AQ225" s="74"/>
      <c r="AR225" s="74"/>
      <c r="AS225" s="74"/>
      <c r="AV225" s="74"/>
      <c r="AW225" s="74"/>
      <c r="AX225" s="74"/>
      <c r="AY225" s="74"/>
      <c r="AZ225" s="74"/>
      <c r="BA225" s="74"/>
      <c r="BB225" s="74"/>
    </row>
    <row r="226" spans="1:54">
      <c r="M226" s="70"/>
      <c r="AF226" s="70"/>
      <c r="AM226" s="70"/>
    </row>
    <row r="227" spans="1:54">
      <c r="M227" s="70"/>
      <c r="AF227" s="70"/>
      <c r="AM227" s="70"/>
    </row>
    <row r="228" spans="1:54">
      <c r="M228" s="70"/>
      <c r="AF228" s="70"/>
      <c r="AM228" s="70"/>
    </row>
    <row r="229" spans="1:54">
      <c r="M229" s="70"/>
      <c r="AF229" s="70"/>
      <c r="AM229" s="70"/>
    </row>
    <row r="230" spans="1:54">
      <c r="M230" s="70"/>
      <c r="AF230" s="70"/>
      <c r="AM230" s="70"/>
    </row>
    <row r="231" spans="1:54" s="116" customFormat="1"/>
    <row r="232" spans="1:54">
      <c r="M232" s="70"/>
      <c r="AF232" s="70"/>
      <c r="AM232" s="70"/>
    </row>
    <row r="233" spans="1:54">
      <c r="M233" s="70"/>
      <c r="AF233" s="70"/>
      <c r="AM233" s="70"/>
    </row>
    <row r="234" spans="1:54">
      <c r="D234" s="70" t="s">
        <v>658</v>
      </c>
      <c r="M234" s="70"/>
      <c r="AF234" s="70"/>
      <c r="AM234" s="70"/>
    </row>
    <row r="235" spans="1:54" ht="15" customHeight="1">
      <c r="A235" s="423" t="s">
        <v>374</v>
      </c>
      <c r="B235" s="157" t="s">
        <v>228</v>
      </c>
      <c r="C235" s="158">
        <f>SUMIFS($I$265:$I$714,$C$265:$C$714,B235)</f>
        <v>0.38688985426044165</v>
      </c>
      <c r="D235" s="159"/>
      <c r="M235" s="70"/>
      <c r="AF235" s="70"/>
      <c r="AM235" s="70"/>
    </row>
    <row r="236" spans="1:54">
      <c r="A236" s="424"/>
      <c r="B236" s="131" t="s">
        <v>227</v>
      </c>
      <c r="C236" s="160">
        <f>SUMIFS($I$265:$I$714,$C$265:$C$714,B236)</f>
        <v>0.18466524594971129</v>
      </c>
      <c r="D236" s="161"/>
      <c r="M236" s="70"/>
      <c r="AF236" s="70"/>
      <c r="AM236" s="70"/>
    </row>
    <row r="237" spans="1:54">
      <c r="A237" s="425"/>
      <c r="B237" s="162" t="s">
        <v>229</v>
      </c>
      <c r="C237" s="163">
        <f>SUMIFS($I$265:$I$714,$C$265:$C$714,B237)</f>
        <v>0.42844489978984712</v>
      </c>
      <c r="D237" s="164"/>
      <c r="M237" s="70"/>
      <c r="AF237" s="70"/>
      <c r="AM237" s="70"/>
    </row>
    <row r="238" spans="1:54">
      <c r="A238" s="416" t="s">
        <v>57</v>
      </c>
      <c r="B238" s="131" t="s">
        <v>329</v>
      </c>
      <c r="C238" s="160">
        <f t="shared" ref="C238:C243" si="62">SUMIFS($I$265:$I$714,$D$265:$D$714,B238)</f>
        <v>9.4176367448590523E-2</v>
      </c>
      <c r="D238" s="161">
        <f t="shared" ref="D238:D243" si="63">AVERAGEIFS($E$755:$E$1283,$J$755:$J$1283,"keep",$K$755:$K$1283,B238)</f>
        <v>0.22891469422197352</v>
      </c>
      <c r="E238" s="165">
        <f>1/D238</f>
        <v>4.3684395333325439</v>
      </c>
      <c r="M238" s="70"/>
      <c r="AF238" s="70"/>
      <c r="AM238" s="70"/>
    </row>
    <row r="239" spans="1:54">
      <c r="A239" s="417"/>
      <c r="B239" s="131" t="s">
        <v>334</v>
      </c>
      <c r="C239" s="160">
        <f>SUMIFS($I$265:$I$714,$D$265:$D$714,B239)</f>
        <v>0.14254095967218691</v>
      </c>
      <c r="D239" s="161">
        <f t="shared" si="63"/>
        <v>0.10589675525414839</v>
      </c>
      <c r="E239" s="165">
        <f t="shared" ref="E239:E243" si="64">1/D239</f>
        <v>9.4431599684054159</v>
      </c>
      <c r="M239" s="70"/>
      <c r="AF239" s="70"/>
      <c r="AM239" s="70"/>
    </row>
    <row r="240" spans="1:54">
      <c r="A240" s="417"/>
      <c r="B240" s="131" t="s">
        <v>335</v>
      </c>
      <c r="C240" s="160">
        <f t="shared" si="62"/>
        <v>0.17640935924007034</v>
      </c>
      <c r="D240" s="161">
        <f t="shared" si="63"/>
        <v>7.4608957598450085E-2</v>
      </c>
      <c r="E240" s="165">
        <f t="shared" si="64"/>
        <v>13.403216345442868</v>
      </c>
      <c r="M240" s="70"/>
      <c r="AF240" s="70"/>
      <c r="AM240" s="70"/>
    </row>
    <row r="241" spans="1:39">
      <c r="A241" s="417"/>
      <c r="B241" s="131" t="s">
        <v>336</v>
      </c>
      <c r="C241" s="160">
        <f t="shared" si="62"/>
        <v>0.14507909570148381</v>
      </c>
      <c r="D241" s="161">
        <f t="shared" si="63"/>
        <v>4.70263965238336E-2</v>
      </c>
      <c r="E241" s="165">
        <f t="shared" si="64"/>
        <v>21.264652916648352</v>
      </c>
      <c r="M241" s="70"/>
      <c r="AF241" s="70"/>
      <c r="AM241" s="70"/>
    </row>
    <row r="242" spans="1:39">
      <c r="A242" s="417"/>
      <c r="B242" s="131" t="s">
        <v>331</v>
      </c>
      <c r="C242" s="160">
        <f t="shared" si="62"/>
        <v>0.44179421793766854</v>
      </c>
      <c r="D242" s="161">
        <f t="shared" si="63"/>
        <v>2.6731667912770634E-2</v>
      </c>
      <c r="E242" s="165">
        <f t="shared" si="64"/>
        <v>37.408814267151122</v>
      </c>
      <c r="M242" s="70"/>
      <c r="AF242" s="70"/>
      <c r="AM242" s="70"/>
    </row>
    <row r="243" spans="1:39">
      <c r="A243" s="418"/>
      <c r="B243" s="166" t="s">
        <v>352</v>
      </c>
      <c r="C243" s="160">
        <f t="shared" si="62"/>
        <v>0</v>
      </c>
      <c r="D243" s="161" t="e">
        <f t="shared" si="63"/>
        <v>#DIV/0!</v>
      </c>
      <c r="E243" s="165" t="e">
        <f t="shared" si="64"/>
        <v>#DIV/0!</v>
      </c>
      <c r="M243" s="70"/>
      <c r="AF243" s="70"/>
      <c r="AM243" s="70"/>
    </row>
    <row r="244" spans="1:39">
      <c r="A244" s="423" t="s">
        <v>63</v>
      </c>
      <c r="B244" s="157" t="s">
        <v>329</v>
      </c>
      <c r="C244" s="158">
        <f>SUMIFS($I$265:$I$714,$E$265:$E$714,B244)</f>
        <v>8.46755457988283E-2</v>
      </c>
      <c r="D244" s="159">
        <f>AVERAGEIFS($G$755:$G$1283,$J$755:$J$1283,"keep",$L$755:$L$1283,B244)</f>
        <v>0.23218053654857784</v>
      </c>
      <c r="M244" s="70"/>
      <c r="AF244" s="70"/>
      <c r="AM244" s="70"/>
    </row>
    <row r="245" spans="1:39">
      <c r="A245" s="425"/>
      <c r="B245" s="162" t="s">
        <v>352</v>
      </c>
      <c r="C245" s="163">
        <f>SUMIFS($I$265:$I$714,$E$265:$E$714,B245)</f>
        <v>0</v>
      </c>
      <c r="D245" s="164" t="e">
        <f>AVERAGEIFS($G$755:$G$1283,$J$755:$J$1283,"keep",$L$755:$L$1283,B245)</f>
        <v>#DIV/0!</v>
      </c>
      <c r="E245" s="165"/>
      <c r="M245" s="70"/>
      <c r="AF245" s="70"/>
      <c r="AM245" s="70"/>
    </row>
    <row r="246" spans="1:39">
      <c r="A246" s="423" t="s">
        <v>56</v>
      </c>
      <c r="B246" s="131" t="s">
        <v>329</v>
      </c>
      <c r="C246" s="160">
        <f>SUMIFS($I$265:$I$714,$F$265:$F$714,B246)</f>
        <v>0.22945970598641344</v>
      </c>
      <c r="D246" s="161">
        <f>AVERAGEIFS($H$755:$H$1283,$J$755:$J$1283,"keep",$M$755:$M$1283,B246)</f>
        <v>0.17273039609302324</v>
      </c>
      <c r="M246" s="70"/>
      <c r="AF246" s="70"/>
      <c r="AM246" s="70"/>
    </row>
    <row r="247" spans="1:39">
      <c r="A247" s="424"/>
      <c r="B247" s="131" t="s">
        <v>335</v>
      </c>
      <c r="C247" s="160">
        <f>SUMIFS($I$265:$I$714,$F$265:$F$714,B247)</f>
        <v>0.13691703961636678</v>
      </c>
      <c r="D247" s="161">
        <f>AVERAGEIFS($H$755:$H$1283,$J$755:$J$1283,"keep",$M$755:$M$1283,B247)</f>
        <v>6.2619027823529072E-2</v>
      </c>
      <c r="M247" s="70"/>
      <c r="AF247" s="70"/>
      <c r="AM247" s="70"/>
    </row>
    <row r="248" spans="1:39">
      <c r="A248" s="424"/>
      <c r="B248" s="166" t="s">
        <v>352</v>
      </c>
      <c r="C248" s="160">
        <f>SUMIFS($I$265:$I$714,$F$265:$F$714,B248)</f>
        <v>0.31551812779964267</v>
      </c>
      <c r="D248" s="161">
        <f>AVERAGEIFS($H$755:$H$1283,$J$755:$J$1283,"keep",$M$755:$M$1283,B248)</f>
        <v>3.8400000751018522E-2</v>
      </c>
      <c r="M248" s="70"/>
      <c r="AF248" s="70"/>
      <c r="AM248" s="70"/>
    </row>
    <row r="249" spans="1:39">
      <c r="A249" s="424"/>
      <c r="B249" s="130" t="s">
        <v>379</v>
      </c>
      <c r="C249" s="160">
        <f>SUMIFS($I$265:$I$714,$F$265:$F$714,B249)</f>
        <v>0.10982701243136733</v>
      </c>
      <c r="D249" s="161"/>
      <c r="M249" s="70"/>
      <c r="AF249" s="70"/>
      <c r="AM249" s="70"/>
    </row>
    <row r="250" spans="1:39">
      <c r="A250" s="425"/>
      <c r="B250" s="130" t="s">
        <v>377</v>
      </c>
      <c r="C250" s="160">
        <f>SUMIFS($I$265:$I$714,$F$265:$F$714,B250)</f>
        <v>0.20827811416620981</v>
      </c>
      <c r="D250" s="161"/>
      <c r="M250" s="70"/>
      <c r="AF250" s="70"/>
      <c r="AM250" s="70"/>
    </row>
    <row r="251" spans="1:39">
      <c r="A251" s="423" t="s">
        <v>58</v>
      </c>
      <c r="B251" s="157" t="s">
        <v>355</v>
      </c>
      <c r="C251" s="158">
        <f>SUMIFS($I$265:$I$714,$G$265:$G$714,B251)</f>
        <v>1.9701201336776462E-2</v>
      </c>
      <c r="D251" s="159">
        <f>AVERAGEIFS($F$755:$F$1283,$J$755:$J$1283,"keep",$N$755:$N$1283,B251)</f>
        <v>1.1000000238418579</v>
      </c>
      <c r="M251" s="70"/>
      <c r="AF251" s="70"/>
      <c r="AM251" s="70"/>
    </row>
    <row r="252" spans="1:39">
      <c r="A252" s="424"/>
      <c r="B252" s="131" t="s">
        <v>339</v>
      </c>
      <c r="C252" s="160">
        <f>SUMIFS($I$265:$I$714,$G$265:$G$714,B252)</f>
        <v>0.15776552258823465</v>
      </c>
      <c r="D252" s="161">
        <f>AVERAGEIFS($F$755:$F$1283,$J$755:$J$1283,"keep",$N$755:$N$1283,B252)</f>
        <v>0.87246205825953882</v>
      </c>
      <c r="M252" s="70"/>
      <c r="AF252" s="70"/>
      <c r="AM252" s="70"/>
    </row>
    <row r="253" spans="1:39">
      <c r="A253" s="425"/>
      <c r="B253" s="162" t="s">
        <v>352</v>
      </c>
      <c r="C253" s="163">
        <f>SUMIFS($I$265:$I$714,$G$265:$G$714,B253)</f>
        <v>0.82253327607498905</v>
      </c>
      <c r="D253" s="164">
        <f>AVERAGEIFS($F$755:$F$1283,$J$755:$J$1283,"keep",$N$755:$N$1283,B253)</f>
        <v>0.55755267415813237</v>
      </c>
      <c r="M253" s="70"/>
      <c r="AF253" s="70"/>
      <c r="AM253" s="70"/>
    </row>
    <row r="254" spans="1:39">
      <c r="M254" s="70"/>
      <c r="AF254" s="70"/>
      <c r="AM254" s="70"/>
    </row>
    <row r="255" spans="1:39">
      <c r="M255" s="70"/>
      <c r="AF255" s="70"/>
      <c r="AM255" s="70"/>
    </row>
    <row r="256" spans="1:39">
      <c r="M256" s="70"/>
      <c r="AF256" s="70"/>
      <c r="AM256" s="70"/>
    </row>
    <row r="257" spans="1:49">
      <c r="M257" s="70"/>
      <c r="AF257" s="70"/>
      <c r="AM257" s="70"/>
    </row>
    <row r="258" spans="1:49">
      <c r="M258" s="70"/>
      <c r="AF258" s="70"/>
      <c r="AM258" s="70"/>
    </row>
    <row r="259" spans="1:49">
      <c r="M259" s="70"/>
      <c r="AF259" s="70"/>
      <c r="AM259" s="70"/>
    </row>
    <row r="260" spans="1:49">
      <c r="M260" s="70"/>
      <c r="AF260" s="70"/>
      <c r="AM260" s="70"/>
    </row>
    <row r="261" spans="1:49">
      <c r="M261" s="70"/>
      <c r="AF261" s="70"/>
      <c r="AM261" s="70"/>
    </row>
    <row r="262" spans="1:49">
      <c r="C262" s="74"/>
      <c r="D262" s="74"/>
      <c r="E262" s="74"/>
      <c r="F262" s="74"/>
      <c r="G262" s="74"/>
      <c r="M262" s="70"/>
      <c r="AF262" s="70"/>
      <c r="AM262" s="70"/>
    </row>
    <row r="263" spans="1:49">
      <c r="C263" s="74">
        <v>1</v>
      </c>
      <c r="D263" s="74">
        <v>2</v>
      </c>
      <c r="E263" s="74">
        <v>3</v>
      </c>
      <c r="F263" s="74">
        <v>4</v>
      </c>
      <c r="G263" s="74">
        <v>5</v>
      </c>
      <c r="M263" s="70"/>
      <c r="AF263" s="70"/>
      <c r="AM263" s="70"/>
    </row>
    <row r="264" spans="1:49">
      <c r="A264" s="167" t="s">
        <v>437</v>
      </c>
      <c r="B264" s="167" t="s">
        <v>375</v>
      </c>
      <c r="C264" s="167" t="s">
        <v>374</v>
      </c>
      <c r="D264" s="167" t="s">
        <v>57</v>
      </c>
      <c r="E264" s="167" t="s">
        <v>63</v>
      </c>
      <c r="F264" s="167" t="s">
        <v>56</v>
      </c>
      <c r="G264" s="167" t="s">
        <v>58</v>
      </c>
      <c r="H264" s="123" t="s">
        <v>438</v>
      </c>
      <c r="I264" s="168" t="s">
        <v>439</v>
      </c>
      <c r="J264" s="168" t="s">
        <v>436</v>
      </c>
      <c r="M264" s="70"/>
      <c r="AF264" s="70"/>
      <c r="AM264" s="70"/>
    </row>
    <row r="265" spans="1:49">
      <c r="A265" s="74">
        <v>1001</v>
      </c>
      <c r="B265" s="146" t="str">
        <f>C265&amp;D265&amp;E265&amp;F265&amp;G265</f>
        <v>Electric ZonalR0R0R0Single</v>
      </c>
      <c r="C265" s="166" t="s">
        <v>228</v>
      </c>
      <c r="D265" s="166" t="s">
        <v>329</v>
      </c>
      <c r="E265" s="166" t="s">
        <v>329</v>
      </c>
      <c r="F265" s="166" t="s">
        <v>329</v>
      </c>
      <c r="G265" s="166" t="s">
        <v>355</v>
      </c>
      <c r="H265" s="70">
        <f t="shared" ref="H265:H328" si="65">SUMIFS($I$755:$I$1283,$O$755:$O$1283,B265,$J$755:$J$1283,"keep")</f>
        <v>2079.9929999999999</v>
      </c>
      <c r="I265" s="169">
        <f>IF(H265&gt;0,H265/SUM($H$265:$H$714),"")</f>
        <v>1.9512021334418368E-3</v>
      </c>
      <c r="J265" s="70" t="str">
        <f>A265&amp;B265</f>
        <v>1001Electric ZonalR0R0R0Single</v>
      </c>
      <c r="M265" s="70"/>
      <c r="AF265" s="70"/>
      <c r="AM265" s="70"/>
    </row>
    <row r="266" spans="1:49">
      <c r="A266" s="74">
        <v>1002</v>
      </c>
      <c r="B266" s="146" t="str">
        <f t="shared" ref="B266:B329" si="66">C266&amp;D266&amp;E266&amp;F266&amp;G266</f>
        <v>Electric ZonalR0R0R0Double</v>
      </c>
      <c r="C266" s="166" t="s">
        <v>228</v>
      </c>
      <c r="D266" s="166" t="s">
        <v>329</v>
      </c>
      <c r="E266" s="166" t="s">
        <v>329</v>
      </c>
      <c r="F266" s="166" t="s">
        <v>329</v>
      </c>
      <c r="G266" s="72" t="s">
        <v>339</v>
      </c>
      <c r="H266" s="70">
        <f t="shared" si="65"/>
        <v>3845.1859999999997</v>
      </c>
      <c r="I266" s="169">
        <f t="shared" ref="I266:I328" si="67">IF(H266&gt;0,H266/SUM($H$265:$H$714),"")</f>
        <v>3.6070963347860697E-3</v>
      </c>
      <c r="J266" s="70" t="str">
        <f t="shared" ref="J266:J329" si="68">A266&amp;B266</f>
        <v>1002Electric ZonalR0R0R0Double</v>
      </c>
      <c r="M266" s="70"/>
      <c r="AF266" s="70"/>
      <c r="AM266" s="70"/>
    </row>
    <row r="267" spans="1:49">
      <c r="A267" s="74">
        <v>1003</v>
      </c>
      <c r="B267" s="146" t="str">
        <f t="shared" si="66"/>
        <v>Electric ZonalR0R0R0Better</v>
      </c>
      <c r="C267" s="166" t="s">
        <v>228</v>
      </c>
      <c r="D267" s="166" t="s">
        <v>329</v>
      </c>
      <c r="E267" s="166" t="s">
        <v>329</v>
      </c>
      <c r="F267" s="166" t="s">
        <v>329</v>
      </c>
      <c r="G267" s="72" t="s">
        <v>352</v>
      </c>
      <c r="H267" s="70">
        <f t="shared" si="65"/>
        <v>18820.644999999997</v>
      </c>
      <c r="I267" s="169">
        <f t="shared" si="67"/>
        <v>1.76552914729768E-2</v>
      </c>
      <c r="J267" s="70" t="str">
        <f t="shared" si="68"/>
        <v>1003Electric ZonalR0R0R0Better</v>
      </c>
      <c r="M267" s="70"/>
      <c r="AF267" s="70"/>
      <c r="AM267" s="70"/>
    </row>
    <row r="268" spans="1:49">
      <c r="A268" s="74">
        <v>1004</v>
      </c>
      <c r="B268" s="146" t="str">
        <f t="shared" si="66"/>
        <v>Electric ZonalR0R0R19Single</v>
      </c>
      <c r="C268" s="166" t="s">
        <v>228</v>
      </c>
      <c r="D268" s="166" t="s">
        <v>329</v>
      </c>
      <c r="E268" s="166" t="s">
        <v>329</v>
      </c>
      <c r="F268" s="72" t="s">
        <v>335</v>
      </c>
      <c r="G268" s="166" t="s">
        <v>355</v>
      </c>
      <c r="H268" s="70">
        <f t="shared" si="65"/>
        <v>0</v>
      </c>
      <c r="I268" s="169" t="str">
        <f t="shared" si="67"/>
        <v/>
      </c>
      <c r="J268" s="70" t="str">
        <f t="shared" si="68"/>
        <v>1004Electric ZonalR0R0R19Single</v>
      </c>
      <c r="M268" s="70"/>
      <c r="AF268" s="70"/>
      <c r="AM268" s="70"/>
    </row>
    <row r="269" spans="1:49">
      <c r="A269" s="74">
        <v>1005</v>
      </c>
      <c r="B269" s="146" t="str">
        <f t="shared" si="66"/>
        <v>Electric ZonalR0R0R19Double</v>
      </c>
      <c r="C269" s="166" t="s">
        <v>228</v>
      </c>
      <c r="D269" s="166" t="s">
        <v>329</v>
      </c>
      <c r="E269" s="166" t="s">
        <v>329</v>
      </c>
      <c r="F269" s="72" t="s">
        <v>335</v>
      </c>
      <c r="G269" s="72" t="s">
        <v>339</v>
      </c>
      <c r="H269" s="70">
        <f t="shared" si="65"/>
        <v>0</v>
      </c>
      <c r="I269" s="169" t="str">
        <f t="shared" si="67"/>
        <v/>
      </c>
      <c r="J269" s="70" t="str">
        <f t="shared" si="68"/>
        <v>1005Electric ZonalR0R0R19Double</v>
      </c>
      <c r="M269" s="70"/>
      <c r="P269" s="81"/>
      <c r="AF269" s="70"/>
      <c r="AG269" s="81"/>
      <c r="AL269" s="134"/>
      <c r="AM269" s="134"/>
      <c r="AU269" s="132"/>
      <c r="AV269" s="133"/>
      <c r="AW269" s="134"/>
    </row>
    <row r="270" spans="1:49">
      <c r="A270" s="74">
        <v>1006</v>
      </c>
      <c r="B270" s="146" t="str">
        <f t="shared" si="66"/>
        <v>Electric ZonalR0R0R19Better</v>
      </c>
      <c r="C270" s="166" t="s">
        <v>228</v>
      </c>
      <c r="D270" s="166" t="s">
        <v>329</v>
      </c>
      <c r="E270" s="166" t="s">
        <v>329</v>
      </c>
      <c r="F270" s="72" t="s">
        <v>335</v>
      </c>
      <c r="G270" s="166" t="s">
        <v>352</v>
      </c>
      <c r="H270" s="70">
        <f t="shared" si="65"/>
        <v>1150.8789999999999</v>
      </c>
      <c r="I270" s="169">
        <f t="shared" si="67"/>
        <v>1.0796178449318855E-3</v>
      </c>
      <c r="J270" s="70" t="str">
        <f t="shared" si="68"/>
        <v>1006Electric ZonalR0R0R19Better</v>
      </c>
      <c r="M270" s="70"/>
      <c r="P270" s="81"/>
      <c r="AF270" s="70"/>
      <c r="AG270" s="81"/>
      <c r="AL270" s="134"/>
      <c r="AM270" s="134"/>
      <c r="AU270" s="132"/>
      <c r="AV270" s="133"/>
      <c r="AW270" s="134"/>
    </row>
    <row r="271" spans="1:49">
      <c r="A271" s="74">
        <v>1007</v>
      </c>
      <c r="B271" s="146" t="str">
        <f t="shared" si="66"/>
        <v>Electric ZonalR0R0BetterSingle</v>
      </c>
      <c r="C271" s="166" t="s">
        <v>228</v>
      </c>
      <c r="D271" s="166" t="s">
        <v>329</v>
      </c>
      <c r="E271" s="166" t="s">
        <v>329</v>
      </c>
      <c r="F271" s="166" t="s">
        <v>352</v>
      </c>
      <c r="G271" s="166" t="s">
        <v>355</v>
      </c>
      <c r="H271" s="70">
        <f t="shared" si="65"/>
        <v>0</v>
      </c>
      <c r="I271" s="169" t="str">
        <f t="shared" si="67"/>
        <v/>
      </c>
      <c r="J271" s="70" t="str">
        <f t="shared" si="68"/>
        <v>1007Electric ZonalR0R0BetterSingle</v>
      </c>
      <c r="M271" s="70"/>
      <c r="P271" s="81"/>
      <c r="AF271" s="70"/>
      <c r="AG271" s="81"/>
      <c r="AL271" s="134"/>
      <c r="AM271" s="134"/>
      <c r="AU271" s="132"/>
      <c r="AV271" s="133"/>
      <c r="AW271" s="134"/>
    </row>
    <row r="272" spans="1:49">
      <c r="A272" s="74">
        <v>1008</v>
      </c>
      <c r="B272" s="146" t="str">
        <f t="shared" si="66"/>
        <v>Electric ZonalR0R0BetterDouble</v>
      </c>
      <c r="C272" s="166" t="s">
        <v>228</v>
      </c>
      <c r="D272" s="166" t="s">
        <v>329</v>
      </c>
      <c r="E272" s="166" t="s">
        <v>329</v>
      </c>
      <c r="F272" s="166" t="s">
        <v>352</v>
      </c>
      <c r="G272" s="72" t="s">
        <v>339</v>
      </c>
      <c r="H272" s="70">
        <f t="shared" si="65"/>
        <v>0</v>
      </c>
      <c r="I272" s="169" t="str">
        <f t="shared" si="67"/>
        <v/>
      </c>
      <c r="J272" s="70" t="str">
        <f t="shared" si="68"/>
        <v>1008Electric ZonalR0R0BetterDouble</v>
      </c>
      <c r="M272" s="70"/>
      <c r="P272" s="81"/>
      <c r="AF272" s="70"/>
      <c r="AG272" s="81"/>
      <c r="AL272" s="134"/>
      <c r="AM272" s="134"/>
      <c r="AU272" s="132"/>
      <c r="AV272" s="133"/>
      <c r="AW272" s="134"/>
    </row>
    <row r="273" spans="1:49">
      <c r="A273" s="74">
        <v>1009</v>
      </c>
      <c r="B273" s="146" t="str">
        <f t="shared" si="66"/>
        <v>Electric ZonalR0R0BetterBetter</v>
      </c>
      <c r="C273" s="166" t="s">
        <v>228</v>
      </c>
      <c r="D273" s="166" t="s">
        <v>329</v>
      </c>
      <c r="E273" s="166" t="s">
        <v>329</v>
      </c>
      <c r="F273" s="166" t="s">
        <v>352</v>
      </c>
      <c r="G273" s="72" t="s">
        <v>352</v>
      </c>
      <c r="H273" s="70">
        <f t="shared" si="65"/>
        <v>0</v>
      </c>
      <c r="I273" s="169" t="str">
        <f t="shared" si="67"/>
        <v/>
      </c>
      <c r="J273" s="70" t="str">
        <f t="shared" si="68"/>
        <v>1009Electric ZonalR0R0BetterBetter</v>
      </c>
      <c r="M273" s="70"/>
      <c r="P273" s="81"/>
      <c r="AF273" s="70"/>
      <c r="AG273" s="81"/>
      <c r="AL273" s="134"/>
      <c r="AM273" s="134"/>
      <c r="AU273" s="132"/>
      <c r="AV273" s="133"/>
      <c r="AW273" s="134"/>
    </row>
    <row r="274" spans="1:49">
      <c r="A274" s="74">
        <v>1010</v>
      </c>
      <c r="B274" s="146" t="str">
        <f t="shared" si="66"/>
        <v>Electric ZonalR0R11R0Single</v>
      </c>
      <c r="C274" s="166" t="s">
        <v>228</v>
      </c>
      <c r="D274" s="166" t="s">
        <v>329</v>
      </c>
      <c r="E274" s="166" t="s">
        <v>334</v>
      </c>
      <c r="F274" s="166" t="s">
        <v>329</v>
      </c>
      <c r="G274" s="166" t="s">
        <v>355</v>
      </c>
      <c r="H274" s="70">
        <f t="shared" si="65"/>
        <v>0</v>
      </c>
      <c r="I274" s="169" t="str">
        <f t="shared" si="67"/>
        <v/>
      </c>
      <c r="J274" s="70" t="str">
        <f t="shared" si="68"/>
        <v>1010Electric ZonalR0R11R0Single</v>
      </c>
      <c r="M274" s="70"/>
      <c r="P274" s="81"/>
      <c r="AF274" s="70"/>
      <c r="AG274" s="81"/>
      <c r="AL274" s="134"/>
      <c r="AM274" s="134"/>
      <c r="AU274" s="132"/>
      <c r="AV274" s="133"/>
      <c r="AW274" s="134"/>
    </row>
    <row r="275" spans="1:49">
      <c r="A275" s="74">
        <v>1011</v>
      </c>
      <c r="B275" s="146" t="str">
        <f t="shared" si="66"/>
        <v>Electric ZonalR0R11R0Double</v>
      </c>
      <c r="C275" s="166" t="s">
        <v>228</v>
      </c>
      <c r="D275" s="166" t="s">
        <v>329</v>
      </c>
      <c r="E275" s="166" t="s">
        <v>334</v>
      </c>
      <c r="F275" s="166" t="s">
        <v>329</v>
      </c>
      <c r="G275" s="72" t="s">
        <v>339</v>
      </c>
      <c r="H275" s="70">
        <f>SUMIFS($I$755:$I$1283,$O$755:$O$1283,B275,$J$755:$J$1283,"keep")</f>
        <v>9040.2020000000011</v>
      </c>
      <c r="I275" s="169">
        <f t="shared" si="67"/>
        <v>8.4804426885788375E-3</v>
      </c>
      <c r="J275" s="70" t="str">
        <f t="shared" si="68"/>
        <v>1011Electric ZonalR0R11R0Double</v>
      </c>
      <c r="M275" s="70"/>
      <c r="P275" s="81"/>
      <c r="AF275" s="70"/>
      <c r="AG275" s="81"/>
      <c r="AL275" s="134"/>
      <c r="AM275" s="134"/>
      <c r="AU275" s="132"/>
      <c r="AV275" s="133"/>
      <c r="AW275" s="134"/>
    </row>
    <row r="276" spans="1:49">
      <c r="A276" s="74">
        <v>1012</v>
      </c>
      <c r="B276" s="146" t="str">
        <f t="shared" si="66"/>
        <v>Electric ZonalR0R11R0Better</v>
      </c>
      <c r="C276" s="166" t="s">
        <v>228</v>
      </c>
      <c r="D276" s="166" t="s">
        <v>329</v>
      </c>
      <c r="E276" s="166" t="s">
        <v>334</v>
      </c>
      <c r="F276" s="166" t="s">
        <v>329</v>
      </c>
      <c r="G276" s="166" t="s">
        <v>352</v>
      </c>
      <c r="H276" s="70">
        <f t="shared" si="65"/>
        <v>12713.037</v>
      </c>
      <c r="I276" s="169">
        <f t="shared" si="67"/>
        <v>1.192585980670368E-2</v>
      </c>
      <c r="J276" s="70" t="str">
        <f t="shared" si="68"/>
        <v>1012Electric ZonalR0R11R0Better</v>
      </c>
      <c r="M276" s="70"/>
      <c r="P276" s="81"/>
      <c r="AF276" s="70"/>
      <c r="AG276" s="81"/>
      <c r="AL276" s="134"/>
      <c r="AM276" s="134"/>
      <c r="AU276" s="132"/>
      <c r="AV276" s="133"/>
      <c r="AW276" s="134"/>
    </row>
    <row r="277" spans="1:49">
      <c r="A277" s="74">
        <v>1013</v>
      </c>
      <c r="B277" s="146" t="str">
        <f t="shared" si="66"/>
        <v>Electric ZonalR0R11R19Single</v>
      </c>
      <c r="C277" s="166" t="s">
        <v>228</v>
      </c>
      <c r="D277" s="166" t="s">
        <v>329</v>
      </c>
      <c r="E277" s="166" t="s">
        <v>334</v>
      </c>
      <c r="F277" s="72" t="s">
        <v>335</v>
      </c>
      <c r="G277" s="166" t="s">
        <v>355</v>
      </c>
      <c r="H277" s="70">
        <f t="shared" si="65"/>
        <v>0</v>
      </c>
      <c r="I277" s="169" t="str">
        <f t="shared" si="67"/>
        <v/>
      </c>
      <c r="J277" s="70" t="str">
        <f t="shared" si="68"/>
        <v>1013Electric ZonalR0R11R19Single</v>
      </c>
      <c r="M277" s="70"/>
      <c r="P277" s="81"/>
      <c r="AF277" s="70"/>
      <c r="AG277" s="81"/>
      <c r="AL277" s="134"/>
      <c r="AM277" s="134"/>
      <c r="AU277" s="132"/>
      <c r="AV277" s="133"/>
      <c r="AW277" s="134"/>
    </row>
    <row r="278" spans="1:49">
      <c r="A278" s="74">
        <v>1014</v>
      </c>
      <c r="B278" s="146" t="str">
        <f t="shared" si="66"/>
        <v>Electric ZonalR0R11R19Double</v>
      </c>
      <c r="C278" s="166" t="s">
        <v>228</v>
      </c>
      <c r="D278" s="166" t="s">
        <v>329</v>
      </c>
      <c r="E278" s="166" t="s">
        <v>334</v>
      </c>
      <c r="F278" s="72" t="s">
        <v>335</v>
      </c>
      <c r="G278" s="72" t="s">
        <v>339</v>
      </c>
      <c r="H278" s="70">
        <f t="shared" si="65"/>
        <v>0</v>
      </c>
      <c r="I278" s="169" t="str">
        <f t="shared" si="67"/>
        <v/>
      </c>
      <c r="J278" s="70" t="str">
        <f t="shared" si="68"/>
        <v>1014Electric ZonalR0R11R19Double</v>
      </c>
      <c r="M278" s="70"/>
      <c r="P278" s="81"/>
      <c r="AF278" s="70"/>
      <c r="AG278" s="81"/>
      <c r="AL278" s="134"/>
      <c r="AM278" s="134"/>
      <c r="AU278" s="132"/>
      <c r="AV278" s="133"/>
      <c r="AW278" s="134"/>
    </row>
    <row r="279" spans="1:49">
      <c r="A279" s="74">
        <v>1015</v>
      </c>
      <c r="B279" s="146" t="str">
        <f t="shared" si="66"/>
        <v>Electric ZonalR0R11R19Better</v>
      </c>
      <c r="C279" s="166" t="s">
        <v>228</v>
      </c>
      <c r="D279" s="166" t="s">
        <v>329</v>
      </c>
      <c r="E279" s="166" t="s">
        <v>334</v>
      </c>
      <c r="F279" s="72" t="s">
        <v>335</v>
      </c>
      <c r="G279" s="72" t="s">
        <v>352</v>
      </c>
      <c r="H279" s="70">
        <f t="shared" si="65"/>
        <v>0</v>
      </c>
      <c r="I279" s="169" t="str">
        <f t="shared" si="67"/>
        <v/>
      </c>
      <c r="J279" s="70" t="str">
        <f t="shared" si="68"/>
        <v>1015Electric ZonalR0R11R19Better</v>
      </c>
      <c r="M279" s="70"/>
      <c r="P279" s="81"/>
      <c r="AF279" s="70"/>
      <c r="AG279" s="81"/>
      <c r="AL279" s="134"/>
      <c r="AM279" s="134"/>
      <c r="AU279" s="132"/>
      <c r="AV279" s="133"/>
      <c r="AW279" s="134"/>
    </row>
    <row r="280" spans="1:49">
      <c r="A280" s="74">
        <v>1016</v>
      </c>
      <c r="B280" s="146" t="str">
        <f t="shared" si="66"/>
        <v>Electric ZonalR0R11BetterSingle</v>
      </c>
      <c r="C280" s="166" t="s">
        <v>228</v>
      </c>
      <c r="D280" s="166" t="s">
        <v>329</v>
      </c>
      <c r="E280" s="166" t="s">
        <v>334</v>
      </c>
      <c r="F280" s="166" t="s">
        <v>352</v>
      </c>
      <c r="G280" s="166" t="s">
        <v>355</v>
      </c>
      <c r="H280" s="70">
        <f t="shared" si="65"/>
        <v>0</v>
      </c>
      <c r="I280" s="169" t="str">
        <f t="shared" si="67"/>
        <v/>
      </c>
      <c r="J280" s="70" t="str">
        <f t="shared" si="68"/>
        <v>1016Electric ZonalR0R11BetterSingle</v>
      </c>
      <c r="M280" s="70"/>
      <c r="P280" s="81"/>
      <c r="AF280" s="70"/>
      <c r="AG280" s="81"/>
      <c r="AL280" s="134"/>
      <c r="AM280" s="134"/>
      <c r="AU280" s="132"/>
      <c r="AV280" s="133"/>
      <c r="AW280" s="134"/>
    </row>
    <row r="281" spans="1:49">
      <c r="A281" s="74">
        <v>1017</v>
      </c>
      <c r="B281" s="146" t="str">
        <f t="shared" si="66"/>
        <v>Electric ZonalR0R11BetterDouble</v>
      </c>
      <c r="C281" s="166" t="s">
        <v>228</v>
      </c>
      <c r="D281" s="166" t="s">
        <v>329</v>
      </c>
      <c r="E281" s="166" t="s">
        <v>334</v>
      </c>
      <c r="F281" s="166" t="s">
        <v>352</v>
      </c>
      <c r="G281" s="72" t="s">
        <v>339</v>
      </c>
      <c r="H281" s="70">
        <f t="shared" si="65"/>
        <v>2003.7159999999999</v>
      </c>
      <c r="I281" s="169">
        <f t="shared" si="67"/>
        <v>1.8796481209367257E-3</v>
      </c>
      <c r="J281" s="70" t="str">
        <f t="shared" si="68"/>
        <v>1017Electric ZonalR0R11BetterDouble</v>
      </c>
      <c r="M281" s="70"/>
      <c r="P281" s="81"/>
      <c r="AF281" s="70"/>
      <c r="AG281" s="81"/>
      <c r="AL281" s="134"/>
      <c r="AM281" s="134"/>
      <c r="AU281" s="132"/>
      <c r="AV281" s="133"/>
      <c r="AW281" s="134"/>
    </row>
    <row r="282" spans="1:49">
      <c r="A282" s="74">
        <v>1018</v>
      </c>
      <c r="B282" s="146" t="str">
        <f t="shared" si="66"/>
        <v>Electric ZonalR0R11BetterBetter</v>
      </c>
      <c r="C282" s="166" t="s">
        <v>228</v>
      </c>
      <c r="D282" s="166" t="s">
        <v>329</v>
      </c>
      <c r="E282" s="166" t="s">
        <v>334</v>
      </c>
      <c r="F282" s="166" t="s">
        <v>352</v>
      </c>
      <c r="G282" s="166" t="s">
        <v>352</v>
      </c>
      <c r="H282" s="70">
        <f t="shared" si="65"/>
        <v>0</v>
      </c>
      <c r="I282" s="169" t="str">
        <f t="shared" si="67"/>
        <v/>
      </c>
      <c r="J282" s="70" t="str">
        <f t="shared" si="68"/>
        <v>1018Electric ZonalR0R11BetterBetter</v>
      </c>
      <c r="M282" s="70"/>
      <c r="P282" s="81"/>
      <c r="AF282" s="70"/>
      <c r="AG282" s="81"/>
      <c r="AL282" s="134"/>
      <c r="AM282" s="134"/>
      <c r="AU282" s="132"/>
      <c r="AV282" s="133"/>
      <c r="AW282" s="134"/>
    </row>
    <row r="283" spans="1:49">
      <c r="A283" s="74">
        <v>1019</v>
      </c>
      <c r="B283" s="146" t="str">
        <f t="shared" si="66"/>
        <v>Electric ZonalR11R0R0Single</v>
      </c>
      <c r="C283" s="166" t="s">
        <v>228</v>
      </c>
      <c r="D283" s="166" t="s">
        <v>334</v>
      </c>
      <c r="E283" s="166" t="s">
        <v>329</v>
      </c>
      <c r="F283" s="166" t="s">
        <v>329</v>
      </c>
      <c r="G283" s="166" t="s">
        <v>355</v>
      </c>
      <c r="H283" s="70">
        <f t="shared" si="65"/>
        <v>1150.8789999999999</v>
      </c>
      <c r="I283" s="169">
        <f t="shared" si="67"/>
        <v>1.0796178449318855E-3</v>
      </c>
      <c r="J283" s="70" t="str">
        <f t="shared" si="68"/>
        <v>1019Electric ZonalR11R0R0Single</v>
      </c>
      <c r="M283" s="70"/>
      <c r="P283" s="81"/>
      <c r="AF283" s="70"/>
      <c r="AG283" s="81"/>
      <c r="AL283" s="134"/>
      <c r="AM283" s="134"/>
      <c r="AU283" s="132"/>
      <c r="AV283" s="133"/>
      <c r="AW283" s="134"/>
    </row>
    <row r="284" spans="1:49">
      <c r="A284" s="74">
        <v>1020</v>
      </c>
      <c r="B284" s="146" t="str">
        <f t="shared" si="66"/>
        <v>Electric ZonalR11R0R0Double</v>
      </c>
      <c r="C284" s="166" t="s">
        <v>228</v>
      </c>
      <c r="D284" s="166" t="s">
        <v>334</v>
      </c>
      <c r="E284" s="166" t="s">
        <v>329</v>
      </c>
      <c r="F284" s="166" t="s">
        <v>329</v>
      </c>
      <c r="G284" s="72" t="s">
        <v>339</v>
      </c>
      <c r="H284" s="70">
        <f t="shared" si="65"/>
        <v>0</v>
      </c>
      <c r="I284" s="169" t="str">
        <f t="shared" si="67"/>
        <v/>
      </c>
      <c r="J284" s="70" t="str">
        <f t="shared" si="68"/>
        <v>1020Electric ZonalR11R0R0Double</v>
      </c>
      <c r="M284" s="70"/>
      <c r="P284" s="81"/>
      <c r="AF284" s="70"/>
      <c r="AG284" s="81"/>
      <c r="AL284" s="134"/>
      <c r="AM284" s="134"/>
      <c r="AU284" s="132"/>
      <c r="AV284" s="133"/>
      <c r="AW284" s="134"/>
    </row>
    <row r="285" spans="1:49">
      <c r="A285" s="74">
        <v>1021</v>
      </c>
      <c r="B285" s="146" t="str">
        <f t="shared" si="66"/>
        <v>Electric ZonalR11R0R0Better</v>
      </c>
      <c r="C285" s="166" t="s">
        <v>228</v>
      </c>
      <c r="D285" s="166" t="s">
        <v>334</v>
      </c>
      <c r="E285" s="166" t="s">
        <v>329</v>
      </c>
      <c r="F285" s="166" t="s">
        <v>329</v>
      </c>
      <c r="G285" s="72" t="s">
        <v>352</v>
      </c>
      <c r="H285" s="70">
        <f t="shared" si="65"/>
        <v>7720.0640000000003</v>
      </c>
      <c r="I285" s="169">
        <f t="shared" si="67"/>
        <v>7.2420461737647771E-3</v>
      </c>
      <c r="J285" s="70" t="str">
        <f t="shared" si="68"/>
        <v>1021Electric ZonalR11R0R0Better</v>
      </c>
      <c r="M285" s="70"/>
      <c r="P285" s="81"/>
      <c r="AF285" s="70"/>
      <c r="AG285" s="81"/>
      <c r="AL285" s="134"/>
      <c r="AM285" s="134"/>
      <c r="AU285" s="132"/>
      <c r="AV285" s="133"/>
      <c r="AW285" s="134"/>
    </row>
    <row r="286" spans="1:49">
      <c r="A286" s="74">
        <v>1022</v>
      </c>
      <c r="B286" s="146" t="str">
        <f t="shared" si="66"/>
        <v>Electric ZonalR11R0R19Single</v>
      </c>
      <c r="C286" s="166" t="s">
        <v>228</v>
      </c>
      <c r="D286" s="166" t="s">
        <v>334</v>
      </c>
      <c r="E286" s="166" t="s">
        <v>329</v>
      </c>
      <c r="F286" s="72" t="s">
        <v>335</v>
      </c>
      <c r="G286" s="166" t="s">
        <v>355</v>
      </c>
      <c r="H286" s="70">
        <f t="shared" si="65"/>
        <v>0</v>
      </c>
      <c r="I286" s="169" t="str">
        <f t="shared" si="67"/>
        <v/>
      </c>
      <c r="J286" s="70" t="str">
        <f t="shared" si="68"/>
        <v>1022Electric ZonalR11R0R19Single</v>
      </c>
      <c r="M286" s="70"/>
      <c r="P286" s="81"/>
      <c r="AF286" s="70"/>
      <c r="AG286" s="81"/>
      <c r="AL286" s="134"/>
      <c r="AM286" s="134"/>
      <c r="AU286" s="132"/>
      <c r="AV286" s="133"/>
      <c r="AW286" s="134"/>
    </row>
    <row r="287" spans="1:49">
      <c r="A287" s="74">
        <v>1023</v>
      </c>
      <c r="B287" s="146" t="str">
        <f t="shared" si="66"/>
        <v>Electric ZonalR11R0R19Double</v>
      </c>
      <c r="C287" s="166" t="s">
        <v>228</v>
      </c>
      <c r="D287" s="166" t="s">
        <v>334</v>
      </c>
      <c r="E287" s="166" t="s">
        <v>329</v>
      </c>
      <c r="F287" s="72" t="s">
        <v>335</v>
      </c>
      <c r="G287" s="72" t="s">
        <v>339</v>
      </c>
      <c r="H287" s="70">
        <f t="shared" si="65"/>
        <v>0</v>
      </c>
      <c r="I287" s="169" t="str">
        <f t="shared" si="67"/>
        <v/>
      </c>
      <c r="J287" s="70" t="str">
        <f t="shared" si="68"/>
        <v>1023Electric ZonalR11R0R19Double</v>
      </c>
      <c r="M287" s="70"/>
      <c r="P287" s="81"/>
      <c r="AF287" s="70"/>
      <c r="AG287" s="81"/>
      <c r="AL287" s="134"/>
      <c r="AM287" s="134"/>
      <c r="AU287" s="132"/>
      <c r="AV287" s="133"/>
      <c r="AW287" s="134"/>
    </row>
    <row r="288" spans="1:49">
      <c r="A288" s="74">
        <v>1024</v>
      </c>
      <c r="B288" s="146" t="str">
        <f t="shared" si="66"/>
        <v>Electric ZonalR11R0R19Better</v>
      </c>
      <c r="C288" s="166" t="s">
        <v>228</v>
      </c>
      <c r="D288" s="166" t="s">
        <v>334</v>
      </c>
      <c r="E288" s="166" t="s">
        <v>329</v>
      </c>
      <c r="F288" s="72" t="s">
        <v>335</v>
      </c>
      <c r="G288" s="166" t="s">
        <v>352</v>
      </c>
      <c r="H288" s="70">
        <f t="shared" si="65"/>
        <v>0</v>
      </c>
      <c r="I288" s="169" t="str">
        <f t="shared" si="67"/>
        <v/>
      </c>
      <c r="J288" s="70" t="str">
        <f t="shared" si="68"/>
        <v>1024Electric ZonalR11R0R19Better</v>
      </c>
      <c r="M288" s="70"/>
      <c r="P288" s="81"/>
      <c r="AF288" s="70"/>
      <c r="AG288" s="81"/>
      <c r="AL288" s="134"/>
      <c r="AM288" s="134"/>
      <c r="AU288" s="132"/>
      <c r="AV288" s="133"/>
      <c r="AW288" s="134"/>
    </row>
    <row r="289" spans="1:49">
      <c r="A289" s="74">
        <v>1025</v>
      </c>
      <c r="B289" s="146" t="str">
        <f t="shared" si="66"/>
        <v>Electric ZonalR11R0BetterSingle</v>
      </c>
      <c r="C289" s="166" t="s">
        <v>228</v>
      </c>
      <c r="D289" s="166" t="s">
        <v>334</v>
      </c>
      <c r="E289" s="166" t="s">
        <v>329</v>
      </c>
      <c r="F289" s="166" t="s">
        <v>352</v>
      </c>
      <c r="G289" s="166" t="s">
        <v>355</v>
      </c>
      <c r="H289" s="70">
        <f t="shared" si="65"/>
        <v>0</v>
      </c>
      <c r="I289" s="169" t="str">
        <f t="shared" si="67"/>
        <v/>
      </c>
      <c r="J289" s="70" t="str">
        <f t="shared" si="68"/>
        <v>1025Electric ZonalR11R0BetterSingle</v>
      </c>
      <c r="M289" s="70"/>
      <c r="P289" s="81"/>
      <c r="AF289" s="70"/>
      <c r="AG289" s="81"/>
      <c r="AL289" s="134"/>
      <c r="AM289" s="134"/>
      <c r="AU289" s="132"/>
      <c r="AV289" s="133"/>
      <c r="AW289" s="134"/>
    </row>
    <row r="290" spans="1:49">
      <c r="A290" s="74">
        <v>1026</v>
      </c>
      <c r="B290" s="146" t="str">
        <f t="shared" si="66"/>
        <v>Electric ZonalR11R0BetterDouble</v>
      </c>
      <c r="C290" s="166" t="s">
        <v>228</v>
      </c>
      <c r="D290" s="166" t="s">
        <v>334</v>
      </c>
      <c r="E290" s="166" t="s">
        <v>329</v>
      </c>
      <c r="F290" s="166" t="s">
        <v>352</v>
      </c>
      <c r="G290" s="72" t="s">
        <v>339</v>
      </c>
      <c r="H290" s="70">
        <f t="shared" si="65"/>
        <v>0</v>
      </c>
      <c r="I290" s="169" t="str">
        <f t="shared" si="67"/>
        <v/>
      </c>
      <c r="J290" s="70" t="str">
        <f t="shared" si="68"/>
        <v>1026Electric ZonalR11R0BetterDouble</v>
      </c>
      <c r="M290" s="70"/>
      <c r="P290" s="81"/>
      <c r="AF290" s="70"/>
      <c r="AG290" s="81"/>
      <c r="AL290" s="134"/>
      <c r="AM290" s="134"/>
      <c r="AU290" s="132"/>
      <c r="AV290" s="133"/>
      <c r="AW290" s="134"/>
    </row>
    <row r="291" spans="1:49">
      <c r="A291" s="74">
        <v>1027</v>
      </c>
      <c r="B291" s="146" t="str">
        <f t="shared" si="66"/>
        <v>Electric ZonalR11R0BetterBetter</v>
      </c>
      <c r="C291" s="166" t="s">
        <v>228</v>
      </c>
      <c r="D291" s="166" t="s">
        <v>334</v>
      </c>
      <c r="E291" s="166" t="s">
        <v>329</v>
      </c>
      <c r="F291" s="166" t="s">
        <v>352</v>
      </c>
      <c r="G291" s="72" t="s">
        <v>352</v>
      </c>
      <c r="H291" s="70">
        <f t="shared" si="65"/>
        <v>0</v>
      </c>
      <c r="I291" s="169" t="str">
        <f t="shared" si="67"/>
        <v/>
      </c>
      <c r="J291" s="70" t="str">
        <f t="shared" si="68"/>
        <v>1027Electric ZonalR11R0BetterBetter</v>
      </c>
      <c r="M291" s="70"/>
      <c r="P291" s="81"/>
      <c r="AF291" s="70"/>
      <c r="AG291" s="81"/>
      <c r="AL291" s="134"/>
      <c r="AM291" s="134"/>
      <c r="AU291" s="132"/>
      <c r="AV291" s="133"/>
      <c r="AW291" s="134"/>
    </row>
    <row r="292" spans="1:49">
      <c r="A292" s="74">
        <v>1028</v>
      </c>
      <c r="B292" s="146" t="str">
        <f t="shared" si="66"/>
        <v>Electric ZonalR11R11R0Single</v>
      </c>
      <c r="C292" s="166" t="s">
        <v>228</v>
      </c>
      <c r="D292" s="166" t="s">
        <v>334</v>
      </c>
      <c r="E292" s="166" t="s">
        <v>334</v>
      </c>
      <c r="F292" s="166" t="s">
        <v>329</v>
      </c>
      <c r="G292" s="166" t="s">
        <v>355</v>
      </c>
      <c r="H292" s="70">
        <f t="shared" si="65"/>
        <v>0</v>
      </c>
      <c r="I292" s="169" t="str">
        <f t="shared" si="67"/>
        <v/>
      </c>
      <c r="J292" s="70" t="str">
        <f t="shared" si="68"/>
        <v>1028Electric ZonalR11R11R0Single</v>
      </c>
      <c r="M292" s="70"/>
      <c r="P292" s="81"/>
      <c r="AF292" s="70"/>
      <c r="AG292" s="81"/>
      <c r="AL292" s="134"/>
      <c r="AM292" s="134"/>
      <c r="AU292" s="132"/>
      <c r="AV292" s="133"/>
      <c r="AW292" s="134"/>
    </row>
    <row r="293" spans="1:49">
      <c r="A293" s="74">
        <v>1029</v>
      </c>
      <c r="B293" s="146" t="str">
        <f t="shared" si="66"/>
        <v>Electric ZonalR11R11R0Double</v>
      </c>
      <c r="C293" s="166" t="s">
        <v>228</v>
      </c>
      <c r="D293" s="166" t="s">
        <v>334</v>
      </c>
      <c r="E293" s="166" t="s">
        <v>334</v>
      </c>
      <c r="F293" s="166" t="s">
        <v>329</v>
      </c>
      <c r="G293" s="72" t="s">
        <v>339</v>
      </c>
      <c r="H293" s="70">
        <f t="shared" si="65"/>
        <v>6826.4519999999993</v>
      </c>
      <c r="I293" s="169">
        <f t="shared" si="67"/>
        <v>6.4037656406720081E-3</v>
      </c>
      <c r="J293" s="70" t="str">
        <f t="shared" si="68"/>
        <v>1029Electric ZonalR11R11R0Double</v>
      </c>
      <c r="M293" s="70"/>
      <c r="P293" s="81"/>
      <c r="AF293" s="70"/>
      <c r="AG293" s="81"/>
      <c r="AL293" s="134"/>
      <c r="AM293" s="134"/>
      <c r="AU293" s="132"/>
      <c r="AV293" s="133"/>
      <c r="AW293" s="134"/>
    </row>
    <row r="294" spans="1:49">
      <c r="A294" s="74">
        <v>1030</v>
      </c>
      <c r="B294" s="146" t="str">
        <f t="shared" si="66"/>
        <v>Electric ZonalR11R11R0Better</v>
      </c>
      <c r="C294" s="166" t="s">
        <v>228</v>
      </c>
      <c r="D294" s="166" t="s">
        <v>334</v>
      </c>
      <c r="E294" s="166" t="s">
        <v>334</v>
      </c>
      <c r="F294" s="166" t="s">
        <v>329</v>
      </c>
      <c r="G294" s="166" t="s">
        <v>352</v>
      </c>
      <c r="H294" s="70">
        <f t="shared" si="65"/>
        <v>11324.819</v>
      </c>
      <c r="I294" s="169">
        <f t="shared" si="67"/>
        <v>1.0623598730208537E-2</v>
      </c>
      <c r="J294" s="70" t="str">
        <f t="shared" si="68"/>
        <v>1030Electric ZonalR11R11R0Better</v>
      </c>
      <c r="M294" s="70"/>
      <c r="P294" s="81"/>
      <c r="AF294" s="70"/>
      <c r="AG294" s="81"/>
      <c r="AL294" s="134"/>
      <c r="AM294" s="134"/>
      <c r="AU294" s="132"/>
      <c r="AV294" s="133"/>
      <c r="AW294" s="134"/>
    </row>
    <row r="295" spans="1:49">
      <c r="A295" s="74">
        <v>1031</v>
      </c>
      <c r="B295" s="146" t="str">
        <f t="shared" si="66"/>
        <v>Electric ZonalR11R11R19Single</v>
      </c>
      <c r="C295" s="166" t="s">
        <v>228</v>
      </c>
      <c r="D295" s="166" t="s">
        <v>334</v>
      </c>
      <c r="E295" s="166" t="s">
        <v>334</v>
      </c>
      <c r="F295" s="72" t="s">
        <v>335</v>
      </c>
      <c r="G295" s="166" t="s">
        <v>355</v>
      </c>
      <c r="H295" s="70">
        <f t="shared" si="65"/>
        <v>0</v>
      </c>
      <c r="I295" s="169" t="str">
        <f t="shared" si="67"/>
        <v/>
      </c>
      <c r="J295" s="70" t="str">
        <f t="shared" si="68"/>
        <v>1031Electric ZonalR11R11R19Single</v>
      </c>
      <c r="M295" s="70"/>
      <c r="P295" s="81"/>
      <c r="AF295" s="70"/>
      <c r="AG295" s="81"/>
      <c r="AL295" s="134"/>
      <c r="AM295" s="134"/>
      <c r="AU295" s="132"/>
      <c r="AV295" s="133"/>
      <c r="AW295" s="134"/>
    </row>
    <row r="296" spans="1:49">
      <c r="A296" s="74">
        <v>1032</v>
      </c>
      <c r="B296" s="146" t="str">
        <f t="shared" si="66"/>
        <v>Electric ZonalR11R11R19Double</v>
      </c>
      <c r="C296" s="166" t="s">
        <v>228</v>
      </c>
      <c r="D296" s="166" t="s">
        <v>334</v>
      </c>
      <c r="E296" s="166" t="s">
        <v>334</v>
      </c>
      <c r="F296" s="72" t="s">
        <v>335</v>
      </c>
      <c r="G296" s="72" t="s">
        <v>339</v>
      </c>
      <c r="H296" s="70">
        <f t="shared" si="65"/>
        <v>0</v>
      </c>
      <c r="I296" s="169" t="str">
        <f t="shared" si="67"/>
        <v/>
      </c>
      <c r="J296" s="70" t="str">
        <f t="shared" si="68"/>
        <v>1032Electric ZonalR11R11R19Double</v>
      </c>
      <c r="M296" s="70"/>
      <c r="P296" s="81"/>
      <c r="AF296" s="70"/>
      <c r="AG296" s="81"/>
      <c r="AL296" s="134"/>
      <c r="AM296" s="134"/>
      <c r="AU296" s="132"/>
      <c r="AV296" s="133"/>
      <c r="AW296" s="134"/>
    </row>
    <row r="297" spans="1:49">
      <c r="A297" s="74">
        <v>1033</v>
      </c>
      <c r="B297" s="146" t="str">
        <f t="shared" si="66"/>
        <v>Electric ZonalR11R11R19Better</v>
      </c>
      <c r="C297" s="166" t="s">
        <v>228</v>
      </c>
      <c r="D297" s="166" t="s">
        <v>334</v>
      </c>
      <c r="E297" s="166" t="s">
        <v>334</v>
      </c>
      <c r="F297" s="72" t="s">
        <v>335</v>
      </c>
      <c r="G297" s="72" t="s">
        <v>352</v>
      </c>
      <c r="H297" s="70">
        <f t="shared" si="65"/>
        <v>3230.8719999999998</v>
      </c>
      <c r="I297" s="169">
        <f t="shared" si="67"/>
        <v>3.0308199783737225E-3</v>
      </c>
      <c r="J297" s="70" t="str">
        <f t="shared" si="68"/>
        <v>1033Electric ZonalR11R11R19Better</v>
      </c>
      <c r="M297" s="70"/>
      <c r="P297" s="81"/>
      <c r="AF297" s="70"/>
      <c r="AG297" s="81"/>
      <c r="AL297" s="134"/>
      <c r="AM297" s="134"/>
      <c r="AU297" s="132"/>
      <c r="AV297" s="133"/>
      <c r="AW297" s="134"/>
    </row>
    <row r="298" spans="1:49">
      <c r="A298" s="74">
        <v>1034</v>
      </c>
      <c r="B298" s="146" t="str">
        <f t="shared" si="66"/>
        <v>Electric ZonalR11R11BetterSingle</v>
      </c>
      <c r="C298" s="166" t="s">
        <v>228</v>
      </c>
      <c r="D298" s="166" t="s">
        <v>334</v>
      </c>
      <c r="E298" s="166" t="s">
        <v>334</v>
      </c>
      <c r="F298" s="166" t="s">
        <v>352</v>
      </c>
      <c r="G298" s="166" t="s">
        <v>355</v>
      </c>
      <c r="H298" s="70">
        <f t="shared" si="65"/>
        <v>0</v>
      </c>
      <c r="I298" s="169" t="str">
        <f t="shared" si="67"/>
        <v/>
      </c>
      <c r="J298" s="70" t="str">
        <f t="shared" si="68"/>
        <v>1034Electric ZonalR11R11BetterSingle</v>
      </c>
      <c r="M298" s="70"/>
      <c r="P298" s="81"/>
      <c r="AF298" s="70"/>
      <c r="AG298" s="81"/>
      <c r="AL298" s="134"/>
      <c r="AM298" s="134"/>
      <c r="AU298" s="132"/>
      <c r="AV298" s="133"/>
      <c r="AW298" s="134"/>
    </row>
    <row r="299" spans="1:49">
      <c r="A299" s="74">
        <v>1035</v>
      </c>
      <c r="B299" s="146" t="str">
        <f t="shared" si="66"/>
        <v>Electric ZonalR11R11BetterDouble</v>
      </c>
      <c r="C299" s="166" t="s">
        <v>228</v>
      </c>
      <c r="D299" s="166" t="s">
        <v>334</v>
      </c>
      <c r="E299" s="166" t="s">
        <v>334</v>
      </c>
      <c r="F299" s="166" t="s">
        <v>352</v>
      </c>
      <c r="G299" s="72" t="s">
        <v>339</v>
      </c>
      <c r="H299" s="70">
        <f t="shared" si="65"/>
        <v>3785.7640000000001</v>
      </c>
      <c r="I299" s="169">
        <f t="shared" si="67"/>
        <v>3.5513536793187776E-3</v>
      </c>
      <c r="J299" s="70" t="str">
        <f t="shared" si="68"/>
        <v>1035Electric ZonalR11R11BetterDouble</v>
      </c>
      <c r="M299" s="70"/>
      <c r="P299" s="81"/>
      <c r="AF299" s="70"/>
      <c r="AG299" s="81"/>
      <c r="AL299" s="134"/>
      <c r="AM299" s="134"/>
      <c r="AU299" s="132"/>
      <c r="AV299" s="133"/>
      <c r="AW299" s="134"/>
    </row>
    <row r="300" spans="1:49">
      <c r="A300" s="74">
        <v>1036</v>
      </c>
      <c r="B300" s="146" t="str">
        <f t="shared" si="66"/>
        <v>Electric ZonalR11R11BetterBetter</v>
      </c>
      <c r="C300" s="166" t="s">
        <v>228</v>
      </c>
      <c r="D300" s="166" t="s">
        <v>334</v>
      </c>
      <c r="E300" s="166" t="s">
        <v>334</v>
      </c>
      <c r="F300" s="166" t="s">
        <v>352</v>
      </c>
      <c r="G300" s="166" t="s">
        <v>352</v>
      </c>
      <c r="H300" s="70">
        <f t="shared" si="65"/>
        <v>5576.6729999999998</v>
      </c>
      <c r="I300" s="169">
        <f t="shared" si="67"/>
        <v>5.2313715743790906E-3</v>
      </c>
      <c r="J300" s="70" t="str">
        <f t="shared" si="68"/>
        <v>1036Electric ZonalR11R11BetterBetter</v>
      </c>
      <c r="M300" s="70"/>
      <c r="P300" s="81"/>
      <c r="AF300" s="70"/>
      <c r="AG300" s="81"/>
      <c r="AL300" s="134"/>
      <c r="AM300" s="134"/>
      <c r="AU300" s="132"/>
      <c r="AV300" s="133"/>
      <c r="AW300" s="134"/>
    </row>
    <row r="301" spans="1:49">
      <c r="A301" s="74">
        <v>1037</v>
      </c>
      <c r="B301" s="146" t="str">
        <f t="shared" si="66"/>
        <v>Electric ZonalR19R0R0Single</v>
      </c>
      <c r="C301" s="166" t="s">
        <v>228</v>
      </c>
      <c r="D301" s="166" t="s">
        <v>335</v>
      </c>
      <c r="E301" s="166" t="s">
        <v>329</v>
      </c>
      <c r="F301" s="166" t="s">
        <v>329</v>
      </c>
      <c r="G301" s="166" t="s">
        <v>355</v>
      </c>
      <c r="H301" s="70">
        <f t="shared" si="65"/>
        <v>0</v>
      </c>
      <c r="I301" s="169" t="str">
        <f t="shared" si="67"/>
        <v/>
      </c>
      <c r="J301" s="70" t="str">
        <f t="shared" si="68"/>
        <v>1037Electric ZonalR19R0R0Single</v>
      </c>
      <c r="M301" s="70"/>
      <c r="P301" s="81"/>
      <c r="AF301" s="70"/>
      <c r="AG301" s="81"/>
      <c r="AL301" s="134"/>
      <c r="AM301" s="134"/>
      <c r="AU301" s="132"/>
      <c r="AV301" s="133"/>
      <c r="AW301" s="134"/>
    </row>
    <row r="302" spans="1:49">
      <c r="A302" s="74">
        <v>1038</v>
      </c>
      <c r="B302" s="146" t="str">
        <f t="shared" si="66"/>
        <v>Electric ZonalR19R0R0Double</v>
      </c>
      <c r="C302" s="166" t="s">
        <v>228</v>
      </c>
      <c r="D302" s="166" t="s">
        <v>335</v>
      </c>
      <c r="E302" s="166" t="s">
        <v>329</v>
      </c>
      <c r="F302" s="166" t="s">
        <v>329</v>
      </c>
      <c r="G302" s="72" t="s">
        <v>339</v>
      </c>
      <c r="H302" s="70">
        <f t="shared" si="65"/>
        <v>1524.7619999999999</v>
      </c>
      <c r="I302" s="169">
        <f t="shared" si="67"/>
        <v>1.4303504230019244E-3</v>
      </c>
      <c r="J302" s="70" t="str">
        <f t="shared" si="68"/>
        <v>1038Electric ZonalR19R0R0Double</v>
      </c>
      <c r="M302" s="70"/>
      <c r="P302" s="81"/>
      <c r="AF302" s="70"/>
      <c r="AG302" s="81"/>
      <c r="AL302" s="134"/>
      <c r="AM302" s="134"/>
      <c r="AU302" s="132"/>
      <c r="AV302" s="133"/>
      <c r="AW302" s="134"/>
    </row>
    <row r="303" spans="1:49">
      <c r="A303" s="74">
        <v>1039</v>
      </c>
      <c r="B303" s="146" t="str">
        <f t="shared" si="66"/>
        <v>Electric ZonalR19R0R0Better</v>
      </c>
      <c r="C303" s="166" t="s">
        <v>228</v>
      </c>
      <c r="D303" s="166" t="s">
        <v>335</v>
      </c>
      <c r="E303" s="166" t="s">
        <v>329</v>
      </c>
      <c r="F303" s="166" t="s">
        <v>329</v>
      </c>
      <c r="G303" s="72" t="s">
        <v>352</v>
      </c>
      <c r="H303" s="70">
        <f t="shared" si="65"/>
        <v>1524.7619999999999</v>
      </c>
      <c r="I303" s="169">
        <f t="shared" si="67"/>
        <v>1.4303504230019244E-3</v>
      </c>
      <c r="J303" s="70" t="str">
        <f t="shared" si="68"/>
        <v>1039Electric ZonalR19R0R0Better</v>
      </c>
      <c r="M303" s="70"/>
      <c r="P303" s="81"/>
      <c r="AF303" s="70"/>
      <c r="AG303" s="81"/>
      <c r="AL303" s="134"/>
      <c r="AM303" s="134"/>
      <c r="AU303" s="132"/>
      <c r="AV303" s="133"/>
      <c r="AW303" s="134"/>
    </row>
    <row r="304" spans="1:49">
      <c r="A304" s="74">
        <v>1040</v>
      </c>
      <c r="B304" s="146" t="str">
        <f t="shared" si="66"/>
        <v>Electric ZonalR19R0R19Single</v>
      </c>
      <c r="C304" s="166" t="s">
        <v>228</v>
      </c>
      <c r="D304" s="166" t="s">
        <v>335</v>
      </c>
      <c r="E304" s="166" t="s">
        <v>329</v>
      </c>
      <c r="F304" s="72" t="s">
        <v>335</v>
      </c>
      <c r="G304" s="166" t="s">
        <v>355</v>
      </c>
      <c r="H304" s="70">
        <f t="shared" si="65"/>
        <v>0</v>
      </c>
      <c r="I304" s="169" t="str">
        <f t="shared" si="67"/>
        <v/>
      </c>
      <c r="J304" s="70" t="str">
        <f t="shared" si="68"/>
        <v>1040Electric ZonalR19R0R19Single</v>
      </c>
      <c r="M304" s="70"/>
      <c r="P304" s="81"/>
      <c r="AF304" s="70"/>
      <c r="AG304" s="81"/>
      <c r="AL304" s="134"/>
      <c r="AM304" s="134"/>
      <c r="AU304" s="132"/>
      <c r="AV304" s="133"/>
      <c r="AW304" s="134"/>
    </row>
    <row r="305" spans="1:49">
      <c r="A305" s="74">
        <v>1041</v>
      </c>
      <c r="B305" s="146" t="str">
        <f t="shared" si="66"/>
        <v>Electric ZonalR19R0R19Double</v>
      </c>
      <c r="C305" s="166" t="s">
        <v>228</v>
      </c>
      <c r="D305" s="166" t="s">
        <v>335</v>
      </c>
      <c r="E305" s="166" t="s">
        <v>329</v>
      </c>
      <c r="F305" s="72" t="s">
        <v>335</v>
      </c>
      <c r="G305" s="72" t="s">
        <v>339</v>
      </c>
      <c r="H305" s="70">
        <f t="shared" si="65"/>
        <v>0</v>
      </c>
      <c r="I305" s="169" t="str">
        <f t="shared" si="67"/>
        <v/>
      </c>
      <c r="J305" s="70" t="str">
        <f t="shared" si="68"/>
        <v>1041Electric ZonalR19R0R19Double</v>
      </c>
      <c r="M305" s="70"/>
      <c r="P305" s="81"/>
      <c r="AF305" s="70"/>
      <c r="AG305" s="81"/>
      <c r="AL305" s="134"/>
      <c r="AM305" s="134"/>
      <c r="AU305" s="132"/>
      <c r="AV305" s="133"/>
      <c r="AW305" s="134"/>
    </row>
    <row r="306" spans="1:49">
      <c r="A306" s="74">
        <v>1042</v>
      </c>
      <c r="B306" s="146" t="str">
        <f t="shared" si="66"/>
        <v>Electric ZonalR19R0R19Better</v>
      </c>
      <c r="C306" s="166" t="s">
        <v>228</v>
      </c>
      <c r="D306" s="166" t="s">
        <v>335</v>
      </c>
      <c r="E306" s="166" t="s">
        <v>329</v>
      </c>
      <c r="F306" s="72" t="s">
        <v>335</v>
      </c>
      <c r="G306" s="166" t="s">
        <v>352</v>
      </c>
      <c r="H306" s="70">
        <f t="shared" si="65"/>
        <v>2003.7159999999999</v>
      </c>
      <c r="I306" s="169">
        <f t="shared" si="67"/>
        <v>1.8796481209367257E-3</v>
      </c>
      <c r="J306" s="70" t="str">
        <f t="shared" si="68"/>
        <v>1042Electric ZonalR19R0R19Better</v>
      </c>
      <c r="M306" s="70"/>
      <c r="P306" s="81"/>
      <c r="AF306" s="70"/>
      <c r="AG306" s="81"/>
      <c r="AL306" s="134"/>
      <c r="AM306" s="134"/>
      <c r="AU306" s="132"/>
      <c r="AV306" s="133"/>
      <c r="AW306" s="134"/>
    </row>
    <row r="307" spans="1:49">
      <c r="A307" s="74">
        <v>1043</v>
      </c>
      <c r="B307" s="146" t="str">
        <f t="shared" si="66"/>
        <v>Electric ZonalR19R0BetterSingle</v>
      </c>
      <c r="C307" s="166" t="s">
        <v>228</v>
      </c>
      <c r="D307" s="166" t="s">
        <v>335</v>
      </c>
      <c r="E307" s="166" t="s">
        <v>329</v>
      </c>
      <c r="F307" s="166" t="s">
        <v>352</v>
      </c>
      <c r="G307" s="166" t="s">
        <v>355</v>
      </c>
      <c r="H307" s="70">
        <f t="shared" si="65"/>
        <v>0</v>
      </c>
      <c r="I307" s="169" t="str">
        <f t="shared" si="67"/>
        <v/>
      </c>
      <c r="J307" s="70" t="str">
        <f t="shared" si="68"/>
        <v>1043Electric ZonalR19R0BetterSingle</v>
      </c>
      <c r="M307" s="70"/>
      <c r="P307" s="81"/>
      <c r="AF307" s="70"/>
      <c r="AG307" s="81"/>
      <c r="AL307" s="134"/>
      <c r="AM307" s="134"/>
      <c r="AU307" s="132"/>
      <c r="AV307" s="133"/>
      <c r="AW307" s="134"/>
    </row>
    <row r="308" spans="1:49">
      <c r="A308" s="74">
        <v>1044</v>
      </c>
      <c r="B308" s="146" t="str">
        <f t="shared" si="66"/>
        <v>Electric ZonalR19R0BetterDouble</v>
      </c>
      <c r="C308" s="166" t="s">
        <v>228</v>
      </c>
      <c r="D308" s="166" t="s">
        <v>335</v>
      </c>
      <c r="E308" s="166" t="s">
        <v>329</v>
      </c>
      <c r="F308" s="166" t="s">
        <v>352</v>
      </c>
      <c r="G308" s="72" t="s">
        <v>339</v>
      </c>
      <c r="H308" s="70">
        <f t="shared" si="65"/>
        <v>0</v>
      </c>
      <c r="I308" s="169" t="str">
        <f t="shared" si="67"/>
        <v/>
      </c>
      <c r="J308" s="70" t="str">
        <f t="shared" si="68"/>
        <v>1044Electric ZonalR19R0BetterDouble</v>
      </c>
      <c r="M308" s="70"/>
      <c r="P308" s="81"/>
      <c r="AF308" s="70"/>
      <c r="AG308" s="81"/>
      <c r="AL308" s="134"/>
      <c r="AM308" s="134"/>
      <c r="AU308" s="132"/>
      <c r="AV308" s="133"/>
      <c r="AW308" s="134"/>
    </row>
    <row r="309" spans="1:49">
      <c r="A309" s="74">
        <v>1045</v>
      </c>
      <c r="B309" s="146" t="str">
        <f t="shared" si="66"/>
        <v>Electric ZonalR19R0BetterBetter</v>
      </c>
      <c r="C309" s="166" t="s">
        <v>228</v>
      </c>
      <c r="D309" s="166" t="s">
        <v>335</v>
      </c>
      <c r="E309" s="166" t="s">
        <v>329</v>
      </c>
      <c r="F309" s="166" t="s">
        <v>352</v>
      </c>
      <c r="G309" s="72" t="s">
        <v>352</v>
      </c>
      <c r="H309" s="70">
        <f t="shared" si="65"/>
        <v>0</v>
      </c>
      <c r="I309" s="169" t="str">
        <f t="shared" si="67"/>
        <v/>
      </c>
      <c r="J309" s="70" t="str">
        <f t="shared" si="68"/>
        <v>1045Electric ZonalR19R0BetterBetter</v>
      </c>
      <c r="M309" s="70"/>
      <c r="P309" s="81"/>
      <c r="AF309" s="70"/>
      <c r="AG309" s="81"/>
      <c r="AL309" s="134"/>
      <c r="AM309" s="134"/>
      <c r="AU309" s="132"/>
      <c r="AV309" s="133"/>
      <c r="AW309" s="134"/>
    </row>
    <row r="310" spans="1:49">
      <c r="A310" s="74">
        <v>1046</v>
      </c>
      <c r="B310" s="146" t="str">
        <f t="shared" si="66"/>
        <v>Electric ZonalR19R11R0Single</v>
      </c>
      <c r="C310" s="166" t="s">
        <v>228</v>
      </c>
      <c r="D310" s="166" t="s">
        <v>335</v>
      </c>
      <c r="E310" s="166" t="s">
        <v>334</v>
      </c>
      <c r="F310" s="166" t="s">
        <v>329</v>
      </c>
      <c r="G310" s="166" t="s">
        <v>355</v>
      </c>
      <c r="H310" s="70">
        <f t="shared" si="65"/>
        <v>0</v>
      </c>
      <c r="I310" s="169" t="str">
        <f t="shared" si="67"/>
        <v/>
      </c>
      <c r="J310" s="70" t="str">
        <f t="shared" si="68"/>
        <v>1046Electric ZonalR19R11R0Single</v>
      </c>
      <c r="M310" s="70"/>
      <c r="P310" s="81"/>
      <c r="AF310" s="70"/>
      <c r="AG310" s="81"/>
      <c r="AL310" s="134"/>
      <c r="AM310" s="134"/>
      <c r="AU310" s="132"/>
      <c r="AV310" s="133"/>
      <c r="AW310" s="134"/>
    </row>
    <row r="311" spans="1:49">
      <c r="A311" s="74">
        <v>1047</v>
      </c>
      <c r="B311" s="146" t="str">
        <f t="shared" si="66"/>
        <v>Electric ZonalR19R11R0Double</v>
      </c>
      <c r="C311" s="166" t="s">
        <v>228</v>
      </c>
      <c r="D311" s="166" t="s">
        <v>335</v>
      </c>
      <c r="E311" s="166" t="s">
        <v>334</v>
      </c>
      <c r="F311" s="166" t="s">
        <v>329</v>
      </c>
      <c r="G311" s="72" t="s">
        <v>339</v>
      </c>
      <c r="H311" s="70">
        <f t="shared" si="65"/>
        <v>3148.395</v>
      </c>
      <c r="I311" s="169">
        <f t="shared" si="67"/>
        <v>2.9534498630128139E-3</v>
      </c>
      <c r="J311" s="70" t="str">
        <f t="shared" si="68"/>
        <v>1047Electric ZonalR19R11R0Double</v>
      </c>
      <c r="M311" s="70"/>
      <c r="P311" s="81"/>
      <c r="AF311" s="70"/>
      <c r="AG311" s="81"/>
      <c r="AL311" s="134"/>
      <c r="AM311" s="134"/>
      <c r="AU311" s="132"/>
      <c r="AV311" s="133"/>
      <c r="AW311" s="134"/>
    </row>
    <row r="312" spans="1:49">
      <c r="A312" s="74">
        <v>1048</v>
      </c>
      <c r="B312" s="146" t="str">
        <f t="shared" si="66"/>
        <v>Electric ZonalR19R11R0Better</v>
      </c>
      <c r="C312" s="166" t="s">
        <v>228</v>
      </c>
      <c r="D312" s="166" t="s">
        <v>335</v>
      </c>
      <c r="E312" s="166" t="s">
        <v>334</v>
      </c>
      <c r="F312" s="166" t="s">
        <v>329</v>
      </c>
      <c r="G312" s="166" t="s">
        <v>352</v>
      </c>
      <c r="H312" s="70">
        <f t="shared" si="65"/>
        <v>10309.49</v>
      </c>
      <c r="I312" s="169">
        <f t="shared" si="67"/>
        <v>9.6711377791642954E-3</v>
      </c>
      <c r="J312" s="70" t="str">
        <f t="shared" si="68"/>
        <v>1048Electric ZonalR19R11R0Better</v>
      </c>
      <c r="M312" s="70"/>
      <c r="P312" s="81"/>
      <c r="AF312" s="70"/>
      <c r="AG312" s="81"/>
      <c r="AL312" s="134"/>
      <c r="AM312" s="134"/>
      <c r="AU312" s="132"/>
      <c r="AV312" s="133"/>
      <c r="AW312" s="134"/>
    </row>
    <row r="313" spans="1:49">
      <c r="A313" s="74">
        <v>1049</v>
      </c>
      <c r="B313" s="146" t="str">
        <f t="shared" si="66"/>
        <v>Electric ZonalR19R11R19Single</v>
      </c>
      <c r="C313" s="166" t="s">
        <v>228</v>
      </c>
      <c r="D313" s="166" t="s">
        <v>335</v>
      </c>
      <c r="E313" s="166" t="s">
        <v>334</v>
      </c>
      <c r="F313" s="72" t="s">
        <v>335</v>
      </c>
      <c r="G313" s="166" t="s">
        <v>355</v>
      </c>
      <c r="H313" s="70">
        <f t="shared" si="65"/>
        <v>0</v>
      </c>
      <c r="I313" s="169" t="str">
        <f t="shared" si="67"/>
        <v/>
      </c>
      <c r="J313" s="70" t="str">
        <f t="shared" si="68"/>
        <v>1049Electric ZonalR19R11R19Single</v>
      </c>
      <c r="M313" s="70"/>
      <c r="P313" s="81"/>
      <c r="AF313" s="70"/>
      <c r="AG313" s="81"/>
      <c r="AL313" s="134"/>
      <c r="AM313" s="134"/>
      <c r="AU313" s="132"/>
      <c r="AV313" s="133"/>
      <c r="AW313" s="134"/>
    </row>
    <row r="314" spans="1:49">
      <c r="A314" s="74">
        <v>1050</v>
      </c>
      <c r="B314" s="146" t="str">
        <f t="shared" si="66"/>
        <v>Electric ZonalR19R11R19Double</v>
      </c>
      <c r="C314" s="166" t="s">
        <v>228</v>
      </c>
      <c r="D314" s="166" t="s">
        <v>335</v>
      </c>
      <c r="E314" s="166" t="s">
        <v>334</v>
      </c>
      <c r="F314" s="72" t="s">
        <v>335</v>
      </c>
      <c r="G314" s="72" t="s">
        <v>339</v>
      </c>
      <c r="H314" s="70">
        <f t="shared" si="65"/>
        <v>1524.7619999999999</v>
      </c>
      <c r="I314" s="169">
        <f t="shared" si="67"/>
        <v>1.4303504230019244E-3</v>
      </c>
      <c r="J314" s="70" t="str">
        <f t="shared" si="68"/>
        <v>1050Electric ZonalR19R11R19Double</v>
      </c>
      <c r="M314" s="70"/>
      <c r="P314" s="81"/>
      <c r="AF314" s="70"/>
      <c r="AG314" s="81"/>
      <c r="AL314" s="134"/>
      <c r="AM314" s="134"/>
      <c r="AU314" s="132"/>
      <c r="AV314" s="133"/>
      <c r="AW314" s="134"/>
    </row>
    <row r="315" spans="1:49">
      <c r="A315" s="74">
        <v>1051</v>
      </c>
      <c r="B315" s="146" t="str">
        <f t="shared" si="66"/>
        <v>Electric ZonalR19R11R19Better</v>
      </c>
      <c r="C315" s="166" t="s">
        <v>228</v>
      </c>
      <c r="D315" s="166" t="s">
        <v>335</v>
      </c>
      <c r="E315" s="166" t="s">
        <v>334</v>
      </c>
      <c r="F315" s="72" t="s">
        <v>335</v>
      </c>
      <c r="G315" s="72" t="s">
        <v>352</v>
      </c>
      <c r="H315" s="70">
        <f t="shared" si="65"/>
        <v>16489.944</v>
      </c>
      <c r="I315" s="169">
        <f t="shared" si="67"/>
        <v>1.5468904901668619E-2</v>
      </c>
      <c r="J315" s="70" t="str">
        <f t="shared" si="68"/>
        <v>1051Electric ZonalR19R11R19Better</v>
      </c>
      <c r="M315" s="70"/>
      <c r="P315" s="81"/>
      <c r="AF315" s="70"/>
      <c r="AG315" s="81"/>
      <c r="AL315" s="134"/>
      <c r="AM315" s="134"/>
      <c r="AU315" s="132"/>
      <c r="AV315" s="133"/>
      <c r="AW315" s="134"/>
    </row>
    <row r="316" spans="1:49">
      <c r="A316" s="74">
        <v>1052</v>
      </c>
      <c r="B316" s="146" t="str">
        <f t="shared" si="66"/>
        <v>Electric ZonalR19R11BetterSingle</v>
      </c>
      <c r="C316" s="166" t="s">
        <v>228</v>
      </c>
      <c r="D316" s="166" t="s">
        <v>335</v>
      </c>
      <c r="E316" s="166" t="s">
        <v>334</v>
      </c>
      <c r="F316" s="166" t="s">
        <v>352</v>
      </c>
      <c r="G316" s="166" t="s">
        <v>355</v>
      </c>
      <c r="H316" s="70">
        <f t="shared" si="65"/>
        <v>0</v>
      </c>
      <c r="I316" s="169" t="str">
        <f t="shared" si="67"/>
        <v/>
      </c>
      <c r="J316" s="70" t="str">
        <f t="shared" si="68"/>
        <v>1052Electric ZonalR19R11BetterSingle</v>
      </c>
      <c r="M316" s="70"/>
      <c r="P316" s="81"/>
      <c r="AF316" s="70"/>
      <c r="AG316" s="81"/>
      <c r="AL316" s="134"/>
      <c r="AM316" s="134"/>
      <c r="AU316" s="132"/>
      <c r="AV316" s="133"/>
      <c r="AW316" s="134"/>
    </row>
    <row r="317" spans="1:49">
      <c r="A317" s="74">
        <v>1053</v>
      </c>
      <c r="B317" s="146" t="str">
        <f t="shared" si="66"/>
        <v>Electric ZonalR19R11BetterDouble</v>
      </c>
      <c r="C317" s="166" t="s">
        <v>228</v>
      </c>
      <c r="D317" s="166" t="s">
        <v>335</v>
      </c>
      <c r="E317" s="166" t="s">
        <v>334</v>
      </c>
      <c r="F317" s="166" t="s">
        <v>352</v>
      </c>
      <c r="G317" s="72" t="s">
        <v>339</v>
      </c>
      <c r="H317" s="70">
        <f t="shared" si="65"/>
        <v>3616.4079999999999</v>
      </c>
      <c r="I317" s="169">
        <f t="shared" si="67"/>
        <v>3.3924840155693434E-3</v>
      </c>
      <c r="J317" s="70" t="str">
        <f t="shared" si="68"/>
        <v>1053Electric ZonalR19R11BetterDouble</v>
      </c>
      <c r="M317" s="70"/>
      <c r="P317" s="81"/>
      <c r="AF317" s="70"/>
      <c r="AG317" s="81"/>
      <c r="AL317" s="134"/>
      <c r="AM317" s="134"/>
      <c r="AU317" s="132"/>
      <c r="AV317" s="133"/>
      <c r="AW317" s="134"/>
    </row>
    <row r="318" spans="1:49">
      <c r="A318" s="74">
        <v>1054</v>
      </c>
      <c r="B318" s="146" t="str">
        <f t="shared" si="66"/>
        <v>Electric ZonalR19R11BetterBetter</v>
      </c>
      <c r="C318" s="166" t="s">
        <v>228</v>
      </c>
      <c r="D318" s="166" t="s">
        <v>335</v>
      </c>
      <c r="E318" s="166" t="s">
        <v>334</v>
      </c>
      <c r="F318" s="166" t="s">
        <v>352</v>
      </c>
      <c r="G318" s="166" t="s">
        <v>352</v>
      </c>
      <c r="H318" s="70">
        <f t="shared" si="65"/>
        <v>4956.4930000000004</v>
      </c>
      <c r="I318" s="169">
        <f t="shared" si="67"/>
        <v>4.649592434200274E-3</v>
      </c>
      <c r="J318" s="70" t="str">
        <f t="shared" si="68"/>
        <v>1054Electric ZonalR19R11BetterBetter</v>
      </c>
      <c r="M318" s="70"/>
      <c r="P318" s="81"/>
      <c r="AF318" s="70"/>
      <c r="AG318" s="81"/>
      <c r="AL318" s="134"/>
      <c r="AM318" s="134"/>
      <c r="AU318" s="132"/>
      <c r="AV318" s="133"/>
      <c r="AW318" s="134"/>
    </row>
    <row r="319" spans="1:49">
      <c r="A319" s="74">
        <v>1055</v>
      </c>
      <c r="B319" s="146" t="str">
        <f t="shared" si="66"/>
        <v>Electric ZonalR30R0R0Single</v>
      </c>
      <c r="C319" s="166" t="s">
        <v>228</v>
      </c>
      <c r="D319" s="170" t="s">
        <v>336</v>
      </c>
      <c r="E319" s="166" t="s">
        <v>329</v>
      </c>
      <c r="F319" s="166" t="s">
        <v>329</v>
      </c>
      <c r="G319" s="166" t="s">
        <v>355</v>
      </c>
      <c r="H319" s="70">
        <f t="shared" si="65"/>
        <v>0</v>
      </c>
      <c r="I319" s="169" t="str">
        <f t="shared" si="67"/>
        <v/>
      </c>
      <c r="J319" s="70" t="str">
        <f t="shared" si="68"/>
        <v>1055Electric ZonalR30R0R0Single</v>
      </c>
      <c r="M319" s="70"/>
      <c r="P319" s="81"/>
      <c r="AF319" s="70"/>
      <c r="AG319" s="81"/>
      <c r="AL319" s="134"/>
      <c r="AM319" s="134"/>
      <c r="AU319" s="132"/>
      <c r="AV319" s="133"/>
      <c r="AW319" s="134"/>
    </row>
    <row r="320" spans="1:49">
      <c r="A320" s="74">
        <v>1056</v>
      </c>
      <c r="B320" s="146" t="str">
        <f t="shared" si="66"/>
        <v>Electric ZonalR30R0R0Double</v>
      </c>
      <c r="C320" s="166" t="s">
        <v>228</v>
      </c>
      <c r="D320" s="170" t="s">
        <v>336</v>
      </c>
      <c r="E320" s="166" t="s">
        <v>329</v>
      </c>
      <c r="F320" s="166" t="s">
        <v>329</v>
      </c>
      <c r="G320" s="72" t="s">
        <v>339</v>
      </c>
      <c r="H320" s="70">
        <f t="shared" si="65"/>
        <v>0</v>
      </c>
      <c r="I320" s="169" t="str">
        <f t="shared" si="67"/>
        <v/>
      </c>
      <c r="J320" s="70" t="str">
        <f t="shared" si="68"/>
        <v>1056Electric ZonalR30R0R0Double</v>
      </c>
      <c r="M320" s="70"/>
      <c r="P320" s="81"/>
      <c r="AF320" s="70"/>
      <c r="AG320" s="81"/>
      <c r="AL320" s="134"/>
      <c r="AM320" s="134"/>
      <c r="AU320" s="132"/>
      <c r="AV320" s="133"/>
      <c r="AW320" s="134"/>
    </row>
    <row r="321" spans="1:49">
      <c r="A321" s="74">
        <v>1057</v>
      </c>
      <c r="B321" s="146" t="str">
        <f t="shared" si="66"/>
        <v>Electric ZonalR30R0R0Better</v>
      </c>
      <c r="C321" s="166" t="s">
        <v>228</v>
      </c>
      <c r="D321" s="170" t="s">
        <v>336</v>
      </c>
      <c r="E321" s="166" t="s">
        <v>329</v>
      </c>
      <c r="F321" s="166" t="s">
        <v>329</v>
      </c>
      <c r="G321" s="72" t="s">
        <v>352</v>
      </c>
      <c r="H321" s="70">
        <f t="shared" si="65"/>
        <v>0</v>
      </c>
      <c r="I321" s="169" t="str">
        <f t="shared" si="67"/>
        <v/>
      </c>
      <c r="J321" s="70" t="str">
        <f t="shared" si="68"/>
        <v>1057Electric ZonalR30R0R0Better</v>
      </c>
      <c r="M321" s="70"/>
      <c r="P321" s="81"/>
      <c r="AF321" s="70"/>
      <c r="AG321" s="81"/>
      <c r="AL321" s="134"/>
      <c r="AM321" s="134"/>
      <c r="AU321" s="132"/>
      <c r="AV321" s="133"/>
      <c r="AW321" s="134"/>
    </row>
    <row r="322" spans="1:49">
      <c r="A322" s="74">
        <v>1058</v>
      </c>
      <c r="B322" s="146" t="str">
        <f t="shared" si="66"/>
        <v>Electric ZonalR30R0R19Single</v>
      </c>
      <c r="C322" s="166" t="s">
        <v>228</v>
      </c>
      <c r="D322" s="170" t="s">
        <v>336</v>
      </c>
      <c r="E322" s="166" t="s">
        <v>329</v>
      </c>
      <c r="F322" s="72" t="s">
        <v>335</v>
      </c>
      <c r="G322" s="166" t="s">
        <v>355</v>
      </c>
      <c r="H322" s="70">
        <f t="shared" si="65"/>
        <v>0</v>
      </c>
      <c r="I322" s="169" t="str">
        <f t="shared" si="67"/>
        <v/>
      </c>
      <c r="J322" s="70" t="str">
        <f t="shared" si="68"/>
        <v>1058Electric ZonalR30R0R19Single</v>
      </c>
      <c r="M322" s="70"/>
      <c r="P322" s="81"/>
      <c r="AF322" s="70"/>
      <c r="AG322" s="81"/>
      <c r="AL322" s="134"/>
      <c r="AM322" s="134"/>
      <c r="AU322" s="132"/>
      <c r="AV322" s="133"/>
      <c r="AW322" s="134"/>
    </row>
    <row r="323" spans="1:49">
      <c r="A323" s="74">
        <v>1059</v>
      </c>
      <c r="B323" s="146" t="str">
        <f t="shared" si="66"/>
        <v>Electric ZonalR30R0R19Double</v>
      </c>
      <c r="C323" s="166" t="s">
        <v>228</v>
      </c>
      <c r="D323" s="170" t="s">
        <v>336</v>
      </c>
      <c r="E323" s="166" t="s">
        <v>329</v>
      </c>
      <c r="F323" s="72" t="s">
        <v>335</v>
      </c>
      <c r="G323" s="72" t="s">
        <v>339</v>
      </c>
      <c r="H323" s="70">
        <f t="shared" si="65"/>
        <v>0</v>
      </c>
      <c r="I323" s="169" t="str">
        <f t="shared" si="67"/>
        <v/>
      </c>
      <c r="J323" s="70" t="str">
        <f t="shared" si="68"/>
        <v>1059Electric ZonalR30R0R19Double</v>
      </c>
      <c r="M323" s="70"/>
      <c r="P323" s="81"/>
      <c r="AF323" s="70"/>
      <c r="AG323" s="81"/>
      <c r="AL323" s="134"/>
      <c r="AM323" s="134"/>
      <c r="AU323" s="132"/>
      <c r="AV323" s="133"/>
      <c r="AW323" s="134"/>
    </row>
    <row r="324" spans="1:49">
      <c r="A324" s="74">
        <v>1060</v>
      </c>
      <c r="B324" s="146" t="str">
        <f t="shared" si="66"/>
        <v>Electric ZonalR30R0R19Better</v>
      </c>
      <c r="C324" s="166" t="s">
        <v>228</v>
      </c>
      <c r="D324" s="170" t="s">
        <v>336</v>
      </c>
      <c r="E324" s="166" t="s">
        <v>329</v>
      </c>
      <c r="F324" s="72" t="s">
        <v>335</v>
      </c>
      <c r="G324" s="166" t="s">
        <v>352</v>
      </c>
      <c r="H324" s="70">
        <f t="shared" si="65"/>
        <v>0</v>
      </c>
      <c r="I324" s="169" t="str">
        <f t="shared" si="67"/>
        <v/>
      </c>
      <c r="J324" s="70" t="str">
        <f t="shared" si="68"/>
        <v>1060Electric ZonalR30R0R19Better</v>
      </c>
      <c r="M324" s="70"/>
      <c r="P324" s="81"/>
      <c r="AF324" s="70"/>
      <c r="AG324" s="81"/>
      <c r="AL324" s="134"/>
      <c r="AM324" s="134"/>
      <c r="AU324" s="132"/>
      <c r="AV324" s="133"/>
      <c r="AW324" s="134"/>
    </row>
    <row r="325" spans="1:49">
      <c r="A325" s="74">
        <v>1061</v>
      </c>
      <c r="B325" s="146" t="str">
        <f t="shared" si="66"/>
        <v>Electric ZonalR30R0BetterSingle</v>
      </c>
      <c r="C325" s="166" t="s">
        <v>228</v>
      </c>
      <c r="D325" s="170" t="s">
        <v>336</v>
      </c>
      <c r="E325" s="166" t="s">
        <v>329</v>
      </c>
      <c r="F325" s="166" t="s">
        <v>352</v>
      </c>
      <c r="G325" s="166" t="s">
        <v>355</v>
      </c>
      <c r="H325" s="70">
        <f t="shared" si="65"/>
        <v>0</v>
      </c>
      <c r="I325" s="169" t="str">
        <f t="shared" si="67"/>
        <v/>
      </c>
      <c r="J325" s="70" t="str">
        <f t="shared" si="68"/>
        <v>1061Electric ZonalR30R0BetterSingle</v>
      </c>
      <c r="M325" s="70"/>
      <c r="P325" s="81"/>
      <c r="AF325" s="70"/>
      <c r="AG325" s="81"/>
      <c r="AL325" s="134"/>
      <c r="AM325" s="134"/>
      <c r="AU325" s="132"/>
      <c r="AV325" s="133"/>
      <c r="AW325" s="134"/>
    </row>
    <row r="326" spans="1:49">
      <c r="A326" s="74">
        <v>1062</v>
      </c>
      <c r="B326" s="146" t="str">
        <f t="shared" si="66"/>
        <v>Electric ZonalR30R0BetterDouble</v>
      </c>
      <c r="C326" s="166" t="s">
        <v>228</v>
      </c>
      <c r="D326" s="170" t="s">
        <v>336</v>
      </c>
      <c r="E326" s="166" t="s">
        <v>329</v>
      </c>
      <c r="F326" s="166" t="s">
        <v>352</v>
      </c>
      <c r="G326" s="72" t="s">
        <v>339</v>
      </c>
      <c r="H326" s="70">
        <f t="shared" si="65"/>
        <v>0</v>
      </c>
      <c r="I326" s="169" t="str">
        <f t="shared" si="67"/>
        <v/>
      </c>
      <c r="J326" s="70" t="str">
        <f t="shared" si="68"/>
        <v>1062Electric ZonalR30R0BetterDouble</v>
      </c>
      <c r="M326" s="70"/>
      <c r="P326" s="81"/>
      <c r="AF326" s="70"/>
      <c r="AG326" s="81"/>
      <c r="AL326" s="134"/>
      <c r="AM326" s="134"/>
      <c r="AU326" s="132"/>
      <c r="AV326" s="133"/>
      <c r="AW326" s="134"/>
    </row>
    <row r="327" spans="1:49">
      <c r="A327" s="74">
        <v>1063</v>
      </c>
      <c r="B327" s="146" t="str">
        <f t="shared" si="66"/>
        <v>Electric ZonalR30R0BetterBetter</v>
      </c>
      <c r="C327" s="166" t="s">
        <v>228</v>
      </c>
      <c r="D327" s="170" t="s">
        <v>336</v>
      </c>
      <c r="E327" s="166" t="s">
        <v>329</v>
      </c>
      <c r="F327" s="166" t="s">
        <v>352</v>
      </c>
      <c r="G327" s="72" t="s">
        <v>352</v>
      </c>
      <c r="H327" s="70">
        <f t="shared" si="65"/>
        <v>3692.6849999999999</v>
      </c>
      <c r="I327" s="169">
        <f t="shared" si="67"/>
        <v>3.4640380280744547E-3</v>
      </c>
      <c r="J327" s="70" t="str">
        <f t="shared" si="68"/>
        <v>1063Electric ZonalR30R0BetterBetter</v>
      </c>
      <c r="M327" s="70"/>
      <c r="P327" s="81"/>
      <c r="AF327" s="70"/>
      <c r="AG327" s="81"/>
      <c r="AL327" s="134"/>
      <c r="AM327" s="134"/>
      <c r="AU327" s="132"/>
      <c r="AV327" s="133"/>
      <c r="AW327" s="134"/>
    </row>
    <row r="328" spans="1:49">
      <c r="A328" s="74">
        <v>1064</v>
      </c>
      <c r="B328" s="146" t="str">
        <f t="shared" si="66"/>
        <v>Electric ZonalR30R11R0Single</v>
      </c>
      <c r="C328" s="166" t="s">
        <v>228</v>
      </c>
      <c r="D328" s="170" t="s">
        <v>336</v>
      </c>
      <c r="E328" s="166" t="s">
        <v>334</v>
      </c>
      <c r="F328" s="166" t="s">
        <v>329</v>
      </c>
      <c r="G328" s="166" t="s">
        <v>355</v>
      </c>
      <c r="H328" s="70">
        <f t="shared" si="65"/>
        <v>0</v>
      </c>
      <c r="I328" s="169" t="str">
        <f t="shared" si="67"/>
        <v/>
      </c>
      <c r="J328" s="70" t="str">
        <f t="shared" si="68"/>
        <v>1064Electric ZonalR30R11R0Single</v>
      </c>
      <c r="M328" s="70"/>
      <c r="P328" s="81"/>
      <c r="AF328" s="70"/>
      <c r="AG328" s="81"/>
      <c r="AL328" s="134"/>
      <c r="AM328" s="134"/>
      <c r="AU328" s="132"/>
      <c r="AV328" s="133"/>
      <c r="AW328" s="134"/>
    </row>
    <row r="329" spans="1:49">
      <c r="A329" s="74">
        <v>1065</v>
      </c>
      <c r="B329" s="146" t="str">
        <f t="shared" si="66"/>
        <v>Electric ZonalR30R11R0Double</v>
      </c>
      <c r="C329" s="166" t="s">
        <v>228</v>
      </c>
      <c r="D329" s="170" t="s">
        <v>336</v>
      </c>
      <c r="E329" s="166" t="s">
        <v>334</v>
      </c>
      <c r="F329" s="166" t="s">
        <v>329</v>
      </c>
      <c r="G329" s="72" t="s">
        <v>339</v>
      </c>
      <c r="H329" s="70">
        <f t="shared" ref="H329:H392" si="69">SUMIFS($I$755:$I$1283,$O$755:$O$1283,B329,$J$755:$J$1283,"keep")</f>
        <v>2079.9929999999999</v>
      </c>
      <c r="I329" s="169">
        <f t="shared" ref="I329:I392" si="70">IF(H329&gt;0,H329/SUM($H$265:$H$714),"")</f>
        <v>1.9512021334418368E-3</v>
      </c>
      <c r="J329" s="70" t="str">
        <f t="shared" si="68"/>
        <v>1065Electric ZonalR30R11R0Double</v>
      </c>
      <c r="M329" s="70"/>
      <c r="P329" s="81"/>
      <c r="AF329" s="70"/>
      <c r="AG329" s="81"/>
      <c r="AL329" s="134"/>
      <c r="AM329" s="134"/>
      <c r="AU329" s="132"/>
      <c r="AV329" s="133"/>
      <c r="AW329" s="134"/>
    </row>
    <row r="330" spans="1:49">
      <c r="A330" s="74">
        <v>1066</v>
      </c>
      <c r="B330" s="146" t="str">
        <f t="shared" ref="B330:B393" si="71">C330&amp;D330&amp;E330&amp;F330&amp;G330</f>
        <v>Electric ZonalR30R11R0Better</v>
      </c>
      <c r="C330" s="166" t="s">
        <v>228</v>
      </c>
      <c r="D330" s="170" t="s">
        <v>336</v>
      </c>
      <c r="E330" s="166" t="s">
        <v>334</v>
      </c>
      <c r="F330" s="166" t="s">
        <v>329</v>
      </c>
      <c r="G330" s="166" t="s">
        <v>352</v>
      </c>
      <c r="H330" s="70">
        <f t="shared" si="69"/>
        <v>8085.4869999999992</v>
      </c>
      <c r="I330" s="169">
        <f t="shared" si="70"/>
        <v>7.5848425856799686E-3</v>
      </c>
      <c r="J330" s="70" t="str">
        <f t="shared" ref="J330:J393" si="72">A330&amp;B330</f>
        <v>1066Electric ZonalR30R11R0Better</v>
      </c>
      <c r="M330" s="70"/>
      <c r="P330" s="81"/>
      <c r="AF330" s="70"/>
      <c r="AG330" s="81"/>
      <c r="AL330" s="134"/>
      <c r="AM330" s="134"/>
      <c r="AU330" s="132"/>
      <c r="AV330" s="133"/>
      <c r="AW330" s="134"/>
    </row>
    <row r="331" spans="1:49">
      <c r="A331" s="74">
        <v>1067</v>
      </c>
      <c r="B331" s="146" t="str">
        <f t="shared" si="71"/>
        <v>Electric ZonalR30R11R19Single</v>
      </c>
      <c r="C331" s="166" t="s">
        <v>228</v>
      </c>
      <c r="D331" s="170" t="s">
        <v>336</v>
      </c>
      <c r="E331" s="166" t="s">
        <v>334</v>
      </c>
      <c r="F331" s="72" t="s">
        <v>335</v>
      </c>
      <c r="G331" s="166" t="s">
        <v>355</v>
      </c>
      <c r="H331" s="70">
        <f t="shared" si="69"/>
        <v>1612.692</v>
      </c>
      <c r="I331" s="169">
        <f t="shared" si="70"/>
        <v>1.5128358946326179E-3</v>
      </c>
      <c r="J331" s="70" t="str">
        <f t="shared" si="72"/>
        <v>1067Electric ZonalR30R11R19Single</v>
      </c>
      <c r="M331" s="70"/>
      <c r="P331" s="81"/>
      <c r="AF331" s="70"/>
      <c r="AG331" s="81"/>
      <c r="AL331" s="134"/>
      <c r="AM331" s="134"/>
      <c r="AU331" s="132"/>
      <c r="AV331" s="133"/>
      <c r="AW331" s="134"/>
    </row>
    <row r="332" spans="1:49">
      <c r="A332" s="74">
        <v>1068</v>
      </c>
      <c r="B332" s="146" t="str">
        <f t="shared" si="71"/>
        <v>Electric ZonalR30R11R19Double</v>
      </c>
      <c r="C332" s="166" t="s">
        <v>228</v>
      </c>
      <c r="D332" s="170" t="s">
        <v>336</v>
      </c>
      <c r="E332" s="166" t="s">
        <v>334</v>
      </c>
      <c r="F332" s="72" t="s">
        <v>335</v>
      </c>
      <c r="G332" s="72" t="s">
        <v>339</v>
      </c>
      <c r="H332" s="70">
        <f t="shared" si="69"/>
        <v>0</v>
      </c>
      <c r="I332" s="169" t="str">
        <f t="shared" si="70"/>
        <v/>
      </c>
      <c r="J332" s="70" t="str">
        <f t="shared" si="72"/>
        <v>1068Electric ZonalR30R11R19Double</v>
      </c>
      <c r="M332" s="70"/>
      <c r="P332" s="81"/>
      <c r="AF332" s="70"/>
      <c r="AG332" s="81"/>
      <c r="AL332" s="134"/>
      <c r="AM332" s="134"/>
      <c r="AU332" s="132"/>
      <c r="AV332" s="133"/>
      <c r="AW332" s="134"/>
    </row>
    <row r="333" spans="1:49">
      <c r="A333" s="74">
        <v>1069</v>
      </c>
      <c r="B333" s="146" t="str">
        <f t="shared" si="71"/>
        <v>Electric ZonalR30R11R19Better</v>
      </c>
      <c r="C333" s="166" t="s">
        <v>228</v>
      </c>
      <c r="D333" s="170" t="s">
        <v>336</v>
      </c>
      <c r="E333" s="166" t="s">
        <v>334</v>
      </c>
      <c r="F333" s="72" t="s">
        <v>335</v>
      </c>
      <c r="G333" s="72" t="s">
        <v>352</v>
      </c>
      <c r="H333" s="70">
        <f t="shared" si="69"/>
        <v>17356.04</v>
      </c>
      <c r="I333" s="169">
        <f t="shared" si="70"/>
        <v>1.6281373195054915E-2</v>
      </c>
      <c r="J333" s="70" t="str">
        <f t="shared" si="72"/>
        <v>1069Electric ZonalR30R11R19Better</v>
      </c>
      <c r="M333" s="70"/>
      <c r="P333" s="81"/>
      <c r="AF333" s="70"/>
      <c r="AG333" s="81"/>
      <c r="AL333" s="134"/>
      <c r="AM333" s="134"/>
      <c r="AU333" s="132"/>
      <c r="AV333" s="133"/>
      <c r="AW333" s="134"/>
    </row>
    <row r="334" spans="1:49">
      <c r="A334" s="74">
        <v>1070</v>
      </c>
      <c r="B334" s="146" t="str">
        <f t="shared" si="71"/>
        <v>Electric ZonalR30R11BetterSingle</v>
      </c>
      <c r="C334" s="166" t="s">
        <v>228</v>
      </c>
      <c r="D334" s="170" t="s">
        <v>336</v>
      </c>
      <c r="E334" s="166" t="s">
        <v>334</v>
      </c>
      <c r="F334" s="166" t="s">
        <v>352</v>
      </c>
      <c r="G334" s="166" t="s">
        <v>355</v>
      </c>
      <c r="H334" s="70">
        <f t="shared" si="69"/>
        <v>1524.7619999999999</v>
      </c>
      <c r="I334" s="169">
        <f t="shared" si="70"/>
        <v>1.4303504230019244E-3</v>
      </c>
      <c r="J334" s="70" t="str">
        <f t="shared" si="72"/>
        <v>1070Electric ZonalR30R11BetterSingle</v>
      </c>
      <c r="M334" s="70"/>
      <c r="P334" s="81"/>
      <c r="AF334" s="70"/>
      <c r="AG334" s="81"/>
      <c r="AL334" s="134"/>
      <c r="AM334" s="134"/>
      <c r="AU334" s="132"/>
      <c r="AV334" s="133"/>
      <c r="AW334" s="134"/>
    </row>
    <row r="335" spans="1:49">
      <c r="A335" s="74">
        <v>1071</v>
      </c>
      <c r="B335" s="146" t="str">
        <f t="shared" si="71"/>
        <v>Electric ZonalR30R11BetterDouble</v>
      </c>
      <c r="C335" s="166" t="s">
        <v>228</v>
      </c>
      <c r="D335" s="170" t="s">
        <v>336</v>
      </c>
      <c r="E335" s="166" t="s">
        <v>334</v>
      </c>
      <c r="F335" s="166" t="s">
        <v>352</v>
      </c>
      <c r="G335" s="72" t="s">
        <v>339</v>
      </c>
      <c r="H335" s="70">
        <f t="shared" si="69"/>
        <v>3692.6849999999999</v>
      </c>
      <c r="I335" s="169">
        <f t="shared" si="70"/>
        <v>3.4640380280744547E-3</v>
      </c>
      <c r="J335" s="70" t="str">
        <f t="shared" si="72"/>
        <v>1071Electric ZonalR30R11BetterDouble</v>
      </c>
      <c r="M335" s="70"/>
      <c r="P335" s="81"/>
      <c r="AF335" s="70"/>
      <c r="AG335" s="81"/>
      <c r="AL335" s="134"/>
      <c r="AM335" s="134"/>
      <c r="AU335" s="132"/>
      <c r="AV335" s="133"/>
      <c r="AW335" s="134"/>
    </row>
    <row r="336" spans="1:49">
      <c r="A336" s="74">
        <v>1072</v>
      </c>
      <c r="B336" s="146" t="str">
        <f t="shared" si="71"/>
        <v>Electric ZonalR30R11BetterBetter</v>
      </c>
      <c r="C336" s="166" t="s">
        <v>228</v>
      </c>
      <c r="D336" s="170" t="s">
        <v>336</v>
      </c>
      <c r="E336" s="166" t="s">
        <v>334</v>
      </c>
      <c r="F336" s="166" t="s">
        <v>352</v>
      </c>
      <c r="G336" s="166" t="s">
        <v>352</v>
      </c>
      <c r="H336" s="70">
        <f t="shared" si="69"/>
        <v>10840.086000000001</v>
      </c>
      <c r="I336" s="169">
        <f t="shared" si="70"/>
        <v>1.016887986156347E-2</v>
      </c>
      <c r="J336" s="70" t="str">
        <f t="shared" si="72"/>
        <v>1072Electric ZonalR30R11BetterBetter</v>
      </c>
      <c r="M336" s="70"/>
      <c r="P336" s="81"/>
      <c r="AF336" s="70"/>
      <c r="AG336" s="81"/>
      <c r="AL336" s="134"/>
      <c r="AM336" s="134"/>
      <c r="AU336" s="132"/>
      <c r="AV336" s="133"/>
      <c r="AW336" s="134"/>
    </row>
    <row r="337" spans="1:49">
      <c r="A337" s="74">
        <v>1073</v>
      </c>
      <c r="B337" s="146" t="str">
        <f t="shared" si="71"/>
        <v>Electric ZonalR38R0R0Single</v>
      </c>
      <c r="C337" s="166" t="s">
        <v>228</v>
      </c>
      <c r="D337" s="170" t="s">
        <v>331</v>
      </c>
      <c r="E337" s="166" t="s">
        <v>329</v>
      </c>
      <c r="F337" s="166" t="s">
        <v>329</v>
      </c>
      <c r="G337" s="166" t="s">
        <v>355</v>
      </c>
      <c r="H337" s="70">
        <f t="shared" si="69"/>
        <v>0</v>
      </c>
      <c r="I337" s="169" t="str">
        <f t="shared" si="70"/>
        <v/>
      </c>
      <c r="J337" s="70" t="str">
        <f t="shared" si="72"/>
        <v>1073Electric ZonalR38R0R0Single</v>
      </c>
      <c r="M337" s="70"/>
      <c r="P337" s="81"/>
      <c r="AF337" s="70"/>
      <c r="AG337" s="81"/>
      <c r="AL337" s="134"/>
      <c r="AM337" s="134"/>
      <c r="AU337" s="132"/>
      <c r="AV337" s="133"/>
      <c r="AW337" s="134"/>
    </row>
    <row r="338" spans="1:49">
      <c r="A338" s="74">
        <v>1074</v>
      </c>
      <c r="B338" s="146" t="str">
        <f t="shared" si="71"/>
        <v>Electric ZonalR38R0R0Double</v>
      </c>
      <c r="C338" s="166" t="s">
        <v>228</v>
      </c>
      <c r="D338" s="170" t="s">
        <v>331</v>
      </c>
      <c r="E338" s="166" t="s">
        <v>329</v>
      </c>
      <c r="F338" s="166" t="s">
        <v>329</v>
      </c>
      <c r="G338" s="72" t="s">
        <v>339</v>
      </c>
      <c r="H338" s="70">
        <f t="shared" si="69"/>
        <v>2003.7159999999999</v>
      </c>
      <c r="I338" s="169">
        <f t="shared" si="70"/>
        <v>1.8796481209367257E-3</v>
      </c>
      <c r="J338" s="70" t="str">
        <f t="shared" si="72"/>
        <v>1074Electric ZonalR38R0R0Double</v>
      </c>
      <c r="M338" s="70"/>
      <c r="P338" s="81"/>
      <c r="AF338" s="70"/>
      <c r="AG338" s="81"/>
      <c r="AL338" s="134"/>
      <c r="AM338" s="134"/>
      <c r="AU338" s="132"/>
      <c r="AV338" s="133"/>
      <c r="AW338" s="134"/>
    </row>
    <row r="339" spans="1:49">
      <c r="A339" s="74">
        <v>1075</v>
      </c>
      <c r="B339" s="146" t="str">
        <f t="shared" si="71"/>
        <v>Electric ZonalR38R0R0Better</v>
      </c>
      <c r="C339" s="166" t="s">
        <v>228</v>
      </c>
      <c r="D339" s="170" t="s">
        <v>331</v>
      </c>
      <c r="E339" s="166" t="s">
        <v>329</v>
      </c>
      <c r="F339" s="166" t="s">
        <v>329</v>
      </c>
      <c r="G339" s="72" t="s">
        <v>352</v>
      </c>
      <c r="H339" s="70">
        <f t="shared" si="69"/>
        <v>2079.9929999999999</v>
      </c>
      <c r="I339" s="169">
        <f t="shared" si="70"/>
        <v>1.9512021334418368E-3</v>
      </c>
      <c r="J339" s="70" t="str">
        <f t="shared" si="72"/>
        <v>1075Electric ZonalR38R0R0Better</v>
      </c>
      <c r="M339" s="70"/>
      <c r="P339" s="81"/>
      <c r="AF339" s="70"/>
      <c r="AG339" s="81"/>
      <c r="AL339" s="134"/>
      <c r="AM339" s="134"/>
      <c r="AU339" s="132"/>
      <c r="AV339" s="133"/>
      <c r="AW339" s="134"/>
    </row>
    <row r="340" spans="1:49">
      <c r="A340" s="74">
        <v>1076</v>
      </c>
      <c r="B340" s="146" t="str">
        <f t="shared" si="71"/>
        <v>Electric ZonalR38R0R19Single</v>
      </c>
      <c r="C340" s="166" t="s">
        <v>228</v>
      </c>
      <c r="D340" s="170" t="s">
        <v>331</v>
      </c>
      <c r="E340" s="166" t="s">
        <v>329</v>
      </c>
      <c r="F340" s="72" t="s">
        <v>335</v>
      </c>
      <c r="G340" s="166" t="s">
        <v>355</v>
      </c>
      <c r="H340" s="70">
        <f t="shared" si="69"/>
        <v>0</v>
      </c>
      <c r="I340" s="169" t="str">
        <f t="shared" si="70"/>
        <v/>
      </c>
      <c r="J340" s="70" t="str">
        <f t="shared" si="72"/>
        <v>1076Electric ZonalR38R0R19Single</v>
      </c>
      <c r="M340" s="70"/>
      <c r="P340" s="81"/>
      <c r="AF340" s="70"/>
      <c r="AG340" s="81"/>
      <c r="AL340" s="134"/>
      <c r="AM340" s="134"/>
      <c r="AU340" s="132"/>
      <c r="AV340" s="133"/>
      <c r="AW340" s="134"/>
    </row>
    <row r="341" spans="1:49">
      <c r="A341" s="74">
        <v>1077</v>
      </c>
      <c r="B341" s="146" t="str">
        <f t="shared" si="71"/>
        <v>Electric ZonalR38R0R19Double</v>
      </c>
      <c r="C341" s="166" t="s">
        <v>228</v>
      </c>
      <c r="D341" s="170" t="s">
        <v>331</v>
      </c>
      <c r="E341" s="166" t="s">
        <v>329</v>
      </c>
      <c r="F341" s="72" t="s">
        <v>335</v>
      </c>
      <c r="G341" s="72" t="s">
        <v>339</v>
      </c>
      <c r="H341" s="70">
        <f t="shared" si="69"/>
        <v>0</v>
      </c>
      <c r="I341" s="169" t="str">
        <f t="shared" si="70"/>
        <v/>
      </c>
      <c r="J341" s="70" t="str">
        <f t="shared" si="72"/>
        <v>1077Electric ZonalR38R0R19Double</v>
      </c>
      <c r="M341" s="70"/>
      <c r="P341" s="81"/>
      <c r="AF341" s="70"/>
      <c r="AG341" s="81"/>
      <c r="AL341" s="134"/>
      <c r="AM341" s="134"/>
      <c r="AU341" s="132"/>
      <c r="AV341" s="133"/>
      <c r="AW341" s="134"/>
    </row>
    <row r="342" spans="1:49">
      <c r="A342" s="74">
        <v>1078</v>
      </c>
      <c r="B342" s="146" t="str">
        <f t="shared" si="71"/>
        <v>Electric ZonalR38R0R19Better</v>
      </c>
      <c r="C342" s="166" t="s">
        <v>228</v>
      </c>
      <c r="D342" s="170" t="s">
        <v>331</v>
      </c>
      <c r="E342" s="166" t="s">
        <v>329</v>
      </c>
      <c r="F342" s="72" t="s">
        <v>335</v>
      </c>
      <c r="G342" s="166" t="s">
        <v>352</v>
      </c>
      <c r="H342" s="70">
        <f t="shared" si="69"/>
        <v>0</v>
      </c>
      <c r="I342" s="169" t="str">
        <f t="shared" si="70"/>
        <v/>
      </c>
      <c r="J342" s="70" t="str">
        <f t="shared" si="72"/>
        <v>1078Electric ZonalR38R0R19Better</v>
      </c>
      <c r="M342" s="70"/>
      <c r="P342" s="81"/>
      <c r="AF342" s="70"/>
      <c r="AG342" s="81"/>
      <c r="AL342" s="134"/>
      <c r="AM342" s="134"/>
      <c r="AU342" s="132"/>
      <c r="AV342" s="133"/>
      <c r="AW342" s="134"/>
    </row>
    <row r="343" spans="1:49">
      <c r="A343" s="74">
        <v>1079</v>
      </c>
      <c r="B343" s="146" t="str">
        <f t="shared" si="71"/>
        <v>Electric ZonalR38R0BetterSingle</v>
      </c>
      <c r="C343" s="166" t="s">
        <v>228</v>
      </c>
      <c r="D343" s="170" t="s">
        <v>331</v>
      </c>
      <c r="E343" s="166" t="s">
        <v>329</v>
      </c>
      <c r="F343" s="166" t="s">
        <v>352</v>
      </c>
      <c r="G343" s="166" t="s">
        <v>355</v>
      </c>
      <c r="H343" s="70">
        <f t="shared" si="69"/>
        <v>0</v>
      </c>
      <c r="I343" s="169" t="str">
        <f t="shared" si="70"/>
        <v/>
      </c>
      <c r="J343" s="70" t="str">
        <f t="shared" si="72"/>
        <v>1079Electric ZonalR38R0BetterSingle</v>
      </c>
      <c r="M343" s="70"/>
      <c r="P343" s="81"/>
      <c r="AF343" s="70"/>
      <c r="AG343" s="81"/>
      <c r="AL343" s="134"/>
      <c r="AM343" s="134"/>
      <c r="AU343" s="132"/>
      <c r="AV343" s="133"/>
      <c r="AW343" s="134"/>
    </row>
    <row r="344" spans="1:49">
      <c r="A344" s="74">
        <v>1080</v>
      </c>
      <c r="B344" s="146" t="str">
        <f t="shared" si="71"/>
        <v>Electric ZonalR38R0BetterDouble</v>
      </c>
      <c r="C344" s="166" t="s">
        <v>228</v>
      </c>
      <c r="D344" s="170" t="s">
        <v>331</v>
      </c>
      <c r="E344" s="166" t="s">
        <v>329</v>
      </c>
      <c r="F344" s="166" t="s">
        <v>352</v>
      </c>
      <c r="G344" s="72" t="s">
        <v>339</v>
      </c>
      <c r="H344" s="70">
        <f t="shared" si="69"/>
        <v>0</v>
      </c>
      <c r="I344" s="169" t="str">
        <f t="shared" si="70"/>
        <v/>
      </c>
      <c r="J344" s="70" t="str">
        <f t="shared" si="72"/>
        <v>1080Electric ZonalR38R0BetterDouble</v>
      </c>
      <c r="M344" s="70"/>
      <c r="P344" s="81"/>
      <c r="AF344" s="70"/>
      <c r="AG344" s="81"/>
      <c r="AL344" s="134"/>
      <c r="AM344" s="134"/>
      <c r="AU344" s="132"/>
      <c r="AV344" s="133"/>
      <c r="AW344" s="134"/>
    </row>
    <row r="345" spans="1:49">
      <c r="A345" s="74">
        <v>1081</v>
      </c>
      <c r="B345" s="146" t="str">
        <f t="shared" si="71"/>
        <v>Electric ZonalR38R0BetterBetter</v>
      </c>
      <c r="C345" s="166" t="s">
        <v>228</v>
      </c>
      <c r="D345" s="170" t="s">
        <v>331</v>
      </c>
      <c r="E345" s="166" t="s">
        <v>329</v>
      </c>
      <c r="F345" s="166" t="s">
        <v>352</v>
      </c>
      <c r="G345" s="72" t="s">
        <v>352</v>
      </c>
      <c r="H345" s="70">
        <f t="shared" si="69"/>
        <v>2989.4560000000001</v>
      </c>
      <c r="I345" s="169">
        <f t="shared" si="70"/>
        <v>2.8043521901422262E-3</v>
      </c>
      <c r="J345" s="70" t="str">
        <f t="shared" si="72"/>
        <v>1081Electric ZonalR38R0BetterBetter</v>
      </c>
      <c r="M345" s="70"/>
      <c r="P345" s="81"/>
      <c r="AF345" s="70"/>
      <c r="AG345" s="81"/>
      <c r="AL345" s="134"/>
      <c r="AM345" s="134"/>
      <c r="AU345" s="132"/>
      <c r="AV345" s="133"/>
      <c r="AW345" s="134"/>
    </row>
    <row r="346" spans="1:49">
      <c r="A346" s="74">
        <v>1082</v>
      </c>
      <c r="B346" s="146" t="str">
        <f t="shared" si="71"/>
        <v>Electric ZonalR38R11R0Single</v>
      </c>
      <c r="C346" s="166" t="s">
        <v>228</v>
      </c>
      <c r="D346" s="170" t="s">
        <v>331</v>
      </c>
      <c r="E346" s="166" t="s">
        <v>334</v>
      </c>
      <c r="F346" s="166" t="s">
        <v>329</v>
      </c>
      <c r="G346" s="166" t="s">
        <v>355</v>
      </c>
      <c r="H346" s="70">
        <f t="shared" si="69"/>
        <v>1150.8789999999999</v>
      </c>
      <c r="I346" s="169">
        <f t="shared" si="70"/>
        <v>1.0796178449318855E-3</v>
      </c>
      <c r="J346" s="70" t="str">
        <f t="shared" si="72"/>
        <v>1082Electric ZonalR38R11R0Single</v>
      </c>
      <c r="M346" s="70"/>
      <c r="P346" s="81"/>
      <c r="AF346" s="70"/>
      <c r="AG346" s="81"/>
      <c r="AL346" s="134"/>
      <c r="AM346" s="134"/>
      <c r="AU346" s="132"/>
      <c r="AV346" s="133"/>
      <c r="AW346" s="134"/>
    </row>
    <row r="347" spans="1:49">
      <c r="A347" s="74">
        <v>1083</v>
      </c>
      <c r="B347" s="146" t="str">
        <f t="shared" si="71"/>
        <v>Electric ZonalR38R11R0Double</v>
      </c>
      <c r="C347" s="166" t="s">
        <v>228</v>
      </c>
      <c r="D347" s="170" t="s">
        <v>331</v>
      </c>
      <c r="E347" s="166" t="s">
        <v>334</v>
      </c>
      <c r="F347" s="166" t="s">
        <v>329</v>
      </c>
      <c r="G347" s="72" t="s">
        <v>339</v>
      </c>
      <c r="H347" s="70">
        <f t="shared" si="69"/>
        <v>2338.9059999999999</v>
      </c>
      <c r="I347" s="169">
        <f t="shared" si="70"/>
        <v>2.1940835267810579E-3</v>
      </c>
      <c r="J347" s="70" t="str">
        <f t="shared" si="72"/>
        <v>1083Electric ZonalR38R11R0Double</v>
      </c>
      <c r="M347" s="70"/>
      <c r="P347" s="81"/>
      <c r="AF347" s="70"/>
      <c r="AG347" s="81"/>
      <c r="AL347" s="134"/>
      <c r="AM347" s="134"/>
      <c r="AU347" s="132"/>
      <c r="AV347" s="133"/>
      <c r="AW347" s="134"/>
    </row>
    <row r="348" spans="1:49">
      <c r="A348" s="74">
        <v>1084</v>
      </c>
      <c r="B348" s="146" t="str">
        <f t="shared" si="71"/>
        <v>Electric ZonalR38R11R0Better</v>
      </c>
      <c r="C348" s="166" t="s">
        <v>228</v>
      </c>
      <c r="D348" s="170" t="s">
        <v>331</v>
      </c>
      <c r="E348" s="166" t="s">
        <v>334</v>
      </c>
      <c r="F348" s="166" t="s">
        <v>329</v>
      </c>
      <c r="G348" s="166" t="s">
        <v>352</v>
      </c>
      <c r="H348" s="70">
        <f t="shared" si="69"/>
        <v>8546.098</v>
      </c>
      <c r="I348" s="169">
        <f t="shared" si="70"/>
        <v>8.0169330618915617E-3</v>
      </c>
      <c r="J348" s="70" t="str">
        <f t="shared" si="72"/>
        <v>1084Electric ZonalR38R11R0Better</v>
      </c>
      <c r="M348" s="70"/>
      <c r="P348" s="81"/>
      <c r="AF348" s="70"/>
      <c r="AG348" s="81"/>
      <c r="AL348" s="134"/>
      <c r="AM348" s="134"/>
      <c r="AU348" s="132"/>
      <c r="AV348" s="133"/>
      <c r="AW348" s="134"/>
    </row>
    <row r="349" spans="1:49">
      <c r="A349" s="74">
        <v>1085</v>
      </c>
      <c r="B349" s="146" t="str">
        <f t="shared" si="71"/>
        <v>Electric ZonalR38R11R19Single</v>
      </c>
      <c r="C349" s="166" t="s">
        <v>228</v>
      </c>
      <c r="D349" s="170" t="s">
        <v>331</v>
      </c>
      <c r="E349" s="166" t="s">
        <v>334</v>
      </c>
      <c r="F349" s="72" t="s">
        <v>335</v>
      </c>
      <c r="G349" s="166" t="s">
        <v>355</v>
      </c>
      <c r="H349" s="70">
        <f t="shared" si="69"/>
        <v>0</v>
      </c>
      <c r="I349" s="169" t="str">
        <f t="shared" si="70"/>
        <v/>
      </c>
      <c r="J349" s="70" t="str">
        <f t="shared" si="72"/>
        <v>1085Electric ZonalR38R11R19Single</v>
      </c>
      <c r="M349" s="70"/>
      <c r="P349" s="81"/>
      <c r="AF349" s="70"/>
      <c r="AG349" s="81"/>
      <c r="AL349" s="134"/>
      <c r="AM349" s="134"/>
      <c r="AU349" s="132"/>
      <c r="AV349" s="133"/>
      <c r="AW349" s="134"/>
    </row>
    <row r="350" spans="1:49">
      <c r="A350" s="74">
        <v>1086</v>
      </c>
      <c r="B350" s="146" t="str">
        <f t="shared" si="71"/>
        <v>Electric ZonalR38R11R19Double</v>
      </c>
      <c r="C350" s="166" t="s">
        <v>228</v>
      </c>
      <c r="D350" s="170" t="s">
        <v>331</v>
      </c>
      <c r="E350" s="166" t="s">
        <v>334</v>
      </c>
      <c r="F350" s="72" t="s">
        <v>335</v>
      </c>
      <c r="G350" s="72" t="s">
        <v>339</v>
      </c>
      <c r="H350" s="70">
        <f t="shared" si="69"/>
        <v>4956.4930000000004</v>
      </c>
      <c r="I350" s="169">
        <f t="shared" si="70"/>
        <v>4.649592434200274E-3</v>
      </c>
      <c r="J350" s="70" t="str">
        <f t="shared" si="72"/>
        <v>1086Electric ZonalR38R11R19Double</v>
      </c>
      <c r="M350" s="70"/>
      <c r="P350" s="81"/>
      <c r="AF350" s="70"/>
      <c r="AG350" s="81"/>
      <c r="AL350" s="134"/>
      <c r="AM350" s="134"/>
      <c r="AU350" s="132"/>
      <c r="AV350" s="133"/>
      <c r="AW350" s="134"/>
    </row>
    <row r="351" spans="1:49">
      <c r="A351" s="74">
        <v>1087</v>
      </c>
      <c r="B351" s="146" t="str">
        <f t="shared" si="71"/>
        <v>Electric ZonalR38R11R19Better</v>
      </c>
      <c r="C351" s="166" t="s">
        <v>228</v>
      </c>
      <c r="D351" s="170" t="s">
        <v>331</v>
      </c>
      <c r="E351" s="166" t="s">
        <v>334</v>
      </c>
      <c r="F351" s="72" t="s">
        <v>335</v>
      </c>
      <c r="G351" s="72" t="s">
        <v>352</v>
      </c>
      <c r="H351" s="70">
        <f t="shared" si="69"/>
        <v>28410.553</v>
      </c>
      <c r="I351" s="169">
        <f t="shared" si="70"/>
        <v>2.665140297388615E-2</v>
      </c>
      <c r="J351" s="70" t="str">
        <f t="shared" si="72"/>
        <v>1087Electric ZonalR38R11R19Better</v>
      </c>
      <c r="M351" s="70"/>
      <c r="P351" s="81"/>
      <c r="AF351" s="70"/>
      <c r="AG351" s="81"/>
      <c r="AL351" s="134"/>
      <c r="AM351" s="134"/>
      <c r="AU351" s="132"/>
      <c r="AV351" s="133"/>
      <c r="AW351" s="134"/>
    </row>
    <row r="352" spans="1:49">
      <c r="A352" s="74">
        <v>1088</v>
      </c>
      <c r="B352" s="146" t="str">
        <f t="shared" si="71"/>
        <v>Electric ZonalR38R11BetterSingle</v>
      </c>
      <c r="C352" s="166" t="s">
        <v>228</v>
      </c>
      <c r="D352" s="170" t="s">
        <v>331</v>
      </c>
      <c r="E352" s="166" t="s">
        <v>334</v>
      </c>
      <c r="F352" s="166" t="s">
        <v>352</v>
      </c>
      <c r="G352" s="166" t="s">
        <v>355</v>
      </c>
      <c r="H352" s="70">
        <f t="shared" si="69"/>
        <v>0</v>
      </c>
      <c r="I352" s="169" t="str">
        <f t="shared" si="70"/>
        <v/>
      </c>
      <c r="J352" s="70" t="str">
        <f t="shared" si="72"/>
        <v>1088Electric ZonalR38R11BetterSingle</v>
      </c>
      <c r="M352" s="70"/>
      <c r="P352" s="81"/>
      <c r="AF352" s="70"/>
      <c r="AG352" s="81"/>
      <c r="AL352" s="134"/>
      <c r="AM352" s="134"/>
      <c r="AU352" s="132"/>
      <c r="AV352" s="133"/>
      <c r="AW352" s="134"/>
    </row>
    <row r="353" spans="1:49">
      <c r="A353" s="74">
        <v>1089</v>
      </c>
      <c r="B353" s="146" t="str">
        <f t="shared" si="71"/>
        <v>Electric ZonalR38R11BetterDouble</v>
      </c>
      <c r="C353" s="166" t="s">
        <v>228</v>
      </c>
      <c r="D353" s="170" t="s">
        <v>331</v>
      </c>
      <c r="E353" s="166" t="s">
        <v>334</v>
      </c>
      <c r="F353" s="166" t="s">
        <v>352</v>
      </c>
      <c r="G353" s="72" t="s">
        <v>339</v>
      </c>
      <c r="H353" s="70">
        <f t="shared" si="69"/>
        <v>11889.231</v>
      </c>
      <c r="I353" s="169">
        <f t="shared" si="70"/>
        <v>1.115306296328056E-2</v>
      </c>
      <c r="J353" s="70" t="str">
        <f t="shared" si="72"/>
        <v>1089Electric ZonalR38R11BetterDouble</v>
      </c>
      <c r="M353" s="70"/>
      <c r="P353" s="81"/>
      <c r="AF353" s="70"/>
      <c r="AG353" s="81"/>
      <c r="AL353" s="134"/>
      <c r="AM353" s="134"/>
      <c r="AU353" s="132"/>
      <c r="AV353" s="133"/>
      <c r="AW353" s="134"/>
    </row>
    <row r="354" spans="1:49">
      <c r="A354" s="74">
        <v>1090</v>
      </c>
      <c r="B354" s="146" t="str">
        <f t="shared" si="71"/>
        <v>Electric ZonalR38R11BetterBetter</v>
      </c>
      <c r="C354" s="166" t="s">
        <v>228</v>
      </c>
      <c r="D354" s="170" t="s">
        <v>331</v>
      </c>
      <c r="E354" s="166" t="s">
        <v>334</v>
      </c>
      <c r="F354" s="166" t="s">
        <v>352</v>
      </c>
      <c r="G354" s="166" t="s">
        <v>352</v>
      </c>
      <c r="H354" s="70">
        <f t="shared" si="69"/>
        <v>33292.517</v>
      </c>
      <c r="I354" s="169">
        <f t="shared" si="70"/>
        <v>3.1231081161354205E-2</v>
      </c>
      <c r="J354" s="70" t="str">
        <f t="shared" si="72"/>
        <v>1090Electric ZonalR38R11BetterBetter</v>
      </c>
      <c r="M354" s="70"/>
      <c r="P354" s="81"/>
      <c r="AF354" s="70"/>
      <c r="AG354" s="81"/>
      <c r="AL354" s="134"/>
      <c r="AM354" s="134"/>
      <c r="AU354" s="132"/>
      <c r="AV354" s="133"/>
      <c r="AW354" s="134"/>
    </row>
    <row r="355" spans="1:49">
      <c r="A355" s="74">
        <v>1091</v>
      </c>
      <c r="B355" s="146" t="str">
        <f t="shared" si="71"/>
        <v>Electric FAFR0R0R0Single</v>
      </c>
      <c r="C355" s="166" t="s">
        <v>227</v>
      </c>
      <c r="D355" s="166" t="s">
        <v>329</v>
      </c>
      <c r="E355" s="166" t="s">
        <v>329</v>
      </c>
      <c r="F355" s="166" t="s">
        <v>329</v>
      </c>
      <c r="G355" s="166" t="s">
        <v>355</v>
      </c>
      <c r="H355" s="70">
        <f t="shared" si="69"/>
        <v>0</v>
      </c>
      <c r="I355" s="169" t="str">
        <f t="shared" si="70"/>
        <v/>
      </c>
      <c r="J355" s="70" t="str">
        <f t="shared" si="72"/>
        <v>1091Electric FAFR0R0R0Single</v>
      </c>
      <c r="M355" s="70"/>
      <c r="P355" s="81"/>
      <c r="AF355" s="70"/>
      <c r="AG355" s="81"/>
      <c r="AL355" s="134"/>
      <c r="AM355" s="134"/>
      <c r="AU355" s="132"/>
      <c r="AV355" s="133"/>
      <c r="AW355" s="134"/>
    </row>
    <row r="356" spans="1:49">
      <c r="A356" s="74">
        <v>1092</v>
      </c>
      <c r="B356" s="146" t="str">
        <f t="shared" si="71"/>
        <v>Electric FAFR0R0R0Double</v>
      </c>
      <c r="C356" s="166" t="s">
        <v>227</v>
      </c>
      <c r="D356" s="166" t="s">
        <v>329</v>
      </c>
      <c r="E356" s="166" t="s">
        <v>329</v>
      </c>
      <c r="F356" s="166" t="s">
        <v>329</v>
      </c>
      <c r="G356" s="72" t="s">
        <v>339</v>
      </c>
      <c r="H356" s="70">
        <f t="shared" si="69"/>
        <v>0</v>
      </c>
      <c r="I356" s="169" t="str">
        <f t="shared" si="70"/>
        <v/>
      </c>
      <c r="J356" s="70" t="str">
        <f t="shared" si="72"/>
        <v>1092Electric FAFR0R0R0Double</v>
      </c>
      <c r="M356" s="70"/>
      <c r="P356" s="81"/>
      <c r="AF356" s="70"/>
      <c r="AG356" s="81"/>
      <c r="AL356" s="134"/>
      <c r="AM356" s="134"/>
      <c r="AU356" s="132"/>
      <c r="AV356" s="133"/>
      <c r="AW356" s="134"/>
    </row>
    <row r="357" spans="1:49">
      <c r="A357" s="74">
        <v>1093</v>
      </c>
      <c r="B357" s="146" t="str">
        <f t="shared" si="71"/>
        <v>Electric FAFR0R0R0Better</v>
      </c>
      <c r="C357" s="166" t="s">
        <v>227</v>
      </c>
      <c r="D357" s="166" t="s">
        <v>329</v>
      </c>
      <c r="E357" s="166" t="s">
        <v>329</v>
      </c>
      <c r="F357" s="166" t="s">
        <v>329</v>
      </c>
      <c r="G357" s="72" t="s">
        <v>352</v>
      </c>
      <c r="H357" s="70">
        <f t="shared" si="69"/>
        <v>1144.6790000000001</v>
      </c>
      <c r="I357" s="169">
        <f t="shared" si="70"/>
        <v>1.073801742076088E-3</v>
      </c>
      <c r="J357" s="70" t="str">
        <f t="shared" si="72"/>
        <v>1093Electric FAFR0R0R0Better</v>
      </c>
      <c r="M357" s="70"/>
      <c r="P357" s="81"/>
      <c r="AF357" s="70"/>
      <c r="AG357" s="81"/>
      <c r="AL357" s="134"/>
      <c r="AM357" s="134"/>
      <c r="AU357" s="132"/>
      <c r="AV357" s="133"/>
      <c r="AW357" s="134"/>
    </row>
    <row r="358" spans="1:49">
      <c r="A358" s="74">
        <v>1094</v>
      </c>
      <c r="B358" s="146" t="str">
        <f t="shared" si="71"/>
        <v>Electric FAFR0R0R19Single</v>
      </c>
      <c r="C358" s="166" t="s">
        <v>227</v>
      </c>
      <c r="D358" s="166" t="s">
        <v>329</v>
      </c>
      <c r="E358" s="166" t="s">
        <v>329</v>
      </c>
      <c r="F358" s="72" t="s">
        <v>335</v>
      </c>
      <c r="G358" s="166" t="s">
        <v>355</v>
      </c>
      <c r="H358" s="70">
        <f t="shared" si="69"/>
        <v>0</v>
      </c>
      <c r="I358" s="169" t="str">
        <f t="shared" si="70"/>
        <v/>
      </c>
      <c r="J358" s="70" t="str">
        <f t="shared" si="72"/>
        <v>1094Electric FAFR0R0R19Single</v>
      </c>
      <c r="M358" s="70"/>
      <c r="P358" s="81"/>
      <c r="AF358" s="70"/>
      <c r="AG358" s="81"/>
      <c r="AL358" s="134"/>
      <c r="AM358" s="134"/>
      <c r="AU358" s="132"/>
      <c r="AV358" s="133"/>
      <c r="AW358" s="134"/>
    </row>
    <row r="359" spans="1:49">
      <c r="A359" s="74">
        <v>1095</v>
      </c>
      <c r="B359" s="146" t="str">
        <f t="shared" si="71"/>
        <v>Electric FAFR0R0R19Double</v>
      </c>
      <c r="C359" s="166" t="s">
        <v>227</v>
      </c>
      <c r="D359" s="166" t="s">
        <v>329</v>
      </c>
      <c r="E359" s="166" t="s">
        <v>329</v>
      </c>
      <c r="F359" s="72" t="s">
        <v>335</v>
      </c>
      <c r="G359" s="72" t="s">
        <v>339</v>
      </c>
      <c r="H359" s="70">
        <f t="shared" si="69"/>
        <v>0</v>
      </c>
      <c r="I359" s="169" t="str">
        <f t="shared" si="70"/>
        <v/>
      </c>
      <c r="J359" s="70" t="str">
        <f t="shared" si="72"/>
        <v>1095Electric FAFR0R0R19Double</v>
      </c>
      <c r="M359" s="70"/>
      <c r="P359" s="81"/>
      <c r="AF359" s="70"/>
      <c r="AG359" s="81"/>
      <c r="AL359" s="134"/>
      <c r="AM359" s="134"/>
      <c r="AU359" s="132"/>
      <c r="AV359" s="133"/>
      <c r="AW359" s="134"/>
    </row>
    <row r="360" spans="1:49">
      <c r="A360" s="74">
        <v>1096</v>
      </c>
      <c r="B360" s="146" t="str">
        <f t="shared" si="71"/>
        <v>Electric FAFR0R0R19Better</v>
      </c>
      <c r="C360" s="166" t="s">
        <v>227</v>
      </c>
      <c r="D360" s="166" t="s">
        <v>329</v>
      </c>
      <c r="E360" s="166" t="s">
        <v>329</v>
      </c>
      <c r="F360" s="72" t="s">
        <v>335</v>
      </c>
      <c r="G360" s="166" t="s">
        <v>352</v>
      </c>
      <c r="H360" s="70">
        <f t="shared" si="69"/>
        <v>0</v>
      </c>
      <c r="I360" s="169" t="str">
        <f t="shared" si="70"/>
        <v/>
      </c>
      <c r="J360" s="70" t="str">
        <f t="shared" si="72"/>
        <v>1096Electric FAFR0R0R19Better</v>
      </c>
      <c r="M360" s="70"/>
      <c r="P360" s="81"/>
      <c r="AF360" s="70"/>
      <c r="AG360" s="81"/>
      <c r="AL360" s="134"/>
      <c r="AM360" s="134"/>
      <c r="AU360" s="132"/>
      <c r="AV360" s="133"/>
      <c r="AW360" s="134"/>
    </row>
    <row r="361" spans="1:49">
      <c r="A361" s="74">
        <v>1097</v>
      </c>
      <c r="B361" s="146" t="str">
        <f t="shared" si="71"/>
        <v>Electric FAFR0R0BetterSingle</v>
      </c>
      <c r="C361" s="166" t="s">
        <v>227</v>
      </c>
      <c r="D361" s="166" t="s">
        <v>329</v>
      </c>
      <c r="E361" s="166" t="s">
        <v>329</v>
      </c>
      <c r="F361" s="166" t="s">
        <v>352</v>
      </c>
      <c r="G361" s="166" t="s">
        <v>355</v>
      </c>
      <c r="H361" s="70">
        <f t="shared" si="69"/>
        <v>0</v>
      </c>
      <c r="I361" s="169" t="str">
        <f t="shared" si="70"/>
        <v/>
      </c>
      <c r="J361" s="70" t="str">
        <f t="shared" si="72"/>
        <v>1097Electric FAFR0R0BetterSingle</v>
      </c>
      <c r="M361" s="70"/>
      <c r="P361" s="81"/>
      <c r="AF361" s="70"/>
      <c r="AG361" s="81"/>
      <c r="AL361" s="134"/>
      <c r="AM361" s="134"/>
      <c r="AU361" s="132"/>
      <c r="AV361" s="133"/>
      <c r="AW361" s="134"/>
    </row>
    <row r="362" spans="1:49">
      <c r="A362" s="74">
        <v>1098</v>
      </c>
      <c r="B362" s="146" t="str">
        <f t="shared" si="71"/>
        <v>Electric FAFR0R0BetterDouble</v>
      </c>
      <c r="C362" s="166" t="s">
        <v>227</v>
      </c>
      <c r="D362" s="166" t="s">
        <v>329</v>
      </c>
      <c r="E362" s="166" t="s">
        <v>329</v>
      </c>
      <c r="F362" s="166" t="s">
        <v>352</v>
      </c>
      <c r="G362" s="72" t="s">
        <v>339</v>
      </c>
      <c r="H362" s="70">
        <f t="shared" si="69"/>
        <v>0</v>
      </c>
      <c r="I362" s="169" t="str">
        <f t="shared" si="70"/>
        <v/>
      </c>
      <c r="J362" s="70" t="str">
        <f t="shared" si="72"/>
        <v>1098Electric FAFR0R0BetterDouble</v>
      </c>
      <c r="M362" s="70"/>
      <c r="P362" s="81"/>
      <c r="AF362" s="70"/>
      <c r="AG362" s="81"/>
      <c r="AL362" s="134"/>
      <c r="AM362" s="134"/>
      <c r="AU362" s="132"/>
      <c r="AV362" s="133"/>
      <c r="AW362" s="134"/>
    </row>
    <row r="363" spans="1:49">
      <c r="A363" s="74">
        <v>1099</v>
      </c>
      <c r="B363" s="146" t="str">
        <f t="shared" si="71"/>
        <v>Electric FAFR0R0BetterBetter</v>
      </c>
      <c r="C363" s="166" t="s">
        <v>227</v>
      </c>
      <c r="D363" s="166" t="s">
        <v>329</v>
      </c>
      <c r="E363" s="166" t="s">
        <v>329</v>
      </c>
      <c r="F363" s="166" t="s">
        <v>352</v>
      </c>
      <c r="G363" s="72" t="s">
        <v>352</v>
      </c>
      <c r="H363" s="70">
        <f t="shared" si="69"/>
        <v>0</v>
      </c>
      <c r="I363" s="169" t="str">
        <f t="shared" si="70"/>
        <v/>
      </c>
      <c r="J363" s="70" t="str">
        <f t="shared" si="72"/>
        <v>1099Electric FAFR0R0BetterBetter</v>
      </c>
      <c r="M363" s="70"/>
      <c r="P363" s="81"/>
      <c r="AF363" s="70"/>
      <c r="AG363" s="81"/>
      <c r="AL363" s="134"/>
      <c r="AM363" s="134"/>
      <c r="AU363" s="132"/>
      <c r="AV363" s="133"/>
      <c r="AW363" s="134"/>
    </row>
    <row r="364" spans="1:49">
      <c r="A364" s="74">
        <v>1100</v>
      </c>
      <c r="B364" s="146" t="str">
        <f t="shared" si="71"/>
        <v>Electric FAFR0R11R0Single</v>
      </c>
      <c r="C364" s="166" t="s">
        <v>227</v>
      </c>
      <c r="D364" s="166" t="s">
        <v>329</v>
      </c>
      <c r="E364" s="166" t="s">
        <v>334</v>
      </c>
      <c r="F364" s="166" t="s">
        <v>329</v>
      </c>
      <c r="G364" s="166" t="s">
        <v>355</v>
      </c>
      <c r="H364" s="70">
        <f t="shared" si="69"/>
        <v>0</v>
      </c>
      <c r="I364" s="169" t="str">
        <f t="shared" si="70"/>
        <v/>
      </c>
      <c r="J364" s="70" t="str">
        <f t="shared" si="72"/>
        <v>1100Electric FAFR0R11R0Single</v>
      </c>
      <c r="M364" s="70"/>
      <c r="P364" s="81"/>
      <c r="AF364" s="70"/>
      <c r="AG364" s="81"/>
      <c r="AL364" s="134"/>
      <c r="AM364" s="134"/>
      <c r="AU364" s="132"/>
      <c r="AV364" s="133"/>
      <c r="AW364" s="134"/>
    </row>
    <row r="365" spans="1:49">
      <c r="A365" s="74">
        <v>1101</v>
      </c>
      <c r="B365" s="146" t="str">
        <f t="shared" si="71"/>
        <v>Electric FAFR0R11R0Double</v>
      </c>
      <c r="C365" s="166" t="s">
        <v>227</v>
      </c>
      <c r="D365" s="166" t="s">
        <v>329</v>
      </c>
      <c r="E365" s="166" t="s">
        <v>334</v>
      </c>
      <c r="F365" s="166" t="s">
        <v>329</v>
      </c>
      <c r="G365" s="72" t="s">
        <v>339</v>
      </c>
      <c r="H365" s="70">
        <f t="shared" si="69"/>
        <v>0</v>
      </c>
      <c r="I365" s="169" t="str">
        <f t="shared" si="70"/>
        <v/>
      </c>
      <c r="J365" s="70" t="str">
        <f t="shared" si="72"/>
        <v>1101Electric FAFR0R11R0Double</v>
      </c>
      <c r="M365" s="70"/>
      <c r="P365" s="81"/>
      <c r="AF365" s="70"/>
      <c r="AG365" s="81"/>
      <c r="AL365" s="134"/>
      <c r="AM365" s="134"/>
      <c r="AU365" s="132"/>
      <c r="AV365" s="133"/>
      <c r="AW365" s="134"/>
    </row>
    <row r="366" spans="1:49">
      <c r="A366" s="74">
        <v>1102</v>
      </c>
      <c r="B366" s="146" t="str">
        <f t="shared" si="71"/>
        <v>Electric FAFR0R11R0Better</v>
      </c>
      <c r="C366" s="166" t="s">
        <v>227</v>
      </c>
      <c r="D366" s="166" t="s">
        <v>329</v>
      </c>
      <c r="E366" s="166" t="s">
        <v>334</v>
      </c>
      <c r="F366" s="166" t="s">
        <v>329</v>
      </c>
      <c r="G366" s="166" t="s">
        <v>352</v>
      </c>
      <c r="H366" s="70">
        <f t="shared" si="69"/>
        <v>12050.708999999999</v>
      </c>
      <c r="I366" s="169">
        <f t="shared" si="70"/>
        <v>1.1304542424078707E-2</v>
      </c>
      <c r="J366" s="70" t="str">
        <f t="shared" si="72"/>
        <v>1102Electric FAFR0R11R0Better</v>
      </c>
      <c r="M366" s="70"/>
      <c r="P366" s="81"/>
      <c r="AF366" s="70"/>
      <c r="AG366" s="81"/>
      <c r="AL366" s="134"/>
      <c r="AM366" s="134"/>
      <c r="AU366" s="132"/>
      <c r="AV366" s="133"/>
      <c r="AW366" s="134"/>
    </row>
    <row r="367" spans="1:49">
      <c r="A367" s="74">
        <v>1103</v>
      </c>
      <c r="B367" s="146" t="str">
        <f t="shared" si="71"/>
        <v>Electric FAFR0R11R19Single</v>
      </c>
      <c r="C367" s="166" t="s">
        <v>227</v>
      </c>
      <c r="D367" s="166" t="s">
        <v>329</v>
      </c>
      <c r="E367" s="166" t="s">
        <v>334</v>
      </c>
      <c r="F367" s="72" t="s">
        <v>335</v>
      </c>
      <c r="G367" s="166" t="s">
        <v>355</v>
      </c>
      <c r="H367" s="70">
        <f t="shared" si="69"/>
        <v>0</v>
      </c>
      <c r="I367" s="169" t="str">
        <f t="shared" si="70"/>
        <v/>
      </c>
      <c r="J367" s="70" t="str">
        <f t="shared" si="72"/>
        <v>1103Electric FAFR0R11R19Single</v>
      </c>
      <c r="M367" s="70"/>
      <c r="P367" s="81"/>
      <c r="AF367" s="70"/>
      <c r="AG367" s="81"/>
      <c r="AL367" s="134"/>
      <c r="AM367" s="134"/>
      <c r="AU367" s="132"/>
      <c r="AV367" s="133"/>
      <c r="AW367" s="134"/>
    </row>
    <row r="368" spans="1:49">
      <c r="A368" s="74">
        <v>1104</v>
      </c>
      <c r="B368" s="146" t="str">
        <f t="shared" si="71"/>
        <v>Electric FAFR0R11R19Double</v>
      </c>
      <c r="C368" s="166" t="s">
        <v>227</v>
      </c>
      <c r="D368" s="166" t="s">
        <v>329</v>
      </c>
      <c r="E368" s="166" t="s">
        <v>334</v>
      </c>
      <c r="F368" s="72" t="s">
        <v>335</v>
      </c>
      <c r="G368" s="72" t="s">
        <v>339</v>
      </c>
      <c r="H368" s="70">
        <f t="shared" si="69"/>
        <v>0</v>
      </c>
      <c r="I368" s="169" t="str">
        <f t="shared" si="70"/>
        <v/>
      </c>
      <c r="J368" s="70" t="str">
        <f t="shared" si="72"/>
        <v>1104Electric FAFR0R11R19Double</v>
      </c>
      <c r="M368" s="70"/>
      <c r="P368" s="81"/>
      <c r="AF368" s="70"/>
      <c r="AG368" s="81"/>
      <c r="AL368" s="134"/>
      <c r="AM368" s="134"/>
      <c r="AU368" s="132"/>
      <c r="AV368" s="133"/>
      <c r="AW368" s="134"/>
    </row>
    <row r="369" spans="1:49">
      <c r="A369" s="74">
        <v>1105</v>
      </c>
      <c r="B369" s="146" t="str">
        <f t="shared" si="71"/>
        <v>Electric FAFR0R11R19Better</v>
      </c>
      <c r="C369" s="166" t="s">
        <v>227</v>
      </c>
      <c r="D369" s="166" t="s">
        <v>329</v>
      </c>
      <c r="E369" s="166" t="s">
        <v>334</v>
      </c>
      <c r="F369" s="72" t="s">
        <v>335</v>
      </c>
      <c r="G369" s="72" t="s">
        <v>352</v>
      </c>
      <c r="H369" s="70">
        <f t="shared" si="69"/>
        <v>12705.415999999999</v>
      </c>
      <c r="I369" s="169">
        <f t="shared" si="70"/>
        <v>1.1918710690596577E-2</v>
      </c>
      <c r="J369" s="70" t="str">
        <f t="shared" si="72"/>
        <v>1105Electric FAFR0R11R19Better</v>
      </c>
      <c r="M369" s="70"/>
      <c r="P369" s="81"/>
      <c r="AF369" s="70"/>
      <c r="AG369" s="81"/>
      <c r="AL369" s="134"/>
      <c r="AM369" s="134"/>
      <c r="AU369" s="132"/>
      <c r="AV369" s="133"/>
      <c r="AW369" s="134"/>
    </row>
    <row r="370" spans="1:49">
      <c r="A370" s="74">
        <v>1106</v>
      </c>
      <c r="B370" s="146" t="str">
        <f t="shared" si="71"/>
        <v>Electric FAFR0R11BetterSingle</v>
      </c>
      <c r="C370" s="166" t="s">
        <v>227</v>
      </c>
      <c r="D370" s="166" t="s">
        <v>329</v>
      </c>
      <c r="E370" s="166" t="s">
        <v>334</v>
      </c>
      <c r="F370" s="166" t="s">
        <v>352</v>
      </c>
      <c r="G370" s="166" t="s">
        <v>355</v>
      </c>
      <c r="H370" s="70">
        <f t="shared" si="69"/>
        <v>0</v>
      </c>
      <c r="I370" s="169" t="str">
        <f t="shared" si="70"/>
        <v/>
      </c>
      <c r="J370" s="70" t="str">
        <f t="shared" si="72"/>
        <v>1106Electric FAFR0R11BetterSingle</v>
      </c>
      <c r="M370" s="70"/>
      <c r="P370" s="81"/>
      <c r="AF370" s="70"/>
      <c r="AG370" s="81"/>
      <c r="AL370" s="134"/>
      <c r="AM370" s="134"/>
      <c r="AU370" s="132"/>
      <c r="AV370" s="133"/>
      <c r="AW370" s="134"/>
    </row>
    <row r="371" spans="1:49">
      <c r="A371" s="74">
        <v>1107</v>
      </c>
      <c r="B371" s="146" t="str">
        <f t="shared" si="71"/>
        <v>Electric FAFR0R11BetterDouble</v>
      </c>
      <c r="C371" s="166" t="s">
        <v>227</v>
      </c>
      <c r="D371" s="166" t="s">
        <v>329</v>
      </c>
      <c r="E371" s="166" t="s">
        <v>334</v>
      </c>
      <c r="F371" s="166" t="s">
        <v>352</v>
      </c>
      <c r="G371" s="72" t="s">
        <v>339</v>
      </c>
      <c r="H371" s="70">
        <f t="shared" si="69"/>
        <v>0</v>
      </c>
      <c r="I371" s="169" t="str">
        <f t="shared" si="70"/>
        <v/>
      </c>
      <c r="J371" s="70" t="str">
        <f t="shared" si="72"/>
        <v>1107Electric FAFR0R11BetterDouble</v>
      </c>
      <c r="M371" s="70"/>
      <c r="P371" s="81"/>
      <c r="AF371" s="70"/>
      <c r="AG371" s="81"/>
      <c r="AL371" s="134"/>
      <c r="AM371" s="134"/>
      <c r="AU371" s="132"/>
      <c r="AV371" s="133"/>
      <c r="AW371" s="134"/>
    </row>
    <row r="372" spans="1:49">
      <c r="A372" s="74">
        <v>1108</v>
      </c>
      <c r="B372" s="146" t="str">
        <f t="shared" si="71"/>
        <v>Electric FAFR0R11BetterBetter</v>
      </c>
      <c r="C372" s="166" t="s">
        <v>227</v>
      </c>
      <c r="D372" s="166" t="s">
        <v>329</v>
      </c>
      <c r="E372" s="166" t="s">
        <v>334</v>
      </c>
      <c r="F372" s="166" t="s">
        <v>352</v>
      </c>
      <c r="G372" s="166" t="s">
        <v>352</v>
      </c>
      <c r="H372" s="70">
        <f t="shared" si="69"/>
        <v>1464.694</v>
      </c>
      <c r="I372" s="169">
        <f t="shared" si="70"/>
        <v>1.3740017671403017E-3</v>
      </c>
      <c r="J372" s="70" t="str">
        <f t="shared" si="72"/>
        <v>1108Electric FAFR0R11BetterBetter</v>
      </c>
      <c r="M372" s="70"/>
      <c r="P372" s="81"/>
      <c r="AF372" s="70"/>
      <c r="AG372" s="81"/>
      <c r="AL372" s="134"/>
      <c r="AM372" s="134"/>
      <c r="AU372" s="132"/>
      <c r="AV372" s="133"/>
      <c r="AW372" s="134"/>
    </row>
    <row r="373" spans="1:49">
      <c r="A373" s="74">
        <v>1109</v>
      </c>
      <c r="B373" s="146" t="str">
        <f t="shared" si="71"/>
        <v>Electric FAFR11R0R0Single</v>
      </c>
      <c r="C373" s="170" t="s">
        <v>227</v>
      </c>
      <c r="D373" s="166" t="s">
        <v>334</v>
      </c>
      <c r="E373" s="166" t="s">
        <v>329</v>
      </c>
      <c r="F373" s="166" t="s">
        <v>329</v>
      </c>
      <c r="G373" s="166" t="s">
        <v>355</v>
      </c>
      <c r="H373" s="70">
        <f t="shared" si="69"/>
        <v>0</v>
      </c>
      <c r="I373" s="169" t="str">
        <f t="shared" si="70"/>
        <v/>
      </c>
      <c r="J373" s="70" t="str">
        <f t="shared" si="72"/>
        <v>1109Electric FAFR11R0R0Single</v>
      </c>
      <c r="M373" s="70"/>
      <c r="P373" s="81"/>
      <c r="AF373" s="70"/>
      <c r="AG373" s="81"/>
      <c r="AL373" s="134"/>
      <c r="AM373" s="134"/>
      <c r="AU373" s="132"/>
      <c r="AV373" s="133"/>
      <c r="AW373" s="134"/>
    </row>
    <row r="374" spans="1:49">
      <c r="A374" s="74">
        <v>1110</v>
      </c>
      <c r="B374" s="146" t="str">
        <f t="shared" si="71"/>
        <v>Electric FAFR11R0R0Double</v>
      </c>
      <c r="C374" s="170" t="s">
        <v>227</v>
      </c>
      <c r="D374" s="166" t="s">
        <v>334</v>
      </c>
      <c r="E374" s="166" t="s">
        <v>329</v>
      </c>
      <c r="F374" s="166" t="s">
        <v>329</v>
      </c>
      <c r="G374" s="72" t="s">
        <v>339</v>
      </c>
      <c r="H374" s="70">
        <f t="shared" si="69"/>
        <v>0</v>
      </c>
      <c r="I374" s="169" t="str">
        <f t="shared" si="70"/>
        <v/>
      </c>
      <c r="J374" s="70" t="str">
        <f t="shared" si="72"/>
        <v>1110Electric FAFR11R0R0Double</v>
      </c>
      <c r="M374" s="70"/>
      <c r="P374" s="81"/>
      <c r="AF374" s="70"/>
      <c r="AG374" s="81"/>
      <c r="AL374" s="134"/>
      <c r="AM374" s="134"/>
      <c r="AU374" s="132"/>
      <c r="AV374" s="133"/>
      <c r="AW374" s="134"/>
    </row>
    <row r="375" spans="1:49">
      <c r="A375" s="74">
        <v>1111</v>
      </c>
      <c r="B375" s="146" t="str">
        <f t="shared" si="71"/>
        <v>Electric FAFR11R0R0Better</v>
      </c>
      <c r="C375" s="170" t="s">
        <v>227</v>
      </c>
      <c r="D375" s="166" t="s">
        <v>334</v>
      </c>
      <c r="E375" s="166" t="s">
        <v>329</v>
      </c>
      <c r="F375" s="166" t="s">
        <v>329</v>
      </c>
      <c r="G375" s="72" t="s">
        <v>352</v>
      </c>
      <c r="H375" s="70">
        <f t="shared" si="69"/>
        <v>0</v>
      </c>
      <c r="I375" s="169" t="str">
        <f t="shared" si="70"/>
        <v/>
      </c>
      <c r="J375" s="70" t="str">
        <f t="shared" si="72"/>
        <v>1111Electric FAFR11R0R0Better</v>
      </c>
      <c r="M375" s="70"/>
      <c r="P375" s="81"/>
      <c r="AF375" s="70"/>
      <c r="AG375" s="81"/>
      <c r="AL375" s="134"/>
      <c r="AM375" s="134"/>
      <c r="AU375" s="132"/>
      <c r="AV375" s="133"/>
      <c r="AW375" s="134"/>
    </row>
    <row r="376" spans="1:49">
      <c r="A376" s="74">
        <v>1112</v>
      </c>
      <c r="B376" s="146" t="str">
        <f t="shared" si="71"/>
        <v>Electric FAFR11R0R19Single</v>
      </c>
      <c r="C376" s="170" t="s">
        <v>227</v>
      </c>
      <c r="D376" s="166" t="s">
        <v>334</v>
      </c>
      <c r="E376" s="166" t="s">
        <v>329</v>
      </c>
      <c r="F376" s="72" t="s">
        <v>335</v>
      </c>
      <c r="G376" s="166" t="s">
        <v>355</v>
      </c>
      <c r="H376" s="70">
        <f t="shared" si="69"/>
        <v>0</v>
      </c>
      <c r="I376" s="169" t="str">
        <f t="shared" si="70"/>
        <v/>
      </c>
      <c r="J376" s="70" t="str">
        <f t="shared" si="72"/>
        <v>1112Electric FAFR11R0R19Single</v>
      </c>
      <c r="M376" s="70"/>
      <c r="P376" s="81"/>
      <c r="AF376" s="70"/>
      <c r="AG376" s="81"/>
      <c r="AL376" s="134"/>
      <c r="AM376" s="134"/>
      <c r="AU376" s="132"/>
      <c r="AV376" s="133"/>
      <c r="AW376" s="134"/>
    </row>
    <row r="377" spans="1:49">
      <c r="A377" s="74">
        <v>1113</v>
      </c>
      <c r="B377" s="146" t="str">
        <f t="shared" si="71"/>
        <v>Electric FAFR11R0R19Double</v>
      </c>
      <c r="C377" s="170" t="s">
        <v>227</v>
      </c>
      <c r="D377" s="166" t="s">
        <v>334</v>
      </c>
      <c r="E377" s="166" t="s">
        <v>329</v>
      </c>
      <c r="F377" s="72" t="s">
        <v>335</v>
      </c>
      <c r="G377" s="72" t="s">
        <v>339</v>
      </c>
      <c r="H377" s="70">
        <f t="shared" si="69"/>
        <v>0</v>
      </c>
      <c r="I377" s="169" t="str">
        <f t="shared" si="70"/>
        <v/>
      </c>
      <c r="J377" s="70" t="str">
        <f t="shared" si="72"/>
        <v>1113Electric FAFR11R0R19Double</v>
      </c>
      <c r="M377" s="70"/>
      <c r="P377" s="81"/>
      <c r="AF377" s="70"/>
      <c r="AG377" s="81"/>
      <c r="AL377" s="134"/>
      <c r="AM377" s="134"/>
      <c r="AU377" s="132"/>
      <c r="AV377" s="133"/>
      <c r="AW377" s="134"/>
    </row>
    <row r="378" spans="1:49">
      <c r="A378" s="74">
        <v>1114</v>
      </c>
      <c r="B378" s="146" t="str">
        <f t="shared" si="71"/>
        <v>Electric FAFR11R0R19Better</v>
      </c>
      <c r="C378" s="170" t="s">
        <v>227</v>
      </c>
      <c r="D378" s="166" t="s">
        <v>334</v>
      </c>
      <c r="E378" s="166" t="s">
        <v>329</v>
      </c>
      <c r="F378" s="72" t="s">
        <v>335</v>
      </c>
      <c r="G378" s="166" t="s">
        <v>352</v>
      </c>
      <c r="H378" s="70">
        <f t="shared" si="69"/>
        <v>0</v>
      </c>
      <c r="I378" s="169" t="str">
        <f t="shared" si="70"/>
        <v/>
      </c>
      <c r="J378" s="70" t="str">
        <f t="shared" si="72"/>
        <v>1114Electric FAFR11R0R19Better</v>
      </c>
      <c r="M378" s="70"/>
      <c r="P378" s="81"/>
      <c r="AF378" s="70"/>
      <c r="AG378" s="81"/>
      <c r="AL378" s="134"/>
      <c r="AM378" s="134"/>
      <c r="AU378" s="132"/>
      <c r="AV378" s="133"/>
      <c r="AW378" s="134"/>
    </row>
    <row r="379" spans="1:49">
      <c r="A379" s="74">
        <v>1115</v>
      </c>
      <c r="B379" s="146" t="str">
        <f t="shared" si="71"/>
        <v>Electric FAFR11R0BetterSingle</v>
      </c>
      <c r="C379" s="170" t="s">
        <v>227</v>
      </c>
      <c r="D379" s="166" t="s">
        <v>334</v>
      </c>
      <c r="E379" s="166" t="s">
        <v>329</v>
      </c>
      <c r="F379" s="166" t="s">
        <v>352</v>
      </c>
      <c r="G379" s="166" t="s">
        <v>355</v>
      </c>
      <c r="H379" s="70">
        <f t="shared" si="69"/>
        <v>0</v>
      </c>
      <c r="I379" s="169" t="str">
        <f t="shared" si="70"/>
        <v/>
      </c>
      <c r="J379" s="70" t="str">
        <f t="shared" si="72"/>
        <v>1115Electric FAFR11R0BetterSingle</v>
      </c>
      <c r="M379" s="70"/>
      <c r="P379" s="81"/>
      <c r="AF379" s="70"/>
      <c r="AG379" s="81"/>
      <c r="AL379" s="134"/>
      <c r="AM379" s="134"/>
      <c r="AU379" s="132"/>
      <c r="AV379" s="133"/>
      <c r="AW379" s="134"/>
    </row>
    <row r="380" spans="1:49">
      <c r="A380" s="74">
        <v>1116</v>
      </c>
      <c r="B380" s="146" t="str">
        <f t="shared" si="71"/>
        <v>Electric FAFR11R0BetterDouble</v>
      </c>
      <c r="C380" s="170" t="s">
        <v>227</v>
      </c>
      <c r="D380" s="166" t="s">
        <v>334</v>
      </c>
      <c r="E380" s="166" t="s">
        <v>329</v>
      </c>
      <c r="F380" s="166" t="s">
        <v>352</v>
      </c>
      <c r="G380" s="72" t="s">
        <v>339</v>
      </c>
      <c r="H380" s="70">
        <f t="shared" si="69"/>
        <v>0</v>
      </c>
      <c r="I380" s="169" t="str">
        <f t="shared" si="70"/>
        <v/>
      </c>
      <c r="J380" s="70" t="str">
        <f t="shared" si="72"/>
        <v>1116Electric FAFR11R0BetterDouble</v>
      </c>
      <c r="M380" s="70"/>
      <c r="P380" s="81"/>
      <c r="AF380" s="70"/>
      <c r="AG380" s="81"/>
      <c r="AL380" s="134"/>
      <c r="AM380" s="134"/>
      <c r="AU380" s="132"/>
      <c r="AV380" s="133"/>
      <c r="AW380" s="134"/>
    </row>
    <row r="381" spans="1:49">
      <c r="A381" s="74">
        <v>1117</v>
      </c>
      <c r="B381" s="146" t="str">
        <f t="shared" si="71"/>
        <v>Electric FAFR11R0BetterBetter</v>
      </c>
      <c r="C381" s="170" t="s">
        <v>227</v>
      </c>
      <c r="D381" s="166" t="s">
        <v>334</v>
      </c>
      <c r="E381" s="166" t="s">
        <v>329</v>
      </c>
      <c r="F381" s="166" t="s">
        <v>352</v>
      </c>
      <c r="G381" s="72" t="s">
        <v>352</v>
      </c>
      <c r="H381" s="70">
        <f t="shared" si="69"/>
        <v>3908.0039999999999</v>
      </c>
      <c r="I381" s="169">
        <f t="shared" si="70"/>
        <v>3.6660247136885708E-3</v>
      </c>
      <c r="J381" s="70" t="str">
        <f t="shared" si="72"/>
        <v>1117Electric FAFR11R0BetterBetter</v>
      </c>
      <c r="M381" s="70"/>
      <c r="P381" s="81"/>
      <c r="AF381" s="70"/>
      <c r="AG381" s="81"/>
      <c r="AL381" s="134"/>
      <c r="AM381" s="134"/>
      <c r="AU381" s="132"/>
      <c r="AV381" s="133"/>
      <c r="AW381" s="134"/>
    </row>
    <row r="382" spans="1:49">
      <c r="A382" s="74">
        <v>1118</v>
      </c>
      <c r="B382" s="146" t="str">
        <f t="shared" si="71"/>
        <v>Electric FAFR11R11R0Single</v>
      </c>
      <c r="C382" s="170" t="s">
        <v>227</v>
      </c>
      <c r="D382" s="166" t="s">
        <v>334</v>
      </c>
      <c r="E382" s="166" t="s">
        <v>334</v>
      </c>
      <c r="F382" s="166" t="s">
        <v>329</v>
      </c>
      <c r="G382" s="166" t="s">
        <v>355</v>
      </c>
      <c r="H382" s="70">
        <f t="shared" si="69"/>
        <v>0</v>
      </c>
      <c r="I382" s="169" t="str">
        <f t="shared" si="70"/>
        <v/>
      </c>
      <c r="J382" s="70" t="str">
        <f t="shared" si="72"/>
        <v>1118Electric FAFR11R11R0Single</v>
      </c>
      <c r="M382" s="70"/>
      <c r="P382" s="81"/>
      <c r="AF382" s="70"/>
      <c r="AG382" s="81"/>
      <c r="AL382" s="134"/>
      <c r="AM382" s="134"/>
      <c r="AU382" s="132"/>
      <c r="AV382" s="133"/>
      <c r="AW382" s="134"/>
    </row>
    <row r="383" spans="1:49">
      <c r="A383" s="74">
        <v>1119</v>
      </c>
      <c r="B383" s="146" t="str">
        <f t="shared" si="71"/>
        <v>Electric FAFR11R11R0Double</v>
      </c>
      <c r="C383" s="170" t="s">
        <v>227</v>
      </c>
      <c r="D383" s="166" t="s">
        <v>334</v>
      </c>
      <c r="E383" s="166" t="s">
        <v>334</v>
      </c>
      <c r="F383" s="166" t="s">
        <v>329</v>
      </c>
      <c r="G383" s="72" t="s">
        <v>339</v>
      </c>
      <c r="H383" s="70">
        <f t="shared" si="69"/>
        <v>2079.9929999999999</v>
      </c>
      <c r="I383" s="169">
        <f t="shared" si="70"/>
        <v>1.9512021334418368E-3</v>
      </c>
      <c r="J383" s="70" t="str">
        <f t="shared" si="72"/>
        <v>1119Electric FAFR11R11R0Double</v>
      </c>
      <c r="M383" s="70"/>
      <c r="P383" s="81"/>
      <c r="AF383" s="70"/>
      <c r="AG383" s="81"/>
      <c r="AL383" s="134"/>
      <c r="AM383" s="134"/>
      <c r="AU383" s="132"/>
      <c r="AV383" s="133"/>
      <c r="AW383" s="134"/>
    </row>
    <row r="384" spans="1:49">
      <c r="A384" s="74">
        <v>1120</v>
      </c>
      <c r="B384" s="146" t="str">
        <f t="shared" si="71"/>
        <v>Electric FAFR11R11R0Better</v>
      </c>
      <c r="C384" s="170" t="s">
        <v>227</v>
      </c>
      <c r="D384" s="166" t="s">
        <v>334</v>
      </c>
      <c r="E384" s="166" t="s">
        <v>334</v>
      </c>
      <c r="F384" s="166" t="s">
        <v>329</v>
      </c>
      <c r="G384" s="166" t="s">
        <v>352</v>
      </c>
      <c r="H384" s="70">
        <f t="shared" si="69"/>
        <v>0</v>
      </c>
      <c r="I384" s="169" t="str">
        <f t="shared" si="70"/>
        <v/>
      </c>
      <c r="J384" s="70" t="str">
        <f t="shared" si="72"/>
        <v>1120Electric FAFR11R11R0Better</v>
      </c>
      <c r="M384" s="70"/>
      <c r="P384" s="81"/>
      <c r="AF384" s="70"/>
      <c r="AG384" s="81"/>
      <c r="AL384" s="134"/>
      <c r="AM384" s="134"/>
      <c r="AU384" s="132"/>
      <c r="AV384" s="133"/>
      <c r="AW384" s="134"/>
    </row>
    <row r="385" spans="1:49">
      <c r="A385" s="74">
        <v>1121</v>
      </c>
      <c r="B385" s="146" t="str">
        <f t="shared" si="71"/>
        <v>Electric FAFR11R11R19Single</v>
      </c>
      <c r="C385" s="170" t="s">
        <v>227</v>
      </c>
      <c r="D385" s="166" t="s">
        <v>334</v>
      </c>
      <c r="E385" s="166" t="s">
        <v>334</v>
      </c>
      <c r="F385" s="72" t="s">
        <v>335</v>
      </c>
      <c r="G385" s="166" t="s">
        <v>355</v>
      </c>
      <c r="H385" s="70">
        <f t="shared" si="69"/>
        <v>0</v>
      </c>
      <c r="I385" s="169" t="str">
        <f t="shared" si="70"/>
        <v/>
      </c>
      <c r="J385" s="70" t="str">
        <f t="shared" si="72"/>
        <v>1121Electric FAFR11R11R19Single</v>
      </c>
      <c r="M385" s="70"/>
      <c r="P385" s="81"/>
      <c r="AF385" s="70"/>
      <c r="AG385" s="81"/>
      <c r="AL385" s="134"/>
      <c r="AM385" s="134"/>
      <c r="AU385" s="132"/>
      <c r="AV385" s="133"/>
      <c r="AW385" s="134"/>
    </row>
    <row r="386" spans="1:49">
      <c r="A386" s="74">
        <v>1122</v>
      </c>
      <c r="B386" s="146" t="str">
        <f t="shared" si="71"/>
        <v>Electric FAFR11R11R19Double</v>
      </c>
      <c r="C386" s="170" t="s">
        <v>227</v>
      </c>
      <c r="D386" s="166" t="s">
        <v>334</v>
      </c>
      <c r="E386" s="166" t="s">
        <v>334</v>
      </c>
      <c r="F386" s="72" t="s">
        <v>335</v>
      </c>
      <c r="G386" s="72" t="s">
        <v>339</v>
      </c>
      <c r="H386" s="70">
        <f t="shared" si="69"/>
        <v>0</v>
      </c>
      <c r="I386" s="169" t="str">
        <f t="shared" si="70"/>
        <v/>
      </c>
      <c r="J386" s="70" t="str">
        <f t="shared" si="72"/>
        <v>1122Electric FAFR11R11R19Double</v>
      </c>
      <c r="M386" s="70"/>
      <c r="P386" s="81"/>
      <c r="AF386" s="70"/>
      <c r="AG386" s="81"/>
      <c r="AL386" s="134"/>
      <c r="AM386" s="134"/>
      <c r="AU386" s="132"/>
      <c r="AV386" s="133"/>
      <c r="AW386" s="134"/>
    </row>
    <row r="387" spans="1:49">
      <c r="A387" s="74">
        <v>1123</v>
      </c>
      <c r="B387" s="146" t="str">
        <f t="shared" si="71"/>
        <v>Electric FAFR11R11R19Better</v>
      </c>
      <c r="C387" s="170" t="s">
        <v>227</v>
      </c>
      <c r="D387" s="166" t="s">
        <v>334</v>
      </c>
      <c r="E387" s="166" t="s">
        <v>334</v>
      </c>
      <c r="F387" s="72" t="s">
        <v>335</v>
      </c>
      <c r="G387" s="72" t="s">
        <v>352</v>
      </c>
      <c r="H387" s="70">
        <f t="shared" si="69"/>
        <v>2079.9929999999999</v>
      </c>
      <c r="I387" s="169">
        <f t="shared" si="70"/>
        <v>1.9512021334418368E-3</v>
      </c>
      <c r="J387" s="70" t="str">
        <f t="shared" si="72"/>
        <v>1123Electric FAFR11R11R19Better</v>
      </c>
      <c r="M387" s="70"/>
      <c r="P387" s="81"/>
      <c r="AF387" s="70"/>
      <c r="AG387" s="81"/>
      <c r="AL387" s="134"/>
      <c r="AM387" s="134"/>
      <c r="AU387" s="132"/>
      <c r="AV387" s="133"/>
      <c r="AW387" s="134"/>
    </row>
    <row r="388" spans="1:49">
      <c r="A388" s="74">
        <v>1124</v>
      </c>
      <c r="B388" s="146" t="str">
        <f t="shared" si="71"/>
        <v>Electric FAFR11R11BetterSingle</v>
      </c>
      <c r="C388" s="170" t="s">
        <v>227</v>
      </c>
      <c r="D388" s="166" t="s">
        <v>334</v>
      </c>
      <c r="E388" s="166" t="s">
        <v>334</v>
      </c>
      <c r="F388" s="166" t="s">
        <v>352</v>
      </c>
      <c r="G388" s="166" t="s">
        <v>355</v>
      </c>
      <c r="H388" s="70">
        <f t="shared" si="69"/>
        <v>0</v>
      </c>
      <c r="I388" s="169" t="str">
        <f t="shared" si="70"/>
        <v/>
      </c>
      <c r="J388" s="70" t="str">
        <f t="shared" si="72"/>
        <v>1124Electric FAFR11R11BetterSingle</v>
      </c>
      <c r="M388" s="70"/>
      <c r="P388" s="81"/>
      <c r="AF388" s="70"/>
      <c r="AG388" s="81"/>
      <c r="AL388" s="134"/>
      <c r="AM388" s="134"/>
      <c r="AU388" s="132"/>
      <c r="AV388" s="133"/>
      <c r="AW388" s="134"/>
    </row>
    <row r="389" spans="1:49">
      <c r="A389" s="74">
        <v>1125</v>
      </c>
      <c r="B389" s="146" t="str">
        <f t="shared" si="71"/>
        <v>Electric FAFR11R11BetterDouble</v>
      </c>
      <c r="C389" s="170" t="s">
        <v>227</v>
      </c>
      <c r="D389" s="166" t="s">
        <v>334</v>
      </c>
      <c r="E389" s="166" t="s">
        <v>334</v>
      </c>
      <c r="F389" s="166" t="s">
        <v>352</v>
      </c>
      <c r="G389" s="72" t="s">
        <v>339</v>
      </c>
      <c r="H389" s="70">
        <f t="shared" si="69"/>
        <v>0</v>
      </c>
      <c r="I389" s="169" t="str">
        <f t="shared" si="70"/>
        <v/>
      </c>
      <c r="J389" s="70" t="str">
        <f t="shared" si="72"/>
        <v>1125Electric FAFR11R11BetterDouble</v>
      </c>
      <c r="M389" s="70"/>
      <c r="P389" s="81"/>
      <c r="AF389" s="70"/>
      <c r="AG389" s="81"/>
      <c r="AL389" s="134"/>
      <c r="AM389" s="134"/>
      <c r="AU389" s="132"/>
      <c r="AV389" s="133"/>
      <c r="AW389" s="134"/>
    </row>
    <row r="390" spans="1:49">
      <c r="A390" s="74">
        <v>1126</v>
      </c>
      <c r="B390" s="146" t="str">
        <f t="shared" si="71"/>
        <v>Electric FAFR11R11BetterBetter</v>
      </c>
      <c r="C390" s="170" t="s">
        <v>227</v>
      </c>
      <c r="D390" s="166" t="s">
        <v>334</v>
      </c>
      <c r="E390" s="166" t="s">
        <v>334</v>
      </c>
      <c r="F390" s="166" t="s">
        <v>352</v>
      </c>
      <c r="G390" s="166" t="s">
        <v>352</v>
      </c>
      <c r="H390" s="70">
        <f t="shared" si="69"/>
        <v>0</v>
      </c>
      <c r="I390" s="169" t="str">
        <f t="shared" si="70"/>
        <v/>
      </c>
      <c r="J390" s="70" t="str">
        <f t="shared" si="72"/>
        <v>1126Electric FAFR11R11BetterBetter</v>
      </c>
      <c r="M390" s="70"/>
      <c r="P390" s="81"/>
      <c r="AF390" s="70"/>
      <c r="AG390" s="81"/>
      <c r="AL390" s="134"/>
      <c r="AM390" s="134"/>
      <c r="AU390" s="132"/>
      <c r="AV390" s="133"/>
      <c r="AW390" s="134"/>
    </row>
    <row r="391" spans="1:49">
      <c r="A391" s="74">
        <v>1127</v>
      </c>
      <c r="B391" s="146" t="str">
        <f t="shared" si="71"/>
        <v>Electric FAFR19R0R0Single</v>
      </c>
      <c r="C391" s="170" t="s">
        <v>227</v>
      </c>
      <c r="D391" s="166" t="s">
        <v>335</v>
      </c>
      <c r="E391" s="166" t="s">
        <v>329</v>
      </c>
      <c r="F391" s="166" t="s">
        <v>329</v>
      </c>
      <c r="G391" s="166" t="s">
        <v>355</v>
      </c>
      <c r="H391" s="70">
        <f t="shared" si="69"/>
        <v>0</v>
      </c>
      <c r="I391" s="169" t="str">
        <f t="shared" si="70"/>
        <v/>
      </c>
      <c r="J391" s="70" t="str">
        <f t="shared" si="72"/>
        <v>1127Electric FAFR19R0R0Single</v>
      </c>
      <c r="M391" s="70"/>
      <c r="P391" s="81"/>
      <c r="AF391" s="70"/>
      <c r="AG391" s="81"/>
      <c r="AL391" s="134"/>
      <c r="AM391" s="134"/>
      <c r="AU391" s="132"/>
      <c r="AV391" s="133"/>
      <c r="AW391" s="134"/>
    </row>
    <row r="392" spans="1:49">
      <c r="A392" s="74">
        <v>1128</v>
      </c>
      <c r="B392" s="146" t="str">
        <f t="shared" si="71"/>
        <v>Electric FAFR19R0R0Double</v>
      </c>
      <c r="C392" s="170" t="s">
        <v>227</v>
      </c>
      <c r="D392" s="166" t="s">
        <v>335</v>
      </c>
      <c r="E392" s="166" t="s">
        <v>329</v>
      </c>
      <c r="F392" s="166" t="s">
        <v>329</v>
      </c>
      <c r="G392" s="72" t="s">
        <v>339</v>
      </c>
      <c r="H392" s="70">
        <f t="shared" si="69"/>
        <v>0</v>
      </c>
      <c r="I392" s="169" t="str">
        <f t="shared" si="70"/>
        <v/>
      </c>
      <c r="J392" s="70" t="str">
        <f t="shared" si="72"/>
        <v>1128Electric FAFR19R0R0Double</v>
      </c>
      <c r="M392" s="70"/>
      <c r="P392" s="81"/>
      <c r="AF392" s="70"/>
      <c r="AG392" s="81"/>
      <c r="AL392" s="134"/>
      <c r="AM392" s="134"/>
      <c r="AU392" s="132"/>
      <c r="AV392" s="133"/>
      <c r="AW392" s="134"/>
    </row>
    <row r="393" spans="1:49">
      <c r="A393" s="74">
        <v>1129</v>
      </c>
      <c r="B393" s="146" t="str">
        <f t="shared" si="71"/>
        <v>Electric FAFR19R0R0Better</v>
      </c>
      <c r="C393" s="170" t="s">
        <v>227</v>
      </c>
      <c r="D393" s="166" t="s">
        <v>335</v>
      </c>
      <c r="E393" s="166" t="s">
        <v>329</v>
      </c>
      <c r="F393" s="166" t="s">
        <v>329</v>
      </c>
      <c r="G393" s="72" t="s">
        <v>352</v>
      </c>
      <c r="H393" s="70">
        <f t="shared" ref="H393:H456" si="73">SUMIFS($I$755:$I$1283,$O$755:$O$1283,B393,$J$755:$J$1283,"keep")</f>
        <v>0</v>
      </c>
      <c r="I393" s="169" t="str">
        <f t="shared" ref="I393:I456" si="74">IF(H393&gt;0,H393/SUM($H$265:$H$714),"")</f>
        <v/>
      </c>
      <c r="J393" s="70" t="str">
        <f t="shared" si="72"/>
        <v>1129Electric FAFR19R0R0Better</v>
      </c>
      <c r="M393" s="70"/>
      <c r="P393" s="81"/>
      <c r="AF393" s="70"/>
      <c r="AG393" s="81"/>
      <c r="AL393" s="134"/>
      <c r="AM393" s="134"/>
      <c r="AU393" s="132"/>
      <c r="AV393" s="133"/>
      <c r="AW393" s="134"/>
    </row>
    <row r="394" spans="1:49">
      <c r="A394" s="74">
        <v>1130</v>
      </c>
      <c r="B394" s="146" t="str">
        <f t="shared" ref="B394:B457" si="75">C394&amp;D394&amp;E394&amp;F394&amp;G394</f>
        <v>Electric FAFR19R0R19Single</v>
      </c>
      <c r="C394" s="170" t="s">
        <v>227</v>
      </c>
      <c r="D394" s="166" t="s">
        <v>335</v>
      </c>
      <c r="E394" s="166" t="s">
        <v>329</v>
      </c>
      <c r="F394" s="72" t="s">
        <v>335</v>
      </c>
      <c r="G394" s="166" t="s">
        <v>355</v>
      </c>
      <c r="H394" s="70">
        <f t="shared" si="73"/>
        <v>0</v>
      </c>
      <c r="I394" s="169" t="str">
        <f t="shared" si="74"/>
        <v/>
      </c>
      <c r="J394" s="70" t="str">
        <f t="shared" ref="J394:J457" si="76">A394&amp;B394</f>
        <v>1130Electric FAFR19R0R19Single</v>
      </c>
      <c r="M394" s="70"/>
      <c r="P394" s="81"/>
      <c r="AF394" s="70"/>
      <c r="AG394" s="81"/>
      <c r="AL394" s="134"/>
      <c r="AM394" s="134"/>
      <c r="AU394" s="132"/>
      <c r="AV394" s="133"/>
      <c r="AW394" s="134"/>
    </row>
    <row r="395" spans="1:49">
      <c r="A395" s="74">
        <v>1131</v>
      </c>
      <c r="B395" s="146" t="str">
        <f t="shared" si="75"/>
        <v>Electric FAFR19R0R19Double</v>
      </c>
      <c r="C395" s="170" t="s">
        <v>227</v>
      </c>
      <c r="D395" s="166" t="s">
        <v>335</v>
      </c>
      <c r="E395" s="166" t="s">
        <v>329</v>
      </c>
      <c r="F395" s="72" t="s">
        <v>335</v>
      </c>
      <c r="G395" s="72" t="s">
        <v>339</v>
      </c>
      <c r="H395" s="70">
        <f t="shared" si="73"/>
        <v>0</v>
      </c>
      <c r="I395" s="169" t="str">
        <f t="shared" si="74"/>
        <v/>
      </c>
      <c r="J395" s="70" t="str">
        <f t="shared" si="76"/>
        <v>1131Electric FAFR19R0R19Double</v>
      </c>
      <c r="M395" s="70"/>
      <c r="P395" s="81"/>
      <c r="AF395" s="70"/>
      <c r="AG395" s="81"/>
      <c r="AL395" s="134"/>
      <c r="AM395" s="134"/>
      <c r="AU395" s="132"/>
      <c r="AV395" s="133"/>
      <c r="AW395" s="134"/>
    </row>
    <row r="396" spans="1:49">
      <c r="A396" s="74">
        <v>1132</v>
      </c>
      <c r="B396" s="146" t="str">
        <f t="shared" si="75"/>
        <v>Electric FAFR19R0R19Better</v>
      </c>
      <c r="C396" s="170" t="s">
        <v>227</v>
      </c>
      <c r="D396" s="166" t="s">
        <v>335</v>
      </c>
      <c r="E396" s="166" t="s">
        <v>329</v>
      </c>
      <c r="F396" s="72" t="s">
        <v>335</v>
      </c>
      <c r="G396" s="166" t="s">
        <v>352</v>
      </c>
      <c r="H396" s="70">
        <f t="shared" si="73"/>
        <v>0</v>
      </c>
      <c r="I396" s="169" t="str">
        <f t="shared" si="74"/>
        <v/>
      </c>
      <c r="J396" s="70" t="str">
        <f t="shared" si="76"/>
        <v>1132Electric FAFR19R0R19Better</v>
      </c>
      <c r="M396" s="70"/>
      <c r="P396" s="81"/>
      <c r="AF396" s="70"/>
      <c r="AG396" s="81"/>
      <c r="AL396" s="134"/>
      <c r="AM396" s="134"/>
      <c r="AU396" s="132"/>
      <c r="AV396" s="133"/>
      <c r="AW396" s="134"/>
    </row>
    <row r="397" spans="1:49">
      <c r="A397" s="74">
        <v>1133</v>
      </c>
      <c r="B397" s="146" t="str">
        <f t="shared" si="75"/>
        <v>Electric FAFR19R0BetterSingle</v>
      </c>
      <c r="C397" s="170" t="s">
        <v>227</v>
      </c>
      <c r="D397" s="166" t="s">
        <v>335</v>
      </c>
      <c r="E397" s="166" t="s">
        <v>329</v>
      </c>
      <c r="F397" s="166" t="s">
        <v>352</v>
      </c>
      <c r="G397" s="166" t="s">
        <v>355</v>
      </c>
      <c r="H397" s="70">
        <f t="shared" si="73"/>
        <v>0</v>
      </c>
      <c r="I397" s="169" t="str">
        <f t="shared" si="74"/>
        <v/>
      </c>
      <c r="J397" s="70" t="str">
        <f t="shared" si="76"/>
        <v>1133Electric FAFR19R0BetterSingle</v>
      </c>
      <c r="M397" s="70"/>
      <c r="P397" s="81"/>
      <c r="AF397" s="70"/>
      <c r="AG397" s="81"/>
      <c r="AL397" s="134"/>
      <c r="AM397" s="134"/>
      <c r="AU397" s="132"/>
      <c r="AV397" s="133"/>
      <c r="AW397" s="134"/>
    </row>
    <row r="398" spans="1:49">
      <c r="A398" s="74">
        <v>1134</v>
      </c>
      <c r="B398" s="146" t="str">
        <f t="shared" si="75"/>
        <v>Electric FAFR19R0BetterDouble</v>
      </c>
      <c r="C398" s="170" t="s">
        <v>227</v>
      </c>
      <c r="D398" s="166" t="s">
        <v>335</v>
      </c>
      <c r="E398" s="166" t="s">
        <v>329</v>
      </c>
      <c r="F398" s="166" t="s">
        <v>352</v>
      </c>
      <c r="G398" s="72" t="s">
        <v>339</v>
      </c>
      <c r="H398" s="70">
        <f t="shared" si="73"/>
        <v>0</v>
      </c>
      <c r="I398" s="169" t="str">
        <f t="shared" si="74"/>
        <v/>
      </c>
      <c r="J398" s="70" t="str">
        <f t="shared" si="76"/>
        <v>1134Electric FAFR19R0BetterDouble</v>
      </c>
      <c r="M398" s="70"/>
      <c r="P398" s="81"/>
      <c r="AF398" s="70"/>
      <c r="AG398" s="81"/>
      <c r="AL398" s="134"/>
      <c r="AM398" s="134"/>
      <c r="AU398" s="132"/>
      <c r="AV398" s="133"/>
      <c r="AW398" s="134"/>
    </row>
    <row r="399" spans="1:49">
      <c r="A399" s="74">
        <v>1135</v>
      </c>
      <c r="B399" s="146" t="str">
        <f t="shared" si="75"/>
        <v>Electric FAFR19R0BetterBetter</v>
      </c>
      <c r="C399" s="170" t="s">
        <v>227</v>
      </c>
      <c r="D399" s="166" t="s">
        <v>335</v>
      </c>
      <c r="E399" s="166" t="s">
        <v>329</v>
      </c>
      <c r="F399" s="166" t="s">
        <v>352</v>
      </c>
      <c r="G399" s="72" t="s">
        <v>352</v>
      </c>
      <c r="H399" s="70">
        <f t="shared" si="73"/>
        <v>0</v>
      </c>
      <c r="I399" s="169" t="str">
        <f t="shared" si="74"/>
        <v/>
      </c>
      <c r="J399" s="70" t="str">
        <f t="shared" si="76"/>
        <v>1135Electric FAFR19R0BetterBetter</v>
      </c>
      <c r="M399" s="70"/>
      <c r="P399" s="81"/>
      <c r="AF399" s="70"/>
      <c r="AG399" s="81"/>
      <c r="AL399" s="134"/>
      <c r="AM399" s="134"/>
      <c r="AU399" s="132"/>
      <c r="AV399" s="133"/>
      <c r="AW399" s="134"/>
    </row>
    <row r="400" spans="1:49">
      <c r="A400" s="74">
        <v>1136</v>
      </c>
      <c r="B400" s="146" t="str">
        <f t="shared" si="75"/>
        <v>Electric FAFR19R11R0Single</v>
      </c>
      <c r="C400" s="170" t="s">
        <v>227</v>
      </c>
      <c r="D400" s="166" t="s">
        <v>335</v>
      </c>
      <c r="E400" s="166" t="s">
        <v>334</v>
      </c>
      <c r="F400" s="166" t="s">
        <v>329</v>
      </c>
      <c r="G400" s="166" t="s">
        <v>355</v>
      </c>
      <c r="H400" s="70">
        <f t="shared" si="73"/>
        <v>0</v>
      </c>
      <c r="I400" s="169" t="str">
        <f t="shared" si="74"/>
        <v/>
      </c>
      <c r="J400" s="70" t="str">
        <f t="shared" si="76"/>
        <v>1136Electric FAFR19R11R0Single</v>
      </c>
      <c r="M400" s="70"/>
      <c r="P400" s="81"/>
      <c r="AF400" s="70"/>
      <c r="AG400" s="81"/>
      <c r="AL400" s="134"/>
      <c r="AM400" s="134"/>
      <c r="AU400" s="132"/>
      <c r="AV400" s="133"/>
      <c r="AW400" s="134"/>
    </row>
    <row r="401" spans="1:49">
      <c r="A401" s="74">
        <v>1137</v>
      </c>
      <c r="B401" s="146" t="str">
        <f t="shared" si="75"/>
        <v>Electric FAFR19R11R0Double</v>
      </c>
      <c r="C401" s="170" t="s">
        <v>227</v>
      </c>
      <c r="D401" s="166" t="s">
        <v>335</v>
      </c>
      <c r="E401" s="166" t="s">
        <v>334</v>
      </c>
      <c r="F401" s="166" t="s">
        <v>329</v>
      </c>
      <c r="G401" s="72" t="s">
        <v>339</v>
      </c>
      <c r="H401" s="70">
        <f t="shared" si="73"/>
        <v>8264.9449999999997</v>
      </c>
      <c r="I401" s="169">
        <f t="shared" si="74"/>
        <v>7.7531887447599302E-3</v>
      </c>
      <c r="J401" s="70" t="str">
        <f t="shared" si="76"/>
        <v>1137Electric FAFR19R11R0Double</v>
      </c>
      <c r="M401" s="70"/>
      <c r="P401" s="81"/>
      <c r="AF401" s="70"/>
      <c r="AG401" s="81"/>
      <c r="AL401" s="134"/>
      <c r="AM401" s="134"/>
      <c r="AU401" s="132"/>
      <c r="AV401" s="133"/>
      <c r="AW401" s="134"/>
    </row>
    <row r="402" spans="1:49">
      <c r="A402" s="74">
        <v>1138</v>
      </c>
      <c r="B402" s="146" t="str">
        <f t="shared" si="75"/>
        <v>Electric FAFR19R11R0Better</v>
      </c>
      <c r="C402" s="170" t="s">
        <v>227</v>
      </c>
      <c r="D402" s="166" t="s">
        <v>335</v>
      </c>
      <c r="E402" s="166" t="s">
        <v>334</v>
      </c>
      <c r="F402" s="166" t="s">
        <v>329</v>
      </c>
      <c r="G402" s="166" t="s">
        <v>352</v>
      </c>
      <c r="H402" s="70">
        <f t="shared" si="73"/>
        <v>5081.1019999999999</v>
      </c>
      <c r="I402" s="169">
        <f t="shared" si="74"/>
        <v>4.7664857827096454E-3</v>
      </c>
      <c r="J402" s="70" t="str">
        <f t="shared" si="76"/>
        <v>1138Electric FAFR19R11R0Better</v>
      </c>
      <c r="M402" s="70"/>
      <c r="P402" s="81"/>
      <c r="AF402" s="70"/>
      <c r="AG402" s="81"/>
      <c r="AL402" s="134"/>
      <c r="AM402" s="134"/>
      <c r="AU402" s="132"/>
      <c r="AV402" s="133"/>
      <c r="AW402" s="134"/>
    </row>
    <row r="403" spans="1:49">
      <c r="A403" s="74">
        <v>1139</v>
      </c>
      <c r="B403" s="146" t="str">
        <f t="shared" si="75"/>
        <v>Electric FAFR19R11R19Single</v>
      </c>
      <c r="C403" s="170" t="s">
        <v>227</v>
      </c>
      <c r="D403" s="166" t="s">
        <v>335</v>
      </c>
      <c r="E403" s="166" t="s">
        <v>334</v>
      </c>
      <c r="F403" s="72" t="s">
        <v>335</v>
      </c>
      <c r="G403" s="166" t="s">
        <v>355</v>
      </c>
      <c r="H403" s="70">
        <f t="shared" si="73"/>
        <v>0</v>
      </c>
      <c r="I403" s="169" t="str">
        <f t="shared" si="74"/>
        <v/>
      </c>
      <c r="J403" s="70" t="str">
        <f t="shared" si="76"/>
        <v>1139Electric FAFR19R11R19Single</v>
      </c>
      <c r="M403" s="70"/>
      <c r="P403" s="81"/>
      <c r="AF403" s="70"/>
      <c r="AG403" s="81"/>
      <c r="AL403" s="134"/>
      <c r="AM403" s="134"/>
      <c r="AU403" s="132"/>
      <c r="AV403" s="133"/>
      <c r="AW403" s="134"/>
    </row>
    <row r="404" spans="1:49">
      <c r="A404" s="74">
        <v>1140</v>
      </c>
      <c r="B404" s="146" t="str">
        <f t="shared" si="75"/>
        <v>Electric FAFR19R11R19Double</v>
      </c>
      <c r="C404" s="170" t="s">
        <v>227</v>
      </c>
      <c r="D404" s="166" t="s">
        <v>335</v>
      </c>
      <c r="E404" s="166" t="s">
        <v>334</v>
      </c>
      <c r="F404" s="72" t="s">
        <v>335</v>
      </c>
      <c r="G404" s="72" t="s">
        <v>339</v>
      </c>
      <c r="H404" s="70">
        <f t="shared" si="73"/>
        <v>1612.692</v>
      </c>
      <c r="I404" s="169">
        <f t="shared" si="74"/>
        <v>1.5128358946326179E-3</v>
      </c>
      <c r="J404" s="70" t="str">
        <f t="shared" si="76"/>
        <v>1140Electric FAFR19R11R19Double</v>
      </c>
      <c r="M404" s="70"/>
      <c r="P404" s="81"/>
      <c r="AF404" s="70"/>
      <c r="AG404" s="81"/>
      <c r="AL404" s="134"/>
      <c r="AM404" s="134"/>
      <c r="AU404" s="132"/>
      <c r="AV404" s="133"/>
      <c r="AW404" s="134"/>
    </row>
    <row r="405" spans="1:49">
      <c r="A405" s="74">
        <v>1141</v>
      </c>
      <c r="B405" s="146" t="str">
        <f t="shared" si="75"/>
        <v>Electric FAFR19R11R19Better</v>
      </c>
      <c r="C405" s="170" t="s">
        <v>227</v>
      </c>
      <c r="D405" s="166" t="s">
        <v>335</v>
      </c>
      <c r="E405" s="166" t="s">
        <v>334</v>
      </c>
      <c r="F405" s="72" t="s">
        <v>335</v>
      </c>
      <c r="G405" s="72" t="s">
        <v>352</v>
      </c>
      <c r="H405" s="70">
        <f t="shared" si="73"/>
        <v>6569.1850000000004</v>
      </c>
      <c r="I405" s="169">
        <f t="shared" si="74"/>
        <v>6.1624283288328916E-3</v>
      </c>
      <c r="J405" s="70" t="str">
        <f t="shared" si="76"/>
        <v>1141Electric FAFR19R11R19Better</v>
      </c>
      <c r="M405" s="70"/>
      <c r="P405" s="81"/>
      <c r="AF405" s="70"/>
      <c r="AG405" s="81"/>
      <c r="AL405" s="134"/>
      <c r="AM405" s="134"/>
      <c r="AU405" s="132"/>
      <c r="AV405" s="133"/>
      <c r="AW405" s="134"/>
    </row>
    <row r="406" spans="1:49">
      <c r="A406" s="74">
        <v>1142</v>
      </c>
      <c r="B406" s="146" t="str">
        <f t="shared" si="75"/>
        <v>Electric FAFR19R11BetterSingle</v>
      </c>
      <c r="C406" s="170" t="s">
        <v>227</v>
      </c>
      <c r="D406" s="166" t="s">
        <v>335</v>
      </c>
      <c r="E406" s="166" t="s">
        <v>334</v>
      </c>
      <c r="F406" s="166" t="s">
        <v>352</v>
      </c>
      <c r="G406" s="166" t="s">
        <v>355</v>
      </c>
      <c r="H406" s="70">
        <f t="shared" si="73"/>
        <v>0</v>
      </c>
      <c r="I406" s="169" t="str">
        <f t="shared" si="74"/>
        <v/>
      </c>
      <c r="J406" s="70" t="str">
        <f t="shared" si="76"/>
        <v>1142Electric FAFR19R11BetterSingle</v>
      </c>
      <c r="M406" s="70"/>
      <c r="P406" s="81"/>
      <c r="AF406" s="70"/>
      <c r="AG406" s="81"/>
      <c r="AL406" s="134"/>
      <c r="AM406" s="134"/>
      <c r="AU406" s="132"/>
      <c r="AV406" s="133"/>
      <c r="AW406" s="134"/>
    </row>
    <row r="407" spans="1:49">
      <c r="A407" s="74">
        <v>1143</v>
      </c>
      <c r="B407" s="146" t="str">
        <f t="shared" si="75"/>
        <v>Electric FAFR19R11BetterDouble</v>
      </c>
      <c r="C407" s="170" t="s">
        <v>227</v>
      </c>
      <c r="D407" s="166" t="s">
        <v>335</v>
      </c>
      <c r="E407" s="166" t="s">
        <v>334</v>
      </c>
      <c r="F407" s="166" t="s">
        <v>352</v>
      </c>
      <c r="G407" s="72" t="s">
        <v>339</v>
      </c>
      <c r="H407" s="70">
        <f t="shared" si="73"/>
        <v>0</v>
      </c>
      <c r="I407" s="169" t="str">
        <f t="shared" si="74"/>
        <v/>
      </c>
      <c r="J407" s="70" t="str">
        <f t="shared" si="76"/>
        <v>1143Electric FAFR19R11BetterDouble</v>
      </c>
      <c r="M407" s="70"/>
      <c r="P407" s="81"/>
      <c r="AF407" s="70"/>
      <c r="AG407" s="81"/>
      <c r="AL407" s="134"/>
      <c r="AM407" s="134"/>
      <c r="AU407" s="132"/>
      <c r="AV407" s="133"/>
      <c r="AW407" s="134"/>
    </row>
    <row r="408" spans="1:49">
      <c r="A408" s="74">
        <v>1144</v>
      </c>
      <c r="B408" s="146" t="str">
        <f t="shared" si="75"/>
        <v>Electric FAFR19R11BetterBetter</v>
      </c>
      <c r="C408" s="170" t="s">
        <v>227</v>
      </c>
      <c r="D408" s="166" t="s">
        <v>335</v>
      </c>
      <c r="E408" s="166" t="s">
        <v>334</v>
      </c>
      <c r="F408" s="166" t="s">
        <v>352</v>
      </c>
      <c r="G408" s="166" t="s">
        <v>352</v>
      </c>
      <c r="H408" s="70">
        <f t="shared" si="73"/>
        <v>3225.384</v>
      </c>
      <c r="I408" s="169">
        <f t="shared" si="74"/>
        <v>3.0256717892652358E-3</v>
      </c>
      <c r="J408" s="70" t="str">
        <f t="shared" si="76"/>
        <v>1144Electric FAFR19R11BetterBetter</v>
      </c>
      <c r="M408" s="70"/>
      <c r="P408" s="81"/>
      <c r="AF408" s="70"/>
      <c r="AG408" s="81"/>
      <c r="AL408" s="134"/>
      <c r="AM408" s="134"/>
      <c r="AU408" s="132"/>
      <c r="AV408" s="133"/>
      <c r="AW408" s="134"/>
    </row>
    <row r="409" spans="1:49">
      <c r="A409" s="74">
        <v>1145</v>
      </c>
      <c r="B409" s="146" t="str">
        <f t="shared" si="75"/>
        <v>Electric FAFR30R0R0Single</v>
      </c>
      <c r="C409" s="170" t="s">
        <v>227</v>
      </c>
      <c r="D409" s="166" t="s">
        <v>336</v>
      </c>
      <c r="E409" s="166" t="s">
        <v>329</v>
      </c>
      <c r="F409" s="166" t="s">
        <v>329</v>
      </c>
      <c r="G409" s="166" t="s">
        <v>355</v>
      </c>
      <c r="H409" s="70">
        <f t="shared" si="73"/>
        <v>0</v>
      </c>
      <c r="I409" s="169" t="str">
        <f t="shared" si="74"/>
        <v/>
      </c>
      <c r="J409" s="70" t="str">
        <f t="shared" si="76"/>
        <v>1145Electric FAFR30R0R0Single</v>
      </c>
      <c r="M409" s="70"/>
      <c r="P409" s="81"/>
      <c r="AF409" s="70"/>
      <c r="AG409" s="81"/>
      <c r="AL409" s="134"/>
      <c r="AM409" s="134"/>
      <c r="AU409" s="132"/>
      <c r="AV409" s="133"/>
      <c r="AW409" s="134"/>
    </row>
    <row r="410" spans="1:49">
      <c r="A410" s="74">
        <v>1146</v>
      </c>
      <c r="B410" s="146" t="str">
        <f t="shared" si="75"/>
        <v>Electric FAFR30R0R0Double</v>
      </c>
      <c r="C410" s="170" t="s">
        <v>227</v>
      </c>
      <c r="D410" s="166" t="s">
        <v>336</v>
      </c>
      <c r="E410" s="166" t="s">
        <v>329</v>
      </c>
      <c r="F410" s="166" t="s">
        <v>329</v>
      </c>
      <c r="G410" s="72" t="s">
        <v>339</v>
      </c>
      <c r="H410" s="70">
        <f t="shared" si="73"/>
        <v>0</v>
      </c>
      <c r="I410" s="169" t="str">
        <f t="shared" si="74"/>
        <v/>
      </c>
      <c r="J410" s="70" t="str">
        <f t="shared" si="76"/>
        <v>1146Electric FAFR30R0R0Double</v>
      </c>
      <c r="M410" s="70"/>
      <c r="P410" s="81"/>
      <c r="AF410" s="70"/>
      <c r="AG410" s="81"/>
      <c r="AL410" s="134"/>
      <c r="AM410" s="134"/>
      <c r="AU410" s="132"/>
      <c r="AV410" s="133"/>
      <c r="AW410" s="134"/>
    </row>
    <row r="411" spans="1:49">
      <c r="A411" s="74">
        <v>1147</v>
      </c>
      <c r="B411" s="146" t="str">
        <f t="shared" si="75"/>
        <v>Electric FAFR30R0R0Better</v>
      </c>
      <c r="C411" s="170" t="s">
        <v>227</v>
      </c>
      <c r="D411" s="166" t="s">
        <v>336</v>
      </c>
      <c r="E411" s="166" t="s">
        <v>329</v>
      </c>
      <c r="F411" s="166" t="s">
        <v>329</v>
      </c>
      <c r="G411" s="72" t="s">
        <v>352</v>
      </c>
      <c r="H411" s="70">
        <f t="shared" si="73"/>
        <v>0</v>
      </c>
      <c r="I411" s="169" t="str">
        <f t="shared" si="74"/>
        <v/>
      </c>
      <c r="J411" s="70" t="str">
        <f t="shared" si="76"/>
        <v>1147Electric FAFR30R0R0Better</v>
      </c>
      <c r="M411" s="70"/>
      <c r="P411" s="81"/>
      <c r="AF411" s="70"/>
      <c r="AG411" s="81"/>
      <c r="AL411" s="134"/>
      <c r="AM411" s="134"/>
      <c r="AU411" s="132"/>
      <c r="AV411" s="133"/>
      <c r="AW411" s="134"/>
    </row>
    <row r="412" spans="1:49">
      <c r="A412" s="74">
        <v>1148</v>
      </c>
      <c r="B412" s="146" t="str">
        <f t="shared" si="75"/>
        <v>Electric FAFR30R0R19Single</v>
      </c>
      <c r="C412" s="170" t="s">
        <v>227</v>
      </c>
      <c r="D412" s="166" t="s">
        <v>336</v>
      </c>
      <c r="E412" s="166" t="s">
        <v>329</v>
      </c>
      <c r="F412" s="72" t="s">
        <v>335</v>
      </c>
      <c r="G412" s="166" t="s">
        <v>355</v>
      </c>
      <c r="H412" s="70">
        <f t="shared" si="73"/>
        <v>0</v>
      </c>
      <c r="I412" s="169" t="str">
        <f t="shared" si="74"/>
        <v/>
      </c>
      <c r="J412" s="70" t="str">
        <f t="shared" si="76"/>
        <v>1148Electric FAFR30R0R19Single</v>
      </c>
      <c r="M412" s="70"/>
      <c r="P412" s="81"/>
      <c r="AF412" s="70"/>
      <c r="AG412" s="81"/>
      <c r="AL412" s="134"/>
      <c r="AM412" s="134"/>
      <c r="AU412" s="132"/>
      <c r="AV412" s="133"/>
      <c r="AW412" s="134"/>
    </row>
    <row r="413" spans="1:49">
      <c r="A413" s="74">
        <v>1149</v>
      </c>
      <c r="B413" s="146" t="str">
        <f t="shared" si="75"/>
        <v>Electric FAFR30R0R19Double</v>
      </c>
      <c r="C413" s="170" t="s">
        <v>227</v>
      </c>
      <c r="D413" s="166" t="s">
        <v>336</v>
      </c>
      <c r="E413" s="166" t="s">
        <v>329</v>
      </c>
      <c r="F413" s="72" t="s">
        <v>335</v>
      </c>
      <c r="G413" s="72" t="s">
        <v>339</v>
      </c>
      <c r="H413" s="70">
        <f t="shared" si="73"/>
        <v>0</v>
      </c>
      <c r="I413" s="169" t="str">
        <f t="shared" si="74"/>
        <v/>
      </c>
      <c r="J413" s="70" t="str">
        <f t="shared" si="76"/>
        <v>1149Electric FAFR30R0R19Double</v>
      </c>
      <c r="M413" s="70"/>
      <c r="P413" s="81"/>
      <c r="AF413" s="70"/>
      <c r="AG413" s="81"/>
      <c r="AL413" s="134"/>
      <c r="AM413" s="134"/>
      <c r="AU413" s="132"/>
      <c r="AV413" s="133"/>
      <c r="AW413" s="134"/>
    </row>
    <row r="414" spans="1:49">
      <c r="A414" s="74">
        <v>1150</v>
      </c>
      <c r="B414" s="146" t="str">
        <f t="shared" si="75"/>
        <v>Electric FAFR30R0R19Better</v>
      </c>
      <c r="C414" s="170" t="s">
        <v>227</v>
      </c>
      <c r="D414" s="166" t="s">
        <v>336</v>
      </c>
      <c r="E414" s="166" t="s">
        <v>329</v>
      </c>
      <c r="F414" s="72" t="s">
        <v>335</v>
      </c>
      <c r="G414" s="166" t="s">
        <v>352</v>
      </c>
      <c r="H414" s="70">
        <f t="shared" si="73"/>
        <v>0</v>
      </c>
      <c r="I414" s="169" t="str">
        <f t="shared" si="74"/>
        <v/>
      </c>
      <c r="J414" s="70" t="str">
        <f t="shared" si="76"/>
        <v>1150Electric FAFR30R0R19Better</v>
      </c>
      <c r="M414" s="70"/>
      <c r="P414" s="81"/>
      <c r="AF414" s="70"/>
      <c r="AG414" s="81"/>
      <c r="AL414" s="134"/>
      <c r="AM414" s="134"/>
      <c r="AU414" s="132"/>
      <c r="AV414" s="133"/>
      <c r="AW414" s="134"/>
    </row>
    <row r="415" spans="1:49">
      <c r="A415" s="74">
        <v>1151</v>
      </c>
      <c r="B415" s="146" t="str">
        <f t="shared" si="75"/>
        <v>Electric FAFR30R0BetterSingle</v>
      </c>
      <c r="C415" s="170" t="s">
        <v>227</v>
      </c>
      <c r="D415" s="166" t="s">
        <v>336</v>
      </c>
      <c r="E415" s="166" t="s">
        <v>329</v>
      </c>
      <c r="F415" s="166" t="s">
        <v>352</v>
      </c>
      <c r="G415" s="166" t="s">
        <v>355</v>
      </c>
      <c r="H415" s="70">
        <f t="shared" si="73"/>
        <v>0</v>
      </c>
      <c r="I415" s="169" t="str">
        <f t="shared" si="74"/>
        <v/>
      </c>
      <c r="J415" s="70" t="str">
        <f t="shared" si="76"/>
        <v>1151Electric FAFR30R0BetterSingle</v>
      </c>
      <c r="M415" s="70"/>
      <c r="P415" s="81"/>
      <c r="AF415" s="70"/>
      <c r="AG415" s="81"/>
      <c r="AL415" s="134"/>
      <c r="AM415" s="134"/>
      <c r="AU415" s="132"/>
      <c r="AV415" s="133"/>
      <c r="AW415" s="134"/>
    </row>
    <row r="416" spans="1:49">
      <c r="A416" s="74">
        <v>1152</v>
      </c>
      <c r="B416" s="146" t="str">
        <f t="shared" si="75"/>
        <v>Electric FAFR30R0BetterDouble</v>
      </c>
      <c r="C416" s="170" t="s">
        <v>227</v>
      </c>
      <c r="D416" s="166" t="s">
        <v>336</v>
      </c>
      <c r="E416" s="166" t="s">
        <v>329</v>
      </c>
      <c r="F416" s="166" t="s">
        <v>352</v>
      </c>
      <c r="G416" s="72" t="s">
        <v>339</v>
      </c>
      <c r="H416" s="70">
        <f t="shared" si="73"/>
        <v>0</v>
      </c>
      <c r="I416" s="169" t="str">
        <f t="shared" si="74"/>
        <v/>
      </c>
      <c r="J416" s="70" t="str">
        <f t="shared" si="76"/>
        <v>1152Electric FAFR30R0BetterDouble</v>
      </c>
      <c r="M416" s="70"/>
      <c r="P416" s="81"/>
      <c r="AF416" s="70"/>
      <c r="AG416" s="81"/>
      <c r="AL416" s="134"/>
      <c r="AM416" s="134"/>
      <c r="AU416" s="132"/>
      <c r="AV416" s="133"/>
      <c r="AW416" s="134"/>
    </row>
    <row r="417" spans="1:49">
      <c r="A417" s="74">
        <v>1153</v>
      </c>
      <c r="B417" s="146" t="str">
        <f t="shared" si="75"/>
        <v>Electric FAFR30R0BetterBetter</v>
      </c>
      <c r="C417" s="170" t="s">
        <v>227</v>
      </c>
      <c r="D417" s="166" t="s">
        <v>336</v>
      </c>
      <c r="E417" s="166" t="s">
        <v>329</v>
      </c>
      <c r="F417" s="166" t="s">
        <v>352</v>
      </c>
      <c r="G417" s="72" t="s">
        <v>352</v>
      </c>
      <c r="H417" s="70">
        <f t="shared" si="73"/>
        <v>0</v>
      </c>
      <c r="I417" s="169" t="str">
        <f t="shared" si="74"/>
        <v/>
      </c>
      <c r="J417" s="70" t="str">
        <f t="shared" si="76"/>
        <v>1153Electric FAFR30R0BetterBetter</v>
      </c>
      <c r="M417" s="70"/>
      <c r="P417" s="81"/>
      <c r="AF417" s="70"/>
      <c r="AG417" s="81"/>
      <c r="AL417" s="134"/>
      <c r="AM417" s="134"/>
      <c r="AU417" s="132"/>
      <c r="AV417" s="133"/>
      <c r="AW417" s="134"/>
    </row>
    <row r="418" spans="1:49">
      <c r="A418" s="74">
        <v>1154</v>
      </c>
      <c r="B418" s="146" t="str">
        <f t="shared" si="75"/>
        <v>Electric FAFR30R11R0Single</v>
      </c>
      <c r="C418" s="170" t="s">
        <v>227</v>
      </c>
      <c r="D418" s="166" t="s">
        <v>336</v>
      </c>
      <c r="E418" s="166" t="s">
        <v>334</v>
      </c>
      <c r="F418" s="166" t="s">
        <v>329</v>
      </c>
      <c r="G418" s="166" t="s">
        <v>355</v>
      </c>
      <c r="H418" s="70">
        <f t="shared" si="73"/>
        <v>0</v>
      </c>
      <c r="I418" s="169" t="str">
        <f t="shared" si="74"/>
        <v/>
      </c>
      <c r="J418" s="70" t="str">
        <f t="shared" si="76"/>
        <v>1154Electric FAFR30R11R0Single</v>
      </c>
      <c r="M418" s="70"/>
      <c r="P418" s="81"/>
      <c r="AF418" s="70"/>
      <c r="AG418" s="81"/>
      <c r="AL418" s="134"/>
      <c r="AM418" s="134"/>
      <c r="AU418" s="132"/>
      <c r="AV418" s="133"/>
      <c r="AW418" s="134"/>
    </row>
    <row r="419" spans="1:49">
      <c r="A419" s="74">
        <v>1155</v>
      </c>
      <c r="B419" s="146" t="str">
        <f t="shared" si="75"/>
        <v>Electric FAFR30R11R0Double</v>
      </c>
      <c r="C419" s="170" t="s">
        <v>227</v>
      </c>
      <c r="D419" s="166" t="s">
        <v>336</v>
      </c>
      <c r="E419" s="166" t="s">
        <v>334</v>
      </c>
      <c r="F419" s="166" t="s">
        <v>329</v>
      </c>
      <c r="G419" s="72" t="s">
        <v>339</v>
      </c>
      <c r="H419" s="70">
        <f t="shared" si="73"/>
        <v>0</v>
      </c>
      <c r="I419" s="169" t="str">
        <f t="shared" si="74"/>
        <v/>
      </c>
      <c r="J419" s="70" t="str">
        <f t="shared" si="76"/>
        <v>1155Electric FAFR30R11R0Double</v>
      </c>
      <c r="M419" s="70"/>
      <c r="P419" s="81"/>
      <c r="AF419" s="70"/>
      <c r="AG419" s="81"/>
      <c r="AL419" s="134"/>
      <c r="AM419" s="134"/>
      <c r="AU419" s="132"/>
      <c r="AV419" s="133"/>
      <c r="AW419" s="134"/>
    </row>
    <row r="420" spans="1:49">
      <c r="A420" s="74">
        <v>1156</v>
      </c>
      <c r="B420" s="146" t="str">
        <f t="shared" si="75"/>
        <v>Electric FAFR30R11R0Better</v>
      </c>
      <c r="C420" s="170" t="s">
        <v>227</v>
      </c>
      <c r="D420" s="166" t="s">
        <v>336</v>
      </c>
      <c r="E420" s="166" t="s">
        <v>334</v>
      </c>
      <c r="F420" s="166" t="s">
        <v>329</v>
      </c>
      <c r="G420" s="166" t="s">
        <v>352</v>
      </c>
      <c r="H420" s="70">
        <f t="shared" si="73"/>
        <v>1904.288</v>
      </c>
      <c r="I420" s="169">
        <f t="shared" si="74"/>
        <v>1.7863765927518451E-3</v>
      </c>
      <c r="J420" s="70" t="str">
        <f t="shared" si="76"/>
        <v>1156Electric FAFR30R11R0Better</v>
      </c>
      <c r="M420" s="70"/>
      <c r="P420" s="81"/>
      <c r="AF420" s="70"/>
      <c r="AG420" s="81"/>
      <c r="AL420" s="134"/>
      <c r="AM420" s="134"/>
      <c r="AU420" s="132"/>
      <c r="AV420" s="133"/>
      <c r="AW420" s="134"/>
    </row>
    <row r="421" spans="1:49">
      <c r="A421" s="74">
        <v>1157</v>
      </c>
      <c r="B421" s="146" t="str">
        <f t="shared" si="75"/>
        <v>Electric FAFR30R11R19Single</v>
      </c>
      <c r="C421" s="170" t="s">
        <v>227</v>
      </c>
      <c r="D421" s="166" t="s">
        <v>336</v>
      </c>
      <c r="E421" s="166" t="s">
        <v>334</v>
      </c>
      <c r="F421" s="72" t="s">
        <v>335</v>
      </c>
      <c r="G421" s="166" t="s">
        <v>355</v>
      </c>
      <c r="H421" s="70">
        <f t="shared" si="73"/>
        <v>0</v>
      </c>
      <c r="I421" s="169" t="str">
        <f t="shared" si="74"/>
        <v/>
      </c>
      <c r="J421" s="70" t="str">
        <f t="shared" si="76"/>
        <v>1157Electric FAFR30R11R19Single</v>
      </c>
      <c r="M421" s="70"/>
      <c r="P421" s="81"/>
      <c r="AF421" s="70"/>
      <c r="AG421" s="81"/>
      <c r="AL421" s="134"/>
      <c r="AM421" s="134"/>
      <c r="AU421" s="132"/>
      <c r="AV421" s="133"/>
      <c r="AW421" s="134"/>
    </row>
    <row r="422" spans="1:49">
      <c r="A422" s="74">
        <v>1158</v>
      </c>
      <c r="B422" s="146" t="str">
        <f t="shared" si="75"/>
        <v>Electric FAFR30R11R19Double</v>
      </c>
      <c r="C422" s="170" t="s">
        <v>227</v>
      </c>
      <c r="D422" s="166" t="s">
        <v>336</v>
      </c>
      <c r="E422" s="166" t="s">
        <v>334</v>
      </c>
      <c r="F422" s="72" t="s">
        <v>335</v>
      </c>
      <c r="G422" s="72" t="s">
        <v>339</v>
      </c>
      <c r="H422" s="70">
        <f t="shared" si="73"/>
        <v>0</v>
      </c>
      <c r="I422" s="169" t="str">
        <f t="shared" si="74"/>
        <v/>
      </c>
      <c r="J422" s="70" t="str">
        <f t="shared" si="76"/>
        <v>1158Electric FAFR30R11R19Double</v>
      </c>
      <c r="M422" s="70"/>
      <c r="P422" s="81"/>
      <c r="AF422" s="70"/>
      <c r="AG422" s="81"/>
      <c r="AL422" s="134"/>
      <c r="AM422" s="134"/>
      <c r="AU422" s="132"/>
      <c r="AV422" s="133"/>
      <c r="AW422" s="134"/>
    </row>
    <row r="423" spans="1:49">
      <c r="A423" s="74">
        <v>1159</v>
      </c>
      <c r="B423" s="146" t="str">
        <f t="shared" si="75"/>
        <v>Electric FAFR30R11R19Better</v>
      </c>
      <c r="C423" s="170" t="s">
        <v>227</v>
      </c>
      <c r="D423" s="166" t="s">
        <v>336</v>
      </c>
      <c r="E423" s="166" t="s">
        <v>334</v>
      </c>
      <c r="F423" s="72" t="s">
        <v>335</v>
      </c>
      <c r="G423" s="72" t="s">
        <v>352</v>
      </c>
      <c r="H423" s="70">
        <f t="shared" si="73"/>
        <v>1925.059</v>
      </c>
      <c r="I423" s="169">
        <f t="shared" si="74"/>
        <v>1.8058614753998733E-3</v>
      </c>
      <c r="J423" s="70" t="str">
        <f t="shared" si="76"/>
        <v>1159Electric FAFR30R11R19Better</v>
      </c>
      <c r="M423" s="70"/>
      <c r="P423" s="81"/>
      <c r="AF423" s="70"/>
      <c r="AG423" s="81"/>
      <c r="AL423" s="134"/>
      <c r="AM423" s="134"/>
      <c r="AU423" s="132"/>
      <c r="AV423" s="133"/>
      <c r="AW423" s="134"/>
    </row>
    <row r="424" spans="1:49">
      <c r="A424" s="74">
        <v>1160</v>
      </c>
      <c r="B424" s="146" t="str">
        <f t="shared" si="75"/>
        <v>Electric FAFR30R11BetterSingle</v>
      </c>
      <c r="C424" s="170" t="s">
        <v>227</v>
      </c>
      <c r="D424" s="166" t="s">
        <v>336</v>
      </c>
      <c r="E424" s="166" t="s">
        <v>334</v>
      </c>
      <c r="F424" s="166" t="s">
        <v>352</v>
      </c>
      <c r="G424" s="166" t="s">
        <v>355</v>
      </c>
      <c r="H424" s="70">
        <f t="shared" si="73"/>
        <v>0</v>
      </c>
      <c r="I424" s="169" t="str">
        <f t="shared" si="74"/>
        <v/>
      </c>
      <c r="J424" s="70" t="str">
        <f t="shared" si="76"/>
        <v>1160Electric FAFR30R11BetterSingle</v>
      </c>
      <c r="M424" s="70"/>
      <c r="P424" s="81"/>
      <c r="AF424" s="70"/>
      <c r="AG424" s="81"/>
      <c r="AL424" s="134"/>
      <c r="AM424" s="134"/>
      <c r="AU424" s="132"/>
      <c r="AV424" s="133"/>
      <c r="AW424" s="134"/>
    </row>
    <row r="425" spans="1:49">
      <c r="A425" s="74">
        <v>1161</v>
      </c>
      <c r="B425" s="146" t="str">
        <f t="shared" si="75"/>
        <v>Electric FAFR30R11BetterDouble</v>
      </c>
      <c r="C425" s="170" t="s">
        <v>227</v>
      </c>
      <c r="D425" s="166" t="s">
        <v>336</v>
      </c>
      <c r="E425" s="166" t="s">
        <v>334</v>
      </c>
      <c r="F425" s="166" t="s">
        <v>352</v>
      </c>
      <c r="G425" s="72" t="s">
        <v>339</v>
      </c>
      <c r="H425" s="70">
        <f t="shared" si="73"/>
        <v>1612.692</v>
      </c>
      <c r="I425" s="169">
        <f t="shared" si="74"/>
        <v>1.5128358946326179E-3</v>
      </c>
      <c r="J425" s="70" t="str">
        <f t="shared" si="76"/>
        <v>1161Electric FAFR30R11BetterDouble</v>
      </c>
      <c r="M425" s="70"/>
      <c r="P425" s="81"/>
      <c r="AF425" s="70"/>
      <c r="AG425" s="81"/>
      <c r="AL425" s="134"/>
      <c r="AM425" s="134"/>
      <c r="AU425" s="132"/>
      <c r="AV425" s="133"/>
      <c r="AW425" s="134"/>
    </row>
    <row r="426" spans="1:49">
      <c r="A426" s="74">
        <v>1162</v>
      </c>
      <c r="B426" s="146" t="str">
        <f t="shared" si="75"/>
        <v>Electric FAFR30R11BetterBetter</v>
      </c>
      <c r="C426" s="170" t="s">
        <v>227</v>
      </c>
      <c r="D426" s="166" t="s">
        <v>336</v>
      </c>
      <c r="E426" s="166" t="s">
        <v>334</v>
      </c>
      <c r="F426" s="166" t="s">
        <v>352</v>
      </c>
      <c r="G426" s="166" t="s">
        <v>352</v>
      </c>
      <c r="H426" s="70">
        <f t="shared" si="73"/>
        <v>7036.4860000000008</v>
      </c>
      <c r="I426" s="169">
        <f t="shared" si="74"/>
        <v>6.6007945676421114E-3</v>
      </c>
      <c r="J426" s="70" t="str">
        <f t="shared" si="76"/>
        <v>1162Electric FAFR30R11BetterBetter</v>
      </c>
      <c r="M426" s="70"/>
      <c r="P426" s="81"/>
      <c r="AF426" s="70"/>
      <c r="AG426" s="81"/>
      <c r="AL426" s="134"/>
      <c r="AM426" s="134"/>
      <c r="AU426" s="132"/>
      <c r="AV426" s="133"/>
      <c r="AW426" s="134"/>
    </row>
    <row r="427" spans="1:49">
      <c r="A427" s="74">
        <v>1163</v>
      </c>
      <c r="B427" s="146" t="str">
        <f t="shared" si="75"/>
        <v>Electric FAFR38R0R0Single</v>
      </c>
      <c r="C427" s="170" t="s">
        <v>227</v>
      </c>
      <c r="D427" s="170" t="s">
        <v>331</v>
      </c>
      <c r="E427" s="166" t="s">
        <v>329</v>
      </c>
      <c r="F427" s="166" t="s">
        <v>329</v>
      </c>
      <c r="G427" s="166" t="s">
        <v>355</v>
      </c>
      <c r="H427" s="70">
        <f t="shared" si="73"/>
        <v>0</v>
      </c>
      <c r="I427" s="169" t="str">
        <f t="shared" si="74"/>
        <v/>
      </c>
      <c r="J427" s="70" t="str">
        <f t="shared" si="76"/>
        <v>1163Electric FAFR38R0R0Single</v>
      </c>
      <c r="M427" s="70"/>
      <c r="P427" s="81"/>
      <c r="AF427" s="70"/>
      <c r="AG427" s="81"/>
      <c r="AL427" s="134"/>
      <c r="AM427" s="134"/>
      <c r="AU427" s="132"/>
      <c r="AV427" s="133"/>
      <c r="AW427" s="134"/>
    </row>
    <row r="428" spans="1:49">
      <c r="A428" s="74">
        <v>1164</v>
      </c>
      <c r="B428" s="146" t="str">
        <f t="shared" si="75"/>
        <v>Electric FAFR38R0R0Double</v>
      </c>
      <c r="C428" s="170" t="s">
        <v>227</v>
      </c>
      <c r="D428" s="170" t="s">
        <v>331</v>
      </c>
      <c r="E428" s="166" t="s">
        <v>329</v>
      </c>
      <c r="F428" s="166" t="s">
        <v>329</v>
      </c>
      <c r="G428" s="72" t="s">
        <v>339</v>
      </c>
      <c r="H428" s="70">
        <f t="shared" si="73"/>
        <v>0</v>
      </c>
      <c r="I428" s="169" t="str">
        <f t="shared" si="74"/>
        <v/>
      </c>
      <c r="J428" s="70" t="str">
        <f t="shared" si="76"/>
        <v>1164Electric FAFR38R0R0Double</v>
      </c>
      <c r="M428" s="70"/>
      <c r="P428" s="81"/>
      <c r="AF428" s="70"/>
      <c r="AG428" s="81"/>
      <c r="AL428" s="134"/>
      <c r="AM428" s="134"/>
      <c r="AU428" s="132"/>
      <c r="AV428" s="133"/>
      <c r="AW428" s="134"/>
    </row>
    <row r="429" spans="1:49">
      <c r="A429" s="74">
        <v>1165</v>
      </c>
      <c r="B429" s="146" t="str">
        <f t="shared" si="75"/>
        <v>Electric FAFR38R0R0Better</v>
      </c>
      <c r="C429" s="170" t="s">
        <v>227</v>
      </c>
      <c r="D429" s="170" t="s">
        <v>331</v>
      </c>
      <c r="E429" s="166" t="s">
        <v>329</v>
      </c>
      <c r="F429" s="166" t="s">
        <v>329</v>
      </c>
      <c r="G429" s="72" t="s">
        <v>352</v>
      </c>
      <c r="H429" s="70">
        <f t="shared" si="73"/>
        <v>0</v>
      </c>
      <c r="I429" s="169" t="str">
        <f t="shared" si="74"/>
        <v/>
      </c>
      <c r="J429" s="70" t="str">
        <f t="shared" si="76"/>
        <v>1165Electric FAFR38R0R0Better</v>
      </c>
      <c r="M429" s="70"/>
      <c r="P429" s="81"/>
      <c r="AF429" s="70"/>
      <c r="AG429" s="81"/>
      <c r="AL429" s="134"/>
      <c r="AM429" s="134"/>
      <c r="AU429" s="132"/>
      <c r="AV429" s="133"/>
      <c r="AW429" s="134"/>
    </row>
    <row r="430" spans="1:49">
      <c r="A430" s="74">
        <v>1166</v>
      </c>
      <c r="B430" s="146" t="str">
        <f t="shared" si="75"/>
        <v>Electric FAFR38R0R19Single</v>
      </c>
      <c r="C430" s="170" t="s">
        <v>227</v>
      </c>
      <c r="D430" s="170" t="s">
        <v>331</v>
      </c>
      <c r="E430" s="166" t="s">
        <v>329</v>
      </c>
      <c r="F430" s="72" t="s">
        <v>335</v>
      </c>
      <c r="G430" s="166" t="s">
        <v>355</v>
      </c>
      <c r="H430" s="70">
        <f t="shared" si="73"/>
        <v>0</v>
      </c>
      <c r="I430" s="169" t="str">
        <f t="shared" si="74"/>
        <v/>
      </c>
      <c r="J430" s="70" t="str">
        <f t="shared" si="76"/>
        <v>1166Electric FAFR38R0R19Single</v>
      </c>
      <c r="M430" s="70"/>
      <c r="P430" s="81"/>
      <c r="AF430" s="70"/>
      <c r="AG430" s="81"/>
      <c r="AL430" s="134"/>
      <c r="AM430" s="134"/>
      <c r="AU430" s="132"/>
      <c r="AV430" s="133"/>
      <c r="AW430" s="134"/>
    </row>
    <row r="431" spans="1:49">
      <c r="A431" s="74">
        <v>1167</v>
      </c>
      <c r="B431" s="146" t="str">
        <f t="shared" si="75"/>
        <v>Electric FAFR38R0R19Double</v>
      </c>
      <c r="C431" s="170" t="s">
        <v>227</v>
      </c>
      <c r="D431" s="170" t="s">
        <v>331</v>
      </c>
      <c r="E431" s="166" t="s">
        <v>329</v>
      </c>
      <c r="F431" s="72" t="s">
        <v>335</v>
      </c>
      <c r="G431" s="72" t="s">
        <v>339</v>
      </c>
      <c r="H431" s="70">
        <f t="shared" si="73"/>
        <v>0</v>
      </c>
      <c r="I431" s="169" t="str">
        <f t="shared" si="74"/>
        <v/>
      </c>
      <c r="J431" s="70" t="str">
        <f t="shared" si="76"/>
        <v>1167Electric FAFR38R0R19Double</v>
      </c>
      <c r="M431" s="70"/>
      <c r="P431" s="81"/>
      <c r="AF431" s="70"/>
      <c r="AG431" s="81"/>
      <c r="AL431" s="134"/>
      <c r="AM431" s="134"/>
      <c r="AU431" s="132"/>
      <c r="AV431" s="133"/>
      <c r="AW431" s="134"/>
    </row>
    <row r="432" spans="1:49">
      <c r="A432" s="74">
        <v>1168</v>
      </c>
      <c r="B432" s="146" t="str">
        <f t="shared" si="75"/>
        <v>Electric FAFR38R0R19Better</v>
      </c>
      <c r="C432" s="170" t="s">
        <v>227</v>
      </c>
      <c r="D432" s="170" t="s">
        <v>331</v>
      </c>
      <c r="E432" s="166" t="s">
        <v>329</v>
      </c>
      <c r="F432" s="72" t="s">
        <v>335</v>
      </c>
      <c r="G432" s="166" t="s">
        <v>352</v>
      </c>
      <c r="H432" s="70">
        <f t="shared" si="73"/>
        <v>0</v>
      </c>
      <c r="I432" s="169" t="str">
        <f t="shared" si="74"/>
        <v/>
      </c>
      <c r="J432" s="70" t="str">
        <f t="shared" si="76"/>
        <v>1168Electric FAFR38R0R19Better</v>
      </c>
      <c r="M432" s="70"/>
      <c r="P432" s="81"/>
      <c r="AF432" s="70"/>
      <c r="AG432" s="81"/>
      <c r="AL432" s="134"/>
      <c r="AM432" s="134"/>
      <c r="AU432" s="132"/>
      <c r="AV432" s="133"/>
      <c r="AW432" s="134"/>
    </row>
    <row r="433" spans="1:49">
      <c r="A433" s="74">
        <v>1169</v>
      </c>
      <c r="B433" s="146" t="str">
        <f t="shared" si="75"/>
        <v>Electric FAFR38R0BetterSingle</v>
      </c>
      <c r="C433" s="170" t="s">
        <v>227</v>
      </c>
      <c r="D433" s="170" t="s">
        <v>331</v>
      </c>
      <c r="E433" s="166" t="s">
        <v>329</v>
      </c>
      <c r="F433" s="166" t="s">
        <v>352</v>
      </c>
      <c r="G433" s="166" t="s">
        <v>355</v>
      </c>
      <c r="H433" s="70">
        <f t="shared" si="73"/>
        <v>0</v>
      </c>
      <c r="I433" s="169" t="str">
        <f t="shared" si="74"/>
        <v/>
      </c>
      <c r="J433" s="70" t="str">
        <f t="shared" si="76"/>
        <v>1169Electric FAFR38R0BetterSingle</v>
      </c>
      <c r="M433" s="70"/>
      <c r="P433" s="81"/>
      <c r="AF433" s="70"/>
      <c r="AG433" s="81"/>
      <c r="AL433" s="134"/>
      <c r="AM433" s="134"/>
      <c r="AU433" s="132"/>
      <c r="AV433" s="133"/>
      <c r="AW433" s="134"/>
    </row>
    <row r="434" spans="1:49">
      <c r="A434" s="74">
        <v>1170</v>
      </c>
      <c r="B434" s="146" t="str">
        <f t="shared" si="75"/>
        <v>Electric FAFR38R0BetterDouble</v>
      </c>
      <c r="C434" s="170" t="s">
        <v>227</v>
      </c>
      <c r="D434" s="170" t="s">
        <v>331</v>
      </c>
      <c r="E434" s="166" t="s">
        <v>329</v>
      </c>
      <c r="F434" s="166" t="s">
        <v>352</v>
      </c>
      <c r="G434" s="72" t="s">
        <v>339</v>
      </c>
      <c r="H434" s="70">
        <f t="shared" si="73"/>
        <v>0</v>
      </c>
      <c r="I434" s="169" t="str">
        <f t="shared" si="74"/>
        <v/>
      </c>
      <c r="J434" s="70" t="str">
        <f t="shared" si="76"/>
        <v>1170Electric FAFR38R0BetterDouble</v>
      </c>
      <c r="M434" s="70"/>
      <c r="P434" s="81"/>
      <c r="AF434" s="70"/>
      <c r="AG434" s="81"/>
      <c r="AL434" s="134"/>
      <c r="AM434" s="134"/>
      <c r="AU434" s="132"/>
      <c r="AV434" s="133"/>
      <c r="AW434" s="134"/>
    </row>
    <row r="435" spans="1:49">
      <c r="A435" s="74">
        <v>1171</v>
      </c>
      <c r="B435" s="146" t="str">
        <f t="shared" si="75"/>
        <v>Electric FAFR38R0BetterBetter</v>
      </c>
      <c r="C435" s="170" t="s">
        <v>227</v>
      </c>
      <c r="D435" s="170" t="s">
        <v>331</v>
      </c>
      <c r="E435" s="166" t="s">
        <v>329</v>
      </c>
      <c r="F435" s="166" t="s">
        <v>352</v>
      </c>
      <c r="G435" s="72" t="s">
        <v>352</v>
      </c>
      <c r="H435" s="70">
        <f t="shared" si="73"/>
        <v>1524.7619999999999</v>
      </c>
      <c r="I435" s="169">
        <f t="shared" si="74"/>
        <v>1.4303504230019244E-3</v>
      </c>
      <c r="J435" s="70" t="str">
        <f t="shared" si="76"/>
        <v>1171Electric FAFR38R0BetterBetter</v>
      </c>
      <c r="M435" s="70"/>
      <c r="P435" s="81"/>
      <c r="AF435" s="70"/>
      <c r="AG435" s="81"/>
      <c r="AL435" s="134"/>
      <c r="AM435" s="134"/>
      <c r="AU435" s="132"/>
      <c r="AV435" s="133"/>
      <c r="AW435" s="134"/>
    </row>
    <row r="436" spans="1:49">
      <c r="A436" s="74">
        <v>1172</v>
      </c>
      <c r="B436" s="146" t="str">
        <f t="shared" si="75"/>
        <v>Electric FAFR38R11R0Single</v>
      </c>
      <c r="C436" s="170" t="s">
        <v>227</v>
      </c>
      <c r="D436" s="170" t="s">
        <v>331</v>
      </c>
      <c r="E436" s="166" t="s">
        <v>334</v>
      </c>
      <c r="F436" s="166" t="s">
        <v>329</v>
      </c>
      <c r="G436" s="166" t="s">
        <v>355</v>
      </c>
      <c r="H436" s="70">
        <f t="shared" si="73"/>
        <v>2079.9929999999999</v>
      </c>
      <c r="I436" s="169">
        <f t="shared" si="74"/>
        <v>1.9512021334418368E-3</v>
      </c>
      <c r="J436" s="70" t="str">
        <f t="shared" si="76"/>
        <v>1172Electric FAFR38R11R0Single</v>
      </c>
      <c r="M436" s="70"/>
      <c r="P436" s="81"/>
      <c r="AF436" s="70"/>
      <c r="AG436" s="81"/>
      <c r="AL436" s="134"/>
      <c r="AM436" s="134"/>
      <c r="AU436" s="132"/>
      <c r="AV436" s="133"/>
      <c r="AW436" s="134"/>
    </row>
    <row r="437" spans="1:49">
      <c r="A437" s="74">
        <v>1173</v>
      </c>
      <c r="B437" s="146" t="str">
        <f t="shared" si="75"/>
        <v>Electric FAFR38R11R0Double</v>
      </c>
      <c r="C437" s="170" t="s">
        <v>227</v>
      </c>
      <c r="D437" s="170" t="s">
        <v>331</v>
      </c>
      <c r="E437" s="166" t="s">
        <v>334</v>
      </c>
      <c r="F437" s="166" t="s">
        <v>329</v>
      </c>
      <c r="G437" s="72" t="s">
        <v>339</v>
      </c>
      <c r="H437" s="70">
        <f t="shared" si="73"/>
        <v>0</v>
      </c>
      <c r="I437" s="169" t="str">
        <f t="shared" si="74"/>
        <v/>
      </c>
      <c r="J437" s="70" t="str">
        <f t="shared" si="76"/>
        <v>1173Electric FAFR38R11R0Double</v>
      </c>
      <c r="M437" s="70"/>
      <c r="P437" s="81"/>
      <c r="AF437" s="70"/>
      <c r="AG437" s="81"/>
      <c r="AL437" s="134"/>
      <c r="AM437" s="134"/>
      <c r="AU437" s="132"/>
      <c r="AV437" s="133"/>
      <c r="AW437" s="134"/>
    </row>
    <row r="438" spans="1:49">
      <c r="A438" s="74">
        <v>1174</v>
      </c>
      <c r="B438" s="146" t="str">
        <f t="shared" si="75"/>
        <v>Electric FAFR38R11R0Better</v>
      </c>
      <c r="C438" s="170" t="s">
        <v>227</v>
      </c>
      <c r="D438" s="170" t="s">
        <v>331</v>
      </c>
      <c r="E438" s="166" t="s">
        <v>334</v>
      </c>
      <c r="F438" s="166" t="s">
        <v>329</v>
      </c>
      <c r="G438" s="166" t="s">
        <v>352</v>
      </c>
      <c r="H438" s="70">
        <f t="shared" si="73"/>
        <v>7790.8160000000007</v>
      </c>
      <c r="I438" s="169">
        <f t="shared" si="74"/>
        <v>7.3084172881604879E-3</v>
      </c>
      <c r="J438" s="70" t="str">
        <f t="shared" si="76"/>
        <v>1174Electric FAFR38R11R0Better</v>
      </c>
      <c r="M438" s="70"/>
      <c r="P438" s="81"/>
      <c r="AF438" s="70"/>
      <c r="AG438" s="81"/>
      <c r="AL438" s="134"/>
      <c r="AM438" s="134"/>
      <c r="AU438" s="132"/>
      <c r="AV438" s="133"/>
      <c r="AW438" s="134"/>
    </row>
    <row r="439" spans="1:49">
      <c r="A439" s="74">
        <v>1175</v>
      </c>
      <c r="B439" s="146" t="str">
        <f t="shared" si="75"/>
        <v>Electric FAFR38R11R19Single</v>
      </c>
      <c r="C439" s="170" t="s">
        <v>227</v>
      </c>
      <c r="D439" s="170" t="s">
        <v>331</v>
      </c>
      <c r="E439" s="166" t="s">
        <v>334</v>
      </c>
      <c r="F439" s="72" t="s">
        <v>335</v>
      </c>
      <c r="G439" s="166" t="s">
        <v>355</v>
      </c>
      <c r="H439" s="70">
        <f t="shared" si="73"/>
        <v>0</v>
      </c>
      <c r="I439" s="169" t="str">
        <f t="shared" si="74"/>
        <v/>
      </c>
      <c r="J439" s="70" t="str">
        <f t="shared" si="76"/>
        <v>1175Electric FAFR38R11R19Single</v>
      </c>
      <c r="M439" s="70"/>
      <c r="P439" s="81"/>
      <c r="AF439" s="70"/>
      <c r="AG439" s="81"/>
      <c r="AL439" s="134"/>
      <c r="AM439" s="134"/>
      <c r="AU439" s="132"/>
      <c r="AV439" s="133"/>
      <c r="AW439" s="134"/>
    </row>
    <row r="440" spans="1:49">
      <c r="A440" s="74">
        <v>1176</v>
      </c>
      <c r="B440" s="146" t="str">
        <f t="shared" si="75"/>
        <v>Electric FAFR38R11R19Double</v>
      </c>
      <c r="C440" s="170" t="s">
        <v>227</v>
      </c>
      <c r="D440" s="170" t="s">
        <v>331</v>
      </c>
      <c r="E440" s="166" t="s">
        <v>334</v>
      </c>
      <c r="F440" s="72" t="s">
        <v>335</v>
      </c>
      <c r="G440" s="72" t="s">
        <v>339</v>
      </c>
      <c r="H440" s="70">
        <f t="shared" si="73"/>
        <v>0</v>
      </c>
      <c r="I440" s="169" t="str">
        <f t="shared" si="74"/>
        <v/>
      </c>
      <c r="J440" s="70" t="str">
        <f t="shared" si="76"/>
        <v>1176Electric FAFR38R11R19Double</v>
      </c>
      <c r="M440" s="70"/>
      <c r="P440" s="81"/>
      <c r="AF440" s="70"/>
      <c r="AG440" s="81"/>
      <c r="AL440" s="134"/>
      <c r="AM440" s="134"/>
      <c r="AU440" s="132"/>
      <c r="AV440" s="133"/>
      <c r="AW440" s="134"/>
    </row>
    <row r="441" spans="1:49">
      <c r="A441" s="74">
        <v>1177</v>
      </c>
      <c r="B441" s="146" t="str">
        <f t="shared" si="75"/>
        <v>Electric FAFR38R11R19Better</v>
      </c>
      <c r="C441" s="170" t="s">
        <v>227</v>
      </c>
      <c r="D441" s="170" t="s">
        <v>331</v>
      </c>
      <c r="E441" s="166" t="s">
        <v>334</v>
      </c>
      <c r="F441" s="72" t="s">
        <v>335</v>
      </c>
      <c r="G441" s="72" t="s">
        <v>352</v>
      </c>
      <c r="H441" s="70">
        <f t="shared" si="73"/>
        <v>5217.4470000000001</v>
      </c>
      <c r="I441" s="169">
        <f t="shared" si="74"/>
        <v>4.8943884510763789E-3</v>
      </c>
      <c r="J441" s="70" t="str">
        <f t="shared" si="76"/>
        <v>1177Electric FAFR38R11R19Better</v>
      </c>
      <c r="M441" s="70"/>
      <c r="P441" s="81"/>
      <c r="AF441" s="70"/>
      <c r="AG441" s="81"/>
      <c r="AL441" s="134"/>
      <c r="AM441" s="134"/>
      <c r="AU441" s="132"/>
      <c r="AV441" s="133"/>
      <c r="AW441" s="134"/>
    </row>
    <row r="442" spans="1:49">
      <c r="A442" s="74">
        <v>1178</v>
      </c>
      <c r="B442" s="146" t="str">
        <f t="shared" si="75"/>
        <v>Electric FAFR38R11BetterSingle</v>
      </c>
      <c r="C442" s="170" t="s">
        <v>227</v>
      </c>
      <c r="D442" s="170" t="s">
        <v>331</v>
      </c>
      <c r="E442" s="166" t="s">
        <v>334</v>
      </c>
      <c r="F442" s="166" t="s">
        <v>352</v>
      </c>
      <c r="G442" s="166" t="s">
        <v>355</v>
      </c>
      <c r="H442" s="70">
        <f t="shared" si="73"/>
        <v>8264.9449999999997</v>
      </c>
      <c r="I442" s="169">
        <f t="shared" si="74"/>
        <v>7.7531887447599302E-3</v>
      </c>
      <c r="J442" s="70" t="str">
        <f t="shared" si="76"/>
        <v>1178Electric FAFR38R11BetterSingle</v>
      </c>
      <c r="M442" s="70"/>
      <c r="P442" s="81"/>
      <c r="AF442" s="70"/>
      <c r="AG442" s="81"/>
      <c r="AL442" s="134"/>
      <c r="AM442" s="134"/>
      <c r="AU442" s="132"/>
      <c r="AV442" s="133"/>
      <c r="AW442" s="134"/>
    </row>
    <row r="443" spans="1:49">
      <c r="A443" s="74">
        <v>1179</v>
      </c>
      <c r="B443" s="146" t="str">
        <f t="shared" si="75"/>
        <v>Electric FAFR38R11BetterDouble</v>
      </c>
      <c r="C443" s="170" t="s">
        <v>227</v>
      </c>
      <c r="D443" s="170" t="s">
        <v>331</v>
      </c>
      <c r="E443" s="166" t="s">
        <v>334</v>
      </c>
      <c r="F443" s="166" t="s">
        <v>352</v>
      </c>
      <c r="G443" s="72" t="s">
        <v>339</v>
      </c>
      <c r="H443" s="70">
        <f t="shared" si="73"/>
        <v>0</v>
      </c>
      <c r="I443" s="169" t="str">
        <f t="shared" si="74"/>
        <v/>
      </c>
      <c r="J443" s="70" t="str">
        <f t="shared" si="76"/>
        <v>1179Electric FAFR38R11BetterDouble</v>
      </c>
      <c r="M443" s="70"/>
      <c r="P443" s="81"/>
      <c r="AF443" s="70"/>
      <c r="AG443" s="81"/>
      <c r="AL443" s="134"/>
      <c r="AM443" s="134"/>
      <c r="AU443" s="132"/>
      <c r="AV443" s="133"/>
      <c r="AW443" s="134"/>
    </row>
    <row r="444" spans="1:49">
      <c r="A444" s="74">
        <v>1180</v>
      </c>
      <c r="B444" s="146" t="str">
        <f t="shared" si="75"/>
        <v>Electric FAFR38R11BetterBetter</v>
      </c>
      <c r="C444" s="170" t="s">
        <v>227</v>
      </c>
      <c r="D444" s="170" t="s">
        <v>331</v>
      </c>
      <c r="E444" s="166" t="s">
        <v>334</v>
      </c>
      <c r="F444" s="166" t="s">
        <v>352</v>
      </c>
      <c r="G444" s="166" t="s">
        <v>352</v>
      </c>
      <c r="H444" s="70">
        <f t="shared" si="73"/>
        <v>32233.588000000003</v>
      </c>
      <c r="I444" s="169">
        <f t="shared" si="74"/>
        <v>3.0237719874098228E-2</v>
      </c>
      <c r="J444" s="70" t="str">
        <f t="shared" si="76"/>
        <v>1180Electric FAFR38R11BetterBetter</v>
      </c>
      <c r="M444" s="70"/>
      <c r="P444" s="81"/>
      <c r="AF444" s="70"/>
      <c r="AG444" s="81"/>
      <c r="AL444" s="134"/>
      <c r="AM444" s="134"/>
      <c r="AU444" s="132"/>
      <c r="AV444" s="133"/>
      <c r="AW444" s="134"/>
    </row>
    <row r="445" spans="1:49">
      <c r="A445" s="74">
        <v>1181</v>
      </c>
      <c r="B445" s="146" t="str">
        <f t="shared" si="75"/>
        <v>Heat PumpR0R0R0Single</v>
      </c>
      <c r="C445" s="170" t="s">
        <v>229</v>
      </c>
      <c r="D445" s="170" t="s">
        <v>329</v>
      </c>
      <c r="E445" s="166" t="s">
        <v>329</v>
      </c>
      <c r="F445" s="166" t="s">
        <v>329</v>
      </c>
      <c r="G445" s="166" t="s">
        <v>355</v>
      </c>
      <c r="H445" s="70">
        <f t="shared" si="73"/>
        <v>0</v>
      </c>
      <c r="I445" s="169" t="str">
        <f t="shared" si="74"/>
        <v/>
      </c>
      <c r="J445" s="70" t="str">
        <f t="shared" si="76"/>
        <v>1181Heat PumpR0R0R0Single</v>
      </c>
      <c r="M445" s="70"/>
      <c r="P445" s="81"/>
      <c r="AF445" s="70"/>
      <c r="AG445" s="81"/>
      <c r="AL445" s="134"/>
      <c r="AM445" s="134"/>
      <c r="AU445" s="132"/>
      <c r="AV445" s="133"/>
      <c r="AW445" s="134"/>
    </row>
    <row r="446" spans="1:49">
      <c r="A446" s="74">
        <v>1182</v>
      </c>
      <c r="B446" s="146" t="str">
        <f t="shared" si="75"/>
        <v>Heat PumpR0R0R0Double</v>
      </c>
      <c r="C446" s="170" t="s">
        <v>229</v>
      </c>
      <c r="D446" s="170" t="s">
        <v>329</v>
      </c>
      <c r="E446" s="166" t="s">
        <v>329</v>
      </c>
      <c r="F446" s="166" t="s">
        <v>329</v>
      </c>
      <c r="G446" s="72" t="s">
        <v>339</v>
      </c>
      <c r="H446" s="70">
        <f t="shared" si="73"/>
        <v>0</v>
      </c>
      <c r="I446" s="169" t="str">
        <f t="shared" si="74"/>
        <v/>
      </c>
      <c r="J446" s="70" t="str">
        <f t="shared" si="76"/>
        <v>1182Heat PumpR0R0R0Double</v>
      </c>
      <c r="M446" s="70"/>
      <c r="P446" s="81"/>
      <c r="AF446" s="70"/>
      <c r="AG446" s="81"/>
      <c r="AL446" s="134"/>
      <c r="AM446" s="134"/>
      <c r="AU446" s="132"/>
      <c r="AV446" s="133"/>
      <c r="AW446" s="134"/>
    </row>
    <row r="447" spans="1:49">
      <c r="A447" s="74">
        <v>1183</v>
      </c>
      <c r="B447" s="146" t="str">
        <f t="shared" si="75"/>
        <v>Heat PumpR0R0R0Better</v>
      </c>
      <c r="C447" s="170" t="s">
        <v>229</v>
      </c>
      <c r="D447" s="170" t="s">
        <v>329</v>
      </c>
      <c r="E447" s="166" t="s">
        <v>329</v>
      </c>
      <c r="F447" s="166" t="s">
        <v>329</v>
      </c>
      <c r="G447" s="72" t="s">
        <v>352</v>
      </c>
      <c r="H447" s="70">
        <f t="shared" si="73"/>
        <v>0</v>
      </c>
      <c r="I447" s="169" t="str">
        <f t="shared" si="74"/>
        <v/>
      </c>
      <c r="J447" s="70" t="str">
        <f t="shared" si="76"/>
        <v>1183Heat PumpR0R0R0Better</v>
      </c>
      <c r="M447" s="70"/>
      <c r="P447" s="81"/>
      <c r="AF447" s="70"/>
      <c r="AG447" s="81"/>
      <c r="AL447" s="134"/>
      <c r="AM447" s="134"/>
      <c r="AU447" s="132"/>
      <c r="AV447" s="133"/>
      <c r="AW447" s="134"/>
    </row>
    <row r="448" spans="1:49">
      <c r="A448" s="74">
        <v>1184</v>
      </c>
      <c r="B448" s="146" t="str">
        <f t="shared" si="75"/>
        <v>Heat PumpR0R0R19Single</v>
      </c>
      <c r="C448" s="170" t="s">
        <v>229</v>
      </c>
      <c r="D448" s="170" t="s">
        <v>329</v>
      </c>
      <c r="E448" s="166" t="s">
        <v>329</v>
      </c>
      <c r="F448" s="72" t="s">
        <v>335</v>
      </c>
      <c r="G448" s="166" t="s">
        <v>355</v>
      </c>
      <c r="H448" s="70">
        <f t="shared" si="73"/>
        <v>0</v>
      </c>
      <c r="I448" s="169" t="str">
        <f t="shared" si="74"/>
        <v/>
      </c>
      <c r="J448" s="70" t="str">
        <f t="shared" si="76"/>
        <v>1184Heat PumpR0R0R19Single</v>
      </c>
      <c r="M448" s="70"/>
      <c r="P448" s="81"/>
      <c r="AF448" s="70"/>
      <c r="AG448" s="81"/>
      <c r="AL448" s="134"/>
      <c r="AM448" s="134"/>
      <c r="AU448" s="132"/>
      <c r="AV448" s="133"/>
      <c r="AW448" s="134"/>
    </row>
    <row r="449" spans="1:49">
      <c r="A449" s="74">
        <v>1185</v>
      </c>
      <c r="B449" s="146" t="str">
        <f t="shared" si="75"/>
        <v>Heat PumpR0R0R19Double</v>
      </c>
      <c r="C449" s="170" t="s">
        <v>229</v>
      </c>
      <c r="D449" s="170" t="s">
        <v>329</v>
      </c>
      <c r="E449" s="166" t="s">
        <v>329</v>
      </c>
      <c r="F449" s="72" t="s">
        <v>335</v>
      </c>
      <c r="G449" s="72" t="s">
        <v>339</v>
      </c>
      <c r="H449" s="70">
        <f t="shared" si="73"/>
        <v>0</v>
      </c>
      <c r="I449" s="169" t="str">
        <f t="shared" si="74"/>
        <v/>
      </c>
      <c r="J449" s="70" t="str">
        <f t="shared" si="76"/>
        <v>1185Heat PumpR0R0R19Double</v>
      </c>
      <c r="M449" s="70"/>
      <c r="P449" s="81"/>
      <c r="AF449" s="70"/>
      <c r="AG449" s="81"/>
      <c r="AL449" s="134"/>
      <c r="AM449" s="134"/>
      <c r="AU449" s="132"/>
      <c r="AV449" s="133"/>
      <c r="AW449" s="134"/>
    </row>
    <row r="450" spans="1:49">
      <c r="A450" s="74">
        <v>1186</v>
      </c>
      <c r="B450" s="146" t="str">
        <f t="shared" si="75"/>
        <v>Heat PumpR0R0R19Better</v>
      </c>
      <c r="C450" s="170" t="s">
        <v>229</v>
      </c>
      <c r="D450" s="170" t="s">
        <v>329</v>
      </c>
      <c r="E450" s="166" t="s">
        <v>329</v>
      </c>
      <c r="F450" s="72" t="s">
        <v>335</v>
      </c>
      <c r="G450" s="166" t="s">
        <v>352</v>
      </c>
      <c r="H450" s="70">
        <f t="shared" si="73"/>
        <v>0</v>
      </c>
      <c r="I450" s="169" t="str">
        <f t="shared" si="74"/>
        <v/>
      </c>
      <c r="J450" s="70" t="str">
        <f t="shared" si="76"/>
        <v>1186Heat PumpR0R0R19Better</v>
      </c>
      <c r="M450" s="70"/>
      <c r="P450" s="81"/>
      <c r="AF450" s="70"/>
      <c r="AG450" s="81"/>
      <c r="AL450" s="134"/>
      <c r="AM450" s="134"/>
      <c r="AU450" s="132"/>
      <c r="AV450" s="133"/>
      <c r="AW450" s="134"/>
    </row>
    <row r="451" spans="1:49">
      <c r="A451" s="74">
        <v>1187</v>
      </c>
      <c r="B451" s="146" t="str">
        <f t="shared" si="75"/>
        <v>Heat PumpR0R0BetterSingle</v>
      </c>
      <c r="C451" s="170" t="s">
        <v>229</v>
      </c>
      <c r="D451" s="170" t="s">
        <v>329</v>
      </c>
      <c r="E451" s="166" t="s">
        <v>329</v>
      </c>
      <c r="F451" s="166" t="s">
        <v>352</v>
      </c>
      <c r="G451" s="166" t="s">
        <v>355</v>
      </c>
      <c r="H451" s="70">
        <f t="shared" si="73"/>
        <v>0</v>
      </c>
      <c r="I451" s="169" t="str">
        <f t="shared" si="74"/>
        <v/>
      </c>
      <c r="J451" s="70" t="str">
        <f t="shared" si="76"/>
        <v>1187Heat PumpR0R0BetterSingle</v>
      </c>
      <c r="M451" s="70"/>
      <c r="P451" s="81"/>
      <c r="AF451" s="70"/>
      <c r="AG451" s="81"/>
      <c r="AL451" s="134"/>
      <c r="AM451" s="134"/>
      <c r="AU451" s="132"/>
      <c r="AV451" s="133"/>
      <c r="AW451" s="134"/>
    </row>
    <row r="452" spans="1:49">
      <c r="A452" s="74">
        <v>1188</v>
      </c>
      <c r="B452" s="146" t="str">
        <f t="shared" si="75"/>
        <v>Heat PumpR0R0BetterDouble</v>
      </c>
      <c r="C452" s="170" t="s">
        <v>229</v>
      </c>
      <c r="D452" s="170" t="s">
        <v>329</v>
      </c>
      <c r="E452" s="166" t="s">
        <v>329</v>
      </c>
      <c r="F452" s="166" t="s">
        <v>352</v>
      </c>
      <c r="G452" s="72" t="s">
        <v>339</v>
      </c>
      <c r="H452" s="70">
        <f t="shared" si="73"/>
        <v>0</v>
      </c>
      <c r="I452" s="169" t="str">
        <f t="shared" si="74"/>
        <v/>
      </c>
      <c r="J452" s="70" t="str">
        <f t="shared" si="76"/>
        <v>1188Heat PumpR0R0BetterDouble</v>
      </c>
      <c r="M452" s="70"/>
      <c r="P452" s="81"/>
      <c r="AF452" s="70"/>
      <c r="AG452" s="81"/>
      <c r="AL452" s="134"/>
      <c r="AM452" s="134"/>
      <c r="AU452" s="132"/>
      <c r="AV452" s="133"/>
      <c r="AW452" s="134"/>
    </row>
    <row r="453" spans="1:49">
      <c r="A453" s="74">
        <v>1189</v>
      </c>
      <c r="B453" s="146" t="str">
        <f t="shared" si="75"/>
        <v>Heat PumpR0R0BetterBetter</v>
      </c>
      <c r="C453" s="170" t="s">
        <v>229</v>
      </c>
      <c r="D453" s="170" t="s">
        <v>329</v>
      </c>
      <c r="E453" s="166" t="s">
        <v>329</v>
      </c>
      <c r="F453" s="166" t="s">
        <v>352</v>
      </c>
      <c r="G453" s="72" t="s">
        <v>352</v>
      </c>
      <c r="H453" s="70">
        <f t="shared" si="73"/>
        <v>0</v>
      </c>
      <c r="I453" s="169" t="str">
        <f t="shared" si="74"/>
        <v/>
      </c>
      <c r="J453" s="70" t="str">
        <f t="shared" si="76"/>
        <v>1189Heat PumpR0R0BetterBetter</v>
      </c>
      <c r="M453" s="70"/>
      <c r="P453" s="81"/>
      <c r="AF453" s="70"/>
      <c r="AG453" s="81"/>
      <c r="AL453" s="134"/>
      <c r="AM453" s="134"/>
      <c r="AU453" s="132"/>
      <c r="AV453" s="133"/>
      <c r="AW453" s="134"/>
    </row>
    <row r="454" spans="1:49">
      <c r="A454" s="74">
        <v>1190</v>
      </c>
      <c r="B454" s="146" t="str">
        <f t="shared" si="75"/>
        <v>Heat PumpR0R11R0Single</v>
      </c>
      <c r="C454" s="170" t="s">
        <v>229</v>
      </c>
      <c r="D454" s="170" t="s">
        <v>329</v>
      </c>
      <c r="E454" s="166" t="s">
        <v>334</v>
      </c>
      <c r="F454" s="166" t="s">
        <v>329</v>
      </c>
      <c r="G454" s="166" t="s">
        <v>355</v>
      </c>
      <c r="H454" s="70">
        <f t="shared" si="73"/>
        <v>0</v>
      </c>
      <c r="I454" s="169" t="str">
        <f t="shared" si="74"/>
        <v/>
      </c>
      <c r="J454" s="70" t="str">
        <f t="shared" si="76"/>
        <v>1190Heat PumpR0R11R0Single</v>
      </c>
      <c r="M454" s="70"/>
      <c r="P454" s="81"/>
      <c r="AF454" s="70"/>
      <c r="AG454" s="81"/>
      <c r="AL454" s="134"/>
      <c r="AM454" s="134"/>
      <c r="AU454" s="132"/>
      <c r="AV454" s="133"/>
      <c r="AW454" s="134"/>
    </row>
    <row r="455" spans="1:49">
      <c r="A455" s="74">
        <v>1191</v>
      </c>
      <c r="B455" s="146" t="str">
        <f t="shared" si="75"/>
        <v>Heat PumpR0R11R0Double</v>
      </c>
      <c r="C455" s="170" t="s">
        <v>229</v>
      </c>
      <c r="D455" s="170" t="s">
        <v>329</v>
      </c>
      <c r="E455" s="166" t="s">
        <v>334</v>
      </c>
      <c r="F455" s="166" t="s">
        <v>329</v>
      </c>
      <c r="G455" s="72" t="s">
        <v>339</v>
      </c>
      <c r="H455" s="70">
        <f t="shared" si="73"/>
        <v>0</v>
      </c>
      <c r="I455" s="169" t="str">
        <f t="shared" si="74"/>
        <v/>
      </c>
      <c r="J455" s="70" t="str">
        <f t="shared" si="76"/>
        <v>1191Heat PumpR0R11R0Double</v>
      </c>
      <c r="M455" s="70"/>
      <c r="P455" s="81"/>
      <c r="AF455" s="70"/>
      <c r="AG455" s="81"/>
      <c r="AL455" s="134"/>
      <c r="AM455" s="134"/>
      <c r="AU455" s="132"/>
      <c r="AV455" s="133"/>
      <c r="AW455" s="134"/>
    </row>
    <row r="456" spans="1:49">
      <c r="A456" s="74">
        <v>1192</v>
      </c>
      <c r="B456" s="146" t="str">
        <f t="shared" si="75"/>
        <v>Heat PumpR0R11R0Better</v>
      </c>
      <c r="C456" s="170" t="s">
        <v>229</v>
      </c>
      <c r="D456" s="170" t="s">
        <v>329</v>
      </c>
      <c r="E456" s="166" t="s">
        <v>334</v>
      </c>
      <c r="F456" s="166" t="s">
        <v>329</v>
      </c>
      <c r="G456" s="166" t="s">
        <v>352</v>
      </c>
      <c r="H456" s="70">
        <f t="shared" si="73"/>
        <v>0</v>
      </c>
      <c r="I456" s="169" t="str">
        <f t="shared" si="74"/>
        <v/>
      </c>
      <c r="J456" s="70" t="str">
        <f t="shared" si="76"/>
        <v>1192Heat PumpR0R11R0Better</v>
      </c>
      <c r="M456" s="70"/>
      <c r="P456" s="81"/>
      <c r="AF456" s="70"/>
      <c r="AG456" s="81"/>
      <c r="AL456" s="134"/>
      <c r="AM456" s="134"/>
      <c r="AU456" s="132"/>
      <c r="AV456" s="133"/>
      <c r="AW456" s="134"/>
    </row>
    <row r="457" spans="1:49">
      <c r="A457" s="74">
        <v>1193</v>
      </c>
      <c r="B457" s="146" t="str">
        <f t="shared" si="75"/>
        <v>Heat PumpR0R11R19Single</v>
      </c>
      <c r="C457" s="170" t="s">
        <v>229</v>
      </c>
      <c r="D457" s="170" t="s">
        <v>329</v>
      </c>
      <c r="E457" s="166" t="s">
        <v>334</v>
      </c>
      <c r="F457" s="72" t="s">
        <v>335</v>
      </c>
      <c r="G457" s="166" t="s">
        <v>355</v>
      </c>
      <c r="H457" s="70">
        <f t="shared" ref="H457:H520" si="77">SUMIFS($I$755:$I$1283,$O$755:$O$1283,B457,$J$755:$J$1283,"keep")</f>
        <v>0</v>
      </c>
      <c r="I457" s="169" t="str">
        <f t="shared" ref="I457:I520" si="78">IF(H457&gt;0,H457/SUM($H$265:$H$714),"")</f>
        <v/>
      </c>
      <c r="J457" s="70" t="str">
        <f t="shared" si="76"/>
        <v>1193Heat PumpR0R11R19Single</v>
      </c>
      <c r="M457" s="70"/>
      <c r="P457" s="81"/>
      <c r="AF457" s="70"/>
      <c r="AG457" s="81"/>
      <c r="AL457" s="134"/>
      <c r="AM457" s="134"/>
      <c r="AU457" s="132"/>
      <c r="AV457" s="133"/>
      <c r="AW457" s="134"/>
    </row>
    <row r="458" spans="1:49">
      <c r="A458" s="74">
        <v>1194</v>
      </c>
      <c r="B458" s="146" t="str">
        <f t="shared" ref="B458:B521" si="79">C458&amp;D458&amp;E458&amp;F458&amp;G458</f>
        <v>Heat PumpR0R11R19Double</v>
      </c>
      <c r="C458" s="170" t="s">
        <v>229</v>
      </c>
      <c r="D458" s="170" t="s">
        <v>329</v>
      </c>
      <c r="E458" s="166" t="s">
        <v>334</v>
      </c>
      <c r="F458" s="72" t="s">
        <v>335</v>
      </c>
      <c r="G458" s="72" t="s">
        <v>339</v>
      </c>
      <c r="H458" s="70">
        <f t="shared" si="77"/>
        <v>0</v>
      </c>
      <c r="I458" s="169" t="str">
        <f t="shared" si="78"/>
        <v/>
      </c>
      <c r="J458" s="70" t="str">
        <f t="shared" ref="J458:J521" si="80">A458&amp;B458</f>
        <v>1194Heat PumpR0R11R19Double</v>
      </c>
      <c r="M458" s="70"/>
      <c r="P458" s="81"/>
      <c r="AF458" s="70"/>
      <c r="AG458" s="81"/>
      <c r="AL458" s="134"/>
      <c r="AM458" s="134"/>
      <c r="AU458" s="132"/>
      <c r="AV458" s="133"/>
      <c r="AW458" s="134"/>
    </row>
    <row r="459" spans="1:49">
      <c r="A459" s="74">
        <v>1195</v>
      </c>
      <c r="B459" s="146" t="str">
        <f t="shared" si="79"/>
        <v>Heat PumpR0R11R19Better</v>
      </c>
      <c r="C459" s="170" t="s">
        <v>229</v>
      </c>
      <c r="D459" s="170" t="s">
        <v>329</v>
      </c>
      <c r="E459" s="166" t="s">
        <v>334</v>
      </c>
      <c r="F459" s="72" t="s">
        <v>335</v>
      </c>
      <c r="G459" s="72" t="s">
        <v>352</v>
      </c>
      <c r="H459" s="70">
        <f t="shared" si="77"/>
        <v>0</v>
      </c>
      <c r="I459" s="169" t="str">
        <f t="shared" si="78"/>
        <v/>
      </c>
      <c r="J459" s="70" t="str">
        <f t="shared" si="80"/>
        <v>1195Heat PumpR0R11R19Better</v>
      </c>
      <c r="M459" s="70"/>
      <c r="P459" s="81"/>
      <c r="AF459" s="70"/>
      <c r="AG459" s="81"/>
      <c r="AL459" s="134"/>
      <c r="AM459" s="134"/>
      <c r="AU459" s="132"/>
      <c r="AV459" s="133"/>
      <c r="AW459" s="134"/>
    </row>
    <row r="460" spans="1:49">
      <c r="A460" s="74">
        <v>1196</v>
      </c>
      <c r="B460" s="146" t="str">
        <f t="shared" si="79"/>
        <v>Heat PumpR0R11BetterSingle</v>
      </c>
      <c r="C460" s="170" t="s">
        <v>229</v>
      </c>
      <c r="D460" s="170" t="s">
        <v>329</v>
      </c>
      <c r="E460" s="166" t="s">
        <v>334</v>
      </c>
      <c r="F460" s="166" t="s">
        <v>352</v>
      </c>
      <c r="G460" s="166" t="s">
        <v>355</v>
      </c>
      <c r="H460" s="70">
        <f t="shared" si="77"/>
        <v>0</v>
      </c>
      <c r="I460" s="169" t="str">
        <f t="shared" si="78"/>
        <v/>
      </c>
      <c r="J460" s="70" t="str">
        <f t="shared" si="80"/>
        <v>1196Heat PumpR0R11BetterSingle</v>
      </c>
      <c r="M460" s="70"/>
      <c r="P460" s="81"/>
      <c r="AF460" s="70"/>
      <c r="AG460" s="81"/>
      <c r="AL460" s="134"/>
      <c r="AM460" s="134"/>
      <c r="AU460" s="132"/>
      <c r="AV460" s="133"/>
      <c r="AW460" s="134"/>
    </row>
    <row r="461" spans="1:49">
      <c r="A461" s="74">
        <v>1197</v>
      </c>
      <c r="B461" s="146" t="str">
        <f t="shared" si="79"/>
        <v>Heat PumpR0R11BetterDouble</v>
      </c>
      <c r="C461" s="170" t="s">
        <v>229</v>
      </c>
      <c r="D461" s="170" t="s">
        <v>329</v>
      </c>
      <c r="E461" s="166" t="s">
        <v>334</v>
      </c>
      <c r="F461" s="166" t="s">
        <v>352</v>
      </c>
      <c r="G461" s="72" t="s">
        <v>339</v>
      </c>
      <c r="H461" s="70">
        <f t="shared" si="77"/>
        <v>2079.9929999999999</v>
      </c>
      <c r="I461" s="169">
        <f t="shared" si="78"/>
        <v>1.9512021334418368E-3</v>
      </c>
      <c r="J461" s="70" t="str">
        <f t="shared" si="80"/>
        <v>1197Heat PumpR0R11BetterDouble</v>
      </c>
      <c r="M461" s="70"/>
      <c r="P461" s="81"/>
      <c r="AF461" s="70"/>
      <c r="AG461" s="81"/>
      <c r="AL461" s="134"/>
      <c r="AM461" s="134"/>
      <c r="AU461" s="132"/>
      <c r="AV461" s="133"/>
      <c r="AW461" s="134"/>
    </row>
    <row r="462" spans="1:49">
      <c r="A462" s="74">
        <v>1198</v>
      </c>
      <c r="B462" s="146" t="str">
        <f t="shared" si="79"/>
        <v>Heat PumpR0R11BetterBetter</v>
      </c>
      <c r="C462" s="170" t="s">
        <v>229</v>
      </c>
      <c r="D462" s="170" t="s">
        <v>329</v>
      </c>
      <c r="E462" s="166" t="s">
        <v>334</v>
      </c>
      <c r="F462" s="166" t="s">
        <v>352</v>
      </c>
      <c r="G462" s="166" t="s">
        <v>352</v>
      </c>
      <c r="H462" s="70">
        <f t="shared" si="77"/>
        <v>0</v>
      </c>
      <c r="I462" s="169" t="str">
        <f t="shared" si="78"/>
        <v/>
      </c>
      <c r="J462" s="70" t="str">
        <f t="shared" si="80"/>
        <v>1198Heat PumpR0R11BetterBetter</v>
      </c>
      <c r="M462" s="70"/>
      <c r="P462" s="81"/>
      <c r="AF462" s="70"/>
      <c r="AG462" s="81"/>
      <c r="AL462" s="134"/>
      <c r="AM462" s="134"/>
      <c r="AU462" s="132"/>
      <c r="AV462" s="133"/>
      <c r="AW462" s="134"/>
    </row>
    <row r="463" spans="1:49">
      <c r="A463" s="74">
        <v>1199</v>
      </c>
      <c r="B463" s="146" t="str">
        <f t="shared" si="79"/>
        <v>Heat PumpR11R0R0Single</v>
      </c>
      <c r="C463" s="170" t="s">
        <v>229</v>
      </c>
      <c r="D463" s="166" t="s">
        <v>334</v>
      </c>
      <c r="E463" s="166" t="s">
        <v>329</v>
      </c>
      <c r="F463" s="166" t="s">
        <v>329</v>
      </c>
      <c r="G463" s="166" t="s">
        <v>355</v>
      </c>
      <c r="H463" s="70">
        <f t="shared" si="77"/>
        <v>0</v>
      </c>
      <c r="I463" s="169" t="str">
        <f t="shared" si="78"/>
        <v/>
      </c>
      <c r="J463" s="70" t="str">
        <f t="shared" si="80"/>
        <v>1199Heat PumpR11R0R0Single</v>
      </c>
      <c r="M463" s="70"/>
      <c r="P463" s="81"/>
      <c r="AF463" s="70"/>
      <c r="AG463" s="81"/>
      <c r="AL463" s="134"/>
      <c r="AM463" s="134"/>
      <c r="AU463" s="132"/>
      <c r="AV463" s="133"/>
      <c r="AW463" s="134"/>
    </row>
    <row r="464" spans="1:49">
      <c r="A464" s="74">
        <v>1200</v>
      </c>
      <c r="B464" s="146" t="str">
        <f t="shared" si="79"/>
        <v>Heat PumpR11R0R0Double</v>
      </c>
      <c r="C464" s="170" t="s">
        <v>229</v>
      </c>
      <c r="D464" s="166" t="s">
        <v>334</v>
      </c>
      <c r="E464" s="166" t="s">
        <v>329</v>
      </c>
      <c r="F464" s="166" t="s">
        <v>329</v>
      </c>
      <c r="G464" s="72" t="s">
        <v>339</v>
      </c>
      <c r="H464" s="70">
        <f t="shared" si="77"/>
        <v>0</v>
      </c>
      <c r="I464" s="169" t="str">
        <f t="shared" si="78"/>
        <v/>
      </c>
      <c r="J464" s="70" t="str">
        <f t="shared" si="80"/>
        <v>1200Heat PumpR11R0R0Double</v>
      </c>
      <c r="M464" s="70"/>
      <c r="P464" s="81"/>
      <c r="AF464" s="70"/>
      <c r="AG464" s="81"/>
      <c r="AL464" s="134"/>
      <c r="AM464" s="134"/>
      <c r="AU464" s="132"/>
      <c r="AV464" s="133"/>
      <c r="AW464" s="134"/>
    </row>
    <row r="465" spans="1:49">
      <c r="A465" s="74">
        <v>1201</v>
      </c>
      <c r="B465" s="146" t="str">
        <f t="shared" si="79"/>
        <v>Heat PumpR11R0R0Better</v>
      </c>
      <c r="C465" s="170" t="s">
        <v>229</v>
      </c>
      <c r="D465" s="166" t="s">
        <v>334</v>
      </c>
      <c r="E465" s="166" t="s">
        <v>329</v>
      </c>
      <c r="F465" s="166" t="s">
        <v>329</v>
      </c>
      <c r="G465" s="72" t="s">
        <v>352</v>
      </c>
      <c r="H465" s="70">
        <f t="shared" si="77"/>
        <v>4159.9859999999999</v>
      </c>
      <c r="I465" s="169">
        <f t="shared" si="78"/>
        <v>3.9024042668836735E-3</v>
      </c>
      <c r="J465" s="70" t="str">
        <f t="shared" si="80"/>
        <v>1201Heat PumpR11R0R0Better</v>
      </c>
      <c r="M465" s="70"/>
      <c r="P465" s="81"/>
      <c r="AF465" s="70"/>
      <c r="AG465" s="81"/>
      <c r="AL465" s="134"/>
      <c r="AM465" s="134"/>
      <c r="AU465" s="132"/>
      <c r="AV465" s="133"/>
      <c r="AW465" s="134"/>
    </row>
    <row r="466" spans="1:49">
      <c r="A466" s="74">
        <v>1202</v>
      </c>
      <c r="B466" s="146" t="str">
        <f t="shared" si="79"/>
        <v>Heat PumpR11R0R19Single</v>
      </c>
      <c r="C466" s="170" t="s">
        <v>229</v>
      </c>
      <c r="D466" s="166" t="s">
        <v>334</v>
      </c>
      <c r="E466" s="166" t="s">
        <v>329</v>
      </c>
      <c r="F466" s="72" t="s">
        <v>335</v>
      </c>
      <c r="G466" s="166" t="s">
        <v>355</v>
      </c>
      <c r="H466" s="70">
        <f t="shared" si="77"/>
        <v>0</v>
      </c>
      <c r="I466" s="169" t="str">
        <f t="shared" si="78"/>
        <v/>
      </c>
      <c r="J466" s="70" t="str">
        <f t="shared" si="80"/>
        <v>1202Heat PumpR11R0R19Single</v>
      </c>
      <c r="M466" s="70"/>
      <c r="P466" s="81"/>
      <c r="AF466" s="70"/>
      <c r="AG466" s="81"/>
      <c r="AL466" s="134"/>
      <c r="AM466" s="134"/>
      <c r="AU466" s="132"/>
      <c r="AV466" s="133"/>
      <c r="AW466" s="134"/>
    </row>
    <row r="467" spans="1:49">
      <c r="A467" s="74">
        <v>1203</v>
      </c>
      <c r="B467" s="146" t="str">
        <f t="shared" si="79"/>
        <v>Heat PumpR11R0R19Double</v>
      </c>
      <c r="C467" s="170" t="s">
        <v>229</v>
      </c>
      <c r="D467" s="166" t="s">
        <v>334</v>
      </c>
      <c r="E467" s="166" t="s">
        <v>329</v>
      </c>
      <c r="F467" s="72" t="s">
        <v>335</v>
      </c>
      <c r="G467" s="72" t="s">
        <v>339</v>
      </c>
      <c r="H467" s="70">
        <f t="shared" si="77"/>
        <v>0</v>
      </c>
      <c r="I467" s="169" t="str">
        <f t="shared" si="78"/>
        <v/>
      </c>
      <c r="J467" s="70" t="str">
        <f t="shared" si="80"/>
        <v>1203Heat PumpR11R0R19Double</v>
      </c>
      <c r="M467" s="70"/>
      <c r="P467" s="81"/>
      <c r="AF467" s="70"/>
      <c r="AG467" s="81"/>
      <c r="AL467" s="134"/>
      <c r="AM467" s="134"/>
      <c r="AU467" s="132"/>
      <c r="AV467" s="133"/>
      <c r="AW467" s="134"/>
    </row>
    <row r="468" spans="1:49">
      <c r="A468" s="74">
        <v>1204</v>
      </c>
      <c r="B468" s="146" t="str">
        <f t="shared" si="79"/>
        <v>Heat PumpR11R0R19Better</v>
      </c>
      <c r="C468" s="170" t="s">
        <v>229</v>
      </c>
      <c r="D468" s="166" t="s">
        <v>334</v>
      </c>
      <c r="E468" s="166" t="s">
        <v>329</v>
      </c>
      <c r="F468" s="72" t="s">
        <v>335</v>
      </c>
      <c r="G468" s="166" t="s">
        <v>352</v>
      </c>
      <c r="H468" s="70">
        <f t="shared" si="77"/>
        <v>4005.0519999999997</v>
      </c>
      <c r="I468" s="169">
        <f t="shared" si="78"/>
        <v>3.7570636088417098E-3</v>
      </c>
      <c r="J468" s="70" t="str">
        <f t="shared" si="80"/>
        <v>1204Heat PumpR11R0R19Better</v>
      </c>
      <c r="M468" s="70"/>
      <c r="P468" s="81"/>
      <c r="AF468" s="70"/>
      <c r="AG468" s="81"/>
      <c r="AL468" s="134"/>
      <c r="AM468" s="134"/>
      <c r="AU468" s="132"/>
      <c r="AV468" s="133"/>
      <c r="AW468" s="134"/>
    </row>
    <row r="469" spans="1:49">
      <c r="A469" s="74">
        <v>1205</v>
      </c>
      <c r="B469" s="146" t="str">
        <f t="shared" si="79"/>
        <v>Heat PumpR11R0BetterSingle</v>
      </c>
      <c r="C469" s="170" t="s">
        <v>229</v>
      </c>
      <c r="D469" s="166" t="s">
        <v>334</v>
      </c>
      <c r="E469" s="166" t="s">
        <v>329</v>
      </c>
      <c r="F469" s="166" t="s">
        <v>352</v>
      </c>
      <c r="G469" s="166" t="s">
        <v>355</v>
      </c>
      <c r="H469" s="70">
        <f t="shared" si="77"/>
        <v>0</v>
      </c>
      <c r="I469" s="169" t="str">
        <f t="shared" si="78"/>
        <v/>
      </c>
      <c r="J469" s="70" t="str">
        <f t="shared" si="80"/>
        <v>1205Heat PumpR11R0BetterSingle</v>
      </c>
      <c r="M469" s="70"/>
      <c r="P469" s="81"/>
      <c r="AF469" s="70"/>
      <c r="AG469" s="81"/>
      <c r="AL469" s="134"/>
      <c r="AM469" s="134"/>
      <c r="AU469" s="132"/>
      <c r="AV469" s="133"/>
      <c r="AW469" s="134"/>
    </row>
    <row r="470" spans="1:49">
      <c r="A470" s="74">
        <v>1206</v>
      </c>
      <c r="B470" s="146" t="str">
        <f t="shared" si="79"/>
        <v>Heat PumpR11R0BetterDouble</v>
      </c>
      <c r="C470" s="170" t="s">
        <v>229</v>
      </c>
      <c r="D470" s="166" t="s">
        <v>334</v>
      </c>
      <c r="E470" s="166" t="s">
        <v>329</v>
      </c>
      <c r="F470" s="166" t="s">
        <v>352</v>
      </c>
      <c r="G470" s="72" t="s">
        <v>339</v>
      </c>
      <c r="H470" s="70">
        <f t="shared" si="77"/>
        <v>0</v>
      </c>
      <c r="I470" s="169" t="str">
        <f t="shared" si="78"/>
        <v/>
      </c>
      <c r="J470" s="70" t="str">
        <f t="shared" si="80"/>
        <v>1206Heat PumpR11R0BetterDouble</v>
      </c>
      <c r="M470" s="70"/>
      <c r="P470" s="81"/>
      <c r="AF470" s="70"/>
      <c r="AG470" s="81"/>
      <c r="AL470" s="134"/>
      <c r="AM470" s="134"/>
      <c r="AU470" s="132"/>
      <c r="AV470" s="133"/>
      <c r="AW470" s="134"/>
    </row>
    <row r="471" spans="1:49">
      <c r="A471" s="74">
        <v>1207</v>
      </c>
      <c r="B471" s="146" t="str">
        <f t="shared" si="79"/>
        <v>Heat PumpR11R0BetterBetter</v>
      </c>
      <c r="C471" s="170" t="s">
        <v>229</v>
      </c>
      <c r="D471" s="166" t="s">
        <v>334</v>
      </c>
      <c r="E471" s="166" t="s">
        <v>329</v>
      </c>
      <c r="F471" s="166" t="s">
        <v>352</v>
      </c>
      <c r="G471" s="72" t="s">
        <v>352</v>
      </c>
      <c r="H471" s="70">
        <f t="shared" si="77"/>
        <v>0</v>
      </c>
      <c r="I471" s="169" t="str">
        <f t="shared" si="78"/>
        <v/>
      </c>
      <c r="J471" s="70" t="str">
        <f t="shared" si="80"/>
        <v>1207Heat PumpR11R0BetterBetter</v>
      </c>
      <c r="M471" s="70"/>
      <c r="P471" s="81"/>
      <c r="AF471" s="70"/>
      <c r="AG471" s="81"/>
      <c r="AL471" s="134"/>
      <c r="AM471" s="134"/>
      <c r="AU471" s="132"/>
      <c r="AV471" s="133"/>
      <c r="AW471" s="134"/>
    </row>
    <row r="472" spans="1:49">
      <c r="A472" s="74">
        <v>1208</v>
      </c>
      <c r="B472" s="146" t="str">
        <f t="shared" si="79"/>
        <v>Heat PumpR11R11R0Single</v>
      </c>
      <c r="C472" s="170" t="s">
        <v>229</v>
      </c>
      <c r="D472" s="166" t="s">
        <v>334</v>
      </c>
      <c r="E472" s="166" t="s">
        <v>334</v>
      </c>
      <c r="F472" s="166" t="s">
        <v>329</v>
      </c>
      <c r="G472" s="166" t="s">
        <v>355</v>
      </c>
      <c r="H472" s="70">
        <f t="shared" si="77"/>
        <v>0</v>
      </c>
      <c r="I472" s="169" t="str">
        <f t="shared" si="78"/>
        <v/>
      </c>
      <c r="J472" s="70" t="str">
        <f t="shared" si="80"/>
        <v>1208Heat PumpR11R11R0Single</v>
      </c>
      <c r="M472" s="70"/>
      <c r="P472" s="81"/>
      <c r="AF472" s="70"/>
      <c r="AG472" s="81"/>
      <c r="AL472" s="134"/>
      <c r="AM472" s="134"/>
      <c r="AU472" s="132"/>
      <c r="AV472" s="133"/>
      <c r="AW472" s="134"/>
    </row>
    <row r="473" spans="1:49">
      <c r="A473" s="74">
        <v>1209</v>
      </c>
      <c r="B473" s="146" t="str">
        <f t="shared" si="79"/>
        <v>Heat PumpR11R11R0Double</v>
      </c>
      <c r="C473" s="170" t="s">
        <v>229</v>
      </c>
      <c r="D473" s="166" t="s">
        <v>334</v>
      </c>
      <c r="E473" s="166" t="s">
        <v>334</v>
      </c>
      <c r="F473" s="166" t="s">
        <v>329</v>
      </c>
      <c r="G473" s="72" t="s">
        <v>339</v>
      </c>
      <c r="H473" s="70">
        <f t="shared" si="77"/>
        <v>5234.5879999999997</v>
      </c>
      <c r="I473" s="169">
        <f t="shared" si="78"/>
        <v>4.9104680993104482E-3</v>
      </c>
      <c r="J473" s="70" t="str">
        <f t="shared" si="80"/>
        <v>1209Heat PumpR11R11R0Double</v>
      </c>
      <c r="M473" s="70"/>
      <c r="P473" s="81"/>
      <c r="AF473" s="70"/>
      <c r="AG473" s="81"/>
      <c r="AL473" s="134"/>
      <c r="AM473" s="134"/>
      <c r="AU473" s="132"/>
      <c r="AV473" s="133"/>
      <c r="AW473" s="134"/>
    </row>
    <row r="474" spans="1:49">
      <c r="A474" s="74">
        <v>1210</v>
      </c>
      <c r="B474" s="146" t="str">
        <f t="shared" si="79"/>
        <v>Heat PumpR11R11R0Better</v>
      </c>
      <c r="C474" s="170" t="s">
        <v>229</v>
      </c>
      <c r="D474" s="166" t="s">
        <v>334</v>
      </c>
      <c r="E474" s="166" t="s">
        <v>334</v>
      </c>
      <c r="F474" s="166" t="s">
        <v>329</v>
      </c>
      <c r="G474" s="166" t="s">
        <v>352</v>
      </c>
      <c r="H474" s="70">
        <f t="shared" si="77"/>
        <v>20901.962</v>
      </c>
      <c r="I474" s="169">
        <f t="shared" si="78"/>
        <v>1.9607735625802682E-2</v>
      </c>
      <c r="J474" s="70" t="str">
        <f t="shared" si="80"/>
        <v>1210Heat PumpR11R11R0Better</v>
      </c>
      <c r="M474" s="70"/>
      <c r="P474" s="81"/>
      <c r="AF474" s="70"/>
      <c r="AG474" s="81"/>
      <c r="AL474" s="134"/>
      <c r="AM474" s="134"/>
      <c r="AU474" s="132"/>
      <c r="AV474" s="133"/>
      <c r="AW474" s="134"/>
    </row>
    <row r="475" spans="1:49">
      <c r="A475" s="74">
        <v>1211</v>
      </c>
      <c r="B475" s="146" t="str">
        <f t="shared" si="79"/>
        <v>Heat PumpR11R11R19Single</v>
      </c>
      <c r="C475" s="170" t="s">
        <v>229</v>
      </c>
      <c r="D475" s="166" t="s">
        <v>334</v>
      </c>
      <c r="E475" s="166" t="s">
        <v>334</v>
      </c>
      <c r="F475" s="72" t="s">
        <v>335</v>
      </c>
      <c r="G475" s="166" t="s">
        <v>355</v>
      </c>
      <c r="H475" s="70">
        <f t="shared" si="77"/>
        <v>0</v>
      </c>
      <c r="I475" s="169" t="str">
        <f t="shared" si="78"/>
        <v/>
      </c>
      <c r="J475" s="70" t="str">
        <f t="shared" si="80"/>
        <v>1211Heat PumpR11R11R19Single</v>
      </c>
      <c r="M475" s="70"/>
      <c r="P475" s="81"/>
      <c r="AF475" s="70"/>
      <c r="AG475" s="81"/>
      <c r="AL475" s="134"/>
      <c r="AM475" s="134"/>
      <c r="AU475" s="132"/>
      <c r="AV475" s="133"/>
      <c r="AW475" s="134"/>
    </row>
    <row r="476" spans="1:49">
      <c r="A476" s="74">
        <v>1212</v>
      </c>
      <c r="B476" s="146" t="str">
        <f t="shared" si="79"/>
        <v>Heat PumpR11R11R19Double</v>
      </c>
      <c r="C476" s="170" t="s">
        <v>229</v>
      </c>
      <c r="D476" s="166" t="s">
        <v>334</v>
      </c>
      <c r="E476" s="166" t="s">
        <v>334</v>
      </c>
      <c r="F476" s="72" t="s">
        <v>335</v>
      </c>
      <c r="G476" s="72" t="s">
        <v>339</v>
      </c>
      <c r="H476" s="70">
        <f t="shared" si="77"/>
        <v>6881.5520000000006</v>
      </c>
      <c r="I476" s="169">
        <f t="shared" si="78"/>
        <v>6.4554539096001477E-3</v>
      </c>
      <c r="J476" s="70" t="str">
        <f t="shared" si="80"/>
        <v>1212Heat PumpR11R11R19Double</v>
      </c>
      <c r="M476" s="70"/>
      <c r="P476" s="81"/>
      <c r="AF476" s="70"/>
      <c r="AG476" s="81"/>
      <c r="AL476" s="134"/>
      <c r="AM476" s="134"/>
      <c r="AU476" s="132"/>
      <c r="AV476" s="133"/>
      <c r="AW476" s="134"/>
    </row>
    <row r="477" spans="1:49">
      <c r="A477" s="74">
        <v>1213</v>
      </c>
      <c r="B477" s="146" t="str">
        <f t="shared" si="79"/>
        <v>Heat PumpR11R11R19Better</v>
      </c>
      <c r="C477" s="170" t="s">
        <v>229</v>
      </c>
      <c r="D477" s="166" t="s">
        <v>334</v>
      </c>
      <c r="E477" s="166" t="s">
        <v>334</v>
      </c>
      <c r="F477" s="72" t="s">
        <v>335</v>
      </c>
      <c r="G477" s="72" t="s">
        <v>352</v>
      </c>
      <c r="H477" s="70">
        <f t="shared" si="77"/>
        <v>11490.329</v>
      </c>
      <c r="I477" s="169">
        <f t="shared" si="78"/>
        <v>1.0778860534025166E-2</v>
      </c>
      <c r="J477" s="70" t="str">
        <f t="shared" si="80"/>
        <v>1213Heat PumpR11R11R19Better</v>
      </c>
      <c r="M477" s="70"/>
      <c r="P477" s="81"/>
      <c r="AF477" s="70"/>
      <c r="AG477" s="81"/>
      <c r="AL477" s="134"/>
      <c r="AM477" s="134"/>
      <c r="AU477" s="132"/>
      <c r="AV477" s="133"/>
      <c r="AW477" s="134"/>
    </row>
    <row r="478" spans="1:49">
      <c r="A478" s="74">
        <v>1214</v>
      </c>
      <c r="B478" s="146" t="str">
        <f t="shared" si="79"/>
        <v>Heat PumpR11R11BetterSingle</v>
      </c>
      <c r="C478" s="170" t="s">
        <v>229</v>
      </c>
      <c r="D478" s="166" t="s">
        <v>334</v>
      </c>
      <c r="E478" s="166" t="s">
        <v>334</v>
      </c>
      <c r="F478" s="166" t="s">
        <v>352</v>
      </c>
      <c r="G478" s="166" t="s">
        <v>355</v>
      </c>
      <c r="H478" s="70">
        <f t="shared" si="77"/>
        <v>0</v>
      </c>
      <c r="I478" s="169" t="str">
        <f t="shared" si="78"/>
        <v/>
      </c>
      <c r="J478" s="70" t="str">
        <f t="shared" si="80"/>
        <v>1214Heat PumpR11R11BetterSingle</v>
      </c>
      <c r="M478" s="70"/>
      <c r="P478" s="81"/>
      <c r="AF478" s="70"/>
      <c r="AG478" s="81"/>
      <c r="AL478" s="134"/>
      <c r="AM478" s="134"/>
      <c r="AU478" s="132"/>
      <c r="AV478" s="133"/>
      <c r="AW478" s="134"/>
    </row>
    <row r="479" spans="1:49">
      <c r="A479" s="74">
        <v>1215</v>
      </c>
      <c r="B479" s="146" t="str">
        <f t="shared" si="79"/>
        <v>Heat PumpR11R11BetterDouble</v>
      </c>
      <c r="C479" s="170" t="s">
        <v>229</v>
      </c>
      <c r="D479" s="166" t="s">
        <v>334</v>
      </c>
      <c r="E479" s="166" t="s">
        <v>334</v>
      </c>
      <c r="F479" s="166" t="s">
        <v>352</v>
      </c>
      <c r="G479" s="72" t="s">
        <v>339</v>
      </c>
      <c r="H479" s="70">
        <f t="shared" si="77"/>
        <v>1925.059</v>
      </c>
      <c r="I479" s="169">
        <f t="shared" si="78"/>
        <v>1.8058614753998733E-3</v>
      </c>
      <c r="J479" s="70" t="str">
        <f t="shared" si="80"/>
        <v>1215Heat PumpR11R11BetterDouble</v>
      </c>
      <c r="M479" s="70"/>
      <c r="P479" s="81"/>
      <c r="AF479" s="70"/>
      <c r="AG479" s="81"/>
      <c r="AL479" s="134"/>
      <c r="AM479" s="134"/>
      <c r="AU479" s="132"/>
      <c r="AV479" s="133"/>
      <c r="AW479" s="134"/>
    </row>
    <row r="480" spans="1:49">
      <c r="A480" s="74">
        <v>1216</v>
      </c>
      <c r="B480" s="146" t="str">
        <f t="shared" si="79"/>
        <v>Heat PumpR11R11BetterBetter</v>
      </c>
      <c r="C480" s="170" t="s">
        <v>229</v>
      </c>
      <c r="D480" s="166" t="s">
        <v>334</v>
      </c>
      <c r="E480" s="166" t="s">
        <v>334</v>
      </c>
      <c r="F480" s="166" t="s">
        <v>352</v>
      </c>
      <c r="G480" s="166" t="s">
        <v>352</v>
      </c>
      <c r="H480" s="70">
        <f t="shared" si="77"/>
        <v>9091.1409999999996</v>
      </c>
      <c r="I480" s="169">
        <f t="shared" si="78"/>
        <v>8.5282276020258486E-3</v>
      </c>
      <c r="J480" s="70" t="str">
        <f t="shared" si="80"/>
        <v>1216Heat PumpR11R11BetterBetter</v>
      </c>
      <c r="M480" s="70"/>
      <c r="P480" s="81"/>
      <c r="AF480" s="70"/>
      <c r="AG480" s="81"/>
      <c r="AL480" s="134"/>
      <c r="AM480" s="134"/>
      <c r="AU480" s="132"/>
      <c r="AV480" s="133"/>
      <c r="AW480" s="134"/>
    </row>
    <row r="481" spans="1:49">
      <c r="A481" s="74">
        <v>1217</v>
      </c>
      <c r="B481" s="146" t="str">
        <f t="shared" si="79"/>
        <v>Heat PumpR19R0R0Single</v>
      </c>
      <c r="C481" s="170" t="s">
        <v>229</v>
      </c>
      <c r="D481" s="166" t="s">
        <v>335</v>
      </c>
      <c r="E481" s="166" t="s">
        <v>329</v>
      </c>
      <c r="F481" s="166" t="s">
        <v>329</v>
      </c>
      <c r="G481" s="166" t="s">
        <v>355</v>
      </c>
      <c r="H481" s="70">
        <f t="shared" si="77"/>
        <v>0</v>
      </c>
      <c r="I481" s="169" t="str">
        <f t="shared" si="78"/>
        <v/>
      </c>
      <c r="J481" s="70" t="str">
        <f t="shared" si="80"/>
        <v>1217Heat PumpR19R0R0Single</v>
      </c>
      <c r="M481" s="70"/>
      <c r="P481" s="81"/>
      <c r="AF481" s="70"/>
      <c r="AG481" s="81"/>
      <c r="AL481" s="134"/>
      <c r="AM481" s="134"/>
      <c r="AU481" s="132"/>
      <c r="AV481" s="133"/>
      <c r="AW481" s="134"/>
    </row>
    <row r="482" spans="1:49">
      <c r="A482" s="74">
        <v>1218</v>
      </c>
      <c r="B482" s="146" t="str">
        <f t="shared" si="79"/>
        <v>Heat PumpR19R0R0Double</v>
      </c>
      <c r="C482" s="170" t="s">
        <v>229</v>
      </c>
      <c r="D482" s="166" t="s">
        <v>335</v>
      </c>
      <c r="E482" s="166" t="s">
        <v>329</v>
      </c>
      <c r="F482" s="166" t="s">
        <v>329</v>
      </c>
      <c r="G482" s="72" t="s">
        <v>339</v>
      </c>
      <c r="H482" s="70">
        <f t="shared" si="77"/>
        <v>0</v>
      </c>
      <c r="I482" s="169" t="str">
        <f t="shared" si="78"/>
        <v/>
      </c>
      <c r="J482" s="70" t="str">
        <f t="shared" si="80"/>
        <v>1218Heat PumpR19R0R0Double</v>
      </c>
      <c r="M482" s="70"/>
      <c r="P482" s="81"/>
      <c r="AF482" s="70"/>
      <c r="AG482" s="81"/>
      <c r="AL482" s="134"/>
      <c r="AM482" s="134"/>
      <c r="AU482" s="132"/>
      <c r="AV482" s="133"/>
      <c r="AW482" s="134"/>
    </row>
    <row r="483" spans="1:49">
      <c r="A483" s="74">
        <v>1219</v>
      </c>
      <c r="B483" s="146" t="str">
        <f t="shared" si="79"/>
        <v>Heat PumpR19R0R0Better</v>
      </c>
      <c r="C483" s="170" t="s">
        <v>229</v>
      </c>
      <c r="D483" s="166" t="s">
        <v>335</v>
      </c>
      <c r="E483" s="166" t="s">
        <v>329</v>
      </c>
      <c r="F483" s="166" t="s">
        <v>329</v>
      </c>
      <c r="G483" s="72" t="s">
        <v>352</v>
      </c>
      <c r="H483" s="70">
        <f t="shared" si="77"/>
        <v>0</v>
      </c>
      <c r="I483" s="169" t="str">
        <f t="shared" si="78"/>
        <v/>
      </c>
      <c r="J483" s="70" t="str">
        <f t="shared" si="80"/>
        <v>1219Heat PumpR19R0R0Better</v>
      </c>
      <c r="M483" s="70"/>
      <c r="P483" s="81"/>
      <c r="AF483" s="70"/>
      <c r="AG483" s="81"/>
      <c r="AL483" s="134"/>
      <c r="AM483" s="134"/>
      <c r="AU483" s="132"/>
      <c r="AV483" s="133"/>
      <c r="AW483" s="134"/>
    </row>
    <row r="484" spans="1:49">
      <c r="A484" s="74">
        <v>1220</v>
      </c>
      <c r="B484" s="146" t="str">
        <f t="shared" si="79"/>
        <v>Heat PumpR19R0R19Single</v>
      </c>
      <c r="C484" s="170" t="s">
        <v>229</v>
      </c>
      <c r="D484" s="166" t="s">
        <v>335</v>
      </c>
      <c r="E484" s="166" t="s">
        <v>329</v>
      </c>
      <c r="F484" s="72" t="s">
        <v>335</v>
      </c>
      <c r="G484" s="166" t="s">
        <v>355</v>
      </c>
      <c r="H484" s="70">
        <f t="shared" si="77"/>
        <v>0</v>
      </c>
      <c r="I484" s="169" t="str">
        <f t="shared" si="78"/>
        <v/>
      </c>
      <c r="J484" s="70" t="str">
        <f t="shared" si="80"/>
        <v>1220Heat PumpR19R0R19Single</v>
      </c>
      <c r="M484" s="70"/>
      <c r="P484" s="81"/>
      <c r="AF484" s="70"/>
      <c r="AG484" s="81"/>
      <c r="AL484" s="134"/>
      <c r="AM484" s="134"/>
      <c r="AU484" s="132"/>
      <c r="AV484" s="133"/>
      <c r="AW484" s="134"/>
    </row>
    <row r="485" spans="1:49">
      <c r="A485" s="74">
        <v>1221</v>
      </c>
      <c r="B485" s="146" t="str">
        <f t="shared" si="79"/>
        <v>Heat PumpR19R0R19Double</v>
      </c>
      <c r="C485" s="170" t="s">
        <v>229</v>
      </c>
      <c r="D485" s="166" t="s">
        <v>335</v>
      </c>
      <c r="E485" s="166" t="s">
        <v>329</v>
      </c>
      <c r="F485" s="72" t="s">
        <v>335</v>
      </c>
      <c r="G485" s="72" t="s">
        <v>339</v>
      </c>
      <c r="H485" s="70">
        <f t="shared" si="77"/>
        <v>0</v>
      </c>
      <c r="I485" s="169" t="str">
        <f t="shared" si="78"/>
        <v/>
      </c>
      <c r="J485" s="70" t="str">
        <f t="shared" si="80"/>
        <v>1221Heat PumpR19R0R19Double</v>
      </c>
      <c r="M485" s="70"/>
      <c r="P485" s="81"/>
      <c r="AF485" s="70"/>
      <c r="AG485" s="81"/>
      <c r="AL485" s="134"/>
      <c r="AM485" s="134"/>
      <c r="AU485" s="132"/>
      <c r="AV485" s="133"/>
      <c r="AW485" s="134"/>
    </row>
    <row r="486" spans="1:49">
      <c r="A486" s="74">
        <v>1222</v>
      </c>
      <c r="B486" s="146" t="str">
        <f t="shared" si="79"/>
        <v>Heat PumpR19R0R19Better</v>
      </c>
      <c r="C486" s="170" t="s">
        <v>229</v>
      </c>
      <c r="D486" s="166" t="s">
        <v>335</v>
      </c>
      <c r="E486" s="166" t="s">
        <v>329</v>
      </c>
      <c r="F486" s="72" t="s">
        <v>335</v>
      </c>
      <c r="G486" s="166" t="s">
        <v>352</v>
      </c>
      <c r="H486" s="70">
        <f t="shared" si="77"/>
        <v>0</v>
      </c>
      <c r="I486" s="169" t="str">
        <f t="shared" si="78"/>
        <v/>
      </c>
      <c r="J486" s="70" t="str">
        <f t="shared" si="80"/>
        <v>1222Heat PumpR19R0R19Better</v>
      </c>
      <c r="M486" s="70"/>
      <c r="P486" s="81"/>
      <c r="AF486" s="70"/>
      <c r="AG486" s="81"/>
      <c r="AL486" s="134"/>
      <c r="AM486" s="134"/>
      <c r="AU486" s="132"/>
      <c r="AV486" s="133"/>
      <c r="AW486" s="134"/>
    </row>
    <row r="487" spans="1:49">
      <c r="A487" s="74">
        <v>1223</v>
      </c>
      <c r="B487" s="146" t="str">
        <f t="shared" si="79"/>
        <v>Heat PumpR19R0BetterSingle</v>
      </c>
      <c r="C487" s="170" t="s">
        <v>229</v>
      </c>
      <c r="D487" s="166" t="s">
        <v>335</v>
      </c>
      <c r="E487" s="166" t="s">
        <v>329</v>
      </c>
      <c r="F487" s="166" t="s">
        <v>352</v>
      </c>
      <c r="G487" s="166" t="s">
        <v>355</v>
      </c>
      <c r="H487" s="70">
        <f t="shared" si="77"/>
        <v>0</v>
      </c>
      <c r="I487" s="169" t="str">
        <f t="shared" si="78"/>
        <v/>
      </c>
      <c r="J487" s="70" t="str">
        <f t="shared" si="80"/>
        <v>1223Heat PumpR19R0BetterSingle</v>
      </c>
      <c r="M487" s="70"/>
      <c r="P487" s="81"/>
      <c r="AF487" s="70"/>
      <c r="AG487" s="81"/>
      <c r="AL487" s="134"/>
      <c r="AM487" s="134"/>
      <c r="AU487" s="132"/>
      <c r="AV487" s="133"/>
      <c r="AW487" s="134"/>
    </row>
    <row r="488" spans="1:49">
      <c r="A488" s="74">
        <v>1224</v>
      </c>
      <c r="B488" s="146" t="str">
        <f t="shared" si="79"/>
        <v>Heat PumpR19R0BetterDouble</v>
      </c>
      <c r="C488" s="170" t="s">
        <v>229</v>
      </c>
      <c r="D488" s="166" t="s">
        <v>335</v>
      </c>
      <c r="E488" s="166" t="s">
        <v>329</v>
      </c>
      <c r="F488" s="166" t="s">
        <v>352</v>
      </c>
      <c r="G488" s="72" t="s">
        <v>339</v>
      </c>
      <c r="H488" s="70">
        <f t="shared" si="77"/>
        <v>0</v>
      </c>
      <c r="I488" s="169" t="str">
        <f t="shared" si="78"/>
        <v/>
      </c>
      <c r="J488" s="70" t="str">
        <f t="shared" si="80"/>
        <v>1224Heat PumpR19R0BetterDouble</v>
      </c>
      <c r="M488" s="70"/>
      <c r="P488" s="81"/>
      <c r="AF488" s="70"/>
      <c r="AG488" s="81"/>
      <c r="AL488" s="134"/>
      <c r="AM488" s="134"/>
      <c r="AU488" s="132"/>
      <c r="AV488" s="133"/>
      <c r="AW488" s="134"/>
    </row>
    <row r="489" spans="1:49">
      <c r="A489" s="74">
        <v>1225</v>
      </c>
      <c r="B489" s="146" t="str">
        <f t="shared" si="79"/>
        <v>Heat PumpR19R0BetterBetter</v>
      </c>
      <c r="C489" s="170" t="s">
        <v>229</v>
      </c>
      <c r="D489" s="166" t="s">
        <v>335</v>
      </c>
      <c r="E489" s="166" t="s">
        <v>329</v>
      </c>
      <c r="F489" s="166" t="s">
        <v>352</v>
      </c>
      <c r="G489" s="72" t="s">
        <v>352</v>
      </c>
      <c r="H489" s="70">
        <f t="shared" si="77"/>
        <v>8264.9449999999997</v>
      </c>
      <c r="I489" s="169">
        <f t="shared" si="78"/>
        <v>7.7531887447599302E-3</v>
      </c>
      <c r="J489" s="70" t="str">
        <f t="shared" si="80"/>
        <v>1225Heat PumpR19R0BetterBetter</v>
      </c>
      <c r="M489" s="70"/>
      <c r="P489" s="81"/>
      <c r="AF489" s="70"/>
      <c r="AG489" s="81"/>
      <c r="AL489" s="134"/>
      <c r="AM489" s="134"/>
      <c r="AU489" s="132"/>
      <c r="AV489" s="133"/>
      <c r="AW489" s="134"/>
    </row>
    <row r="490" spans="1:49">
      <c r="A490" s="74">
        <v>1226</v>
      </c>
      <c r="B490" s="146" t="str">
        <f t="shared" si="79"/>
        <v>Heat PumpR19R11R0Single</v>
      </c>
      <c r="C490" s="170" t="s">
        <v>229</v>
      </c>
      <c r="D490" s="166" t="s">
        <v>335</v>
      </c>
      <c r="E490" s="166" t="s">
        <v>334</v>
      </c>
      <c r="F490" s="166" t="s">
        <v>329</v>
      </c>
      <c r="G490" s="166" t="s">
        <v>355</v>
      </c>
      <c r="H490" s="70">
        <f t="shared" si="77"/>
        <v>0</v>
      </c>
      <c r="I490" s="169" t="str">
        <f t="shared" si="78"/>
        <v/>
      </c>
      <c r="J490" s="70" t="str">
        <f t="shared" si="80"/>
        <v>1226Heat PumpR19R11R0Single</v>
      </c>
      <c r="M490" s="70"/>
      <c r="P490" s="81"/>
      <c r="AF490" s="70"/>
      <c r="AG490" s="81"/>
      <c r="AL490" s="134"/>
      <c r="AM490" s="134"/>
      <c r="AU490" s="132"/>
      <c r="AV490" s="133"/>
      <c r="AW490" s="134"/>
    </row>
    <row r="491" spans="1:49">
      <c r="A491" s="74">
        <v>1227</v>
      </c>
      <c r="B491" s="146" t="str">
        <f t="shared" si="79"/>
        <v>Heat PumpR19R11R0Double</v>
      </c>
      <c r="C491" s="170" t="s">
        <v>229</v>
      </c>
      <c r="D491" s="166" t="s">
        <v>335</v>
      </c>
      <c r="E491" s="166" t="s">
        <v>334</v>
      </c>
      <c r="F491" s="166" t="s">
        <v>329</v>
      </c>
      <c r="G491" s="72" t="s">
        <v>339</v>
      </c>
      <c r="H491" s="70">
        <f t="shared" si="77"/>
        <v>0</v>
      </c>
      <c r="I491" s="169" t="str">
        <f t="shared" si="78"/>
        <v/>
      </c>
      <c r="J491" s="70" t="str">
        <f t="shared" si="80"/>
        <v>1227Heat PumpR19R11R0Double</v>
      </c>
      <c r="M491" s="70"/>
      <c r="P491" s="81"/>
      <c r="AF491" s="70"/>
      <c r="AG491" s="81"/>
      <c r="AL491" s="134"/>
      <c r="AM491" s="134"/>
      <c r="AU491" s="132"/>
      <c r="AV491" s="133"/>
      <c r="AW491" s="134"/>
    </row>
    <row r="492" spans="1:49">
      <c r="A492" s="74">
        <v>1228</v>
      </c>
      <c r="B492" s="146" t="str">
        <f t="shared" si="79"/>
        <v>Heat PumpR19R11R0Better</v>
      </c>
      <c r="C492" s="170" t="s">
        <v>229</v>
      </c>
      <c r="D492" s="166" t="s">
        <v>335</v>
      </c>
      <c r="E492" s="166" t="s">
        <v>334</v>
      </c>
      <c r="F492" s="166" t="s">
        <v>329</v>
      </c>
      <c r="G492" s="166" t="s">
        <v>352</v>
      </c>
      <c r="H492" s="70">
        <f t="shared" si="77"/>
        <v>13145.656999999999</v>
      </c>
      <c r="I492" s="169">
        <f t="shared" si="78"/>
        <v>1.2331692454683556E-2</v>
      </c>
      <c r="J492" s="70" t="str">
        <f t="shared" si="80"/>
        <v>1228Heat PumpR19R11R0Better</v>
      </c>
      <c r="M492" s="70"/>
      <c r="P492" s="81"/>
      <c r="AF492" s="70"/>
      <c r="AG492" s="81"/>
      <c r="AL492" s="134"/>
      <c r="AM492" s="134"/>
      <c r="AU492" s="132"/>
      <c r="AV492" s="133"/>
      <c r="AW492" s="134"/>
    </row>
    <row r="493" spans="1:49">
      <c r="A493" s="74">
        <v>1229</v>
      </c>
      <c r="B493" s="146" t="str">
        <f t="shared" si="79"/>
        <v>Heat PumpR19R11R19Single</v>
      </c>
      <c r="C493" s="170" t="s">
        <v>229</v>
      </c>
      <c r="D493" s="166" t="s">
        <v>335</v>
      </c>
      <c r="E493" s="166" t="s">
        <v>334</v>
      </c>
      <c r="F493" s="72" t="s">
        <v>335</v>
      </c>
      <c r="G493" s="166" t="s">
        <v>355</v>
      </c>
      <c r="H493" s="70">
        <f t="shared" si="77"/>
        <v>0</v>
      </c>
      <c r="I493" s="169" t="str">
        <f t="shared" si="78"/>
        <v/>
      </c>
      <c r="J493" s="70" t="str">
        <f t="shared" si="80"/>
        <v>1229Heat PumpR19R11R19Single</v>
      </c>
      <c r="M493" s="70"/>
      <c r="P493" s="81"/>
      <c r="AF493" s="70"/>
      <c r="AG493" s="81"/>
      <c r="AL493" s="134"/>
      <c r="AM493" s="134"/>
      <c r="AU493" s="132"/>
      <c r="AV493" s="133"/>
      <c r="AW493" s="134"/>
    </row>
    <row r="494" spans="1:49">
      <c r="A494" s="74">
        <v>1230</v>
      </c>
      <c r="B494" s="146" t="str">
        <f t="shared" si="79"/>
        <v>Heat PumpR19R11R19Double</v>
      </c>
      <c r="C494" s="170" t="s">
        <v>229</v>
      </c>
      <c r="D494" s="166" t="s">
        <v>335</v>
      </c>
      <c r="E494" s="166" t="s">
        <v>334</v>
      </c>
      <c r="F494" s="72" t="s">
        <v>335</v>
      </c>
      <c r="G494" s="72" t="s">
        <v>339</v>
      </c>
      <c r="H494" s="70">
        <f t="shared" si="77"/>
        <v>0</v>
      </c>
      <c r="I494" s="169" t="str">
        <f t="shared" si="78"/>
        <v/>
      </c>
      <c r="J494" s="70" t="str">
        <f t="shared" si="80"/>
        <v>1230Heat PumpR19R11R19Double</v>
      </c>
      <c r="M494" s="70"/>
      <c r="P494" s="81"/>
      <c r="AF494" s="70"/>
      <c r="AG494" s="81"/>
      <c r="AL494" s="134"/>
      <c r="AM494" s="134"/>
      <c r="AU494" s="132"/>
      <c r="AV494" s="133"/>
      <c r="AW494" s="134"/>
    </row>
    <row r="495" spans="1:49">
      <c r="A495" s="74">
        <v>1231</v>
      </c>
      <c r="B495" s="146" t="str">
        <f t="shared" si="79"/>
        <v>Heat PumpR19R11R19Better</v>
      </c>
      <c r="C495" s="170" t="s">
        <v>229</v>
      </c>
      <c r="D495" s="166" t="s">
        <v>335</v>
      </c>
      <c r="E495" s="166" t="s">
        <v>334</v>
      </c>
      <c r="F495" s="72" t="s">
        <v>335</v>
      </c>
      <c r="G495" s="72" t="s">
        <v>352</v>
      </c>
      <c r="H495" s="70">
        <f t="shared" si="77"/>
        <v>7012.9089999999997</v>
      </c>
      <c r="I495" s="169">
        <f t="shared" si="78"/>
        <v>6.5786774294112806E-3</v>
      </c>
      <c r="J495" s="70" t="str">
        <f t="shared" si="80"/>
        <v>1231Heat PumpR19R11R19Better</v>
      </c>
      <c r="M495" s="70"/>
      <c r="P495" s="81"/>
      <c r="AF495" s="70"/>
      <c r="AG495" s="81"/>
      <c r="AL495" s="134"/>
      <c r="AM495" s="134"/>
      <c r="AU495" s="132"/>
      <c r="AV495" s="133"/>
      <c r="AW495" s="134"/>
    </row>
    <row r="496" spans="1:49">
      <c r="A496" s="74">
        <v>1232</v>
      </c>
      <c r="B496" s="146" t="str">
        <f t="shared" si="79"/>
        <v>Heat PumpR19R11BetterSingle</v>
      </c>
      <c r="C496" s="170" t="s">
        <v>229</v>
      </c>
      <c r="D496" s="166" t="s">
        <v>335</v>
      </c>
      <c r="E496" s="166" t="s">
        <v>334</v>
      </c>
      <c r="F496" s="166" t="s">
        <v>352</v>
      </c>
      <c r="G496" s="166" t="s">
        <v>355</v>
      </c>
      <c r="H496" s="70">
        <f t="shared" si="77"/>
        <v>0</v>
      </c>
      <c r="I496" s="169" t="str">
        <f t="shared" si="78"/>
        <v/>
      </c>
      <c r="J496" s="70" t="str">
        <f t="shared" si="80"/>
        <v>1232Heat PumpR19R11BetterSingle</v>
      </c>
      <c r="M496" s="70"/>
      <c r="P496" s="81"/>
      <c r="AF496" s="70"/>
      <c r="AG496" s="81"/>
      <c r="AL496" s="134"/>
      <c r="AM496" s="134"/>
      <c r="AU496" s="132"/>
      <c r="AV496" s="133"/>
      <c r="AW496" s="134"/>
    </row>
    <row r="497" spans="1:49">
      <c r="A497" s="74">
        <v>1233</v>
      </c>
      <c r="B497" s="146" t="str">
        <f t="shared" si="79"/>
        <v>Heat PumpR19R11BetterDouble</v>
      </c>
      <c r="C497" s="170" t="s">
        <v>229</v>
      </c>
      <c r="D497" s="166" t="s">
        <v>335</v>
      </c>
      <c r="E497" s="166" t="s">
        <v>334</v>
      </c>
      <c r="F497" s="166" t="s">
        <v>352</v>
      </c>
      <c r="G497" s="72" t="s">
        <v>339</v>
      </c>
      <c r="H497" s="70">
        <f t="shared" si="77"/>
        <v>0</v>
      </c>
      <c r="I497" s="169" t="str">
        <f t="shared" si="78"/>
        <v/>
      </c>
      <c r="J497" s="70" t="str">
        <f t="shared" si="80"/>
        <v>1233Heat PumpR19R11BetterDouble</v>
      </c>
      <c r="M497" s="70"/>
      <c r="P497" s="81"/>
      <c r="AF497" s="70"/>
      <c r="AG497" s="81"/>
      <c r="AL497" s="134"/>
      <c r="AM497" s="134"/>
      <c r="AU497" s="132"/>
      <c r="AV497" s="133"/>
      <c r="AW497" s="134"/>
    </row>
    <row r="498" spans="1:49">
      <c r="A498" s="74">
        <v>1234</v>
      </c>
      <c r="B498" s="146" t="str">
        <f t="shared" si="79"/>
        <v>Heat PumpR19R11BetterBetter</v>
      </c>
      <c r="C498" s="170" t="s">
        <v>229</v>
      </c>
      <c r="D498" s="166" t="s">
        <v>335</v>
      </c>
      <c r="E498" s="166" t="s">
        <v>334</v>
      </c>
      <c r="F498" s="166" t="s">
        <v>352</v>
      </c>
      <c r="G498" s="166" t="s">
        <v>352</v>
      </c>
      <c r="H498" s="70">
        <f t="shared" si="77"/>
        <v>33600.341</v>
      </c>
      <c r="I498" s="169">
        <f t="shared" si="78"/>
        <v>3.1519845039657934E-2</v>
      </c>
      <c r="J498" s="70" t="str">
        <f t="shared" si="80"/>
        <v>1234Heat PumpR19R11BetterBetter</v>
      </c>
      <c r="M498" s="70"/>
      <c r="P498" s="81"/>
      <c r="AF498" s="70"/>
      <c r="AG498" s="81"/>
      <c r="AL498" s="134"/>
      <c r="AM498" s="134"/>
      <c r="AU498" s="132"/>
      <c r="AV498" s="133"/>
      <c r="AW498" s="134"/>
    </row>
    <row r="499" spans="1:49">
      <c r="A499" s="74">
        <v>1235</v>
      </c>
      <c r="B499" s="146" t="str">
        <f t="shared" si="79"/>
        <v>Heat PumpR30R0R0Single</v>
      </c>
      <c r="C499" s="170" t="s">
        <v>229</v>
      </c>
      <c r="D499" s="166" t="s">
        <v>336</v>
      </c>
      <c r="E499" s="166" t="s">
        <v>329</v>
      </c>
      <c r="F499" s="166" t="s">
        <v>329</v>
      </c>
      <c r="G499" s="166" t="s">
        <v>355</v>
      </c>
      <c r="H499" s="70">
        <f t="shared" si="77"/>
        <v>0</v>
      </c>
      <c r="I499" s="169" t="str">
        <f t="shared" si="78"/>
        <v/>
      </c>
      <c r="J499" s="70" t="str">
        <f t="shared" si="80"/>
        <v>1235Heat PumpR30R0R0Single</v>
      </c>
      <c r="M499" s="70"/>
      <c r="P499" s="81"/>
      <c r="AF499" s="70"/>
      <c r="AG499" s="81"/>
      <c r="AL499" s="134"/>
      <c r="AM499" s="134"/>
      <c r="AU499" s="132"/>
      <c r="AV499" s="133"/>
      <c r="AW499" s="134"/>
    </row>
    <row r="500" spans="1:49">
      <c r="A500" s="74">
        <v>1236</v>
      </c>
      <c r="B500" s="146" t="str">
        <f t="shared" si="79"/>
        <v>Heat PumpR30R0R0Double</v>
      </c>
      <c r="C500" s="170" t="s">
        <v>229</v>
      </c>
      <c r="D500" s="166" t="s">
        <v>336</v>
      </c>
      <c r="E500" s="166" t="s">
        <v>329</v>
      </c>
      <c r="F500" s="166" t="s">
        <v>329</v>
      </c>
      <c r="G500" s="72" t="s">
        <v>339</v>
      </c>
      <c r="H500" s="70">
        <f t="shared" si="77"/>
        <v>0</v>
      </c>
      <c r="I500" s="169" t="str">
        <f t="shared" si="78"/>
        <v/>
      </c>
      <c r="J500" s="70" t="str">
        <f t="shared" si="80"/>
        <v>1236Heat PumpR30R0R0Double</v>
      </c>
      <c r="M500" s="70"/>
      <c r="P500" s="81"/>
      <c r="AF500" s="70"/>
      <c r="AG500" s="81"/>
      <c r="AL500" s="134"/>
      <c r="AM500" s="134"/>
      <c r="AU500" s="132"/>
      <c r="AV500" s="133"/>
      <c r="AW500" s="134"/>
    </row>
    <row r="501" spans="1:49">
      <c r="A501" s="74">
        <v>1237</v>
      </c>
      <c r="B501" s="146" t="str">
        <f t="shared" si="79"/>
        <v>Heat PumpR30R0R0Better</v>
      </c>
      <c r="C501" s="170" t="s">
        <v>229</v>
      </c>
      <c r="D501" s="166" t="s">
        <v>336</v>
      </c>
      <c r="E501" s="166" t="s">
        <v>329</v>
      </c>
      <c r="F501" s="166" t="s">
        <v>329</v>
      </c>
      <c r="G501" s="72" t="s">
        <v>352</v>
      </c>
      <c r="H501" s="70">
        <f t="shared" si="77"/>
        <v>0</v>
      </c>
      <c r="I501" s="169" t="str">
        <f t="shared" si="78"/>
        <v/>
      </c>
      <c r="J501" s="70" t="str">
        <f t="shared" si="80"/>
        <v>1237Heat PumpR30R0R0Better</v>
      </c>
      <c r="M501" s="70"/>
      <c r="P501" s="81"/>
      <c r="AF501" s="70"/>
      <c r="AG501" s="81"/>
      <c r="AL501" s="134"/>
      <c r="AM501" s="134"/>
      <c r="AU501" s="132"/>
      <c r="AV501" s="133"/>
      <c r="AW501" s="134"/>
    </row>
    <row r="502" spans="1:49">
      <c r="A502" s="74">
        <v>1238</v>
      </c>
      <c r="B502" s="146" t="str">
        <f t="shared" si="79"/>
        <v>Heat PumpR30R0R19Single</v>
      </c>
      <c r="C502" s="170" t="s">
        <v>229</v>
      </c>
      <c r="D502" s="166" t="s">
        <v>336</v>
      </c>
      <c r="E502" s="166" t="s">
        <v>329</v>
      </c>
      <c r="F502" s="72" t="s">
        <v>335</v>
      </c>
      <c r="G502" s="166" t="s">
        <v>355</v>
      </c>
      <c r="H502" s="70">
        <f t="shared" si="77"/>
        <v>0</v>
      </c>
      <c r="I502" s="169" t="str">
        <f t="shared" si="78"/>
        <v/>
      </c>
      <c r="J502" s="70" t="str">
        <f t="shared" si="80"/>
        <v>1238Heat PumpR30R0R19Single</v>
      </c>
      <c r="M502" s="70"/>
      <c r="P502" s="81"/>
      <c r="AF502" s="70"/>
      <c r="AG502" s="81"/>
      <c r="AL502" s="134"/>
      <c r="AM502" s="134"/>
      <c r="AU502" s="132"/>
      <c r="AV502" s="133"/>
      <c r="AW502" s="134"/>
    </row>
    <row r="503" spans="1:49">
      <c r="A503" s="74">
        <v>1239</v>
      </c>
      <c r="B503" s="146" t="str">
        <f t="shared" si="79"/>
        <v>Heat PumpR30R0R19Double</v>
      </c>
      <c r="C503" s="170" t="s">
        <v>229</v>
      </c>
      <c r="D503" s="166" t="s">
        <v>336</v>
      </c>
      <c r="E503" s="166" t="s">
        <v>329</v>
      </c>
      <c r="F503" s="72" t="s">
        <v>335</v>
      </c>
      <c r="G503" s="72" t="s">
        <v>339</v>
      </c>
      <c r="H503" s="70">
        <f t="shared" si="77"/>
        <v>0</v>
      </c>
      <c r="I503" s="169" t="str">
        <f t="shared" si="78"/>
        <v/>
      </c>
      <c r="J503" s="70" t="str">
        <f t="shared" si="80"/>
        <v>1239Heat PumpR30R0R19Double</v>
      </c>
      <c r="M503" s="70"/>
      <c r="P503" s="81"/>
      <c r="AF503" s="70"/>
      <c r="AG503" s="81"/>
      <c r="AL503" s="134"/>
      <c r="AM503" s="134"/>
      <c r="AU503" s="132"/>
      <c r="AV503" s="133"/>
      <c r="AW503" s="134"/>
    </row>
    <row r="504" spans="1:49">
      <c r="A504" s="74">
        <v>1240</v>
      </c>
      <c r="B504" s="146" t="str">
        <f t="shared" si="79"/>
        <v>Heat PumpR30R0R19Better</v>
      </c>
      <c r="C504" s="170" t="s">
        <v>229</v>
      </c>
      <c r="D504" s="166" t="s">
        <v>336</v>
      </c>
      <c r="E504" s="166" t="s">
        <v>329</v>
      </c>
      <c r="F504" s="72" t="s">
        <v>335</v>
      </c>
      <c r="G504" s="166" t="s">
        <v>352</v>
      </c>
      <c r="H504" s="70">
        <f t="shared" si="77"/>
        <v>0</v>
      </c>
      <c r="I504" s="169" t="str">
        <f t="shared" si="78"/>
        <v/>
      </c>
      <c r="J504" s="70" t="str">
        <f t="shared" si="80"/>
        <v>1240Heat PumpR30R0R19Better</v>
      </c>
      <c r="M504" s="70"/>
      <c r="P504" s="81"/>
      <c r="AF504" s="70"/>
      <c r="AG504" s="81"/>
      <c r="AL504" s="134"/>
      <c r="AM504" s="134"/>
      <c r="AU504" s="132"/>
      <c r="AV504" s="133"/>
      <c r="AW504" s="134"/>
    </row>
    <row r="505" spans="1:49">
      <c r="A505" s="74">
        <v>1241</v>
      </c>
      <c r="B505" s="146" t="str">
        <f t="shared" si="79"/>
        <v>Heat PumpR30R0BetterSingle</v>
      </c>
      <c r="C505" s="170" t="s">
        <v>229</v>
      </c>
      <c r="D505" s="166" t="s">
        <v>336</v>
      </c>
      <c r="E505" s="166" t="s">
        <v>329</v>
      </c>
      <c r="F505" s="166" t="s">
        <v>352</v>
      </c>
      <c r="G505" s="166" t="s">
        <v>355</v>
      </c>
      <c r="H505" s="70">
        <f t="shared" si="77"/>
        <v>0</v>
      </c>
      <c r="I505" s="169" t="str">
        <f t="shared" si="78"/>
        <v/>
      </c>
      <c r="J505" s="70" t="str">
        <f t="shared" si="80"/>
        <v>1241Heat PumpR30R0BetterSingle</v>
      </c>
      <c r="M505" s="70"/>
      <c r="P505" s="81"/>
      <c r="AF505" s="70"/>
      <c r="AG505" s="81"/>
      <c r="AL505" s="134"/>
      <c r="AM505" s="134"/>
      <c r="AU505" s="132"/>
      <c r="AV505" s="133"/>
      <c r="AW505" s="134"/>
    </row>
    <row r="506" spans="1:49">
      <c r="A506" s="74">
        <v>1242</v>
      </c>
      <c r="B506" s="146" t="str">
        <f t="shared" si="79"/>
        <v>Heat PumpR30R0BetterDouble</v>
      </c>
      <c r="C506" s="170" t="s">
        <v>229</v>
      </c>
      <c r="D506" s="166" t="s">
        <v>336</v>
      </c>
      <c r="E506" s="166" t="s">
        <v>329</v>
      </c>
      <c r="F506" s="166" t="s">
        <v>352</v>
      </c>
      <c r="G506" s="72" t="s">
        <v>339</v>
      </c>
      <c r="H506" s="70">
        <f t="shared" si="77"/>
        <v>0</v>
      </c>
      <c r="I506" s="169" t="str">
        <f t="shared" si="78"/>
        <v/>
      </c>
      <c r="J506" s="70" t="str">
        <f t="shared" si="80"/>
        <v>1242Heat PumpR30R0BetterDouble</v>
      </c>
      <c r="M506" s="70"/>
      <c r="P506" s="81"/>
      <c r="AF506" s="70"/>
      <c r="AG506" s="81"/>
      <c r="AL506" s="134"/>
      <c r="AM506" s="134"/>
      <c r="AU506" s="132"/>
      <c r="AV506" s="133"/>
      <c r="AW506" s="134"/>
    </row>
    <row r="507" spans="1:49">
      <c r="A507" s="74">
        <v>1243</v>
      </c>
      <c r="B507" s="146" t="str">
        <f t="shared" si="79"/>
        <v>Heat PumpR30R0BetterBetter</v>
      </c>
      <c r="C507" s="170" t="s">
        <v>229</v>
      </c>
      <c r="D507" s="166" t="s">
        <v>336</v>
      </c>
      <c r="E507" s="166" t="s">
        <v>329</v>
      </c>
      <c r="F507" s="166" t="s">
        <v>352</v>
      </c>
      <c r="G507" s="72" t="s">
        <v>352</v>
      </c>
      <c r="H507" s="70">
        <f t="shared" si="77"/>
        <v>0</v>
      </c>
      <c r="I507" s="169" t="str">
        <f t="shared" si="78"/>
        <v/>
      </c>
      <c r="J507" s="70" t="str">
        <f t="shared" si="80"/>
        <v>1243Heat PumpR30R0BetterBetter</v>
      </c>
      <c r="M507" s="70"/>
      <c r="P507" s="81"/>
      <c r="AF507" s="70"/>
      <c r="AG507" s="81"/>
      <c r="AL507" s="134"/>
      <c r="AM507" s="134"/>
      <c r="AU507" s="132"/>
      <c r="AV507" s="133"/>
      <c r="AW507" s="134"/>
    </row>
    <row r="508" spans="1:49">
      <c r="A508" s="74">
        <v>1244</v>
      </c>
      <c r="B508" s="146" t="str">
        <f t="shared" si="79"/>
        <v>Heat PumpR30R11R0Single</v>
      </c>
      <c r="C508" s="170" t="s">
        <v>229</v>
      </c>
      <c r="D508" s="166" t="s">
        <v>336</v>
      </c>
      <c r="E508" s="166" t="s">
        <v>334</v>
      </c>
      <c r="F508" s="166" t="s">
        <v>329</v>
      </c>
      <c r="G508" s="166" t="s">
        <v>355</v>
      </c>
      <c r="H508" s="70">
        <f t="shared" si="77"/>
        <v>0</v>
      </c>
      <c r="I508" s="169" t="str">
        <f t="shared" si="78"/>
        <v/>
      </c>
      <c r="J508" s="70" t="str">
        <f t="shared" si="80"/>
        <v>1244Heat PumpR30R11R0Single</v>
      </c>
      <c r="M508" s="70"/>
      <c r="AF508" s="70"/>
      <c r="AG508" s="81"/>
      <c r="AL508" s="134"/>
      <c r="AM508" s="134"/>
      <c r="AU508" s="132"/>
      <c r="AV508" s="133"/>
      <c r="AW508" s="134"/>
    </row>
    <row r="509" spans="1:49">
      <c r="A509" s="74">
        <v>1245</v>
      </c>
      <c r="B509" s="146" t="str">
        <f t="shared" si="79"/>
        <v>Heat PumpR30R11R0Double</v>
      </c>
      <c r="C509" s="170" t="s">
        <v>229</v>
      </c>
      <c r="D509" s="166" t="s">
        <v>336</v>
      </c>
      <c r="E509" s="166" t="s">
        <v>334</v>
      </c>
      <c r="F509" s="166" t="s">
        <v>329</v>
      </c>
      <c r="G509" s="72" t="s">
        <v>339</v>
      </c>
      <c r="H509" s="70">
        <f t="shared" si="77"/>
        <v>0</v>
      </c>
      <c r="I509" s="169" t="str">
        <f t="shared" si="78"/>
        <v/>
      </c>
      <c r="J509" s="70" t="str">
        <f t="shared" si="80"/>
        <v>1245Heat PumpR30R11R0Double</v>
      </c>
      <c r="M509" s="70"/>
      <c r="AF509" s="70"/>
      <c r="AG509" s="81"/>
      <c r="AL509" s="134"/>
      <c r="AM509" s="134"/>
      <c r="AU509" s="132"/>
      <c r="AV509" s="133"/>
      <c r="AW509" s="134"/>
    </row>
    <row r="510" spans="1:49">
      <c r="A510" s="74">
        <v>1246</v>
      </c>
      <c r="B510" s="146" t="str">
        <f t="shared" si="79"/>
        <v>Heat PumpR30R11R0Better</v>
      </c>
      <c r="C510" s="170" t="s">
        <v>229</v>
      </c>
      <c r="D510" s="166" t="s">
        <v>336</v>
      </c>
      <c r="E510" s="166" t="s">
        <v>334</v>
      </c>
      <c r="F510" s="166" t="s">
        <v>329</v>
      </c>
      <c r="G510" s="166" t="s">
        <v>352</v>
      </c>
      <c r="H510" s="70">
        <f t="shared" si="77"/>
        <v>10094.356</v>
      </c>
      <c r="I510" s="169">
        <f t="shared" si="78"/>
        <v>9.4693246385547467E-3</v>
      </c>
      <c r="J510" s="70" t="str">
        <f t="shared" si="80"/>
        <v>1246Heat PumpR30R11R0Better</v>
      </c>
      <c r="M510" s="70"/>
      <c r="AF510" s="70"/>
      <c r="AG510" s="81"/>
      <c r="AL510" s="134"/>
      <c r="AM510" s="134"/>
      <c r="AU510" s="132"/>
      <c r="AV510" s="133"/>
      <c r="AW510" s="134"/>
    </row>
    <row r="511" spans="1:49">
      <c r="A511" s="74">
        <v>1247</v>
      </c>
      <c r="B511" s="146" t="str">
        <f t="shared" si="79"/>
        <v>Heat PumpR30R11R19Single</v>
      </c>
      <c r="C511" s="170" t="s">
        <v>229</v>
      </c>
      <c r="D511" s="166" t="s">
        <v>336</v>
      </c>
      <c r="E511" s="166" t="s">
        <v>334</v>
      </c>
      <c r="F511" s="72" t="s">
        <v>335</v>
      </c>
      <c r="G511" s="166" t="s">
        <v>355</v>
      </c>
      <c r="H511" s="70">
        <f t="shared" si="77"/>
        <v>1612.692</v>
      </c>
      <c r="I511" s="169">
        <f t="shared" si="78"/>
        <v>1.5128358946326179E-3</v>
      </c>
      <c r="J511" s="70" t="str">
        <f t="shared" si="80"/>
        <v>1247Heat PumpR30R11R19Single</v>
      </c>
      <c r="M511" s="70"/>
      <c r="AF511" s="70"/>
      <c r="AG511" s="81"/>
      <c r="AL511" s="134"/>
      <c r="AM511" s="134"/>
      <c r="AU511" s="132"/>
      <c r="AV511" s="133"/>
      <c r="AW511" s="134"/>
    </row>
    <row r="512" spans="1:49">
      <c r="A512" s="74">
        <v>1248</v>
      </c>
      <c r="B512" s="146" t="str">
        <f t="shared" si="79"/>
        <v>Heat PumpR30R11R19Double</v>
      </c>
      <c r="C512" s="170" t="s">
        <v>229</v>
      </c>
      <c r="D512" s="166" t="s">
        <v>336</v>
      </c>
      <c r="E512" s="166" t="s">
        <v>334</v>
      </c>
      <c r="F512" s="72" t="s">
        <v>335</v>
      </c>
      <c r="G512" s="72" t="s">
        <v>339</v>
      </c>
      <c r="H512" s="70">
        <f t="shared" si="77"/>
        <v>0</v>
      </c>
      <c r="I512" s="169" t="str">
        <f t="shared" si="78"/>
        <v/>
      </c>
      <c r="J512" s="70" t="str">
        <f t="shared" si="80"/>
        <v>1248Heat PumpR30R11R19Double</v>
      </c>
      <c r="M512" s="70"/>
      <c r="AF512" s="70"/>
      <c r="AG512" s="81"/>
      <c r="AL512" s="134"/>
      <c r="AM512" s="134"/>
      <c r="AU512" s="132"/>
      <c r="AV512" s="133"/>
      <c r="AW512" s="134"/>
    </row>
    <row r="513" spans="1:49">
      <c r="A513" s="74">
        <v>1249</v>
      </c>
      <c r="B513" s="146" t="str">
        <f t="shared" si="79"/>
        <v>Heat PumpR30R11R19Better</v>
      </c>
      <c r="C513" s="170" t="s">
        <v>229</v>
      </c>
      <c r="D513" s="166" t="s">
        <v>336</v>
      </c>
      <c r="E513" s="166" t="s">
        <v>334</v>
      </c>
      <c r="F513" s="72" t="s">
        <v>335</v>
      </c>
      <c r="G513" s="72" t="s">
        <v>352</v>
      </c>
      <c r="H513" s="70">
        <f t="shared" si="77"/>
        <v>0</v>
      </c>
      <c r="I513" s="169" t="str">
        <f t="shared" si="78"/>
        <v/>
      </c>
      <c r="J513" s="70" t="str">
        <f t="shared" si="80"/>
        <v>1249Heat PumpR30R11R19Better</v>
      </c>
      <c r="M513" s="70"/>
      <c r="AF513" s="70"/>
      <c r="AG513" s="81"/>
      <c r="AL513" s="134"/>
      <c r="AM513" s="134"/>
      <c r="AU513" s="132"/>
      <c r="AV513" s="133"/>
      <c r="AW513" s="134"/>
    </row>
    <row r="514" spans="1:49">
      <c r="A514" s="74">
        <v>1250</v>
      </c>
      <c r="B514" s="146" t="str">
        <f t="shared" si="79"/>
        <v>Heat PumpR30R11BetterSingle</v>
      </c>
      <c r="C514" s="170" t="s">
        <v>229</v>
      </c>
      <c r="D514" s="166" t="s">
        <v>336</v>
      </c>
      <c r="E514" s="166" t="s">
        <v>334</v>
      </c>
      <c r="F514" s="166" t="s">
        <v>352</v>
      </c>
      <c r="G514" s="166" t="s">
        <v>355</v>
      </c>
      <c r="H514" s="70">
        <f t="shared" si="77"/>
        <v>0</v>
      </c>
      <c r="I514" s="169" t="str">
        <f t="shared" si="78"/>
        <v/>
      </c>
      <c r="J514" s="70" t="str">
        <f t="shared" si="80"/>
        <v>1250Heat PumpR30R11BetterSingle</v>
      </c>
      <c r="M514" s="70"/>
      <c r="AF514" s="70"/>
      <c r="AG514" s="81"/>
      <c r="AL514" s="134"/>
      <c r="AM514" s="134"/>
      <c r="AU514" s="132"/>
      <c r="AV514" s="133"/>
      <c r="AW514" s="134"/>
    </row>
    <row r="515" spans="1:49">
      <c r="A515" s="74">
        <v>1251</v>
      </c>
      <c r="B515" s="146" t="str">
        <f t="shared" si="79"/>
        <v>Heat PumpR30R11BetterDouble</v>
      </c>
      <c r="C515" s="170" t="s">
        <v>229</v>
      </c>
      <c r="D515" s="166" t="s">
        <v>336</v>
      </c>
      <c r="E515" s="166" t="s">
        <v>334</v>
      </c>
      <c r="F515" s="166" t="s">
        <v>352</v>
      </c>
      <c r="G515" s="72" t="s">
        <v>339</v>
      </c>
      <c r="H515" s="70">
        <f t="shared" si="77"/>
        <v>0</v>
      </c>
      <c r="I515" s="169" t="str">
        <f t="shared" si="78"/>
        <v/>
      </c>
      <c r="J515" s="70" t="str">
        <f t="shared" si="80"/>
        <v>1251Heat PumpR30R11BetterDouble</v>
      </c>
      <c r="M515" s="70"/>
      <c r="AF515" s="70"/>
      <c r="AG515" s="81"/>
      <c r="AL515" s="134"/>
      <c r="AM515" s="134"/>
      <c r="AU515" s="132"/>
      <c r="AV515" s="133"/>
      <c r="AW515" s="134"/>
    </row>
    <row r="516" spans="1:49">
      <c r="A516" s="74">
        <v>1252</v>
      </c>
      <c r="B516" s="146" t="str">
        <f t="shared" si="79"/>
        <v>Heat PumpR30R11BetterBetter</v>
      </c>
      <c r="C516" s="170" t="s">
        <v>229</v>
      </c>
      <c r="D516" s="166" t="s">
        <v>336</v>
      </c>
      <c r="E516" s="166" t="s">
        <v>334</v>
      </c>
      <c r="F516" s="166" t="s">
        <v>352</v>
      </c>
      <c r="G516" s="166" t="s">
        <v>352</v>
      </c>
      <c r="H516" s="70">
        <f t="shared" si="77"/>
        <v>19962.073</v>
      </c>
      <c r="I516" s="169">
        <f t="shared" si="78"/>
        <v>1.8726043513378018E-2</v>
      </c>
      <c r="J516" s="70" t="str">
        <f t="shared" si="80"/>
        <v>1252Heat PumpR30R11BetterBetter</v>
      </c>
      <c r="M516" s="70"/>
      <c r="AF516" s="70"/>
      <c r="AG516" s="81"/>
      <c r="AL516" s="134"/>
      <c r="AM516" s="134"/>
      <c r="AU516" s="132"/>
      <c r="AV516" s="133"/>
      <c r="AW516" s="134"/>
    </row>
    <row r="517" spans="1:49">
      <c r="A517" s="74">
        <v>1253</v>
      </c>
      <c r="B517" s="146" t="str">
        <f t="shared" si="79"/>
        <v>Heat PumpR38R0R0Single</v>
      </c>
      <c r="C517" s="170" t="s">
        <v>229</v>
      </c>
      <c r="D517" s="166" t="s">
        <v>331</v>
      </c>
      <c r="E517" s="166" t="s">
        <v>329</v>
      </c>
      <c r="F517" s="166" t="s">
        <v>329</v>
      </c>
      <c r="G517" s="166" t="s">
        <v>355</v>
      </c>
      <c r="H517" s="70">
        <f t="shared" si="77"/>
        <v>0</v>
      </c>
      <c r="I517" s="169" t="str">
        <f t="shared" si="78"/>
        <v/>
      </c>
      <c r="J517" s="70" t="str">
        <f t="shared" si="80"/>
        <v>1253Heat PumpR38R0R0Single</v>
      </c>
      <c r="M517" s="70"/>
      <c r="AF517" s="70"/>
      <c r="AG517" s="81"/>
      <c r="AL517" s="134"/>
      <c r="AM517" s="134"/>
      <c r="AU517" s="132"/>
      <c r="AV517" s="133"/>
      <c r="AW517" s="134"/>
    </row>
    <row r="518" spans="1:49">
      <c r="A518" s="74">
        <v>1254</v>
      </c>
      <c r="B518" s="146" t="str">
        <f t="shared" si="79"/>
        <v>Heat PumpR38R0R0Double</v>
      </c>
      <c r="C518" s="170" t="s">
        <v>229</v>
      </c>
      <c r="D518" s="166" t="s">
        <v>331</v>
      </c>
      <c r="E518" s="166" t="s">
        <v>329</v>
      </c>
      <c r="F518" s="166" t="s">
        <v>329</v>
      </c>
      <c r="G518" s="72" t="s">
        <v>339</v>
      </c>
      <c r="H518" s="70">
        <f t="shared" si="77"/>
        <v>0</v>
      </c>
      <c r="I518" s="169" t="str">
        <f t="shared" si="78"/>
        <v/>
      </c>
      <c r="J518" s="70" t="str">
        <f t="shared" si="80"/>
        <v>1254Heat PumpR38R0R0Double</v>
      </c>
      <c r="M518" s="70"/>
      <c r="AF518" s="70"/>
      <c r="AG518" s="81"/>
      <c r="AL518" s="134"/>
      <c r="AM518" s="134"/>
      <c r="AU518" s="132"/>
      <c r="AV518" s="133"/>
      <c r="AW518" s="134"/>
    </row>
    <row r="519" spans="1:49">
      <c r="A519" s="74">
        <v>1255</v>
      </c>
      <c r="B519" s="146" t="str">
        <f t="shared" si="79"/>
        <v>Heat PumpR38R0R0Better</v>
      </c>
      <c r="C519" s="170" t="s">
        <v>229</v>
      </c>
      <c r="D519" s="166" t="s">
        <v>331</v>
      </c>
      <c r="E519" s="166" t="s">
        <v>329</v>
      </c>
      <c r="F519" s="166" t="s">
        <v>329</v>
      </c>
      <c r="G519" s="72" t="s">
        <v>352</v>
      </c>
      <c r="H519" s="70">
        <f t="shared" si="77"/>
        <v>0</v>
      </c>
      <c r="I519" s="169" t="str">
        <f t="shared" si="78"/>
        <v/>
      </c>
      <c r="J519" s="70" t="str">
        <f t="shared" si="80"/>
        <v>1255Heat PumpR38R0R0Better</v>
      </c>
      <c r="M519" s="70"/>
      <c r="AF519" s="70"/>
      <c r="AG519" s="81"/>
      <c r="AL519" s="134"/>
      <c r="AM519" s="134"/>
      <c r="AU519" s="132"/>
      <c r="AV519" s="133"/>
      <c r="AW519" s="134"/>
    </row>
    <row r="520" spans="1:49">
      <c r="A520" s="74">
        <v>1256</v>
      </c>
      <c r="B520" s="146" t="str">
        <f t="shared" si="79"/>
        <v>Heat PumpR38R0R19Single</v>
      </c>
      <c r="C520" s="170" t="s">
        <v>229</v>
      </c>
      <c r="D520" s="166" t="s">
        <v>331</v>
      </c>
      <c r="E520" s="166" t="s">
        <v>329</v>
      </c>
      <c r="F520" s="72" t="s">
        <v>335</v>
      </c>
      <c r="G520" s="166" t="s">
        <v>355</v>
      </c>
      <c r="H520" s="70">
        <f t="shared" si="77"/>
        <v>0</v>
      </c>
      <c r="I520" s="169" t="str">
        <f t="shared" si="78"/>
        <v/>
      </c>
      <c r="J520" s="70" t="str">
        <f t="shared" si="80"/>
        <v>1256Heat PumpR38R0R19Single</v>
      </c>
      <c r="M520" s="70"/>
      <c r="AF520" s="70"/>
      <c r="AG520" s="81"/>
      <c r="AL520" s="134"/>
      <c r="AM520" s="134"/>
      <c r="AU520" s="132"/>
      <c r="AV520" s="133"/>
      <c r="AW520" s="134"/>
    </row>
    <row r="521" spans="1:49">
      <c r="A521" s="74">
        <v>1257</v>
      </c>
      <c r="B521" s="146" t="str">
        <f t="shared" si="79"/>
        <v>Heat PumpR38R0R19Double</v>
      </c>
      <c r="C521" s="170" t="s">
        <v>229</v>
      </c>
      <c r="D521" s="166" t="s">
        <v>331</v>
      </c>
      <c r="E521" s="166" t="s">
        <v>329</v>
      </c>
      <c r="F521" s="72" t="s">
        <v>335</v>
      </c>
      <c r="G521" s="72" t="s">
        <v>339</v>
      </c>
      <c r="H521" s="70">
        <f t="shared" ref="H521:H584" si="81">SUMIFS($I$755:$I$1283,$O$755:$O$1283,B521,$J$755:$J$1283,"keep")</f>
        <v>0</v>
      </c>
      <c r="I521" s="169" t="str">
        <f t="shared" ref="I521:I584" si="82">IF(H521&gt;0,H521/SUM($H$265:$H$714),"")</f>
        <v/>
      </c>
      <c r="J521" s="70" t="str">
        <f t="shared" si="80"/>
        <v>1257Heat PumpR38R0R19Double</v>
      </c>
      <c r="M521" s="70"/>
      <c r="AF521" s="70"/>
      <c r="AG521" s="81"/>
      <c r="AL521" s="134"/>
      <c r="AM521" s="134"/>
      <c r="AU521" s="132"/>
      <c r="AV521" s="133"/>
      <c r="AW521" s="134"/>
    </row>
    <row r="522" spans="1:49">
      <c r="A522" s="74">
        <v>1258</v>
      </c>
      <c r="B522" s="146" t="str">
        <f t="shared" ref="B522:B585" si="83">C522&amp;D522&amp;E522&amp;F522&amp;G522</f>
        <v>Heat PumpR38R0R19Better</v>
      </c>
      <c r="C522" s="170" t="s">
        <v>229</v>
      </c>
      <c r="D522" s="166" t="s">
        <v>331</v>
      </c>
      <c r="E522" s="166" t="s">
        <v>329</v>
      </c>
      <c r="F522" s="72" t="s">
        <v>335</v>
      </c>
      <c r="G522" s="166" t="s">
        <v>352</v>
      </c>
      <c r="H522" s="70">
        <f t="shared" si="81"/>
        <v>0</v>
      </c>
      <c r="I522" s="169" t="str">
        <f t="shared" si="82"/>
        <v/>
      </c>
      <c r="J522" s="70" t="str">
        <f t="shared" ref="J522:J585" si="84">A522&amp;B522</f>
        <v>1258Heat PumpR38R0R19Better</v>
      </c>
      <c r="M522" s="70"/>
      <c r="AF522" s="70"/>
      <c r="AG522" s="81"/>
      <c r="AL522" s="134"/>
      <c r="AM522" s="134"/>
      <c r="AU522" s="132"/>
      <c r="AV522" s="133"/>
      <c r="AW522" s="134"/>
    </row>
    <row r="523" spans="1:49">
      <c r="A523" s="74">
        <v>1259</v>
      </c>
      <c r="B523" s="146" t="str">
        <f t="shared" si="83"/>
        <v>Heat PumpR38R0BetterSingle</v>
      </c>
      <c r="C523" s="170" t="s">
        <v>229</v>
      </c>
      <c r="D523" s="166" t="s">
        <v>331</v>
      </c>
      <c r="E523" s="166" t="s">
        <v>329</v>
      </c>
      <c r="F523" s="166" t="s">
        <v>352</v>
      </c>
      <c r="G523" s="166" t="s">
        <v>355</v>
      </c>
      <c r="H523" s="70">
        <f t="shared" si="81"/>
        <v>0</v>
      </c>
      <c r="I523" s="169" t="str">
        <f t="shared" si="82"/>
        <v/>
      </c>
      <c r="J523" s="70" t="str">
        <f t="shared" si="84"/>
        <v>1259Heat PumpR38R0BetterSingle</v>
      </c>
      <c r="M523" s="70"/>
      <c r="AF523" s="70"/>
      <c r="AG523" s="81"/>
      <c r="AL523" s="134"/>
      <c r="AM523" s="134"/>
      <c r="AU523" s="132"/>
      <c r="AV523" s="133"/>
      <c r="AW523" s="134"/>
    </row>
    <row r="524" spans="1:49">
      <c r="A524" s="74">
        <v>1260</v>
      </c>
      <c r="B524" s="146" t="str">
        <f t="shared" si="83"/>
        <v>Heat PumpR38R0BetterDouble</v>
      </c>
      <c r="C524" s="170" t="s">
        <v>229</v>
      </c>
      <c r="D524" s="166" t="s">
        <v>331</v>
      </c>
      <c r="E524" s="166" t="s">
        <v>329</v>
      </c>
      <c r="F524" s="166" t="s">
        <v>352</v>
      </c>
      <c r="G524" s="72" t="s">
        <v>339</v>
      </c>
      <c r="H524" s="70">
        <f t="shared" si="81"/>
        <v>0</v>
      </c>
      <c r="I524" s="169" t="str">
        <f t="shared" si="82"/>
        <v/>
      </c>
      <c r="J524" s="70" t="str">
        <f t="shared" si="84"/>
        <v>1260Heat PumpR38R0BetterDouble</v>
      </c>
      <c r="M524" s="70"/>
      <c r="AF524" s="70"/>
      <c r="AG524" s="81"/>
      <c r="AL524" s="134"/>
      <c r="AM524" s="134"/>
      <c r="AU524" s="132"/>
      <c r="AV524" s="133"/>
      <c r="AW524" s="134"/>
    </row>
    <row r="525" spans="1:49">
      <c r="A525" s="74">
        <v>1261</v>
      </c>
      <c r="B525" s="146" t="str">
        <f t="shared" si="83"/>
        <v>Heat PumpR38R0BetterBetter</v>
      </c>
      <c r="C525" s="170" t="s">
        <v>229</v>
      </c>
      <c r="D525" s="166" t="s">
        <v>331</v>
      </c>
      <c r="E525" s="166" t="s">
        <v>329</v>
      </c>
      <c r="F525" s="166" t="s">
        <v>352</v>
      </c>
      <c r="G525" s="72" t="s">
        <v>352</v>
      </c>
      <c r="H525" s="70">
        <f t="shared" si="81"/>
        <v>1150.8789999999999</v>
      </c>
      <c r="I525" s="169">
        <f t="shared" si="82"/>
        <v>1.0796178449318855E-3</v>
      </c>
      <c r="J525" s="70" t="str">
        <f t="shared" si="84"/>
        <v>1261Heat PumpR38R0BetterBetter</v>
      </c>
      <c r="M525" s="70"/>
      <c r="AF525" s="70"/>
      <c r="AG525" s="81"/>
      <c r="AL525" s="134"/>
      <c r="AM525" s="134"/>
      <c r="AU525" s="132"/>
      <c r="AV525" s="133"/>
      <c r="AW525" s="134"/>
    </row>
    <row r="526" spans="1:49">
      <c r="A526" s="74">
        <v>1262</v>
      </c>
      <c r="B526" s="146" t="str">
        <f t="shared" si="83"/>
        <v>Heat PumpR38R11R0Single</v>
      </c>
      <c r="C526" s="170" t="s">
        <v>229</v>
      </c>
      <c r="D526" s="166" t="s">
        <v>331</v>
      </c>
      <c r="E526" s="166" t="s">
        <v>334</v>
      </c>
      <c r="F526" s="166" t="s">
        <v>329</v>
      </c>
      <c r="G526" s="166" t="s">
        <v>355</v>
      </c>
      <c r="H526" s="70">
        <f t="shared" si="81"/>
        <v>0</v>
      </c>
      <c r="I526" s="169" t="str">
        <f t="shared" si="82"/>
        <v/>
      </c>
      <c r="J526" s="70" t="str">
        <f t="shared" si="84"/>
        <v>1262Heat PumpR38R11R0Single</v>
      </c>
      <c r="M526" s="70"/>
      <c r="AF526" s="70"/>
      <c r="AG526" s="81"/>
      <c r="AL526" s="134"/>
      <c r="AM526" s="134"/>
      <c r="AU526" s="132"/>
      <c r="AV526" s="133"/>
      <c r="AW526" s="134"/>
    </row>
    <row r="527" spans="1:49">
      <c r="A527" s="74">
        <v>1263</v>
      </c>
      <c r="B527" s="146" t="str">
        <f t="shared" si="83"/>
        <v>Heat PumpR38R11R0Double</v>
      </c>
      <c r="C527" s="170" t="s">
        <v>229</v>
      </c>
      <c r="D527" s="166" t="s">
        <v>331</v>
      </c>
      <c r="E527" s="166" t="s">
        <v>334</v>
      </c>
      <c r="F527" s="166" t="s">
        <v>329</v>
      </c>
      <c r="G527" s="72" t="s">
        <v>339</v>
      </c>
      <c r="H527" s="70">
        <f t="shared" si="81"/>
        <v>0</v>
      </c>
      <c r="I527" s="169" t="str">
        <f t="shared" si="82"/>
        <v/>
      </c>
      <c r="J527" s="70" t="str">
        <f t="shared" si="84"/>
        <v>1263Heat PumpR38R11R0Double</v>
      </c>
      <c r="M527" s="70"/>
      <c r="AF527" s="70"/>
      <c r="AG527" s="81"/>
      <c r="AL527" s="134"/>
      <c r="AM527" s="134"/>
      <c r="AU527" s="132"/>
      <c r="AV527" s="133"/>
      <c r="AW527" s="134"/>
    </row>
    <row r="528" spans="1:49">
      <c r="A528" s="74">
        <v>1264</v>
      </c>
      <c r="B528" s="146" t="str">
        <f t="shared" si="83"/>
        <v>Heat PumpR38R11R0Better</v>
      </c>
      <c r="C528" s="170" t="s">
        <v>229</v>
      </c>
      <c r="D528" s="166" t="s">
        <v>331</v>
      </c>
      <c r="E528" s="166" t="s">
        <v>334</v>
      </c>
      <c r="F528" s="166" t="s">
        <v>329</v>
      </c>
      <c r="G528" s="166" t="s">
        <v>352</v>
      </c>
      <c r="H528" s="70">
        <f t="shared" si="81"/>
        <v>34358.57</v>
      </c>
      <c r="I528" s="169">
        <f t="shared" si="82"/>
        <v>3.2231125338407718E-2</v>
      </c>
      <c r="J528" s="70" t="str">
        <f t="shared" si="84"/>
        <v>1264Heat PumpR38R11R0Better</v>
      </c>
      <c r="M528" s="70"/>
      <c r="AF528" s="70"/>
      <c r="AG528" s="81"/>
      <c r="AL528" s="134"/>
      <c r="AM528" s="134"/>
      <c r="AU528" s="132"/>
      <c r="AV528" s="133"/>
      <c r="AW528" s="134"/>
    </row>
    <row r="529" spans="1:49">
      <c r="A529" s="74">
        <v>1265</v>
      </c>
      <c r="B529" s="146" t="str">
        <f t="shared" si="83"/>
        <v>Heat PumpR38R11R19Single</v>
      </c>
      <c r="C529" s="170" t="s">
        <v>229</v>
      </c>
      <c r="D529" s="166" t="s">
        <v>331</v>
      </c>
      <c r="E529" s="166" t="s">
        <v>334</v>
      </c>
      <c r="F529" s="72" t="s">
        <v>335</v>
      </c>
      <c r="G529" s="166" t="s">
        <v>355</v>
      </c>
      <c r="H529" s="70">
        <f t="shared" si="81"/>
        <v>0</v>
      </c>
      <c r="I529" s="169" t="str">
        <f t="shared" si="82"/>
        <v/>
      </c>
      <c r="J529" s="70" t="str">
        <f t="shared" si="84"/>
        <v>1265Heat PumpR38R11R19Single</v>
      </c>
      <c r="M529" s="70"/>
      <c r="AF529" s="70"/>
      <c r="AG529" s="81"/>
      <c r="AL529" s="134"/>
      <c r="AM529" s="134"/>
      <c r="AU529" s="132"/>
      <c r="AV529" s="133"/>
      <c r="AW529" s="134"/>
    </row>
    <row r="530" spans="1:49">
      <c r="A530" s="74">
        <v>1266</v>
      </c>
      <c r="B530" s="146" t="str">
        <f t="shared" si="83"/>
        <v>Heat PumpR38R11R19Double</v>
      </c>
      <c r="C530" s="170" t="s">
        <v>229</v>
      </c>
      <c r="D530" s="166" t="s">
        <v>331</v>
      </c>
      <c r="E530" s="166" t="s">
        <v>334</v>
      </c>
      <c r="F530" s="72" t="s">
        <v>335</v>
      </c>
      <c r="G530" s="72" t="s">
        <v>339</v>
      </c>
      <c r="H530" s="70">
        <f t="shared" si="81"/>
        <v>1612.692</v>
      </c>
      <c r="I530" s="169">
        <f t="shared" si="82"/>
        <v>1.5128358946326179E-3</v>
      </c>
      <c r="J530" s="70" t="str">
        <f t="shared" si="84"/>
        <v>1266Heat PumpR38R11R19Double</v>
      </c>
      <c r="M530" s="70"/>
      <c r="AF530" s="70"/>
      <c r="AG530" s="81"/>
      <c r="AL530" s="134"/>
      <c r="AM530" s="134"/>
      <c r="AU530" s="132"/>
      <c r="AV530" s="133"/>
      <c r="AW530" s="134"/>
    </row>
    <row r="531" spans="1:49">
      <c r="A531" s="74">
        <v>1267</v>
      </c>
      <c r="B531" s="146" t="str">
        <f t="shared" si="83"/>
        <v>Heat PumpR38R11R19Better</v>
      </c>
      <c r="C531" s="170" t="s">
        <v>229</v>
      </c>
      <c r="D531" s="166" t="s">
        <v>331</v>
      </c>
      <c r="E531" s="166" t="s">
        <v>334</v>
      </c>
      <c r="F531" s="72" t="s">
        <v>335</v>
      </c>
      <c r="G531" s="72" t="s">
        <v>352</v>
      </c>
      <c r="H531" s="70">
        <f t="shared" si="81"/>
        <v>6493.4039999999995</v>
      </c>
      <c r="I531" s="169">
        <f t="shared" si="82"/>
        <v>6.0913396045562439E-3</v>
      </c>
      <c r="J531" s="70" t="str">
        <f t="shared" si="84"/>
        <v>1267Heat PumpR38R11R19Better</v>
      </c>
      <c r="M531" s="70"/>
      <c r="AF531" s="70"/>
      <c r="AG531" s="81"/>
      <c r="AL531" s="134"/>
      <c r="AM531" s="134"/>
      <c r="AU531" s="132"/>
      <c r="AV531" s="133"/>
      <c r="AW531" s="134"/>
    </row>
    <row r="532" spans="1:49">
      <c r="A532" s="74">
        <v>1268</v>
      </c>
      <c r="B532" s="146" t="str">
        <f t="shared" si="83"/>
        <v>Heat PumpR38R11BetterSingle</v>
      </c>
      <c r="C532" s="170" t="s">
        <v>229</v>
      </c>
      <c r="D532" s="166" t="s">
        <v>331</v>
      </c>
      <c r="E532" s="166" t="s">
        <v>334</v>
      </c>
      <c r="F532" s="166" t="s">
        <v>352</v>
      </c>
      <c r="G532" s="166" t="s">
        <v>355</v>
      </c>
      <c r="H532" s="70">
        <f t="shared" si="81"/>
        <v>0</v>
      </c>
      <c r="I532" s="169" t="str">
        <f t="shared" si="82"/>
        <v/>
      </c>
      <c r="J532" s="70" t="str">
        <f t="shared" si="84"/>
        <v>1268Heat PumpR38R11BetterSingle</v>
      </c>
      <c r="M532" s="70"/>
      <c r="AF532" s="70"/>
      <c r="AG532" s="81"/>
      <c r="AL532" s="134"/>
      <c r="AM532" s="134"/>
      <c r="AU532" s="132"/>
      <c r="AV532" s="133"/>
      <c r="AW532" s="134"/>
    </row>
    <row r="533" spans="1:49">
      <c r="A533" s="74">
        <v>1269</v>
      </c>
      <c r="B533" s="146" t="str">
        <f t="shared" si="83"/>
        <v>Heat PumpR38R11BetterDouble</v>
      </c>
      <c r="C533" s="170" t="s">
        <v>229</v>
      </c>
      <c r="D533" s="166" t="s">
        <v>331</v>
      </c>
      <c r="E533" s="166" t="s">
        <v>334</v>
      </c>
      <c r="F533" s="166" t="s">
        <v>352</v>
      </c>
      <c r="G533" s="72" t="s">
        <v>339</v>
      </c>
      <c r="H533" s="70">
        <f t="shared" si="81"/>
        <v>2079.9929999999999</v>
      </c>
      <c r="I533" s="169">
        <f t="shared" si="82"/>
        <v>1.9512021334418368E-3</v>
      </c>
      <c r="J533" s="70" t="str">
        <f t="shared" si="84"/>
        <v>1269Heat PumpR38R11BetterDouble</v>
      </c>
      <c r="M533" s="70"/>
      <c r="AF533" s="70"/>
      <c r="AG533" s="81"/>
      <c r="AL533" s="134"/>
      <c r="AM533" s="134"/>
      <c r="AU533" s="132"/>
      <c r="AV533" s="133"/>
      <c r="AW533" s="134"/>
    </row>
    <row r="534" spans="1:49">
      <c r="A534" s="74">
        <v>1270</v>
      </c>
      <c r="B534" s="146" t="str">
        <f t="shared" si="83"/>
        <v>Heat PumpR38R11BetterBetter</v>
      </c>
      <c r="C534" s="170" t="s">
        <v>229</v>
      </c>
      <c r="D534" s="166" t="s">
        <v>331</v>
      </c>
      <c r="E534" s="166" t="s">
        <v>334</v>
      </c>
      <c r="F534" s="166" t="s">
        <v>352</v>
      </c>
      <c r="G534" s="166" t="s">
        <v>352</v>
      </c>
      <c r="H534" s="70">
        <f t="shared" si="81"/>
        <v>111058.73300000001</v>
      </c>
      <c r="I534" s="169">
        <f t="shared" si="82"/>
        <v>0.10418209905848112</v>
      </c>
      <c r="J534" s="70" t="str">
        <f t="shared" si="84"/>
        <v>1270Heat PumpR38R11BetterBetter</v>
      </c>
      <c r="M534" s="70"/>
      <c r="AF534" s="70"/>
      <c r="AG534" s="81"/>
      <c r="AL534" s="134"/>
      <c r="AM534" s="134"/>
      <c r="AU534" s="132"/>
      <c r="AV534" s="133"/>
      <c r="AW534" s="134"/>
    </row>
    <row r="535" spans="1:49">
      <c r="A535" s="74">
        <v>1271</v>
      </c>
      <c r="B535" s="146" t="str">
        <f t="shared" si="83"/>
        <v>Electric ZonalR0R0BasementSingle</v>
      </c>
      <c r="C535" s="170" t="s">
        <v>228</v>
      </c>
      <c r="D535" s="170" t="s">
        <v>329</v>
      </c>
      <c r="E535" s="166" t="s">
        <v>329</v>
      </c>
      <c r="F535" s="166" t="s">
        <v>377</v>
      </c>
      <c r="G535" s="166" t="s">
        <v>355</v>
      </c>
      <c r="H535" s="70">
        <f t="shared" si="81"/>
        <v>0</v>
      </c>
      <c r="I535" s="169" t="str">
        <f t="shared" si="82"/>
        <v/>
      </c>
      <c r="J535" s="70" t="str">
        <f t="shared" si="84"/>
        <v>1271Electric ZonalR0R0BasementSingle</v>
      </c>
      <c r="M535" s="70"/>
      <c r="AF535" s="70"/>
      <c r="AG535" s="81"/>
      <c r="AL535" s="134"/>
      <c r="AM535" s="134"/>
      <c r="AU535" s="132"/>
      <c r="AV535" s="133"/>
      <c r="AW535" s="134"/>
    </row>
    <row r="536" spans="1:49">
      <c r="A536" s="74">
        <v>1272</v>
      </c>
      <c r="B536" s="146" t="str">
        <f t="shared" si="83"/>
        <v>Electric ZonalR0R0BasementDouble</v>
      </c>
      <c r="C536" s="170" t="s">
        <v>228</v>
      </c>
      <c r="D536" s="170" t="s">
        <v>329</v>
      </c>
      <c r="E536" s="166" t="s">
        <v>329</v>
      </c>
      <c r="F536" s="166" t="s">
        <v>377</v>
      </c>
      <c r="G536" s="72" t="s">
        <v>339</v>
      </c>
      <c r="H536" s="70">
        <f t="shared" si="81"/>
        <v>0</v>
      </c>
      <c r="I536" s="169" t="str">
        <f t="shared" si="82"/>
        <v/>
      </c>
      <c r="J536" s="70" t="str">
        <f t="shared" si="84"/>
        <v>1272Electric ZonalR0R0BasementDouble</v>
      </c>
      <c r="M536" s="70"/>
      <c r="AF536" s="70"/>
      <c r="AG536" s="81"/>
      <c r="AL536" s="134"/>
      <c r="AM536" s="134"/>
      <c r="AU536" s="132"/>
      <c r="AV536" s="133"/>
      <c r="AW536" s="134"/>
    </row>
    <row r="537" spans="1:49">
      <c r="A537" s="74">
        <v>1273</v>
      </c>
      <c r="B537" s="146" t="str">
        <f t="shared" si="83"/>
        <v>Electric ZonalR0R0BasementBetter</v>
      </c>
      <c r="C537" s="170" t="s">
        <v>228</v>
      </c>
      <c r="D537" s="170" t="s">
        <v>329</v>
      </c>
      <c r="E537" s="166" t="s">
        <v>329</v>
      </c>
      <c r="F537" s="166" t="s">
        <v>377</v>
      </c>
      <c r="G537" s="72" t="s">
        <v>352</v>
      </c>
      <c r="H537" s="70">
        <f t="shared" si="81"/>
        <v>1904.288</v>
      </c>
      <c r="I537" s="169">
        <f t="shared" si="82"/>
        <v>1.7863765927518451E-3</v>
      </c>
      <c r="J537" s="70" t="str">
        <f t="shared" si="84"/>
        <v>1273Electric ZonalR0R0BasementBetter</v>
      </c>
      <c r="M537" s="70"/>
      <c r="AF537" s="70"/>
      <c r="AG537" s="81"/>
      <c r="AL537" s="134"/>
      <c r="AM537" s="134"/>
      <c r="AU537" s="132"/>
      <c r="AV537" s="133"/>
      <c r="AW537" s="134"/>
    </row>
    <row r="538" spans="1:49">
      <c r="A538" s="74">
        <v>1274</v>
      </c>
      <c r="B538" s="146" t="str">
        <f t="shared" si="83"/>
        <v>Electric ZonalR0R11BasementSingle</v>
      </c>
      <c r="C538" s="170" t="s">
        <v>228</v>
      </c>
      <c r="D538" s="170" t="s">
        <v>329</v>
      </c>
      <c r="E538" s="166" t="s">
        <v>334</v>
      </c>
      <c r="F538" s="72" t="s">
        <v>377</v>
      </c>
      <c r="G538" s="166" t="s">
        <v>355</v>
      </c>
      <c r="H538" s="70">
        <f t="shared" si="81"/>
        <v>0</v>
      </c>
      <c r="I538" s="169" t="str">
        <f t="shared" si="82"/>
        <v/>
      </c>
      <c r="J538" s="70" t="str">
        <f t="shared" si="84"/>
        <v>1274Electric ZonalR0R11BasementSingle</v>
      </c>
      <c r="M538" s="70"/>
      <c r="AF538" s="70"/>
      <c r="AG538" s="81"/>
      <c r="AL538" s="134"/>
      <c r="AM538" s="134"/>
      <c r="AU538" s="132"/>
      <c r="AV538" s="133"/>
      <c r="AW538" s="134"/>
    </row>
    <row r="539" spans="1:49">
      <c r="A539" s="74">
        <v>1275</v>
      </c>
      <c r="B539" s="146" t="str">
        <f t="shared" si="83"/>
        <v>Electric ZonalR0R11BasementDouble</v>
      </c>
      <c r="C539" s="170" t="s">
        <v>228</v>
      </c>
      <c r="D539" s="170" t="s">
        <v>329</v>
      </c>
      <c r="E539" s="166" t="s">
        <v>334</v>
      </c>
      <c r="F539" s="72" t="s">
        <v>377</v>
      </c>
      <c r="G539" s="72" t="s">
        <v>339</v>
      </c>
      <c r="H539" s="70">
        <f t="shared" si="81"/>
        <v>0</v>
      </c>
      <c r="I539" s="169" t="str">
        <f t="shared" si="82"/>
        <v/>
      </c>
      <c r="J539" s="70" t="str">
        <f t="shared" si="84"/>
        <v>1275Electric ZonalR0R11BasementDouble</v>
      </c>
      <c r="M539" s="70"/>
      <c r="AF539" s="70"/>
      <c r="AG539" s="81"/>
      <c r="AL539" s="134"/>
      <c r="AM539" s="134"/>
      <c r="AU539" s="132"/>
      <c r="AV539" s="133"/>
      <c r="AW539" s="134"/>
    </row>
    <row r="540" spans="1:49">
      <c r="A540" s="74">
        <v>1276</v>
      </c>
      <c r="B540" s="146" t="str">
        <f t="shared" si="83"/>
        <v>Electric ZonalR0R11BasementBetter</v>
      </c>
      <c r="C540" s="170" t="s">
        <v>228</v>
      </c>
      <c r="D540" s="170" t="s">
        <v>329</v>
      </c>
      <c r="E540" s="166" t="s">
        <v>334</v>
      </c>
      <c r="F540" s="72" t="s">
        <v>377</v>
      </c>
      <c r="G540" s="166" t="s">
        <v>352</v>
      </c>
      <c r="H540" s="70">
        <f t="shared" si="81"/>
        <v>3692.6849999999999</v>
      </c>
      <c r="I540" s="169">
        <f t="shared" si="82"/>
        <v>3.4640380280744547E-3</v>
      </c>
      <c r="J540" s="70" t="str">
        <f t="shared" si="84"/>
        <v>1276Electric ZonalR0R11BasementBetter</v>
      </c>
      <c r="M540" s="70"/>
      <c r="AF540" s="70"/>
      <c r="AG540" s="81"/>
      <c r="AL540" s="134"/>
      <c r="AM540" s="134"/>
      <c r="AU540" s="132"/>
      <c r="AV540" s="133"/>
      <c r="AW540" s="134"/>
    </row>
    <row r="541" spans="1:49">
      <c r="A541" s="74">
        <v>1277</v>
      </c>
      <c r="B541" s="146" t="str">
        <f t="shared" si="83"/>
        <v>Electric ZonalR11R0BasementSingle</v>
      </c>
      <c r="C541" s="170" t="s">
        <v>228</v>
      </c>
      <c r="D541" s="170" t="s">
        <v>334</v>
      </c>
      <c r="E541" s="166" t="s">
        <v>329</v>
      </c>
      <c r="F541" s="166" t="s">
        <v>377</v>
      </c>
      <c r="G541" s="166" t="s">
        <v>355</v>
      </c>
      <c r="H541" s="70">
        <f t="shared" si="81"/>
        <v>0</v>
      </c>
      <c r="I541" s="169" t="str">
        <f t="shared" si="82"/>
        <v/>
      </c>
      <c r="J541" s="70" t="str">
        <f t="shared" si="84"/>
        <v>1277Electric ZonalR11R0BasementSingle</v>
      </c>
      <c r="M541" s="70"/>
      <c r="AF541" s="70"/>
      <c r="AG541" s="81"/>
      <c r="AL541" s="134"/>
      <c r="AM541" s="134"/>
      <c r="AU541" s="132"/>
      <c r="AV541" s="133"/>
      <c r="AW541" s="134"/>
    </row>
    <row r="542" spans="1:49">
      <c r="A542" s="74">
        <v>1278</v>
      </c>
      <c r="B542" s="146" t="str">
        <f t="shared" si="83"/>
        <v>Electric ZonalR11R0BasementDouble</v>
      </c>
      <c r="C542" s="170" t="s">
        <v>228</v>
      </c>
      <c r="D542" s="170" t="s">
        <v>334</v>
      </c>
      <c r="E542" s="166" t="s">
        <v>329</v>
      </c>
      <c r="F542" s="166" t="s">
        <v>377</v>
      </c>
      <c r="G542" s="72" t="s">
        <v>339</v>
      </c>
      <c r="H542" s="70">
        <f t="shared" si="81"/>
        <v>0</v>
      </c>
      <c r="I542" s="169" t="str">
        <f t="shared" si="82"/>
        <v/>
      </c>
      <c r="J542" s="70" t="str">
        <f t="shared" si="84"/>
        <v>1278Electric ZonalR11R0BasementDouble</v>
      </c>
      <c r="M542" s="70"/>
      <c r="AF542" s="70"/>
      <c r="AG542" s="81"/>
      <c r="AL542" s="134"/>
      <c r="AM542" s="134"/>
      <c r="AU542" s="132"/>
      <c r="AV542" s="133"/>
      <c r="AW542" s="134"/>
    </row>
    <row r="543" spans="1:49">
      <c r="A543" s="74">
        <v>1279</v>
      </c>
      <c r="B543" s="146" t="str">
        <f t="shared" si="83"/>
        <v>Electric ZonalR11R0BasementBetter</v>
      </c>
      <c r="C543" s="170" t="s">
        <v>228</v>
      </c>
      <c r="D543" s="170" t="s">
        <v>334</v>
      </c>
      <c r="E543" s="166" t="s">
        <v>329</v>
      </c>
      <c r="F543" s="166" t="s">
        <v>377</v>
      </c>
      <c r="G543" s="72" t="s">
        <v>352</v>
      </c>
      <c r="H543" s="70">
        <f t="shared" si="81"/>
        <v>0</v>
      </c>
      <c r="I543" s="169" t="str">
        <f t="shared" si="82"/>
        <v/>
      </c>
      <c r="J543" s="70" t="str">
        <f t="shared" si="84"/>
        <v>1279Electric ZonalR11R0BasementBetter</v>
      </c>
      <c r="M543" s="70"/>
      <c r="AF543" s="70"/>
      <c r="AG543" s="81"/>
      <c r="AL543" s="134"/>
      <c r="AM543" s="134"/>
      <c r="AU543" s="132"/>
      <c r="AV543" s="133"/>
      <c r="AW543" s="134"/>
    </row>
    <row r="544" spans="1:49">
      <c r="A544" s="74">
        <v>1280</v>
      </c>
      <c r="B544" s="146" t="str">
        <f t="shared" si="83"/>
        <v>Electric ZonalR11R11BasementSingle</v>
      </c>
      <c r="C544" s="170" t="s">
        <v>228</v>
      </c>
      <c r="D544" s="170" t="s">
        <v>334</v>
      </c>
      <c r="E544" s="166" t="s">
        <v>334</v>
      </c>
      <c r="F544" s="166" t="s">
        <v>377</v>
      </c>
      <c r="G544" s="166" t="s">
        <v>355</v>
      </c>
      <c r="H544" s="70">
        <f t="shared" si="81"/>
        <v>0</v>
      </c>
      <c r="I544" s="169" t="str">
        <f t="shared" si="82"/>
        <v/>
      </c>
      <c r="J544" s="70" t="str">
        <f t="shared" si="84"/>
        <v>1280Electric ZonalR11R11BasementSingle</v>
      </c>
      <c r="M544" s="70"/>
      <c r="AF544" s="70"/>
      <c r="AG544" s="81"/>
      <c r="AL544" s="134"/>
      <c r="AM544" s="134"/>
      <c r="AU544" s="132"/>
      <c r="AV544" s="133"/>
      <c r="AW544" s="134"/>
    </row>
    <row r="545" spans="1:49">
      <c r="A545" s="74">
        <v>1281</v>
      </c>
      <c r="B545" s="146" t="str">
        <f t="shared" si="83"/>
        <v>Electric ZonalR11R11BasementDouble</v>
      </c>
      <c r="C545" s="170" t="s">
        <v>228</v>
      </c>
      <c r="D545" s="170" t="s">
        <v>334</v>
      </c>
      <c r="E545" s="166" t="s">
        <v>334</v>
      </c>
      <c r="F545" s="166" t="s">
        <v>377</v>
      </c>
      <c r="G545" s="72" t="s">
        <v>339</v>
      </c>
      <c r="H545" s="70">
        <f t="shared" si="81"/>
        <v>2003.7159999999999</v>
      </c>
      <c r="I545" s="169">
        <f t="shared" si="82"/>
        <v>1.8796481209367257E-3</v>
      </c>
      <c r="J545" s="70" t="str">
        <f t="shared" si="84"/>
        <v>1281Electric ZonalR11R11BasementDouble</v>
      </c>
      <c r="M545" s="70"/>
      <c r="AF545" s="70"/>
      <c r="AG545" s="81"/>
      <c r="AL545" s="134"/>
      <c r="AM545" s="134"/>
      <c r="AU545" s="132"/>
      <c r="AV545" s="133"/>
      <c r="AW545" s="134"/>
    </row>
    <row r="546" spans="1:49">
      <c r="A546" s="74">
        <v>1282</v>
      </c>
      <c r="B546" s="146" t="str">
        <f t="shared" si="83"/>
        <v>Electric ZonalR11R11BasementBetter</v>
      </c>
      <c r="C546" s="170" t="s">
        <v>228</v>
      </c>
      <c r="D546" s="170" t="s">
        <v>334</v>
      </c>
      <c r="E546" s="166" t="s">
        <v>334</v>
      </c>
      <c r="F546" s="166" t="s">
        <v>377</v>
      </c>
      <c r="G546" s="166" t="s">
        <v>352</v>
      </c>
      <c r="H546" s="70">
        <f t="shared" si="81"/>
        <v>2657.1589999999997</v>
      </c>
      <c r="I546" s="169">
        <f t="shared" si="82"/>
        <v>2.4926306529368977E-3</v>
      </c>
      <c r="J546" s="70" t="str">
        <f t="shared" si="84"/>
        <v>1282Electric ZonalR11R11BasementBetter</v>
      </c>
      <c r="M546" s="70"/>
      <c r="AF546" s="70"/>
      <c r="AG546" s="81"/>
      <c r="AL546" s="134"/>
      <c r="AM546" s="134"/>
      <c r="AU546" s="132"/>
      <c r="AV546" s="133"/>
      <c r="AW546" s="134"/>
    </row>
    <row r="547" spans="1:49">
      <c r="A547" s="74">
        <v>1283</v>
      </c>
      <c r="B547" s="146" t="str">
        <f t="shared" si="83"/>
        <v>Electric ZonalR19R0BasementSingle</v>
      </c>
      <c r="C547" s="170" t="s">
        <v>228</v>
      </c>
      <c r="D547" s="170" t="s">
        <v>335</v>
      </c>
      <c r="E547" s="166" t="s">
        <v>329</v>
      </c>
      <c r="F547" s="72" t="s">
        <v>377</v>
      </c>
      <c r="G547" s="166" t="s">
        <v>355</v>
      </c>
      <c r="H547" s="70">
        <f t="shared" si="81"/>
        <v>0</v>
      </c>
      <c r="I547" s="169" t="str">
        <f t="shared" si="82"/>
        <v/>
      </c>
      <c r="J547" s="70" t="str">
        <f t="shared" si="84"/>
        <v>1283Electric ZonalR19R0BasementSingle</v>
      </c>
      <c r="M547" s="70"/>
      <c r="AF547" s="70"/>
      <c r="AG547" s="81"/>
      <c r="AL547" s="134"/>
      <c r="AM547" s="134"/>
      <c r="AU547" s="132"/>
      <c r="AV547" s="133"/>
      <c r="AW547" s="134"/>
    </row>
    <row r="548" spans="1:49">
      <c r="A548" s="74">
        <v>1284</v>
      </c>
      <c r="B548" s="146" t="str">
        <f t="shared" si="83"/>
        <v>Electric ZonalR19R0BasementDouble</v>
      </c>
      <c r="C548" s="170" t="s">
        <v>228</v>
      </c>
      <c r="D548" s="170" t="s">
        <v>335</v>
      </c>
      <c r="E548" s="166" t="s">
        <v>329</v>
      </c>
      <c r="F548" s="72" t="s">
        <v>377</v>
      </c>
      <c r="G548" s="72" t="s">
        <v>339</v>
      </c>
      <c r="H548" s="70">
        <f t="shared" si="81"/>
        <v>0</v>
      </c>
      <c r="I548" s="169" t="str">
        <f t="shared" si="82"/>
        <v/>
      </c>
      <c r="J548" s="70" t="str">
        <f t="shared" si="84"/>
        <v>1284Electric ZonalR19R0BasementDouble</v>
      </c>
      <c r="M548" s="70"/>
      <c r="AF548" s="70"/>
      <c r="AG548" s="81"/>
      <c r="AL548" s="134"/>
      <c r="AM548" s="134"/>
      <c r="AU548" s="132"/>
      <c r="AV548" s="133"/>
      <c r="AW548" s="134"/>
    </row>
    <row r="549" spans="1:49">
      <c r="A549" s="74">
        <v>1285</v>
      </c>
      <c r="B549" s="146" t="str">
        <f t="shared" si="83"/>
        <v>Electric ZonalR19R0BasementBetter</v>
      </c>
      <c r="C549" s="170" t="s">
        <v>228</v>
      </c>
      <c r="D549" s="170" t="s">
        <v>335</v>
      </c>
      <c r="E549" s="166" t="s">
        <v>329</v>
      </c>
      <c r="F549" s="72" t="s">
        <v>377</v>
      </c>
      <c r="G549" s="72" t="s">
        <v>352</v>
      </c>
      <c r="H549" s="70">
        <f t="shared" si="81"/>
        <v>0</v>
      </c>
      <c r="I549" s="169" t="str">
        <f t="shared" si="82"/>
        <v/>
      </c>
      <c r="J549" s="70" t="str">
        <f t="shared" si="84"/>
        <v>1285Electric ZonalR19R0BasementBetter</v>
      </c>
      <c r="M549" s="70"/>
      <c r="AF549" s="70"/>
      <c r="AG549" s="81"/>
      <c r="AL549" s="134"/>
      <c r="AM549" s="134"/>
      <c r="AU549" s="132"/>
      <c r="AV549" s="133"/>
      <c r="AW549" s="134"/>
    </row>
    <row r="550" spans="1:49">
      <c r="A550" s="74">
        <v>1286</v>
      </c>
      <c r="B550" s="146" t="str">
        <f t="shared" si="83"/>
        <v>Electric ZonalR19R11BasementSingle</v>
      </c>
      <c r="C550" s="170" t="s">
        <v>228</v>
      </c>
      <c r="D550" s="170" t="s">
        <v>335</v>
      </c>
      <c r="E550" s="166" t="s">
        <v>334</v>
      </c>
      <c r="F550" s="166" t="s">
        <v>377</v>
      </c>
      <c r="G550" s="166" t="s">
        <v>355</v>
      </c>
      <c r="H550" s="70">
        <f t="shared" si="81"/>
        <v>0</v>
      </c>
      <c r="I550" s="169" t="str">
        <f t="shared" si="82"/>
        <v/>
      </c>
      <c r="J550" s="70" t="str">
        <f t="shared" si="84"/>
        <v>1286Electric ZonalR19R11BasementSingle</v>
      </c>
      <c r="M550" s="70"/>
      <c r="AF550" s="70"/>
      <c r="AG550" s="81"/>
      <c r="AL550" s="134"/>
      <c r="AM550" s="134"/>
      <c r="AU550" s="132"/>
      <c r="AV550" s="133"/>
      <c r="AW550" s="134"/>
    </row>
    <row r="551" spans="1:49">
      <c r="A551" s="74">
        <v>1287</v>
      </c>
      <c r="B551" s="146" t="str">
        <f t="shared" si="83"/>
        <v>Electric ZonalR19R11BasementDouble</v>
      </c>
      <c r="C551" s="170" t="s">
        <v>228</v>
      </c>
      <c r="D551" s="170" t="s">
        <v>335</v>
      </c>
      <c r="E551" s="166" t="s">
        <v>334</v>
      </c>
      <c r="F551" s="166" t="s">
        <v>377</v>
      </c>
      <c r="G551" s="72" t="s">
        <v>339</v>
      </c>
      <c r="H551" s="70">
        <f t="shared" si="81"/>
        <v>0</v>
      </c>
      <c r="I551" s="169" t="str">
        <f t="shared" si="82"/>
        <v/>
      </c>
      <c r="J551" s="70" t="str">
        <f t="shared" si="84"/>
        <v>1287Electric ZonalR19R11BasementDouble</v>
      </c>
      <c r="M551" s="70"/>
      <c r="AF551" s="70"/>
      <c r="AG551" s="81"/>
      <c r="AL551" s="134"/>
      <c r="AM551" s="134"/>
      <c r="AU551" s="132"/>
      <c r="AV551" s="133"/>
      <c r="AW551" s="134"/>
    </row>
    <row r="552" spans="1:49">
      <c r="A552" s="74">
        <v>1288</v>
      </c>
      <c r="B552" s="146" t="str">
        <f t="shared" si="83"/>
        <v>Electric ZonalR19R11BasementBetter</v>
      </c>
      <c r="C552" s="170" t="s">
        <v>228</v>
      </c>
      <c r="D552" s="170" t="s">
        <v>335</v>
      </c>
      <c r="E552" s="166" t="s">
        <v>334</v>
      </c>
      <c r="F552" s="166" t="s">
        <v>377</v>
      </c>
      <c r="G552" s="166" t="s">
        <v>352</v>
      </c>
      <c r="H552" s="70">
        <f t="shared" si="81"/>
        <v>9395.366</v>
      </c>
      <c r="I552" s="169">
        <f t="shared" si="82"/>
        <v>8.8136153264298939E-3</v>
      </c>
      <c r="J552" s="70" t="str">
        <f t="shared" si="84"/>
        <v>1288Electric ZonalR19R11BasementBetter</v>
      </c>
      <c r="M552" s="70"/>
      <c r="AF552" s="70"/>
      <c r="AG552" s="81"/>
      <c r="AL552" s="134"/>
      <c r="AM552" s="134"/>
      <c r="AU552" s="132"/>
      <c r="AV552" s="133"/>
      <c r="AW552" s="134"/>
    </row>
    <row r="553" spans="1:49">
      <c r="A553" s="74">
        <v>1289</v>
      </c>
      <c r="B553" s="146" t="str">
        <f t="shared" si="83"/>
        <v>Electric ZonalR30R0BasementSingle</v>
      </c>
      <c r="C553" s="170" t="s">
        <v>228</v>
      </c>
      <c r="D553" s="170" t="s">
        <v>336</v>
      </c>
      <c r="E553" s="166" t="s">
        <v>329</v>
      </c>
      <c r="F553" s="166" t="s">
        <v>377</v>
      </c>
      <c r="G553" s="166" t="s">
        <v>355</v>
      </c>
      <c r="H553" s="70">
        <f t="shared" si="81"/>
        <v>1524.7619999999999</v>
      </c>
      <c r="I553" s="169">
        <f t="shared" si="82"/>
        <v>1.4303504230019244E-3</v>
      </c>
      <c r="J553" s="70" t="str">
        <f t="shared" si="84"/>
        <v>1289Electric ZonalR30R0BasementSingle</v>
      </c>
      <c r="M553" s="70"/>
      <c r="AF553" s="70"/>
      <c r="AG553" s="81"/>
      <c r="AL553" s="134"/>
      <c r="AM553" s="134"/>
      <c r="AU553" s="132"/>
      <c r="AV553" s="133"/>
      <c r="AW553" s="134"/>
    </row>
    <row r="554" spans="1:49">
      <c r="A554" s="74">
        <v>1290</v>
      </c>
      <c r="B554" s="146" t="str">
        <f t="shared" si="83"/>
        <v>Electric ZonalR30R0BasementDouble</v>
      </c>
      <c r="C554" s="170" t="s">
        <v>228</v>
      </c>
      <c r="D554" s="170" t="s">
        <v>336</v>
      </c>
      <c r="E554" s="166" t="s">
        <v>329</v>
      </c>
      <c r="F554" s="166" t="s">
        <v>377</v>
      </c>
      <c r="G554" s="72" t="s">
        <v>339</v>
      </c>
      <c r="H554" s="70">
        <f t="shared" si="81"/>
        <v>0</v>
      </c>
      <c r="I554" s="169" t="str">
        <f t="shared" si="82"/>
        <v/>
      </c>
      <c r="J554" s="70" t="str">
        <f t="shared" si="84"/>
        <v>1290Electric ZonalR30R0BasementDouble</v>
      </c>
      <c r="M554" s="70"/>
      <c r="AF554" s="70"/>
      <c r="AG554" s="81"/>
      <c r="AL554" s="134"/>
      <c r="AM554" s="134"/>
      <c r="AU554" s="132"/>
      <c r="AV554" s="133"/>
      <c r="AW554" s="134"/>
    </row>
    <row r="555" spans="1:49">
      <c r="A555" s="74">
        <v>1291</v>
      </c>
      <c r="B555" s="146" t="str">
        <f t="shared" si="83"/>
        <v>Electric ZonalR30R0BasementBetter</v>
      </c>
      <c r="C555" s="170" t="s">
        <v>228</v>
      </c>
      <c r="D555" s="170" t="s">
        <v>336</v>
      </c>
      <c r="E555" s="166" t="s">
        <v>329</v>
      </c>
      <c r="F555" s="166" t="s">
        <v>377</v>
      </c>
      <c r="G555" s="72" t="s">
        <v>352</v>
      </c>
      <c r="H555" s="70">
        <f t="shared" si="81"/>
        <v>0</v>
      </c>
      <c r="I555" s="169" t="str">
        <f t="shared" si="82"/>
        <v/>
      </c>
      <c r="J555" s="70" t="str">
        <f t="shared" si="84"/>
        <v>1291Electric ZonalR30R0BasementBetter</v>
      </c>
      <c r="M555" s="70"/>
      <c r="AF555" s="70"/>
      <c r="AG555" s="81"/>
      <c r="AL555" s="134"/>
      <c r="AM555" s="134"/>
      <c r="AU555" s="132"/>
      <c r="AV555" s="133"/>
      <c r="AW555" s="134"/>
    </row>
    <row r="556" spans="1:49">
      <c r="A556" s="74">
        <v>1292</v>
      </c>
      <c r="B556" s="146" t="str">
        <f t="shared" si="83"/>
        <v>Electric ZonalR30R11BasementSingle</v>
      </c>
      <c r="C556" s="170" t="s">
        <v>228</v>
      </c>
      <c r="D556" s="170" t="s">
        <v>336</v>
      </c>
      <c r="E556" s="166" t="s">
        <v>334</v>
      </c>
      <c r="F556" s="72" t="s">
        <v>377</v>
      </c>
      <c r="G556" s="166" t="s">
        <v>355</v>
      </c>
      <c r="H556" s="70">
        <f t="shared" si="81"/>
        <v>0</v>
      </c>
      <c r="I556" s="169" t="str">
        <f t="shared" si="82"/>
        <v/>
      </c>
      <c r="J556" s="70" t="str">
        <f t="shared" si="84"/>
        <v>1292Electric ZonalR30R11BasementSingle</v>
      </c>
      <c r="M556" s="70"/>
      <c r="AF556" s="70"/>
      <c r="AG556" s="81"/>
      <c r="AL556" s="134"/>
      <c r="AM556" s="134"/>
      <c r="AU556" s="132"/>
      <c r="AV556" s="133"/>
      <c r="AW556" s="134"/>
    </row>
    <row r="557" spans="1:49">
      <c r="A557" s="74">
        <v>1293</v>
      </c>
      <c r="B557" s="146" t="str">
        <f t="shared" si="83"/>
        <v>Electric ZonalR30R11BasementDouble</v>
      </c>
      <c r="C557" s="170" t="s">
        <v>228</v>
      </c>
      <c r="D557" s="170" t="s">
        <v>336</v>
      </c>
      <c r="E557" s="166" t="s">
        <v>334</v>
      </c>
      <c r="F557" s="72" t="s">
        <v>377</v>
      </c>
      <c r="G557" s="72" t="s">
        <v>339</v>
      </c>
      <c r="H557" s="70">
        <f t="shared" si="81"/>
        <v>1144.6790000000001</v>
      </c>
      <c r="I557" s="169">
        <f t="shared" si="82"/>
        <v>1.073801742076088E-3</v>
      </c>
      <c r="J557" s="70" t="str">
        <f t="shared" si="84"/>
        <v>1293Electric ZonalR30R11BasementDouble</v>
      </c>
      <c r="M557" s="70"/>
      <c r="AF557" s="70"/>
      <c r="AG557" s="81"/>
      <c r="AL557" s="134"/>
      <c r="AM557" s="134"/>
      <c r="AU557" s="132"/>
      <c r="AV557" s="133"/>
      <c r="AW557" s="134"/>
    </row>
    <row r="558" spans="1:49">
      <c r="A558" s="74">
        <v>1294</v>
      </c>
      <c r="B558" s="146" t="str">
        <f t="shared" si="83"/>
        <v>Electric ZonalR30R11BasementBetter</v>
      </c>
      <c r="C558" s="170" t="s">
        <v>228</v>
      </c>
      <c r="D558" s="170" t="s">
        <v>336</v>
      </c>
      <c r="E558" s="166" t="s">
        <v>334</v>
      </c>
      <c r="F558" s="72" t="s">
        <v>377</v>
      </c>
      <c r="G558" s="166" t="s">
        <v>352</v>
      </c>
      <c r="H558" s="70">
        <f t="shared" si="81"/>
        <v>11537.403</v>
      </c>
      <c r="I558" s="169">
        <f t="shared" si="82"/>
        <v>1.0823019763998364E-2</v>
      </c>
      <c r="J558" s="70" t="str">
        <f t="shared" si="84"/>
        <v>1294Electric ZonalR30R11BasementBetter</v>
      </c>
      <c r="M558" s="70"/>
      <c r="AF558" s="70"/>
      <c r="AG558" s="81"/>
      <c r="AL558" s="134"/>
      <c r="AM558" s="134"/>
      <c r="AU558" s="132"/>
      <c r="AV558" s="133"/>
      <c r="AW558" s="134"/>
    </row>
    <row r="559" spans="1:49">
      <c r="A559" s="74">
        <v>1295</v>
      </c>
      <c r="B559" s="146" t="str">
        <f t="shared" si="83"/>
        <v>Electric ZonalR38R0BasementSingle</v>
      </c>
      <c r="C559" s="170" t="s">
        <v>228</v>
      </c>
      <c r="D559" s="170" t="s">
        <v>331</v>
      </c>
      <c r="E559" s="166" t="s">
        <v>329</v>
      </c>
      <c r="F559" s="166" t="s">
        <v>377</v>
      </c>
      <c r="G559" s="166" t="s">
        <v>355</v>
      </c>
      <c r="H559" s="70">
        <f t="shared" si="81"/>
        <v>0</v>
      </c>
      <c r="I559" s="169" t="str">
        <f t="shared" si="82"/>
        <v/>
      </c>
      <c r="J559" s="70" t="str">
        <f t="shared" si="84"/>
        <v>1295Electric ZonalR38R0BasementSingle</v>
      </c>
      <c r="M559" s="70"/>
      <c r="AF559" s="70"/>
      <c r="AG559" s="81"/>
      <c r="AL559" s="134"/>
      <c r="AM559" s="134"/>
      <c r="AU559" s="132"/>
      <c r="AV559" s="133"/>
      <c r="AW559" s="134"/>
    </row>
    <row r="560" spans="1:49">
      <c r="A560" s="74">
        <v>1296</v>
      </c>
      <c r="B560" s="146" t="str">
        <f t="shared" si="83"/>
        <v>Electric ZonalR38R0BasementDouble</v>
      </c>
      <c r="C560" s="170" t="s">
        <v>228</v>
      </c>
      <c r="D560" s="170" t="s">
        <v>331</v>
      </c>
      <c r="E560" s="166" t="s">
        <v>329</v>
      </c>
      <c r="F560" s="166" t="s">
        <v>377</v>
      </c>
      <c r="G560" s="72" t="s">
        <v>339</v>
      </c>
      <c r="H560" s="70">
        <f t="shared" si="81"/>
        <v>0</v>
      </c>
      <c r="I560" s="169" t="str">
        <f t="shared" si="82"/>
        <v/>
      </c>
      <c r="J560" s="70" t="str">
        <f t="shared" si="84"/>
        <v>1296Electric ZonalR38R0BasementDouble</v>
      </c>
      <c r="M560" s="70"/>
      <c r="AF560" s="70"/>
      <c r="AG560" s="81"/>
      <c r="AL560" s="134"/>
      <c r="AM560" s="134"/>
      <c r="AU560" s="132"/>
      <c r="AV560" s="133"/>
      <c r="AW560" s="134"/>
    </row>
    <row r="561" spans="1:49">
      <c r="A561" s="74">
        <v>1297</v>
      </c>
      <c r="B561" s="146" t="str">
        <f t="shared" si="83"/>
        <v>Electric ZonalR38R0BasementBetter</v>
      </c>
      <c r="C561" s="170" t="s">
        <v>228</v>
      </c>
      <c r="D561" s="170" t="s">
        <v>331</v>
      </c>
      <c r="E561" s="166" t="s">
        <v>329</v>
      </c>
      <c r="F561" s="166" t="s">
        <v>377</v>
      </c>
      <c r="G561" s="72" t="s">
        <v>352</v>
      </c>
      <c r="H561" s="70">
        <f t="shared" si="81"/>
        <v>1524.7619999999999</v>
      </c>
      <c r="I561" s="169">
        <f t="shared" si="82"/>
        <v>1.4303504230019244E-3</v>
      </c>
      <c r="J561" s="70" t="str">
        <f t="shared" si="84"/>
        <v>1297Electric ZonalR38R0BasementBetter</v>
      </c>
      <c r="M561" s="70"/>
      <c r="AF561" s="70"/>
      <c r="AG561" s="81"/>
      <c r="AL561" s="134"/>
      <c r="AM561" s="134"/>
      <c r="AU561" s="132"/>
      <c r="AV561" s="133"/>
      <c r="AW561" s="134"/>
    </row>
    <row r="562" spans="1:49">
      <c r="A562" s="74">
        <v>1298</v>
      </c>
      <c r="B562" s="146" t="str">
        <f t="shared" si="83"/>
        <v>Electric ZonalR38R11BasementSingle</v>
      </c>
      <c r="C562" s="170" t="s">
        <v>228</v>
      </c>
      <c r="D562" s="170" t="s">
        <v>331</v>
      </c>
      <c r="E562" s="166" t="s">
        <v>334</v>
      </c>
      <c r="F562" s="166" t="s">
        <v>377</v>
      </c>
      <c r="G562" s="166" t="s">
        <v>355</v>
      </c>
      <c r="H562" s="70">
        <f t="shared" si="81"/>
        <v>0</v>
      </c>
      <c r="I562" s="169" t="str">
        <f t="shared" si="82"/>
        <v/>
      </c>
      <c r="J562" s="70" t="str">
        <f t="shared" si="84"/>
        <v>1298Electric ZonalR38R11BasementSingle</v>
      </c>
      <c r="M562" s="70"/>
      <c r="AF562" s="70"/>
      <c r="AG562" s="81"/>
      <c r="AL562" s="134"/>
      <c r="AM562" s="134"/>
      <c r="AU562" s="132"/>
      <c r="AV562" s="133"/>
      <c r="AW562" s="134"/>
    </row>
    <row r="563" spans="1:49">
      <c r="A563" s="74">
        <v>1299</v>
      </c>
      <c r="B563" s="146" t="str">
        <f t="shared" si="83"/>
        <v>Electric ZonalR38R11BasementDouble</v>
      </c>
      <c r="C563" s="170" t="s">
        <v>228</v>
      </c>
      <c r="D563" s="170" t="s">
        <v>331</v>
      </c>
      <c r="E563" s="166" t="s">
        <v>334</v>
      </c>
      <c r="F563" s="166" t="s">
        <v>377</v>
      </c>
      <c r="G563" s="72" t="s">
        <v>339</v>
      </c>
      <c r="H563" s="70">
        <f t="shared" si="81"/>
        <v>2130.886</v>
      </c>
      <c r="I563" s="169">
        <f t="shared" si="82"/>
        <v>1.9989438951579846E-3</v>
      </c>
      <c r="J563" s="70" t="str">
        <f t="shared" si="84"/>
        <v>1299Electric ZonalR38R11BasementDouble</v>
      </c>
      <c r="M563" s="70"/>
      <c r="AF563" s="70"/>
      <c r="AG563" s="81"/>
      <c r="AL563" s="134"/>
      <c r="AM563" s="134"/>
      <c r="AU563" s="132"/>
      <c r="AV563" s="133"/>
      <c r="AW563" s="134"/>
    </row>
    <row r="564" spans="1:49">
      <c r="A564" s="74">
        <v>1300</v>
      </c>
      <c r="B564" s="146" t="str">
        <f t="shared" si="83"/>
        <v>Electric ZonalR38R11BasementBetter</v>
      </c>
      <c r="C564" s="170" t="s">
        <v>228</v>
      </c>
      <c r="D564" s="170" t="s">
        <v>331</v>
      </c>
      <c r="E564" s="166" t="s">
        <v>334</v>
      </c>
      <c r="F564" s="166" t="s">
        <v>377</v>
      </c>
      <c r="G564" s="166" t="s">
        <v>352</v>
      </c>
      <c r="H564" s="70">
        <f t="shared" si="81"/>
        <v>18541.418000000001</v>
      </c>
      <c r="I564" s="169">
        <f t="shared" si="82"/>
        <v>1.7393353900054892E-2</v>
      </c>
      <c r="J564" s="70" t="str">
        <f t="shared" si="84"/>
        <v>1300Electric ZonalR38R11BasementBetter</v>
      </c>
      <c r="M564" s="70"/>
      <c r="AF564" s="70"/>
      <c r="AG564" s="81"/>
      <c r="AL564" s="134"/>
      <c r="AM564" s="134"/>
      <c r="AU564" s="132"/>
      <c r="AV564" s="133"/>
      <c r="AW564" s="134"/>
    </row>
    <row r="565" spans="1:49">
      <c r="A565" s="74">
        <v>1301</v>
      </c>
      <c r="B565" s="146" t="str">
        <f t="shared" si="83"/>
        <v>Electric FAFR0R0BasementSingle</v>
      </c>
      <c r="C565" s="170" t="s">
        <v>227</v>
      </c>
      <c r="D565" s="170" t="s">
        <v>329</v>
      </c>
      <c r="E565" s="166" t="s">
        <v>329</v>
      </c>
      <c r="F565" s="72" t="s">
        <v>377</v>
      </c>
      <c r="G565" s="166" t="s">
        <v>355</v>
      </c>
      <c r="H565" s="70">
        <f t="shared" si="81"/>
        <v>0</v>
      </c>
      <c r="I565" s="169" t="str">
        <f t="shared" si="82"/>
        <v/>
      </c>
      <c r="J565" s="70" t="str">
        <f t="shared" si="84"/>
        <v>1301Electric FAFR0R0BasementSingle</v>
      </c>
      <c r="M565" s="70"/>
      <c r="AF565" s="70"/>
      <c r="AG565" s="81"/>
      <c r="AL565" s="134"/>
      <c r="AM565" s="134"/>
      <c r="AU565" s="132"/>
      <c r="AV565" s="133"/>
      <c r="AW565" s="134"/>
    </row>
    <row r="566" spans="1:49">
      <c r="A566" s="74">
        <v>1302</v>
      </c>
      <c r="B566" s="146" t="str">
        <f t="shared" si="83"/>
        <v>Electric FAFR0R0BasementDouble</v>
      </c>
      <c r="C566" s="170" t="s">
        <v>227</v>
      </c>
      <c r="D566" s="170" t="s">
        <v>329</v>
      </c>
      <c r="E566" s="166" t="s">
        <v>329</v>
      </c>
      <c r="F566" s="72" t="s">
        <v>377</v>
      </c>
      <c r="G566" s="72" t="s">
        <v>339</v>
      </c>
      <c r="H566" s="70">
        <f t="shared" si="81"/>
        <v>0</v>
      </c>
      <c r="I566" s="169" t="str">
        <f t="shared" si="82"/>
        <v/>
      </c>
      <c r="J566" s="70" t="str">
        <f t="shared" si="84"/>
        <v>1302Electric FAFR0R0BasementDouble</v>
      </c>
      <c r="S566" s="134"/>
      <c r="T566" s="134"/>
      <c r="U566" s="134"/>
      <c r="V566" s="134"/>
      <c r="W566" s="134"/>
      <c r="X566" s="134"/>
      <c r="Y566" s="134"/>
      <c r="Z566" s="134"/>
      <c r="AA566" s="134"/>
      <c r="AB566" s="134"/>
      <c r="AC566" s="134"/>
      <c r="AD566" s="134"/>
      <c r="AE566" s="134"/>
      <c r="AF566" s="146"/>
      <c r="AG566" s="134"/>
      <c r="AH566" s="134"/>
      <c r="AI566" s="134"/>
      <c r="AJ566" s="134"/>
      <c r="AK566" s="134"/>
      <c r="AL566" s="134"/>
      <c r="AM566" s="146"/>
      <c r="AN566" s="132"/>
      <c r="AO566" s="132"/>
      <c r="AP566" s="132"/>
      <c r="AQ566" s="132"/>
      <c r="AR566" s="134"/>
      <c r="AS566" s="134"/>
      <c r="AT566" s="132"/>
      <c r="AU566" s="133"/>
      <c r="AV566" s="134"/>
    </row>
    <row r="567" spans="1:49">
      <c r="A567" s="74">
        <v>1303</v>
      </c>
      <c r="B567" s="146" t="str">
        <f t="shared" si="83"/>
        <v>Electric FAFR0R0BasementBetter</v>
      </c>
      <c r="C567" s="170" t="s">
        <v>227</v>
      </c>
      <c r="D567" s="170" t="s">
        <v>329</v>
      </c>
      <c r="E567" s="166" t="s">
        <v>329</v>
      </c>
      <c r="F567" s="72" t="s">
        <v>377</v>
      </c>
      <c r="G567" s="72" t="s">
        <v>352</v>
      </c>
      <c r="H567" s="70">
        <f t="shared" si="81"/>
        <v>0</v>
      </c>
      <c r="I567" s="169" t="str">
        <f t="shared" si="82"/>
        <v/>
      </c>
      <c r="J567" s="70" t="str">
        <f t="shared" si="84"/>
        <v>1303Electric FAFR0R0BasementBetter</v>
      </c>
      <c r="S567" s="134"/>
      <c r="T567" s="134"/>
      <c r="U567" s="134"/>
      <c r="V567" s="134"/>
      <c r="W567" s="134"/>
      <c r="X567" s="134"/>
      <c r="Y567" s="134"/>
      <c r="Z567" s="134"/>
      <c r="AA567" s="134"/>
      <c r="AB567" s="134"/>
      <c r="AC567" s="134"/>
      <c r="AD567" s="134"/>
      <c r="AE567" s="134"/>
      <c r="AF567" s="146"/>
      <c r="AG567" s="134"/>
      <c r="AH567" s="134"/>
      <c r="AI567" s="134"/>
      <c r="AJ567" s="134"/>
      <c r="AK567" s="134"/>
      <c r="AL567" s="134"/>
      <c r="AM567" s="146"/>
      <c r="AN567" s="132"/>
      <c r="AO567" s="132"/>
      <c r="AP567" s="132"/>
      <c r="AQ567" s="132"/>
      <c r="AR567" s="134"/>
      <c r="AS567" s="134"/>
      <c r="AT567" s="132"/>
      <c r="AU567" s="133"/>
      <c r="AV567" s="134"/>
    </row>
    <row r="568" spans="1:49">
      <c r="A568" s="74">
        <v>1304</v>
      </c>
      <c r="B568" s="146" t="str">
        <f t="shared" si="83"/>
        <v>Electric FAFR0R11BasementSingle</v>
      </c>
      <c r="C568" s="170" t="s">
        <v>227</v>
      </c>
      <c r="D568" s="170" t="s">
        <v>329</v>
      </c>
      <c r="E568" s="166" t="s">
        <v>334</v>
      </c>
      <c r="F568" s="166" t="s">
        <v>377</v>
      </c>
      <c r="G568" s="166" t="s">
        <v>355</v>
      </c>
      <c r="H568" s="70">
        <f t="shared" si="81"/>
        <v>0</v>
      </c>
      <c r="I568" s="169" t="str">
        <f t="shared" si="82"/>
        <v/>
      </c>
      <c r="J568" s="70" t="str">
        <f t="shared" si="84"/>
        <v>1304Electric FAFR0R11BasementSingle</v>
      </c>
      <c r="S568" s="134"/>
      <c r="T568" s="134"/>
      <c r="U568" s="134"/>
      <c r="V568" s="134"/>
      <c r="W568" s="134"/>
      <c r="X568" s="134"/>
      <c r="Y568" s="134"/>
      <c r="Z568" s="134"/>
      <c r="AA568" s="134"/>
      <c r="AB568" s="134"/>
      <c r="AC568" s="134"/>
      <c r="AD568" s="134"/>
      <c r="AE568" s="134"/>
      <c r="AF568" s="146"/>
      <c r="AG568" s="134"/>
      <c r="AH568" s="134"/>
      <c r="AI568" s="134"/>
      <c r="AJ568" s="134"/>
      <c r="AK568" s="134"/>
      <c r="AL568" s="134"/>
      <c r="AM568" s="146"/>
      <c r="AN568" s="132"/>
      <c r="AO568" s="132"/>
      <c r="AP568" s="132"/>
      <c r="AQ568" s="132"/>
      <c r="AR568" s="134"/>
      <c r="AS568" s="134"/>
      <c r="AT568" s="132"/>
      <c r="AU568" s="133"/>
      <c r="AV568" s="134"/>
    </row>
    <row r="569" spans="1:49">
      <c r="A569" s="74">
        <v>1305</v>
      </c>
      <c r="B569" s="146" t="str">
        <f t="shared" si="83"/>
        <v>Electric FAFR0R11BasementDouble</v>
      </c>
      <c r="C569" s="170" t="s">
        <v>227</v>
      </c>
      <c r="D569" s="170" t="s">
        <v>329</v>
      </c>
      <c r="E569" s="166" t="s">
        <v>334</v>
      </c>
      <c r="F569" s="166" t="s">
        <v>377</v>
      </c>
      <c r="G569" s="72" t="s">
        <v>339</v>
      </c>
      <c r="H569" s="70">
        <f t="shared" si="81"/>
        <v>0</v>
      </c>
      <c r="I569" s="169" t="str">
        <f t="shared" si="82"/>
        <v/>
      </c>
      <c r="J569" s="70" t="str">
        <f t="shared" si="84"/>
        <v>1305Electric FAFR0R11BasementDouble</v>
      </c>
      <c r="S569" s="134"/>
      <c r="T569" s="134"/>
      <c r="U569" s="134"/>
      <c r="V569" s="134"/>
      <c r="W569" s="134"/>
      <c r="X569" s="134"/>
      <c r="Y569" s="134"/>
      <c r="Z569" s="134"/>
      <c r="AA569" s="134"/>
      <c r="AB569" s="134"/>
      <c r="AC569" s="134"/>
      <c r="AD569" s="134"/>
      <c r="AE569" s="134"/>
      <c r="AF569" s="146"/>
      <c r="AG569" s="134"/>
      <c r="AH569" s="134"/>
      <c r="AI569" s="134"/>
      <c r="AJ569" s="134"/>
      <c r="AK569" s="134"/>
      <c r="AL569" s="134"/>
      <c r="AM569" s="146"/>
      <c r="AN569" s="132"/>
      <c r="AO569" s="132"/>
      <c r="AP569" s="132"/>
      <c r="AQ569" s="132"/>
      <c r="AR569" s="134"/>
      <c r="AS569" s="134"/>
      <c r="AT569" s="132"/>
      <c r="AU569" s="133"/>
      <c r="AV569" s="134"/>
    </row>
    <row r="570" spans="1:49">
      <c r="A570" s="74">
        <v>1306</v>
      </c>
      <c r="B570" s="146" t="str">
        <f t="shared" si="83"/>
        <v>Electric FAFR0R11BasementBetter</v>
      </c>
      <c r="C570" s="170" t="s">
        <v>227</v>
      </c>
      <c r="D570" s="170" t="s">
        <v>329</v>
      </c>
      <c r="E570" s="166" t="s">
        <v>334</v>
      </c>
      <c r="F570" s="166" t="s">
        <v>377</v>
      </c>
      <c r="G570" s="166" t="s">
        <v>352</v>
      </c>
      <c r="H570" s="70">
        <f t="shared" si="81"/>
        <v>1192.4649999999999</v>
      </c>
      <c r="I570" s="169">
        <f t="shared" si="82"/>
        <v>1.1186288857965962E-3</v>
      </c>
      <c r="J570" s="70" t="str">
        <f t="shared" si="84"/>
        <v>1306Electric FAFR0R11BasementBetter</v>
      </c>
      <c r="S570" s="134"/>
      <c r="T570" s="134"/>
      <c r="U570" s="134"/>
      <c r="V570" s="134"/>
      <c r="W570" s="134"/>
      <c r="X570" s="134"/>
      <c r="Y570" s="134"/>
      <c r="Z570" s="134"/>
      <c r="AA570" s="134"/>
      <c r="AB570" s="134"/>
      <c r="AC570" s="134"/>
      <c r="AD570" s="134"/>
      <c r="AE570" s="134"/>
      <c r="AF570" s="146"/>
      <c r="AG570" s="134"/>
      <c r="AH570" s="134"/>
      <c r="AI570" s="134"/>
      <c r="AJ570" s="134"/>
      <c r="AK570" s="134"/>
      <c r="AL570" s="134"/>
      <c r="AM570" s="146"/>
      <c r="AN570" s="132"/>
      <c r="AO570" s="132"/>
      <c r="AP570" s="132"/>
      <c r="AQ570" s="132"/>
      <c r="AR570" s="134"/>
      <c r="AS570" s="134"/>
      <c r="AT570" s="132"/>
      <c r="AU570" s="133"/>
      <c r="AV570" s="134"/>
    </row>
    <row r="571" spans="1:49">
      <c r="A571" s="74">
        <v>1307</v>
      </c>
      <c r="B571" s="146" t="str">
        <f t="shared" si="83"/>
        <v>Electric FAFR11R0BasementSingle</v>
      </c>
      <c r="C571" s="170" t="s">
        <v>227</v>
      </c>
      <c r="D571" s="166" t="s">
        <v>334</v>
      </c>
      <c r="E571" s="166" t="s">
        <v>329</v>
      </c>
      <c r="F571" s="166" t="s">
        <v>377</v>
      </c>
      <c r="G571" s="166" t="s">
        <v>355</v>
      </c>
      <c r="H571" s="70">
        <f t="shared" si="81"/>
        <v>0</v>
      </c>
      <c r="I571" s="169" t="str">
        <f t="shared" si="82"/>
        <v/>
      </c>
      <c r="J571" s="70" t="str">
        <f t="shared" si="84"/>
        <v>1307Electric FAFR11R0BasementSingle</v>
      </c>
      <c r="S571" s="134"/>
      <c r="T571" s="134"/>
      <c r="U571" s="134"/>
      <c r="V571" s="134"/>
      <c r="W571" s="134"/>
      <c r="X571" s="134"/>
      <c r="Y571" s="134"/>
      <c r="Z571" s="134"/>
      <c r="AA571" s="134"/>
      <c r="AB571" s="134"/>
      <c r="AC571" s="134"/>
      <c r="AD571" s="134"/>
      <c r="AE571" s="134"/>
      <c r="AF571" s="146"/>
      <c r="AG571" s="134"/>
      <c r="AH571" s="134"/>
      <c r="AI571" s="134"/>
      <c r="AJ571" s="134"/>
      <c r="AK571" s="134"/>
      <c r="AL571" s="134"/>
      <c r="AM571" s="146"/>
      <c r="AN571" s="132"/>
      <c r="AO571" s="132"/>
      <c r="AP571" s="132"/>
      <c r="AQ571" s="132"/>
      <c r="AR571" s="134"/>
      <c r="AS571" s="134"/>
      <c r="AT571" s="132"/>
      <c r="AU571" s="133"/>
      <c r="AV571" s="134"/>
    </row>
    <row r="572" spans="1:49">
      <c r="A572" s="74">
        <v>1308</v>
      </c>
      <c r="B572" s="146" t="str">
        <f t="shared" si="83"/>
        <v>Electric FAFR11R0BasementDouble</v>
      </c>
      <c r="C572" s="170" t="s">
        <v>227</v>
      </c>
      <c r="D572" s="166" t="s">
        <v>334</v>
      </c>
      <c r="E572" s="166" t="s">
        <v>329</v>
      </c>
      <c r="F572" s="166" t="s">
        <v>377</v>
      </c>
      <c r="G572" s="72" t="s">
        <v>339</v>
      </c>
      <c r="H572" s="70">
        <f t="shared" si="81"/>
        <v>0</v>
      </c>
      <c r="I572" s="169" t="str">
        <f t="shared" si="82"/>
        <v/>
      </c>
      <c r="J572" s="70" t="str">
        <f t="shared" si="84"/>
        <v>1308Electric FAFR11R0BasementDouble</v>
      </c>
      <c r="S572" s="134"/>
      <c r="T572" s="134"/>
      <c r="U572" s="134"/>
      <c r="V572" s="134"/>
      <c r="W572" s="134"/>
      <c r="X572" s="134"/>
      <c r="Y572" s="134"/>
      <c r="Z572" s="134"/>
      <c r="AA572" s="134"/>
      <c r="AB572" s="134"/>
      <c r="AC572" s="134"/>
      <c r="AD572" s="134"/>
      <c r="AE572" s="134"/>
      <c r="AF572" s="146"/>
      <c r="AG572" s="134"/>
      <c r="AH572" s="134"/>
      <c r="AI572" s="134"/>
      <c r="AJ572" s="134"/>
      <c r="AK572" s="134"/>
      <c r="AL572" s="134"/>
      <c r="AM572" s="146"/>
      <c r="AN572" s="132"/>
      <c r="AO572" s="132"/>
      <c r="AP572" s="132"/>
      <c r="AQ572" s="132"/>
      <c r="AR572" s="134"/>
      <c r="AS572" s="134"/>
      <c r="AT572" s="132"/>
      <c r="AU572" s="133"/>
      <c r="AV572" s="134"/>
    </row>
    <row r="573" spans="1:49">
      <c r="A573" s="74">
        <v>1309</v>
      </c>
      <c r="B573" s="146" t="str">
        <f t="shared" si="83"/>
        <v>Electric FAFR11R0BasementBetter</v>
      </c>
      <c r="C573" s="170" t="s">
        <v>227</v>
      </c>
      <c r="D573" s="166" t="s">
        <v>334</v>
      </c>
      <c r="E573" s="166" t="s">
        <v>329</v>
      </c>
      <c r="F573" s="166" t="s">
        <v>377</v>
      </c>
      <c r="G573" s="72" t="s">
        <v>352</v>
      </c>
      <c r="H573" s="70">
        <f t="shared" si="81"/>
        <v>0</v>
      </c>
      <c r="I573" s="169" t="str">
        <f t="shared" si="82"/>
        <v/>
      </c>
      <c r="J573" s="70" t="str">
        <f t="shared" si="84"/>
        <v>1309Electric FAFR11R0BasementBetter</v>
      </c>
      <c r="S573" s="134"/>
      <c r="T573" s="134"/>
      <c r="U573" s="134"/>
      <c r="V573" s="134"/>
      <c r="W573" s="134"/>
      <c r="X573" s="134"/>
      <c r="Y573" s="134"/>
      <c r="Z573" s="134"/>
      <c r="AA573" s="134"/>
      <c r="AB573" s="134"/>
      <c r="AC573" s="134"/>
      <c r="AD573" s="134"/>
      <c r="AE573" s="134"/>
      <c r="AF573" s="146"/>
      <c r="AG573" s="134"/>
      <c r="AH573" s="134"/>
      <c r="AI573" s="134"/>
      <c r="AJ573" s="134"/>
      <c r="AK573" s="134"/>
      <c r="AL573" s="134"/>
      <c r="AM573" s="146"/>
      <c r="AN573" s="132"/>
      <c r="AO573" s="132"/>
      <c r="AP573" s="132"/>
      <c r="AQ573" s="132"/>
      <c r="AR573" s="134"/>
      <c r="AS573" s="134"/>
      <c r="AT573" s="132"/>
      <c r="AU573" s="133"/>
      <c r="AV573" s="134"/>
    </row>
    <row r="574" spans="1:49">
      <c r="A574" s="74">
        <v>1310</v>
      </c>
      <c r="B574" s="146" t="str">
        <f t="shared" si="83"/>
        <v>Electric FAFR11R11BasementSingle</v>
      </c>
      <c r="C574" s="170" t="s">
        <v>227</v>
      </c>
      <c r="D574" s="166" t="s">
        <v>334</v>
      </c>
      <c r="E574" s="166" t="s">
        <v>334</v>
      </c>
      <c r="F574" s="72" t="s">
        <v>377</v>
      </c>
      <c r="G574" s="166" t="s">
        <v>355</v>
      </c>
      <c r="H574" s="70">
        <f t="shared" si="81"/>
        <v>0</v>
      </c>
      <c r="I574" s="169" t="str">
        <f t="shared" si="82"/>
        <v/>
      </c>
      <c r="J574" s="70" t="str">
        <f t="shared" si="84"/>
        <v>1310Electric FAFR11R11BasementSingle</v>
      </c>
      <c r="S574" s="134"/>
      <c r="T574" s="134"/>
      <c r="U574" s="134"/>
      <c r="V574" s="134"/>
      <c r="W574" s="134"/>
      <c r="X574" s="134"/>
      <c r="Y574" s="134"/>
      <c r="Z574" s="134"/>
      <c r="AA574" s="134"/>
      <c r="AB574" s="134"/>
      <c r="AC574" s="134"/>
      <c r="AD574" s="134"/>
      <c r="AE574" s="134"/>
      <c r="AF574" s="146"/>
      <c r="AG574" s="134"/>
      <c r="AH574" s="134"/>
      <c r="AI574" s="134"/>
      <c r="AJ574" s="134"/>
      <c r="AK574" s="134"/>
      <c r="AL574" s="134"/>
      <c r="AM574" s="146"/>
      <c r="AN574" s="132"/>
      <c r="AO574" s="132"/>
      <c r="AP574" s="132"/>
      <c r="AQ574" s="132"/>
      <c r="AR574" s="134"/>
      <c r="AS574" s="134"/>
      <c r="AT574" s="132"/>
      <c r="AU574" s="133"/>
      <c r="AV574" s="134"/>
    </row>
    <row r="575" spans="1:49">
      <c r="A575" s="74">
        <v>1311</v>
      </c>
      <c r="B575" s="146" t="str">
        <f t="shared" si="83"/>
        <v>Electric FAFR11R11BasementDouble</v>
      </c>
      <c r="C575" s="170" t="s">
        <v>227</v>
      </c>
      <c r="D575" s="166" t="s">
        <v>334</v>
      </c>
      <c r="E575" s="166" t="s">
        <v>334</v>
      </c>
      <c r="F575" s="72" t="s">
        <v>377</v>
      </c>
      <c r="G575" s="72" t="s">
        <v>339</v>
      </c>
      <c r="H575" s="70">
        <f t="shared" si="81"/>
        <v>0</v>
      </c>
      <c r="I575" s="169" t="str">
        <f t="shared" si="82"/>
        <v/>
      </c>
      <c r="J575" s="70" t="str">
        <f t="shared" si="84"/>
        <v>1311Electric FAFR11R11BasementDouble</v>
      </c>
      <c r="S575" s="134"/>
      <c r="T575" s="134"/>
      <c r="U575" s="134"/>
      <c r="V575" s="134"/>
      <c r="W575" s="134"/>
      <c r="X575" s="134"/>
      <c r="Y575" s="134"/>
      <c r="Z575" s="134"/>
      <c r="AA575" s="134"/>
      <c r="AB575" s="134"/>
      <c r="AC575" s="134"/>
      <c r="AD575" s="134"/>
      <c r="AE575" s="134"/>
      <c r="AF575" s="146"/>
      <c r="AG575" s="134"/>
      <c r="AH575" s="134"/>
      <c r="AI575" s="134"/>
      <c r="AJ575" s="134"/>
      <c r="AK575" s="134"/>
      <c r="AL575" s="134"/>
      <c r="AM575" s="146"/>
      <c r="AN575" s="132"/>
      <c r="AO575" s="132"/>
      <c r="AP575" s="132"/>
      <c r="AQ575" s="132"/>
      <c r="AR575" s="134"/>
      <c r="AS575" s="134"/>
      <c r="AT575" s="132"/>
      <c r="AU575" s="133"/>
      <c r="AV575" s="134"/>
    </row>
    <row r="576" spans="1:49">
      <c r="A576" s="74">
        <v>1312</v>
      </c>
      <c r="B576" s="146" t="str">
        <f t="shared" si="83"/>
        <v>Electric FAFR11R11BasementBetter</v>
      </c>
      <c r="C576" s="170" t="s">
        <v>227</v>
      </c>
      <c r="D576" s="166" t="s">
        <v>334</v>
      </c>
      <c r="E576" s="166" t="s">
        <v>334</v>
      </c>
      <c r="F576" s="72" t="s">
        <v>377</v>
      </c>
      <c r="G576" s="166" t="s">
        <v>352</v>
      </c>
      <c r="H576" s="70">
        <f t="shared" si="81"/>
        <v>3096.7529999999997</v>
      </c>
      <c r="I576" s="169">
        <f t="shared" si="82"/>
        <v>2.9050054785484413E-3</v>
      </c>
      <c r="J576" s="70" t="str">
        <f t="shared" si="84"/>
        <v>1312Electric FAFR11R11BasementBetter</v>
      </c>
      <c r="S576" s="134"/>
      <c r="T576" s="134"/>
      <c r="U576" s="134"/>
      <c r="V576" s="134"/>
      <c r="W576" s="134"/>
      <c r="X576" s="134"/>
      <c r="Y576" s="134"/>
      <c r="Z576" s="134"/>
      <c r="AA576" s="134"/>
      <c r="AB576" s="134"/>
      <c r="AC576" s="134"/>
      <c r="AD576" s="134"/>
      <c r="AE576" s="134"/>
      <c r="AF576" s="146"/>
      <c r="AG576" s="134"/>
      <c r="AH576" s="134"/>
      <c r="AI576" s="134"/>
      <c r="AJ576" s="134"/>
      <c r="AK576" s="134"/>
      <c r="AL576" s="134"/>
      <c r="AM576" s="146"/>
      <c r="AN576" s="132"/>
      <c r="AO576" s="132"/>
      <c r="AP576" s="132"/>
      <c r="AQ576" s="132"/>
      <c r="AR576" s="134"/>
      <c r="AS576" s="134"/>
      <c r="AT576" s="132"/>
      <c r="AU576" s="133"/>
      <c r="AV576" s="134"/>
    </row>
    <row r="577" spans="1:48">
      <c r="A577" s="74">
        <v>1313</v>
      </c>
      <c r="B577" s="146" t="str">
        <f t="shared" si="83"/>
        <v>Electric FAFR19R0BasementSingle</v>
      </c>
      <c r="C577" s="170" t="s">
        <v>227</v>
      </c>
      <c r="D577" s="166" t="s">
        <v>335</v>
      </c>
      <c r="E577" s="166" t="s">
        <v>329</v>
      </c>
      <c r="F577" s="166" t="s">
        <v>377</v>
      </c>
      <c r="G577" s="166" t="s">
        <v>355</v>
      </c>
      <c r="H577" s="70">
        <f t="shared" si="81"/>
        <v>0</v>
      </c>
      <c r="I577" s="169" t="str">
        <f t="shared" si="82"/>
        <v/>
      </c>
      <c r="J577" s="70" t="str">
        <f t="shared" si="84"/>
        <v>1313Electric FAFR19R0BasementSingle</v>
      </c>
      <c r="S577" s="134"/>
      <c r="T577" s="134"/>
      <c r="U577" s="134"/>
      <c r="V577" s="134"/>
      <c r="W577" s="134"/>
      <c r="X577" s="134"/>
      <c r="Y577" s="134"/>
      <c r="Z577" s="134"/>
      <c r="AA577" s="134"/>
      <c r="AB577" s="134"/>
      <c r="AC577" s="134"/>
      <c r="AD577" s="134"/>
      <c r="AE577" s="134"/>
      <c r="AF577" s="146"/>
      <c r="AG577" s="134"/>
      <c r="AH577" s="134"/>
      <c r="AI577" s="134"/>
      <c r="AJ577" s="134"/>
      <c r="AK577" s="134"/>
      <c r="AL577" s="134"/>
      <c r="AM577" s="146"/>
      <c r="AN577" s="132"/>
      <c r="AO577" s="132"/>
      <c r="AP577" s="132"/>
      <c r="AQ577" s="132"/>
      <c r="AR577" s="134"/>
      <c r="AS577" s="134"/>
      <c r="AT577" s="132"/>
      <c r="AU577" s="133"/>
      <c r="AV577" s="134"/>
    </row>
    <row r="578" spans="1:48">
      <c r="A578" s="74">
        <v>1314</v>
      </c>
      <c r="B578" s="146" t="str">
        <f t="shared" si="83"/>
        <v>Electric FAFR19R0BasementDouble</v>
      </c>
      <c r="C578" s="170" t="s">
        <v>227</v>
      </c>
      <c r="D578" s="166" t="s">
        <v>335</v>
      </c>
      <c r="E578" s="166" t="s">
        <v>329</v>
      </c>
      <c r="F578" s="166" t="s">
        <v>377</v>
      </c>
      <c r="G578" s="72" t="s">
        <v>339</v>
      </c>
      <c r="H578" s="70">
        <f t="shared" si="81"/>
        <v>2003.7159999999999</v>
      </c>
      <c r="I578" s="169">
        <f t="shared" si="82"/>
        <v>1.8796481209367257E-3</v>
      </c>
      <c r="J578" s="70" t="str">
        <f t="shared" si="84"/>
        <v>1314Electric FAFR19R0BasementDouble</v>
      </c>
      <c r="S578" s="134"/>
      <c r="T578" s="134"/>
      <c r="U578" s="134"/>
      <c r="V578" s="134"/>
      <c r="W578" s="134"/>
      <c r="X578" s="134"/>
      <c r="Y578" s="134"/>
      <c r="Z578" s="134"/>
      <c r="AA578" s="134"/>
      <c r="AB578" s="134"/>
      <c r="AC578" s="134"/>
      <c r="AD578" s="134"/>
      <c r="AE578" s="134"/>
      <c r="AF578" s="146"/>
      <c r="AG578" s="134"/>
      <c r="AH578" s="134"/>
      <c r="AI578" s="134"/>
      <c r="AJ578" s="134"/>
      <c r="AK578" s="134"/>
      <c r="AL578" s="134"/>
      <c r="AM578" s="146"/>
      <c r="AN578" s="132"/>
      <c r="AO578" s="132"/>
      <c r="AP578" s="132"/>
      <c r="AQ578" s="132"/>
      <c r="AR578" s="134"/>
      <c r="AS578" s="134"/>
      <c r="AT578" s="132"/>
      <c r="AU578" s="133"/>
      <c r="AV578" s="134"/>
    </row>
    <row r="579" spans="1:48">
      <c r="A579" s="74">
        <v>1315</v>
      </c>
      <c r="B579" s="146" t="str">
        <f t="shared" si="83"/>
        <v>Electric FAFR19R0BasementBetter</v>
      </c>
      <c r="C579" s="170" t="s">
        <v>227</v>
      </c>
      <c r="D579" s="166" t="s">
        <v>335</v>
      </c>
      <c r="E579" s="166" t="s">
        <v>329</v>
      </c>
      <c r="F579" s="166" t="s">
        <v>377</v>
      </c>
      <c r="G579" s="72" t="s">
        <v>352</v>
      </c>
      <c r="H579" s="70">
        <f t="shared" si="81"/>
        <v>0</v>
      </c>
      <c r="I579" s="169" t="str">
        <f t="shared" si="82"/>
        <v/>
      </c>
      <c r="J579" s="70" t="str">
        <f t="shared" si="84"/>
        <v>1315Electric FAFR19R0BasementBetter</v>
      </c>
      <c r="S579" s="134"/>
      <c r="T579" s="134"/>
      <c r="U579" s="134"/>
      <c r="V579" s="134"/>
      <c r="W579" s="134"/>
      <c r="X579" s="134"/>
      <c r="Y579" s="134"/>
      <c r="Z579" s="134"/>
      <c r="AA579" s="134"/>
      <c r="AB579" s="134"/>
      <c r="AC579" s="134"/>
      <c r="AD579" s="134"/>
      <c r="AE579" s="134"/>
      <c r="AF579" s="146"/>
      <c r="AG579" s="134"/>
      <c r="AH579" s="134"/>
      <c r="AI579" s="134"/>
      <c r="AJ579" s="134"/>
      <c r="AK579" s="134"/>
      <c r="AL579" s="134"/>
      <c r="AM579" s="146"/>
      <c r="AN579" s="132"/>
      <c r="AO579" s="132"/>
      <c r="AP579" s="132"/>
      <c r="AQ579" s="132"/>
      <c r="AR579" s="134"/>
      <c r="AS579" s="134"/>
      <c r="AT579" s="132"/>
      <c r="AU579" s="133"/>
      <c r="AV579" s="134"/>
    </row>
    <row r="580" spans="1:48">
      <c r="A580" s="74">
        <v>1316</v>
      </c>
      <c r="B580" s="146" t="str">
        <f t="shared" si="83"/>
        <v>Electric FAFR19R11BasementSingle</v>
      </c>
      <c r="C580" s="170" t="s">
        <v>227</v>
      </c>
      <c r="D580" s="166" t="s">
        <v>335</v>
      </c>
      <c r="E580" s="166" t="s">
        <v>334</v>
      </c>
      <c r="F580" s="166" t="s">
        <v>377</v>
      </c>
      <c r="G580" s="166" t="s">
        <v>355</v>
      </c>
      <c r="H580" s="70">
        <f t="shared" si="81"/>
        <v>0</v>
      </c>
      <c r="I580" s="169" t="str">
        <f t="shared" si="82"/>
        <v/>
      </c>
      <c r="J580" s="70" t="str">
        <f t="shared" si="84"/>
        <v>1316Electric FAFR19R11BasementSingle</v>
      </c>
      <c r="S580" s="134"/>
      <c r="T580" s="134"/>
      <c r="U580" s="134"/>
      <c r="V580" s="134"/>
      <c r="W580" s="134"/>
      <c r="X580" s="134"/>
      <c r="Y580" s="134"/>
      <c r="Z580" s="134"/>
      <c r="AA580" s="134"/>
      <c r="AB580" s="134"/>
      <c r="AC580" s="134"/>
      <c r="AD580" s="134"/>
      <c r="AE580" s="134"/>
      <c r="AF580" s="146"/>
      <c r="AG580" s="134"/>
      <c r="AH580" s="134"/>
      <c r="AI580" s="134"/>
      <c r="AJ580" s="134"/>
      <c r="AK580" s="134"/>
      <c r="AL580" s="134"/>
      <c r="AM580" s="146"/>
      <c r="AN580" s="132"/>
      <c r="AO580" s="132"/>
      <c r="AP580" s="132"/>
      <c r="AQ580" s="132"/>
      <c r="AR580" s="134"/>
      <c r="AS580" s="134"/>
      <c r="AT580" s="132"/>
      <c r="AU580" s="133"/>
      <c r="AV580" s="134"/>
    </row>
    <row r="581" spans="1:48">
      <c r="A581" s="74">
        <v>1317</v>
      </c>
      <c r="B581" s="146" t="str">
        <f t="shared" si="83"/>
        <v>Electric FAFR19R11BasementDouble</v>
      </c>
      <c r="C581" s="170" t="s">
        <v>227</v>
      </c>
      <c r="D581" s="166" t="s">
        <v>335</v>
      </c>
      <c r="E581" s="166" t="s">
        <v>334</v>
      </c>
      <c r="F581" s="166" t="s">
        <v>377</v>
      </c>
      <c r="G581" s="72" t="s">
        <v>339</v>
      </c>
      <c r="H581" s="70">
        <f t="shared" si="81"/>
        <v>1464.694</v>
      </c>
      <c r="I581" s="169">
        <f t="shared" si="82"/>
        <v>1.3740017671403017E-3</v>
      </c>
      <c r="J581" s="70" t="str">
        <f t="shared" si="84"/>
        <v>1317Electric FAFR19R11BasementDouble</v>
      </c>
      <c r="S581" s="134"/>
      <c r="T581" s="134"/>
      <c r="U581" s="134"/>
      <c r="V581" s="134"/>
      <c r="W581" s="134"/>
      <c r="X581" s="134"/>
      <c r="Y581" s="134"/>
      <c r="Z581" s="134"/>
      <c r="AA581" s="134"/>
      <c r="AB581" s="134"/>
      <c r="AC581" s="134"/>
      <c r="AD581" s="134"/>
      <c r="AE581" s="134"/>
      <c r="AF581" s="146"/>
      <c r="AG581" s="134"/>
      <c r="AH581" s="134"/>
      <c r="AI581" s="134"/>
      <c r="AJ581" s="134"/>
      <c r="AK581" s="134"/>
      <c r="AL581" s="134"/>
      <c r="AM581" s="146"/>
      <c r="AN581" s="132"/>
      <c r="AO581" s="132"/>
      <c r="AP581" s="132"/>
      <c r="AQ581" s="132"/>
      <c r="AR581" s="134"/>
      <c r="AS581" s="134"/>
      <c r="AT581" s="132"/>
      <c r="AU581" s="133"/>
      <c r="AV581" s="134"/>
    </row>
    <row r="582" spans="1:48">
      <c r="A582" s="74">
        <v>1318</v>
      </c>
      <c r="B582" s="146" t="str">
        <f t="shared" si="83"/>
        <v>Electric FAFR19R11BasementBetter</v>
      </c>
      <c r="C582" s="170" t="s">
        <v>227</v>
      </c>
      <c r="D582" s="166" t="s">
        <v>335</v>
      </c>
      <c r="E582" s="166" t="s">
        <v>334</v>
      </c>
      <c r="F582" s="166" t="s">
        <v>377</v>
      </c>
      <c r="G582" s="166" t="s">
        <v>352</v>
      </c>
      <c r="H582" s="70">
        <f t="shared" si="81"/>
        <v>3604.7550000000001</v>
      </c>
      <c r="I582" s="169">
        <f t="shared" si="82"/>
        <v>3.3815525564437612E-3</v>
      </c>
      <c r="J582" s="70" t="str">
        <f t="shared" si="84"/>
        <v>1318Electric FAFR19R11BasementBetter</v>
      </c>
      <c r="S582" s="134"/>
      <c r="T582" s="134"/>
      <c r="U582" s="134"/>
      <c r="V582" s="134"/>
      <c r="W582" s="134"/>
      <c r="X582" s="134"/>
      <c r="Y582" s="134"/>
      <c r="Z582" s="134"/>
      <c r="AA582" s="134"/>
      <c r="AB582" s="134"/>
      <c r="AC582" s="134"/>
      <c r="AD582" s="134"/>
      <c r="AE582" s="134"/>
      <c r="AF582" s="146"/>
      <c r="AG582" s="134"/>
      <c r="AH582" s="134"/>
      <c r="AI582" s="134"/>
      <c r="AJ582" s="134"/>
      <c r="AK582" s="134"/>
      <c r="AL582" s="134"/>
      <c r="AM582" s="146"/>
      <c r="AN582" s="132"/>
      <c r="AO582" s="132"/>
      <c r="AP582" s="132"/>
      <c r="AQ582" s="132"/>
      <c r="AR582" s="134"/>
      <c r="AS582" s="134"/>
      <c r="AT582" s="132"/>
      <c r="AU582" s="133"/>
      <c r="AV582" s="134"/>
    </row>
    <row r="583" spans="1:48">
      <c r="A583" s="74">
        <v>1319</v>
      </c>
      <c r="B583" s="146" t="str">
        <f t="shared" si="83"/>
        <v>Electric FAFR30R0BasementSingle</v>
      </c>
      <c r="C583" s="170" t="s">
        <v>227</v>
      </c>
      <c r="D583" s="166" t="s">
        <v>336</v>
      </c>
      <c r="E583" s="166" t="s">
        <v>329</v>
      </c>
      <c r="F583" s="72" t="s">
        <v>377</v>
      </c>
      <c r="G583" s="166" t="s">
        <v>355</v>
      </c>
      <c r="H583" s="70">
        <f t="shared" si="81"/>
        <v>0</v>
      </c>
      <c r="I583" s="169" t="str">
        <f t="shared" si="82"/>
        <v/>
      </c>
      <c r="J583" s="70" t="str">
        <f t="shared" si="84"/>
        <v>1319Electric FAFR30R0BasementSingle</v>
      </c>
      <c r="S583" s="134"/>
      <c r="T583" s="134"/>
      <c r="U583" s="134"/>
      <c r="V583" s="134"/>
      <c r="W583" s="134"/>
      <c r="X583" s="134"/>
      <c r="Y583" s="134"/>
      <c r="Z583" s="134"/>
      <c r="AA583" s="134"/>
      <c r="AB583" s="134"/>
      <c r="AC583" s="134"/>
      <c r="AD583" s="134"/>
      <c r="AE583" s="134"/>
      <c r="AF583" s="146"/>
      <c r="AG583" s="134"/>
      <c r="AH583" s="134"/>
      <c r="AI583" s="134"/>
      <c r="AJ583" s="134"/>
      <c r="AK583" s="134"/>
      <c r="AL583" s="134"/>
      <c r="AM583" s="146"/>
      <c r="AN583" s="132"/>
      <c r="AO583" s="132"/>
      <c r="AP583" s="132"/>
      <c r="AQ583" s="132"/>
      <c r="AR583" s="134"/>
      <c r="AS583" s="134"/>
      <c r="AT583" s="132"/>
      <c r="AU583" s="133"/>
      <c r="AV583" s="134"/>
    </row>
    <row r="584" spans="1:48">
      <c r="A584" s="74">
        <v>1320</v>
      </c>
      <c r="B584" s="146" t="str">
        <f t="shared" si="83"/>
        <v>Electric FAFR30R0BasementDouble</v>
      </c>
      <c r="C584" s="170" t="s">
        <v>227</v>
      </c>
      <c r="D584" s="166" t="s">
        <v>336</v>
      </c>
      <c r="E584" s="166" t="s">
        <v>329</v>
      </c>
      <c r="F584" s="72" t="s">
        <v>377</v>
      </c>
      <c r="G584" s="72" t="s">
        <v>339</v>
      </c>
      <c r="H584" s="70">
        <f t="shared" si="81"/>
        <v>0</v>
      </c>
      <c r="I584" s="169" t="str">
        <f t="shared" si="82"/>
        <v/>
      </c>
      <c r="J584" s="70" t="str">
        <f t="shared" si="84"/>
        <v>1320Electric FAFR30R0BasementDouble</v>
      </c>
      <c r="S584" s="134"/>
      <c r="T584" s="134"/>
      <c r="U584" s="134"/>
      <c r="V584" s="134"/>
      <c r="W584" s="134"/>
      <c r="X584" s="134"/>
      <c r="Y584" s="134"/>
      <c r="Z584" s="134"/>
      <c r="AA584" s="134"/>
      <c r="AB584" s="134"/>
      <c r="AC584" s="134"/>
      <c r="AD584" s="134"/>
      <c r="AE584" s="134"/>
      <c r="AF584" s="146"/>
      <c r="AG584" s="134"/>
      <c r="AH584" s="134"/>
      <c r="AI584" s="134"/>
      <c r="AJ584" s="134"/>
      <c r="AK584" s="134"/>
      <c r="AL584" s="134"/>
      <c r="AM584" s="146"/>
      <c r="AN584" s="132"/>
      <c r="AO584" s="132"/>
      <c r="AP584" s="132"/>
      <c r="AQ584" s="132"/>
      <c r="AR584" s="134"/>
      <c r="AS584" s="134"/>
      <c r="AT584" s="132"/>
      <c r="AU584" s="133"/>
      <c r="AV584" s="134"/>
    </row>
    <row r="585" spans="1:48">
      <c r="A585" s="74">
        <v>1321</v>
      </c>
      <c r="B585" s="146" t="str">
        <f t="shared" si="83"/>
        <v>Electric FAFR30R0BasementBetter</v>
      </c>
      <c r="C585" s="170" t="s">
        <v>227</v>
      </c>
      <c r="D585" s="166" t="s">
        <v>336</v>
      </c>
      <c r="E585" s="166" t="s">
        <v>329</v>
      </c>
      <c r="F585" s="72" t="s">
        <v>377</v>
      </c>
      <c r="G585" s="72" t="s">
        <v>352</v>
      </c>
      <c r="H585" s="70">
        <f t="shared" ref="H585:H648" si="85">SUMIFS($I$755:$I$1283,$O$755:$O$1283,B585,$J$755:$J$1283,"keep")</f>
        <v>0</v>
      </c>
      <c r="I585" s="169" t="str">
        <f t="shared" ref="I585:I648" si="86">IF(H585&gt;0,H585/SUM($H$265:$H$714),"")</f>
        <v/>
      </c>
      <c r="J585" s="70" t="str">
        <f t="shared" si="84"/>
        <v>1321Electric FAFR30R0BasementBetter</v>
      </c>
      <c r="S585" s="134"/>
      <c r="T585" s="134"/>
      <c r="U585" s="134"/>
      <c r="V585" s="134"/>
      <c r="W585" s="134"/>
      <c r="X585" s="134"/>
      <c r="Y585" s="134"/>
      <c r="Z585" s="134"/>
      <c r="AA585" s="134"/>
      <c r="AB585" s="134"/>
      <c r="AC585" s="134"/>
      <c r="AD585" s="134"/>
      <c r="AE585" s="134"/>
      <c r="AF585" s="146"/>
      <c r="AG585" s="134"/>
      <c r="AH585" s="134"/>
      <c r="AI585" s="134"/>
      <c r="AJ585" s="134"/>
      <c r="AK585" s="134"/>
      <c r="AL585" s="134"/>
      <c r="AM585" s="146"/>
      <c r="AN585" s="132"/>
      <c r="AO585" s="132"/>
      <c r="AP585" s="132"/>
      <c r="AQ585" s="132"/>
      <c r="AR585" s="134"/>
      <c r="AS585" s="134"/>
      <c r="AT585" s="132"/>
      <c r="AU585" s="133"/>
      <c r="AV585" s="134"/>
    </row>
    <row r="586" spans="1:48">
      <c r="A586" s="74">
        <v>1322</v>
      </c>
      <c r="B586" s="146" t="str">
        <f t="shared" ref="B586:B649" si="87">C586&amp;D586&amp;E586&amp;F586&amp;G586</f>
        <v>Electric FAFR30R11BasementSingle</v>
      </c>
      <c r="C586" s="170" t="s">
        <v>227</v>
      </c>
      <c r="D586" s="166" t="s">
        <v>336</v>
      </c>
      <c r="E586" s="166" t="s">
        <v>334</v>
      </c>
      <c r="F586" s="166" t="s">
        <v>377</v>
      </c>
      <c r="G586" s="166" t="s">
        <v>355</v>
      </c>
      <c r="H586" s="70">
        <f t="shared" si="85"/>
        <v>0</v>
      </c>
      <c r="I586" s="169" t="str">
        <f t="shared" si="86"/>
        <v/>
      </c>
      <c r="J586" s="70" t="str">
        <f t="shared" ref="J586:J649" si="88">A586&amp;B586</f>
        <v>1322Electric FAFR30R11BasementSingle</v>
      </c>
      <c r="S586" s="134"/>
      <c r="T586" s="134"/>
      <c r="U586" s="134"/>
      <c r="V586" s="134"/>
      <c r="W586" s="134"/>
      <c r="X586" s="134"/>
      <c r="Y586" s="134"/>
      <c r="Z586" s="134"/>
      <c r="AA586" s="134"/>
      <c r="AB586" s="134"/>
      <c r="AC586" s="134"/>
      <c r="AD586" s="134"/>
      <c r="AE586" s="134"/>
      <c r="AF586" s="146"/>
      <c r="AG586" s="134"/>
      <c r="AH586" s="134"/>
      <c r="AI586" s="134"/>
      <c r="AJ586" s="134"/>
      <c r="AK586" s="134"/>
      <c r="AL586" s="134"/>
      <c r="AM586" s="146"/>
      <c r="AN586" s="132"/>
      <c r="AO586" s="132"/>
      <c r="AP586" s="132"/>
      <c r="AQ586" s="132"/>
      <c r="AR586" s="134"/>
      <c r="AS586" s="134"/>
      <c r="AT586" s="132"/>
      <c r="AU586" s="133"/>
      <c r="AV586" s="134"/>
    </row>
    <row r="587" spans="1:48">
      <c r="A587" s="74">
        <v>1323</v>
      </c>
      <c r="B587" s="146" t="str">
        <f t="shared" si="87"/>
        <v>Electric FAFR30R11BasementDouble</v>
      </c>
      <c r="C587" s="170" t="s">
        <v>227</v>
      </c>
      <c r="D587" s="166" t="s">
        <v>336</v>
      </c>
      <c r="E587" s="166" t="s">
        <v>334</v>
      </c>
      <c r="F587" s="166" t="s">
        <v>377</v>
      </c>
      <c r="G587" s="72" t="s">
        <v>339</v>
      </c>
      <c r="H587" s="70">
        <f t="shared" si="85"/>
        <v>3808.576</v>
      </c>
      <c r="I587" s="169">
        <f t="shared" si="86"/>
        <v>3.5727531855036902E-3</v>
      </c>
      <c r="J587" s="70" t="str">
        <f t="shared" si="88"/>
        <v>1323Electric FAFR30R11BasementDouble</v>
      </c>
      <c r="S587" s="134"/>
      <c r="T587" s="134"/>
      <c r="U587" s="134"/>
      <c r="V587" s="134"/>
      <c r="W587" s="134"/>
      <c r="X587" s="134"/>
      <c r="Y587" s="134"/>
      <c r="Z587" s="134"/>
      <c r="AA587" s="134"/>
      <c r="AB587" s="134"/>
      <c r="AC587" s="134"/>
      <c r="AD587" s="134"/>
      <c r="AE587" s="134"/>
      <c r="AF587" s="146"/>
      <c r="AG587" s="134"/>
      <c r="AH587" s="134"/>
      <c r="AI587" s="134"/>
      <c r="AJ587" s="134"/>
      <c r="AK587" s="134"/>
      <c r="AL587" s="134"/>
      <c r="AM587" s="146"/>
      <c r="AN587" s="132"/>
      <c r="AO587" s="132"/>
      <c r="AP587" s="132"/>
      <c r="AQ587" s="132"/>
      <c r="AR587" s="134"/>
      <c r="AS587" s="134"/>
      <c r="AT587" s="132"/>
      <c r="AU587" s="133"/>
      <c r="AV587" s="134"/>
    </row>
    <row r="588" spans="1:48">
      <c r="A588" s="74">
        <v>1324</v>
      </c>
      <c r="B588" s="146" t="str">
        <f t="shared" si="87"/>
        <v>Electric FAFR30R11BasementBetter</v>
      </c>
      <c r="C588" s="170" t="s">
        <v>227</v>
      </c>
      <c r="D588" s="166" t="s">
        <v>336</v>
      </c>
      <c r="E588" s="166" t="s">
        <v>334</v>
      </c>
      <c r="F588" s="166" t="s">
        <v>377</v>
      </c>
      <c r="G588" s="166" t="s">
        <v>352</v>
      </c>
      <c r="H588" s="70">
        <f t="shared" si="85"/>
        <v>7245.8510000000006</v>
      </c>
      <c r="I588" s="169">
        <f t="shared" si="86"/>
        <v>6.7971959183524503E-3</v>
      </c>
      <c r="J588" s="70" t="str">
        <f t="shared" si="88"/>
        <v>1324Electric FAFR30R11BasementBetter</v>
      </c>
      <c r="S588" s="134"/>
      <c r="T588" s="134"/>
      <c r="U588" s="134"/>
      <c r="V588" s="134"/>
      <c r="W588" s="134"/>
      <c r="X588" s="134"/>
      <c r="Y588" s="134"/>
      <c r="Z588" s="134"/>
      <c r="AA588" s="134"/>
      <c r="AB588" s="134"/>
      <c r="AC588" s="134"/>
      <c r="AD588" s="134"/>
      <c r="AE588" s="134"/>
      <c r="AF588" s="146"/>
      <c r="AG588" s="134"/>
      <c r="AH588" s="134"/>
      <c r="AI588" s="134"/>
      <c r="AJ588" s="134"/>
      <c r="AK588" s="134"/>
      <c r="AL588" s="134"/>
      <c r="AM588" s="146"/>
      <c r="AN588" s="132"/>
      <c r="AO588" s="132"/>
      <c r="AP588" s="132"/>
      <c r="AQ588" s="132"/>
      <c r="AR588" s="134"/>
      <c r="AS588" s="134"/>
      <c r="AT588" s="132"/>
      <c r="AU588" s="133"/>
      <c r="AV588" s="134"/>
    </row>
    <row r="589" spans="1:48">
      <c r="A589" s="74">
        <v>1325</v>
      </c>
      <c r="B589" s="146" t="str">
        <f t="shared" si="87"/>
        <v>Electric FAFR38R0BasementSingle</v>
      </c>
      <c r="C589" s="134" t="s">
        <v>227</v>
      </c>
      <c r="D589" s="132" t="s">
        <v>331</v>
      </c>
      <c r="E589" s="147" t="s">
        <v>329</v>
      </c>
      <c r="F589" s="147" t="s">
        <v>377</v>
      </c>
      <c r="G589" s="166" t="s">
        <v>355</v>
      </c>
      <c r="H589" s="70">
        <f t="shared" si="85"/>
        <v>0</v>
      </c>
      <c r="I589" s="169" t="str">
        <f t="shared" si="86"/>
        <v/>
      </c>
      <c r="J589" s="70" t="str">
        <f t="shared" si="88"/>
        <v>1325Electric FAFR38R0BasementSingle</v>
      </c>
      <c r="S589" s="134"/>
      <c r="T589" s="134"/>
      <c r="U589" s="134"/>
      <c r="V589" s="134"/>
      <c r="W589" s="134"/>
      <c r="X589" s="134"/>
      <c r="Y589" s="134"/>
      <c r="Z589" s="134"/>
      <c r="AA589" s="134"/>
      <c r="AB589" s="134"/>
      <c r="AC589" s="134"/>
      <c r="AD589" s="134"/>
      <c r="AE589" s="134"/>
      <c r="AF589" s="146"/>
      <c r="AG589" s="134"/>
      <c r="AH589" s="134"/>
      <c r="AI589" s="134"/>
      <c r="AJ589" s="134"/>
      <c r="AK589" s="134"/>
      <c r="AL589" s="134"/>
      <c r="AM589" s="146"/>
      <c r="AN589" s="132"/>
      <c r="AO589" s="132"/>
      <c r="AP589" s="132"/>
      <c r="AQ589" s="132"/>
      <c r="AR589" s="134"/>
      <c r="AS589" s="134"/>
      <c r="AT589" s="132"/>
      <c r="AU589" s="133"/>
      <c r="AV589" s="134"/>
    </row>
    <row r="590" spans="1:48">
      <c r="A590" s="74">
        <v>1326</v>
      </c>
      <c r="B590" s="146" t="str">
        <f t="shared" si="87"/>
        <v>Electric FAFR38R0BasementDouble</v>
      </c>
      <c r="C590" s="134" t="s">
        <v>227</v>
      </c>
      <c r="D590" s="132" t="s">
        <v>331</v>
      </c>
      <c r="E590" s="147" t="s">
        <v>329</v>
      </c>
      <c r="F590" s="147" t="s">
        <v>377</v>
      </c>
      <c r="G590" s="72" t="s">
        <v>339</v>
      </c>
      <c r="H590" s="70">
        <f t="shared" si="85"/>
        <v>0</v>
      </c>
      <c r="I590" s="169" t="str">
        <f t="shared" si="86"/>
        <v/>
      </c>
      <c r="J590" s="70" t="str">
        <f t="shared" si="88"/>
        <v>1326Electric FAFR38R0BasementDouble</v>
      </c>
      <c r="S590" s="134"/>
      <c r="T590" s="134"/>
      <c r="U590" s="134"/>
      <c r="V590" s="134"/>
      <c r="W590" s="134"/>
      <c r="X590" s="134"/>
      <c r="Y590" s="134"/>
      <c r="Z590" s="134"/>
      <c r="AA590" s="134"/>
      <c r="AB590" s="134"/>
      <c r="AC590" s="134"/>
      <c r="AD590" s="134"/>
      <c r="AE590" s="134"/>
      <c r="AF590" s="146"/>
      <c r="AG590" s="134"/>
      <c r="AH590" s="134"/>
      <c r="AI590" s="134"/>
      <c r="AJ590" s="134"/>
      <c r="AK590" s="134"/>
      <c r="AL590" s="134"/>
      <c r="AM590" s="146"/>
      <c r="AN590" s="132"/>
      <c r="AO590" s="132"/>
      <c r="AP590" s="132"/>
      <c r="AQ590" s="132"/>
      <c r="AR590" s="134"/>
      <c r="AS590" s="134"/>
      <c r="AT590" s="132"/>
      <c r="AU590" s="133"/>
      <c r="AV590" s="134"/>
    </row>
    <row r="591" spans="1:48">
      <c r="A591" s="74">
        <v>1327</v>
      </c>
      <c r="B591" s="146" t="str">
        <f t="shared" si="87"/>
        <v>Electric FAFR38R0BasementBetter</v>
      </c>
      <c r="C591" s="134" t="s">
        <v>227</v>
      </c>
      <c r="D591" s="132" t="s">
        <v>331</v>
      </c>
      <c r="E591" s="147" t="s">
        <v>329</v>
      </c>
      <c r="F591" s="147" t="s">
        <v>377</v>
      </c>
      <c r="G591" s="166" t="s">
        <v>352</v>
      </c>
      <c r="H591" s="70">
        <f t="shared" si="85"/>
        <v>0</v>
      </c>
      <c r="I591" s="169" t="str">
        <f t="shared" si="86"/>
        <v/>
      </c>
      <c r="J591" s="70" t="str">
        <f t="shared" si="88"/>
        <v>1327Electric FAFR38R0BasementBetter</v>
      </c>
      <c r="S591" s="134"/>
      <c r="T591" s="134"/>
      <c r="U591" s="134"/>
      <c r="V591" s="134"/>
      <c r="W591" s="134"/>
      <c r="X591" s="134"/>
      <c r="Y591" s="134"/>
      <c r="Z591" s="134"/>
      <c r="AA591" s="134"/>
      <c r="AB591" s="134"/>
      <c r="AC591" s="134"/>
      <c r="AD591" s="134"/>
      <c r="AE591" s="134"/>
      <c r="AF591" s="146"/>
      <c r="AG591" s="134"/>
      <c r="AH591" s="134"/>
      <c r="AI591" s="134"/>
      <c r="AJ591" s="134"/>
      <c r="AK591" s="134"/>
      <c r="AL591" s="134"/>
      <c r="AM591" s="146"/>
      <c r="AN591" s="132"/>
      <c r="AO591" s="132"/>
      <c r="AP591" s="132"/>
      <c r="AQ591" s="132"/>
      <c r="AR591" s="134"/>
      <c r="AS591" s="134"/>
      <c r="AT591" s="132"/>
      <c r="AU591" s="133"/>
      <c r="AV591" s="134"/>
    </row>
    <row r="592" spans="1:48">
      <c r="A592" s="74">
        <v>1328</v>
      </c>
      <c r="B592" s="146" t="str">
        <f t="shared" si="87"/>
        <v>Electric FAFR38R11BasementSingle</v>
      </c>
      <c r="C592" s="134" t="s">
        <v>227</v>
      </c>
      <c r="D592" s="132" t="s">
        <v>331</v>
      </c>
      <c r="E592" s="147" t="s">
        <v>334</v>
      </c>
      <c r="F592" s="147" t="s">
        <v>377</v>
      </c>
      <c r="G592" s="166" t="s">
        <v>355</v>
      </c>
      <c r="H592" s="70">
        <f t="shared" si="85"/>
        <v>0</v>
      </c>
      <c r="I592" s="169" t="str">
        <f t="shared" si="86"/>
        <v/>
      </c>
      <c r="J592" s="70" t="str">
        <f t="shared" si="88"/>
        <v>1328Electric FAFR38R11BasementSingle</v>
      </c>
      <c r="S592" s="134"/>
      <c r="T592" s="134"/>
      <c r="U592" s="134"/>
      <c r="V592" s="134"/>
      <c r="W592" s="134"/>
      <c r="X592" s="134"/>
      <c r="Y592" s="134"/>
      <c r="Z592" s="134"/>
      <c r="AA592" s="134"/>
      <c r="AB592" s="134"/>
      <c r="AC592" s="134"/>
      <c r="AD592" s="134"/>
      <c r="AE592" s="134"/>
      <c r="AF592" s="146"/>
      <c r="AG592" s="134"/>
      <c r="AH592" s="134"/>
      <c r="AI592" s="134"/>
      <c r="AJ592" s="134"/>
      <c r="AK592" s="134"/>
      <c r="AL592" s="134"/>
      <c r="AM592" s="146"/>
      <c r="AN592" s="132"/>
      <c r="AO592" s="132"/>
      <c r="AP592" s="132"/>
      <c r="AQ592" s="132"/>
      <c r="AR592" s="134"/>
      <c r="AS592" s="134"/>
      <c r="AT592" s="132"/>
      <c r="AU592" s="133"/>
      <c r="AV592" s="134"/>
    </row>
    <row r="593" spans="1:48">
      <c r="A593" s="74">
        <v>1329</v>
      </c>
      <c r="B593" s="146" t="str">
        <f t="shared" si="87"/>
        <v>Electric FAFR38R11BasementDouble</v>
      </c>
      <c r="C593" s="134" t="s">
        <v>227</v>
      </c>
      <c r="D593" s="132" t="s">
        <v>331</v>
      </c>
      <c r="E593" s="147" t="s">
        <v>334</v>
      </c>
      <c r="F593" s="147" t="s">
        <v>377</v>
      </c>
      <c r="G593" s="72" t="s">
        <v>339</v>
      </c>
      <c r="H593" s="70">
        <f t="shared" si="85"/>
        <v>22184.296000000002</v>
      </c>
      <c r="I593" s="169">
        <f t="shared" si="86"/>
        <v>2.0810668922494072E-2</v>
      </c>
      <c r="J593" s="70" t="str">
        <f t="shared" si="88"/>
        <v>1329Electric FAFR38R11BasementDouble</v>
      </c>
      <c r="S593" s="134"/>
      <c r="T593" s="134"/>
      <c r="U593" s="134"/>
      <c r="V593" s="134"/>
      <c r="W593" s="134"/>
      <c r="X593" s="134"/>
      <c r="Y593" s="134"/>
      <c r="Z593" s="134"/>
      <c r="AA593" s="134"/>
      <c r="AB593" s="134"/>
      <c r="AC593" s="134"/>
      <c r="AD593" s="134"/>
      <c r="AE593" s="134"/>
      <c r="AF593" s="146"/>
      <c r="AG593" s="134"/>
      <c r="AH593" s="134"/>
      <c r="AI593" s="134"/>
      <c r="AJ593" s="134"/>
      <c r="AK593" s="134"/>
      <c r="AL593" s="134"/>
      <c r="AM593" s="146"/>
      <c r="AN593" s="132"/>
      <c r="AO593" s="132"/>
      <c r="AP593" s="132"/>
      <c r="AQ593" s="132"/>
      <c r="AR593" s="134"/>
      <c r="AS593" s="134"/>
      <c r="AT593" s="132"/>
      <c r="AU593" s="133"/>
      <c r="AV593" s="134"/>
    </row>
    <row r="594" spans="1:48">
      <c r="A594" s="74">
        <v>1330</v>
      </c>
      <c r="B594" s="146" t="str">
        <f t="shared" si="87"/>
        <v>Electric FAFR38R11BasementBetter</v>
      </c>
      <c r="C594" s="134" t="s">
        <v>227</v>
      </c>
      <c r="D594" s="132" t="s">
        <v>331</v>
      </c>
      <c r="E594" s="147" t="s">
        <v>334</v>
      </c>
      <c r="F594" s="147" t="s">
        <v>377</v>
      </c>
      <c r="G594" s="166" t="s">
        <v>352</v>
      </c>
      <c r="H594" s="70">
        <f t="shared" si="85"/>
        <v>9361.2289999999994</v>
      </c>
      <c r="I594" s="169">
        <f t="shared" si="86"/>
        <v>8.7815920517220931E-3</v>
      </c>
      <c r="J594" s="70" t="str">
        <f t="shared" si="88"/>
        <v>1330Electric FAFR38R11BasementBetter</v>
      </c>
      <c r="S594" s="134"/>
      <c r="T594" s="134"/>
      <c r="U594" s="134"/>
      <c r="V594" s="134"/>
      <c r="W594" s="134"/>
      <c r="X594" s="134"/>
      <c r="Y594" s="134"/>
      <c r="Z594" s="134"/>
      <c r="AA594" s="134"/>
      <c r="AB594" s="134"/>
      <c r="AC594" s="134"/>
      <c r="AD594" s="134"/>
      <c r="AE594" s="134"/>
      <c r="AF594" s="146"/>
      <c r="AG594" s="134"/>
      <c r="AH594" s="134"/>
      <c r="AI594" s="134"/>
      <c r="AJ594" s="134"/>
      <c r="AK594" s="134"/>
      <c r="AL594" s="134"/>
      <c r="AM594" s="146"/>
      <c r="AN594" s="132"/>
      <c r="AO594" s="132"/>
      <c r="AP594" s="132"/>
      <c r="AQ594" s="132"/>
      <c r="AR594" s="134"/>
      <c r="AS594" s="134"/>
      <c r="AT594" s="132"/>
      <c r="AU594" s="133"/>
      <c r="AV594" s="134"/>
    </row>
    <row r="595" spans="1:48">
      <c r="A595" s="74">
        <v>1331</v>
      </c>
      <c r="B595" s="146" t="str">
        <f t="shared" si="87"/>
        <v>Heat PumpR0R0BasementSingle</v>
      </c>
      <c r="C595" s="134" t="s">
        <v>229</v>
      </c>
      <c r="D595" s="132" t="s">
        <v>329</v>
      </c>
      <c r="E595" s="147" t="s">
        <v>329</v>
      </c>
      <c r="F595" s="147" t="s">
        <v>377</v>
      </c>
      <c r="G595" s="166" t="s">
        <v>355</v>
      </c>
      <c r="H595" s="70">
        <f t="shared" si="85"/>
        <v>0</v>
      </c>
      <c r="I595" s="169" t="str">
        <f t="shared" si="86"/>
        <v/>
      </c>
      <c r="J595" s="70" t="str">
        <f t="shared" si="88"/>
        <v>1331Heat PumpR0R0BasementSingle</v>
      </c>
      <c r="S595" s="134"/>
      <c r="T595" s="134"/>
      <c r="U595" s="134"/>
      <c r="V595" s="134"/>
      <c r="W595" s="134"/>
      <c r="X595" s="134"/>
      <c r="Y595" s="134"/>
      <c r="Z595" s="134"/>
      <c r="AA595" s="134"/>
      <c r="AB595" s="134"/>
      <c r="AC595" s="134"/>
      <c r="AD595" s="134"/>
      <c r="AE595" s="134"/>
      <c r="AF595" s="146"/>
      <c r="AG595" s="134"/>
      <c r="AH595" s="134"/>
      <c r="AI595" s="134"/>
      <c r="AJ595" s="134"/>
      <c r="AK595" s="134"/>
      <c r="AL595" s="134"/>
      <c r="AM595" s="146"/>
      <c r="AN595" s="132"/>
      <c r="AO595" s="132"/>
      <c r="AP595" s="132"/>
      <c r="AQ595" s="132"/>
      <c r="AR595" s="134"/>
      <c r="AS595" s="134"/>
      <c r="AT595" s="132"/>
      <c r="AU595" s="133"/>
      <c r="AV595" s="134"/>
    </row>
    <row r="596" spans="1:48">
      <c r="A596" s="74">
        <v>1332</v>
      </c>
      <c r="B596" s="146" t="str">
        <f t="shared" si="87"/>
        <v>Heat PumpR0R0BasementDouble</v>
      </c>
      <c r="C596" s="134" t="s">
        <v>229</v>
      </c>
      <c r="D596" s="132" t="s">
        <v>329</v>
      </c>
      <c r="E596" s="147" t="s">
        <v>329</v>
      </c>
      <c r="F596" s="147" t="s">
        <v>377</v>
      </c>
      <c r="G596" s="72" t="s">
        <v>339</v>
      </c>
      <c r="H596" s="70">
        <f t="shared" si="85"/>
        <v>1925.059</v>
      </c>
      <c r="I596" s="169">
        <f t="shared" si="86"/>
        <v>1.8058614753998733E-3</v>
      </c>
      <c r="J596" s="70" t="str">
        <f t="shared" si="88"/>
        <v>1332Heat PumpR0R0BasementDouble</v>
      </c>
      <c r="S596" s="134"/>
      <c r="T596" s="134"/>
      <c r="U596" s="134"/>
      <c r="V596" s="134"/>
      <c r="W596" s="134"/>
      <c r="X596" s="134"/>
      <c r="Y596" s="134"/>
      <c r="Z596" s="134"/>
      <c r="AA596" s="134"/>
      <c r="AB596" s="134"/>
      <c r="AC596" s="134"/>
      <c r="AD596" s="134"/>
      <c r="AE596" s="134"/>
      <c r="AF596" s="146"/>
      <c r="AG596" s="134"/>
      <c r="AH596" s="134"/>
      <c r="AI596" s="134"/>
      <c r="AJ596" s="134"/>
      <c r="AK596" s="134"/>
      <c r="AL596" s="134"/>
      <c r="AM596" s="146"/>
      <c r="AN596" s="132"/>
      <c r="AO596" s="132"/>
      <c r="AP596" s="132"/>
      <c r="AQ596" s="132"/>
      <c r="AR596" s="134"/>
      <c r="AS596" s="134"/>
      <c r="AT596" s="132"/>
      <c r="AU596" s="133"/>
      <c r="AV596" s="134"/>
    </row>
    <row r="597" spans="1:48">
      <c r="A597" s="74">
        <v>1333</v>
      </c>
      <c r="B597" s="146" t="str">
        <f t="shared" si="87"/>
        <v>Heat PumpR0R0BasementBetter</v>
      </c>
      <c r="C597" s="134" t="s">
        <v>229</v>
      </c>
      <c r="D597" s="132" t="s">
        <v>329</v>
      </c>
      <c r="E597" s="147" t="s">
        <v>329</v>
      </c>
      <c r="F597" s="147" t="s">
        <v>377</v>
      </c>
      <c r="G597" s="166" t="s">
        <v>352</v>
      </c>
      <c r="H597" s="70">
        <f t="shared" si="85"/>
        <v>0</v>
      </c>
      <c r="I597" s="169" t="str">
        <f t="shared" si="86"/>
        <v/>
      </c>
      <c r="J597" s="70" t="str">
        <f t="shared" si="88"/>
        <v>1333Heat PumpR0R0BasementBetter</v>
      </c>
      <c r="S597" s="134"/>
      <c r="T597" s="134"/>
      <c r="U597" s="134"/>
      <c r="V597" s="134"/>
      <c r="W597" s="134"/>
      <c r="X597" s="134"/>
      <c r="Y597" s="134"/>
      <c r="Z597" s="134"/>
      <c r="AA597" s="134"/>
      <c r="AB597" s="134"/>
      <c r="AC597" s="134"/>
      <c r="AD597" s="134"/>
      <c r="AE597" s="134"/>
      <c r="AF597" s="146"/>
      <c r="AG597" s="134"/>
      <c r="AH597" s="134"/>
      <c r="AI597" s="134"/>
      <c r="AJ597" s="134"/>
      <c r="AK597" s="134"/>
      <c r="AL597" s="134"/>
      <c r="AM597" s="146"/>
      <c r="AN597" s="132"/>
      <c r="AO597" s="132"/>
      <c r="AP597" s="132"/>
      <c r="AQ597" s="132"/>
      <c r="AR597" s="134"/>
      <c r="AS597" s="134"/>
      <c r="AT597" s="132"/>
      <c r="AU597" s="133"/>
      <c r="AV597" s="134"/>
    </row>
    <row r="598" spans="1:48">
      <c r="A598" s="74">
        <v>1334</v>
      </c>
      <c r="B598" s="146" t="str">
        <f t="shared" si="87"/>
        <v>Heat PumpR0R11BasementSingle</v>
      </c>
      <c r="C598" s="134" t="s">
        <v>229</v>
      </c>
      <c r="D598" s="132" t="s">
        <v>329</v>
      </c>
      <c r="E598" s="147" t="s">
        <v>334</v>
      </c>
      <c r="F598" s="147" t="s">
        <v>377</v>
      </c>
      <c r="G598" s="166" t="s">
        <v>355</v>
      </c>
      <c r="H598" s="70">
        <f t="shared" si="85"/>
        <v>0</v>
      </c>
      <c r="I598" s="169" t="str">
        <f t="shared" si="86"/>
        <v/>
      </c>
      <c r="J598" s="70" t="str">
        <f t="shared" si="88"/>
        <v>1334Heat PumpR0R11BasementSingle</v>
      </c>
      <c r="S598" s="134"/>
      <c r="T598" s="134"/>
      <c r="U598" s="134"/>
      <c r="V598" s="134"/>
      <c r="W598" s="134"/>
      <c r="X598" s="134"/>
      <c r="Y598" s="134"/>
      <c r="Z598" s="134"/>
      <c r="AA598" s="134"/>
      <c r="AB598" s="134"/>
      <c r="AC598" s="134"/>
      <c r="AD598" s="134"/>
      <c r="AE598" s="134"/>
      <c r="AF598" s="146"/>
      <c r="AG598" s="134"/>
      <c r="AH598" s="134"/>
      <c r="AI598" s="134"/>
      <c r="AJ598" s="134"/>
      <c r="AK598" s="134"/>
      <c r="AL598" s="134"/>
      <c r="AM598" s="146"/>
      <c r="AN598" s="132"/>
      <c r="AO598" s="132"/>
      <c r="AP598" s="132"/>
      <c r="AQ598" s="132"/>
      <c r="AR598" s="134"/>
      <c r="AS598" s="134"/>
      <c r="AT598" s="132"/>
      <c r="AU598" s="133"/>
      <c r="AV598" s="134"/>
    </row>
    <row r="599" spans="1:48">
      <c r="A599" s="74">
        <v>1335</v>
      </c>
      <c r="B599" s="146" t="str">
        <f t="shared" si="87"/>
        <v>Heat PumpR0R11BasementDouble</v>
      </c>
      <c r="C599" s="134" t="s">
        <v>229</v>
      </c>
      <c r="D599" s="132" t="s">
        <v>329</v>
      </c>
      <c r="E599" s="147" t="s">
        <v>334</v>
      </c>
      <c r="F599" s="147" t="s">
        <v>377</v>
      </c>
      <c r="G599" s="72" t="s">
        <v>339</v>
      </c>
      <c r="H599" s="70">
        <f t="shared" si="85"/>
        <v>0</v>
      </c>
      <c r="I599" s="169" t="str">
        <f t="shared" si="86"/>
        <v/>
      </c>
      <c r="J599" s="70" t="str">
        <f t="shared" si="88"/>
        <v>1335Heat PumpR0R11BasementDouble</v>
      </c>
      <c r="S599" s="134"/>
      <c r="T599" s="134"/>
      <c r="U599" s="134"/>
      <c r="V599" s="134"/>
      <c r="W599" s="134"/>
      <c r="X599" s="134"/>
      <c r="Y599" s="134"/>
      <c r="Z599" s="134"/>
      <c r="AA599" s="134"/>
      <c r="AB599" s="134"/>
      <c r="AC599" s="134"/>
      <c r="AD599" s="134"/>
      <c r="AE599" s="134"/>
      <c r="AF599" s="146"/>
      <c r="AG599" s="134"/>
      <c r="AH599" s="134"/>
      <c r="AI599" s="134"/>
      <c r="AJ599" s="134"/>
      <c r="AK599" s="134"/>
      <c r="AL599" s="134"/>
      <c r="AM599" s="146"/>
      <c r="AN599" s="132"/>
      <c r="AO599" s="132"/>
      <c r="AP599" s="132"/>
      <c r="AQ599" s="132"/>
      <c r="AR599" s="134"/>
      <c r="AS599" s="134"/>
      <c r="AT599" s="132"/>
      <c r="AU599" s="133"/>
      <c r="AV599" s="134"/>
    </row>
    <row r="600" spans="1:48">
      <c r="A600" s="74">
        <v>1336</v>
      </c>
      <c r="B600" s="146" t="str">
        <f t="shared" si="87"/>
        <v>Heat PumpR0R11BasementBetter</v>
      </c>
      <c r="C600" s="134" t="s">
        <v>229</v>
      </c>
      <c r="D600" s="132" t="s">
        <v>329</v>
      </c>
      <c r="E600" s="147" t="s">
        <v>334</v>
      </c>
      <c r="F600" s="147" t="s">
        <v>377</v>
      </c>
      <c r="G600" s="166" t="s">
        <v>352</v>
      </c>
      <c r="H600" s="70">
        <f t="shared" si="85"/>
        <v>10966.225999999999</v>
      </c>
      <c r="I600" s="169">
        <f t="shared" si="86"/>
        <v>1.0287209412245779E-2</v>
      </c>
      <c r="J600" s="70" t="str">
        <f t="shared" si="88"/>
        <v>1336Heat PumpR0R11BasementBetter</v>
      </c>
      <c r="S600" s="134"/>
      <c r="T600" s="134"/>
      <c r="U600" s="134"/>
      <c r="V600" s="134"/>
      <c r="W600" s="134"/>
      <c r="X600" s="134"/>
      <c r="Y600" s="134"/>
      <c r="Z600" s="134"/>
      <c r="AA600" s="134"/>
      <c r="AB600" s="134"/>
      <c r="AC600" s="134"/>
      <c r="AD600" s="134"/>
      <c r="AE600" s="134"/>
      <c r="AF600" s="146"/>
      <c r="AG600" s="134"/>
      <c r="AH600" s="134"/>
      <c r="AI600" s="134"/>
      <c r="AJ600" s="134"/>
      <c r="AK600" s="134"/>
      <c r="AL600" s="134"/>
      <c r="AM600" s="146"/>
      <c r="AN600" s="132"/>
      <c r="AO600" s="132"/>
      <c r="AP600" s="132"/>
      <c r="AQ600" s="132"/>
      <c r="AR600" s="134"/>
      <c r="AS600" s="134"/>
      <c r="AT600" s="132"/>
      <c r="AU600" s="133"/>
      <c r="AV600" s="134"/>
    </row>
    <row r="601" spans="1:48">
      <c r="A601" s="74">
        <v>1337</v>
      </c>
      <c r="B601" s="146" t="str">
        <f t="shared" si="87"/>
        <v>Heat PumpR11R0BasementSingle</v>
      </c>
      <c r="C601" s="134" t="s">
        <v>229</v>
      </c>
      <c r="D601" s="132" t="s">
        <v>334</v>
      </c>
      <c r="E601" s="147" t="s">
        <v>329</v>
      </c>
      <c r="F601" s="147" t="s">
        <v>377</v>
      </c>
      <c r="G601" s="166" t="s">
        <v>355</v>
      </c>
      <c r="H601" s="70">
        <f t="shared" si="85"/>
        <v>0</v>
      </c>
      <c r="I601" s="169" t="str">
        <f t="shared" si="86"/>
        <v/>
      </c>
      <c r="J601" s="70" t="str">
        <f t="shared" si="88"/>
        <v>1337Heat PumpR11R0BasementSingle</v>
      </c>
      <c r="S601" s="134"/>
      <c r="T601" s="134"/>
      <c r="U601" s="134"/>
      <c r="V601" s="134"/>
      <c r="W601" s="134"/>
      <c r="X601" s="134"/>
      <c r="Y601" s="134"/>
      <c r="Z601" s="134"/>
      <c r="AA601" s="134"/>
      <c r="AB601" s="134"/>
      <c r="AC601" s="134"/>
      <c r="AD601" s="134"/>
      <c r="AE601" s="134"/>
      <c r="AF601" s="146"/>
      <c r="AG601" s="134"/>
      <c r="AH601" s="134"/>
      <c r="AI601" s="134"/>
      <c r="AJ601" s="134"/>
      <c r="AK601" s="134"/>
      <c r="AL601" s="134"/>
      <c r="AM601" s="146"/>
      <c r="AN601" s="132"/>
      <c r="AO601" s="132"/>
      <c r="AP601" s="132"/>
      <c r="AQ601" s="132"/>
      <c r="AR601" s="134"/>
      <c r="AS601" s="134"/>
      <c r="AT601" s="132"/>
      <c r="AU601" s="133"/>
      <c r="AV601" s="134"/>
    </row>
    <row r="602" spans="1:48">
      <c r="A602" s="74">
        <v>1338</v>
      </c>
      <c r="B602" s="146" t="str">
        <f t="shared" si="87"/>
        <v>Heat PumpR11R0BasementDouble</v>
      </c>
      <c r="C602" s="134" t="s">
        <v>229</v>
      </c>
      <c r="D602" s="132" t="s">
        <v>334</v>
      </c>
      <c r="E602" s="147" t="s">
        <v>329</v>
      </c>
      <c r="F602" s="147" t="s">
        <v>377</v>
      </c>
      <c r="G602" s="72" t="s">
        <v>339</v>
      </c>
      <c r="H602" s="70">
        <f t="shared" si="85"/>
        <v>0</v>
      </c>
      <c r="I602" s="169" t="str">
        <f t="shared" si="86"/>
        <v/>
      </c>
      <c r="J602" s="70" t="str">
        <f t="shared" si="88"/>
        <v>1338Heat PumpR11R0BasementDouble</v>
      </c>
      <c r="S602" s="134"/>
      <c r="T602" s="134"/>
      <c r="U602" s="134"/>
      <c r="V602" s="134"/>
      <c r="W602" s="134"/>
      <c r="X602" s="134"/>
      <c r="Y602" s="134"/>
      <c r="Z602" s="134"/>
      <c r="AA602" s="134"/>
      <c r="AB602" s="134"/>
      <c r="AC602" s="134"/>
      <c r="AD602" s="134"/>
      <c r="AE602" s="134"/>
      <c r="AF602" s="146"/>
      <c r="AG602" s="134"/>
      <c r="AH602" s="134"/>
      <c r="AI602" s="134"/>
      <c r="AJ602" s="134"/>
      <c r="AK602" s="134"/>
      <c r="AL602" s="134"/>
      <c r="AM602" s="146"/>
      <c r="AN602" s="132"/>
      <c r="AO602" s="132"/>
      <c r="AP602" s="132"/>
      <c r="AQ602" s="132"/>
      <c r="AR602" s="134"/>
      <c r="AS602" s="134"/>
      <c r="AT602" s="132"/>
      <c r="AU602" s="133"/>
      <c r="AV602" s="134"/>
    </row>
    <row r="603" spans="1:48">
      <c r="A603" s="74">
        <v>1339</v>
      </c>
      <c r="B603" s="146" t="str">
        <f t="shared" si="87"/>
        <v>Heat PumpR11R0BasementBetter</v>
      </c>
      <c r="C603" s="134" t="s">
        <v>229</v>
      </c>
      <c r="D603" s="132" t="s">
        <v>334</v>
      </c>
      <c r="E603" s="147" t="s">
        <v>329</v>
      </c>
      <c r="F603" s="147" t="s">
        <v>377</v>
      </c>
      <c r="G603" s="166" t="s">
        <v>352</v>
      </c>
      <c r="H603" s="70">
        <f t="shared" si="85"/>
        <v>0</v>
      </c>
      <c r="I603" s="169" t="str">
        <f t="shared" si="86"/>
        <v/>
      </c>
      <c r="J603" s="70" t="str">
        <f t="shared" si="88"/>
        <v>1339Heat PumpR11R0BasementBetter</v>
      </c>
      <c r="S603" s="134"/>
      <c r="T603" s="134"/>
      <c r="U603" s="134"/>
      <c r="V603" s="134"/>
      <c r="W603" s="134"/>
      <c r="X603" s="134"/>
      <c r="Y603" s="134"/>
      <c r="Z603" s="134"/>
      <c r="AA603" s="134"/>
      <c r="AB603" s="134"/>
      <c r="AC603" s="134"/>
      <c r="AD603" s="134"/>
      <c r="AE603" s="134"/>
      <c r="AF603" s="146"/>
      <c r="AG603" s="134"/>
      <c r="AH603" s="134"/>
      <c r="AI603" s="134"/>
      <c r="AJ603" s="134"/>
      <c r="AK603" s="134"/>
      <c r="AL603" s="134"/>
      <c r="AM603" s="146"/>
      <c r="AN603" s="132"/>
      <c r="AO603" s="132"/>
      <c r="AP603" s="132"/>
      <c r="AQ603" s="132"/>
      <c r="AR603" s="134"/>
      <c r="AS603" s="134"/>
      <c r="AT603" s="132"/>
      <c r="AU603" s="133"/>
      <c r="AV603" s="134"/>
    </row>
    <row r="604" spans="1:48">
      <c r="A604" s="74">
        <v>1340</v>
      </c>
      <c r="B604" s="146" t="str">
        <f t="shared" si="87"/>
        <v>Heat PumpR11R11BasementSingle</v>
      </c>
      <c r="C604" s="134" t="s">
        <v>229</v>
      </c>
      <c r="D604" s="132" t="s">
        <v>334</v>
      </c>
      <c r="E604" s="147" t="s">
        <v>334</v>
      </c>
      <c r="F604" s="147" t="s">
        <v>377</v>
      </c>
      <c r="G604" s="166" t="s">
        <v>355</v>
      </c>
      <c r="H604" s="70">
        <f t="shared" si="85"/>
        <v>0</v>
      </c>
      <c r="I604" s="169" t="str">
        <f t="shared" si="86"/>
        <v/>
      </c>
      <c r="J604" s="70" t="str">
        <f t="shared" si="88"/>
        <v>1340Heat PumpR11R11BasementSingle</v>
      </c>
      <c r="S604" s="134"/>
      <c r="T604" s="134"/>
      <c r="U604" s="134"/>
      <c r="V604" s="134"/>
      <c r="W604" s="134"/>
      <c r="X604" s="134"/>
      <c r="Y604" s="134"/>
      <c r="Z604" s="134"/>
      <c r="AA604" s="134"/>
      <c r="AB604" s="134"/>
      <c r="AC604" s="134"/>
      <c r="AD604" s="134"/>
      <c r="AE604" s="134"/>
      <c r="AF604" s="146"/>
      <c r="AG604" s="134"/>
      <c r="AH604" s="134"/>
      <c r="AI604" s="134"/>
      <c r="AJ604" s="134"/>
      <c r="AK604" s="134"/>
      <c r="AL604" s="134"/>
      <c r="AM604" s="146"/>
      <c r="AN604" s="132"/>
      <c r="AO604" s="132"/>
      <c r="AP604" s="132"/>
      <c r="AQ604" s="132"/>
      <c r="AR604" s="134"/>
      <c r="AS604" s="134"/>
      <c r="AT604" s="132"/>
      <c r="AU604" s="133"/>
      <c r="AV604" s="134"/>
    </row>
    <row r="605" spans="1:48">
      <c r="A605" s="74">
        <v>1341</v>
      </c>
      <c r="B605" s="146" t="str">
        <f t="shared" si="87"/>
        <v>Heat PumpR11R11BasementDouble</v>
      </c>
      <c r="C605" s="134" t="s">
        <v>229</v>
      </c>
      <c r="D605" s="132" t="s">
        <v>334</v>
      </c>
      <c r="E605" s="147" t="s">
        <v>334</v>
      </c>
      <c r="F605" s="147" t="s">
        <v>377</v>
      </c>
      <c r="G605" s="72" t="s">
        <v>339</v>
      </c>
      <c r="H605" s="70">
        <f t="shared" si="85"/>
        <v>3616.4079999999999</v>
      </c>
      <c r="I605" s="169">
        <f t="shared" si="86"/>
        <v>3.3924840155693434E-3</v>
      </c>
      <c r="J605" s="70" t="str">
        <f t="shared" si="88"/>
        <v>1341Heat PumpR11R11BasementDouble</v>
      </c>
      <c r="S605" s="134"/>
      <c r="T605" s="134"/>
      <c r="U605" s="134"/>
      <c r="V605" s="134"/>
      <c r="W605" s="134"/>
      <c r="X605" s="134"/>
      <c r="Y605" s="134"/>
      <c r="Z605" s="134"/>
      <c r="AA605" s="134"/>
      <c r="AB605" s="134"/>
      <c r="AC605" s="134"/>
      <c r="AD605" s="134"/>
      <c r="AE605" s="134"/>
      <c r="AF605" s="146"/>
      <c r="AG605" s="134"/>
      <c r="AH605" s="134"/>
      <c r="AI605" s="134"/>
      <c r="AJ605" s="134"/>
      <c r="AK605" s="134"/>
      <c r="AL605" s="134"/>
      <c r="AM605" s="146"/>
      <c r="AN605" s="132"/>
      <c r="AO605" s="132"/>
      <c r="AP605" s="132"/>
      <c r="AQ605" s="132"/>
      <c r="AR605" s="134"/>
      <c r="AS605" s="134"/>
      <c r="AT605" s="132"/>
      <c r="AU605" s="133"/>
      <c r="AV605" s="134"/>
    </row>
    <row r="606" spans="1:48">
      <c r="A606" s="74">
        <v>1342</v>
      </c>
      <c r="B606" s="146" t="str">
        <f t="shared" si="87"/>
        <v>Heat PumpR11R11BasementBetter</v>
      </c>
      <c r="C606" s="134" t="s">
        <v>229</v>
      </c>
      <c r="D606" s="132" t="s">
        <v>334</v>
      </c>
      <c r="E606" s="147" t="s">
        <v>334</v>
      </c>
      <c r="F606" s="147" t="s">
        <v>377</v>
      </c>
      <c r="G606" s="166" t="s">
        <v>352</v>
      </c>
      <c r="H606" s="70">
        <f t="shared" si="85"/>
        <v>8083.6170000000002</v>
      </c>
      <c r="I606" s="169">
        <f t="shared" si="86"/>
        <v>7.5830883740121728E-3</v>
      </c>
      <c r="J606" s="70" t="str">
        <f t="shared" si="88"/>
        <v>1342Heat PumpR11R11BasementBetter</v>
      </c>
      <c r="S606" s="134"/>
      <c r="T606" s="134"/>
      <c r="U606" s="134"/>
      <c r="V606" s="134"/>
      <c r="W606" s="134"/>
      <c r="X606" s="134"/>
      <c r="Y606" s="134"/>
      <c r="Z606" s="134"/>
      <c r="AA606" s="134"/>
      <c r="AB606" s="134"/>
      <c r="AC606" s="134"/>
      <c r="AD606" s="134"/>
      <c r="AE606" s="134"/>
      <c r="AF606" s="146"/>
      <c r="AG606" s="134"/>
      <c r="AH606" s="134"/>
      <c r="AI606" s="134"/>
      <c r="AJ606" s="134"/>
      <c r="AK606" s="134"/>
      <c r="AL606" s="134"/>
      <c r="AM606" s="146"/>
      <c r="AN606" s="132"/>
      <c r="AO606" s="132"/>
      <c r="AP606" s="132"/>
      <c r="AQ606" s="132"/>
      <c r="AR606" s="134"/>
      <c r="AS606" s="134"/>
      <c r="AT606" s="132"/>
      <c r="AU606" s="133"/>
      <c r="AV606" s="134"/>
    </row>
    <row r="607" spans="1:48">
      <c r="A607" s="74">
        <v>1343</v>
      </c>
      <c r="B607" s="146" t="str">
        <f t="shared" si="87"/>
        <v>Heat PumpR19R0BasementSingle</v>
      </c>
      <c r="C607" s="134" t="s">
        <v>229</v>
      </c>
      <c r="D607" s="132" t="s">
        <v>335</v>
      </c>
      <c r="E607" s="147" t="s">
        <v>329</v>
      </c>
      <c r="F607" s="147" t="s">
        <v>377</v>
      </c>
      <c r="G607" s="166" t="s">
        <v>355</v>
      </c>
      <c r="H607" s="70">
        <f t="shared" si="85"/>
        <v>0</v>
      </c>
      <c r="I607" s="169" t="str">
        <f t="shared" si="86"/>
        <v/>
      </c>
      <c r="J607" s="70" t="str">
        <f t="shared" si="88"/>
        <v>1343Heat PumpR19R0BasementSingle</v>
      </c>
      <c r="S607" s="134"/>
      <c r="T607" s="134"/>
      <c r="U607" s="134"/>
      <c r="V607" s="134"/>
      <c r="W607" s="134"/>
      <c r="X607" s="134"/>
      <c r="Y607" s="134"/>
      <c r="Z607" s="134"/>
      <c r="AA607" s="134"/>
      <c r="AB607" s="134"/>
      <c r="AC607" s="134"/>
      <c r="AD607" s="134"/>
      <c r="AE607" s="134"/>
      <c r="AF607" s="146"/>
      <c r="AG607" s="134"/>
      <c r="AH607" s="134"/>
      <c r="AI607" s="134"/>
      <c r="AJ607" s="134"/>
      <c r="AK607" s="134"/>
      <c r="AL607" s="134"/>
      <c r="AM607" s="146"/>
      <c r="AN607" s="132"/>
      <c r="AO607" s="132"/>
      <c r="AP607" s="132"/>
      <c r="AQ607" s="132"/>
      <c r="AR607" s="134"/>
      <c r="AS607" s="134"/>
      <c r="AT607" s="132"/>
      <c r="AU607" s="133"/>
      <c r="AV607" s="134"/>
    </row>
    <row r="608" spans="1:48">
      <c r="A608" s="74">
        <v>1344</v>
      </c>
      <c r="B608" s="146" t="str">
        <f t="shared" si="87"/>
        <v>Heat PumpR19R0BasementDouble</v>
      </c>
      <c r="C608" s="134" t="s">
        <v>229</v>
      </c>
      <c r="D608" s="132" t="s">
        <v>335</v>
      </c>
      <c r="E608" s="147" t="s">
        <v>329</v>
      </c>
      <c r="F608" s="147" t="s">
        <v>377</v>
      </c>
      <c r="G608" s="72" t="s">
        <v>339</v>
      </c>
      <c r="H608" s="70">
        <f t="shared" si="85"/>
        <v>0</v>
      </c>
      <c r="I608" s="169" t="str">
        <f t="shared" si="86"/>
        <v/>
      </c>
      <c r="J608" s="70" t="str">
        <f t="shared" si="88"/>
        <v>1344Heat PumpR19R0BasementDouble</v>
      </c>
      <c r="S608" s="134"/>
      <c r="T608" s="134"/>
      <c r="U608" s="134"/>
      <c r="V608" s="134"/>
      <c r="W608" s="134"/>
      <c r="X608" s="134"/>
      <c r="Y608" s="134"/>
      <c r="Z608" s="134"/>
      <c r="AA608" s="134"/>
      <c r="AB608" s="134"/>
      <c r="AC608" s="134"/>
      <c r="AD608" s="134"/>
      <c r="AE608" s="134"/>
      <c r="AF608" s="146"/>
      <c r="AG608" s="134"/>
      <c r="AH608" s="134"/>
      <c r="AI608" s="134"/>
      <c r="AJ608" s="134"/>
      <c r="AK608" s="134"/>
      <c r="AL608" s="134"/>
      <c r="AM608" s="146"/>
      <c r="AN608" s="132"/>
      <c r="AO608" s="132"/>
      <c r="AP608" s="132"/>
      <c r="AQ608" s="132"/>
      <c r="AR608" s="134"/>
      <c r="AS608" s="134"/>
      <c r="AT608" s="132"/>
      <c r="AU608" s="133"/>
      <c r="AV608" s="134"/>
    </row>
    <row r="609" spans="1:48">
      <c r="A609" s="74">
        <v>1345</v>
      </c>
      <c r="B609" s="146" t="str">
        <f t="shared" si="87"/>
        <v>Heat PumpR19R0BasementBetter</v>
      </c>
      <c r="C609" s="134" t="s">
        <v>229</v>
      </c>
      <c r="D609" s="132" t="s">
        <v>335</v>
      </c>
      <c r="E609" s="147" t="s">
        <v>329</v>
      </c>
      <c r="F609" s="147" t="s">
        <v>377</v>
      </c>
      <c r="G609" s="166" t="s">
        <v>352</v>
      </c>
      <c r="H609" s="70">
        <f t="shared" si="85"/>
        <v>0</v>
      </c>
      <c r="I609" s="169" t="str">
        <f t="shared" si="86"/>
        <v/>
      </c>
      <c r="J609" s="70" t="str">
        <f t="shared" si="88"/>
        <v>1345Heat PumpR19R0BasementBetter</v>
      </c>
      <c r="S609" s="134"/>
      <c r="T609" s="134"/>
      <c r="U609" s="134"/>
      <c r="V609" s="134"/>
      <c r="W609" s="134"/>
      <c r="X609" s="134"/>
      <c r="Y609" s="134"/>
      <c r="Z609" s="134"/>
      <c r="AA609" s="134"/>
      <c r="AB609" s="134"/>
      <c r="AC609" s="134"/>
      <c r="AD609" s="134"/>
      <c r="AE609" s="134"/>
      <c r="AF609" s="146"/>
      <c r="AG609" s="134"/>
      <c r="AH609" s="134"/>
      <c r="AI609" s="134"/>
      <c r="AJ609" s="134"/>
      <c r="AK609" s="134"/>
      <c r="AL609" s="134"/>
      <c r="AM609" s="146"/>
      <c r="AN609" s="132"/>
      <c r="AO609" s="132"/>
      <c r="AP609" s="132"/>
      <c r="AQ609" s="132"/>
      <c r="AR609" s="134"/>
      <c r="AS609" s="134"/>
      <c r="AT609" s="132"/>
      <c r="AU609" s="133"/>
      <c r="AV609" s="134"/>
    </row>
    <row r="610" spans="1:48">
      <c r="A610" s="74">
        <v>1346</v>
      </c>
      <c r="B610" s="146" t="str">
        <f t="shared" si="87"/>
        <v>Heat PumpR19R11BasementSingle</v>
      </c>
      <c r="C610" s="134" t="s">
        <v>229</v>
      </c>
      <c r="D610" s="132" t="s">
        <v>335</v>
      </c>
      <c r="E610" s="147" t="s">
        <v>334</v>
      </c>
      <c r="F610" s="147" t="s">
        <v>377</v>
      </c>
      <c r="G610" s="166" t="s">
        <v>355</v>
      </c>
      <c r="H610" s="70">
        <f t="shared" si="85"/>
        <v>0</v>
      </c>
      <c r="I610" s="169" t="str">
        <f t="shared" si="86"/>
        <v/>
      </c>
      <c r="J610" s="70" t="str">
        <f t="shared" si="88"/>
        <v>1346Heat PumpR19R11BasementSingle</v>
      </c>
      <c r="S610" s="134"/>
      <c r="T610" s="134"/>
      <c r="U610" s="134"/>
      <c r="V610" s="134"/>
      <c r="W610" s="134"/>
      <c r="X610" s="134"/>
      <c r="Y610" s="134"/>
      <c r="Z610" s="134"/>
      <c r="AA610" s="134"/>
      <c r="AB610" s="134"/>
      <c r="AC610" s="134"/>
      <c r="AD610" s="134"/>
      <c r="AE610" s="134"/>
      <c r="AF610" s="146"/>
      <c r="AG610" s="134"/>
      <c r="AH610" s="134"/>
      <c r="AI610" s="134"/>
      <c r="AJ610" s="134"/>
      <c r="AK610" s="134"/>
      <c r="AL610" s="134"/>
      <c r="AM610" s="146"/>
      <c r="AN610" s="132"/>
      <c r="AO610" s="132"/>
      <c r="AP610" s="132"/>
      <c r="AQ610" s="132"/>
      <c r="AR610" s="134"/>
      <c r="AS610" s="134"/>
      <c r="AT610" s="132"/>
      <c r="AU610" s="133"/>
      <c r="AV610" s="134"/>
    </row>
    <row r="611" spans="1:48">
      <c r="A611" s="74">
        <v>1347</v>
      </c>
      <c r="B611" s="146" t="str">
        <f t="shared" si="87"/>
        <v>Heat PumpR19R11BasementDouble</v>
      </c>
      <c r="C611" s="134" t="s">
        <v>229</v>
      </c>
      <c r="D611" s="132" t="s">
        <v>335</v>
      </c>
      <c r="E611" s="147" t="s">
        <v>334</v>
      </c>
      <c r="F611" s="147" t="s">
        <v>377</v>
      </c>
      <c r="G611" s="72" t="s">
        <v>339</v>
      </c>
      <c r="H611" s="70">
        <f t="shared" si="85"/>
        <v>0</v>
      </c>
      <c r="I611" s="169" t="str">
        <f t="shared" si="86"/>
        <v/>
      </c>
      <c r="J611" s="70" t="str">
        <f t="shared" si="88"/>
        <v>1347Heat PumpR19R11BasementDouble</v>
      </c>
      <c r="S611" s="134"/>
      <c r="T611" s="134"/>
      <c r="U611" s="134"/>
      <c r="V611" s="134"/>
      <c r="W611" s="134"/>
      <c r="X611" s="134"/>
      <c r="Y611" s="134"/>
      <c r="Z611" s="134"/>
      <c r="AA611" s="134"/>
      <c r="AB611" s="134"/>
      <c r="AC611" s="134"/>
      <c r="AD611" s="134"/>
      <c r="AE611" s="134"/>
      <c r="AF611" s="146"/>
      <c r="AG611" s="134"/>
      <c r="AH611" s="134"/>
      <c r="AI611" s="134"/>
      <c r="AJ611" s="134"/>
      <c r="AK611" s="134"/>
      <c r="AL611" s="134"/>
      <c r="AM611" s="146"/>
      <c r="AN611" s="132"/>
      <c r="AO611" s="132"/>
      <c r="AP611" s="132"/>
      <c r="AQ611" s="132"/>
      <c r="AR611" s="134"/>
      <c r="AS611" s="134"/>
      <c r="AT611" s="132"/>
      <c r="AU611" s="133"/>
      <c r="AV611" s="134"/>
    </row>
    <row r="612" spans="1:48">
      <c r="A612" s="74">
        <v>1348</v>
      </c>
      <c r="B612" s="146" t="str">
        <f t="shared" si="87"/>
        <v>Heat PumpR19R11BasementBetter</v>
      </c>
      <c r="C612" s="134" t="s">
        <v>229</v>
      </c>
      <c r="D612" s="132" t="s">
        <v>335</v>
      </c>
      <c r="E612" s="147" t="s">
        <v>334</v>
      </c>
      <c r="F612" s="147" t="s">
        <v>377</v>
      </c>
      <c r="G612" s="166" t="s">
        <v>352</v>
      </c>
      <c r="H612" s="70">
        <f t="shared" si="85"/>
        <v>12287.772000000001</v>
      </c>
      <c r="I612" s="169">
        <f t="shared" si="86"/>
        <v>1.1526926745256771E-2</v>
      </c>
      <c r="J612" s="70" t="str">
        <f t="shared" si="88"/>
        <v>1348Heat PumpR19R11BasementBetter</v>
      </c>
      <c r="S612" s="134"/>
      <c r="T612" s="134"/>
      <c r="U612" s="134"/>
      <c r="V612" s="134"/>
      <c r="W612" s="134"/>
      <c r="X612" s="134"/>
      <c r="Y612" s="134"/>
      <c r="Z612" s="134"/>
      <c r="AA612" s="134"/>
      <c r="AB612" s="134"/>
      <c r="AC612" s="134"/>
      <c r="AD612" s="134"/>
      <c r="AE612" s="134"/>
      <c r="AF612" s="146"/>
      <c r="AG612" s="134"/>
      <c r="AH612" s="134"/>
      <c r="AI612" s="134"/>
      <c r="AJ612" s="134"/>
      <c r="AK612" s="134"/>
      <c r="AL612" s="134"/>
      <c r="AM612" s="146"/>
      <c r="AN612" s="132"/>
      <c r="AO612" s="132"/>
      <c r="AP612" s="132"/>
      <c r="AQ612" s="132"/>
      <c r="AR612" s="134"/>
      <c r="AS612" s="134"/>
      <c r="AT612" s="132"/>
      <c r="AU612" s="133"/>
      <c r="AV612" s="134"/>
    </row>
    <row r="613" spans="1:48">
      <c r="A613" s="74">
        <v>1349</v>
      </c>
      <c r="B613" s="146" t="str">
        <f t="shared" si="87"/>
        <v>Heat PumpR30R0BasementSingle</v>
      </c>
      <c r="C613" s="134" t="s">
        <v>229</v>
      </c>
      <c r="D613" s="132" t="s">
        <v>336</v>
      </c>
      <c r="E613" s="147" t="s">
        <v>329</v>
      </c>
      <c r="F613" s="147" t="s">
        <v>377</v>
      </c>
      <c r="G613" s="166" t="s">
        <v>355</v>
      </c>
      <c r="H613" s="70">
        <f t="shared" si="85"/>
        <v>0</v>
      </c>
      <c r="I613" s="169" t="str">
        <f t="shared" si="86"/>
        <v/>
      </c>
      <c r="J613" s="70" t="str">
        <f t="shared" si="88"/>
        <v>1349Heat PumpR30R0BasementSingle</v>
      </c>
      <c r="S613" s="134"/>
      <c r="T613" s="134"/>
      <c r="U613" s="134"/>
      <c r="V613" s="134"/>
      <c r="W613" s="134"/>
      <c r="X613" s="134"/>
      <c r="Y613" s="134"/>
      <c r="Z613" s="134"/>
      <c r="AA613" s="134"/>
      <c r="AB613" s="134"/>
      <c r="AC613" s="134"/>
      <c r="AD613" s="134"/>
      <c r="AE613" s="134"/>
      <c r="AF613" s="146"/>
      <c r="AG613" s="134"/>
      <c r="AH613" s="134"/>
      <c r="AI613" s="134"/>
      <c r="AJ613" s="134"/>
      <c r="AK613" s="134"/>
      <c r="AL613" s="134"/>
      <c r="AM613" s="146"/>
      <c r="AN613" s="132"/>
      <c r="AO613" s="132"/>
      <c r="AP613" s="132"/>
      <c r="AQ613" s="132"/>
      <c r="AR613" s="134"/>
      <c r="AS613" s="134"/>
      <c r="AT613" s="132"/>
      <c r="AU613" s="133"/>
      <c r="AV613" s="134"/>
    </row>
    <row r="614" spans="1:48">
      <c r="A614" s="74">
        <v>1350</v>
      </c>
      <c r="B614" s="146" t="str">
        <f t="shared" si="87"/>
        <v>Heat PumpR30R0BasementDouble</v>
      </c>
      <c r="C614" s="134" t="s">
        <v>229</v>
      </c>
      <c r="D614" s="132" t="s">
        <v>336</v>
      </c>
      <c r="E614" s="147" t="s">
        <v>329</v>
      </c>
      <c r="F614" s="147" t="s">
        <v>377</v>
      </c>
      <c r="G614" s="72" t="s">
        <v>339</v>
      </c>
      <c r="H614" s="70">
        <f t="shared" si="85"/>
        <v>0</v>
      </c>
      <c r="I614" s="169" t="str">
        <f t="shared" si="86"/>
        <v/>
      </c>
      <c r="J614" s="70" t="str">
        <f t="shared" si="88"/>
        <v>1350Heat PumpR30R0BasementDouble</v>
      </c>
      <c r="S614" s="134"/>
      <c r="T614" s="134"/>
      <c r="U614" s="134"/>
      <c r="V614" s="134"/>
      <c r="W614" s="134"/>
      <c r="X614" s="134"/>
      <c r="Y614" s="134"/>
      <c r="Z614" s="134"/>
      <c r="AA614" s="134"/>
      <c r="AB614" s="134"/>
      <c r="AC614" s="134"/>
      <c r="AD614" s="134"/>
      <c r="AE614" s="134"/>
      <c r="AF614" s="146"/>
      <c r="AG614" s="134"/>
      <c r="AH614" s="134"/>
      <c r="AI614" s="134"/>
      <c r="AJ614" s="134"/>
      <c r="AK614" s="134"/>
      <c r="AL614" s="134"/>
      <c r="AM614" s="146"/>
      <c r="AN614" s="132"/>
      <c r="AO614" s="132"/>
      <c r="AP614" s="132"/>
      <c r="AQ614" s="132"/>
      <c r="AR614" s="134"/>
      <c r="AS614" s="134"/>
      <c r="AT614" s="132"/>
      <c r="AU614" s="133"/>
      <c r="AV614" s="134"/>
    </row>
    <row r="615" spans="1:48">
      <c r="A615" s="74">
        <v>1351</v>
      </c>
      <c r="B615" s="146" t="str">
        <f t="shared" si="87"/>
        <v>Heat PumpR30R0BasementBetter</v>
      </c>
      <c r="C615" s="134" t="s">
        <v>229</v>
      </c>
      <c r="D615" s="132" t="s">
        <v>336</v>
      </c>
      <c r="E615" s="147" t="s">
        <v>329</v>
      </c>
      <c r="F615" s="147" t="s">
        <v>377</v>
      </c>
      <c r="G615" s="166" t="s">
        <v>352</v>
      </c>
      <c r="H615" s="70">
        <f t="shared" si="85"/>
        <v>0</v>
      </c>
      <c r="I615" s="169" t="str">
        <f t="shared" si="86"/>
        <v/>
      </c>
      <c r="J615" s="70" t="str">
        <f t="shared" si="88"/>
        <v>1351Heat PumpR30R0BasementBetter</v>
      </c>
      <c r="S615" s="134"/>
      <c r="T615" s="134"/>
      <c r="U615" s="134"/>
      <c r="V615" s="134"/>
      <c r="W615" s="134"/>
      <c r="X615" s="134"/>
      <c r="Y615" s="134"/>
      <c r="Z615" s="134"/>
      <c r="AA615" s="134"/>
      <c r="AB615" s="134"/>
      <c r="AC615" s="134"/>
      <c r="AD615" s="134"/>
      <c r="AE615" s="134"/>
      <c r="AF615" s="146"/>
      <c r="AG615" s="134"/>
      <c r="AH615" s="134"/>
      <c r="AI615" s="134"/>
      <c r="AJ615" s="134"/>
      <c r="AK615" s="134"/>
      <c r="AL615" s="134"/>
      <c r="AM615" s="146"/>
      <c r="AN615" s="132"/>
      <c r="AO615" s="132"/>
      <c r="AP615" s="132"/>
      <c r="AQ615" s="132"/>
      <c r="AR615" s="134"/>
      <c r="AS615" s="134"/>
      <c r="AT615" s="132"/>
      <c r="AU615" s="133"/>
      <c r="AV615" s="134"/>
    </row>
    <row r="616" spans="1:48">
      <c r="A616" s="74">
        <v>1352</v>
      </c>
      <c r="B616" s="146" t="str">
        <f t="shared" si="87"/>
        <v>Heat PumpR30R11BasementSingle</v>
      </c>
      <c r="C616" s="134" t="s">
        <v>229</v>
      </c>
      <c r="D616" s="132" t="s">
        <v>336</v>
      </c>
      <c r="E616" s="147" t="s">
        <v>334</v>
      </c>
      <c r="F616" s="147" t="s">
        <v>377</v>
      </c>
      <c r="G616" s="166" t="s">
        <v>355</v>
      </c>
      <c r="H616" s="70">
        <f t="shared" si="85"/>
        <v>0</v>
      </c>
      <c r="I616" s="169" t="str">
        <f t="shared" si="86"/>
        <v/>
      </c>
      <c r="J616" s="70" t="str">
        <f t="shared" si="88"/>
        <v>1352Heat PumpR30R11BasementSingle</v>
      </c>
      <c r="S616" s="134"/>
      <c r="T616" s="134"/>
      <c r="U616" s="134"/>
      <c r="V616" s="134"/>
      <c r="W616" s="134"/>
      <c r="X616" s="134"/>
      <c r="Y616" s="134"/>
      <c r="Z616" s="134"/>
      <c r="AA616" s="134"/>
      <c r="AB616" s="134"/>
      <c r="AC616" s="134"/>
      <c r="AD616" s="134"/>
      <c r="AE616" s="134"/>
      <c r="AF616" s="146"/>
      <c r="AG616" s="134"/>
      <c r="AH616" s="134"/>
      <c r="AI616" s="134"/>
      <c r="AJ616" s="134"/>
      <c r="AK616" s="134"/>
      <c r="AL616" s="134"/>
      <c r="AM616" s="146"/>
      <c r="AN616" s="132"/>
      <c r="AO616" s="132"/>
      <c r="AP616" s="132"/>
      <c r="AQ616" s="132"/>
      <c r="AR616" s="134"/>
      <c r="AS616" s="134"/>
      <c r="AT616" s="132"/>
      <c r="AU616" s="133"/>
      <c r="AV616" s="134"/>
    </row>
    <row r="617" spans="1:48">
      <c r="A617" s="74">
        <v>1353</v>
      </c>
      <c r="B617" s="146" t="str">
        <f t="shared" si="87"/>
        <v>Heat PumpR30R11BasementDouble</v>
      </c>
      <c r="C617" s="134" t="s">
        <v>229</v>
      </c>
      <c r="D617" s="132" t="s">
        <v>336</v>
      </c>
      <c r="E617" s="147" t="s">
        <v>334</v>
      </c>
      <c r="F617" s="147" t="s">
        <v>377</v>
      </c>
      <c r="G617" s="72" t="s">
        <v>339</v>
      </c>
      <c r="H617" s="70">
        <f t="shared" si="85"/>
        <v>0</v>
      </c>
      <c r="I617" s="169" t="str">
        <f t="shared" si="86"/>
        <v/>
      </c>
      <c r="J617" s="70" t="str">
        <f t="shared" si="88"/>
        <v>1353Heat PumpR30R11BasementDouble</v>
      </c>
      <c r="S617" s="134"/>
      <c r="T617" s="134"/>
      <c r="U617" s="134"/>
      <c r="V617" s="134"/>
      <c r="W617" s="134"/>
      <c r="X617" s="134"/>
      <c r="Y617" s="134"/>
      <c r="Z617" s="134"/>
      <c r="AA617" s="134"/>
      <c r="AB617" s="134"/>
      <c r="AC617" s="134"/>
      <c r="AD617" s="134"/>
      <c r="AE617" s="134"/>
      <c r="AF617" s="146"/>
      <c r="AG617" s="134"/>
      <c r="AH617" s="134"/>
      <c r="AI617" s="134"/>
      <c r="AJ617" s="134"/>
      <c r="AK617" s="134"/>
      <c r="AL617" s="134"/>
      <c r="AM617" s="146"/>
      <c r="AN617" s="132"/>
      <c r="AO617" s="132"/>
      <c r="AP617" s="132"/>
      <c r="AQ617" s="132"/>
      <c r="AR617" s="134"/>
      <c r="AS617" s="134"/>
      <c r="AT617" s="132"/>
      <c r="AU617" s="133"/>
      <c r="AV617" s="134"/>
    </row>
    <row r="618" spans="1:48">
      <c r="A618" s="74">
        <v>1354</v>
      </c>
      <c r="B618" s="146" t="str">
        <f t="shared" si="87"/>
        <v>Heat PumpR30R11BasementBetter</v>
      </c>
      <c r="C618" s="134" t="s">
        <v>229</v>
      </c>
      <c r="D618" s="132" t="s">
        <v>336</v>
      </c>
      <c r="E618" s="147" t="s">
        <v>334</v>
      </c>
      <c r="F618" s="147" t="s">
        <v>377</v>
      </c>
      <c r="G618" s="166" t="s">
        <v>352</v>
      </c>
      <c r="H618" s="70">
        <f t="shared" si="85"/>
        <v>19880.523999999998</v>
      </c>
      <c r="I618" s="169">
        <f t="shared" si="86"/>
        <v>1.8649543937283266E-2</v>
      </c>
      <c r="J618" s="70" t="str">
        <f t="shared" si="88"/>
        <v>1354Heat PumpR30R11BasementBetter</v>
      </c>
      <c r="S618" s="134"/>
      <c r="T618" s="134"/>
      <c r="U618" s="134"/>
      <c r="V618" s="134"/>
      <c r="W618" s="134"/>
      <c r="X618" s="134"/>
      <c r="Y618" s="134"/>
      <c r="Z618" s="134"/>
      <c r="AA618" s="134"/>
      <c r="AB618" s="134"/>
      <c r="AC618" s="134"/>
      <c r="AD618" s="134"/>
      <c r="AE618" s="134"/>
      <c r="AF618" s="146"/>
      <c r="AG618" s="134"/>
      <c r="AH618" s="134"/>
      <c r="AI618" s="134"/>
      <c r="AJ618" s="134"/>
      <c r="AK618" s="134"/>
      <c r="AL618" s="134"/>
      <c r="AM618" s="146"/>
      <c r="AN618" s="132"/>
      <c r="AO618" s="132"/>
      <c r="AP618" s="132"/>
      <c r="AQ618" s="132"/>
      <c r="AR618" s="134"/>
      <c r="AS618" s="134"/>
      <c r="AT618" s="132"/>
      <c r="AU618" s="133"/>
      <c r="AV618" s="134"/>
    </row>
    <row r="619" spans="1:48">
      <c r="A619" s="74">
        <v>1355</v>
      </c>
      <c r="B619" s="146" t="str">
        <f t="shared" si="87"/>
        <v>Heat PumpR38R0BasementSingle</v>
      </c>
      <c r="C619" s="134" t="s">
        <v>229</v>
      </c>
      <c r="D619" s="132" t="s">
        <v>331</v>
      </c>
      <c r="E619" s="147" t="s">
        <v>329</v>
      </c>
      <c r="F619" s="147" t="s">
        <v>377</v>
      </c>
      <c r="G619" s="166" t="s">
        <v>355</v>
      </c>
      <c r="H619" s="70">
        <f t="shared" si="85"/>
        <v>0</v>
      </c>
      <c r="I619" s="169" t="str">
        <f t="shared" si="86"/>
        <v/>
      </c>
      <c r="J619" s="70" t="str">
        <f t="shared" si="88"/>
        <v>1355Heat PumpR38R0BasementSingle</v>
      </c>
      <c r="S619" s="134"/>
      <c r="T619" s="134"/>
      <c r="U619" s="134"/>
      <c r="V619" s="134"/>
      <c r="W619" s="134"/>
      <c r="X619" s="134"/>
      <c r="Y619" s="134"/>
      <c r="Z619" s="134"/>
      <c r="AA619" s="134"/>
      <c r="AB619" s="134"/>
      <c r="AC619" s="134"/>
      <c r="AD619" s="134"/>
      <c r="AE619" s="134"/>
      <c r="AF619" s="146"/>
      <c r="AG619" s="134"/>
      <c r="AH619" s="134"/>
      <c r="AI619" s="134"/>
      <c r="AJ619" s="134"/>
      <c r="AK619" s="134"/>
      <c r="AL619" s="134"/>
      <c r="AM619" s="146"/>
      <c r="AN619" s="132"/>
      <c r="AO619" s="132"/>
      <c r="AP619" s="132"/>
      <c r="AQ619" s="132"/>
      <c r="AR619" s="134"/>
      <c r="AS619" s="134"/>
      <c r="AT619" s="132"/>
      <c r="AU619" s="133"/>
      <c r="AV619" s="134"/>
    </row>
    <row r="620" spans="1:48">
      <c r="A620" s="74">
        <v>1356</v>
      </c>
      <c r="B620" s="146" t="str">
        <f t="shared" si="87"/>
        <v>Heat PumpR38R0BasementDouble</v>
      </c>
      <c r="C620" s="134" t="s">
        <v>229</v>
      </c>
      <c r="D620" s="132" t="s">
        <v>331</v>
      </c>
      <c r="E620" s="147" t="s">
        <v>329</v>
      </c>
      <c r="F620" s="147" t="s">
        <v>377</v>
      </c>
      <c r="G620" s="72" t="s">
        <v>339</v>
      </c>
      <c r="H620" s="70">
        <f t="shared" si="85"/>
        <v>0</v>
      </c>
      <c r="I620" s="169" t="str">
        <f t="shared" si="86"/>
        <v/>
      </c>
      <c r="J620" s="70" t="str">
        <f t="shared" si="88"/>
        <v>1356Heat PumpR38R0BasementDouble</v>
      </c>
      <c r="S620" s="134"/>
      <c r="T620" s="134"/>
      <c r="U620" s="134"/>
      <c r="V620" s="134"/>
      <c r="W620" s="134"/>
      <c r="X620" s="134"/>
      <c r="Y620" s="134"/>
      <c r="Z620" s="134"/>
      <c r="AA620" s="134"/>
      <c r="AB620" s="134"/>
      <c r="AC620" s="134"/>
      <c r="AD620" s="134"/>
      <c r="AE620" s="134"/>
      <c r="AF620" s="146"/>
      <c r="AG620" s="134"/>
      <c r="AH620" s="134"/>
      <c r="AI620" s="134"/>
      <c r="AJ620" s="134"/>
      <c r="AK620" s="134"/>
      <c r="AL620" s="134"/>
      <c r="AM620" s="146"/>
      <c r="AN620" s="132"/>
      <c r="AO620" s="132"/>
      <c r="AP620" s="132"/>
      <c r="AQ620" s="132"/>
      <c r="AR620" s="134"/>
      <c r="AS620" s="134"/>
      <c r="AT620" s="132"/>
      <c r="AU620" s="133"/>
      <c r="AV620" s="134"/>
    </row>
    <row r="621" spans="1:48">
      <c r="A621" s="74">
        <v>1357</v>
      </c>
      <c r="B621" s="146" t="str">
        <f t="shared" si="87"/>
        <v>Heat PumpR38R0BasementBetter</v>
      </c>
      <c r="C621" s="134" t="s">
        <v>229</v>
      </c>
      <c r="D621" s="132" t="s">
        <v>331</v>
      </c>
      <c r="E621" s="147" t="s">
        <v>329</v>
      </c>
      <c r="F621" s="147" t="s">
        <v>377</v>
      </c>
      <c r="G621" s="166" t="s">
        <v>352</v>
      </c>
      <c r="H621" s="70">
        <f t="shared" si="85"/>
        <v>1188.027</v>
      </c>
      <c r="I621" s="169">
        <f t="shared" si="86"/>
        <v>1.1144656818491722E-3</v>
      </c>
      <c r="J621" s="70" t="str">
        <f t="shared" si="88"/>
        <v>1357Heat PumpR38R0BasementBetter</v>
      </c>
      <c r="S621" s="134"/>
      <c r="T621" s="134"/>
      <c r="U621" s="134"/>
      <c r="V621" s="134"/>
      <c r="W621" s="134"/>
      <c r="X621" s="134"/>
      <c r="Y621" s="134"/>
      <c r="Z621" s="134"/>
      <c r="AA621" s="134"/>
      <c r="AB621" s="134"/>
      <c r="AC621" s="134"/>
      <c r="AD621" s="134"/>
      <c r="AE621" s="134"/>
      <c r="AF621" s="146"/>
      <c r="AG621" s="134"/>
      <c r="AH621" s="134"/>
      <c r="AI621" s="134"/>
      <c r="AJ621" s="134"/>
      <c r="AK621" s="134"/>
      <c r="AL621" s="134"/>
      <c r="AM621" s="146"/>
      <c r="AN621" s="132"/>
      <c r="AO621" s="132"/>
      <c r="AP621" s="132"/>
      <c r="AQ621" s="132"/>
      <c r="AR621" s="134"/>
      <c r="AS621" s="134"/>
      <c r="AT621" s="132"/>
      <c r="AU621" s="133"/>
      <c r="AV621" s="134"/>
    </row>
    <row r="622" spans="1:48">
      <c r="A622" s="74">
        <v>1358</v>
      </c>
      <c r="B622" s="146" t="str">
        <f t="shared" si="87"/>
        <v>Heat PumpR38R11BasementSingle</v>
      </c>
      <c r="C622" s="134" t="s">
        <v>229</v>
      </c>
      <c r="D622" s="132" t="s">
        <v>331</v>
      </c>
      <c r="E622" s="147" t="s">
        <v>334</v>
      </c>
      <c r="F622" s="147" t="s">
        <v>377</v>
      </c>
      <c r="G622" s="166" t="s">
        <v>355</v>
      </c>
      <c r="H622" s="70">
        <f t="shared" si="85"/>
        <v>0</v>
      </c>
      <c r="I622" s="169" t="str">
        <f t="shared" si="86"/>
        <v/>
      </c>
      <c r="J622" s="70" t="str">
        <f t="shared" si="88"/>
        <v>1358Heat PumpR38R11BasementSingle</v>
      </c>
      <c r="S622" s="134"/>
      <c r="T622" s="134"/>
      <c r="U622" s="134"/>
      <c r="V622" s="134"/>
      <c r="W622" s="134"/>
      <c r="X622" s="134"/>
      <c r="Y622" s="134"/>
      <c r="Z622" s="134"/>
      <c r="AA622" s="134"/>
      <c r="AB622" s="134"/>
      <c r="AC622" s="134"/>
      <c r="AD622" s="134"/>
      <c r="AE622" s="134"/>
      <c r="AF622" s="146"/>
      <c r="AG622" s="134"/>
      <c r="AH622" s="134"/>
      <c r="AI622" s="134"/>
      <c r="AJ622" s="134"/>
      <c r="AK622" s="134"/>
      <c r="AL622" s="134"/>
      <c r="AM622" s="146"/>
      <c r="AN622" s="132"/>
      <c r="AO622" s="132"/>
      <c r="AP622" s="132"/>
      <c r="AQ622" s="132"/>
      <c r="AR622" s="134"/>
      <c r="AS622" s="134"/>
      <c r="AT622" s="132"/>
      <c r="AU622" s="133"/>
      <c r="AV622" s="134"/>
    </row>
    <row r="623" spans="1:48">
      <c r="A623" s="74">
        <v>1359</v>
      </c>
      <c r="B623" s="146" t="str">
        <f t="shared" si="87"/>
        <v>Heat PumpR38R11BasementDouble</v>
      </c>
      <c r="C623" s="134" t="s">
        <v>229</v>
      </c>
      <c r="D623" s="132" t="s">
        <v>331</v>
      </c>
      <c r="E623" s="147" t="s">
        <v>334</v>
      </c>
      <c r="F623" s="147" t="s">
        <v>377</v>
      </c>
      <c r="G623" s="72" t="s">
        <v>339</v>
      </c>
      <c r="H623" s="70">
        <f t="shared" si="85"/>
        <v>8936.4539999999997</v>
      </c>
      <c r="I623" s="169">
        <f t="shared" si="86"/>
        <v>8.3831186500170126E-3</v>
      </c>
      <c r="J623" s="70" t="str">
        <f t="shared" si="88"/>
        <v>1359Heat PumpR38R11BasementDouble</v>
      </c>
      <c r="S623" s="134"/>
      <c r="T623" s="134"/>
      <c r="U623" s="134"/>
      <c r="V623" s="134"/>
      <c r="W623" s="134"/>
      <c r="X623" s="134"/>
      <c r="Y623" s="134"/>
      <c r="Z623" s="134"/>
      <c r="AA623" s="134"/>
      <c r="AB623" s="134"/>
      <c r="AC623" s="134"/>
      <c r="AD623" s="134"/>
      <c r="AE623" s="134"/>
      <c r="AF623" s="146"/>
      <c r="AG623" s="134"/>
      <c r="AH623" s="134"/>
      <c r="AI623" s="134"/>
      <c r="AJ623" s="134"/>
      <c r="AK623" s="134"/>
      <c r="AL623" s="134"/>
      <c r="AM623" s="146"/>
      <c r="AN623" s="132"/>
      <c r="AO623" s="132"/>
      <c r="AP623" s="132"/>
      <c r="AQ623" s="132"/>
      <c r="AR623" s="134"/>
      <c r="AS623" s="134"/>
      <c r="AT623" s="132"/>
      <c r="AU623" s="133"/>
      <c r="AV623" s="134"/>
    </row>
    <row r="624" spans="1:48">
      <c r="A624" s="74">
        <v>1360</v>
      </c>
      <c r="B624" s="146" t="str">
        <f t="shared" si="87"/>
        <v>Heat PumpR38R11BasementBetter</v>
      </c>
      <c r="C624" s="134" t="s">
        <v>229</v>
      </c>
      <c r="D624" s="132" t="s">
        <v>331</v>
      </c>
      <c r="E624" s="147" t="s">
        <v>334</v>
      </c>
      <c r="F624" s="147" t="s">
        <v>377</v>
      </c>
      <c r="G624" s="166" t="s">
        <v>352</v>
      </c>
      <c r="H624" s="70">
        <f t="shared" si="85"/>
        <v>45122.15400000001</v>
      </c>
      <c r="I624" s="169">
        <f t="shared" si="86"/>
        <v>4.2328240119217292E-2</v>
      </c>
      <c r="J624" s="70" t="str">
        <f t="shared" si="88"/>
        <v>1360Heat PumpR38R11BasementBetter</v>
      </c>
      <c r="S624" s="134"/>
      <c r="T624" s="134"/>
      <c r="U624" s="134"/>
      <c r="V624" s="134"/>
      <c r="W624" s="134"/>
      <c r="X624" s="134"/>
      <c r="Y624" s="134"/>
      <c r="Z624" s="134"/>
      <c r="AA624" s="134"/>
      <c r="AB624" s="134"/>
      <c r="AC624" s="134"/>
      <c r="AD624" s="134"/>
      <c r="AE624" s="134"/>
      <c r="AF624" s="146"/>
      <c r="AG624" s="134"/>
      <c r="AH624" s="134"/>
      <c r="AI624" s="134"/>
      <c r="AJ624" s="134"/>
      <c r="AK624" s="134"/>
      <c r="AL624" s="134"/>
      <c r="AM624" s="146"/>
      <c r="AN624" s="132"/>
      <c r="AO624" s="132"/>
      <c r="AP624" s="132"/>
      <c r="AQ624" s="132"/>
      <c r="AR624" s="134"/>
      <c r="AS624" s="134"/>
      <c r="AT624" s="132"/>
      <c r="AU624" s="133"/>
      <c r="AV624" s="134"/>
    </row>
    <row r="625" spans="1:48">
      <c r="A625" s="74">
        <v>1361</v>
      </c>
      <c r="B625" s="146" t="str">
        <f t="shared" si="87"/>
        <v>Electric ZonalR0R0SlabSingle</v>
      </c>
      <c r="C625" s="134" t="s">
        <v>228</v>
      </c>
      <c r="D625" s="132" t="s">
        <v>329</v>
      </c>
      <c r="E625" s="147" t="s">
        <v>329</v>
      </c>
      <c r="F625" s="147" t="s">
        <v>379</v>
      </c>
      <c r="G625" s="166" t="s">
        <v>355</v>
      </c>
      <c r="H625" s="70">
        <f t="shared" si="85"/>
        <v>0</v>
      </c>
      <c r="I625" s="169" t="str">
        <f t="shared" si="86"/>
        <v/>
      </c>
      <c r="J625" s="70" t="str">
        <f t="shared" si="88"/>
        <v>1361Electric ZonalR0R0SlabSingle</v>
      </c>
      <c r="S625" s="134"/>
      <c r="T625" s="134"/>
      <c r="U625" s="134"/>
      <c r="V625" s="134"/>
      <c r="W625" s="134"/>
      <c r="X625" s="134"/>
      <c r="Y625" s="134"/>
      <c r="Z625" s="134"/>
      <c r="AA625" s="134"/>
      <c r="AB625" s="134"/>
      <c r="AC625" s="134"/>
      <c r="AD625" s="134"/>
      <c r="AE625" s="134"/>
      <c r="AF625" s="146"/>
      <c r="AG625" s="134"/>
      <c r="AH625" s="134"/>
      <c r="AI625" s="134"/>
      <c r="AJ625" s="134"/>
      <c r="AK625" s="134"/>
      <c r="AL625" s="134"/>
      <c r="AM625" s="146"/>
      <c r="AN625" s="132"/>
      <c r="AO625" s="132"/>
      <c r="AP625" s="132"/>
      <c r="AQ625" s="132"/>
      <c r="AR625" s="134"/>
      <c r="AS625" s="134"/>
      <c r="AT625" s="132"/>
      <c r="AU625" s="133"/>
      <c r="AV625" s="134"/>
    </row>
    <row r="626" spans="1:48">
      <c r="A626" s="74">
        <v>1362</v>
      </c>
      <c r="B626" s="146" t="str">
        <f t="shared" si="87"/>
        <v>Electric ZonalR0R0SlabDouble</v>
      </c>
      <c r="C626" s="134" t="s">
        <v>228</v>
      </c>
      <c r="D626" s="132" t="s">
        <v>329</v>
      </c>
      <c r="E626" s="147" t="s">
        <v>329</v>
      </c>
      <c r="F626" s="147" t="s">
        <v>379</v>
      </c>
      <c r="G626" s="72" t="s">
        <v>339</v>
      </c>
      <c r="H626" s="70">
        <f t="shared" si="85"/>
        <v>0</v>
      </c>
      <c r="I626" s="169" t="str">
        <f t="shared" si="86"/>
        <v/>
      </c>
      <c r="J626" s="70" t="str">
        <f t="shared" si="88"/>
        <v>1362Electric ZonalR0R0SlabDouble</v>
      </c>
      <c r="S626" s="134"/>
      <c r="T626" s="134"/>
      <c r="U626" s="134"/>
      <c r="V626" s="134"/>
      <c r="W626" s="134"/>
      <c r="X626" s="134"/>
      <c r="Y626" s="134"/>
      <c r="Z626" s="134"/>
      <c r="AA626" s="134"/>
      <c r="AB626" s="134"/>
      <c r="AC626" s="134"/>
      <c r="AD626" s="134"/>
      <c r="AE626" s="134"/>
      <c r="AF626" s="146"/>
      <c r="AG626" s="134"/>
      <c r="AH626" s="134"/>
      <c r="AI626" s="134"/>
      <c r="AJ626" s="134"/>
      <c r="AK626" s="134"/>
      <c r="AL626" s="134"/>
      <c r="AM626" s="146"/>
      <c r="AN626" s="132"/>
      <c r="AO626" s="132"/>
      <c r="AP626" s="132"/>
      <c r="AQ626" s="132"/>
      <c r="AR626" s="134"/>
      <c r="AS626" s="134"/>
      <c r="AT626" s="132"/>
      <c r="AU626" s="133"/>
      <c r="AV626" s="134"/>
    </row>
    <row r="627" spans="1:48">
      <c r="A627" s="74">
        <v>1363</v>
      </c>
      <c r="B627" s="146" t="str">
        <f t="shared" si="87"/>
        <v>Electric ZonalR0R0SlabBetter</v>
      </c>
      <c r="C627" s="134" t="s">
        <v>228</v>
      </c>
      <c r="D627" s="132" t="s">
        <v>329</v>
      </c>
      <c r="E627" s="147" t="s">
        <v>329</v>
      </c>
      <c r="F627" s="147" t="s">
        <v>379</v>
      </c>
      <c r="G627" s="166" t="s">
        <v>352</v>
      </c>
      <c r="H627" s="70">
        <f t="shared" si="85"/>
        <v>0</v>
      </c>
      <c r="I627" s="169" t="str">
        <f t="shared" si="86"/>
        <v/>
      </c>
      <c r="J627" s="70" t="str">
        <f t="shared" si="88"/>
        <v>1363Electric ZonalR0R0SlabBetter</v>
      </c>
      <c r="S627" s="134"/>
      <c r="T627" s="134"/>
      <c r="U627" s="134"/>
      <c r="V627" s="134"/>
      <c r="W627" s="134"/>
      <c r="X627" s="134"/>
      <c r="Y627" s="134"/>
      <c r="Z627" s="134"/>
      <c r="AA627" s="134"/>
      <c r="AB627" s="134"/>
      <c r="AC627" s="134"/>
      <c r="AD627" s="134"/>
      <c r="AE627" s="134"/>
      <c r="AF627" s="146"/>
      <c r="AG627" s="134"/>
      <c r="AH627" s="134"/>
      <c r="AI627" s="134"/>
      <c r="AJ627" s="134"/>
      <c r="AK627" s="134"/>
      <c r="AL627" s="134"/>
      <c r="AM627" s="146"/>
      <c r="AN627" s="132"/>
      <c r="AO627" s="132"/>
      <c r="AP627" s="132"/>
      <c r="AQ627" s="132"/>
      <c r="AR627" s="134"/>
      <c r="AS627" s="134"/>
      <c r="AT627" s="132"/>
      <c r="AU627" s="133"/>
      <c r="AV627" s="134"/>
    </row>
    <row r="628" spans="1:48">
      <c r="A628" s="74">
        <v>1364</v>
      </c>
      <c r="B628" s="146" t="str">
        <f t="shared" si="87"/>
        <v>Electric ZonalR0R11SlabSingle</v>
      </c>
      <c r="C628" s="134" t="s">
        <v>228</v>
      </c>
      <c r="D628" s="132" t="s">
        <v>329</v>
      </c>
      <c r="E628" s="147" t="s">
        <v>334</v>
      </c>
      <c r="F628" s="147" t="s">
        <v>379</v>
      </c>
      <c r="G628" s="166" t="s">
        <v>355</v>
      </c>
      <c r="H628" s="70">
        <f t="shared" si="85"/>
        <v>0</v>
      </c>
      <c r="I628" s="169" t="str">
        <f t="shared" si="86"/>
        <v/>
      </c>
      <c r="J628" s="70" t="str">
        <f t="shared" si="88"/>
        <v>1364Electric ZonalR0R11SlabSingle</v>
      </c>
      <c r="S628" s="134"/>
      <c r="T628" s="134"/>
      <c r="U628" s="134"/>
      <c r="V628" s="134"/>
      <c r="W628" s="134"/>
      <c r="X628" s="134"/>
      <c r="Y628" s="134"/>
      <c r="Z628" s="134"/>
      <c r="AA628" s="134"/>
      <c r="AB628" s="134"/>
      <c r="AC628" s="134"/>
      <c r="AD628" s="134"/>
      <c r="AE628" s="134"/>
      <c r="AF628" s="146"/>
      <c r="AG628" s="134"/>
      <c r="AH628" s="134"/>
      <c r="AI628" s="134"/>
      <c r="AJ628" s="134"/>
      <c r="AK628" s="134"/>
      <c r="AL628" s="134"/>
      <c r="AM628" s="146"/>
      <c r="AN628" s="132"/>
      <c r="AO628" s="132"/>
      <c r="AP628" s="132"/>
      <c r="AQ628" s="132"/>
      <c r="AR628" s="134"/>
      <c r="AS628" s="134"/>
      <c r="AT628" s="132"/>
      <c r="AU628" s="133"/>
      <c r="AV628" s="134"/>
    </row>
    <row r="629" spans="1:48">
      <c r="A629" s="74">
        <v>1365</v>
      </c>
      <c r="B629" s="146" t="str">
        <f t="shared" si="87"/>
        <v>Electric ZonalR0R11SlabDouble</v>
      </c>
      <c r="C629" s="134" t="s">
        <v>228</v>
      </c>
      <c r="D629" s="132" t="s">
        <v>329</v>
      </c>
      <c r="E629" s="147" t="s">
        <v>334</v>
      </c>
      <c r="F629" s="147" t="s">
        <v>379</v>
      </c>
      <c r="G629" s="72" t="s">
        <v>339</v>
      </c>
      <c r="H629" s="70">
        <f t="shared" si="85"/>
        <v>0</v>
      </c>
      <c r="I629" s="169" t="str">
        <f t="shared" si="86"/>
        <v/>
      </c>
      <c r="J629" s="70" t="str">
        <f t="shared" si="88"/>
        <v>1365Electric ZonalR0R11SlabDouble</v>
      </c>
      <c r="S629" s="134"/>
      <c r="T629" s="134"/>
      <c r="U629" s="134"/>
      <c r="V629" s="134"/>
      <c r="W629" s="134"/>
      <c r="X629" s="134"/>
      <c r="Y629" s="134"/>
      <c r="Z629" s="134"/>
      <c r="AA629" s="134"/>
      <c r="AB629" s="134"/>
      <c r="AC629" s="134"/>
      <c r="AD629" s="134"/>
      <c r="AE629" s="134"/>
      <c r="AF629" s="146"/>
      <c r="AG629" s="134"/>
      <c r="AH629" s="134"/>
      <c r="AI629" s="134"/>
      <c r="AJ629" s="134"/>
      <c r="AK629" s="134"/>
      <c r="AL629" s="134"/>
      <c r="AM629" s="146"/>
      <c r="AN629" s="132"/>
      <c r="AO629" s="132"/>
      <c r="AP629" s="132"/>
      <c r="AQ629" s="132"/>
      <c r="AR629" s="134"/>
      <c r="AS629" s="134"/>
      <c r="AT629" s="132"/>
      <c r="AU629" s="133"/>
      <c r="AV629" s="134"/>
    </row>
    <row r="630" spans="1:48">
      <c r="A630" s="74">
        <v>1366</v>
      </c>
      <c r="B630" s="146" t="str">
        <f t="shared" si="87"/>
        <v>Electric ZonalR0R11SlabBetter</v>
      </c>
      <c r="C630" s="134" t="s">
        <v>228</v>
      </c>
      <c r="D630" s="132" t="s">
        <v>329</v>
      </c>
      <c r="E630" s="147" t="s">
        <v>334</v>
      </c>
      <c r="F630" s="147" t="s">
        <v>379</v>
      </c>
      <c r="G630" s="166" t="s">
        <v>352</v>
      </c>
      <c r="H630" s="70">
        <f t="shared" si="85"/>
        <v>0</v>
      </c>
      <c r="I630" s="169" t="str">
        <f t="shared" si="86"/>
        <v/>
      </c>
      <c r="J630" s="70" t="str">
        <f t="shared" si="88"/>
        <v>1366Electric ZonalR0R11SlabBetter</v>
      </c>
      <c r="S630" s="134"/>
      <c r="T630" s="134"/>
      <c r="U630" s="134"/>
      <c r="V630" s="134"/>
      <c r="W630" s="134"/>
      <c r="X630" s="134"/>
      <c r="Y630" s="134"/>
      <c r="Z630" s="134"/>
      <c r="AA630" s="134"/>
      <c r="AB630" s="134"/>
      <c r="AC630" s="134"/>
      <c r="AD630" s="134"/>
      <c r="AE630" s="134"/>
      <c r="AF630" s="146"/>
      <c r="AG630" s="134"/>
      <c r="AH630" s="134"/>
      <c r="AI630" s="134"/>
      <c r="AJ630" s="134"/>
      <c r="AK630" s="134"/>
      <c r="AL630" s="134"/>
      <c r="AM630" s="146"/>
      <c r="AN630" s="132"/>
      <c r="AO630" s="132"/>
      <c r="AP630" s="132"/>
      <c r="AQ630" s="132"/>
      <c r="AR630" s="134"/>
      <c r="AS630" s="134"/>
      <c r="AT630" s="132"/>
      <c r="AU630" s="133"/>
      <c r="AV630" s="134"/>
    </row>
    <row r="631" spans="1:48">
      <c r="A631" s="74">
        <v>1367</v>
      </c>
      <c r="B631" s="146" t="str">
        <f t="shared" si="87"/>
        <v>Electric ZonalR11R0SlabSingle</v>
      </c>
      <c r="C631" s="134" t="s">
        <v>228</v>
      </c>
      <c r="D631" s="132" t="s">
        <v>334</v>
      </c>
      <c r="E631" s="147" t="s">
        <v>329</v>
      </c>
      <c r="F631" s="147" t="s">
        <v>379</v>
      </c>
      <c r="G631" s="166" t="s">
        <v>355</v>
      </c>
      <c r="H631" s="70">
        <f t="shared" si="85"/>
        <v>0</v>
      </c>
      <c r="I631" s="169" t="str">
        <f t="shared" si="86"/>
        <v/>
      </c>
      <c r="J631" s="70" t="str">
        <f t="shared" si="88"/>
        <v>1367Electric ZonalR11R0SlabSingle</v>
      </c>
      <c r="S631" s="134"/>
      <c r="T631" s="134"/>
      <c r="U631" s="134"/>
      <c r="V631" s="134"/>
      <c r="W631" s="134"/>
      <c r="X631" s="134"/>
      <c r="Y631" s="134"/>
      <c r="Z631" s="134"/>
      <c r="AA631" s="134"/>
      <c r="AB631" s="134"/>
      <c r="AC631" s="134"/>
      <c r="AD631" s="134"/>
      <c r="AE631" s="134"/>
      <c r="AF631" s="146"/>
      <c r="AG631" s="134"/>
      <c r="AH631" s="134"/>
      <c r="AI631" s="134"/>
      <c r="AJ631" s="134"/>
      <c r="AK631" s="134"/>
      <c r="AL631" s="134"/>
      <c r="AM631" s="146"/>
      <c r="AN631" s="132"/>
      <c r="AO631" s="132"/>
      <c r="AP631" s="132"/>
      <c r="AQ631" s="132"/>
      <c r="AR631" s="134"/>
      <c r="AS631" s="134"/>
      <c r="AT631" s="132"/>
      <c r="AU631" s="133"/>
      <c r="AV631" s="134"/>
    </row>
    <row r="632" spans="1:48">
      <c r="A632" s="74">
        <v>1368</v>
      </c>
      <c r="B632" s="146" t="str">
        <f t="shared" si="87"/>
        <v>Electric ZonalR11R0SlabDouble</v>
      </c>
      <c r="C632" s="134" t="s">
        <v>228</v>
      </c>
      <c r="D632" s="132" t="s">
        <v>334</v>
      </c>
      <c r="E632" s="147" t="s">
        <v>329</v>
      </c>
      <c r="F632" s="147" t="s">
        <v>379</v>
      </c>
      <c r="G632" s="72" t="s">
        <v>339</v>
      </c>
      <c r="H632" s="70">
        <f t="shared" si="85"/>
        <v>0</v>
      </c>
      <c r="I632" s="169" t="str">
        <f t="shared" si="86"/>
        <v/>
      </c>
      <c r="J632" s="70" t="str">
        <f t="shared" si="88"/>
        <v>1368Electric ZonalR11R0SlabDouble</v>
      </c>
      <c r="S632" s="134"/>
      <c r="T632" s="134"/>
      <c r="U632" s="134"/>
      <c r="V632" s="134"/>
      <c r="W632" s="134"/>
      <c r="X632" s="134"/>
      <c r="Y632" s="134"/>
      <c r="Z632" s="134"/>
      <c r="AA632" s="134"/>
      <c r="AB632" s="134"/>
      <c r="AC632" s="134"/>
      <c r="AD632" s="134"/>
      <c r="AE632" s="134"/>
      <c r="AF632" s="146"/>
      <c r="AG632" s="134"/>
      <c r="AH632" s="134"/>
      <c r="AI632" s="134"/>
      <c r="AJ632" s="134"/>
      <c r="AK632" s="134"/>
      <c r="AL632" s="134"/>
      <c r="AM632" s="146"/>
      <c r="AN632" s="132"/>
      <c r="AO632" s="132"/>
      <c r="AP632" s="132"/>
      <c r="AQ632" s="132"/>
      <c r="AR632" s="134"/>
      <c r="AS632" s="134"/>
      <c r="AT632" s="132"/>
      <c r="AU632" s="133"/>
      <c r="AV632" s="134"/>
    </row>
    <row r="633" spans="1:48">
      <c r="A633" s="74">
        <v>1369</v>
      </c>
      <c r="B633" s="146" t="str">
        <f t="shared" si="87"/>
        <v>Electric ZonalR11R0SlabBetter</v>
      </c>
      <c r="C633" s="134" t="s">
        <v>228</v>
      </c>
      <c r="D633" s="132" t="s">
        <v>334</v>
      </c>
      <c r="E633" s="147" t="s">
        <v>329</v>
      </c>
      <c r="F633" s="147" t="s">
        <v>379</v>
      </c>
      <c r="G633" s="166" t="s">
        <v>352</v>
      </c>
      <c r="H633" s="70">
        <f t="shared" si="85"/>
        <v>0</v>
      </c>
      <c r="I633" s="169" t="str">
        <f t="shared" si="86"/>
        <v/>
      </c>
      <c r="J633" s="70" t="str">
        <f t="shared" si="88"/>
        <v>1369Electric ZonalR11R0SlabBetter</v>
      </c>
      <c r="S633" s="134"/>
      <c r="T633" s="134"/>
      <c r="U633" s="134"/>
      <c r="V633" s="134"/>
      <c r="W633" s="134"/>
      <c r="X633" s="134"/>
      <c r="Y633" s="134"/>
      <c r="Z633" s="134"/>
      <c r="AA633" s="134"/>
      <c r="AB633" s="134"/>
      <c r="AC633" s="134"/>
      <c r="AD633" s="134"/>
      <c r="AE633" s="134"/>
      <c r="AF633" s="146"/>
      <c r="AG633" s="134"/>
      <c r="AH633" s="134"/>
      <c r="AI633" s="134"/>
      <c r="AJ633" s="134"/>
      <c r="AK633" s="134"/>
      <c r="AL633" s="134"/>
      <c r="AM633" s="146"/>
      <c r="AN633" s="132"/>
      <c r="AO633" s="132"/>
      <c r="AP633" s="132"/>
      <c r="AQ633" s="132"/>
      <c r="AR633" s="134"/>
      <c r="AS633" s="134"/>
      <c r="AT633" s="132"/>
      <c r="AU633" s="133"/>
      <c r="AV633" s="134"/>
    </row>
    <row r="634" spans="1:48">
      <c r="A634" s="74">
        <v>1370</v>
      </c>
      <c r="B634" s="146" t="str">
        <f t="shared" si="87"/>
        <v>Electric ZonalR11R11SlabSingle</v>
      </c>
      <c r="C634" s="134" t="s">
        <v>228</v>
      </c>
      <c r="D634" s="132" t="s">
        <v>334</v>
      </c>
      <c r="E634" s="147" t="s">
        <v>334</v>
      </c>
      <c r="F634" s="147" t="s">
        <v>379</v>
      </c>
      <c r="G634" s="166" t="s">
        <v>355</v>
      </c>
      <c r="H634" s="70">
        <f t="shared" si="85"/>
        <v>0</v>
      </c>
      <c r="I634" s="169" t="str">
        <f t="shared" si="86"/>
        <v/>
      </c>
      <c r="J634" s="70" t="str">
        <f t="shared" si="88"/>
        <v>1370Electric ZonalR11R11SlabSingle</v>
      </c>
      <c r="S634" s="134"/>
      <c r="T634" s="134"/>
      <c r="U634" s="134"/>
      <c r="V634" s="134"/>
      <c r="W634" s="134"/>
      <c r="X634" s="134"/>
      <c r="Y634" s="134"/>
      <c r="Z634" s="134"/>
      <c r="AA634" s="134"/>
      <c r="AB634" s="134"/>
      <c r="AC634" s="134"/>
      <c r="AD634" s="134"/>
      <c r="AE634" s="134"/>
      <c r="AF634" s="146"/>
      <c r="AG634" s="134"/>
      <c r="AH634" s="134"/>
      <c r="AI634" s="134"/>
      <c r="AJ634" s="134"/>
      <c r="AK634" s="134"/>
      <c r="AL634" s="134"/>
      <c r="AM634" s="146"/>
      <c r="AN634" s="132"/>
      <c r="AO634" s="132"/>
      <c r="AP634" s="132"/>
      <c r="AQ634" s="132"/>
      <c r="AR634" s="134"/>
      <c r="AS634" s="134"/>
      <c r="AT634" s="132"/>
      <c r="AU634" s="133"/>
      <c r="AV634" s="134"/>
    </row>
    <row r="635" spans="1:48">
      <c r="A635" s="74">
        <v>1371</v>
      </c>
      <c r="B635" s="146" t="str">
        <f t="shared" si="87"/>
        <v>Electric ZonalR11R11SlabDouble</v>
      </c>
      <c r="C635" s="134" t="s">
        <v>228</v>
      </c>
      <c r="D635" s="132" t="s">
        <v>334</v>
      </c>
      <c r="E635" s="147" t="s">
        <v>334</v>
      </c>
      <c r="F635" s="147" t="s">
        <v>379</v>
      </c>
      <c r="G635" s="72" t="s">
        <v>339</v>
      </c>
      <c r="H635" s="70">
        <f t="shared" si="85"/>
        <v>8275.4060000000009</v>
      </c>
      <c r="I635" s="169">
        <f t="shared" si="86"/>
        <v>7.7630020112074314E-3</v>
      </c>
      <c r="J635" s="70" t="str">
        <f t="shared" si="88"/>
        <v>1371Electric ZonalR11R11SlabDouble</v>
      </c>
      <c r="S635" s="134"/>
      <c r="T635" s="134"/>
      <c r="U635" s="134"/>
      <c r="V635" s="134"/>
      <c r="W635" s="134"/>
      <c r="X635" s="134"/>
      <c r="Y635" s="134"/>
      <c r="Z635" s="134"/>
      <c r="AA635" s="134"/>
      <c r="AB635" s="134"/>
      <c r="AC635" s="134"/>
      <c r="AD635" s="134"/>
      <c r="AE635" s="134"/>
      <c r="AF635" s="146"/>
      <c r="AG635" s="134"/>
      <c r="AH635" s="134"/>
      <c r="AI635" s="134"/>
      <c r="AJ635" s="134"/>
      <c r="AK635" s="134"/>
      <c r="AL635" s="134"/>
      <c r="AM635" s="146"/>
      <c r="AN635" s="132"/>
      <c r="AO635" s="132"/>
      <c r="AP635" s="132"/>
      <c r="AQ635" s="132"/>
      <c r="AR635" s="134"/>
      <c r="AS635" s="134"/>
      <c r="AT635" s="132"/>
      <c r="AU635" s="133"/>
      <c r="AV635" s="134"/>
    </row>
    <row r="636" spans="1:48">
      <c r="A636" s="74">
        <v>1372</v>
      </c>
      <c r="B636" s="146" t="str">
        <f t="shared" si="87"/>
        <v>Electric ZonalR11R11SlabBetter</v>
      </c>
      <c r="C636" s="134" t="s">
        <v>228</v>
      </c>
      <c r="D636" s="132" t="s">
        <v>334</v>
      </c>
      <c r="E636" s="147" t="s">
        <v>334</v>
      </c>
      <c r="F636" s="147" t="s">
        <v>379</v>
      </c>
      <c r="G636" s="166" t="s">
        <v>352</v>
      </c>
      <c r="H636" s="70">
        <f t="shared" si="85"/>
        <v>10763.271000000001</v>
      </c>
      <c r="I636" s="169">
        <f t="shared" si="86"/>
        <v>1.0096821161423453E-2</v>
      </c>
      <c r="J636" s="70" t="str">
        <f t="shared" si="88"/>
        <v>1372Electric ZonalR11R11SlabBetter</v>
      </c>
      <c r="S636" s="134"/>
      <c r="T636" s="134"/>
      <c r="U636" s="134"/>
      <c r="V636" s="134"/>
      <c r="W636" s="134"/>
      <c r="X636" s="134"/>
      <c r="Y636" s="134"/>
      <c r="Z636" s="134"/>
      <c r="AA636" s="134"/>
      <c r="AB636" s="134"/>
      <c r="AC636" s="134"/>
      <c r="AD636" s="134"/>
      <c r="AE636" s="134"/>
      <c r="AF636" s="146"/>
      <c r="AG636" s="134"/>
      <c r="AH636" s="134"/>
      <c r="AI636" s="134"/>
      <c r="AJ636" s="134"/>
      <c r="AK636" s="134"/>
      <c r="AL636" s="134"/>
      <c r="AM636" s="146"/>
      <c r="AN636" s="132"/>
      <c r="AO636" s="132"/>
      <c r="AP636" s="132"/>
      <c r="AQ636" s="132"/>
      <c r="AR636" s="134"/>
      <c r="AS636" s="134"/>
      <c r="AT636" s="132"/>
      <c r="AU636" s="133"/>
      <c r="AV636" s="134"/>
    </row>
    <row r="637" spans="1:48">
      <c r="A637" s="74">
        <v>1373</v>
      </c>
      <c r="B637" s="146" t="str">
        <f t="shared" si="87"/>
        <v>Electric ZonalR19R0SlabSingle</v>
      </c>
      <c r="C637" s="134" t="s">
        <v>228</v>
      </c>
      <c r="D637" s="132" t="s">
        <v>335</v>
      </c>
      <c r="E637" s="147" t="s">
        <v>329</v>
      </c>
      <c r="F637" s="147" t="s">
        <v>379</v>
      </c>
      <c r="G637" s="166" t="s">
        <v>355</v>
      </c>
      <c r="H637" s="70">
        <f t="shared" si="85"/>
        <v>0</v>
      </c>
      <c r="I637" s="169" t="str">
        <f t="shared" si="86"/>
        <v/>
      </c>
      <c r="J637" s="70" t="str">
        <f t="shared" si="88"/>
        <v>1373Electric ZonalR19R0SlabSingle</v>
      </c>
      <c r="S637" s="134"/>
      <c r="T637" s="134"/>
      <c r="U637" s="134"/>
      <c r="V637" s="134"/>
      <c r="W637" s="134"/>
      <c r="X637" s="134"/>
      <c r="Y637" s="134"/>
      <c r="Z637" s="134"/>
      <c r="AA637" s="134"/>
      <c r="AB637" s="134"/>
      <c r="AC637" s="134"/>
      <c r="AD637" s="134"/>
      <c r="AE637" s="134"/>
      <c r="AF637" s="146"/>
      <c r="AG637" s="134"/>
      <c r="AH637" s="134"/>
      <c r="AI637" s="134"/>
      <c r="AJ637" s="134"/>
      <c r="AK637" s="134"/>
      <c r="AL637" s="134"/>
      <c r="AM637" s="146"/>
      <c r="AN637" s="132"/>
      <c r="AO637" s="132"/>
      <c r="AP637" s="132"/>
      <c r="AQ637" s="132"/>
      <c r="AR637" s="134"/>
      <c r="AS637" s="134"/>
      <c r="AT637" s="132"/>
      <c r="AU637" s="133"/>
      <c r="AV637" s="134"/>
    </row>
    <row r="638" spans="1:48">
      <c r="A638" s="74">
        <v>1374</v>
      </c>
      <c r="B638" s="146" t="str">
        <f t="shared" si="87"/>
        <v>Electric ZonalR19R0SlabDouble</v>
      </c>
      <c r="C638" s="134" t="s">
        <v>228</v>
      </c>
      <c r="D638" s="132" t="s">
        <v>335</v>
      </c>
      <c r="E638" s="147" t="s">
        <v>329</v>
      </c>
      <c r="F638" s="147" t="s">
        <v>379</v>
      </c>
      <c r="G638" s="72" t="s">
        <v>339</v>
      </c>
      <c r="H638" s="70">
        <f t="shared" si="85"/>
        <v>0</v>
      </c>
      <c r="I638" s="169" t="str">
        <f t="shared" si="86"/>
        <v/>
      </c>
      <c r="J638" s="70" t="str">
        <f t="shared" si="88"/>
        <v>1374Electric ZonalR19R0SlabDouble</v>
      </c>
      <c r="S638" s="134"/>
      <c r="T638" s="134"/>
      <c r="U638" s="134"/>
      <c r="V638" s="134"/>
      <c r="W638" s="134"/>
      <c r="X638" s="134"/>
      <c r="Y638" s="134"/>
      <c r="Z638" s="134"/>
      <c r="AA638" s="134"/>
      <c r="AB638" s="134"/>
      <c r="AC638" s="134"/>
      <c r="AD638" s="134"/>
      <c r="AE638" s="134"/>
      <c r="AF638" s="146"/>
      <c r="AG638" s="134"/>
      <c r="AH638" s="134"/>
      <c r="AI638" s="134"/>
      <c r="AJ638" s="134"/>
      <c r="AK638" s="134"/>
      <c r="AL638" s="134"/>
      <c r="AM638" s="146"/>
      <c r="AN638" s="132"/>
      <c r="AO638" s="132"/>
      <c r="AP638" s="132"/>
      <c r="AQ638" s="132"/>
      <c r="AR638" s="134"/>
      <c r="AS638" s="134"/>
      <c r="AT638" s="132"/>
      <c r="AU638" s="133"/>
      <c r="AV638" s="134"/>
    </row>
    <row r="639" spans="1:48">
      <c r="A639" s="74">
        <v>1375</v>
      </c>
      <c r="B639" s="146" t="str">
        <f t="shared" si="87"/>
        <v>Electric ZonalR19R0SlabBetter</v>
      </c>
      <c r="C639" s="134" t="s">
        <v>228</v>
      </c>
      <c r="D639" s="132" t="s">
        <v>335</v>
      </c>
      <c r="E639" s="147" t="s">
        <v>329</v>
      </c>
      <c r="F639" s="147" t="s">
        <v>379</v>
      </c>
      <c r="G639" s="166" t="s">
        <v>352</v>
      </c>
      <c r="H639" s="70">
        <f t="shared" si="85"/>
        <v>5448.9750000000004</v>
      </c>
      <c r="I639" s="169">
        <f t="shared" si="86"/>
        <v>5.111580493333984E-3</v>
      </c>
      <c r="J639" s="70" t="str">
        <f t="shared" si="88"/>
        <v>1375Electric ZonalR19R0SlabBetter</v>
      </c>
      <c r="S639" s="134"/>
      <c r="T639" s="134"/>
      <c r="U639" s="134"/>
      <c r="V639" s="134"/>
      <c r="W639" s="134"/>
      <c r="X639" s="134"/>
      <c r="Y639" s="134"/>
      <c r="Z639" s="134"/>
      <c r="AA639" s="134"/>
      <c r="AB639" s="134"/>
      <c r="AC639" s="134"/>
      <c r="AD639" s="134"/>
      <c r="AE639" s="134"/>
      <c r="AF639" s="146"/>
      <c r="AG639" s="134"/>
      <c r="AH639" s="134"/>
      <c r="AI639" s="134"/>
      <c r="AJ639" s="134"/>
      <c r="AK639" s="134"/>
      <c r="AL639" s="134"/>
      <c r="AM639" s="146"/>
      <c r="AN639" s="132"/>
      <c r="AO639" s="132"/>
      <c r="AP639" s="132"/>
      <c r="AQ639" s="132"/>
      <c r="AR639" s="134"/>
      <c r="AS639" s="134"/>
      <c r="AT639" s="132"/>
      <c r="AU639" s="133"/>
      <c r="AV639" s="134"/>
    </row>
    <row r="640" spans="1:48">
      <c r="A640" s="74">
        <v>1376</v>
      </c>
      <c r="B640" s="146" t="str">
        <f t="shared" si="87"/>
        <v>Electric ZonalR19R11SlabSingle</v>
      </c>
      <c r="C640" s="134" t="s">
        <v>228</v>
      </c>
      <c r="D640" s="132" t="s">
        <v>335</v>
      </c>
      <c r="E640" s="147" t="s">
        <v>334</v>
      </c>
      <c r="F640" s="147" t="s">
        <v>379</v>
      </c>
      <c r="G640" s="166" t="s">
        <v>355</v>
      </c>
      <c r="H640" s="70">
        <f t="shared" si="85"/>
        <v>0</v>
      </c>
      <c r="I640" s="169" t="str">
        <f t="shared" si="86"/>
        <v/>
      </c>
      <c r="J640" s="70" t="str">
        <f t="shared" si="88"/>
        <v>1376Electric ZonalR19R11SlabSingle</v>
      </c>
      <c r="S640" s="134"/>
      <c r="T640" s="134"/>
      <c r="U640" s="134"/>
      <c r="V640" s="134"/>
      <c r="W640" s="134"/>
      <c r="X640" s="134"/>
      <c r="Y640" s="134"/>
      <c r="Z640" s="134"/>
      <c r="AA640" s="134"/>
      <c r="AB640" s="134"/>
      <c r="AC640" s="134"/>
      <c r="AD640" s="134"/>
      <c r="AE640" s="134"/>
      <c r="AF640" s="146"/>
      <c r="AG640" s="134"/>
      <c r="AH640" s="134"/>
      <c r="AI640" s="134"/>
      <c r="AJ640" s="134"/>
      <c r="AK640" s="134"/>
      <c r="AL640" s="134"/>
      <c r="AM640" s="146"/>
      <c r="AN640" s="132"/>
      <c r="AO640" s="132"/>
      <c r="AP640" s="132"/>
      <c r="AQ640" s="132"/>
      <c r="AR640" s="134"/>
      <c r="AS640" s="134"/>
      <c r="AT640" s="132"/>
      <c r="AU640" s="133"/>
      <c r="AV640" s="134"/>
    </row>
    <row r="641" spans="1:48">
      <c r="A641" s="74">
        <v>1377</v>
      </c>
      <c r="B641" s="146" t="str">
        <f t="shared" si="87"/>
        <v>Electric ZonalR19R11SlabDouble</v>
      </c>
      <c r="C641" s="134" t="s">
        <v>228</v>
      </c>
      <c r="D641" s="132" t="s">
        <v>335</v>
      </c>
      <c r="E641" s="147" t="s">
        <v>334</v>
      </c>
      <c r="F641" s="147" t="s">
        <v>379</v>
      </c>
      <c r="G641" s="72" t="s">
        <v>339</v>
      </c>
      <c r="H641" s="70">
        <f t="shared" si="85"/>
        <v>2079.9929999999999</v>
      </c>
      <c r="I641" s="169">
        <f t="shared" si="86"/>
        <v>1.9512021334418368E-3</v>
      </c>
      <c r="J641" s="70" t="str">
        <f t="shared" si="88"/>
        <v>1377Electric ZonalR19R11SlabDouble</v>
      </c>
      <c r="S641" s="134"/>
      <c r="T641" s="134"/>
      <c r="U641" s="134"/>
      <c r="V641" s="134"/>
      <c r="W641" s="134"/>
      <c r="X641" s="134"/>
      <c r="Y641" s="134"/>
      <c r="Z641" s="134"/>
      <c r="AA641" s="134"/>
      <c r="AB641" s="134"/>
      <c r="AC641" s="134"/>
      <c r="AD641" s="134"/>
      <c r="AE641" s="134"/>
      <c r="AF641" s="146"/>
      <c r="AG641" s="134"/>
      <c r="AH641" s="134"/>
      <c r="AI641" s="134"/>
      <c r="AJ641" s="134"/>
      <c r="AK641" s="134"/>
      <c r="AL641" s="134"/>
      <c r="AM641" s="146"/>
      <c r="AN641" s="132"/>
      <c r="AO641" s="132"/>
      <c r="AP641" s="132"/>
      <c r="AQ641" s="132"/>
      <c r="AR641" s="134"/>
      <c r="AS641" s="134"/>
      <c r="AT641" s="132"/>
      <c r="AU641" s="133"/>
      <c r="AV641" s="134"/>
    </row>
    <row r="642" spans="1:48">
      <c r="A642" s="74">
        <v>1378</v>
      </c>
      <c r="B642" s="146" t="str">
        <f t="shared" si="87"/>
        <v>Electric ZonalR19R11SlabBetter</v>
      </c>
      <c r="C642" s="134" t="s">
        <v>228</v>
      </c>
      <c r="D642" s="132" t="s">
        <v>335</v>
      </c>
      <c r="E642" s="147" t="s">
        <v>334</v>
      </c>
      <c r="F642" s="147" t="s">
        <v>379</v>
      </c>
      <c r="G642" s="166" t="s">
        <v>352</v>
      </c>
      <c r="H642" s="70">
        <f t="shared" si="85"/>
        <v>11105.451000000001</v>
      </c>
      <c r="I642" s="169">
        <f t="shared" si="86"/>
        <v>1.0417813754197144E-2</v>
      </c>
      <c r="J642" s="70" t="str">
        <f t="shared" si="88"/>
        <v>1378Electric ZonalR19R11SlabBetter</v>
      </c>
      <c r="S642" s="134"/>
      <c r="T642" s="134"/>
      <c r="U642" s="134"/>
      <c r="V642" s="134"/>
      <c r="W642" s="134"/>
      <c r="X642" s="134"/>
      <c r="Y642" s="134"/>
      <c r="Z642" s="134"/>
      <c r="AA642" s="134"/>
      <c r="AB642" s="134"/>
      <c r="AC642" s="134"/>
      <c r="AD642" s="134"/>
      <c r="AE642" s="134"/>
      <c r="AF642" s="146"/>
      <c r="AG642" s="134"/>
      <c r="AH642" s="134"/>
      <c r="AI642" s="134"/>
      <c r="AJ642" s="134"/>
      <c r="AK642" s="134"/>
      <c r="AL642" s="134"/>
      <c r="AM642" s="146"/>
      <c r="AN642" s="132"/>
      <c r="AO642" s="132"/>
      <c r="AP642" s="132"/>
      <c r="AQ642" s="132"/>
      <c r="AR642" s="134"/>
      <c r="AS642" s="134"/>
      <c r="AT642" s="132"/>
      <c r="AU642" s="133"/>
      <c r="AV642" s="134"/>
    </row>
    <row r="643" spans="1:48">
      <c r="A643" s="74">
        <v>1379</v>
      </c>
      <c r="B643" s="146" t="str">
        <f t="shared" si="87"/>
        <v>Electric ZonalR30R0SlabSingle</v>
      </c>
      <c r="C643" s="134" t="s">
        <v>228</v>
      </c>
      <c r="D643" s="132" t="s">
        <v>336</v>
      </c>
      <c r="E643" s="147" t="s">
        <v>329</v>
      </c>
      <c r="F643" s="147" t="s">
        <v>379</v>
      </c>
      <c r="G643" s="166" t="s">
        <v>355</v>
      </c>
      <c r="H643" s="70">
        <f t="shared" si="85"/>
        <v>0</v>
      </c>
      <c r="I643" s="169" t="str">
        <f t="shared" si="86"/>
        <v/>
      </c>
      <c r="J643" s="70" t="str">
        <f t="shared" si="88"/>
        <v>1379Electric ZonalR30R0SlabSingle</v>
      </c>
      <c r="S643" s="134"/>
      <c r="T643" s="134"/>
      <c r="U643" s="134"/>
      <c r="V643" s="134"/>
      <c r="W643" s="134"/>
      <c r="X643" s="134"/>
      <c r="Y643" s="134"/>
      <c r="Z643" s="134"/>
      <c r="AA643" s="134"/>
      <c r="AB643" s="134"/>
      <c r="AC643" s="134"/>
      <c r="AD643" s="134"/>
      <c r="AE643" s="134"/>
      <c r="AF643" s="146"/>
      <c r="AG643" s="134"/>
      <c r="AH643" s="134"/>
      <c r="AI643" s="134"/>
      <c r="AJ643" s="134"/>
      <c r="AK643" s="134"/>
      <c r="AL643" s="134"/>
      <c r="AM643" s="146"/>
      <c r="AN643" s="132"/>
      <c r="AO643" s="132"/>
      <c r="AP643" s="132"/>
      <c r="AQ643" s="132"/>
      <c r="AR643" s="134"/>
      <c r="AS643" s="134"/>
      <c r="AT643" s="132"/>
      <c r="AU643" s="133"/>
      <c r="AV643" s="134"/>
    </row>
    <row r="644" spans="1:48">
      <c r="A644" s="74">
        <v>1380</v>
      </c>
      <c r="B644" s="146" t="str">
        <f t="shared" si="87"/>
        <v>Electric ZonalR30R0SlabDouble</v>
      </c>
      <c r="C644" s="134" t="s">
        <v>228</v>
      </c>
      <c r="D644" s="132" t="s">
        <v>336</v>
      </c>
      <c r="E644" s="147" t="s">
        <v>329</v>
      </c>
      <c r="F644" s="147" t="s">
        <v>379</v>
      </c>
      <c r="G644" s="72" t="s">
        <v>339</v>
      </c>
      <c r="H644" s="70">
        <f t="shared" si="85"/>
        <v>0</v>
      </c>
      <c r="I644" s="169" t="str">
        <f t="shared" si="86"/>
        <v/>
      </c>
      <c r="J644" s="70" t="str">
        <f t="shared" si="88"/>
        <v>1380Electric ZonalR30R0SlabDouble</v>
      </c>
      <c r="S644" s="134"/>
      <c r="T644" s="134"/>
      <c r="U644" s="134"/>
      <c r="V644" s="134"/>
      <c r="W644" s="134"/>
      <c r="X644" s="134"/>
      <c r="Y644" s="134"/>
      <c r="Z644" s="134"/>
      <c r="AA644" s="134"/>
      <c r="AB644" s="134"/>
      <c r="AC644" s="134"/>
      <c r="AD644" s="134"/>
      <c r="AE644" s="134"/>
      <c r="AF644" s="146"/>
      <c r="AG644" s="134"/>
      <c r="AH644" s="134"/>
      <c r="AI644" s="134"/>
      <c r="AJ644" s="134"/>
      <c r="AK644" s="134"/>
      <c r="AL644" s="134"/>
      <c r="AM644" s="146"/>
      <c r="AN644" s="132"/>
      <c r="AO644" s="132"/>
      <c r="AP644" s="132"/>
      <c r="AQ644" s="132"/>
      <c r="AR644" s="134"/>
      <c r="AS644" s="134"/>
      <c r="AT644" s="132"/>
      <c r="AU644" s="133"/>
      <c r="AV644" s="134"/>
    </row>
    <row r="645" spans="1:48">
      <c r="A645" s="74">
        <v>1381</v>
      </c>
      <c r="B645" s="146" t="str">
        <f t="shared" si="87"/>
        <v>Electric ZonalR30R0SlabBetter</v>
      </c>
      <c r="C645" s="134" t="s">
        <v>228</v>
      </c>
      <c r="D645" s="132" t="s">
        <v>336</v>
      </c>
      <c r="E645" s="147" t="s">
        <v>329</v>
      </c>
      <c r="F645" s="147" t="s">
        <v>379</v>
      </c>
      <c r="G645" s="166" t="s">
        <v>352</v>
      </c>
      <c r="H645" s="70">
        <f t="shared" si="85"/>
        <v>0</v>
      </c>
      <c r="I645" s="169" t="str">
        <f t="shared" si="86"/>
        <v/>
      </c>
      <c r="J645" s="70" t="str">
        <f t="shared" si="88"/>
        <v>1381Electric ZonalR30R0SlabBetter</v>
      </c>
      <c r="S645" s="134"/>
      <c r="T645" s="134"/>
      <c r="U645" s="134"/>
      <c r="V645" s="134"/>
      <c r="W645" s="134"/>
      <c r="X645" s="134"/>
      <c r="Y645" s="134"/>
      <c r="Z645" s="134"/>
      <c r="AA645" s="134"/>
      <c r="AB645" s="134"/>
      <c r="AC645" s="134"/>
      <c r="AD645" s="134"/>
      <c r="AE645" s="134"/>
      <c r="AF645" s="146"/>
      <c r="AG645" s="134"/>
      <c r="AH645" s="134"/>
      <c r="AI645" s="134"/>
      <c r="AJ645" s="134"/>
      <c r="AK645" s="134"/>
      <c r="AL645" s="134"/>
      <c r="AM645" s="146"/>
      <c r="AN645" s="132"/>
      <c r="AO645" s="132"/>
      <c r="AP645" s="132"/>
      <c r="AQ645" s="132"/>
      <c r="AR645" s="134"/>
      <c r="AS645" s="134"/>
      <c r="AT645" s="132"/>
      <c r="AU645" s="133"/>
      <c r="AV645" s="134"/>
    </row>
    <row r="646" spans="1:48">
      <c r="A646" s="74">
        <v>1382</v>
      </c>
      <c r="B646" s="146" t="str">
        <f t="shared" si="87"/>
        <v>Electric ZonalR30R11SlabSingle</v>
      </c>
      <c r="C646" s="134" t="s">
        <v>228</v>
      </c>
      <c r="D646" s="132" t="s">
        <v>336</v>
      </c>
      <c r="E646" s="147" t="s">
        <v>334</v>
      </c>
      <c r="F646" s="147" t="s">
        <v>379</v>
      </c>
      <c r="G646" s="166" t="s">
        <v>355</v>
      </c>
      <c r="H646" s="70">
        <f t="shared" si="85"/>
        <v>0</v>
      </c>
      <c r="I646" s="169" t="str">
        <f t="shared" si="86"/>
        <v/>
      </c>
      <c r="J646" s="70" t="str">
        <f t="shared" si="88"/>
        <v>1382Electric ZonalR30R11SlabSingle</v>
      </c>
      <c r="S646" s="134"/>
      <c r="T646" s="134"/>
      <c r="U646" s="134"/>
      <c r="V646" s="134"/>
      <c r="W646" s="134"/>
      <c r="X646" s="134"/>
      <c r="Y646" s="134"/>
      <c r="Z646" s="134"/>
      <c r="AA646" s="134"/>
      <c r="AB646" s="134"/>
      <c r="AC646" s="134"/>
      <c r="AD646" s="134"/>
      <c r="AE646" s="134"/>
      <c r="AF646" s="146"/>
      <c r="AG646" s="134"/>
      <c r="AH646" s="134"/>
      <c r="AI646" s="134"/>
      <c r="AJ646" s="134"/>
      <c r="AK646" s="134"/>
      <c r="AL646" s="134"/>
      <c r="AM646" s="146"/>
      <c r="AN646" s="132"/>
      <c r="AO646" s="132"/>
      <c r="AP646" s="132"/>
      <c r="AQ646" s="132"/>
      <c r="AR646" s="134"/>
      <c r="AS646" s="134"/>
      <c r="AT646" s="132"/>
      <c r="AU646" s="133"/>
      <c r="AV646" s="134"/>
    </row>
    <row r="647" spans="1:48">
      <c r="A647" s="74">
        <v>1383</v>
      </c>
      <c r="B647" s="146" t="str">
        <f t="shared" si="87"/>
        <v>Electric ZonalR30R11SlabDouble</v>
      </c>
      <c r="C647" s="134" t="s">
        <v>228</v>
      </c>
      <c r="D647" s="132" t="s">
        <v>336</v>
      </c>
      <c r="E647" s="147" t="s">
        <v>334</v>
      </c>
      <c r="F647" s="147" t="s">
        <v>379</v>
      </c>
      <c r="G647" s="72" t="s">
        <v>339</v>
      </c>
      <c r="H647" s="70">
        <f t="shared" si="85"/>
        <v>5250.4580000000005</v>
      </c>
      <c r="I647" s="169">
        <f t="shared" si="86"/>
        <v>4.92535544645908E-3</v>
      </c>
      <c r="J647" s="70" t="str">
        <f t="shared" si="88"/>
        <v>1383Electric ZonalR30R11SlabDouble</v>
      </c>
      <c r="S647" s="134"/>
      <c r="T647" s="134"/>
      <c r="U647" s="134"/>
      <c r="V647" s="134"/>
      <c r="W647" s="134"/>
      <c r="X647" s="134"/>
      <c r="Y647" s="134"/>
      <c r="Z647" s="134"/>
      <c r="AA647" s="134"/>
      <c r="AB647" s="134"/>
      <c r="AC647" s="134"/>
      <c r="AD647" s="134"/>
      <c r="AE647" s="134"/>
      <c r="AF647" s="146"/>
      <c r="AG647" s="134"/>
      <c r="AH647" s="134"/>
      <c r="AI647" s="134"/>
      <c r="AJ647" s="134"/>
      <c r="AK647" s="134"/>
      <c r="AL647" s="134"/>
      <c r="AM647" s="146"/>
      <c r="AN647" s="132"/>
      <c r="AO647" s="132"/>
      <c r="AP647" s="132"/>
      <c r="AQ647" s="132"/>
      <c r="AR647" s="134"/>
      <c r="AS647" s="134"/>
      <c r="AT647" s="132"/>
      <c r="AU647" s="133"/>
      <c r="AV647" s="134"/>
    </row>
    <row r="648" spans="1:48">
      <c r="A648" s="74">
        <v>1384</v>
      </c>
      <c r="B648" s="146" t="str">
        <f t="shared" si="87"/>
        <v>Electric ZonalR30R11SlabBetter</v>
      </c>
      <c r="C648" s="134" t="s">
        <v>228</v>
      </c>
      <c r="D648" s="132" t="s">
        <v>336</v>
      </c>
      <c r="E648" s="147" t="s">
        <v>334</v>
      </c>
      <c r="F648" s="147" t="s">
        <v>379</v>
      </c>
      <c r="G648" s="166" t="s">
        <v>352</v>
      </c>
      <c r="H648" s="70">
        <f t="shared" si="85"/>
        <v>7713.8640000000005</v>
      </c>
      <c r="I648" s="169">
        <f t="shared" si="86"/>
        <v>7.2362300709089798E-3</v>
      </c>
      <c r="J648" s="70" t="str">
        <f t="shared" si="88"/>
        <v>1384Electric ZonalR30R11SlabBetter</v>
      </c>
      <c r="S648" s="134"/>
      <c r="T648" s="134"/>
      <c r="U648" s="134"/>
      <c r="V648" s="134"/>
      <c r="W648" s="134"/>
      <c r="X648" s="134"/>
      <c r="Y648" s="134"/>
      <c r="Z648" s="134"/>
      <c r="AA648" s="134"/>
      <c r="AB648" s="134"/>
      <c r="AC648" s="134"/>
      <c r="AD648" s="134"/>
      <c r="AE648" s="134"/>
      <c r="AF648" s="146"/>
      <c r="AG648" s="134"/>
      <c r="AH648" s="134"/>
      <c r="AI648" s="134"/>
      <c r="AJ648" s="134"/>
      <c r="AK648" s="134"/>
      <c r="AL648" s="134"/>
      <c r="AM648" s="146"/>
      <c r="AN648" s="132"/>
      <c r="AO648" s="132"/>
      <c r="AP648" s="132"/>
      <c r="AQ648" s="132"/>
      <c r="AR648" s="134"/>
      <c r="AS648" s="134"/>
      <c r="AT648" s="132"/>
      <c r="AU648" s="133"/>
      <c r="AV648" s="134"/>
    </row>
    <row r="649" spans="1:48">
      <c r="A649" s="74">
        <v>1385</v>
      </c>
      <c r="B649" s="146" t="str">
        <f t="shared" si="87"/>
        <v>Electric ZonalR38R0SlabSingle</v>
      </c>
      <c r="C649" s="134" t="s">
        <v>228</v>
      </c>
      <c r="D649" s="132" t="s">
        <v>331</v>
      </c>
      <c r="E649" s="147" t="s">
        <v>329</v>
      </c>
      <c r="F649" s="147" t="s">
        <v>379</v>
      </c>
      <c r="G649" s="166" t="s">
        <v>355</v>
      </c>
      <c r="H649" s="70">
        <f t="shared" ref="H649:H714" si="89">SUMIFS($I$755:$I$1283,$O$755:$O$1283,B649,$J$755:$J$1283,"keep")</f>
        <v>0</v>
      </c>
      <c r="I649" s="169" t="str">
        <f t="shared" ref="I649:I712" si="90">IF(H649&gt;0,H649/SUM($H$265:$H$714),"")</f>
        <v/>
      </c>
      <c r="J649" s="70" t="str">
        <f t="shared" si="88"/>
        <v>1385Electric ZonalR38R0SlabSingle</v>
      </c>
      <c r="S649" s="134"/>
      <c r="T649" s="134"/>
      <c r="U649" s="134"/>
      <c r="V649" s="134"/>
      <c r="W649" s="134"/>
      <c r="X649" s="134"/>
      <c r="Y649" s="134"/>
      <c r="Z649" s="134"/>
      <c r="AA649" s="134"/>
      <c r="AB649" s="134"/>
      <c r="AC649" s="134"/>
      <c r="AD649" s="134"/>
      <c r="AE649" s="134"/>
      <c r="AF649" s="146"/>
      <c r="AG649" s="134"/>
      <c r="AH649" s="134"/>
      <c r="AI649" s="134"/>
      <c r="AJ649" s="134"/>
      <c r="AK649" s="134"/>
      <c r="AL649" s="134"/>
      <c r="AM649" s="146"/>
      <c r="AN649" s="132"/>
      <c r="AO649" s="132"/>
      <c r="AP649" s="132"/>
      <c r="AQ649" s="132"/>
      <c r="AR649" s="134"/>
      <c r="AS649" s="134"/>
      <c r="AT649" s="132"/>
      <c r="AU649" s="133"/>
      <c r="AV649" s="134"/>
    </row>
    <row r="650" spans="1:48">
      <c r="A650" s="74">
        <v>1386</v>
      </c>
      <c r="B650" s="146" t="str">
        <f t="shared" ref="B650:B713" si="91">C650&amp;D650&amp;E650&amp;F650&amp;G650</f>
        <v>Electric ZonalR38R0SlabDouble</v>
      </c>
      <c r="C650" s="134" t="s">
        <v>228</v>
      </c>
      <c r="D650" s="132" t="s">
        <v>331</v>
      </c>
      <c r="E650" s="147" t="s">
        <v>329</v>
      </c>
      <c r="F650" s="147" t="s">
        <v>379</v>
      </c>
      <c r="G650" s="72" t="s">
        <v>339</v>
      </c>
      <c r="H650" s="70">
        <f t="shared" si="89"/>
        <v>0</v>
      </c>
      <c r="I650" s="169" t="str">
        <f t="shared" si="90"/>
        <v/>
      </c>
      <c r="J650" s="70" t="str">
        <f t="shared" ref="J650:J713" si="92">A650&amp;B650</f>
        <v>1386Electric ZonalR38R0SlabDouble</v>
      </c>
      <c r="S650" s="134"/>
      <c r="T650" s="134"/>
      <c r="U650" s="134"/>
      <c r="V650" s="134"/>
      <c r="W650" s="134"/>
      <c r="X650" s="134"/>
      <c r="Y650" s="134"/>
      <c r="Z650" s="134"/>
      <c r="AA650" s="134"/>
      <c r="AB650" s="134"/>
      <c r="AC650" s="134"/>
      <c r="AD650" s="134"/>
      <c r="AE650" s="134"/>
      <c r="AF650" s="146"/>
      <c r="AG650" s="134"/>
      <c r="AH650" s="134"/>
      <c r="AI650" s="134"/>
      <c r="AJ650" s="134"/>
      <c r="AK650" s="134"/>
      <c r="AL650" s="134"/>
      <c r="AM650" s="146"/>
      <c r="AN650" s="132"/>
      <c r="AO650" s="132"/>
      <c r="AP650" s="132"/>
      <c r="AQ650" s="132"/>
      <c r="AR650" s="134"/>
      <c r="AS650" s="134"/>
      <c r="AT650" s="132"/>
      <c r="AU650" s="133"/>
      <c r="AV650" s="134"/>
    </row>
    <row r="651" spans="1:48">
      <c r="A651" s="74">
        <v>1387</v>
      </c>
      <c r="B651" s="146" t="str">
        <f t="shared" si="91"/>
        <v>Electric ZonalR38R0SlabBetter</v>
      </c>
      <c r="C651" s="134" t="s">
        <v>228</v>
      </c>
      <c r="D651" s="132" t="s">
        <v>331</v>
      </c>
      <c r="E651" s="147" t="s">
        <v>329</v>
      </c>
      <c r="F651" s="147" t="s">
        <v>379</v>
      </c>
      <c r="G651" s="166" t="s">
        <v>352</v>
      </c>
      <c r="H651" s="70">
        <f t="shared" si="89"/>
        <v>0</v>
      </c>
      <c r="I651" s="169" t="str">
        <f t="shared" si="90"/>
        <v/>
      </c>
      <c r="J651" s="70" t="str">
        <f t="shared" si="92"/>
        <v>1387Electric ZonalR38R0SlabBetter</v>
      </c>
      <c r="S651" s="134"/>
      <c r="T651" s="134"/>
      <c r="U651" s="134"/>
      <c r="V651" s="134"/>
      <c r="W651" s="134"/>
      <c r="X651" s="134"/>
      <c r="Y651" s="134"/>
      <c r="Z651" s="134"/>
      <c r="AA651" s="134"/>
      <c r="AB651" s="134"/>
      <c r="AC651" s="134"/>
      <c r="AD651" s="134"/>
      <c r="AE651" s="134"/>
      <c r="AF651" s="146"/>
      <c r="AG651" s="134"/>
      <c r="AH651" s="134"/>
      <c r="AI651" s="134"/>
      <c r="AJ651" s="134"/>
      <c r="AK651" s="134"/>
      <c r="AL651" s="134"/>
      <c r="AM651" s="146"/>
      <c r="AN651" s="132"/>
      <c r="AO651" s="132"/>
      <c r="AP651" s="132"/>
      <c r="AQ651" s="132"/>
      <c r="AR651" s="134"/>
      <c r="AS651" s="134"/>
      <c r="AT651" s="132"/>
      <c r="AU651" s="133"/>
      <c r="AV651" s="134"/>
    </row>
    <row r="652" spans="1:48">
      <c r="A652" s="74">
        <v>1388</v>
      </c>
      <c r="B652" s="146" t="str">
        <f t="shared" si="91"/>
        <v>Electric ZonalR38R11SlabSingle</v>
      </c>
      <c r="C652" s="134" t="s">
        <v>228</v>
      </c>
      <c r="D652" s="132" t="s">
        <v>331</v>
      </c>
      <c r="E652" s="147" t="s">
        <v>334</v>
      </c>
      <c r="F652" s="147" t="s">
        <v>379</v>
      </c>
      <c r="G652" s="166" t="s">
        <v>355</v>
      </c>
      <c r="H652" s="70">
        <f t="shared" si="89"/>
        <v>0</v>
      </c>
      <c r="I652" s="169" t="str">
        <f t="shared" si="90"/>
        <v/>
      </c>
      <c r="J652" s="70" t="str">
        <f t="shared" si="92"/>
        <v>1388Electric ZonalR38R11SlabSingle</v>
      </c>
      <c r="S652" s="134"/>
      <c r="T652" s="134"/>
      <c r="U652" s="134"/>
      <c r="V652" s="134"/>
      <c r="W652" s="134"/>
      <c r="X652" s="134"/>
      <c r="Y652" s="134"/>
      <c r="Z652" s="134"/>
      <c r="AA652" s="134"/>
      <c r="AB652" s="134"/>
      <c r="AC652" s="134"/>
      <c r="AD652" s="134"/>
      <c r="AE652" s="134"/>
      <c r="AF652" s="146"/>
      <c r="AG652" s="134"/>
      <c r="AH652" s="134"/>
      <c r="AI652" s="134"/>
      <c r="AJ652" s="134"/>
      <c r="AK652" s="134"/>
      <c r="AL652" s="134"/>
      <c r="AM652" s="146"/>
      <c r="AN652" s="132"/>
      <c r="AO652" s="132"/>
      <c r="AP652" s="132"/>
      <c r="AQ652" s="132"/>
      <c r="AR652" s="134"/>
      <c r="AS652" s="134"/>
      <c r="AT652" s="132"/>
      <c r="AU652" s="133"/>
      <c r="AV652" s="134"/>
    </row>
    <row r="653" spans="1:48">
      <c r="A653" s="74">
        <v>1389</v>
      </c>
      <c r="B653" s="146" t="str">
        <f t="shared" si="91"/>
        <v>Electric ZonalR38R11SlabDouble</v>
      </c>
      <c r="C653" s="134" t="s">
        <v>228</v>
      </c>
      <c r="D653" s="132" t="s">
        <v>331</v>
      </c>
      <c r="E653" s="147" t="s">
        <v>334</v>
      </c>
      <c r="F653" s="147" t="s">
        <v>379</v>
      </c>
      <c r="G653" s="72" t="s">
        <v>339</v>
      </c>
      <c r="H653" s="70">
        <f t="shared" si="89"/>
        <v>0</v>
      </c>
      <c r="I653" s="169" t="str">
        <f t="shared" si="90"/>
        <v/>
      </c>
      <c r="J653" s="70" t="str">
        <f t="shared" si="92"/>
        <v>1389Electric ZonalR38R11SlabDouble</v>
      </c>
      <c r="S653" s="134"/>
      <c r="T653" s="134"/>
      <c r="U653" s="134"/>
      <c r="V653" s="134"/>
      <c r="W653" s="134"/>
      <c r="X653" s="134"/>
      <c r="Y653" s="134"/>
      <c r="Z653" s="134"/>
      <c r="AA653" s="134"/>
      <c r="AB653" s="134"/>
      <c r="AC653" s="134"/>
      <c r="AD653" s="134"/>
      <c r="AE653" s="134"/>
      <c r="AF653" s="146"/>
      <c r="AG653" s="134"/>
      <c r="AH653" s="134"/>
      <c r="AI653" s="134"/>
      <c r="AJ653" s="134"/>
      <c r="AK653" s="134"/>
      <c r="AL653" s="134"/>
      <c r="AM653" s="146"/>
      <c r="AN653" s="132"/>
      <c r="AO653" s="132"/>
      <c r="AP653" s="132"/>
      <c r="AQ653" s="132"/>
      <c r="AR653" s="134"/>
      <c r="AS653" s="134"/>
      <c r="AT653" s="132"/>
      <c r="AU653" s="133"/>
      <c r="AV653" s="134"/>
    </row>
    <row r="654" spans="1:48">
      <c r="A654" s="74">
        <v>1390</v>
      </c>
      <c r="B654" s="146" t="str">
        <f t="shared" si="91"/>
        <v>Electric ZonalR38R11SlabBetter</v>
      </c>
      <c r="C654" s="134" t="s">
        <v>228</v>
      </c>
      <c r="D654" s="132" t="s">
        <v>331</v>
      </c>
      <c r="E654" s="147" t="s">
        <v>334</v>
      </c>
      <c r="F654" s="147" t="s">
        <v>379</v>
      </c>
      <c r="G654" s="166" t="s">
        <v>352</v>
      </c>
      <c r="H654" s="70">
        <f t="shared" si="89"/>
        <v>24822.143</v>
      </c>
      <c r="I654" s="169">
        <f t="shared" si="90"/>
        <v>2.3285183353116263E-2</v>
      </c>
      <c r="J654" s="70" t="str">
        <f t="shared" si="92"/>
        <v>1390Electric ZonalR38R11SlabBetter</v>
      </c>
      <c r="S654" s="134"/>
      <c r="T654" s="134"/>
      <c r="U654" s="134"/>
      <c r="V654" s="134"/>
      <c r="W654" s="134"/>
      <c r="X654" s="134"/>
      <c r="Y654" s="134"/>
      <c r="Z654" s="134"/>
      <c r="AA654" s="134"/>
      <c r="AB654" s="134"/>
      <c r="AC654" s="134"/>
      <c r="AD654" s="134"/>
      <c r="AE654" s="134"/>
      <c r="AF654" s="146"/>
      <c r="AG654" s="134"/>
      <c r="AH654" s="134"/>
      <c r="AI654" s="134"/>
      <c r="AJ654" s="134"/>
      <c r="AK654" s="134"/>
      <c r="AL654" s="134"/>
      <c r="AM654" s="146"/>
      <c r="AN654" s="132"/>
      <c r="AO654" s="132"/>
      <c r="AP654" s="132"/>
      <c r="AQ654" s="132"/>
      <c r="AR654" s="134"/>
      <c r="AS654" s="134"/>
      <c r="AT654" s="132"/>
      <c r="AU654" s="133"/>
      <c r="AV654" s="134"/>
    </row>
    <row r="655" spans="1:48">
      <c r="A655" s="74">
        <v>1391</v>
      </c>
      <c r="B655" s="146" t="str">
        <f t="shared" si="91"/>
        <v>Electric FAFR0R0SlabSingle</v>
      </c>
      <c r="C655" s="134" t="s">
        <v>227</v>
      </c>
      <c r="D655" s="132" t="s">
        <v>329</v>
      </c>
      <c r="E655" s="147" t="s">
        <v>329</v>
      </c>
      <c r="F655" s="147" t="s">
        <v>379</v>
      </c>
      <c r="G655" s="166" t="s">
        <v>355</v>
      </c>
      <c r="H655" s="70">
        <f t="shared" si="89"/>
        <v>0</v>
      </c>
      <c r="I655" s="169" t="str">
        <f t="shared" si="90"/>
        <v/>
      </c>
      <c r="J655" s="70" t="str">
        <f t="shared" si="92"/>
        <v>1391Electric FAFR0R0SlabSingle</v>
      </c>
      <c r="S655" s="134"/>
      <c r="T655" s="134"/>
      <c r="U655" s="134"/>
      <c r="V655" s="134"/>
      <c r="W655" s="134"/>
      <c r="X655" s="134"/>
      <c r="Y655" s="134"/>
      <c r="Z655" s="134"/>
      <c r="AA655" s="134"/>
      <c r="AB655" s="134"/>
      <c r="AC655" s="134"/>
      <c r="AD655" s="134"/>
      <c r="AE655" s="134"/>
      <c r="AF655" s="146"/>
      <c r="AG655" s="134"/>
      <c r="AH655" s="134"/>
      <c r="AI655" s="134"/>
      <c r="AJ655" s="134"/>
      <c r="AK655" s="134"/>
      <c r="AL655" s="134"/>
      <c r="AM655" s="146"/>
      <c r="AN655" s="132"/>
      <c r="AO655" s="132"/>
      <c r="AP655" s="132"/>
      <c r="AQ655" s="132"/>
      <c r="AR655" s="134"/>
      <c r="AS655" s="134"/>
      <c r="AT655" s="132"/>
      <c r="AU655" s="133"/>
      <c r="AV655" s="134"/>
    </row>
    <row r="656" spans="1:48">
      <c r="A656" s="74">
        <v>1392</v>
      </c>
      <c r="B656" s="146" t="str">
        <f t="shared" si="91"/>
        <v>Electric FAFR0R0SlabDouble</v>
      </c>
      <c r="C656" s="134" t="s">
        <v>227</v>
      </c>
      <c r="D656" s="132" t="s">
        <v>329</v>
      </c>
      <c r="E656" s="147" t="s">
        <v>329</v>
      </c>
      <c r="F656" s="147" t="s">
        <v>379</v>
      </c>
      <c r="G656" s="72" t="s">
        <v>339</v>
      </c>
      <c r="H656" s="70">
        <f t="shared" si="89"/>
        <v>0</v>
      </c>
      <c r="I656" s="169" t="str">
        <f t="shared" si="90"/>
        <v/>
      </c>
      <c r="J656" s="70" t="str">
        <f t="shared" si="92"/>
        <v>1392Electric FAFR0R0SlabDouble</v>
      </c>
      <c r="S656" s="134"/>
      <c r="T656" s="134"/>
      <c r="U656" s="134"/>
      <c r="V656" s="134"/>
      <c r="W656" s="134"/>
      <c r="X656" s="134"/>
      <c r="Y656" s="134"/>
      <c r="Z656" s="134"/>
      <c r="AA656" s="134"/>
      <c r="AB656" s="134"/>
      <c r="AC656" s="134"/>
      <c r="AD656" s="134"/>
      <c r="AE656" s="134"/>
      <c r="AF656" s="146"/>
      <c r="AG656" s="134"/>
      <c r="AH656" s="134"/>
      <c r="AI656" s="134"/>
      <c r="AJ656" s="134"/>
      <c r="AK656" s="134"/>
      <c r="AL656" s="134"/>
      <c r="AM656" s="146"/>
      <c r="AN656" s="132"/>
      <c r="AO656" s="132"/>
      <c r="AP656" s="132"/>
      <c r="AQ656" s="132"/>
      <c r="AR656" s="134"/>
      <c r="AS656" s="134"/>
      <c r="AT656" s="132"/>
      <c r="AU656" s="133"/>
      <c r="AV656" s="134"/>
    </row>
    <row r="657" spans="1:48">
      <c r="A657" s="74">
        <v>1393</v>
      </c>
      <c r="B657" s="146" t="str">
        <f t="shared" si="91"/>
        <v>Electric FAFR0R0SlabBetter</v>
      </c>
      <c r="C657" s="134" t="s">
        <v>227</v>
      </c>
      <c r="D657" s="132" t="s">
        <v>329</v>
      </c>
      <c r="E657" s="147" t="s">
        <v>329</v>
      </c>
      <c r="F657" s="147" t="s">
        <v>379</v>
      </c>
      <c r="G657" s="166" t="s">
        <v>352</v>
      </c>
      <c r="H657" s="70">
        <f t="shared" si="89"/>
        <v>0</v>
      </c>
      <c r="I657" s="169" t="str">
        <f t="shared" si="90"/>
        <v/>
      </c>
      <c r="J657" s="70" t="str">
        <f t="shared" si="92"/>
        <v>1393Electric FAFR0R0SlabBetter</v>
      </c>
      <c r="S657" s="134"/>
      <c r="T657" s="134"/>
      <c r="U657" s="134"/>
      <c r="V657" s="134"/>
      <c r="W657" s="134"/>
      <c r="X657" s="134"/>
      <c r="Y657" s="134"/>
      <c r="Z657" s="134"/>
      <c r="AA657" s="134"/>
      <c r="AB657" s="134"/>
      <c r="AC657" s="134"/>
      <c r="AD657" s="134"/>
      <c r="AE657" s="134"/>
      <c r="AF657" s="146"/>
      <c r="AG657" s="134"/>
      <c r="AH657" s="134"/>
      <c r="AI657" s="134"/>
      <c r="AJ657" s="134"/>
      <c r="AK657" s="134"/>
      <c r="AL657" s="134"/>
      <c r="AM657" s="146"/>
      <c r="AN657" s="132"/>
      <c r="AO657" s="132"/>
      <c r="AP657" s="132"/>
      <c r="AQ657" s="132"/>
      <c r="AR657" s="134"/>
      <c r="AS657" s="134"/>
      <c r="AT657" s="132"/>
      <c r="AU657" s="133"/>
      <c r="AV657" s="134"/>
    </row>
    <row r="658" spans="1:48">
      <c r="A658" s="74">
        <v>1394</v>
      </c>
      <c r="B658" s="146" t="str">
        <f t="shared" si="91"/>
        <v>Electric FAFR0R11SlabSingle</v>
      </c>
      <c r="C658" s="134" t="s">
        <v>227</v>
      </c>
      <c r="D658" s="132" t="s">
        <v>329</v>
      </c>
      <c r="E658" s="147" t="s">
        <v>334</v>
      </c>
      <c r="F658" s="147" t="s">
        <v>379</v>
      </c>
      <c r="G658" s="166" t="s">
        <v>355</v>
      </c>
      <c r="H658" s="70">
        <f t="shared" si="89"/>
        <v>0</v>
      </c>
      <c r="I658" s="169" t="str">
        <f t="shared" si="90"/>
        <v/>
      </c>
      <c r="J658" s="70" t="str">
        <f t="shared" si="92"/>
        <v>1394Electric FAFR0R11SlabSingle</v>
      </c>
      <c r="S658" s="134"/>
      <c r="T658" s="134"/>
      <c r="U658" s="134"/>
      <c r="V658" s="134"/>
      <c r="W658" s="134"/>
      <c r="X658" s="134"/>
      <c r="Y658" s="134"/>
      <c r="Z658" s="134"/>
      <c r="AA658" s="134"/>
      <c r="AB658" s="134"/>
      <c r="AC658" s="134"/>
      <c r="AD658" s="134"/>
      <c r="AE658" s="134"/>
      <c r="AF658" s="146"/>
      <c r="AG658" s="134"/>
      <c r="AH658" s="134"/>
      <c r="AI658" s="134"/>
      <c r="AJ658" s="134"/>
      <c r="AK658" s="134"/>
      <c r="AL658" s="134"/>
      <c r="AM658" s="146"/>
      <c r="AN658" s="132"/>
      <c r="AO658" s="132"/>
      <c r="AP658" s="132"/>
      <c r="AQ658" s="132"/>
      <c r="AR658" s="134"/>
      <c r="AS658" s="134"/>
      <c r="AT658" s="132"/>
      <c r="AU658" s="133"/>
      <c r="AV658" s="134"/>
    </row>
    <row r="659" spans="1:48">
      <c r="A659" s="74">
        <v>1395</v>
      </c>
      <c r="B659" s="146" t="str">
        <f t="shared" si="91"/>
        <v>Electric FAFR0R11SlabDouble</v>
      </c>
      <c r="C659" s="134" t="s">
        <v>227</v>
      </c>
      <c r="D659" s="132" t="s">
        <v>329</v>
      </c>
      <c r="E659" s="147" t="s">
        <v>334</v>
      </c>
      <c r="F659" s="147" t="s">
        <v>379</v>
      </c>
      <c r="G659" s="72" t="s">
        <v>339</v>
      </c>
      <c r="H659" s="70">
        <f t="shared" si="89"/>
        <v>0</v>
      </c>
      <c r="I659" s="169" t="str">
        <f t="shared" si="90"/>
        <v/>
      </c>
      <c r="J659" s="70" t="str">
        <f t="shared" si="92"/>
        <v>1395Electric FAFR0R11SlabDouble</v>
      </c>
      <c r="S659" s="134"/>
      <c r="T659" s="134"/>
      <c r="U659" s="134"/>
      <c r="V659" s="134"/>
      <c r="W659" s="134"/>
      <c r="X659" s="134"/>
      <c r="Y659" s="134"/>
      <c r="Z659" s="134"/>
      <c r="AA659" s="134"/>
      <c r="AB659" s="134"/>
      <c r="AC659" s="134"/>
      <c r="AD659" s="134"/>
      <c r="AE659" s="134"/>
      <c r="AF659" s="146"/>
      <c r="AG659" s="134"/>
      <c r="AH659" s="134"/>
      <c r="AI659" s="134"/>
      <c r="AJ659" s="134"/>
      <c r="AK659" s="134"/>
      <c r="AL659" s="134"/>
      <c r="AM659" s="146"/>
      <c r="AN659" s="132"/>
      <c r="AO659" s="132"/>
      <c r="AP659" s="132"/>
      <c r="AQ659" s="132"/>
      <c r="AR659" s="134"/>
      <c r="AS659" s="134"/>
      <c r="AT659" s="132"/>
      <c r="AU659" s="133"/>
      <c r="AV659" s="134"/>
    </row>
    <row r="660" spans="1:48">
      <c r="A660" s="74">
        <v>1396</v>
      </c>
      <c r="B660" s="146" t="str">
        <f t="shared" si="91"/>
        <v>Electric FAFR0R11SlabBetter</v>
      </c>
      <c r="C660" s="134" t="s">
        <v>227</v>
      </c>
      <c r="D660" s="132" t="s">
        <v>329</v>
      </c>
      <c r="E660" s="147" t="s">
        <v>334</v>
      </c>
      <c r="F660" s="147" t="s">
        <v>379</v>
      </c>
      <c r="G660" s="166" t="s">
        <v>352</v>
      </c>
      <c r="H660" s="70">
        <f t="shared" si="89"/>
        <v>0</v>
      </c>
      <c r="I660" s="169" t="str">
        <f t="shared" si="90"/>
        <v/>
      </c>
      <c r="J660" s="70" t="str">
        <f t="shared" si="92"/>
        <v>1396Electric FAFR0R11SlabBetter</v>
      </c>
      <c r="S660" s="134"/>
      <c r="T660" s="134"/>
      <c r="U660" s="134"/>
      <c r="V660" s="134"/>
      <c r="W660" s="134"/>
      <c r="X660" s="134"/>
      <c r="Y660" s="134"/>
      <c r="Z660" s="134"/>
      <c r="AA660" s="134"/>
      <c r="AB660" s="134"/>
      <c r="AC660" s="134"/>
      <c r="AD660" s="134"/>
      <c r="AE660" s="134"/>
      <c r="AF660" s="146"/>
      <c r="AG660" s="134"/>
      <c r="AH660" s="134"/>
      <c r="AI660" s="134"/>
      <c r="AJ660" s="134"/>
      <c r="AK660" s="134"/>
      <c r="AL660" s="134"/>
      <c r="AM660" s="146"/>
      <c r="AN660" s="132"/>
      <c r="AO660" s="132"/>
      <c r="AP660" s="132"/>
      <c r="AQ660" s="132"/>
      <c r="AR660" s="134"/>
      <c r="AS660" s="134"/>
      <c r="AT660" s="132"/>
      <c r="AU660" s="133"/>
      <c r="AV660" s="134"/>
    </row>
    <row r="661" spans="1:48">
      <c r="A661" s="74">
        <v>1397</v>
      </c>
      <c r="B661" s="146" t="str">
        <f t="shared" si="91"/>
        <v>Electric FAFR11R0SlabSingle</v>
      </c>
      <c r="C661" s="134" t="s">
        <v>227</v>
      </c>
      <c r="D661" s="132" t="s">
        <v>334</v>
      </c>
      <c r="E661" s="147" t="s">
        <v>329</v>
      </c>
      <c r="F661" s="147" t="s">
        <v>379</v>
      </c>
      <c r="G661" s="166" t="s">
        <v>355</v>
      </c>
      <c r="H661" s="70">
        <f t="shared" si="89"/>
        <v>0</v>
      </c>
      <c r="I661" s="169" t="str">
        <f t="shared" si="90"/>
        <v/>
      </c>
      <c r="J661" s="70" t="str">
        <f t="shared" si="92"/>
        <v>1397Electric FAFR11R0SlabSingle</v>
      </c>
      <c r="S661" s="134"/>
      <c r="T661" s="134"/>
      <c r="U661" s="134"/>
      <c r="V661" s="134"/>
      <c r="W661" s="134"/>
      <c r="X661" s="134"/>
      <c r="Y661" s="134"/>
      <c r="Z661" s="134"/>
      <c r="AA661" s="134"/>
      <c r="AB661" s="134"/>
      <c r="AC661" s="134"/>
      <c r="AD661" s="134"/>
      <c r="AE661" s="134"/>
      <c r="AF661" s="146"/>
      <c r="AG661" s="134"/>
      <c r="AH661" s="134"/>
      <c r="AI661" s="134"/>
      <c r="AJ661" s="134"/>
      <c r="AK661" s="134"/>
      <c r="AL661" s="134"/>
      <c r="AM661" s="146"/>
      <c r="AN661" s="132"/>
      <c r="AO661" s="132"/>
      <c r="AP661" s="132"/>
      <c r="AQ661" s="132"/>
      <c r="AR661" s="134"/>
      <c r="AS661" s="134"/>
      <c r="AT661" s="132"/>
      <c r="AU661" s="133"/>
      <c r="AV661" s="134"/>
    </row>
    <row r="662" spans="1:48">
      <c r="A662" s="74">
        <v>1398</v>
      </c>
      <c r="B662" s="146" t="str">
        <f t="shared" si="91"/>
        <v>Electric FAFR11R0SlabDouble</v>
      </c>
      <c r="C662" s="134" t="s">
        <v>227</v>
      </c>
      <c r="D662" s="132" t="s">
        <v>334</v>
      </c>
      <c r="E662" s="147" t="s">
        <v>329</v>
      </c>
      <c r="F662" s="147" t="s">
        <v>379</v>
      </c>
      <c r="G662" s="72" t="s">
        <v>339</v>
      </c>
      <c r="H662" s="70">
        <f t="shared" si="89"/>
        <v>0</v>
      </c>
      <c r="I662" s="169" t="str">
        <f t="shared" si="90"/>
        <v/>
      </c>
      <c r="J662" s="70" t="str">
        <f t="shared" si="92"/>
        <v>1398Electric FAFR11R0SlabDouble</v>
      </c>
      <c r="S662" s="134"/>
      <c r="T662" s="134"/>
      <c r="U662" s="134"/>
      <c r="V662" s="134"/>
      <c r="W662" s="134"/>
      <c r="X662" s="134"/>
      <c r="Y662" s="134"/>
      <c r="Z662" s="134"/>
      <c r="AA662" s="134"/>
      <c r="AB662" s="134"/>
      <c r="AC662" s="134"/>
      <c r="AD662" s="134"/>
      <c r="AE662" s="134"/>
      <c r="AF662" s="146"/>
      <c r="AG662" s="134"/>
      <c r="AH662" s="134"/>
      <c r="AI662" s="134"/>
      <c r="AJ662" s="134"/>
      <c r="AK662" s="134"/>
      <c r="AL662" s="134"/>
      <c r="AM662" s="146"/>
      <c r="AN662" s="132"/>
      <c r="AO662" s="132"/>
      <c r="AP662" s="132"/>
      <c r="AQ662" s="132"/>
      <c r="AR662" s="134"/>
      <c r="AS662" s="134"/>
      <c r="AT662" s="132"/>
      <c r="AU662" s="133"/>
      <c r="AV662" s="134"/>
    </row>
    <row r="663" spans="1:48">
      <c r="A663" s="74">
        <v>1399</v>
      </c>
      <c r="B663" s="146" t="str">
        <f t="shared" si="91"/>
        <v>Electric FAFR11R0SlabBetter</v>
      </c>
      <c r="C663" s="134" t="s">
        <v>227</v>
      </c>
      <c r="D663" s="132" t="s">
        <v>334</v>
      </c>
      <c r="E663" s="147" t="s">
        <v>329</v>
      </c>
      <c r="F663" s="147" t="s">
        <v>379</v>
      </c>
      <c r="G663" s="166" t="s">
        <v>352</v>
      </c>
      <c r="H663" s="70">
        <f t="shared" si="89"/>
        <v>0</v>
      </c>
      <c r="I663" s="169" t="str">
        <f t="shared" si="90"/>
        <v/>
      </c>
      <c r="J663" s="70" t="str">
        <f t="shared" si="92"/>
        <v>1399Electric FAFR11R0SlabBetter</v>
      </c>
      <c r="S663" s="134"/>
      <c r="T663" s="134"/>
      <c r="U663" s="134"/>
      <c r="V663" s="134"/>
      <c r="W663" s="134"/>
      <c r="X663" s="134"/>
      <c r="Y663" s="134"/>
      <c r="Z663" s="134"/>
      <c r="AA663" s="134"/>
      <c r="AB663" s="134"/>
      <c r="AC663" s="134"/>
      <c r="AD663" s="134"/>
      <c r="AE663" s="134"/>
      <c r="AF663" s="146"/>
      <c r="AG663" s="134"/>
      <c r="AH663" s="134"/>
      <c r="AI663" s="134"/>
      <c r="AJ663" s="134"/>
      <c r="AK663" s="134"/>
      <c r="AL663" s="134"/>
      <c r="AM663" s="146"/>
      <c r="AN663" s="132"/>
      <c r="AO663" s="132"/>
      <c r="AP663" s="132"/>
      <c r="AQ663" s="132"/>
      <c r="AR663" s="134"/>
      <c r="AS663" s="134"/>
      <c r="AT663" s="132"/>
      <c r="AU663" s="133"/>
      <c r="AV663" s="134"/>
    </row>
    <row r="664" spans="1:48">
      <c r="A664" s="74">
        <v>1400</v>
      </c>
      <c r="B664" s="146" t="str">
        <f t="shared" si="91"/>
        <v>Electric FAFR11R11SlabSingle</v>
      </c>
      <c r="C664" s="134" t="s">
        <v>227</v>
      </c>
      <c r="D664" s="132" t="s">
        <v>334</v>
      </c>
      <c r="E664" s="147" t="s">
        <v>334</v>
      </c>
      <c r="F664" s="147" t="s">
        <v>379</v>
      </c>
      <c r="G664" s="166" t="s">
        <v>355</v>
      </c>
      <c r="H664" s="70">
        <f t="shared" si="89"/>
        <v>0</v>
      </c>
      <c r="I664" s="169" t="str">
        <f t="shared" si="90"/>
        <v/>
      </c>
      <c r="J664" s="70" t="str">
        <f t="shared" si="92"/>
        <v>1400Electric FAFR11R11SlabSingle</v>
      </c>
      <c r="S664" s="134"/>
      <c r="T664" s="134"/>
      <c r="U664" s="134"/>
      <c r="V664" s="134"/>
      <c r="W664" s="134"/>
      <c r="X664" s="134"/>
      <c r="Y664" s="134"/>
      <c r="Z664" s="134"/>
      <c r="AA664" s="134"/>
      <c r="AB664" s="134"/>
      <c r="AC664" s="134"/>
      <c r="AD664" s="134"/>
      <c r="AE664" s="134"/>
      <c r="AF664" s="146"/>
      <c r="AG664" s="134"/>
      <c r="AH664" s="134"/>
      <c r="AI664" s="134"/>
      <c r="AJ664" s="134"/>
      <c r="AK664" s="134"/>
      <c r="AL664" s="134"/>
      <c r="AM664" s="146"/>
      <c r="AN664" s="132"/>
      <c r="AO664" s="132"/>
      <c r="AP664" s="132"/>
      <c r="AQ664" s="132"/>
      <c r="AR664" s="134"/>
      <c r="AS664" s="134"/>
      <c r="AT664" s="132"/>
      <c r="AU664" s="133"/>
      <c r="AV664" s="134"/>
    </row>
    <row r="665" spans="1:48">
      <c r="A665" s="74">
        <v>1401</v>
      </c>
      <c r="B665" s="146" t="str">
        <f t="shared" si="91"/>
        <v>Electric FAFR11R11SlabDouble</v>
      </c>
      <c r="C665" s="134" t="s">
        <v>227</v>
      </c>
      <c r="D665" s="132" t="s">
        <v>334</v>
      </c>
      <c r="E665" s="147" t="s">
        <v>334</v>
      </c>
      <c r="F665" s="147" t="s">
        <v>379</v>
      </c>
      <c r="G665" s="72" t="s">
        <v>339</v>
      </c>
      <c r="H665" s="70">
        <f t="shared" si="89"/>
        <v>0</v>
      </c>
      <c r="I665" s="169" t="str">
        <f t="shared" si="90"/>
        <v/>
      </c>
      <c r="J665" s="70" t="str">
        <f t="shared" si="92"/>
        <v>1401Electric FAFR11R11SlabDouble</v>
      </c>
      <c r="S665" s="134"/>
      <c r="T665" s="134"/>
      <c r="U665" s="134"/>
      <c r="V665" s="134"/>
      <c r="W665" s="134"/>
      <c r="X665" s="134"/>
      <c r="Y665" s="134"/>
      <c r="Z665" s="134"/>
      <c r="AA665" s="134"/>
      <c r="AB665" s="134"/>
      <c r="AC665" s="134"/>
      <c r="AD665" s="134"/>
      <c r="AE665" s="134"/>
      <c r="AF665" s="146"/>
      <c r="AG665" s="134"/>
      <c r="AH665" s="134"/>
      <c r="AI665" s="134"/>
      <c r="AJ665" s="134"/>
      <c r="AK665" s="134"/>
      <c r="AL665" s="134"/>
      <c r="AM665" s="146"/>
      <c r="AN665" s="132"/>
      <c r="AO665" s="132"/>
      <c r="AP665" s="132"/>
      <c r="AQ665" s="132"/>
      <c r="AR665" s="134"/>
      <c r="AS665" s="134"/>
      <c r="AT665" s="132"/>
      <c r="AU665" s="133"/>
      <c r="AV665" s="134"/>
    </row>
    <row r="666" spans="1:48">
      <c r="A666" s="74">
        <v>1402</v>
      </c>
      <c r="B666" s="146" t="str">
        <f t="shared" si="91"/>
        <v>Electric FAFR11R11SlabBetter</v>
      </c>
      <c r="C666" s="134" t="s">
        <v>227</v>
      </c>
      <c r="D666" s="132" t="s">
        <v>334</v>
      </c>
      <c r="E666" s="147" t="s">
        <v>334</v>
      </c>
      <c r="F666" s="147" t="s">
        <v>379</v>
      </c>
      <c r="G666" s="166" t="s">
        <v>352</v>
      </c>
      <c r="H666" s="70">
        <f t="shared" si="89"/>
        <v>0</v>
      </c>
      <c r="I666" s="169" t="str">
        <f t="shared" si="90"/>
        <v/>
      </c>
      <c r="J666" s="70" t="str">
        <f t="shared" si="92"/>
        <v>1402Electric FAFR11R11SlabBetter</v>
      </c>
      <c r="S666" s="134"/>
      <c r="T666" s="134"/>
      <c r="U666" s="134"/>
      <c r="V666" s="134"/>
      <c r="W666" s="134"/>
      <c r="X666" s="134"/>
      <c r="Y666" s="134"/>
      <c r="Z666" s="134"/>
      <c r="AA666" s="134"/>
      <c r="AB666" s="134"/>
      <c r="AC666" s="134"/>
      <c r="AD666" s="134"/>
      <c r="AE666" s="134"/>
      <c r="AF666" s="146"/>
      <c r="AG666" s="134"/>
      <c r="AH666" s="134"/>
      <c r="AI666" s="134"/>
      <c r="AJ666" s="134"/>
      <c r="AK666" s="134"/>
      <c r="AL666" s="134"/>
      <c r="AM666" s="146"/>
      <c r="AN666" s="132"/>
      <c r="AO666" s="132"/>
      <c r="AP666" s="132"/>
      <c r="AQ666" s="132"/>
      <c r="AR666" s="134"/>
      <c r="AS666" s="134"/>
      <c r="AT666" s="132"/>
      <c r="AU666" s="133"/>
      <c r="AV666" s="134"/>
    </row>
    <row r="667" spans="1:48">
      <c r="A667" s="74">
        <v>1403</v>
      </c>
      <c r="B667" s="146" t="str">
        <f t="shared" si="91"/>
        <v>Electric FAFR19R0SlabSingle</v>
      </c>
      <c r="C667" s="134" t="s">
        <v>227</v>
      </c>
      <c r="D667" s="132" t="s">
        <v>335</v>
      </c>
      <c r="E667" s="147" t="s">
        <v>329</v>
      </c>
      <c r="F667" s="147" t="s">
        <v>379</v>
      </c>
      <c r="G667" s="166" t="s">
        <v>355</v>
      </c>
      <c r="H667" s="70">
        <f t="shared" si="89"/>
        <v>0</v>
      </c>
      <c r="I667" s="169" t="str">
        <f t="shared" si="90"/>
        <v/>
      </c>
      <c r="J667" s="70" t="str">
        <f t="shared" si="92"/>
        <v>1403Electric FAFR19R0SlabSingle</v>
      </c>
      <c r="S667" s="134"/>
      <c r="T667" s="134"/>
      <c r="U667" s="134"/>
      <c r="V667" s="134"/>
      <c r="W667" s="134"/>
      <c r="X667" s="134"/>
      <c r="Y667" s="134"/>
      <c r="Z667" s="134"/>
      <c r="AA667" s="134"/>
      <c r="AB667" s="134"/>
      <c r="AC667" s="134"/>
      <c r="AD667" s="134"/>
      <c r="AE667" s="134"/>
      <c r="AF667" s="146"/>
      <c r="AG667" s="134"/>
      <c r="AH667" s="134"/>
      <c r="AI667" s="134"/>
      <c r="AJ667" s="134"/>
      <c r="AK667" s="134"/>
      <c r="AL667" s="134"/>
      <c r="AM667" s="146"/>
      <c r="AN667" s="132"/>
      <c r="AO667" s="132"/>
      <c r="AP667" s="132"/>
      <c r="AQ667" s="132"/>
      <c r="AR667" s="134"/>
      <c r="AS667" s="134"/>
      <c r="AT667" s="132"/>
      <c r="AU667" s="133"/>
      <c r="AV667" s="134"/>
    </row>
    <row r="668" spans="1:48">
      <c r="A668" s="74">
        <v>1404</v>
      </c>
      <c r="B668" s="146" t="str">
        <f t="shared" si="91"/>
        <v>Electric FAFR19R0SlabDouble</v>
      </c>
      <c r="C668" s="134" t="s">
        <v>227</v>
      </c>
      <c r="D668" s="132" t="s">
        <v>335</v>
      </c>
      <c r="E668" s="147" t="s">
        <v>329</v>
      </c>
      <c r="F668" s="147" t="s">
        <v>379</v>
      </c>
      <c r="G668" s="72" t="s">
        <v>339</v>
      </c>
      <c r="H668" s="70">
        <f t="shared" si="89"/>
        <v>0</v>
      </c>
      <c r="I668" s="169" t="str">
        <f t="shared" si="90"/>
        <v/>
      </c>
      <c r="J668" s="70" t="str">
        <f t="shared" si="92"/>
        <v>1404Electric FAFR19R0SlabDouble</v>
      </c>
      <c r="S668" s="134"/>
      <c r="T668" s="134"/>
      <c r="U668" s="134"/>
      <c r="V668" s="134"/>
      <c r="W668" s="134"/>
      <c r="X668" s="134"/>
      <c r="Y668" s="134"/>
      <c r="Z668" s="134"/>
      <c r="AA668" s="134"/>
      <c r="AB668" s="134"/>
      <c r="AC668" s="134"/>
      <c r="AD668" s="134"/>
      <c r="AE668" s="134"/>
      <c r="AF668" s="146"/>
      <c r="AG668" s="134"/>
      <c r="AH668" s="134"/>
      <c r="AI668" s="134"/>
      <c r="AJ668" s="134"/>
      <c r="AK668" s="134"/>
      <c r="AL668" s="134"/>
      <c r="AM668" s="146"/>
      <c r="AN668" s="132"/>
      <c r="AO668" s="132"/>
      <c r="AP668" s="132"/>
      <c r="AQ668" s="132"/>
      <c r="AR668" s="134"/>
      <c r="AS668" s="134"/>
      <c r="AT668" s="132"/>
      <c r="AU668" s="133"/>
      <c r="AV668" s="134"/>
    </row>
    <row r="669" spans="1:48">
      <c r="A669" s="74">
        <v>1405</v>
      </c>
      <c r="B669" s="146" t="str">
        <f t="shared" si="91"/>
        <v>Electric FAFR19R0SlabBetter</v>
      </c>
      <c r="C669" s="134" t="s">
        <v>227</v>
      </c>
      <c r="D669" s="132" t="s">
        <v>335</v>
      </c>
      <c r="E669" s="147" t="s">
        <v>329</v>
      </c>
      <c r="F669" s="147" t="s">
        <v>379</v>
      </c>
      <c r="G669" s="166" t="s">
        <v>352</v>
      </c>
      <c r="H669" s="70">
        <f t="shared" si="89"/>
        <v>0</v>
      </c>
      <c r="I669" s="169" t="str">
        <f t="shared" si="90"/>
        <v/>
      </c>
      <c r="J669" s="70" t="str">
        <f t="shared" si="92"/>
        <v>1405Electric FAFR19R0SlabBetter</v>
      </c>
      <c r="S669" s="134"/>
      <c r="T669" s="134"/>
      <c r="U669" s="134"/>
      <c r="V669" s="134"/>
      <c r="W669" s="134"/>
      <c r="X669" s="134"/>
      <c r="Y669" s="134"/>
      <c r="Z669" s="134"/>
      <c r="AA669" s="134"/>
      <c r="AB669" s="134"/>
      <c r="AC669" s="134"/>
      <c r="AD669" s="134"/>
      <c r="AE669" s="134"/>
      <c r="AF669" s="146"/>
      <c r="AG669" s="134"/>
      <c r="AH669" s="134"/>
      <c r="AI669" s="134"/>
      <c r="AJ669" s="134"/>
      <c r="AK669" s="134"/>
      <c r="AL669" s="134"/>
      <c r="AM669" s="146"/>
      <c r="AN669" s="132"/>
      <c r="AO669" s="132"/>
      <c r="AP669" s="132"/>
      <c r="AQ669" s="132"/>
      <c r="AR669" s="134"/>
      <c r="AS669" s="134"/>
      <c r="AT669" s="132"/>
      <c r="AU669" s="133"/>
      <c r="AV669" s="134"/>
    </row>
    <row r="670" spans="1:48">
      <c r="A670" s="74">
        <v>1406</v>
      </c>
      <c r="B670" s="146" t="str">
        <f t="shared" si="91"/>
        <v>Electric FAFR19R11SlabSingle</v>
      </c>
      <c r="C670" s="134" t="s">
        <v>227</v>
      </c>
      <c r="D670" s="132" t="s">
        <v>335</v>
      </c>
      <c r="E670" s="147" t="s">
        <v>334</v>
      </c>
      <c r="F670" s="147" t="s">
        <v>379</v>
      </c>
      <c r="G670" s="166" t="s">
        <v>355</v>
      </c>
      <c r="H670" s="70">
        <f t="shared" si="89"/>
        <v>0</v>
      </c>
      <c r="I670" s="169" t="str">
        <f t="shared" si="90"/>
        <v/>
      </c>
      <c r="J670" s="70" t="str">
        <f t="shared" si="92"/>
        <v>1406Electric FAFR19R11SlabSingle</v>
      </c>
      <c r="S670" s="134"/>
      <c r="T670" s="134"/>
      <c r="U670" s="134"/>
      <c r="V670" s="134"/>
      <c r="W670" s="134"/>
      <c r="X670" s="134"/>
      <c r="Y670" s="134"/>
      <c r="Z670" s="134"/>
      <c r="AA670" s="134"/>
      <c r="AB670" s="134"/>
      <c r="AC670" s="134"/>
      <c r="AD670" s="134"/>
      <c r="AE670" s="134"/>
      <c r="AF670" s="146"/>
      <c r="AG670" s="134"/>
      <c r="AH670" s="134"/>
      <c r="AI670" s="134"/>
      <c r="AJ670" s="134"/>
      <c r="AK670" s="134"/>
      <c r="AL670" s="134"/>
      <c r="AM670" s="146"/>
      <c r="AN670" s="132"/>
      <c r="AO670" s="132"/>
      <c r="AP670" s="132"/>
      <c r="AQ670" s="132"/>
      <c r="AR670" s="134"/>
      <c r="AS670" s="134"/>
      <c r="AT670" s="132"/>
      <c r="AU670" s="133"/>
      <c r="AV670" s="134"/>
    </row>
    <row r="671" spans="1:48">
      <c r="A671" s="74">
        <v>1407</v>
      </c>
      <c r="B671" s="146" t="str">
        <f t="shared" si="91"/>
        <v>Electric FAFR19R11SlabDouble</v>
      </c>
      <c r="C671" s="134" t="s">
        <v>227</v>
      </c>
      <c r="D671" s="132" t="s">
        <v>335</v>
      </c>
      <c r="E671" s="147" t="s">
        <v>334</v>
      </c>
      <c r="F671" s="147" t="s">
        <v>379</v>
      </c>
      <c r="G671" s="72" t="s">
        <v>339</v>
      </c>
      <c r="H671" s="70">
        <f t="shared" si="89"/>
        <v>0</v>
      </c>
      <c r="I671" s="169" t="str">
        <f t="shared" si="90"/>
        <v/>
      </c>
      <c r="J671" s="70" t="str">
        <f t="shared" si="92"/>
        <v>1407Electric FAFR19R11SlabDouble</v>
      </c>
      <c r="S671" s="134"/>
      <c r="T671" s="134"/>
      <c r="U671" s="134"/>
      <c r="V671" s="134"/>
      <c r="W671" s="134"/>
      <c r="X671" s="134"/>
      <c r="Y671" s="134"/>
      <c r="Z671" s="134"/>
      <c r="AA671" s="134"/>
      <c r="AB671" s="134"/>
      <c r="AC671" s="134"/>
      <c r="AD671" s="134"/>
      <c r="AE671" s="134"/>
      <c r="AF671" s="146"/>
      <c r="AG671" s="134"/>
      <c r="AH671" s="134"/>
      <c r="AI671" s="134"/>
      <c r="AJ671" s="134"/>
      <c r="AK671" s="134"/>
      <c r="AL671" s="134"/>
      <c r="AM671" s="146"/>
      <c r="AN671" s="132"/>
      <c r="AO671" s="132"/>
      <c r="AP671" s="132"/>
      <c r="AQ671" s="132"/>
      <c r="AR671" s="134"/>
      <c r="AS671" s="134"/>
      <c r="AT671" s="132"/>
      <c r="AU671" s="133"/>
      <c r="AV671" s="134"/>
    </row>
    <row r="672" spans="1:48">
      <c r="A672" s="74">
        <v>1408</v>
      </c>
      <c r="B672" s="146" t="str">
        <f t="shared" si="91"/>
        <v>Electric FAFR19R11SlabBetter</v>
      </c>
      <c r="C672" s="134" t="s">
        <v>227</v>
      </c>
      <c r="D672" s="132" t="s">
        <v>335</v>
      </c>
      <c r="E672" s="147" t="s">
        <v>334</v>
      </c>
      <c r="F672" s="147" t="s">
        <v>379</v>
      </c>
      <c r="G672" s="166" t="s">
        <v>352</v>
      </c>
      <c r="H672" s="70">
        <f t="shared" si="89"/>
        <v>1904.288</v>
      </c>
      <c r="I672" s="169">
        <f t="shared" si="90"/>
        <v>1.7863765927518451E-3</v>
      </c>
      <c r="J672" s="70" t="str">
        <f t="shared" si="92"/>
        <v>1408Electric FAFR19R11SlabBetter</v>
      </c>
      <c r="S672" s="134"/>
      <c r="T672" s="134"/>
      <c r="U672" s="134"/>
      <c r="V672" s="134"/>
      <c r="W672" s="134"/>
      <c r="X672" s="134"/>
      <c r="Y672" s="134"/>
      <c r="Z672" s="134"/>
      <c r="AA672" s="134"/>
      <c r="AB672" s="134"/>
      <c r="AC672" s="134"/>
      <c r="AD672" s="134"/>
      <c r="AE672" s="134"/>
      <c r="AF672" s="146"/>
      <c r="AG672" s="134"/>
      <c r="AH672" s="134"/>
      <c r="AI672" s="134"/>
      <c r="AJ672" s="134"/>
      <c r="AK672" s="134"/>
      <c r="AL672" s="134"/>
      <c r="AM672" s="146"/>
      <c r="AN672" s="132"/>
      <c r="AO672" s="132"/>
      <c r="AP672" s="132"/>
      <c r="AQ672" s="132"/>
      <c r="AR672" s="134"/>
      <c r="AS672" s="134"/>
      <c r="AT672" s="132"/>
      <c r="AU672" s="133"/>
      <c r="AV672" s="134"/>
    </row>
    <row r="673" spans="1:48">
      <c r="A673" s="74">
        <v>1409</v>
      </c>
      <c r="B673" s="146" t="str">
        <f t="shared" si="91"/>
        <v>Electric FAFR30R0SlabSingle</v>
      </c>
      <c r="C673" s="134" t="s">
        <v>227</v>
      </c>
      <c r="D673" s="132" t="s">
        <v>336</v>
      </c>
      <c r="E673" s="147" t="s">
        <v>329</v>
      </c>
      <c r="F673" s="147" t="s">
        <v>379</v>
      </c>
      <c r="G673" s="166" t="s">
        <v>355</v>
      </c>
      <c r="H673" s="70">
        <f t="shared" si="89"/>
        <v>0</v>
      </c>
      <c r="I673" s="169" t="str">
        <f t="shared" si="90"/>
        <v/>
      </c>
      <c r="J673" s="70" t="str">
        <f t="shared" si="92"/>
        <v>1409Electric FAFR30R0SlabSingle</v>
      </c>
      <c r="S673" s="134"/>
      <c r="T673" s="134"/>
      <c r="U673" s="134"/>
      <c r="V673" s="134"/>
      <c r="W673" s="134"/>
      <c r="X673" s="134"/>
      <c r="Y673" s="134"/>
      <c r="Z673" s="134"/>
      <c r="AA673" s="134"/>
      <c r="AB673" s="134"/>
      <c r="AC673" s="134"/>
      <c r="AD673" s="134"/>
      <c r="AE673" s="134"/>
      <c r="AF673" s="146"/>
      <c r="AG673" s="134"/>
      <c r="AH673" s="134"/>
      <c r="AI673" s="134"/>
      <c r="AJ673" s="134"/>
      <c r="AK673" s="134"/>
      <c r="AL673" s="134"/>
      <c r="AM673" s="146"/>
      <c r="AN673" s="132"/>
      <c r="AO673" s="132"/>
      <c r="AP673" s="132"/>
      <c r="AQ673" s="132"/>
      <c r="AR673" s="134"/>
      <c r="AS673" s="134"/>
      <c r="AT673" s="132"/>
      <c r="AU673" s="133"/>
      <c r="AV673" s="134"/>
    </row>
    <row r="674" spans="1:48">
      <c r="A674" s="74">
        <v>1410</v>
      </c>
      <c r="B674" s="146" t="str">
        <f t="shared" si="91"/>
        <v>Electric FAFR30R0SlabDouble</v>
      </c>
      <c r="C674" s="134" t="s">
        <v>227</v>
      </c>
      <c r="D674" s="132" t="s">
        <v>336</v>
      </c>
      <c r="E674" s="147" t="s">
        <v>329</v>
      </c>
      <c r="F674" s="147" t="s">
        <v>379</v>
      </c>
      <c r="G674" s="72" t="s">
        <v>339</v>
      </c>
      <c r="H674" s="70">
        <f t="shared" si="89"/>
        <v>0</v>
      </c>
      <c r="I674" s="169" t="str">
        <f t="shared" si="90"/>
        <v/>
      </c>
      <c r="J674" s="70" t="str">
        <f t="shared" si="92"/>
        <v>1410Electric FAFR30R0SlabDouble</v>
      </c>
      <c r="S674" s="134"/>
      <c r="T674" s="134"/>
      <c r="U674" s="134"/>
      <c r="V674" s="134"/>
      <c r="W674" s="134"/>
      <c r="X674" s="134"/>
      <c r="Y674" s="134"/>
      <c r="Z674" s="134"/>
      <c r="AA674" s="134"/>
      <c r="AB674" s="134"/>
      <c r="AC674" s="134"/>
      <c r="AD674" s="134"/>
      <c r="AE674" s="134"/>
      <c r="AF674" s="146"/>
      <c r="AG674" s="134"/>
      <c r="AH674" s="134"/>
      <c r="AI674" s="134"/>
      <c r="AJ674" s="134"/>
      <c r="AK674" s="134"/>
      <c r="AL674" s="134"/>
      <c r="AM674" s="146"/>
      <c r="AN674" s="132"/>
      <c r="AO674" s="132"/>
      <c r="AP674" s="132"/>
      <c r="AQ674" s="132"/>
      <c r="AR674" s="134"/>
      <c r="AS674" s="134"/>
      <c r="AT674" s="132"/>
      <c r="AU674" s="133"/>
      <c r="AV674" s="134"/>
    </row>
    <row r="675" spans="1:48">
      <c r="A675" s="74">
        <v>1411</v>
      </c>
      <c r="B675" s="146" t="str">
        <f t="shared" si="91"/>
        <v>Electric FAFR30R0SlabBetter</v>
      </c>
      <c r="C675" s="134" t="s">
        <v>227</v>
      </c>
      <c r="D675" s="132" t="s">
        <v>336</v>
      </c>
      <c r="E675" s="147" t="s">
        <v>329</v>
      </c>
      <c r="F675" s="147" t="s">
        <v>379</v>
      </c>
      <c r="G675" s="166" t="s">
        <v>352</v>
      </c>
      <c r="H675" s="70">
        <f t="shared" si="89"/>
        <v>0</v>
      </c>
      <c r="I675" s="169" t="str">
        <f t="shared" si="90"/>
        <v/>
      </c>
      <c r="J675" s="70" t="str">
        <f t="shared" si="92"/>
        <v>1411Electric FAFR30R0SlabBetter</v>
      </c>
      <c r="S675" s="134"/>
      <c r="T675" s="134"/>
      <c r="U675" s="134"/>
      <c r="V675" s="134"/>
      <c r="W675" s="134"/>
      <c r="X675" s="134"/>
      <c r="Y675" s="134"/>
      <c r="Z675" s="134"/>
      <c r="AA675" s="134"/>
      <c r="AB675" s="134"/>
      <c r="AC675" s="134"/>
      <c r="AD675" s="134"/>
      <c r="AE675" s="134"/>
      <c r="AF675" s="146"/>
      <c r="AG675" s="134"/>
      <c r="AH675" s="134"/>
      <c r="AI675" s="134"/>
      <c r="AJ675" s="134"/>
      <c r="AK675" s="134"/>
      <c r="AL675" s="134"/>
      <c r="AM675" s="146"/>
      <c r="AN675" s="132"/>
      <c r="AO675" s="132"/>
      <c r="AP675" s="132"/>
      <c r="AQ675" s="132"/>
      <c r="AR675" s="134"/>
      <c r="AS675" s="134"/>
      <c r="AT675" s="132"/>
      <c r="AU675" s="133"/>
      <c r="AV675" s="134"/>
    </row>
    <row r="676" spans="1:48">
      <c r="A676" s="74">
        <v>1412</v>
      </c>
      <c r="B676" s="146" t="str">
        <f t="shared" si="91"/>
        <v>Electric FAFR30R11SlabSingle</v>
      </c>
      <c r="C676" s="134" t="s">
        <v>227</v>
      </c>
      <c r="D676" s="132" t="s">
        <v>336</v>
      </c>
      <c r="E676" s="147" t="s">
        <v>334</v>
      </c>
      <c r="F676" s="147" t="s">
        <v>379</v>
      </c>
      <c r="G676" s="166" t="s">
        <v>355</v>
      </c>
      <c r="H676" s="70">
        <f t="shared" si="89"/>
        <v>0</v>
      </c>
      <c r="I676" s="169" t="str">
        <f t="shared" si="90"/>
        <v/>
      </c>
      <c r="J676" s="70" t="str">
        <f t="shared" si="92"/>
        <v>1412Electric FAFR30R11SlabSingle</v>
      </c>
      <c r="S676" s="134"/>
      <c r="T676" s="134"/>
      <c r="U676" s="134"/>
      <c r="V676" s="134"/>
      <c r="W676" s="134"/>
      <c r="X676" s="134"/>
      <c r="Y676" s="134"/>
      <c r="Z676" s="134"/>
      <c r="AA676" s="134"/>
      <c r="AB676" s="134"/>
      <c r="AC676" s="134"/>
      <c r="AD676" s="134"/>
      <c r="AE676" s="134"/>
      <c r="AF676" s="146"/>
      <c r="AG676" s="134"/>
      <c r="AH676" s="134"/>
      <c r="AI676" s="134"/>
      <c r="AJ676" s="134"/>
      <c r="AK676" s="134"/>
      <c r="AL676" s="134"/>
      <c r="AM676" s="146"/>
      <c r="AN676" s="132"/>
      <c r="AO676" s="132"/>
      <c r="AP676" s="132"/>
      <c r="AQ676" s="132"/>
      <c r="AR676" s="134"/>
      <c r="AS676" s="134"/>
      <c r="AT676" s="132"/>
      <c r="AU676" s="133"/>
      <c r="AV676" s="134"/>
    </row>
    <row r="677" spans="1:48">
      <c r="A677" s="74">
        <v>1413</v>
      </c>
      <c r="B677" s="146" t="str">
        <f t="shared" si="91"/>
        <v>Electric FAFR30R11SlabDouble</v>
      </c>
      <c r="C677" s="134" t="s">
        <v>227</v>
      </c>
      <c r="D677" s="132" t="s">
        <v>336</v>
      </c>
      <c r="E677" s="147" t="s">
        <v>334</v>
      </c>
      <c r="F677" s="147" t="s">
        <v>379</v>
      </c>
      <c r="G677" s="72" t="s">
        <v>339</v>
      </c>
      <c r="H677" s="70">
        <f t="shared" si="89"/>
        <v>1904.288</v>
      </c>
      <c r="I677" s="169">
        <f t="shared" si="90"/>
        <v>1.7863765927518451E-3</v>
      </c>
      <c r="J677" s="70" t="str">
        <f t="shared" si="92"/>
        <v>1413Electric FAFR30R11SlabDouble</v>
      </c>
      <c r="S677" s="134"/>
      <c r="T677" s="134"/>
      <c r="U677" s="134"/>
      <c r="V677" s="134"/>
      <c r="W677" s="134"/>
      <c r="X677" s="134"/>
      <c r="Y677" s="134"/>
      <c r="Z677" s="134"/>
      <c r="AA677" s="134"/>
      <c r="AB677" s="134"/>
      <c r="AC677" s="134"/>
      <c r="AD677" s="134"/>
      <c r="AE677" s="134"/>
      <c r="AF677" s="146"/>
      <c r="AG677" s="134"/>
      <c r="AH677" s="134"/>
      <c r="AI677" s="134"/>
      <c r="AJ677" s="134"/>
      <c r="AK677" s="134"/>
      <c r="AL677" s="134"/>
      <c r="AM677" s="146"/>
      <c r="AN677" s="132"/>
      <c r="AO677" s="132"/>
      <c r="AP677" s="132"/>
      <c r="AQ677" s="132"/>
      <c r="AR677" s="134"/>
      <c r="AS677" s="134"/>
      <c r="AT677" s="132"/>
      <c r="AU677" s="133"/>
      <c r="AV677" s="134"/>
    </row>
    <row r="678" spans="1:48">
      <c r="A678" s="74">
        <v>1414</v>
      </c>
      <c r="B678" s="146" t="str">
        <f t="shared" si="91"/>
        <v>Electric FAFR30R11SlabBetter</v>
      </c>
      <c r="C678" s="134" t="s">
        <v>227</v>
      </c>
      <c r="D678" s="132" t="s">
        <v>336</v>
      </c>
      <c r="E678" s="147" t="s">
        <v>334</v>
      </c>
      <c r="F678" s="147" t="s">
        <v>379</v>
      </c>
      <c r="G678" s="166" t="s">
        <v>352</v>
      </c>
      <c r="H678" s="70">
        <f t="shared" si="89"/>
        <v>0</v>
      </c>
      <c r="I678" s="169" t="str">
        <f t="shared" si="90"/>
        <v/>
      </c>
      <c r="J678" s="70" t="str">
        <f t="shared" si="92"/>
        <v>1414Electric FAFR30R11SlabBetter</v>
      </c>
      <c r="S678" s="134"/>
      <c r="T678" s="134"/>
      <c r="U678" s="134"/>
      <c r="V678" s="134"/>
      <c r="W678" s="134"/>
      <c r="X678" s="134"/>
      <c r="Y678" s="134"/>
      <c r="Z678" s="134"/>
      <c r="AA678" s="134"/>
      <c r="AB678" s="134"/>
      <c r="AC678" s="134"/>
      <c r="AD678" s="134"/>
      <c r="AE678" s="134"/>
      <c r="AF678" s="146"/>
      <c r="AG678" s="134"/>
      <c r="AH678" s="134"/>
      <c r="AI678" s="134"/>
      <c r="AJ678" s="134"/>
      <c r="AK678" s="134"/>
      <c r="AL678" s="134"/>
      <c r="AM678" s="146"/>
      <c r="AN678" s="132"/>
      <c r="AO678" s="132"/>
      <c r="AP678" s="132"/>
      <c r="AQ678" s="132"/>
      <c r="AR678" s="134"/>
      <c r="AS678" s="134"/>
      <c r="AT678" s="132"/>
      <c r="AU678" s="133"/>
      <c r="AV678" s="134"/>
    </row>
    <row r="679" spans="1:48">
      <c r="A679" s="74">
        <v>1415</v>
      </c>
      <c r="B679" s="146" t="str">
        <f t="shared" si="91"/>
        <v>Electric FAFR38R0SlabSingle</v>
      </c>
      <c r="C679" s="134" t="s">
        <v>227</v>
      </c>
      <c r="D679" s="132" t="s">
        <v>331</v>
      </c>
      <c r="E679" s="147" t="s">
        <v>329</v>
      </c>
      <c r="F679" s="147" t="s">
        <v>379</v>
      </c>
      <c r="G679" s="166" t="s">
        <v>355</v>
      </c>
      <c r="H679" s="70">
        <f t="shared" si="89"/>
        <v>0</v>
      </c>
      <c r="I679" s="169" t="str">
        <f t="shared" si="90"/>
        <v/>
      </c>
      <c r="J679" s="70" t="str">
        <f t="shared" si="92"/>
        <v>1415Electric FAFR38R0SlabSingle</v>
      </c>
      <c r="S679" s="134"/>
      <c r="T679" s="134"/>
      <c r="U679" s="134"/>
      <c r="V679" s="134"/>
      <c r="W679" s="134"/>
      <c r="X679" s="134"/>
      <c r="Y679" s="134"/>
      <c r="Z679" s="134"/>
      <c r="AA679" s="134"/>
      <c r="AB679" s="134"/>
      <c r="AC679" s="134"/>
      <c r="AD679" s="134"/>
      <c r="AE679" s="134"/>
      <c r="AF679" s="146"/>
      <c r="AG679" s="134"/>
      <c r="AH679" s="134"/>
      <c r="AI679" s="134"/>
      <c r="AJ679" s="134"/>
      <c r="AK679" s="134"/>
      <c r="AL679" s="134"/>
      <c r="AM679" s="146"/>
      <c r="AN679" s="132"/>
      <c r="AO679" s="132"/>
      <c r="AP679" s="132"/>
      <c r="AQ679" s="132"/>
      <c r="AR679" s="134"/>
      <c r="AS679" s="134"/>
      <c r="AT679" s="132"/>
      <c r="AU679" s="133"/>
      <c r="AV679" s="134"/>
    </row>
    <row r="680" spans="1:48">
      <c r="A680" s="74">
        <v>1416</v>
      </c>
      <c r="B680" s="146" t="str">
        <f t="shared" si="91"/>
        <v>Electric FAFR38R0SlabDouble</v>
      </c>
      <c r="C680" s="134" t="s">
        <v>227</v>
      </c>
      <c r="D680" s="132" t="s">
        <v>331</v>
      </c>
      <c r="E680" s="147" t="s">
        <v>329</v>
      </c>
      <c r="F680" s="147" t="s">
        <v>379</v>
      </c>
      <c r="G680" s="72" t="s">
        <v>339</v>
      </c>
      <c r="H680" s="70">
        <f t="shared" si="89"/>
        <v>0</v>
      </c>
      <c r="I680" s="169" t="str">
        <f t="shared" si="90"/>
        <v/>
      </c>
      <c r="J680" s="70" t="str">
        <f t="shared" si="92"/>
        <v>1416Electric FAFR38R0SlabDouble</v>
      </c>
      <c r="S680" s="134"/>
      <c r="T680" s="134"/>
      <c r="U680" s="134"/>
      <c r="V680" s="134"/>
      <c r="W680" s="134"/>
      <c r="X680" s="134"/>
      <c r="Y680" s="134"/>
      <c r="Z680" s="134"/>
      <c r="AA680" s="134"/>
      <c r="AB680" s="134"/>
      <c r="AC680" s="134"/>
      <c r="AD680" s="134"/>
      <c r="AE680" s="134"/>
      <c r="AF680" s="146"/>
      <c r="AG680" s="134"/>
      <c r="AH680" s="134"/>
      <c r="AI680" s="134"/>
      <c r="AJ680" s="134"/>
      <c r="AK680" s="134"/>
      <c r="AL680" s="134"/>
      <c r="AM680" s="146"/>
      <c r="AN680" s="132"/>
      <c r="AO680" s="132"/>
      <c r="AP680" s="132"/>
      <c r="AQ680" s="132"/>
      <c r="AR680" s="134"/>
      <c r="AS680" s="134"/>
      <c r="AT680" s="132"/>
      <c r="AU680" s="133"/>
      <c r="AV680" s="134"/>
    </row>
    <row r="681" spans="1:48">
      <c r="A681" s="74">
        <v>1417</v>
      </c>
      <c r="B681" s="146" t="str">
        <f t="shared" si="91"/>
        <v>Electric FAFR38R0SlabBetter</v>
      </c>
      <c r="C681" s="134" t="s">
        <v>227</v>
      </c>
      <c r="D681" s="132" t="s">
        <v>331</v>
      </c>
      <c r="E681" s="147" t="s">
        <v>329</v>
      </c>
      <c r="F681" s="147" t="s">
        <v>379</v>
      </c>
      <c r="G681" s="166" t="s">
        <v>352</v>
      </c>
      <c r="H681" s="70">
        <f t="shared" si="89"/>
        <v>0</v>
      </c>
      <c r="I681" s="169" t="str">
        <f t="shared" si="90"/>
        <v/>
      </c>
      <c r="J681" s="70" t="str">
        <f t="shared" si="92"/>
        <v>1417Electric FAFR38R0SlabBetter</v>
      </c>
      <c r="S681" s="134"/>
      <c r="T681" s="134"/>
      <c r="U681" s="134"/>
      <c r="V681" s="134"/>
      <c r="W681" s="134"/>
      <c r="X681" s="134"/>
      <c r="Y681" s="134"/>
      <c r="Z681" s="134"/>
      <c r="AA681" s="134"/>
      <c r="AB681" s="134"/>
      <c r="AC681" s="134"/>
      <c r="AD681" s="134"/>
      <c r="AE681" s="134"/>
      <c r="AF681" s="146"/>
      <c r="AG681" s="134"/>
      <c r="AH681" s="134"/>
      <c r="AI681" s="134"/>
      <c r="AJ681" s="134"/>
      <c r="AK681" s="134"/>
      <c r="AL681" s="134"/>
      <c r="AM681" s="146"/>
      <c r="AN681" s="132"/>
      <c r="AO681" s="132"/>
      <c r="AP681" s="132"/>
      <c r="AQ681" s="132"/>
      <c r="AR681" s="134"/>
      <c r="AS681" s="134"/>
      <c r="AT681" s="132"/>
      <c r="AU681" s="133"/>
      <c r="AV681" s="134"/>
    </row>
    <row r="682" spans="1:48">
      <c r="A682" s="74">
        <v>1418</v>
      </c>
      <c r="B682" s="146" t="str">
        <f t="shared" si="91"/>
        <v>Electric FAFR38R11SlabSingle</v>
      </c>
      <c r="C682" s="134" t="s">
        <v>227</v>
      </c>
      <c r="D682" s="132" t="s">
        <v>331</v>
      </c>
      <c r="E682" s="147" t="s">
        <v>334</v>
      </c>
      <c r="F682" s="147" t="s">
        <v>379</v>
      </c>
      <c r="G682" s="166" t="s">
        <v>355</v>
      </c>
      <c r="H682" s="70">
        <f t="shared" si="89"/>
        <v>0</v>
      </c>
      <c r="I682" s="169" t="str">
        <f t="shared" si="90"/>
        <v/>
      </c>
      <c r="J682" s="70" t="str">
        <f t="shared" si="92"/>
        <v>1418Electric FAFR38R11SlabSingle</v>
      </c>
      <c r="S682" s="134"/>
      <c r="T682" s="134"/>
      <c r="U682" s="134"/>
      <c r="V682" s="134"/>
      <c r="W682" s="134"/>
      <c r="X682" s="134"/>
      <c r="Y682" s="134"/>
      <c r="Z682" s="134"/>
      <c r="AA682" s="134"/>
      <c r="AB682" s="134"/>
      <c r="AC682" s="134"/>
      <c r="AD682" s="134"/>
      <c r="AE682" s="134"/>
      <c r="AF682" s="146"/>
      <c r="AG682" s="134"/>
      <c r="AH682" s="134"/>
      <c r="AI682" s="134"/>
      <c r="AJ682" s="134"/>
      <c r="AK682" s="134"/>
      <c r="AL682" s="134"/>
      <c r="AM682" s="146"/>
      <c r="AN682" s="132"/>
      <c r="AO682" s="132"/>
      <c r="AP682" s="132"/>
      <c r="AQ682" s="132"/>
      <c r="AR682" s="134"/>
      <c r="AS682" s="134"/>
      <c r="AT682" s="132"/>
      <c r="AU682" s="133"/>
      <c r="AV682" s="134"/>
    </row>
    <row r="683" spans="1:48">
      <c r="A683" s="74">
        <v>1419</v>
      </c>
      <c r="B683" s="146" t="str">
        <f t="shared" si="91"/>
        <v>Electric FAFR38R11SlabDouble</v>
      </c>
      <c r="C683" s="134" t="s">
        <v>227</v>
      </c>
      <c r="D683" s="132" t="s">
        <v>331</v>
      </c>
      <c r="E683" s="147" t="s">
        <v>334</v>
      </c>
      <c r="F683" s="147" t="s">
        <v>379</v>
      </c>
      <c r="G683" s="72" t="s">
        <v>339</v>
      </c>
      <c r="H683" s="70">
        <f t="shared" si="89"/>
        <v>2003.7159999999999</v>
      </c>
      <c r="I683" s="169">
        <f t="shared" si="90"/>
        <v>1.8796481209367257E-3</v>
      </c>
      <c r="J683" s="70" t="str">
        <f t="shared" si="92"/>
        <v>1419Electric FAFR38R11SlabDouble</v>
      </c>
      <c r="S683" s="134"/>
      <c r="T683" s="134"/>
      <c r="U683" s="134"/>
      <c r="V683" s="134"/>
      <c r="W683" s="134"/>
      <c r="X683" s="134"/>
      <c r="Y683" s="134"/>
      <c r="Z683" s="134"/>
      <c r="AA683" s="134"/>
      <c r="AB683" s="134"/>
      <c r="AC683" s="134"/>
      <c r="AD683" s="134"/>
      <c r="AE683" s="134"/>
      <c r="AF683" s="146"/>
      <c r="AG683" s="134"/>
      <c r="AH683" s="134"/>
      <c r="AI683" s="134"/>
      <c r="AJ683" s="134"/>
      <c r="AK683" s="134"/>
      <c r="AL683" s="134"/>
      <c r="AM683" s="146"/>
      <c r="AN683" s="132"/>
      <c r="AO683" s="132"/>
      <c r="AP683" s="132"/>
      <c r="AQ683" s="132"/>
      <c r="AR683" s="134"/>
      <c r="AS683" s="134"/>
      <c r="AT683" s="132"/>
      <c r="AU683" s="133"/>
      <c r="AV683" s="134"/>
    </row>
    <row r="684" spans="1:48">
      <c r="A684" s="74">
        <v>1420</v>
      </c>
      <c r="B684" s="146" t="str">
        <f t="shared" si="91"/>
        <v>Electric FAFR38R11SlabBetter</v>
      </c>
      <c r="C684" s="134" t="s">
        <v>227</v>
      </c>
      <c r="D684" s="132" t="s">
        <v>331</v>
      </c>
      <c r="E684" s="147" t="s">
        <v>334</v>
      </c>
      <c r="F684" s="147" t="s">
        <v>379</v>
      </c>
      <c r="G684" s="166" t="s">
        <v>352</v>
      </c>
      <c r="H684" s="70">
        <f t="shared" si="89"/>
        <v>7302.7439999999997</v>
      </c>
      <c r="I684" s="169">
        <f t="shared" si="90"/>
        <v>6.8505661667032395E-3</v>
      </c>
      <c r="J684" s="70" t="str">
        <f t="shared" si="92"/>
        <v>1420Electric FAFR38R11SlabBetter</v>
      </c>
      <c r="S684" s="134"/>
      <c r="T684" s="134"/>
      <c r="U684" s="134"/>
      <c r="V684" s="134"/>
      <c r="W684" s="134"/>
      <c r="X684" s="134"/>
      <c r="Y684" s="134"/>
      <c r="Z684" s="134"/>
      <c r="AA684" s="134"/>
      <c r="AB684" s="134"/>
      <c r="AC684" s="134"/>
      <c r="AD684" s="134"/>
      <c r="AE684" s="134"/>
      <c r="AF684" s="146"/>
      <c r="AG684" s="134"/>
      <c r="AH684" s="134"/>
      <c r="AI684" s="134"/>
      <c r="AJ684" s="134"/>
      <c r="AK684" s="134"/>
      <c r="AL684" s="134"/>
      <c r="AM684" s="146"/>
      <c r="AN684" s="132"/>
      <c r="AO684" s="132"/>
      <c r="AP684" s="132"/>
      <c r="AQ684" s="132"/>
      <c r="AR684" s="134"/>
      <c r="AS684" s="134"/>
      <c r="AT684" s="132"/>
      <c r="AU684" s="133"/>
      <c r="AV684" s="134"/>
    </row>
    <row r="685" spans="1:48">
      <c r="A685" s="74">
        <v>1421</v>
      </c>
      <c r="B685" s="146" t="str">
        <f t="shared" si="91"/>
        <v>Heat PumpR0R0SlabSingle</v>
      </c>
      <c r="C685" s="134" t="s">
        <v>229</v>
      </c>
      <c r="D685" s="132" t="s">
        <v>329</v>
      </c>
      <c r="E685" s="147" t="s">
        <v>329</v>
      </c>
      <c r="F685" s="147" t="s">
        <v>379</v>
      </c>
      <c r="G685" s="166" t="s">
        <v>355</v>
      </c>
      <c r="H685" s="70">
        <f t="shared" si="89"/>
        <v>0</v>
      </c>
      <c r="I685" s="169" t="str">
        <f t="shared" si="90"/>
        <v/>
      </c>
      <c r="J685" s="70" t="str">
        <f t="shared" si="92"/>
        <v>1421Heat PumpR0R0SlabSingle</v>
      </c>
      <c r="S685" s="134"/>
      <c r="T685" s="134"/>
      <c r="U685" s="134"/>
      <c r="V685" s="134"/>
      <c r="W685" s="134"/>
      <c r="X685" s="134"/>
      <c r="Y685" s="134"/>
      <c r="Z685" s="134"/>
      <c r="AA685" s="134"/>
      <c r="AB685" s="134"/>
      <c r="AC685" s="134"/>
      <c r="AD685" s="134"/>
      <c r="AE685" s="134"/>
      <c r="AF685" s="146"/>
      <c r="AG685" s="134"/>
      <c r="AH685" s="134"/>
      <c r="AI685" s="134"/>
      <c r="AJ685" s="134"/>
      <c r="AK685" s="134"/>
      <c r="AL685" s="134"/>
      <c r="AM685" s="146"/>
      <c r="AN685" s="132"/>
      <c r="AO685" s="132"/>
      <c r="AP685" s="132"/>
      <c r="AQ685" s="132"/>
      <c r="AR685" s="134"/>
      <c r="AS685" s="134"/>
      <c r="AT685" s="132"/>
      <c r="AU685" s="133"/>
      <c r="AV685" s="134"/>
    </row>
    <row r="686" spans="1:48">
      <c r="A686" s="74">
        <v>1422</v>
      </c>
      <c r="B686" s="146" t="str">
        <f t="shared" si="91"/>
        <v>Heat PumpR0R0SlabDouble</v>
      </c>
      <c r="C686" s="134" t="s">
        <v>229</v>
      </c>
      <c r="D686" s="132" t="s">
        <v>329</v>
      </c>
      <c r="E686" s="147" t="s">
        <v>329</v>
      </c>
      <c r="F686" s="147" t="s">
        <v>379</v>
      </c>
      <c r="G686" s="72" t="s">
        <v>339</v>
      </c>
      <c r="H686" s="70">
        <f t="shared" si="89"/>
        <v>0</v>
      </c>
      <c r="I686" s="169" t="str">
        <f t="shared" si="90"/>
        <v/>
      </c>
      <c r="J686" s="70" t="str">
        <f t="shared" si="92"/>
        <v>1422Heat PumpR0R0SlabDouble</v>
      </c>
      <c r="S686" s="134"/>
      <c r="T686" s="134"/>
      <c r="U686" s="134"/>
      <c r="V686" s="134"/>
      <c r="W686" s="134"/>
      <c r="X686" s="134"/>
      <c r="Y686" s="134"/>
      <c r="Z686" s="134"/>
      <c r="AA686" s="134"/>
      <c r="AB686" s="134"/>
      <c r="AC686" s="134"/>
      <c r="AD686" s="134"/>
      <c r="AE686" s="134"/>
      <c r="AF686" s="146"/>
      <c r="AG686" s="134"/>
      <c r="AH686" s="134"/>
      <c r="AI686" s="134"/>
      <c r="AJ686" s="134"/>
      <c r="AK686" s="134"/>
      <c r="AL686" s="134"/>
      <c r="AM686" s="146"/>
      <c r="AN686" s="132"/>
      <c r="AO686" s="132"/>
      <c r="AP686" s="132"/>
      <c r="AQ686" s="132"/>
      <c r="AR686" s="134"/>
      <c r="AS686" s="134"/>
      <c r="AT686" s="132"/>
      <c r="AU686" s="133"/>
      <c r="AV686" s="134"/>
    </row>
    <row r="687" spans="1:48">
      <c r="A687" s="74">
        <v>1423</v>
      </c>
      <c r="B687" s="146" t="str">
        <f t="shared" si="91"/>
        <v>Heat PumpR0R0SlabBetter</v>
      </c>
      <c r="C687" s="134" t="s">
        <v>229</v>
      </c>
      <c r="D687" s="132" t="s">
        <v>329</v>
      </c>
      <c r="E687" s="147" t="s">
        <v>329</v>
      </c>
      <c r="F687" s="147" t="s">
        <v>379</v>
      </c>
      <c r="G687" s="166" t="s">
        <v>352</v>
      </c>
      <c r="H687" s="70">
        <f t="shared" si="89"/>
        <v>0</v>
      </c>
      <c r="I687" s="169" t="str">
        <f t="shared" si="90"/>
        <v/>
      </c>
      <c r="J687" s="70" t="str">
        <f t="shared" si="92"/>
        <v>1423Heat PumpR0R0SlabBetter</v>
      </c>
      <c r="S687" s="134"/>
      <c r="T687" s="134"/>
      <c r="U687" s="134"/>
      <c r="V687" s="134"/>
      <c r="W687" s="134"/>
      <c r="X687" s="134"/>
      <c r="Y687" s="134"/>
      <c r="Z687" s="134"/>
      <c r="AA687" s="134"/>
      <c r="AB687" s="134"/>
      <c r="AC687" s="134"/>
      <c r="AD687" s="134"/>
      <c r="AE687" s="134"/>
      <c r="AF687" s="146"/>
      <c r="AG687" s="134"/>
      <c r="AH687" s="134"/>
      <c r="AI687" s="134"/>
      <c r="AJ687" s="134"/>
      <c r="AK687" s="134"/>
      <c r="AL687" s="134"/>
      <c r="AM687" s="146"/>
      <c r="AN687" s="132"/>
      <c r="AO687" s="132"/>
      <c r="AP687" s="132"/>
      <c r="AQ687" s="132"/>
      <c r="AR687" s="134"/>
      <c r="AS687" s="134"/>
      <c r="AT687" s="132"/>
      <c r="AU687" s="133"/>
      <c r="AV687" s="134"/>
    </row>
    <row r="688" spans="1:48">
      <c r="A688" s="74">
        <v>1424</v>
      </c>
      <c r="B688" s="146" t="str">
        <f t="shared" si="91"/>
        <v>Heat PumpR0R11SlabSingle</v>
      </c>
      <c r="C688" s="134" t="s">
        <v>229</v>
      </c>
      <c r="D688" s="132" t="s">
        <v>329</v>
      </c>
      <c r="E688" s="147" t="s">
        <v>334</v>
      </c>
      <c r="F688" s="147" t="s">
        <v>379</v>
      </c>
      <c r="G688" s="166" t="s">
        <v>355</v>
      </c>
      <c r="H688" s="70">
        <f t="shared" si="89"/>
        <v>0</v>
      </c>
      <c r="I688" s="169" t="str">
        <f t="shared" si="90"/>
        <v/>
      </c>
      <c r="J688" s="70" t="str">
        <f t="shared" si="92"/>
        <v>1424Heat PumpR0R11SlabSingle</v>
      </c>
      <c r="S688" s="134"/>
      <c r="T688" s="134"/>
      <c r="U688" s="134"/>
      <c r="V688" s="134"/>
      <c r="W688" s="134"/>
      <c r="X688" s="134"/>
      <c r="Y688" s="134"/>
      <c r="Z688" s="134"/>
      <c r="AA688" s="134"/>
      <c r="AB688" s="134"/>
      <c r="AC688" s="134"/>
      <c r="AD688" s="134"/>
      <c r="AE688" s="134"/>
      <c r="AF688" s="146"/>
      <c r="AG688" s="134"/>
      <c r="AH688" s="134"/>
      <c r="AI688" s="134"/>
      <c r="AJ688" s="134"/>
      <c r="AK688" s="134"/>
      <c r="AL688" s="134"/>
      <c r="AM688" s="146"/>
      <c r="AN688" s="132"/>
      <c r="AO688" s="132"/>
      <c r="AP688" s="132"/>
      <c r="AQ688" s="132"/>
      <c r="AR688" s="134"/>
      <c r="AS688" s="134"/>
      <c r="AT688" s="132"/>
      <c r="AU688" s="133"/>
      <c r="AV688" s="134"/>
    </row>
    <row r="689" spans="1:48">
      <c r="A689" s="74">
        <v>1425</v>
      </c>
      <c r="B689" s="146" t="str">
        <f t="shared" si="91"/>
        <v>Heat PumpR0R11SlabDouble</v>
      </c>
      <c r="C689" s="134" t="s">
        <v>229</v>
      </c>
      <c r="D689" s="132" t="s">
        <v>329</v>
      </c>
      <c r="E689" s="147" t="s">
        <v>334</v>
      </c>
      <c r="F689" s="147" t="s">
        <v>379</v>
      </c>
      <c r="G689" s="72" t="s">
        <v>339</v>
      </c>
      <c r="H689" s="70">
        <f t="shared" si="89"/>
        <v>0</v>
      </c>
      <c r="I689" s="169" t="str">
        <f t="shared" si="90"/>
        <v/>
      </c>
      <c r="J689" s="70" t="str">
        <f t="shared" si="92"/>
        <v>1425Heat PumpR0R11SlabDouble</v>
      </c>
      <c r="S689" s="134"/>
      <c r="T689" s="134"/>
      <c r="U689" s="134"/>
      <c r="V689" s="134"/>
      <c r="W689" s="134"/>
      <c r="X689" s="134"/>
      <c r="Y689" s="134"/>
      <c r="Z689" s="134"/>
      <c r="AA689" s="134"/>
      <c r="AB689" s="134"/>
      <c r="AC689" s="134"/>
      <c r="AD689" s="134"/>
      <c r="AE689" s="134"/>
      <c r="AF689" s="146"/>
      <c r="AG689" s="134"/>
      <c r="AH689" s="134"/>
      <c r="AI689" s="134"/>
      <c r="AJ689" s="134"/>
      <c r="AK689" s="134"/>
      <c r="AL689" s="134"/>
      <c r="AM689" s="146"/>
      <c r="AN689" s="132"/>
      <c r="AO689" s="132"/>
      <c r="AP689" s="132"/>
      <c r="AQ689" s="132"/>
      <c r="AR689" s="134"/>
      <c r="AS689" s="134"/>
      <c r="AT689" s="132"/>
      <c r="AU689" s="133"/>
      <c r="AV689" s="134"/>
    </row>
    <row r="690" spans="1:48">
      <c r="A690" s="74">
        <v>1426</v>
      </c>
      <c r="B690" s="146" t="str">
        <f t="shared" si="91"/>
        <v>Heat PumpR0R11SlabBetter</v>
      </c>
      <c r="C690" s="134" t="s">
        <v>229</v>
      </c>
      <c r="D690" s="132" t="s">
        <v>329</v>
      </c>
      <c r="E690" s="147" t="s">
        <v>334</v>
      </c>
      <c r="F690" s="147" t="s">
        <v>379</v>
      </c>
      <c r="G690" s="166" t="s">
        <v>352</v>
      </c>
      <c r="H690" s="70">
        <f t="shared" si="89"/>
        <v>1612.692</v>
      </c>
      <c r="I690" s="169">
        <f t="shared" si="90"/>
        <v>1.5128358946326179E-3</v>
      </c>
      <c r="J690" s="70" t="str">
        <f t="shared" si="92"/>
        <v>1426Heat PumpR0R11SlabBetter</v>
      </c>
      <c r="S690" s="134"/>
      <c r="T690" s="134"/>
      <c r="U690" s="134"/>
      <c r="V690" s="134"/>
      <c r="W690" s="134"/>
      <c r="X690" s="134"/>
      <c r="Y690" s="134"/>
      <c r="Z690" s="134"/>
      <c r="AA690" s="134"/>
      <c r="AB690" s="134"/>
      <c r="AC690" s="134"/>
      <c r="AD690" s="134"/>
      <c r="AE690" s="134"/>
      <c r="AF690" s="146"/>
      <c r="AG690" s="134"/>
      <c r="AH690" s="134"/>
      <c r="AI690" s="134"/>
      <c r="AJ690" s="134"/>
      <c r="AK690" s="134"/>
      <c r="AL690" s="134"/>
      <c r="AM690" s="146"/>
      <c r="AN690" s="132"/>
      <c r="AO690" s="132"/>
      <c r="AP690" s="132"/>
      <c r="AQ690" s="132"/>
      <c r="AR690" s="134"/>
      <c r="AS690" s="134"/>
      <c r="AT690" s="132"/>
      <c r="AU690" s="133"/>
      <c r="AV690" s="134"/>
    </row>
    <row r="691" spans="1:48">
      <c r="A691" s="74">
        <v>1427</v>
      </c>
      <c r="B691" s="146" t="str">
        <f t="shared" si="91"/>
        <v>Heat PumpR11R0SlabSingle</v>
      </c>
      <c r="C691" s="134" t="s">
        <v>229</v>
      </c>
      <c r="D691" s="132" t="s">
        <v>334</v>
      </c>
      <c r="E691" s="147" t="s">
        <v>329</v>
      </c>
      <c r="F691" s="147" t="s">
        <v>379</v>
      </c>
      <c r="G691" s="166" t="s">
        <v>355</v>
      </c>
      <c r="H691" s="70">
        <f t="shared" si="89"/>
        <v>0</v>
      </c>
      <c r="I691" s="169" t="str">
        <f t="shared" si="90"/>
        <v/>
      </c>
      <c r="J691" s="70" t="str">
        <f t="shared" si="92"/>
        <v>1427Heat PumpR11R0SlabSingle</v>
      </c>
      <c r="S691" s="134"/>
      <c r="T691" s="134"/>
      <c r="U691" s="134"/>
      <c r="V691" s="134"/>
      <c r="W691" s="134"/>
      <c r="X691" s="134"/>
      <c r="Y691" s="134"/>
      <c r="Z691" s="134"/>
      <c r="AA691" s="134"/>
      <c r="AB691" s="134"/>
      <c r="AC691" s="134"/>
      <c r="AD691" s="134"/>
      <c r="AE691" s="134"/>
      <c r="AF691" s="146"/>
      <c r="AG691" s="134"/>
      <c r="AH691" s="134"/>
      <c r="AI691" s="134"/>
      <c r="AJ691" s="134"/>
      <c r="AK691" s="134"/>
      <c r="AL691" s="134"/>
      <c r="AM691" s="146"/>
      <c r="AN691" s="132"/>
      <c r="AO691" s="132"/>
      <c r="AP691" s="132"/>
      <c r="AQ691" s="132"/>
      <c r="AR691" s="134"/>
      <c r="AS691" s="134"/>
      <c r="AT691" s="132"/>
      <c r="AU691" s="133"/>
      <c r="AV691" s="134"/>
    </row>
    <row r="692" spans="1:48">
      <c r="A692" s="74">
        <v>1428</v>
      </c>
      <c r="B692" s="146" t="str">
        <f t="shared" si="91"/>
        <v>Heat PumpR11R0SlabDouble</v>
      </c>
      <c r="C692" s="134" t="s">
        <v>229</v>
      </c>
      <c r="D692" s="132" t="s">
        <v>334</v>
      </c>
      <c r="E692" s="147" t="s">
        <v>329</v>
      </c>
      <c r="F692" s="147" t="s">
        <v>379</v>
      </c>
      <c r="G692" s="72" t="s">
        <v>339</v>
      </c>
      <c r="H692" s="70">
        <f t="shared" si="89"/>
        <v>0</v>
      </c>
      <c r="I692" s="169" t="str">
        <f t="shared" si="90"/>
        <v/>
      </c>
      <c r="J692" s="70" t="str">
        <f t="shared" si="92"/>
        <v>1428Heat PumpR11R0SlabDouble</v>
      </c>
      <c r="S692" s="134"/>
      <c r="T692" s="134"/>
      <c r="U692" s="134"/>
      <c r="V692" s="134"/>
      <c r="W692" s="134"/>
      <c r="X692" s="134"/>
      <c r="Y692" s="134"/>
      <c r="Z692" s="134"/>
      <c r="AA692" s="134"/>
      <c r="AB692" s="134"/>
      <c r="AC692" s="134"/>
      <c r="AD692" s="134"/>
      <c r="AE692" s="134"/>
      <c r="AF692" s="146"/>
      <c r="AG692" s="134"/>
      <c r="AH692" s="134"/>
      <c r="AI692" s="134"/>
      <c r="AJ692" s="134"/>
      <c r="AK692" s="134"/>
      <c r="AL692" s="134"/>
      <c r="AM692" s="146"/>
      <c r="AN692" s="132"/>
      <c r="AO692" s="132"/>
      <c r="AP692" s="132"/>
      <c r="AQ692" s="132"/>
      <c r="AR692" s="134"/>
      <c r="AS692" s="134"/>
      <c r="AT692" s="132"/>
      <c r="AU692" s="133"/>
      <c r="AV692" s="134"/>
    </row>
    <row r="693" spans="1:48">
      <c r="A693" s="74">
        <v>1429</v>
      </c>
      <c r="B693" s="146" t="str">
        <f t="shared" si="91"/>
        <v>Heat PumpR11R0SlabBetter</v>
      </c>
      <c r="C693" s="134" t="s">
        <v>229</v>
      </c>
      <c r="D693" s="132" t="s">
        <v>334</v>
      </c>
      <c r="E693" s="147" t="s">
        <v>329</v>
      </c>
      <c r="F693" s="147" t="s">
        <v>379</v>
      </c>
      <c r="G693" s="166" t="s">
        <v>352</v>
      </c>
      <c r="H693" s="70">
        <f t="shared" si="89"/>
        <v>0</v>
      </c>
      <c r="I693" s="169" t="str">
        <f t="shared" si="90"/>
        <v/>
      </c>
      <c r="J693" s="70" t="str">
        <f t="shared" si="92"/>
        <v>1429Heat PumpR11R0SlabBetter</v>
      </c>
      <c r="S693" s="134"/>
      <c r="T693" s="134"/>
      <c r="U693" s="134"/>
      <c r="V693" s="134"/>
      <c r="W693" s="134"/>
      <c r="X693" s="134"/>
      <c r="Y693" s="134"/>
      <c r="Z693" s="134"/>
      <c r="AA693" s="134"/>
      <c r="AB693" s="134"/>
      <c r="AC693" s="134"/>
      <c r="AD693" s="134"/>
      <c r="AE693" s="134"/>
      <c r="AF693" s="146"/>
      <c r="AG693" s="134"/>
      <c r="AH693" s="134"/>
      <c r="AI693" s="134"/>
      <c r="AJ693" s="134"/>
      <c r="AK693" s="134"/>
      <c r="AL693" s="134"/>
      <c r="AM693" s="146"/>
      <c r="AN693" s="132"/>
      <c r="AO693" s="132"/>
      <c r="AP693" s="132"/>
      <c r="AQ693" s="132"/>
      <c r="AR693" s="134"/>
      <c r="AS693" s="134"/>
      <c r="AT693" s="132"/>
      <c r="AU693" s="133"/>
      <c r="AV693" s="134"/>
    </row>
    <row r="694" spans="1:48">
      <c r="A694" s="74">
        <v>1430</v>
      </c>
      <c r="B694" s="146" t="str">
        <f t="shared" si="91"/>
        <v>Heat PumpR11R11SlabSingle</v>
      </c>
      <c r="C694" s="134" t="s">
        <v>229</v>
      </c>
      <c r="D694" s="132" t="s">
        <v>334</v>
      </c>
      <c r="E694" s="147" t="s">
        <v>334</v>
      </c>
      <c r="F694" s="147" t="s">
        <v>379</v>
      </c>
      <c r="G694" s="166" t="s">
        <v>355</v>
      </c>
      <c r="H694" s="70">
        <f t="shared" si="89"/>
        <v>0</v>
      </c>
      <c r="I694" s="169" t="str">
        <f t="shared" si="90"/>
        <v/>
      </c>
      <c r="J694" s="70" t="str">
        <f t="shared" si="92"/>
        <v>1430Heat PumpR11R11SlabSingle</v>
      </c>
      <c r="S694" s="134"/>
      <c r="T694" s="134"/>
      <c r="U694" s="134"/>
      <c r="V694" s="134"/>
      <c r="W694" s="134"/>
      <c r="X694" s="134"/>
      <c r="Y694" s="134"/>
      <c r="Z694" s="134"/>
      <c r="AA694" s="134"/>
      <c r="AB694" s="134"/>
      <c r="AC694" s="134"/>
      <c r="AD694" s="134"/>
      <c r="AE694" s="134"/>
      <c r="AF694" s="146"/>
      <c r="AG694" s="134"/>
      <c r="AH694" s="134"/>
      <c r="AI694" s="134"/>
      <c r="AJ694" s="134"/>
      <c r="AK694" s="134"/>
      <c r="AL694" s="134"/>
      <c r="AM694" s="146"/>
      <c r="AN694" s="132"/>
      <c r="AO694" s="132"/>
      <c r="AP694" s="132"/>
      <c r="AQ694" s="132"/>
      <c r="AR694" s="134"/>
      <c r="AS694" s="134"/>
      <c r="AT694" s="132"/>
      <c r="AU694" s="133"/>
      <c r="AV694" s="134"/>
    </row>
    <row r="695" spans="1:48">
      <c r="A695" s="74">
        <v>1431</v>
      </c>
      <c r="B695" s="146" t="str">
        <f t="shared" si="91"/>
        <v>Heat PumpR11R11SlabDouble</v>
      </c>
      <c r="C695" s="134" t="s">
        <v>229</v>
      </c>
      <c r="D695" s="132" t="s">
        <v>334</v>
      </c>
      <c r="E695" s="147" t="s">
        <v>334</v>
      </c>
      <c r="F695" s="147" t="s">
        <v>379</v>
      </c>
      <c r="G695" s="72" t="s">
        <v>339</v>
      </c>
      <c r="H695" s="70">
        <f t="shared" si="89"/>
        <v>0</v>
      </c>
      <c r="I695" s="169" t="str">
        <f t="shared" si="90"/>
        <v/>
      </c>
      <c r="J695" s="70" t="str">
        <f t="shared" si="92"/>
        <v>1431Heat PumpR11R11SlabDouble</v>
      </c>
      <c r="S695" s="134"/>
      <c r="T695" s="134"/>
      <c r="U695" s="134"/>
      <c r="V695" s="134"/>
      <c r="W695" s="134"/>
      <c r="X695" s="134"/>
      <c r="Y695" s="134"/>
      <c r="Z695" s="134"/>
      <c r="AA695" s="134"/>
      <c r="AB695" s="134"/>
      <c r="AC695" s="134"/>
      <c r="AD695" s="134"/>
      <c r="AE695" s="134"/>
      <c r="AF695" s="146"/>
      <c r="AG695" s="134"/>
      <c r="AH695" s="134"/>
      <c r="AI695" s="134"/>
      <c r="AJ695" s="134"/>
      <c r="AK695" s="134"/>
      <c r="AL695" s="134"/>
      <c r="AM695" s="146"/>
      <c r="AN695" s="132"/>
      <c r="AO695" s="132"/>
      <c r="AP695" s="132"/>
      <c r="AQ695" s="132"/>
      <c r="AR695" s="134"/>
      <c r="AS695" s="134"/>
      <c r="AT695" s="132"/>
      <c r="AU695" s="133"/>
      <c r="AV695" s="134"/>
    </row>
    <row r="696" spans="1:48">
      <c r="A696" s="74">
        <v>1432</v>
      </c>
      <c r="B696" s="146" t="str">
        <f t="shared" si="91"/>
        <v>Heat PumpR11R11SlabBetter</v>
      </c>
      <c r="C696" s="134" t="s">
        <v>229</v>
      </c>
      <c r="D696" s="132" t="s">
        <v>334</v>
      </c>
      <c r="E696" s="147" t="s">
        <v>334</v>
      </c>
      <c r="F696" s="147" t="s">
        <v>379</v>
      </c>
      <c r="G696" s="166" t="s">
        <v>352</v>
      </c>
      <c r="H696" s="70">
        <f t="shared" si="89"/>
        <v>2079.9929999999999</v>
      </c>
      <c r="I696" s="169">
        <f t="shared" si="90"/>
        <v>1.9512021334418368E-3</v>
      </c>
      <c r="J696" s="70" t="str">
        <f t="shared" si="92"/>
        <v>1432Heat PumpR11R11SlabBetter</v>
      </c>
      <c r="S696" s="134"/>
      <c r="T696" s="134"/>
      <c r="U696" s="134"/>
      <c r="V696" s="134"/>
      <c r="W696" s="134"/>
      <c r="X696" s="134"/>
      <c r="Y696" s="134"/>
      <c r="Z696" s="134"/>
      <c r="AA696" s="134"/>
      <c r="AB696" s="134"/>
      <c r="AC696" s="134"/>
      <c r="AD696" s="134"/>
      <c r="AE696" s="134"/>
      <c r="AF696" s="146"/>
      <c r="AG696" s="134"/>
      <c r="AH696" s="134"/>
      <c r="AI696" s="134"/>
      <c r="AJ696" s="134"/>
      <c r="AK696" s="134"/>
      <c r="AL696" s="134"/>
      <c r="AM696" s="146"/>
      <c r="AN696" s="132"/>
      <c r="AO696" s="132"/>
      <c r="AP696" s="132"/>
      <c r="AQ696" s="132"/>
      <c r="AR696" s="134"/>
      <c r="AS696" s="134"/>
      <c r="AT696" s="132"/>
      <c r="AU696" s="133"/>
      <c r="AV696" s="134"/>
    </row>
    <row r="697" spans="1:48">
      <c r="A697" s="74">
        <v>1433</v>
      </c>
      <c r="B697" s="146" t="str">
        <f t="shared" si="91"/>
        <v>Heat PumpR19R0SlabSingle</v>
      </c>
      <c r="C697" s="134" t="s">
        <v>229</v>
      </c>
      <c r="D697" s="132" t="s">
        <v>335</v>
      </c>
      <c r="E697" s="147" t="s">
        <v>329</v>
      </c>
      <c r="F697" s="147" t="s">
        <v>379</v>
      </c>
      <c r="G697" s="166" t="s">
        <v>355</v>
      </c>
      <c r="H697" s="70">
        <f t="shared" si="89"/>
        <v>0</v>
      </c>
      <c r="I697" s="169" t="str">
        <f t="shared" si="90"/>
        <v/>
      </c>
      <c r="J697" s="70" t="str">
        <f t="shared" si="92"/>
        <v>1433Heat PumpR19R0SlabSingle</v>
      </c>
      <c r="S697" s="134"/>
      <c r="T697" s="134"/>
      <c r="U697" s="134"/>
      <c r="V697" s="134"/>
      <c r="W697" s="134"/>
      <c r="X697" s="134"/>
      <c r="Y697" s="134"/>
      <c r="Z697" s="134"/>
      <c r="AA697" s="134"/>
      <c r="AB697" s="134"/>
      <c r="AC697" s="134"/>
      <c r="AD697" s="134"/>
      <c r="AE697" s="134"/>
      <c r="AF697" s="146"/>
      <c r="AG697" s="134"/>
      <c r="AH697" s="134"/>
      <c r="AI697" s="134"/>
      <c r="AJ697" s="134"/>
      <c r="AK697" s="134"/>
      <c r="AL697" s="134"/>
      <c r="AM697" s="146"/>
      <c r="AN697" s="132"/>
      <c r="AO697" s="132"/>
      <c r="AP697" s="132"/>
      <c r="AQ697" s="132"/>
      <c r="AR697" s="134"/>
      <c r="AS697" s="134"/>
      <c r="AT697" s="132"/>
      <c r="AU697" s="133"/>
      <c r="AV697" s="134"/>
    </row>
    <row r="698" spans="1:48">
      <c r="A698" s="74">
        <v>1434</v>
      </c>
      <c r="B698" s="146" t="str">
        <f t="shared" si="91"/>
        <v>Heat PumpR19R0SlabDouble</v>
      </c>
      <c r="C698" s="134" t="s">
        <v>229</v>
      </c>
      <c r="D698" s="132" t="s">
        <v>335</v>
      </c>
      <c r="E698" s="147" t="s">
        <v>329</v>
      </c>
      <c r="F698" s="147" t="s">
        <v>379</v>
      </c>
      <c r="G698" s="72" t="s">
        <v>339</v>
      </c>
      <c r="H698" s="70">
        <f t="shared" si="89"/>
        <v>0</v>
      </c>
      <c r="I698" s="169" t="str">
        <f t="shared" si="90"/>
        <v/>
      </c>
      <c r="J698" s="70" t="str">
        <f t="shared" si="92"/>
        <v>1434Heat PumpR19R0SlabDouble</v>
      </c>
      <c r="S698" s="134"/>
      <c r="T698" s="134"/>
      <c r="U698" s="134"/>
      <c r="V698" s="134"/>
      <c r="W698" s="134"/>
      <c r="X698" s="134"/>
      <c r="Y698" s="134"/>
      <c r="Z698" s="134"/>
      <c r="AA698" s="134"/>
      <c r="AB698" s="134"/>
      <c r="AC698" s="134"/>
      <c r="AD698" s="134"/>
      <c r="AE698" s="134"/>
      <c r="AF698" s="146"/>
      <c r="AG698" s="134"/>
      <c r="AH698" s="134"/>
      <c r="AI698" s="134"/>
      <c r="AJ698" s="134"/>
      <c r="AK698" s="134"/>
      <c r="AL698" s="134"/>
      <c r="AM698" s="146"/>
      <c r="AN698" s="132"/>
      <c r="AO698" s="132"/>
      <c r="AP698" s="132"/>
      <c r="AQ698" s="132"/>
      <c r="AR698" s="134"/>
      <c r="AS698" s="134"/>
      <c r="AT698" s="132"/>
      <c r="AU698" s="133"/>
      <c r="AV698" s="134"/>
    </row>
    <row r="699" spans="1:48">
      <c r="A699" s="74">
        <v>1435</v>
      </c>
      <c r="B699" s="146" t="str">
        <f t="shared" si="91"/>
        <v>Heat PumpR19R0SlabBetter</v>
      </c>
      <c r="C699" s="134" t="s">
        <v>229</v>
      </c>
      <c r="D699" s="132" t="s">
        <v>335</v>
      </c>
      <c r="E699" s="147" t="s">
        <v>329</v>
      </c>
      <c r="F699" s="147" t="s">
        <v>379</v>
      </c>
      <c r="G699" s="166" t="s">
        <v>352</v>
      </c>
      <c r="H699" s="70">
        <f t="shared" si="89"/>
        <v>0</v>
      </c>
      <c r="I699" s="169" t="str">
        <f t="shared" si="90"/>
        <v/>
      </c>
      <c r="J699" s="70" t="str">
        <f t="shared" si="92"/>
        <v>1435Heat PumpR19R0SlabBetter</v>
      </c>
      <c r="S699" s="134"/>
      <c r="T699" s="134"/>
      <c r="U699" s="134"/>
      <c r="V699" s="134"/>
      <c r="W699" s="134"/>
      <c r="X699" s="134"/>
      <c r="Y699" s="134"/>
      <c r="Z699" s="134"/>
      <c r="AA699" s="134"/>
      <c r="AB699" s="134"/>
      <c r="AC699" s="134"/>
      <c r="AD699" s="134"/>
      <c r="AE699" s="134"/>
      <c r="AF699" s="146"/>
      <c r="AG699" s="134"/>
      <c r="AH699" s="134"/>
      <c r="AI699" s="134"/>
      <c r="AJ699" s="134"/>
      <c r="AK699" s="134"/>
      <c r="AL699" s="134"/>
      <c r="AM699" s="146"/>
      <c r="AN699" s="132"/>
      <c r="AO699" s="132"/>
      <c r="AP699" s="132"/>
      <c r="AQ699" s="132"/>
      <c r="AR699" s="134"/>
      <c r="AS699" s="134"/>
      <c r="AT699" s="132"/>
      <c r="AU699" s="133"/>
      <c r="AV699" s="134"/>
    </row>
    <row r="700" spans="1:48">
      <c r="A700" s="74">
        <v>1436</v>
      </c>
      <c r="B700" s="146" t="str">
        <f t="shared" si="91"/>
        <v>Heat PumpR19R11SlabSingle</v>
      </c>
      <c r="C700" s="134" t="s">
        <v>229</v>
      </c>
      <c r="D700" s="132" t="s">
        <v>335</v>
      </c>
      <c r="E700" s="147" t="s">
        <v>334</v>
      </c>
      <c r="F700" s="147" t="s">
        <v>379</v>
      </c>
      <c r="G700" s="166" t="s">
        <v>355</v>
      </c>
      <c r="H700" s="70">
        <f t="shared" si="89"/>
        <v>0</v>
      </c>
      <c r="I700" s="169" t="str">
        <f t="shared" si="90"/>
        <v/>
      </c>
      <c r="J700" s="70" t="str">
        <f t="shared" si="92"/>
        <v>1436Heat PumpR19R11SlabSingle</v>
      </c>
      <c r="S700" s="134"/>
      <c r="T700" s="134"/>
      <c r="U700" s="134"/>
      <c r="V700" s="134"/>
      <c r="W700" s="134"/>
      <c r="X700" s="134"/>
      <c r="Y700" s="134"/>
      <c r="Z700" s="134"/>
      <c r="AA700" s="134"/>
      <c r="AB700" s="134"/>
      <c r="AC700" s="134"/>
      <c r="AD700" s="134"/>
      <c r="AE700" s="134"/>
      <c r="AF700" s="146"/>
      <c r="AG700" s="134"/>
      <c r="AH700" s="134"/>
      <c r="AI700" s="134"/>
      <c r="AJ700" s="134"/>
      <c r="AK700" s="134"/>
      <c r="AL700" s="134"/>
      <c r="AM700" s="146"/>
      <c r="AN700" s="132"/>
      <c r="AO700" s="132"/>
      <c r="AP700" s="132"/>
      <c r="AQ700" s="132"/>
      <c r="AR700" s="134"/>
      <c r="AS700" s="134"/>
      <c r="AT700" s="132"/>
      <c r="AU700" s="133"/>
      <c r="AV700" s="134"/>
    </row>
    <row r="701" spans="1:48">
      <c r="A701" s="74">
        <v>1437</v>
      </c>
      <c r="B701" s="146" t="str">
        <f t="shared" si="91"/>
        <v>Heat PumpR19R11SlabDouble</v>
      </c>
      <c r="C701" s="134" t="s">
        <v>229</v>
      </c>
      <c r="D701" s="132" t="s">
        <v>335</v>
      </c>
      <c r="E701" s="147" t="s">
        <v>334</v>
      </c>
      <c r="F701" s="147" t="s">
        <v>379</v>
      </c>
      <c r="G701" s="72" t="s">
        <v>339</v>
      </c>
      <c r="H701" s="70">
        <f t="shared" si="89"/>
        <v>3785.7640000000001</v>
      </c>
      <c r="I701" s="169">
        <f t="shared" si="90"/>
        <v>3.5513536793187776E-3</v>
      </c>
      <c r="J701" s="70" t="str">
        <f t="shared" si="92"/>
        <v>1437Heat PumpR19R11SlabDouble</v>
      </c>
      <c r="S701" s="134"/>
      <c r="T701" s="134"/>
      <c r="U701" s="134"/>
      <c r="V701" s="134"/>
      <c r="W701" s="134"/>
      <c r="X701" s="134"/>
      <c r="Y701" s="134"/>
      <c r="Z701" s="134"/>
      <c r="AA701" s="134"/>
      <c r="AB701" s="134"/>
      <c r="AC701" s="134"/>
      <c r="AD701" s="134"/>
      <c r="AE701" s="134"/>
      <c r="AF701" s="146"/>
      <c r="AG701" s="134"/>
      <c r="AH701" s="134"/>
      <c r="AI701" s="134"/>
      <c r="AJ701" s="134"/>
      <c r="AK701" s="134"/>
      <c r="AL701" s="134"/>
      <c r="AM701" s="146"/>
      <c r="AN701" s="132"/>
      <c r="AO701" s="132"/>
      <c r="AP701" s="132"/>
      <c r="AQ701" s="132"/>
      <c r="AR701" s="134"/>
      <c r="AS701" s="134"/>
      <c r="AT701" s="132"/>
      <c r="AU701" s="133"/>
      <c r="AV701" s="134"/>
    </row>
    <row r="702" spans="1:48">
      <c r="A702" s="74">
        <v>1438</v>
      </c>
      <c r="B702" s="146" t="str">
        <f t="shared" si="91"/>
        <v>Heat PumpR19R11SlabBetter</v>
      </c>
      <c r="C702" s="134" t="s">
        <v>229</v>
      </c>
      <c r="D702" s="132" t="s">
        <v>335</v>
      </c>
      <c r="E702" s="147" t="s">
        <v>334</v>
      </c>
      <c r="F702" s="147" t="s">
        <v>379</v>
      </c>
      <c r="G702" s="166" t="s">
        <v>352</v>
      </c>
      <c r="H702" s="70">
        <f t="shared" si="89"/>
        <v>3096.7529999999997</v>
      </c>
      <c r="I702" s="169">
        <f t="shared" si="90"/>
        <v>2.9050054785484413E-3</v>
      </c>
      <c r="J702" s="70" t="str">
        <f t="shared" si="92"/>
        <v>1438Heat PumpR19R11SlabBetter</v>
      </c>
      <c r="S702" s="134"/>
      <c r="T702" s="134"/>
      <c r="U702" s="134"/>
      <c r="V702" s="134"/>
      <c r="W702" s="134"/>
      <c r="X702" s="134"/>
      <c r="Y702" s="134"/>
      <c r="Z702" s="134"/>
      <c r="AA702" s="134"/>
      <c r="AB702" s="134"/>
      <c r="AC702" s="134"/>
      <c r="AD702" s="134"/>
      <c r="AE702" s="134"/>
      <c r="AF702" s="146"/>
      <c r="AG702" s="134"/>
      <c r="AH702" s="134"/>
      <c r="AI702" s="134"/>
      <c r="AJ702" s="134"/>
      <c r="AK702" s="134"/>
      <c r="AL702" s="134"/>
      <c r="AM702" s="146"/>
      <c r="AN702" s="132"/>
      <c r="AO702" s="132"/>
      <c r="AP702" s="132"/>
      <c r="AQ702" s="132"/>
      <c r="AR702" s="134"/>
      <c r="AS702" s="134"/>
      <c r="AT702" s="132"/>
      <c r="AU702" s="133"/>
      <c r="AV702" s="134"/>
    </row>
    <row r="703" spans="1:48">
      <c r="A703" s="74">
        <v>1439</v>
      </c>
      <c r="B703" s="146" t="str">
        <f t="shared" si="91"/>
        <v>Heat PumpR30R0SlabSingle</v>
      </c>
      <c r="C703" s="134" t="s">
        <v>229</v>
      </c>
      <c r="D703" s="132" t="s">
        <v>336</v>
      </c>
      <c r="E703" s="147" t="s">
        <v>329</v>
      </c>
      <c r="F703" s="147" t="s">
        <v>379</v>
      </c>
      <c r="G703" s="166" t="s">
        <v>355</v>
      </c>
      <c r="H703" s="70">
        <f t="shared" si="89"/>
        <v>0</v>
      </c>
      <c r="I703" s="169" t="str">
        <f t="shared" si="90"/>
        <v/>
      </c>
      <c r="J703" s="70" t="str">
        <f t="shared" si="92"/>
        <v>1439Heat PumpR30R0SlabSingle</v>
      </c>
      <c r="S703" s="134"/>
      <c r="T703" s="134"/>
      <c r="U703" s="134"/>
      <c r="V703" s="134"/>
      <c r="W703" s="134"/>
      <c r="X703" s="134"/>
      <c r="Y703" s="134"/>
      <c r="Z703" s="134"/>
      <c r="AA703" s="134"/>
      <c r="AB703" s="134"/>
      <c r="AC703" s="134"/>
      <c r="AD703" s="134"/>
      <c r="AE703" s="134"/>
      <c r="AF703" s="146"/>
      <c r="AG703" s="134"/>
      <c r="AH703" s="134"/>
      <c r="AI703" s="134"/>
      <c r="AJ703" s="134"/>
      <c r="AK703" s="134"/>
      <c r="AL703" s="134"/>
      <c r="AM703" s="146"/>
      <c r="AN703" s="132"/>
      <c r="AO703" s="132"/>
      <c r="AP703" s="132"/>
      <c r="AQ703" s="132"/>
      <c r="AR703" s="134"/>
      <c r="AS703" s="134"/>
      <c r="AT703" s="132"/>
      <c r="AU703" s="133"/>
      <c r="AV703" s="134"/>
    </row>
    <row r="704" spans="1:48">
      <c r="A704" s="74">
        <v>1440</v>
      </c>
      <c r="B704" s="146" t="str">
        <f t="shared" si="91"/>
        <v>Heat PumpR30R0SlabDouble</v>
      </c>
      <c r="C704" s="134" t="s">
        <v>229</v>
      </c>
      <c r="D704" s="132" t="s">
        <v>336</v>
      </c>
      <c r="E704" s="147" t="s">
        <v>329</v>
      </c>
      <c r="F704" s="147" t="s">
        <v>379</v>
      </c>
      <c r="G704" s="72" t="s">
        <v>339</v>
      </c>
      <c r="H704" s="70">
        <f t="shared" si="89"/>
        <v>0</v>
      </c>
      <c r="I704" s="169" t="str">
        <f t="shared" si="90"/>
        <v/>
      </c>
      <c r="J704" s="70" t="str">
        <f t="shared" si="92"/>
        <v>1440Heat PumpR30R0SlabDouble</v>
      </c>
      <c r="S704" s="134"/>
      <c r="T704" s="134"/>
      <c r="U704" s="134"/>
      <c r="V704" s="134"/>
      <c r="W704" s="134"/>
      <c r="X704" s="134"/>
      <c r="Y704" s="134"/>
      <c r="Z704" s="134"/>
      <c r="AA704" s="134"/>
      <c r="AB704" s="134"/>
      <c r="AC704" s="134"/>
      <c r="AD704" s="134"/>
      <c r="AE704" s="134"/>
      <c r="AF704" s="146"/>
      <c r="AG704" s="134"/>
      <c r="AH704" s="134"/>
      <c r="AI704" s="134"/>
      <c r="AJ704" s="134"/>
      <c r="AK704" s="134"/>
      <c r="AL704" s="134"/>
      <c r="AM704" s="146"/>
      <c r="AN704" s="132"/>
      <c r="AO704" s="132"/>
      <c r="AP704" s="132"/>
      <c r="AQ704" s="132"/>
      <c r="AR704" s="134"/>
      <c r="AS704" s="134"/>
      <c r="AT704" s="132"/>
      <c r="AU704" s="133"/>
      <c r="AV704" s="134"/>
    </row>
    <row r="705" spans="1:48">
      <c r="A705" s="74">
        <v>1441</v>
      </c>
      <c r="B705" s="146" t="str">
        <f t="shared" si="91"/>
        <v>Heat PumpR30R0SlabBetter</v>
      </c>
      <c r="C705" s="134" t="s">
        <v>229</v>
      </c>
      <c r="D705" s="132" t="s">
        <v>336</v>
      </c>
      <c r="E705" s="147" t="s">
        <v>329</v>
      </c>
      <c r="F705" s="147" t="s">
        <v>379</v>
      </c>
      <c r="G705" s="166" t="s">
        <v>352</v>
      </c>
      <c r="H705" s="70">
        <f t="shared" si="89"/>
        <v>0</v>
      </c>
      <c r="I705" s="169" t="str">
        <f t="shared" si="90"/>
        <v/>
      </c>
      <c r="J705" s="70" t="str">
        <f t="shared" si="92"/>
        <v>1441Heat PumpR30R0SlabBetter</v>
      </c>
      <c r="S705" s="134"/>
      <c r="T705" s="134"/>
      <c r="U705" s="134"/>
      <c r="V705" s="134"/>
      <c r="W705" s="134"/>
      <c r="X705" s="134"/>
      <c r="Y705" s="134"/>
      <c r="Z705" s="134"/>
      <c r="AA705" s="134"/>
      <c r="AB705" s="134"/>
      <c r="AC705" s="134"/>
      <c r="AD705" s="134"/>
      <c r="AE705" s="134"/>
      <c r="AF705" s="146"/>
      <c r="AG705" s="134"/>
      <c r="AH705" s="134"/>
      <c r="AI705" s="134"/>
      <c r="AJ705" s="134"/>
      <c r="AK705" s="134"/>
      <c r="AL705" s="134"/>
      <c r="AM705" s="146"/>
      <c r="AN705" s="132"/>
      <c r="AO705" s="132"/>
      <c r="AP705" s="132"/>
      <c r="AQ705" s="132"/>
      <c r="AR705" s="134"/>
      <c r="AS705" s="134"/>
      <c r="AT705" s="132"/>
      <c r="AU705" s="133"/>
      <c r="AV705" s="134"/>
    </row>
    <row r="706" spans="1:48">
      <c r="A706" s="74">
        <v>1442</v>
      </c>
      <c r="B706" s="146" t="str">
        <f t="shared" si="91"/>
        <v>Heat PumpR30R11SlabSingle</v>
      </c>
      <c r="C706" s="134" t="s">
        <v>229</v>
      </c>
      <c r="D706" s="132" t="s">
        <v>336</v>
      </c>
      <c r="E706" s="147" t="s">
        <v>334</v>
      </c>
      <c r="F706" s="147" t="s">
        <v>379</v>
      </c>
      <c r="G706" s="166" t="s">
        <v>355</v>
      </c>
      <c r="H706" s="70">
        <f t="shared" si="89"/>
        <v>0</v>
      </c>
      <c r="I706" s="169" t="str">
        <f t="shared" si="90"/>
        <v/>
      </c>
      <c r="J706" s="70" t="str">
        <f t="shared" si="92"/>
        <v>1442Heat PumpR30R11SlabSingle</v>
      </c>
      <c r="S706" s="134"/>
      <c r="T706" s="134"/>
      <c r="U706" s="134"/>
      <c r="V706" s="134"/>
      <c r="W706" s="134"/>
      <c r="X706" s="134"/>
      <c r="Y706" s="134"/>
      <c r="Z706" s="134"/>
      <c r="AA706" s="134"/>
      <c r="AB706" s="134"/>
      <c r="AC706" s="134"/>
      <c r="AD706" s="134"/>
      <c r="AE706" s="134"/>
      <c r="AF706" s="146"/>
      <c r="AG706" s="134"/>
      <c r="AH706" s="134"/>
      <c r="AI706" s="134"/>
      <c r="AJ706" s="134"/>
      <c r="AK706" s="134"/>
      <c r="AL706" s="134"/>
      <c r="AM706" s="146"/>
      <c r="AN706" s="132"/>
      <c r="AO706" s="132"/>
      <c r="AP706" s="132"/>
      <c r="AQ706" s="132"/>
      <c r="AR706" s="134"/>
      <c r="AS706" s="134"/>
      <c r="AT706" s="132"/>
      <c r="AU706" s="133"/>
      <c r="AV706" s="134"/>
    </row>
    <row r="707" spans="1:48">
      <c r="A707" s="74">
        <v>1443</v>
      </c>
      <c r="B707" s="146" t="str">
        <f t="shared" si="91"/>
        <v>Heat PumpR30R11SlabDouble</v>
      </c>
      <c r="C707" s="134" t="s">
        <v>229</v>
      </c>
      <c r="D707" s="132" t="s">
        <v>336</v>
      </c>
      <c r="E707" s="147" t="s">
        <v>334</v>
      </c>
      <c r="F707" s="147" t="s">
        <v>379</v>
      </c>
      <c r="G707" s="72" t="s">
        <v>339</v>
      </c>
      <c r="H707" s="70">
        <f t="shared" si="89"/>
        <v>0</v>
      </c>
      <c r="I707" s="169" t="str">
        <f t="shared" si="90"/>
        <v/>
      </c>
      <c r="J707" s="70" t="str">
        <f t="shared" si="92"/>
        <v>1443Heat PumpR30R11SlabDouble</v>
      </c>
      <c r="S707" s="134"/>
      <c r="T707" s="134"/>
      <c r="U707" s="134"/>
      <c r="V707" s="134"/>
      <c r="W707" s="134"/>
      <c r="X707" s="134"/>
      <c r="Y707" s="134"/>
      <c r="Z707" s="134"/>
      <c r="AA707" s="134"/>
      <c r="AB707" s="134"/>
      <c r="AC707" s="134"/>
      <c r="AD707" s="134"/>
      <c r="AE707" s="134"/>
      <c r="AF707" s="146"/>
      <c r="AG707" s="134"/>
      <c r="AH707" s="134"/>
      <c r="AI707" s="134"/>
      <c r="AJ707" s="134"/>
      <c r="AK707" s="134"/>
      <c r="AL707" s="134"/>
      <c r="AM707" s="146"/>
      <c r="AN707" s="132"/>
      <c r="AO707" s="132"/>
      <c r="AP707" s="132"/>
      <c r="AQ707" s="132"/>
      <c r="AR707" s="134"/>
      <c r="AS707" s="134"/>
      <c r="AT707" s="132"/>
      <c r="AU707" s="133"/>
      <c r="AV707" s="134"/>
    </row>
    <row r="708" spans="1:48">
      <c r="A708" s="74">
        <v>1444</v>
      </c>
      <c r="B708" s="146" t="str">
        <f t="shared" si="91"/>
        <v>Heat PumpR30R11SlabBetter</v>
      </c>
      <c r="C708" s="134" t="s">
        <v>229</v>
      </c>
      <c r="D708" s="132" t="s">
        <v>336</v>
      </c>
      <c r="E708" s="147" t="s">
        <v>334</v>
      </c>
      <c r="F708" s="147" t="s">
        <v>379</v>
      </c>
      <c r="G708" s="166" t="s">
        <v>352</v>
      </c>
      <c r="H708" s="70">
        <f t="shared" si="89"/>
        <v>1612.692</v>
      </c>
      <c r="I708" s="169">
        <f t="shared" si="90"/>
        <v>1.5128358946326179E-3</v>
      </c>
      <c r="J708" s="70" t="str">
        <f t="shared" si="92"/>
        <v>1444Heat PumpR30R11SlabBetter</v>
      </c>
      <c r="S708" s="134"/>
      <c r="T708" s="134"/>
      <c r="U708" s="134"/>
      <c r="V708" s="134"/>
      <c r="W708" s="134"/>
      <c r="X708" s="134"/>
      <c r="Y708" s="134"/>
      <c r="Z708" s="134"/>
      <c r="AA708" s="134"/>
      <c r="AB708" s="134"/>
      <c r="AC708" s="134"/>
      <c r="AD708" s="134"/>
      <c r="AE708" s="134"/>
      <c r="AF708" s="146"/>
      <c r="AG708" s="134"/>
      <c r="AH708" s="134"/>
      <c r="AI708" s="134"/>
      <c r="AJ708" s="134"/>
      <c r="AK708" s="134"/>
      <c r="AL708" s="134"/>
      <c r="AM708" s="146"/>
      <c r="AN708" s="132"/>
      <c r="AO708" s="132"/>
      <c r="AP708" s="132"/>
      <c r="AQ708" s="132"/>
      <c r="AR708" s="134"/>
      <c r="AS708" s="134"/>
      <c r="AT708" s="132"/>
      <c r="AU708" s="133"/>
      <c r="AV708" s="134"/>
    </row>
    <row r="709" spans="1:48">
      <c r="A709" s="74">
        <v>1445</v>
      </c>
      <c r="B709" s="146" t="str">
        <f t="shared" si="91"/>
        <v>Heat PumpR38R0SlabSingle</v>
      </c>
      <c r="C709" s="134" t="s">
        <v>229</v>
      </c>
      <c r="D709" s="132" t="s">
        <v>331</v>
      </c>
      <c r="E709" s="147" t="s">
        <v>329</v>
      </c>
      <c r="F709" s="147" t="s">
        <v>379</v>
      </c>
      <c r="G709" s="166" t="s">
        <v>355</v>
      </c>
      <c r="H709" s="70">
        <f t="shared" si="89"/>
        <v>0</v>
      </c>
      <c r="I709" s="169" t="str">
        <f t="shared" si="90"/>
        <v/>
      </c>
      <c r="J709" s="70" t="str">
        <f t="shared" si="92"/>
        <v>1445Heat PumpR38R0SlabSingle</v>
      </c>
      <c r="S709" s="134"/>
      <c r="T709" s="134"/>
      <c r="U709" s="134"/>
      <c r="V709" s="134"/>
      <c r="W709" s="134"/>
      <c r="X709" s="134"/>
      <c r="Y709" s="134"/>
      <c r="Z709" s="134"/>
      <c r="AA709" s="134"/>
      <c r="AB709" s="134"/>
      <c r="AC709" s="134"/>
      <c r="AD709" s="134"/>
      <c r="AE709" s="134"/>
      <c r="AF709" s="146"/>
      <c r="AG709" s="134"/>
      <c r="AH709" s="134"/>
      <c r="AI709" s="134"/>
      <c r="AJ709" s="134"/>
      <c r="AK709" s="134"/>
      <c r="AL709" s="134"/>
      <c r="AM709" s="146"/>
      <c r="AN709" s="132"/>
      <c r="AO709" s="132"/>
      <c r="AP709" s="132"/>
      <c r="AQ709" s="132"/>
      <c r="AR709" s="134"/>
      <c r="AS709" s="134"/>
      <c r="AT709" s="132"/>
      <c r="AU709" s="133"/>
      <c r="AV709" s="134"/>
    </row>
    <row r="710" spans="1:48">
      <c r="A710" s="74">
        <v>1446</v>
      </c>
      <c r="B710" s="146" t="str">
        <f t="shared" si="91"/>
        <v>Heat PumpR38R0SlabDouble</v>
      </c>
      <c r="C710" s="134" t="s">
        <v>229</v>
      </c>
      <c r="D710" s="132" t="s">
        <v>331</v>
      </c>
      <c r="E710" s="147" t="s">
        <v>329</v>
      </c>
      <c r="F710" s="147" t="s">
        <v>379</v>
      </c>
      <c r="G710" s="72" t="s">
        <v>339</v>
      </c>
      <c r="H710" s="70">
        <f t="shared" si="89"/>
        <v>0</v>
      </c>
      <c r="I710" s="169" t="str">
        <f t="shared" si="90"/>
        <v/>
      </c>
      <c r="J710" s="70" t="str">
        <f t="shared" si="92"/>
        <v>1446Heat PumpR38R0SlabDouble</v>
      </c>
      <c r="S710" s="134"/>
      <c r="T710" s="134"/>
      <c r="U710" s="134"/>
      <c r="V710" s="134"/>
      <c r="W710" s="134"/>
      <c r="X710" s="134"/>
      <c r="Y710" s="134"/>
      <c r="Z710" s="134"/>
      <c r="AA710" s="134"/>
      <c r="AB710" s="134"/>
      <c r="AC710" s="134"/>
      <c r="AD710" s="134"/>
      <c r="AE710" s="134"/>
      <c r="AF710" s="146"/>
      <c r="AG710" s="134"/>
      <c r="AH710" s="134"/>
      <c r="AI710" s="134"/>
      <c r="AJ710" s="134"/>
      <c r="AK710" s="134"/>
      <c r="AL710" s="134"/>
      <c r="AM710" s="146"/>
      <c r="AN710" s="132"/>
      <c r="AO710" s="132"/>
      <c r="AP710" s="132"/>
      <c r="AQ710" s="132"/>
      <c r="AR710" s="134"/>
      <c r="AS710" s="134"/>
      <c r="AT710" s="132"/>
      <c r="AU710" s="133"/>
      <c r="AV710" s="134"/>
    </row>
    <row r="711" spans="1:48">
      <c r="A711" s="74">
        <v>1447</v>
      </c>
      <c r="B711" s="146" t="str">
        <f t="shared" si="91"/>
        <v>Heat PumpR38R0SlabBetter</v>
      </c>
      <c r="C711" s="134" t="s">
        <v>229</v>
      </c>
      <c r="D711" s="132" t="s">
        <v>331</v>
      </c>
      <c r="E711" s="147" t="s">
        <v>329</v>
      </c>
      <c r="F711" s="147" t="s">
        <v>379</v>
      </c>
      <c r="G711" s="166" t="s">
        <v>352</v>
      </c>
      <c r="H711" s="70">
        <f t="shared" si="89"/>
        <v>0</v>
      </c>
      <c r="I711" s="169" t="str">
        <f t="shared" si="90"/>
        <v/>
      </c>
      <c r="J711" s="70" t="str">
        <f t="shared" si="92"/>
        <v>1447Heat PumpR38R0SlabBetter</v>
      </c>
      <c r="S711" s="134"/>
      <c r="T711" s="134"/>
      <c r="U711" s="134"/>
      <c r="V711" s="134"/>
      <c r="W711" s="134"/>
      <c r="X711" s="134"/>
      <c r="Y711" s="134"/>
      <c r="Z711" s="134"/>
      <c r="AA711" s="134"/>
      <c r="AB711" s="134"/>
      <c r="AC711" s="134"/>
      <c r="AD711" s="134"/>
      <c r="AE711" s="134"/>
      <c r="AF711" s="146"/>
      <c r="AG711" s="134"/>
      <c r="AH711" s="134"/>
      <c r="AI711" s="134"/>
      <c r="AJ711" s="134"/>
      <c r="AK711" s="134"/>
      <c r="AL711" s="134"/>
      <c r="AM711" s="146"/>
      <c r="AN711" s="132"/>
      <c r="AO711" s="132"/>
      <c r="AP711" s="132"/>
      <c r="AQ711" s="132"/>
      <c r="AR711" s="134"/>
      <c r="AS711" s="134"/>
      <c r="AT711" s="132"/>
      <c r="AU711" s="133"/>
      <c r="AV711" s="134"/>
    </row>
    <row r="712" spans="1:48">
      <c r="A712" s="74">
        <v>1448</v>
      </c>
      <c r="B712" s="146" t="str">
        <f t="shared" si="91"/>
        <v>Heat PumpR38R11SlabSingle</v>
      </c>
      <c r="C712" s="134" t="s">
        <v>229</v>
      </c>
      <c r="D712" s="132" t="s">
        <v>331</v>
      </c>
      <c r="E712" s="147" t="s">
        <v>334</v>
      </c>
      <c r="F712" s="147" t="s">
        <v>379</v>
      </c>
      <c r="G712" s="166" t="s">
        <v>355</v>
      </c>
      <c r="H712" s="70">
        <f t="shared" si="89"/>
        <v>0</v>
      </c>
      <c r="I712" s="169" t="str">
        <f t="shared" si="90"/>
        <v/>
      </c>
      <c r="J712" s="70" t="str">
        <f t="shared" si="92"/>
        <v>1448Heat PumpR38R11SlabSingle</v>
      </c>
      <c r="S712" s="134"/>
      <c r="T712" s="134"/>
      <c r="U712" s="134"/>
      <c r="V712" s="134"/>
      <c r="W712" s="134"/>
      <c r="X712" s="134"/>
      <c r="Y712" s="134"/>
      <c r="Z712" s="134"/>
      <c r="AA712" s="134"/>
      <c r="AB712" s="134"/>
      <c r="AC712" s="134"/>
      <c r="AD712" s="134"/>
      <c r="AE712" s="134"/>
      <c r="AF712" s="146"/>
      <c r="AG712" s="134"/>
      <c r="AH712" s="134"/>
      <c r="AI712" s="134"/>
      <c r="AJ712" s="134"/>
      <c r="AK712" s="134"/>
      <c r="AL712" s="134"/>
      <c r="AM712" s="146"/>
      <c r="AN712" s="132"/>
      <c r="AO712" s="132"/>
      <c r="AP712" s="132"/>
      <c r="AQ712" s="132"/>
      <c r="AR712" s="134"/>
      <c r="AS712" s="134"/>
      <c r="AT712" s="132"/>
      <c r="AU712" s="133"/>
      <c r="AV712" s="134"/>
    </row>
    <row r="713" spans="1:48">
      <c r="A713" s="74">
        <v>1449</v>
      </c>
      <c r="B713" s="146" t="str">
        <f t="shared" si="91"/>
        <v>Heat PumpR38R11SlabDouble</v>
      </c>
      <c r="C713" s="134" t="s">
        <v>229</v>
      </c>
      <c r="D713" s="132" t="s">
        <v>331</v>
      </c>
      <c r="E713" s="147" t="s">
        <v>334</v>
      </c>
      <c r="F713" s="147" t="s">
        <v>379</v>
      </c>
      <c r="G713" s="72" t="s">
        <v>339</v>
      </c>
      <c r="H713" s="70">
        <f t="shared" si="89"/>
        <v>0</v>
      </c>
      <c r="I713" s="169" t="str">
        <f>IF(H713&gt;0,H713/SUM($H$265:$H$714),"")</f>
        <v/>
      </c>
      <c r="J713" s="70" t="str">
        <f t="shared" si="92"/>
        <v>1449Heat PumpR38R11SlabDouble</v>
      </c>
      <c r="S713" s="134"/>
      <c r="T713" s="134"/>
      <c r="U713" s="134"/>
      <c r="V713" s="134"/>
      <c r="W713" s="134"/>
      <c r="X713" s="134"/>
      <c r="Y713" s="134"/>
      <c r="Z713" s="134"/>
      <c r="AA713" s="134"/>
      <c r="AB713" s="134"/>
      <c r="AC713" s="134"/>
      <c r="AD713" s="134"/>
      <c r="AE713" s="134"/>
      <c r="AF713" s="146"/>
      <c r="AG713" s="134"/>
      <c r="AH713" s="134"/>
      <c r="AI713" s="134"/>
      <c r="AJ713" s="134"/>
      <c r="AK713" s="134"/>
      <c r="AL713" s="134"/>
      <c r="AM713" s="146"/>
      <c r="AN713" s="132"/>
      <c r="AO713" s="132"/>
      <c r="AP713" s="132"/>
      <c r="AQ713" s="132"/>
      <c r="AR713" s="134"/>
      <c r="AS713" s="134"/>
      <c r="AT713" s="132"/>
      <c r="AU713" s="133"/>
      <c r="AV713" s="134"/>
    </row>
    <row r="714" spans="1:48">
      <c r="A714" s="74">
        <v>1450</v>
      </c>
      <c r="B714" s="146" t="str">
        <f>C714&amp;D714&amp;E714&amp;F714&amp;G714</f>
        <v>Heat PumpR38R11SlabBetter</v>
      </c>
      <c r="C714" s="134" t="s">
        <v>229</v>
      </c>
      <c r="D714" s="132" t="s">
        <v>331</v>
      </c>
      <c r="E714" s="147" t="s">
        <v>334</v>
      </c>
      <c r="F714" s="147" t="s">
        <v>379</v>
      </c>
      <c r="G714" s="166" t="s">
        <v>352</v>
      </c>
      <c r="H714" s="70">
        <f t="shared" si="89"/>
        <v>16313.753000000001</v>
      </c>
      <c r="I714" s="169">
        <f>IF(H714&gt;0,H714/SUM($H$265:$H$714),"")</f>
        <v>1.5303623453561222E-2</v>
      </c>
      <c r="J714" s="70" t="str">
        <f>A714&amp;B714</f>
        <v>1450Heat PumpR38R11SlabBetter</v>
      </c>
      <c r="S714" s="134"/>
      <c r="T714" s="134"/>
      <c r="U714" s="134"/>
      <c r="V714" s="134"/>
      <c r="W714" s="134"/>
      <c r="X714" s="134"/>
      <c r="Y714" s="134"/>
      <c r="Z714" s="134"/>
      <c r="AA714" s="134"/>
      <c r="AB714" s="134"/>
      <c r="AC714" s="134"/>
      <c r="AD714" s="134"/>
      <c r="AE714" s="134"/>
      <c r="AF714" s="146"/>
      <c r="AG714" s="134"/>
      <c r="AH714" s="134"/>
      <c r="AI714" s="134"/>
      <c r="AJ714" s="134"/>
      <c r="AK714" s="134"/>
      <c r="AL714" s="134"/>
      <c r="AM714" s="146"/>
      <c r="AN714" s="132"/>
      <c r="AO714" s="132"/>
      <c r="AP714" s="132"/>
      <c r="AQ714" s="132"/>
      <c r="AR714" s="134"/>
      <c r="AS714" s="134"/>
      <c r="AT714" s="132"/>
      <c r="AU714" s="133"/>
      <c r="AV714" s="134"/>
    </row>
    <row r="715" spans="1:48">
      <c r="S715" s="134"/>
      <c r="T715" s="134"/>
      <c r="U715" s="134"/>
      <c r="V715" s="134"/>
      <c r="W715" s="134"/>
      <c r="X715" s="134"/>
      <c r="Y715" s="134"/>
      <c r="Z715" s="134"/>
      <c r="AA715" s="134"/>
      <c r="AB715" s="134"/>
      <c r="AC715" s="134"/>
      <c r="AD715" s="134"/>
      <c r="AE715" s="134"/>
      <c r="AF715" s="146"/>
      <c r="AG715" s="134"/>
      <c r="AH715" s="134"/>
      <c r="AI715" s="134"/>
      <c r="AJ715" s="134"/>
      <c r="AK715" s="134"/>
      <c r="AL715" s="134"/>
      <c r="AM715" s="146"/>
      <c r="AN715" s="132"/>
      <c r="AO715" s="132"/>
      <c r="AP715" s="132"/>
      <c r="AQ715" s="132"/>
      <c r="AR715" s="134"/>
      <c r="AS715" s="134"/>
      <c r="AT715" s="132"/>
      <c r="AU715" s="133"/>
      <c r="AV715" s="134"/>
    </row>
    <row r="716" spans="1:48">
      <c r="S716" s="134"/>
      <c r="T716" s="134"/>
      <c r="U716" s="134"/>
      <c r="V716" s="134"/>
      <c r="W716" s="134"/>
      <c r="X716" s="134"/>
      <c r="Y716" s="134"/>
      <c r="Z716" s="134"/>
      <c r="AA716" s="134"/>
      <c r="AB716" s="134"/>
      <c r="AC716" s="134"/>
      <c r="AD716" s="134"/>
      <c r="AE716" s="134"/>
      <c r="AF716" s="146"/>
      <c r="AG716" s="134"/>
      <c r="AH716" s="134"/>
      <c r="AI716" s="134"/>
      <c r="AJ716" s="134"/>
      <c r="AK716" s="134"/>
      <c r="AL716" s="134"/>
      <c r="AM716" s="146"/>
      <c r="AN716" s="132"/>
      <c r="AO716" s="132"/>
      <c r="AP716" s="132"/>
      <c r="AQ716" s="132"/>
      <c r="AR716" s="134"/>
      <c r="AS716" s="134"/>
      <c r="AT716" s="132"/>
      <c r="AU716" s="133"/>
      <c r="AV716" s="134"/>
    </row>
    <row r="717" spans="1:48">
      <c r="S717" s="134"/>
      <c r="T717" s="134"/>
      <c r="U717" s="134"/>
      <c r="V717" s="134"/>
      <c r="W717" s="134"/>
      <c r="X717" s="134"/>
      <c r="Y717" s="134"/>
      <c r="Z717" s="134"/>
      <c r="AA717" s="134"/>
      <c r="AB717" s="134"/>
      <c r="AC717" s="134"/>
      <c r="AD717" s="134"/>
      <c r="AE717" s="134"/>
      <c r="AF717" s="146"/>
      <c r="AG717" s="134"/>
      <c r="AH717" s="134"/>
      <c r="AI717" s="134"/>
      <c r="AJ717" s="134"/>
      <c r="AK717" s="134"/>
      <c r="AL717" s="134"/>
      <c r="AM717" s="146"/>
      <c r="AN717" s="132"/>
      <c r="AO717" s="132"/>
      <c r="AP717" s="132"/>
      <c r="AQ717" s="132"/>
      <c r="AR717" s="134"/>
      <c r="AS717" s="134"/>
      <c r="AT717" s="132"/>
      <c r="AU717" s="133"/>
      <c r="AV717" s="134"/>
    </row>
    <row r="718" spans="1:48">
      <c r="S718" s="134"/>
      <c r="T718" s="134"/>
      <c r="U718" s="134"/>
      <c r="V718" s="134"/>
      <c r="W718" s="134"/>
      <c r="X718" s="134"/>
      <c r="Y718" s="134"/>
      <c r="Z718" s="134"/>
      <c r="AA718" s="134"/>
      <c r="AB718" s="134"/>
      <c r="AC718" s="134"/>
      <c r="AD718" s="134"/>
      <c r="AE718" s="134"/>
      <c r="AF718" s="146"/>
      <c r="AG718" s="134"/>
      <c r="AH718" s="134"/>
      <c r="AI718" s="134"/>
      <c r="AJ718" s="134"/>
      <c r="AK718" s="134"/>
      <c r="AL718" s="134"/>
      <c r="AM718" s="146"/>
      <c r="AN718" s="132"/>
      <c r="AO718" s="132"/>
      <c r="AP718" s="132"/>
      <c r="AQ718" s="132"/>
      <c r="AR718" s="134"/>
      <c r="AS718" s="134"/>
      <c r="AT718" s="132"/>
      <c r="AU718" s="133"/>
      <c r="AV718" s="134"/>
    </row>
    <row r="719" spans="1:48" s="116" customFormat="1">
      <c r="M719" s="117"/>
      <c r="S719" s="129"/>
      <c r="T719" s="129"/>
      <c r="U719" s="129"/>
      <c r="V719" s="129"/>
      <c r="W719" s="129"/>
      <c r="X719" s="129"/>
      <c r="Y719" s="129"/>
      <c r="Z719" s="129"/>
      <c r="AA719" s="129"/>
      <c r="AB719" s="129"/>
      <c r="AC719" s="129"/>
      <c r="AD719" s="129"/>
      <c r="AE719" s="129"/>
      <c r="AF719" s="140"/>
      <c r="AG719" s="129"/>
      <c r="AH719" s="129"/>
      <c r="AI719" s="129"/>
      <c r="AJ719" s="129"/>
      <c r="AK719" s="129"/>
      <c r="AL719" s="129"/>
      <c r="AM719" s="140"/>
      <c r="AN719" s="127"/>
      <c r="AO719" s="127"/>
      <c r="AP719" s="127"/>
      <c r="AQ719" s="127"/>
      <c r="AR719" s="129"/>
      <c r="AS719" s="129"/>
      <c r="AT719" s="127"/>
      <c r="AU719" s="128"/>
      <c r="AV719" s="129"/>
    </row>
    <row r="720" spans="1:48">
      <c r="S720" s="134"/>
      <c r="T720" s="134"/>
      <c r="U720" s="134"/>
      <c r="V720" s="134"/>
      <c r="W720" s="134"/>
      <c r="X720" s="134"/>
      <c r="Y720" s="134"/>
      <c r="Z720" s="134"/>
      <c r="AA720" s="134"/>
      <c r="AB720" s="134"/>
      <c r="AC720" s="134"/>
      <c r="AD720" s="134"/>
      <c r="AE720" s="134"/>
      <c r="AF720" s="146"/>
      <c r="AG720" s="134"/>
      <c r="AH720" s="134"/>
      <c r="AI720" s="134"/>
      <c r="AJ720" s="134"/>
      <c r="AK720" s="134"/>
      <c r="AL720" s="134"/>
      <c r="AM720" s="146"/>
      <c r="AN720" s="132"/>
      <c r="AO720" s="132"/>
      <c r="AP720" s="132"/>
      <c r="AQ720" s="132"/>
      <c r="AR720" s="134"/>
      <c r="AS720" s="134"/>
      <c r="AT720" s="132"/>
      <c r="AU720" s="133"/>
      <c r="AV720" s="134"/>
    </row>
    <row r="721" spans="1:48">
      <c r="D721" s="426" t="s">
        <v>659</v>
      </c>
      <c r="E721" s="427"/>
      <c r="F721" s="428"/>
      <c r="G721" s="426" t="s">
        <v>660</v>
      </c>
      <c r="H721" s="427"/>
      <c r="I721" s="428"/>
      <c r="S721" s="134"/>
      <c r="T721" s="134"/>
      <c r="U721" s="134"/>
      <c r="V721" s="134"/>
      <c r="W721" s="134"/>
      <c r="X721" s="134"/>
      <c r="Y721" s="134"/>
      <c r="Z721" s="134"/>
      <c r="AA721" s="134"/>
      <c r="AB721" s="134"/>
      <c r="AC721" s="134"/>
      <c r="AD721" s="134"/>
      <c r="AE721" s="134"/>
      <c r="AF721" s="146"/>
      <c r="AG721" s="134"/>
      <c r="AH721" s="134"/>
      <c r="AI721" s="134"/>
      <c r="AJ721" s="134"/>
      <c r="AK721" s="134"/>
      <c r="AL721" s="134"/>
      <c r="AM721" s="146"/>
      <c r="AN721" s="132"/>
      <c r="AO721" s="132"/>
      <c r="AP721" s="132"/>
      <c r="AQ721" s="132"/>
      <c r="AR721" s="134"/>
      <c r="AS721" s="134"/>
      <c r="AT721" s="132"/>
      <c r="AU721" s="133"/>
      <c r="AV721" s="134"/>
    </row>
    <row r="722" spans="1:48">
      <c r="C722" s="429" t="s">
        <v>661</v>
      </c>
      <c r="D722" s="431" t="s">
        <v>662</v>
      </c>
      <c r="E722" s="432"/>
      <c r="F722" s="433"/>
      <c r="G722" s="431" t="s">
        <v>662</v>
      </c>
      <c r="H722" s="432"/>
      <c r="I722" s="433"/>
      <c r="J722" s="417" t="s">
        <v>663</v>
      </c>
      <c r="S722" s="134"/>
      <c r="T722" s="134"/>
      <c r="U722" s="134"/>
      <c r="V722" s="134"/>
      <c r="W722" s="134"/>
      <c r="X722" s="134"/>
      <c r="Y722" s="134"/>
      <c r="Z722" s="134"/>
      <c r="AA722" s="134"/>
      <c r="AB722" s="134"/>
      <c r="AC722" s="134"/>
      <c r="AD722" s="134"/>
      <c r="AE722" s="134"/>
      <c r="AF722" s="146"/>
      <c r="AG722" s="134"/>
      <c r="AH722" s="134"/>
      <c r="AI722" s="134"/>
      <c r="AJ722" s="134"/>
      <c r="AK722" s="134"/>
      <c r="AL722" s="134"/>
      <c r="AM722" s="146"/>
      <c r="AN722" s="132"/>
      <c r="AO722" s="132"/>
      <c r="AP722" s="132"/>
      <c r="AQ722" s="132"/>
      <c r="AR722" s="134"/>
      <c r="AS722" s="134"/>
      <c r="AT722" s="132"/>
      <c r="AU722" s="133"/>
      <c r="AV722" s="134"/>
    </row>
    <row r="723" spans="1:48">
      <c r="C723" s="430"/>
      <c r="D723" s="171" t="s">
        <v>664</v>
      </c>
      <c r="E723" s="171" t="s">
        <v>377</v>
      </c>
      <c r="F723" s="171" t="s">
        <v>379</v>
      </c>
      <c r="G723" s="171" t="s">
        <v>664</v>
      </c>
      <c r="H723" s="171" t="s">
        <v>377</v>
      </c>
      <c r="I723" s="171" t="s">
        <v>379</v>
      </c>
      <c r="J723" s="417"/>
      <c r="M723" s="70"/>
      <c r="S723" s="134"/>
      <c r="T723" s="134"/>
      <c r="U723" s="134"/>
      <c r="V723" s="134"/>
      <c r="W723" s="134"/>
      <c r="X723" s="134"/>
      <c r="Y723" s="134"/>
      <c r="Z723" s="134"/>
      <c r="AA723" s="134"/>
      <c r="AB723" s="134"/>
      <c r="AC723" s="134"/>
      <c r="AD723" s="134"/>
      <c r="AE723" s="134"/>
      <c r="AF723" s="146"/>
      <c r="AG723" s="134"/>
      <c r="AH723" s="134"/>
      <c r="AI723" s="134"/>
      <c r="AJ723" s="134"/>
      <c r="AK723" s="134"/>
      <c r="AL723" s="134"/>
      <c r="AM723" s="146"/>
      <c r="AN723" s="132"/>
      <c r="AO723" s="132"/>
      <c r="AP723" s="132"/>
      <c r="AQ723" s="132"/>
      <c r="AR723" s="134"/>
      <c r="AS723" s="134"/>
      <c r="AT723" s="132"/>
      <c r="AU723" s="133"/>
      <c r="AV723" s="134"/>
    </row>
    <row r="724" spans="1:48">
      <c r="C724" s="172" t="s">
        <v>228</v>
      </c>
      <c r="D724" s="173">
        <f t="array" ref="D724">SUM(IF($B$755:$B$1283=$C724,IF($P$755:$P$1283=D$723,$D$755:$D$1283*$I$755:$I$1283,0),0))/SUM(IF($B$755:$B$1283=$C724,IF($P$755:$P$1283=D$723,$I$755:$I$1283,0),0))</f>
        <v>1243.0931437154061</v>
      </c>
      <c r="E724" s="173">
        <f t="array" ref="E724">SUM(IF($B$755:$B$1283=$C724,IF($P$755:$P$1283=E$723,$D$755:$D$1283*$I$755:$I$1283,0),0))/SUM(IF($B$755:$B$1283=$C724,IF($P$755:$P$1283=E$723,$I$755:$I$1283,0),0))</f>
        <v>2336.2240429347503</v>
      </c>
      <c r="F724" s="173">
        <f t="array" ref="F724">SUM(IF($B$755:$B$1283=$C724,IF($P$755:$P$1283=F$723,$D$755:$D$1283*$I$755:$I$1283,0),0))/SUM(IF($B$755:$B$1283=$C724,IF($P$755:$P$1283=F$723,$I$755:$I$1283,0),0))</f>
        <v>1459.3497338877937</v>
      </c>
      <c r="G724" s="174">
        <f t="array" ref="G724">SUM(IF($B$755:$B$1283=$C724,IF($P$755:$P$1283=D$723,$I$755:$I$1283,0),0))</f>
        <v>302830.2969999999</v>
      </c>
      <c r="H724" s="174">
        <f t="array" ref="H724">SUM(IF($B$755:$B$1283=$C724,IF($P$755:$P$1283=E$723,$I$755:$I$1283,0),0))</f>
        <v>59486.173999999992</v>
      </c>
      <c r="I724" s="174">
        <f t="array" ref="I724">SUM(IF($B$755:$B$1283=$C724,IF($P$755:$P$1283=F$723,$I$755:$I$1283,0),0))</f>
        <v>96546.492000000013</v>
      </c>
      <c r="J724" s="175">
        <f>SUM(G724:I724)</f>
        <v>458862.96299999993</v>
      </c>
      <c r="M724" s="70"/>
      <c r="S724" s="134"/>
      <c r="T724" s="134"/>
      <c r="U724" s="134"/>
      <c r="V724" s="134"/>
      <c r="W724" s="134"/>
      <c r="X724" s="134"/>
      <c r="Y724" s="134"/>
      <c r="Z724" s="134"/>
      <c r="AA724" s="134"/>
      <c r="AB724" s="134"/>
      <c r="AC724" s="134"/>
      <c r="AD724" s="134"/>
      <c r="AE724" s="134"/>
      <c r="AF724" s="146"/>
      <c r="AG724" s="134"/>
      <c r="AH724" s="134"/>
      <c r="AI724" s="134"/>
      <c r="AJ724" s="134"/>
      <c r="AK724" s="134"/>
      <c r="AL724" s="134"/>
      <c r="AM724" s="146"/>
      <c r="AN724" s="132"/>
      <c r="AO724" s="132"/>
      <c r="AP724" s="132"/>
      <c r="AQ724" s="132"/>
      <c r="AR724" s="134"/>
      <c r="AS724" s="134"/>
      <c r="AT724" s="132"/>
      <c r="AU724" s="133"/>
      <c r="AV724" s="134"/>
    </row>
    <row r="725" spans="1:48">
      <c r="C725" s="172" t="s">
        <v>227</v>
      </c>
      <c r="D725" s="173">
        <f t="array" ref="D725">SUM(IF($B$755:$B$1283=$C725,IF($P$755:$P$1283=D$723,$D$755:$D$1283*$I$755:$I$1283,0),0))/SUM(IF($B$755:$B$1283=$C725,IF($P$755:$P$1283=D$723,$I$755:$I$1283,0),0))</f>
        <v>1505.4235634234687</v>
      </c>
      <c r="E725" s="173">
        <f t="array" ref="E725">SUM(IF($B$755:$B$1283=$C725,IF($P$755:$P$1283=E$723,$D$755:$D$1283*$I$755:$I$1283,0),0))/SUM(IF($B$755:$B$1283=$C725,IF($P$755:$P$1283=E$723,$I$755:$I$1283,0),0))</f>
        <v>2125.7297965736266</v>
      </c>
      <c r="F725" s="173">
        <f t="array" ref="F725">SUM(IF($B$755:$B$1283=$C725,IF($P$755:$P$1283=F$723,$D$755:$D$1283*$I$755:$I$1283,0),0))/SUM(IF($B$755:$B$1283=$C725,IF($P$755:$P$1283=F$723,$I$755:$I$1283,0),0))</f>
        <v>1888.0278834156459</v>
      </c>
      <c r="G725" s="174">
        <f t="array" ref="G725">SUM(IF($B$755:$B$1283=$C725,IF($P$755:$P$1283=D$723,$I$755:$I$1283,0),0))</f>
        <v>131780.58799999999</v>
      </c>
      <c r="H725" s="174">
        <f t="array" ref="H725">SUM(IF($B$755:$B$1283=$C725,IF($P$755:$P$1283=E$723,$I$755:$I$1283,0),0))</f>
        <v>55107.01400000001</v>
      </c>
      <c r="I725" s="174">
        <f t="array" ref="I725">SUM(IF($B$755:$B$1283=$C725,IF($P$755:$P$1283=F$723,$I$755:$I$1283,0),0))</f>
        <v>13115.036</v>
      </c>
      <c r="J725" s="175">
        <f>SUM(G725:I725)</f>
        <v>200002.63800000001</v>
      </c>
      <c r="M725" s="70"/>
      <c r="S725" s="134"/>
      <c r="T725" s="134"/>
      <c r="U725" s="134"/>
      <c r="V725" s="134"/>
      <c r="W725" s="134"/>
      <c r="X725" s="134"/>
      <c r="Y725" s="134"/>
      <c r="Z725" s="134"/>
      <c r="AA725" s="134"/>
      <c r="AB725" s="134"/>
      <c r="AC725" s="134"/>
      <c r="AD725" s="134"/>
      <c r="AE725" s="134"/>
      <c r="AF725" s="146"/>
      <c r="AG725" s="134"/>
      <c r="AH725" s="134"/>
      <c r="AI725" s="134"/>
      <c r="AJ725" s="134"/>
      <c r="AK725" s="134"/>
      <c r="AL725" s="134"/>
      <c r="AM725" s="146"/>
      <c r="AN725" s="132"/>
      <c r="AO725" s="132"/>
      <c r="AP725" s="132"/>
      <c r="AQ725" s="132"/>
      <c r="AR725" s="134"/>
      <c r="AS725" s="134"/>
      <c r="AT725" s="132"/>
      <c r="AU725" s="133"/>
      <c r="AV725" s="134"/>
    </row>
    <row r="726" spans="1:48">
      <c r="C726" s="172" t="s">
        <v>229</v>
      </c>
      <c r="D726" s="173">
        <f t="array" ref="D726">SUM(IF($B$755:$B$1283=$C726,IF($P$755:$P$1283=D$723,$D$755:$D$1283*$I$755:$I$1283,0),0))/SUM(IF($B$755:$B$1283=$C726,IF($P$755:$P$1283=D$723,$I$755:$I$1283,0),0))</f>
        <v>1894.2045818203212</v>
      </c>
      <c r="E726" s="173">
        <f t="array" ref="E726">SUM(IF($B$755:$B$1283=$C726,IF($P$755:$P$1283=E$723,$D$755:$D$1283*$I$755:$I$1283,0),0))/SUM(IF($B$755:$B$1283=$C726,IF($P$755:$P$1283=E$723,$I$755:$I$1283,0),0))</f>
        <v>3086.4645211733578</v>
      </c>
      <c r="F726" s="173">
        <f t="array" ref="F726">SUM(IF($B$755:$B$1283=$C726,IF($P$755:$P$1283=F$723,$D$755:$D$1283*$I$755:$I$1283,0),0))/SUM(IF($B$755:$B$1283=$C726,IF($P$755:$P$1283=F$723,$I$755:$I$1283,0),0))</f>
        <v>2074.91488439247</v>
      </c>
      <c r="G726" s="174">
        <f t="array" ref="G726">SUM(IF($B$755:$B$1283=$C726,IF($P$755:$P$1283=D$723,$I$755:$I$1283,0),0))</f>
        <v>318296.89900000015</v>
      </c>
      <c r="H726" s="174">
        <f t="array" ref="H726">SUM(IF($B$755:$B$1283=$C726,IF($P$755:$P$1283=E$723,$I$755:$I$1283,0),0))</f>
        <v>114009.95699999998</v>
      </c>
      <c r="I726" s="174">
        <f t="array" ref="I726">SUM(IF($B$755:$B$1283=$C726,IF($P$755:$P$1283=F$723,$I$755:$I$1283,0),0))</f>
        <v>28501.647000000001</v>
      </c>
      <c r="J726" s="175">
        <f>SUM(G726:I726)</f>
        <v>460808.50300000014</v>
      </c>
      <c r="M726" s="70"/>
      <c r="S726" s="134"/>
      <c r="T726" s="134"/>
      <c r="U726" s="134"/>
      <c r="V726" s="134"/>
      <c r="W726" s="134"/>
      <c r="X726" s="134"/>
      <c r="Y726" s="134"/>
      <c r="Z726" s="134"/>
      <c r="AA726" s="134"/>
      <c r="AB726" s="134"/>
      <c r="AC726" s="134"/>
      <c r="AD726" s="134"/>
      <c r="AE726" s="134"/>
      <c r="AF726" s="146"/>
      <c r="AG726" s="134"/>
      <c r="AH726" s="134"/>
      <c r="AI726" s="134"/>
      <c r="AJ726" s="134"/>
      <c r="AK726" s="134"/>
      <c r="AL726" s="134"/>
      <c r="AM726" s="146"/>
      <c r="AN726" s="132"/>
      <c r="AO726" s="132"/>
      <c r="AP726" s="132"/>
      <c r="AQ726" s="132"/>
      <c r="AR726" s="134"/>
      <c r="AS726" s="134"/>
      <c r="AT726" s="132"/>
      <c r="AU726" s="133"/>
      <c r="AV726" s="134"/>
    </row>
    <row r="727" spans="1:48">
      <c r="M727" s="70"/>
      <c r="S727" s="134"/>
      <c r="T727" s="134"/>
      <c r="U727" s="134"/>
      <c r="V727" s="134"/>
      <c r="W727" s="134"/>
      <c r="X727" s="134"/>
      <c r="Y727" s="134"/>
      <c r="Z727" s="134"/>
      <c r="AA727" s="134"/>
      <c r="AB727" s="134"/>
      <c r="AC727" s="134"/>
      <c r="AD727" s="134"/>
      <c r="AE727" s="134"/>
      <c r="AF727" s="146"/>
      <c r="AG727" s="134"/>
      <c r="AH727" s="134"/>
      <c r="AI727" s="134"/>
      <c r="AJ727" s="134"/>
      <c r="AK727" s="134"/>
      <c r="AL727" s="134"/>
      <c r="AM727" s="146"/>
      <c r="AN727" s="132"/>
      <c r="AO727" s="132"/>
      <c r="AP727" s="132"/>
      <c r="AQ727" s="132"/>
      <c r="AR727" s="134"/>
      <c r="AS727" s="134"/>
      <c r="AT727" s="132"/>
      <c r="AU727" s="133"/>
      <c r="AV727" s="134"/>
    </row>
    <row r="728" spans="1:48">
      <c r="M728" s="70"/>
      <c r="S728" s="134"/>
      <c r="T728" s="134"/>
      <c r="U728" s="134"/>
      <c r="V728" s="134"/>
      <c r="W728" s="134"/>
      <c r="X728" s="134"/>
      <c r="Y728" s="134"/>
      <c r="Z728" s="134"/>
      <c r="AA728" s="134"/>
      <c r="AB728" s="134"/>
      <c r="AC728" s="134"/>
      <c r="AD728" s="134"/>
      <c r="AE728" s="134"/>
      <c r="AF728" s="146"/>
      <c r="AG728" s="134"/>
      <c r="AH728" s="134"/>
      <c r="AI728" s="134"/>
      <c r="AJ728" s="134"/>
      <c r="AK728" s="134"/>
      <c r="AL728" s="134"/>
      <c r="AM728" s="146"/>
      <c r="AN728" s="132"/>
      <c r="AO728" s="132"/>
      <c r="AP728" s="132"/>
      <c r="AQ728" s="132"/>
      <c r="AR728" s="134"/>
      <c r="AS728" s="134"/>
      <c r="AT728" s="132"/>
      <c r="AU728" s="133"/>
      <c r="AV728" s="134"/>
    </row>
    <row r="729" spans="1:48">
      <c r="S729" s="134"/>
      <c r="T729" s="134"/>
      <c r="U729" s="134"/>
      <c r="V729" s="134"/>
      <c r="W729" s="134"/>
      <c r="X729" s="134"/>
      <c r="Y729" s="134"/>
      <c r="Z729" s="134"/>
      <c r="AA729" s="134"/>
      <c r="AB729" s="134"/>
      <c r="AC729" s="134"/>
      <c r="AD729" s="134"/>
      <c r="AE729" s="134"/>
      <c r="AF729" s="146"/>
      <c r="AG729" s="134"/>
      <c r="AH729" s="134"/>
      <c r="AI729" s="134"/>
      <c r="AJ729" s="134"/>
      <c r="AK729" s="134"/>
      <c r="AL729" s="134"/>
      <c r="AM729" s="146"/>
      <c r="AN729" s="132"/>
      <c r="AO729" s="132"/>
      <c r="AP729" s="132"/>
      <c r="AQ729" s="132"/>
      <c r="AR729" s="134"/>
      <c r="AS729" s="134"/>
      <c r="AT729" s="132"/>
      <c r="AU729" s="133"/>
      <c r="AV729" s="134"/>
    </row>
    <row r="730" spans="1:48">
      <c r="B730" s="420" t="s">
        <v>374</v>
      </c>
      <c r="C730" s="420" t="s">
        <v>665</v>
      </c>
      <c r="D730" s="422" t="s">
        <v>363</v>
      </c>
      <c r="E730" s="422"/>
      <c r="S730" s="134"/>
      <c r="T730" s="134"/>
      <c r="U730" s="134"/>
      <c r="V730" s="134"/>
      <c r="W730" s="134"/>
      <c r="X730" s="134"/>
      <c r="Y730" s="134"/>
      <c r="Z730" s="134"/>
      <c r="AA730" s="134"/>
      <c r="AB730" s="134"/>
      <c r="AC730" s="134"/>
      <c r="AD730" s="134"/>
      <c r="AE730" s="134"/>
      <c r="AF730" s="146"/>
      <c r="AG730" s="134"/>
      <c r="AH730" s="134"/>
      <c r="AI730" s="134"/>
      <c r="AJ730" s="134"/>
      <c r="AK730" s="134"/>
      <c r="AL730" s="134"/>
      <c r="AM730" s="146"/>
      <c r="AN730" s="132"/>
      <c r="AO730" s="132"/>
      <c r="AP730" s="132"/>
      <c r="AQ730" s="132"/>
      <c r="AR730" s="134"/>
      <c r="AS730" s="134"/>
      <c r="AT730" s="132"/>
      <c r="AU730" s="133"/>
      <c r="AV730" s="134"/>
    </row>
    <row r="731" spans="1:48">
      <c r="B731" s="421"/>
      <c r="C731" s="421"/>
      <c r="D731" s="70" t="s">
        <v>663</v>
      </c>
      <c r="E731" s="70" t="s">
        <v>666</v>
      </c>
      <c r="S731" s="134"/>
      <c r="T731" s="134"/>
      <c r="U731" s="134"/>
      <c r="V731" s="134"/>
      <c r="W731" s="134"/>
      <c r="X731" s="134"/>
      <c r="Y731" s="134"/>
      <c r="Z731" s="134"/>
      <c r="AA731" s="134"/>
      <c r="AB731" s="134"/>
      <c r="AC731" s="134"/>
      <c r="AD731" s="134"/>
      <c r="AE731" s="134"/>
      <c r="AF731" s="146"/>
      <c r="AG731" s="134"/>
      <c r="AH731" s="134"/>
      <c r="AI731" s="134"/>
      <c r="AJ731" s="134"/>
      <c r="AK731" s="134"/>
      <c r="AL731" s="134"/>
      <c r="AM731" s="146"/>
      <c r="AN731" s="132"/>
      <c r="AO731" s="132"/>
      <c r="AP731" s="132"/>
      <c r="AQ731" s="132"/>
      <c r="AR731" s="134"/>
      <c r="AS731" s="134"/>
      <c r="AT731" s="132"/>
      <c r="AU731" s="133"/>
      <c r="AV731" s="134"/>
    </row>
    <row r="732" spans="1:48">
      <c r="A732" s="176">
        <v>1344</v>
      </c>
      <c r="B732" s="416" t="s">
        <v>228</v>
      </c>
      <c r="C732" s="177" t="s">
        <v>667</v>
      </c>
      <c r="D732" s="178">
        <f>G724/SUM(G724:I724)</f>
        <v>0.65995802977892537</v>
      </c>
      <c r="E732" s="179">
        <f>D732/SUM(D732,D734)</f>
        <v>1</v>
      </c>
      <c r="F732" s="180">
        <f>SUMPRODUCT(D732:D736,$A$732:$A$736)</f>
        <v>1542.503774243379</v>
      </c>
      <c r="G732" s="180">
        <f>SUMPRODUCT(E732:E736,$A$732:$A$736)</f>
        <v>1344</v>
      </c>
      <c r="S732" s="134"/>
      <c r="T732" s="134"/>
      <c r="U732" s="134"/>
      <c r="V732" s="134"/>
      <c r="W732" s="134"/>
      <c r="X732" s="134"/>
      <c r="Y732" s="134"/>
      <c r="Z732" s="134"/>
      <c r="AA732" s="134"/>
      <c r="AB732" s="134"/>
      <c r="AC732" s="134"/>
      <c r="AD732" s="134"/>
      <c r="AE732" s="134"/>
      <c r="AF732" s="146"/>
      <c r="AG732" s="134"/>
      <c r="AH732" s="134"/>
      <c r="AI732" s="134"/>
      <c r="AJ732" s="134"/>
      <c r="AK732" s="134"/>
      <c r="AL732" s="134"/>
      <c r="AM732" s="146"/>
      <c r="AN732" s="132"/>
      <c r="AO732" s="132"/>
      <c r="AP732" s="132"/>
      <c r="AQ732" s="132"/>
      <c r="AR732" s="134"/>
      <c r="AS732" s="134"/>
      <c r="AT732" s="132"/>
      <c r="AU732" s="133"/>
      <c r="AV732" s="134"/>
    </row>
    <row r="733" spans="1:48">
      <c r="A733" s="176">
        <v>1344</v>
      </c>
      <c r="B733" s="417"/>
      <c r="C733" s="181" t="s">
        <v>668</v>
      </c>
      <c r="D733" s="182">
        <f>I724/SUM(G724:I724)*(2200-F724)/(2200-1344)</f>
        <v>0.18205093415966236</v>
      </c>
      <c r="E733" s="183">
        <v>0</v>
      </c>
      <c r="F733" s="74"/>
      <c r="G733" s="74"/>
      <c r="S733" s="134"/>
      <c r="T733" s="134"/>
      <c r="U733" s="134"/>
      <c r="V733" s="134"/>
      <c r="W733" s="134"/>
      <c r="X733" s="134"/>
      <c r="Y733" s="134"/>
      <c r="Z733" s="134"/>
      <c r="AA733" s="134"/>
      <c r="AB733" s="134"/>
      <c r="AC733" s="134"/>
      <c r="AD733" s="134"/>
      <c r="AE733" s="134"/>
      <c r="AF733" s="146"/>
      <c r="AG733" s="134"/>
      <c r="AH733" s="134"/>
      <c r="AI733" s="134"/>
      <c r="AJ733" s="134"/>
      <c r="AK733" s="134"/>
      <c r="AL733" s="134"/>
      <c r="AM733" s="146"/>
      <c r="AN733" s="132"/>
      <c r="AO733" s="132"/>
      <c r="AP733" s="132"/>
      <c r="AQ733" s="132"/>
      <c r="AR733" s="134"/>
      <c r="AS733" s="134"/>
      <c r="AT733" s="132"/>
      <c r="AU733" s="133"/>
      <c r="AV733" s="134"/>
    </row>
    <row r="734" spans="1:48">
      <c r="A734" s="176">
        <v>2200</v>
      </c>
      <c r="B734" s="417"/>
      <c r="C734" s="181" t="s">
        <v>669</v>
      </c>
      <c r="D734" s="182">
        <v>0</v>
      </c>
      <c r="E734" s="183">
        <f>D734/SUM(D734,D732)</f>
        <v>0</v>
      </c>
      <c r="F734" s="74"/>
      <c r="G734" s="74"/>
      <c r="S734" s="134"/>
      <c r="T734" s="134"/>
      <c r="U734" s="134"/>
      <c r="V734" s="134"/>
      <c r="W734" s="134"/>
      <c r="X734" s="134"/>
      <c r="Y734" s="134"/>
      <c r="Z734" s="134"/>
      <c r="AA734" s="134"/>
      <c r="AB734" s="134"/>
      <c r="AC734" s="134"/>
      <c r="AD734" s="134"/>
      <c r="AE734" s="134"/>
      <c r="AF734" s="146"/>
      <c r="AG734" s="134"/>
      <c r="AH734" s="134"/>
      <c r="AI734" s="134"/>
      <c r="AJ734" s="134"/>
      <c r="AK734" s="134"/>
      <c r="AL734" s="134"/>
      <c r="AM734" s="146"/>
      <c r="AN734" s="132"/>
      <c r="AO734" s="132"/>
      <c r="AP734" s="132"/>
      <c r="AQ734" s="132"/>
      <c r="AR734" s="134"/>
      <c r="AS734" s="134"/>
      <c r="AT734" s="132"/>
      <c r="AU734" s="133"/>
      <c r="AV734" s="134"/>
    </row>
    <row r="735" spans="1:48">
      <c r="A735" s="176">
        <v>2200</v>
      </c>
      <c r="B735" s="417"/>
      <c r="C735" s="181" t="s">
        <v>670</v>
      </c>
      <c r="D735" s="182">
        <f>I724/SUM(G724:I724)*(F724-1344)/(2200-1344)</f>
        <v>2.8352824227784644E-2</v>
      </c>
      <c r="E735" s="183">
        <v>0</v>
      </c>
      <c r="F735" s="74"/>
      <c r="G735" s="74"/>
      <c r="S735" s="134"/>
      <c r="T735" s="134"/>
      <c r="U735" s="134"/>
      <c r="V735" s="134"/>
      <c r="W735" s="134"/>
      <c r="X735" s="134"/>
      <c r="Y735" s="134"/>
      <c r="Z735" s="134"/>
      <c r="AA735" s="134"/>
      <c r="AB735" s="134"/>
      <c r="AC735" s="134"/>
      <c r="AD735" s="134"/>
      <c r="AE735" s="134"/>
      <c r="AF735" s="146"/>
      <c r="AG735" s="134"/>
      <c r="AH735" s="134"/>
      <c r="AI735" s="134"/>
      <c r="AJ735" s="134"/>
      <c r="AK735" s="134"/>
      <c r="AL735" s="134"/>
      <c r="AM735" s="146"/>
      <c r="AN735" s="132"/>
      <c r="AO735" s="132"/>
      <c r="AP735" s="132"/>
      <c r="AQ735" s="132"/>
      <c r="AR735" s="134"/>
      <c r="AS735" s="134"/>
      <c r="AT735" s="132"/>
      <c r="AU735" s="133"/>
      <c r="AV735" s="134"/>
    </row>
    <row r="736" spans="1:48">
      <c r="A736" s="176">
        <v>2688</v>
      </c>
      <c r="B736" s="418"/>
      <c r="C736" s="184" t="s">
        <v>671</v>
      </c>
      <c r="D736" s="185">
        <f>H724/SUM(G724:I724)</f>
        <v>0.12963821183362756</v>
      </c>
      <c r="E736" s="186">
        <v>0</v>
      </c>
      <c r="F736" s="74"/>
      <c r="G736" s="74"/>
      <c r="S736" s="134"/>
      <c r="T736" s="134"/>
      <c r="U736" s="134"/>
      <c r="V736" s="134"/>
      <c r="W736" s="134"/>
      <c r="X736" s="134"/>
      <c r="Y736" s="134"/>
      <c r="Z736" s="134"/>
      <c r="AA736" s="134"/>
      <c r="AB736" s="134"/>
      <c r="AC736" s="134"/>
      <c r="AD736" s="134"/>
      <c r="AE736" s="134"/>
      <c r="AF736" s="146"/>
      <c r="AG736" s="134"/>
      <c r="AH736" s="134"/>
      <c r="AI736" s="134"/>
      <c r="AJ736" s="134"/>
      <c r="AK736" s="134"/>
      <c r="AL736" s="134"/>
      <c r="AM736" s="146"/>
      <c r="AN736" s="132"/>
      <c r="AO736" s="132"/>
      <c r="AP736" s="132"/>
      <c r="AQ736" s="132"/>
      <c r="AR736" s="134"/>
      <c r="AS736" s="134"/>
      <c r="AT736" s="132"/>
      <c r="AU736" s="133"/>
      <c r="AV736" s="134"/>
    </row>
    <row r="737" spans="2:48">
      <c r="B737" s="416" t="s">
        <v>227</v>
      </c>
      <c r="C737" s="181" t="s">
        <v>667</v>
      </c>
      <c r="D737" s="182">
        <f>G725/SUM(G725:I725)*(2200-D725)/(2200-1344)</f>
        <v>0.53464067719577613</v>
      </c>
      <c r="E737" s="183">
        <f>D737/SUM(D737,D739)</f>
        <v>0.81142107076697578</v>
      </c>
      <c r="F737" s="180">
        <f>SUMPRODUCT(D737:D741,$A$732:$A$736)</f>
        <v>1856.3495630942627</v>
      </c>
      <c r="G737" s="180">
        <f>SUMPRODUCT(E737:E741,$A$732:$A$736)</f>
        <v>1505.4235634234687</v>
      </c>
      <c r="S737" s="134"/>
      <c r="T737" s="134"/>
      <c r="U737" s="134"/>
      <c r="V737" s="134"/>
      <c r="W737" s="134"/>
      <c r="X737" s="134"/>
      <c r="Y737" s="134"/>
      <c r="Z737" s="134"/>
      <c r="AA737" s="134"/>
      <c r="AB737" s="134"/>
      <c r="AC737" s="134"/>
      <c r="AD737" s="134"/>
      <c r="AE737" s="134"/>
      <c r="AF737" s="146"/>
      <c r="AG737" s="134"/>
      <c r="AH737" s="134"/>
      <c r="AI737" s="134"/>
      <c r="AJ737" s="134"/>
      <c r="AK737" s="134"/>
      <c r="AL737" s="134"/>
      <c r="AM737" s="146"/>
      <c r="AN737" s="132"/>
      <c r="AO737" s="132"/>
      <c r="AP737" s="132"/>
      <c r="AQ737" s="132"/>
      <c r="AR737" s="134"/>
      <c r="AS737" s="134"/>
      <c r="AT737" s="132"/>
      <c r="AU737" s="133"/>
      <c r="AV737" s="134"/>
    </row>
    <row r="738" spans="2:48">
      <c r="B738" s="417"/>
      <c r="C738" s="181" t="s">
        <v>668</v>
      </c>
      <c r="D738" s="182">
        <f>I725/SUM(G725:I725)*(2200-F725)/(2200-1344)</f>
        <v>2.389878255543193E-2</v>
      </c>
      <c r="E738" s="183">
        <v>0</v>
      </c>
      <c r="F738" s="74"/>
      <c r="G738" s="74"/>
      <c r="S738" s="134"/>
      <c r="T738" s="134"/>
      <c r="U738" s="134"/>
      <c r="V738" s="134"/>
      <c r="W738" s="134"/>
      <c r="X738" s="134"/>
      <c r="Y738" s="134"/>
      <c r="Z738" s="134"/>
      <c r="AA738" s="134"/>
      <c r="AB738" s="134"/>
      <c r="AC738" s="134"/>
      <c r="AD738" s="134"/>
      <c r="AE738" s="134"/>
      <c r="AF738" s="146"/>
      <c r="AG738" s="134"/>
      <c r="AH738" s="134"/>
      <c r="AI738" s="134"/>
      <c r="AJ738" s="134"/>
      <c r="AK738" s="134"/>
      <c r="AL738" s="134"/>
      <c r="AM738" s="146"/>
      <c r="AN738" s="132"/>
      <c r="AO738" s="132"/>
      <c r="AP738" s="132"/>
      <c r="AQ738" s="132"/>
      <c r="AR738" s="134"/>
      <c r="AS738" s="134"/>
      <c r="AT738" s="132"/>
      <c r="AU738" s="133"/>
      <c r="AV738" s="134"/>
    </row>
    <row r="739" spans="2:48">
      <c r="B739" s="417"/>
      <c r="C739" s="181" t="s">
        <v>669</v>
      </c>
      <c r="D739" s="182">
        <f>G725/SUM(G725:I725)*(D725-1344)/(2200-1344)</f>
        <v>0.12425357198907706</v>
      </c>
      <c r="E739" s="183">
        <f>D739/SUM(D739,D737)</f>
        <v>0.18857892923302425</v>
      </c>
      <c r="F739" s="74"/>
      <c r="G739" s="74"/>
      <c r="S739" s="134"/>
      <c r="T739" s="134"/>
      <c r="U739" s="134"/>
      <c r="V739" s="134"/>
      <c r="W739" s="134"/>
      <c r="X739" s="134"/>
      <c r="Y739" s="134"/>
      <c r="Z739" s="134"/>
      <c r="AA739" s="134"/>
      <c r="AB739" s="134"/>
      <c r="AC739" s="134"/>
      <c r="AD739" s="134"/>
      <c r="AE739" s="134"/>
      <c r="AF739" s="146"/>
      <c r="AG739" s="134"/>
      <c r="AH739" s="134"/>
      <c r="AI739" s="134"/>
      <c r="AJ739" s="134"/>
      <c r="AK739" s="134"/>
      <c r="AL739" s="134"/>
      <c r="AM739" s="146"/>
      <c r="AN739" s="132"/>
      <c r="AO739" s="132"/>
      <c r="AP739" s="132"/>
      <c r="AQ739" s="132"/>
      <c r="AR739" s="134"/>
      <c r="AS739" s="134"/>
      <c r="AT739" s="132"/>
      <c r="AU739" s="133"/>
      <c r="AV739" s="134"/>
    </row>
    <row r="740" spans="2:48">
      <c r="B740" s="417"/>
      <c r="C740" s="181" t="s">
        <v>670</v>
      </c>
      <c r="D740" s="182">
        <f>I725/SUM(G725:I725)*(F725-1344)/(2200-1344)</f>
        <v>4.1675532519352229E-2</v>
      </c>
      <c r="E740" s="183">
        <v>0</v>
      </c>
      <c r="F740" s="74"/>
      <c r="G740" s="74"/>
      <c r="S740" s="134"/>
      <c r="T740" s="134"/>
      <c r="U740" s="134"/>
      <c r="V740" s="134"/>
      <c r="W740" s="134"/>
      <c r="X740" s="134"/>
      <c r="Y740" s="134"/>
      <c r="Z740" s="134"/>
      <c r="AA740" s="134"/>
      <c r="AB740" s="134"/>
      <c r="AC740" s="134"/>
      <c r="AD740" s="134"/>
      <c r="AE740" s="134"/>
      <c r="AF740" s="146"/>
      <c r="AG740" s="134"/>
      <c r="AH740" s="134"/>
      <c r="AI740" s="134"/>
      <c r="AJ740" s="134"/>
      <c r="AK740" s="134"/>
      <c r="AL740" s="134"/>
      <c r="AM740" s="146"/>
      <c r="AN740" s="132"/>
      <c r="AO740" s="132"/>
      <c r="AP740" s="132"/>
      <c r="AQ740" s="132"/>
      <c r="AR740" s="134"/>
      <c r="AS740" s="134"/>
      <c r="AT740" s="132"/>
      <c r="AU740" s="133"/>
      <c r="AV740" s="134"/>
    </row>
    <row r="741" spans="2:48">
      <c r="B741" s="418"/>
      <c r="C741" s="181" t="s">
        <v>671</v>
      </c>
      <c r="D741" s="182">
        <f>H725/SUM(G725:I725)</f>
        <v>0.27553143574036265</v>
      </c>
      <c r="E741" s="183">
        <v>0</v>
      </c>
      <c r="F741" s="74"/>
      <c r="G741" s="74"/>
      <c r="S741" s="134"/>
      <c r="T741" s="134"/>
      <c r="U741" s="134"/>
      <c r="V741" s="134"/>
      <c r="W741" s="134"/>
      <c r="X741" s="134"/>
      <c r="Y741" s="134"/>
      <c r="Z741" s="134"/>
      <c r="AA741" s="134"/>
      <c r="AB741" s="134"/>
      <c r="AC741" s="134"/>
      <c r="AD741" s="134"/>
      <c r="AE741" s="134"/>
      <c r="AF741" s="146"/>
      <c r="AG741" s="134"/>
      <c r="AH741" s="134"/>
      <c r="AI741" s="134"/>
      <c r="AJ741" s="134"/>
      <c r="AK741" s="134"/>
      <c r="AL741" s="134"/>
      <c r="AM741" s="146"/>
      <c r="AN741" s="132"/>
      <c r="AO741" s="132"/>
      <c r="AP741" s="132"/>
      <c r="AQ741" s="132"/>
      <c r="AR741" s="134"/>
      <c r="AS741" s="134"/>
      <c r="AT741" s="132"/>
      <c r="AU741" s="133"/>
      <c r="AV741" s="134"/>
    </row>
    <row r="742" spans="2:48">
      <c r="B742" s="416" t="s">
        <v>229</v>
      </c>
      <c r="C742" s="177" t="s">
        <v>667</v>
      </c>
      <c r="D742" s="178">
        <f>G726/SUM(G726:I726)*(2200-D726)/(2200-1344)</f>
        <v>0.24675680170923611</v>
      </c>
      <c r="E742" s="179">
        <f>D742/SUM(D742,D744)</f>
        <v>0.3572376380603724</v>
      </c>
      <c r="F742" s="180">
        <f>SUMPRODUCT(D742:D746,$A$732:$A$736)</f>
        <v>2101.776972789497</v>
      </c>
      <c r="G742" s="180">
        <f>SUMPRODUCT(E742:E746,$A$732:$A$736)</f>
        <v>1894.2045818203212</v>
      </c>
      <c r="S742" s="134"/>
      <c r="T742" s="134"/>
      <c r="U742" s="134"/>
      <c r="V742" s="134"/>
      <c r="W742" s="134"/>
      <c r="X742" s="134"/>
      <c r="Y742" s="134"/>
      <c r="Z742" s="134"/>
      <c r="AA742" s="134"/>
      <c r="AB742" s="134"/>
      <c r="AC742" s="134"/>
      <c r="AD742" s="134"/>
      <c r="AE742" s="134"/>
      <c r="AF742" s="146"/>
      <c r="AG742" s="134"/>
      <c r="AH742" s="134"/>
      <c r="AI742" s="134"/>
      <c r="AJ742" s="134"/>
      <c r="AK742" s="134"/>
      <c r="AL742" s="134"/>
      <c r="AM742" s="146"/>
      <c r="AN742" s="132"/>
      <c r="AO742" s="132"/>
      <c r="AP742" s="132"/>
      <c r="AQ742" s="132"/>
      <c r="AR742" s="134"/>
      <c r="AS742" s="134"/>
      <c r="AT742" s="132"/>
      <c r="AU742" s="133"/>
      <c r="AV742" s="134"/>
    </row>
    <row r="743" spans="2:48">
      <c r="B743" s="417"/>
      <c r="C743" s="181" t="s">
        <v>668</v>
      </c>
      <c r="D743" s="182">
        <f>I726/SUM(G726:I726)*(2200-F726)/(2200-1344)</f>
        <v>9.0381874090832409E-3</v>
      </c>
      <c r="E743" s="183">
        <v>0</v>
      </c>
      <c r="F743" s="74"/>
      <c r="G743" s="74"/>
      <c r="S743" s="134"/>
      <c r="T743" s="134"/>
      <c r="U743" s="134"/>
      <c r="V743" s="134"/>
      <c r="W743" s="134"/>
      <c r="X743" s="134"/>
      <c r="Y743" s="134"/>
      <c r="Z743" s="134"/>
      <c r="AA743" s="134"/>
      <c r="AB743" s="134"/>
      <c r="AC743" s="134"/>
      <c r="AD743" s="134"/>
      <c r="AE743" s="134"/>
      <c r="AF743" s="146"/>
      <c r="AG743" s="134"/>
      <c r="AH743" s="134"/>
      <c r="AI743" s="134"/>
      <c r="AJ743" s="134"/>
      <c r="AK743" s="134"/>
      <c r="AL743" s="134"/>
      <c r="AM743" s="146"/>
      <c r="AN743" s="132"/>
      <c r="AO743" s="132"/>
      <c r="AP743" s="132"/>
      <c r="AQ743" s="132"/>
      <c r="AR743" s="134"/>
      <c r="AS743" s="134"/>
      <c r="AT743" s="132"/>
      <c r="AU743" s="133"/>
      <c r="AV743" s="134"/>
    </row>
    <row r="744" spans="2:48">
      <c r="B744" s="417"/>
      <c r="C744" s="181" t="s">
        <v>669</v>
      </c>
      <c r="D744" s="182">
        <f>G726/SUM(G726:I726)*(D726-1344)/(2200-1344)</f>
        <v>0.44397893109038206</v>
      </c>
      <c r="E744" s="183">
        <f>D744/SUM(D744,D742)</f>
        <v>0.64276236193962755</v>
      </c>
      <c r="S744" s="134"/>
      <c r="T744" s="134"/>
      <c r="U744" s="134"/>
      <c r="V744" s="134"/>
      <c r="W744" s="134"/>
      <c r="X744" s="134"/>
      <c r="Y744" s="134"/>
      <c r="Z744" s="134"/>
      <c r="AA744" s="134"/>
      <c r="AB744" s="134"/>
      <c r="AC744" s="134"/>
      <c r="AD744" s="134"/>
      <c r="AE744" s="134"/>
      <c r="AF744" s="146"/>
      <c r="AG744" s="134"/>
      <c r="AH744" s="134"/>
      <c r="AI744" s="134"/>
      <c r="AJ744" s="134"/>
      <c r="AK744" s="134"/>
      <c r="AL744" s="134"/>
      <c r="AM744" s="146"/>
      <c r="AN744" s="132"/>
      <c r="AO744" s="132"/>
      <c r="AP744" s="132"/>
      <c r="AQ744" s="132"/>
      <c r="AR744" s="134"/>
      <c r="AS744" s="134"/>
      <c r="AT744" s="132"/>
      <c r="AU744" s="133"/>
      <c r="AV744" s="134"/>
    </row>
    <row r="745" spans="2:48">
      <c r="B745" s="417"/>
      <c r="C745" s="181" t="s">
        <v>670</v>
      </c>
      <c r="D745" s="182">
        <f>I726/SUM(G726:I726)*(F726-1344)/(2200-1344)</f>
        <v>5.2813203818391552E-2</v>
      </c>
      <c r="E745" s="183">
        <v>0</v>
      </c>
      <c r="S745" s="134"/>
      <c r="T745" s="134"/>
      <c r="U745" s="134"/>
      <c r="V745" s="134"/>
      <c r="W745" s="134"/>
      <c r="X745" s="134"/>
      <c r="Y745" s="134"/>
      <c r="Z745" s="134"/>
      <c r="AA745" s="134"/>
      <c r="AB745" s="134"/>
      <c r="AC745" s="134"/>
      <c r="AD745" s="134"/>
      <c r="AE745" s="134"/>
      <c r="AF745" s="146"/>
      <c r="AG745" s="134"/>
      <c r="AH745" s="134"/>
      <c r="AI745" s="134"/>
      <c r="AJ745" s="134"/>
      <c r="AK745" s="134"/>
      <c r="AL745" s="134"/>
      <c r="AM745" s="146"/>
      <c r="AN745" s="132"/>
      <c r="AO745" s="132"/>
      <c r="AP745" s="132"/>
      <c r="AQ745" s="132"/>
      <c r="AR745" s="134"/>
      <c r="AS745" s="134"/>
      <c r="AT745" s="132"/>
      <c r="AU745" s="133"/>
      <c r="AV745" s="134"/>
    </row>
    <row r="746" spans="2:48">
      <c r="B746" s="418"/>
      <c r="C746" s="184" t="s">
        <v>671</v>
      </c>
      <c r="D746" s="185">
        <f>H726/SUM(G726:I726)</f>
        <v>0.24741287597290701</v>
      </c>
      <c r="E746" s="186">
        <v>0</v>
      </c>
      <c r="S746" s="134"/>
      <c r="T746" s="134"/>
      <c r="U746" s="134"/>
      <c r="V746" s="134"/>
      <c r="W746" s="134"/>
      <c r="X746" s="134"/>
      <c r="Y746" s="134"/>
      <c r="Z746" s="134"/>
      <c r="AA746" s="134"/>
      <c r="AB746" s="134"/>
      <c r="AC746" s="134"/>
      <c r="AD746" s="134"/>
      <c r="AE746" s="134"/>
      <c r="AF746" s="146"/>
      <c r="AG746" s="134"/>
      <c r="AH746" s="134"/>
      <c r="AI746" s="134"/>
      <c r="AJ746" s="134"/>
      <c r="AK746" s="134"/>
      <c r="AL746" s="134"/>
      <c r="AM746" s="146"/>
      <c r="AN746" s="132"/>
      <c r="AO746" s="132"/>
      <c r="AP746" s="132"/>
      <c r="AQ746" s="132"/>
      <c r="AR746" s="134"/>
      <c r="AS746" s="134"/>
      <c r="AT746" s="132"/>
      <c r="AU746" s="133"/>
      <c r="AV746" s="134"/>
    </row>
    <row r="747" spans="2:48">
      <c r="S747" s="134"/>
      <c r="T747" s="134"/>
      <c r="U747" s="134"/>
      <c r="V747" s="134"/>
      <c r="W747" s="134"/>
      <c r="X747" s="134"/>
      <c r="Y747" s="134"/>
      <c r="Z747" s="134"/>
      <c r="AA747" s="134"/>
      <c r="AB747" s="134"/>
      <c r="AC747" s="134"/>
      <c r="AD747" s="134"/>
      <c r="AE747" s="134"/>
      <c r="AF747" s="146"/>
      <c r="AG747" s="134"/>
      <c r="AH747" s="134"/>
      <c r="AI747" s="134"/>
      <c r="AJ747" s="134"/>
      <c r="AK747" s="134"/>
      <c r="AL747" s="134"/>
      <c r="AM747" s="146"/>
      <c r="AN747" s="132"/>
      <c r="AO747" s="132"/>
      <c r="AP747" s="132"/>
      <c r="AQ747" s="132"/>
      <c r="AR747" s="134"/>
      <c r="AS747" s="134"/>
      <c r="AT747" s="132"/>
      <c r="AU747" s="133"/>
      <c r="AV747" s="134"/>
    </row>
    <row r="748" spans="2:48">
      <c r="B748" s="70">
        <v>1</v>
      </c>
      <c r="C748" s="70">
        <f>COUNTIFS($C$755:$C$1283,B748)</f>
        <v>290</v>
      </c>
      <c r="E748" s="70">
        <f t="array" ref="E748">SUM(IF(ISERROR(E755:E1283),1,0))</f>
        <v>15</v>
      </c>
      <c r="F748" s="70">
        <f t="array" ref="F748">SUM(IF(ISERROR(F755:F1283),1,0))</f>
        <v>0</v>
      </c>
      <c r="G748" s="70">
        <f t="array" ref="G748">SUM(IF(ISERROR(G755:G1283),1,0))</f>
        <v>11</v>
      </c>
      <c r="H748" s="70">
        <f t="array" ref="H748">SUM(IF(ISERROR(H755:H1283),1,0))</f>
        <v>0</v>
      </c>
      <c r="N748" s="81"/>
      <c r="S748" s="134"/>
      <c r="T748" s="134"/>
      <c r="U748" s="134"/>
      <c r="V748" s="134"/>
      <c r="W748" s="134"/>
      <c r="X748" s="134"/>
      <c r="Y748" s="134"/>
      <c r="Z748" s="134"/>
      <c r="AA748" s="134"/>
      <c r="AB748" s="134"/>
      <c r="AC748" s="134"/>
      <c r="AD748" s="134"/>
      <c r="AE748" s="134"/>
      <c r="AF748" s="146"/>
      <c r="AG748" s="134"/>
      <c r="AH748" s="134"/>
      <c r="AI748" s="134"/>
      <c r="AJ748" s="134"/>
      <c r="AK748" s="134"/>
      <c r="AL748" s="134"/>
      <c r="AM748" s="146"/>
      <c r="AN748" s="132"/>
      <c r="AO748" s="132"/>
      <c r="AP748" s="132"/>
      <c r="AQ748" s="132"/>
      <c r="AR748" s="134"/>
      <c r="AS748" s="134"/>
      <c r="AT748" s="132"/>
      <c r="AU748" s="133"/>
      <c r="AV748" s="134"/>
    </row>
    <row r="749" spans="2:48">
      <c r="B749" s="70">
        <v>2</v>
      </c>
      <c r="C749" s="70">
        <f>COUNTIFS($C$755:$C$1283,B749)</f>
        <v>45</v>
      </c>
      <c r="N749" s="81"/>
      <c r="S749" s="134"/>
      <c r="T749" s="134"/>
      <c r="U749" s="134"/>
      <c r="V749" s="134"/>
      <c r="W749" s="134"/>
      <c r="X749" s="134"/>
      <c r="Y749" s="134"/>
      <c r="Z749" s="134"/>
      <c r="AA749" s="134"/>
      <c r="AB749" s="134"/>
      <c r="AC749" s="134"/>
      <c r="AD749" s="134"/>
      <c r="AE749" s="134"/>
      <c r="AF749" s="146"/>
      <c r="AG749" s="134"/>
      <c r="AH749" s="134"/>
      <c r="AI749" s="134"/>
      <c r="AJ749" s="134"/>
      <c r="AK749" s="134"/>
      <c r="AL749" s="134"/>
      <c r="AM749" s="146"/>
      <c r="AN749" s="132"/>
      <c r="AO749" s="132"/>
      <c r="AP749" s="132"/>
      <c r="AQ749" s="132"/>
      <c r="AR749" s="134"/>
      <c r="AS749" s="134"/>
      <c r="AT749" s="132"/>
      <c r="AU749" s="133"/>
      <c r="AV749" s="134"/>
    </row>
    <row r="750" spans="2:48">
      <c r="B750" s="70">
        <v>3</v>
      </c>
      <c r="C750" s="70">
        <f>COUNTIFS($C$755:$C$1283,B750)</f>
        <v>5</v>
      </c>
      <c r="N750" s="81"/>
      <c r="S750" s="134"/>
      <c r="T750" s="134"/>
      <c r="U750" s="134"/>
      <c r="V750" s="134"/>
      <c r="W750" s="134"/>
      <c r="X750" s="134"/>
      <c r="Y750" s="134"/>
      <c r="Z750" s="134"/>
      <c r="AA750" s="134"/>
      <c r="AB750" s="134"/>
      <c r="AC750" s="134"/>
      <c r="AD750" s="134"/>
      <c r="AE750" s="134"/>
      <c r="AF750" s="146"/>
      <c r="AG750" s="134"/>
      <c r="AH750" s="134"/>
      <c r="AI750" s="134"/>
      <c r="AJ750" s="134"/>
      <c r="AK750" s="134"/>
      <c r="AL750" s="134"/>
      <c r="AM750" s="146"/>
      <c r="AN750" s="132"/>
      <c r="AO750" s="132"/>
      <c r="AP750" s="132"/>
      <c r="AQ750" s="132"/>
      <c r="AR750" s="134"/>
      <c r="AS750" s="134"/>
      <c r="AT750" s="132"/>
      <c r="AU750" s="133"/>
      <c r="AV750" s="134"/>
    </row>
    <row r="751" spans="2:48">
      <c r="B751" s="70">
        <v>4</v>
      </c>
      <c r="C751" s="70">
        <f>COUNTIFS($C$755:$C$1283,B751)</f>
        <v>86</v>
      </c>
      <c r="I751" s="70" t="s">
        <v>672</v>
      </c>
      <c r="J751" s="70">
        <f>COUNTIF($J$755:$J$1283,I751)</f>
        <v>119</v>
      </c>
      <c r="N751" s="81"/>
      <c r="S751" s="134"/>
      <c r="T751" s="134"/>
      <c r="U751" s="134"/>
      <c r="V751" s="134"/>
      <c r="W751" s="134"/>
      <c r="X751" s="134"/>
      <c r="Y751" s="134"/>
      <c r="Z751" s="134"/>
      <c r="AA751" s="134"/>
      <c r="AB751" s="134"/>
      <c r="AC751" s="134"/>
      <c r="AD751" s="134"/>
      <c r="AE751" s="134"/>
      <c r="AF751" s="146"/>
      <c r="AG751" s="134"/>
      <c r="AH751" s="134"/>
      <c r="AI751" s="134"/>
      <c r="AJ751" s="134"/>
      <c r="AK751" s="134"/>
      <c r="AL751" s="134"/>
      <c r="AM751" s="146"/>
      <c r="AN751" s="132"/>
      <c r="AO751" s="132"/>
      <c r="AP751" s="132"/>
      <c r="AQ751" s="132"/>
      <c r="AR751" s="134"/>
      <c r="AS751" s="134"/>
      <c r="AT751" s="132"/>
      <c r="AU751" s="133"/>
      <c r="AV751" s="134"/>
    </row>
    <row r="752" spans="2:48">
      <c r="B752" s="187" t="s">
        <v>673</v>
      </c>
      <c r="C752" s="70">
        <f>COUNTIFS($C$755:$C$1283,B752)</f>
        <v>103</v>
      </c>
      <c r="I752" s="70" t="s">
        <v>674</v>
      </c>
      <c r="J752" s="70">
        <f>COUNTIF($J$755:$J$1283,I752)</f>
        <v>410</v>
      </c>
      <c r="N752" s="81"/>
      <c r="S752" s="134"/>
      <c r="T752" s="134"/>
      <c r="U752" s="134"/>
      <c r="V752" s="134"/>
      <c r="W752" s="134"/>
      <c r="X752" s="134"/>
      <c r="Y752" s="134"/>
      <c r="Z752" s="134"/>
      <c r="AA752" s="134"/>
      <c r="AB752" s="134"/>
      <c r="AC752" s="134"/>
      <c r="AD752" s="134"/>
      <c r="AE752" s="134"/>
      <c r="AF752" s="146"/>
      <c r="AG752" s="134"/>
      <c r="AH752" s="134"/>
      <c r="AI752" s="134"/>
      <c r="AJ752" s="134"/>
      <c r="AK752" s="134"/>
      <c r="AL752" s="134"/>
      <c r="AM752" s="146"/>
      <c r="AN752" s="132"/>
      <c r="AO752" s="132"/>
      <c r="AP752" s="132"/>
      <c r="AQ752" s="132"/>
      <c r="AR752" s="134"/>
      <c r="AS752" s="134"/>
      <c r="AT752" s="132"/>
      <c r="AU752" s="133"/>
      <c r="AV752" s="134"/>
    </row>
    <row r="753" spans="1:48" ht="15" customHeight="1">
      <c r="A753" s="419" t="s">
        <v>675</v>
      </c>
      <c r="B753" s="419"/>
      <c r="C753" s="419"/>
      <c r="D753" s="419"/>
      <c r="E753" s="419"/>
      <c r="F753" s="419"/>
      <c r="G753" s="419"/>
      <c r="H753" s="419"/>
      <c r="I753" s="70" t="s">
        <v>676</v>
      </c>
      <c r="J753" s="125"/>
      <c r="K753" s="125"/>
      <c r="L753" s="125"/>
      <c r="M753" s="125"/>
      <c r="N753" s="125"/>
      <c r="O753" s="125"/>
      <c r="P753" s="125"/>
      <c r="Q753" s="125"/>
      <c r="R753" s="125"/>
      <c r="S753" s="134"/>
      <c r="T753" s="134"/>
      <c r="U753" s="134"/>
      <c r="V753" s="134"/>
      <c r="W753" s="134"/>
      <c r="X753" s="134"/>
      <c r="Y753" s="134"/>
      <c r="Z753" s="134"/>
      <c r="AA753" s="134"/>
      <c r="AB753" s="134"/>
      <c r="AC753" s="134"/>
      <c r="AD753" s="134"/>
      <c r="AE753" s="134"/>
      <c r="AF753" s="146"/>
      <c r="AG753" s="134"/>
      <c r="AH753" s="134"/>
      <c r="AI753" s="134"/>
      <c r="AJ753" s="134"/>
      <c r="AK753" s="134"/>
      <c r="AL753" s="134"/>
      <c r="AM753" s="146"/>
      <c r="AN753" s="132"/>
      <c r="AO753" s="132"/>
      <c r="AP753" s="132"/>
      <c r="AQ753" s="132"/>
      <c r="AR753" s="134"/>
      <c r="AS753" s="134"/>
      <c r="AT753" s="132"/>
      <c r="AU753" s="133"/>
      <c r="AV753" s="134"/>
    </row>
    <row r="754" spans="1:48" ht="30">
      <c r="A754" s="188" t="s">
        <v>677</v>
      </c>
      <c r="B754" s="188" t="s">
        <v>678</v>
      </c>
      <c r="C754" s="188" t="s">
        <v>679</v>
      </c>
      <c r="D754" s="188" t="s">
        <v>680</v>
      </c>
      <c r="E754" s="188" t="s">
        <v>681</v>
      </c>
      <c r="F754" s="188" t="s">
        <v>682</v>
      </c>
      <c r="G754" s="188" t="s">
        <v>683</v>
      </c>
      <c r="H754" s="188" t="s">
        <v>684</v>
      </c>
      <c r="I754" s="189" t="s">
        <v>317</v>
      </c>
      <c r="J754" s="134" t="s">
        <v>685</v>
      </c>
      <c r="K754" s="134" t="s">
        <v>57</v>
      </c>
      <c r="L754" s="134" t="s">
        <v>63</v>
      </c>
      <c r="M754" s="146" t="s">
        <v>56</v>
      </c>
      <c r="N754" s="146" t="s">
        <v>58</v>
      </c>
      <c r="O754" s="134" t="s">
        <v>375</v>
      </c>
      <c r="P754" s="134" t="s">
        <v>662</v>
      </c>
      <c r="Q754" s="134"/>
      <c r="R754" s="134"/>
      <c r="S754" s="134"/>
      <c r="T754" s="134"/>
      <c r="U754" s="134"/>
      <c r="V754" s="134"/>
      <c r="W754" s="134"/>
      <c r="X754" s="134"/>
      <c r="Y754" s="134"/>
      <c r="Z754" s="134"/>
      <c r="AA754" s="134"/>
      <c r="AB754" s="134"/>
      <c r="AC754" s="134"/>
      <c r="AD754" s="134"/>
      <c r="AE754" s="134"/>
      <c r="AF754" s="146"/>
      <c r="AG754" s="134"/>
      <c r="AH754" s="134"/>
      <c r="AI754" s="134"/>
      <c r="AJ754" s="134"/>
      <c r="AK754" s="134"/>
      <c r="AL754" s="134"/>
      <c r="AM754" s="146"/>
      <c r="AN754" s="132"/>
      <c r="AO754" s="132"/>
      <c r="AP754" s="132"/>
      <c r="AQ754" s="132"/>
      <c r="AR754" s="134"/>
      <c r="AS754" s="134"/>
      <c r="AT754" s="132"/>
      <c r="AU754" s="133"/>
      <c r="AV754" s="134"/>
    </row>
    <row r="755" spans="1:48">
      <c r="A755" s="74">
        <v>10002</v>
      </c>
      <c r="B755" s="74" t="s">
        <v>227</v>
      </c>
      <c r="C755" s="74">
        <v>4</v>
      </c>
      <c r="D755" s="74">
        <v>1584</v>
      </c>
      <c r="E755" s="73">
        <v>7.0000000298023224E-2</v>
      </c>
      <c r="F755" s="73">
        <v>0.58050848770949803</v>
      </c>
      <c r="G755" s="73">
        <v>9.0000003576278687E-2</v>
      </c>
      <c r="H755" s="73">
        <v>0</v>
      </c>
      <c r="I755" s="190">
        <v>1524.7619999999999</v>
      </c>
      <c r="J755" s="134" t="str">
        <f>IF(OR(C755="FLAG",ISERROR(PRODUCT(D755:H755))),"ignore","keep")</f>
        <v>keep</v>
      </c>
      <c r="K755" s="134" t="str">
        <f>IF(E755&gt;$D$3,$C$3,IF(E755&gt;$D$4,$C$4,IF(E755&gt;$D$5,$C$5,IF(E755&gt;$D$6,$C$6,IF(E755&gt;$D$7,$C$7,"R38")))))</f>
        <v>R19</v>
      </c>
      <c r="L755" s="134" t="str">
        <f>IF(G755&gt;$D$8,$C$8,"R11")</f>
        <v>R11</v>
      </c>
      <c r="M755" s="146" t="str">
        <f t="shared" ref="M755:M818" si="93">IF(OR(C755=4,C755=3),"Basement",IF(C755=2,"Slab",IF(H755&gt;$D$10,$C$10,IF(H755&gt;$D$11,$C$11,"Better"))))</f>
        <v>Basement</v>
      </c>
      <c r="N755" s="146" t="str">
        <f t="shared" ref="N755:N818" si="94">IF(F755&gt;$D$13,$C$13,IF(F755&gt;$D$14,$C$14,"Better"))</f>
        <v>Better</v>
      </c>
      <c r="O755" s="146" t="str">
        <f>B755&amp;K755&amp;L755&amp;M755&amp;N755</f>
        <v>Electric FAFR19R11BasementBetter</v>
      </c>
      <c r="P755" s="134" t="str">
        <f>IF(C755=1,"Crawlspace",IF(C755=2,"Slab",IF(OR(C755=3,C755=4),"Basement","error")))</f>
        <v>Basement</v>
      </c>
      <c r="Q755" s="134"/>
      <c r="R755" s="134"/>
      <c r="S755" s="134"/>
      <c r="T755" s="134"/>
      <c r="U755" s="134"/>
      <c r="V755" s="134"/>
      <c r="W755" s="134"/>
      <c r="X755" s="134"/>
      <c r="Y755" s="134"/>
      <c r="Z755" s="134"/>
      <c r="AA755" s="134"/>
      <c r="AB755" s="134"/>
      <c r="AC755" s="134"/>
      <c r="AD755" s="134"/>
      <c r="AE755" s="134"/>
      <c r="AF755" s="146"/>
      <c r="AG755" s="134"/>
      <c r="AH755" s="134"/>
      <c r="AI755" s="134"/>
      <c r="AJ755" s="134"/>
      <c r="AK755" s="134"/>
      <c r="AL755" s="134"/>
      <c r="AM755" s="146"/>
      <c r="AN755" s="132"/>
      <c r="AO755" s="132"/>
      <c r="AP755" s="132"/>
      <c r="AQ755" s="132"/>
      <c r="AR755" s="134"/>
      <c r="AS755" s="134"/>
      <c r="AT755" s="132"/>
      <c r="AU755" s="133"/>
      <c r="AV755" s="134"/>
    </row>
    <row r="756" spans="1:48">
      <c r="A756" s="74">
        <v>10005</v>
      </c>
      <c r="B756" s="74" t="s">
        <v>229</v>
      </c>
      <c r="C756" s="74">
        <v>1</v>
      </c>
      <c r="D756" s="74">
        <v>2128</v>
      </c>
      <c r="E756" s="73">
        <v>7.9999998211860657E-2</v>
      </c>
      <c r="F756" s="73">
        <v>0.55000001192092896</v>
      </c>
      <c r="G756" s="73">
        <v>7.9999998211860657E-2</v>
      </c>
      <c r="H756" s="73">
        <v>0.15000000596046448</v>
      </c>
      <c r="I756" s="190">
        <v>1188.027</v>
      </c>
      <c r="J756" s="134" t="str">
        <f t="shared" ref="J756:J819" si="95">IF(OR(C756="FLAG",ISERROR(PRODUCT(D756:H756))),"ignore","keep")</f>
        <v>keep</v>
      </c>
      <c r="K756" s="134" t="str">
        <f t="shared" ref="K756:K819" si="96">IF(E756&gt;$D$3,$C$3,IF(E756&gt;$D$4,$C$4,IF(E756&gt;$D$5,$C$5,IF(E756&gt;$D$6,$C$6,IF(E756&gt;$D$7,$C$7,"R38")))))</f>
        <v>R19</v>
      </c>
      <c r="L756" s="134" t="str">
        <f t="shared" ref="L756:L819" si="97">IF(G756&gt;$D$8,$C$8,"R11")</f>
        <v>R11</v>
      </c>
      <c r="M756" s="146" t="str">
        <f t="shared" si="93"/>
        <v>R0</v>
      </c>
      <c r="N756" s="146" t="str">
        <f t="shared" si="94"/>
        <v>Better</v>
      </c>
      <c r="O756" s="146" t="str">
        <f t="shared" ref="O756:O819" si="98">B756&amp;K756&amp;L756&amp;M756&amp;N756</f>
        <v>Heat PumpR19R11R0Better</v>
      </c>
      <c r="P756" s="134" t="str">
        <f t="shared" ref="P756:P819" si="99">IF(C756=1,"Crawlspace",IF(C756=2,"Slab",IF(OR(C756=3,C756=4),"Basement","error")))</f>
        <v>Crawlspace</v>
      </c>
      <c r="Q756" s="134"/>
      <c r="R756" s="134"/>
      <c r="S756" s="134"/>
      <c r="T756" s="134"/>
      <c r="U756" s="134"/>
      <c r="V756" s="134"/>
      <c r="W756" s="134"/>
      <c r="X756" s="134"/>
      <c r="Y756" s="134"/>
      <c r="Z756" s="134"/>
      <c r="AA756" s="134"/>
      <c r="AB756" s="134"/>
      <c r="AC756" s="134"/>
      <c r="AD756" s="134"/>
      <c r="AE756" s="134"/>
      <c r="AF756" s="146"/>
      <c r="AG756" s="134"/>
      <c r="AH756" s="134"/>
      <c r="AI756" s="134"/>
      <c r="AJ756" s="134"/>
      <c r="AK756" s="134"/>
      <c r="AL756" s="134"/>
      <c r="AM756" s="146"/>
      <c r="AN756" s="132"/>
      <c r="AO756" s="132"/>
      <c r="AP756" s="132"/>
      <c r="AQ756" s="132"/>
      <c r="AR756" s="134"/>
      <c r="AS756" s="134"/>
      <c r="AT756" s="132"/>
      <c r="AU756" s="133"/>
      <c r="AV756" s="134"/>
    </row>
    <row r="757" spans="1:48">
      <c r="A757" s="74">
        <v>10011</v>
      </c>
      <c r="B757" s="74" t="s">
        <v>229</v>
      </c>
      <c r="C757" s="74">
        <v>4</v>
      </c>
      <c r="D757" s="74">
        <v>2192</v>
      </c>
      <c r="E757" s="73">
        <v>2.500000037252903E-2</v>
      </c>
      <c r="F757" s="73">
        <v>0.48967741689374372</v>
      </c>
      <c r="G757" s="73">
        <v>5.9999998658895493E-2</v>
      </c>
      <c r="H757" s="73">
        <v>0</v>
      </c>
      <c r="I757" s="190">
        <v>4956.4930000000004</v>
      </c>
      <c r="J757" s="134" t="str">
        <f t="shared" si="95"/>
        <v>keep</v>
      </c>
      <c r="K757" s="134" t="str">
        <f t="shared" si="96"/>
        <v>R38</v>
      </c>
      <c r="L757" s="134" t="str">
        <f t="shared" si="97"/>
        <v>R11</v>
      </c>
      <c r="M757" s="146" t="str">
        <f t="shared" si="93"/>
        <v>Basement</v>
      </c>
      <c r="N757" s="146" t="str">
        <f t="shared" si="94"/>
        <v>Better</v>
      </c>
      <c r="O757" s="146" t="str">
        <f t="shared" si="98"/>
        <v>Heat PumpR38R11BasementBetter</v>
      </c>
      <c r="P757" s="134" t="str">
        <f t="shared" si="99"/>
        <v>Basement</v>
      </c>
      <c r="Q757" s="134"/>
      <c r="R757" s="134"/>
      <c r="S757" s="134"/>
      <c r="T757" s="134"/>
      <c r="U757" s="134"/>
      <c r="V757" s="134"/>
      <c r="W757" s="134"/>
      <c r="X757" s="134"/>
      <c r="Y757" s="134"/>
      <c r="Z757" s="134"/>
      <c r="AA757" s="134"/>
      <c r="AB757" s="134"/>
      <c r="AC757" s="134"/>
      <c r="AD757" s="134"/>
      <c r="AE757" s="134"/>
      <c r="AF757" s="146"/>
      <c r="AG757" s="134"/>
      <c r="AH757" s="134"/>
      <c r="AI757" s="134"/>
      <c r="AJ757" s="134"/>
      <c r="AK757" s="134"/>
      <c r="AL757" s="134"/>
      <c r="AM757" s="146"/>
      <c r="AN757" s="132"/>
      <c r="AO757" s="132"/>
      <c r="AP757" s="132"/>
      <c r="AQ757" s="132"/>
      <c r="AR757" s="134"/>
      <c r="AS757" s="134"/>
      <c r="AT757" s="132"/>
      <c r="AU757" s="133"/>
      <c r="AV757" s="134"/>
    </row>
    <row r="758" spans="1:48">
      <c r="A758" s="74">
        <v>10021</v>
      </c>
      <c r="B758" s="74" t="s">
        <v>228</v>
      </c>
      <c r="C758" s="74">
        <v>1</v>
      </c>
      <c r="D758" s="74">
        <v>1646</v>
      </c>
      <c r="E758" s="73">
        <v>0.17000000178813934</v>
      </c>
      <c r="F758" s="73">
        <v>0.75</v>
      </c>
      <c r="G758" s="73">
        <v>0.23400000000000001</v>
      </c>
      <c r="H758" s="73">
        <v>6.4999997615814209E-2</v>
      </c>
      <c r="I758" s="190">
        <v>1150.8789999999999</v>
      </c>
      <c r="J758" s="134" t="str">
        <f t="shared" si="95"/>
        <v>keep</v>
      </c>
      <c r="K758" s="134" t="str">
        <f t="shared" si="96"/>
        <v>R0</v>
      </c>
      <c r="L758" s="134" t="str">
        <f t="shared" si="97"/>
        <v>R0</v>
      </c>
      <c r="M758" s="146" t="str">
        <f t="shared" si="93"/>
        <v>R19</v>
      </c>
      <c r="N758" s="146" t="str">
        <f t="shared" si="94"/>
        <v>Better</v>
      </c>
      <c r="O758" s="146" t="str">
        <f t="shared" si="98"/>
        <v>Electric ZonalR0R0R19Better</v>
      </c>
      <c r="P758" s="134" t="str">
        <f t="shared" si="99"/>
        <v>Crawlspace</v>
      </c>
      <c r="Q758" s="134"/>
      <c r="R758" s="134"/>
      <c r="S758" s="134"/>
      <c r="T758" s="134"/>
      <c r="U758" s="134"/>
      <c r="V758" s="134"/>
      <c r="W758" s="134"/>
      <c r="X758" s="134"/>
      <c r="Y758" s="134"/>
      <c r="Z758" s="134"/>
      <c r="AA758" s="134"/>
      <c r="AB758" s="134"/>
      <c r="AC758" s="134"/>
      <c r="AD758" s="134"/>
      <c r="AE758" s="134"/>
      <c r="AF758" s="146"/>
      <c r="AG758" s="134"/>
      <c r="AH758" s="134"/>
      <c r="AI758" s="134"/>
      <c r="AJ758" s="134"/>
      <c r="AK758" s="134"/>
      <c r="AL758" s="134"/>
      <c r="AM758" s="146"/>
      <c r="AN758" s="132"/>
      <c r="AO758" s="132"/>
      <c r="AP758" s="132"/>
      <c r="AQ758" s="132"/>
      <c r="AR758" s="134"/>
      <c r="AS758" s="134"/>
      <c r="AT758" s="132"/>
      <c r="AU758" s="133"/>
      <c r="AV758" s="134"/>
    </row>
    <row r="759" spans="1:48">
      <c r="A759" s="74">
        <v>10040</v>
      </c>
      <c r="B759" s="74" t="s">
        <v>228</v>
      </c>
      <c r="C759" s="74" t="s">
        <v>673</v>
      </c>
      <c r="D759" s="74">
        <v>1565</v>
      </c>
      <c r="E759" s="73" t="e">
        <v>#VALUE!</v>
      </c>
      <c r="F759" s="73">
        <v>0.55000001192092896</v>
      </c>
      <c r="G759" s="73">
        <v>0.23400000000000001</v>
      </c>
      <c r="H759" s="73">
        <v>0</v>
      </c>
      <c r="I759" s="190">
        <v>1524.7619999999999</v>
      </c>
      <c r="J759" s="134" t="str">
        <f t="shared" si="95"/>
        <v>ignore</v>
      </c>
      <c r="K759" s="134" t="e">
        <f t="shared" si="96"/>
        <v>#VALUE!</v>
      </c>
      <c r="L759" s="134" t="str">
        <f t="shared" si="97"/>
        <v>R0</v>
      </c>
      <c r="M759" s="146" t="str">
        <f t="shared" si="93"/>
        <v>Better</v>
      </c>
      <c r="N759" s="146" t="str">
        <f t="shared" si="94"/>
        <v>Better</v>
      </c>
      <c r="O759" s="146" t="e">
        <f t="shared" si="98"/>
        <v>#VALUE!</v>
      </c>
      <c r="P759" s="134" t="str">
        <f t="shared" si="99"/>
        <v>error</v>
      </c>
      <c r="Q759" s="134"/>
      <c r="R759" s="134"/>
      <c r="S759" s="134"/>
      <c r="T759" s="134"/>
      <c r="U759" s="134"/>
      <c r="V759" s="134"/>
      <c r="W759" s="134"/>
      <c r="X759" s="134"/>
      <c r="Y759" s="134"/>
      <c r="Z759" s="134"/>
      <c r="AA759" s="134"/>
      <c r="AB759" s="134"/>
      <c r="AC759" s="134"/>
      <c r="AD759" s="134"/>
      <c r="AE759" s="134"/>
      <c r="AF759" s="146"/>
      <c r="AG759" s="134"/>
      <c r="AH759" s="134"/>
      <c r="AI759" s="134"/>
      <c r="AJ759" s="134"/>
      <c r="AK759" s="134"/>
      <c r="AL759" s="134"/>
      <c r="AM759" s="146"/>
      <c r="AN759" s="132"/>
      <c r="AO759" s="132"/>
      <c r="AP759" s="132"/>
      <c r="AQ759" s="132"/>
      <c r="AR759" s="134"/>
      <c r="AS759" s="134"/>
      <c r="AT759" s="132"/>
      <c r="AU759" s="133"/>
      <c r="AV759" s="134"/>
    </row>
    <row r="760" spans="1:48">
      <c r="A760" s="74">
        <v>10068</v>
      </c>
      <c r="B760" s="74" t="s">
        <v>227</v>
      </c>
      <c r="C760" s="74" t="s">
        <v>673</v>
      </c>
      <c r="D760" s="74">
        <v>2594</v>
      </c>
      <c r="E760" s="73">
        <v>7.5000002980232239E-2</v>
      </c>
      <c r="F760" s="73">
        <v>0.45156248845160007</v>
      </c>
      <c r="G760" s="73">
        <v>0.11999999731779099</v>
      </c>
      <c r="H760" s="73">
        <v>0</v>
      </c>
      <c r="I760" s="190">
        <v>2003.7159999999999</v>
      </c>
      <c r="J760" s="134" t="str">
        <f t="shared" si="95"/>
        <v>ignore</v>
      </c>
      <c r="K760" s="134" t="str">
        <f t="shared" si="96"/>
        <v>R19</v>
      </c>
      <c r="L760" s="134" t="str">
        <f t="shared" si="97"/>
        <v>R11</v>
      </c>
      <c r="M760" s="146" t="str">
        <f t="shared" si="93"/>
        <v>Better</v>
      </c>
      <c r="N760" s="146" t="str">
        <f t="shared" si="94"/>
        <v>Better</v>
      </c>
      <c r="O760" s="146" t="str">
        <f t="shared" si="98"/>
        <v>Electric FAFR19R11BetterBetter</v>
      </c>
      <c r="P760" s="134" t="str">
        <f t="shared" si="99"/>
        <v>error</v>
      </c>
      <c r="Q760" s="134"/>
      <c r="R760" s="134"/>
      <c r="S760" s="134"/>
      <c r="T760" s="134"/>
      <c r="U760" s="134"/>
      <c r="V760" s="134"/>
      <c r="W760" s="134"/>
      <c r="X760" s="134"/>
      <c r="Y760" s="134"/>
      <c r="Z760" s="134"/>
      <c r="AA760" s="134"/>
      <c r="AB760" s="134"/>
      <c r="AC760" s="134"/>
      <c r="AD760" s="134"/>
      <c r="AE760" s="134"/>
      <c r="AF760" s="146"/>
      <c r="AG760" s="134"/>
      <c r="AH760" s="134"/>
      <c r="AI760" s="134"/>
      <c r="AJ760" s="134"/>
      <c r="AK760" s="134"/>
      <c r="AL760" s="134"/>
      <c r="AM760" s="146"/>
      <c r="AN760" s="132"/>
      <c r="AO760" s="132"/>
      <c r="AP760" s="132"/>
      <c r="AQ760" s="132"/>
      <c r="AR760" s="134"/>
      <c r="AS760" s="134"/>
      <c r="AT760" s="132"/>
      <c r="AU760" s="133"/>
      <c r="AV760" s="134"/>
    </row>
    <row r="761" spans="1:48">
      <c r="A761" s="74">
        <v>10096</v>
      </c>
      <c r="B761" s="74" t="s">
        <v>228</v>
      </c>
      <c r="C761" s="74">
        <v>1</v>
      </c>
      <c r="D761" s="74">
        <v>1720</v>
      </c>
      <c r="E761" s="73">
        <v>5.000000074505806E-2</v>
      </c>
      <c r="F761" s="73">
        <v>0.75724637637967651</v>
      </c>
      <c r="G761" s="73">
        <v>9.0000003576278687E-2</v>
      </c>
      <c r="H761" s="73">
        <v>4.5000001788139343E-2</v>
      </c>
      <c r="I761" s="190">
        <v>1188.027</v>
      </c>
      <c r="J761" s="134" t="str">
        <f t="shared" si="95"/>
        <v>keep</v>
      </c>
      <c r="K761" s="134" t="str">
        <f t="shared" si="96"/>
        <v>R30</v>
      </c>
      <c r="L761" s="134" t="str">
        <f t="shared" si="97"/>
        <v>R11</v>
      </c>
      <c r="M761" s="146" t="str">
        <f t="shared" si="93"/>
        <v>Better</v>
      </c>
      <c r="N761" s="146" t="str">
        <f t="shared" si="94"/>
        <v>Better</v>
      </c>
      <c r="O761" s="146" t="str">
        <f t="shared" si="98"/>
        <v>Electric ZonalR30R11BetterBetter</v>
      </c>
      <c r="P761" s="134" t="str">
        <f t="shared" si="99"/>
        <v>Crawlspace</v>
      </c>
      <c r="Q761" s="134"/>
      <c r="R761" s="134"/>
      <c r="S761" s="134"/>
      <c r="T761" s="134"/>
      <c r="U761" s="134"/>
      <c r="V761" s="134"/>
      <c r="W761" s="134"/>
      <c r="X761" s="134"/>
      <c r="Y761" s="134"/>
      <c r="Z761" s="134"/>
      <c r="AA761" s="134"/>
      <c r="AB761" s="134"/>
      <c r="AC761" s="134"/>
      <c r="AD761" s="134"/>
      <c r="AE761" s="134"/>
      <c r="AF761" s="146"/>
      <c r="AG761" s="134"/>
      <c r="AH761" s="134"/>
      <c r="AI761" s="134"/>
      <c r="AJ761" s="134"/>
      <c r="AK761" s="134"/>
      <c r="AL761" s="134"/>
      <c r="AM761" s="146"/>
      <c r="AN761" s="132"/>
      <c r="AO761" s="132"/>
      <c r="AP761" s="132"/>
      <c r="AQ761" s="132"/>
      <c r="AR761" s="134"/>
      <c r="AS761" s="134"/>
      <c r="AT761" s="132"/>
      <c r="AU761" s="133"/>
      <c r="AV761" s="134"/>
    </row>
    <row r="762" spans="1:48">
      <c r="A762" s="74">
        <v>10100</v>
      </c>
      <c r="B762" s="74" t="s">
        <v>227</v>
      </c>
      <c r="C762" s="74">
        <v>1</v>
      </c>
      <c r="D762" s="74">
        <v>1984</v>
      </c>
      <c r="E762" s="73">
        <v>7.9999998211860657E-2</v>
      </c>
      <c r="F762" s="73">
        <v>0.49173387536598789</v>
      </c>
      <c r="G762" s="73">
        <v>9.0000003576278687E-2</v>
      </c>
      <c r="H762" s="73">
        <v>0.10000000149011612</v>
      </c>
      <c r="I762" s="190">
        <v>1464.694</v>
      </c>
      <c r="J762" s="134" t="str">
        <f t="shared" si="95"/>
        <v>keep</v>
      </c>
      <c r="K762" s="134" t="str">
        <f t="shared" si="96"/>
        <v>R19</v>
      </c>
      <c r="L762" s="134" t="str">
        <f t="shared" si="97"/>
        <v>R11</v>
      </c>
      <c r="M762" s="146" t="str">
        <f t="shared" si="93"/>
        <v>R0</v>
      </c>
      <c r="N762" s="146" t="str">
        <f t="shared" si="94"/>
        <v>Better</v>
      </c>
      <c r="O762" s="146" t="str">
        <f t="shared" si="98"/>
        <v>Electric FAFR19R11R0Better</v>
      </c>
      <c r="P762" s="134" t="str">
        <f t="shared" si="99"/>
        <v>Crawlspace</v>
      </c>
      <c r="Q762" s="134"/>
      <c r="R762" s="134"/>
      <c r="S762" s="134"/>
      <c r="T762" s="134"/>
      <c r="U762" s="134"/>
      <c r="V762" s="134"/>
      <c r="W762" s="134"/>
      <c r="X762" s="134"/>
      <c r="Y762" s="134"/>
      <c r="Z762" s="134"/>
      <c r="AA762" s="134"/>
      <c r="AB762" s="134"/>
      <c r="AC762" s="134"/>
      <c r="AD762" s="134"/>
      <c r="AE762" s="134"/>
      <c r="AF762" s="146"/>
      <c r="AG762" s="134"/>
      <c r="AH762" s="134"/>
      <c r="AI762" s="134"/>
      <c r="AJ762" s="134"/>
      <c r="AK762" s="134"/>
      <c r="AL762" s="134"/>
      <c r="AM762" s="146"/>
      <c r="AN762" s="132"/>
      <c r="AO762" s="132"/>
      <c r="AP762" s="132"/>
      <c r="AQ762" s="132"/>
      <c r="AR762" s="134"/>
      <c r="AS762" s="134"/>
      <c r="AT762" s="132"/>
      <c r="AU762" s="133"/>
      <c r="AV762" s="134"/>
    </row>
    <row r="763" spans="1:48">
      <c r="A763" s="74">
        <v>10141</v>
      </c>
      <c r="B763" s="74" t="s">
        <v>229</v>
      </c>
      <c r="C763" s="74">
        <v>1</v>
      </c>
      <c r="D763" s="74">
        <v>2132</v>
      </c>
      <c r="E763" s="73">
        <v>5.000000074505806E-2</v>
      </c>
      <c r="F763" s="73">
        <v>0.43920454907823692</v>
      </c>
      <c r="G763" s="73">
        <v>9.0000003576278687E-2</v>
      </c>
      <c r="H763" s="73">
        <v>7.5000002980232239E-2</v>
      </c>
      <c r="I763" s="190">
        <v>4956.4930000000004</v>
      </c>
      <c r="J763" s="134" t="str">
        <f t="shared" si="95"/>
        <v>keep</v>
      </c>
      <c r="K763" s="134" t="str">
        <f t="shared" si="96"/>
        <v>R30</v>
      </c>
      <c r="L763" s="134" t="str">
        <f t="shared" si="97"/>
        <v>R11</v>
      </c>
      <c r="M763" s="146" t="str">
        <f t="shared" si="93"/>
        <v>R0</v>
      </c>
      <c r="N763" s="146" t="str">
        <f t="shared" si="94"/>
        <v>Better</v>
      </c>
      <c r="O763" s="146" t="str">
        <f t="shared" si="98"/>
        <v>Heat PumpR30R11R0Better</v>
      </c>
      <c r="P763" s="134" t="str">
        <f t="shared" si="99"/>
        <v>Crawlspace</v>
      </c>
      <c r="Q763" s="134"/>
      <c r="R763" s="134"/>
      <c r="S763" s="134"/>
      <c r="T763" s="134"/>
      <c r="U763" s="134"/>
      <c r="V763" s="134"/>
      <c r="W763" s="134"/>
      <c r="X763" s="134"/>
      <c r="Y763" s="134"/>
      <c r="Z763" s="134"/>
      <c r="AA763" s="134"/>
      <c r="AB763" s="134"/>
      <c r="AC763" s="134"/>
      <c r="AD763" s="134"/>
      <c r="AE763" s="134"/>
      <c r="AF763" s="146"/>
      <c r="AG763" s="134"/>
      <c r="AH763" s="134"/>
      <c r="AI763" s="134"/>
      <c r="AJ763" s="134"/>
      <c r="AK763" s="134"/>
      <c r="AL763" s="134"/>
      <c r="AM763" s="146"/>
      <c r="AN763" s="132"/>
      <c r="AO763" s="132"/>
      <c r="AP763" s="132"/>
      <c r="AQ763" s="132"/>
      <c r="AR763" s="134"/>
      <c r="AS763" s="134"/>
      <c r="AT763" s="132"/>
      <c r="AU763" s="133"/>
      <c r="AV763" s="134"/>
    </row>
    <row r="764" spans="1:48">
      <c r="A764" s="74">
        <v>10144</v>
      </c>
      <c r="B764" s="74" t="s">
        <v>227</v>
      </c>
      <c r="C764" s="74">
        <v>2</v>
      </c>
      <c r="D764" s="74">
        <v>2000</v>
      </c>
      <c r="E764" s="73">
        <v>3.5000000149011612E-2</v>
      </c>
      <c r="F764" s="73">
        <v>0.85000002384185791</v>
      </c>
      <c r="G764" s="73">
        <v>9.0000003576278687E-2</v>
      </c>
      <c r="H764" s="73">
        <v>4.5000001788139343E-2</v>
      </c>
      <c r="I764" s="190">
        <v>2003.7159999999999</v>
      </c>
      <c r="J764" s="134" t="str">
        <f t="shared" si="95"/>
        <v>keep</v>
      </c>
      <c r="K764" s="134" t="str">
        <f t="shared" si="96"/>
        <v>R38</v>
      </c>
      <c r="L764" s="134" t="str">
        <f t="shared" si="97"/>
        <v>R11</v>
      </c>
      <c r="M764" s="146" t="str">
        <f t="shared" si="93"/>
        <v>Slab</v>
      </c>
      <c r="N764" s="146" t="str">
        <f t="shared" si="94"/>
        <v>Double</v>
      </c>
      <c r="O764" s="146" t="str">
        <f t="shared" si="98"/>
        <v>Electric FAFR38R11SlabDouble</v>
      </c>
      <c r="P764" s="134" t="str">
        <f t="shared" si="99"/>
        <v>Slab</v>
      </c>
      <c r="Q764" s="134"/>
      <c r="R764" s="134"/>
      <c r="S764" s="134"/>
      <c r="T764" s="134"/>
      <c r="U764" s="134"/>
      <c r="V764" s="134"/>
      <c r="W764" s="134"/>
      <c r="X764" s="134"/>
      <c r="Y764" s="134"/>
      <c r="Z764" s="134"/>
      <c r="AA764" s="134"/>
      <c r="AB764" s="134"/>
      <c r="AC764" s="134"/>
      <c r="AD764" s="134"/>
      <c r="AE764" s="134"/>
      <c r="AF764" s="146"/>
      <c r="AG764" s="134"/>
      <c r="AH764" s="134"/>
      <c r="AI764" s="134"/>
      <c r="AJ764" s="134"/>
      <c r="AK764" s="134"/>
      <c r="AL764" s="134"/>
      <c r="AM764" s="146"/>
      <c r="AN764" s="132"/>
      <c r="AO764" s="132"/>
      <c r="AP764" s="132"/>
      <c r="AQ764" s="132"/>
      <c r="AR764" s="134"/>
      <c r="AS764" s="134"/>
      <c r="AT764" s="132"/>
      <c r="AU764" s="133"/>
      <c r="AV764" s="134"/>
    </row>
    <row r="765" spans="1:48">
      <c r="A765" s="74">
        <v>10172</v>
      </c>
      <c r="B765" s="74" t="s">
        <v>228</v>
      </c>
      <c r="C765" s="74">
        <v>3</v>
      </c>
      <c r="D765" s="74">
        <v>576</v>
      </c>
      <c r="E765" s="73">
        <v>5.000000074505806E-2</v>
      </c>
      <c r="F765" s="73">
        <v>1.1000000238418579</v>
      </c>
      <c r="G765" s="73">
        <v>0.23400000000000001</v>
      </c>
      <c r="H765" s="73">
        <v>0.14499999582767487</v>
      </c>
      <c r="I765" s="190">
        <v>1524.7619999999999</v>
      </c>
      <c r="J765" s="134" t="str">
        <f t="shared" si="95"/>
        <v>keep</v>
      </c>
      <c r="K765" s="134" t="str">
        <f t="shared" si="96"/>
        <v>R30</v>
      </c>
      <c r="L765" s="134" t="str">
        <f t="shared" si="97"/>
        <v>R0</v>
      </c>
      <c r="M765" s="146" t="str">
        <f t="shared" si="93"/>
        <v>Basement</v>
      </c>
      <c r="N765" s="146" t="str">
        <f t="shared" si="94"/>
        <v>Single</v>
      </c>
      <c r="O765" s="146" t="str">
        <f t="shared" si="98"/>
        <v>Electric ZonalR30R0BasementSingle</v>
      </c>
      <c r="P765" s="134" t="str">
        <f t="shared" si="99"/>
        <v>Basement</v>
      </c>
      <c r="Q765" s="134"/>
      <c r="R765" s="134"/>
      <c r="S765" s="134"/>
      <c r="T765" s="134"/>
      <c r="U765" s="134"/>
      <c r="V765" s="134"/>
      <c r="W765" s="134"/>
      <c r="X765" s="134"/>
      <c r="Y765" s="134"/>
      <c r="Z765" s="134"/>
      <c r="AA765" s="134"/>
      <c r="AB765" s="134"/>
      <c r="AC765" s="134"/>
      <c r="AD765" s="134"/>
      <c r="AE765" s="134"/>
      <c r="AF765" s="146"/>
      <c r="AG765" s="134"/>
      <c r="AH765" s="134"/>
      <c r="AI765" s="134"/>
      <c r="AJ765" s="134"/>
      <c r="AK765" s="134"/>
      <c r="AL765" s="134"/>
      <c r="AM765" s="146"/>
      <c r="AN765" s="132"/>
      <c r="AO765" s="132"/>
      <c r="AP765" s="132"/>
      <c r="AQ765" s="132"/>
      <c r="AR765" s="134"/>
      <c r="AS765" s="134"/>
      <c r="AT765" s="132"/>
      <c r="AU765" s="133"/>
      <c r="AV765" s="134"/>
    </row>
    <row r="766" spans="1:48">
      <c r="A766" s="74">
        <v>10174</v>
      </c>
      <c r="B766" s="74" t="s">
        <v>227</v>
      </c>
      <c r="C766" s="74">
        <v>1</v>
      </c>
      <c r="D766" s="74">
        <v>1513</v>
      </c>
      <c r="E766" s="73">
        <v>4.5000001788139343E-2</v>
      </c>
      <c r="F766" s="73">
        <v>0.44999998807907104</v>
      </c>
      <c r="G766" s="73">
        <v>9.0000003576278687E-2</v>
      </c>
      <c r="H766" s="73">
        <v>4.5000001788139343E-2</v>
      </c>
      <c r="I766" s="190">
        <v>4956.4930000000004</v>
      </c>
      <c r="J766" s="134" t="str">
        <f t="shared" si="95"/>
        <v>keep</v>
      </c>
      <c r="K766" s="134" t="str">
        <f t="shared" si="96"/>
        <v>R30</v>
      </c>
      <c r="L766" s="134" t="str">
        <f t="shared" si="97"/>
        <v>R11</v>
      </c>
      <c r="M766" s="146" t="str">
        <f t="shared" si="93"/>
        <v>Better</v>
      </c>
      <c r="N766" s="146" t="str">
        <f t="shared" si="94"/>
        <v>Better</v>
      </c>
      <c r="O766" s="146" t="str">
        <f t="shared" si="98"/>
        <v>Electric FAFR30R11BetterBetter</v>
      </c>
      <c r="P766" s="134" t="str">
        <f t="shared" si="99"/>
        <v>Crawlspace</v>
      </c>
      <c r="Q766" s="134"/>
      <c r="R766" s="134"/>
      <c r="S766" s="134"/>
      <c r="T766" s="134"/>
      <c r="U766" s="134"/>
      <c r="V766" s="134"/>
      <c r="W766" s="134"/>
      <c r="X766" s="134"/>
      <c r="Y766" s="134"/>
      <c r="Z766" s="134"/>
      <c r="AA766" s="134"/>
      <c r="AB766" s="134"/>
      <c r="AC766" s="134"/>
      <c r="AD766" s="134"/>
      <c r="AE766" s="134"/>
      <c r="AF766" s="146"/>
      <c r="AG766" s="134"/>
      <c r="AH766" s="134"/>
      <c r="AI766" s="134"/>
      <c r="AJ766" s="134"/>
      <c r="AK766" s="134"/>
      <c r="AL766" s="134"/>
      <c r="AM766" s="146"/>
      <c r="AN766" s="132"/>
      <c r="AO766" s="132"/>
      <c r="AP766" s="132"/>
      <c r="AQ766" s="132"/>
      <c r="AR766" s="134"/>
      <c r="AS766" s="134"/>
      <c r="AT766" s="132"/>
      <c r="AU766" s="133"/>
      <c r="AV766" s="134"/>
    </row>
    <row r="767" spans="1:48">
      <c r="A767" s="74">
        <v>10176</v>
      </c>
      <c r="B767" s="74" t="s">
        <v>229</v>
      </c>
      <c r="C767" s="74">
        <v>1</v>
      </c>
      <c r="D767" s="74">
        <v>1350</v>
      </c>
      <c r="E767" s="73">
        <v>0.10999999940395355</v>
      </c>
      <c r="F767" s="73">
        <v>0.85000002384185791</v>
      </c>
      <c r="G767" s="73">
        <v>7.9999998211860657E-2</v>
      </c>
      <c r="H767" s="73">
        <v>0.23000000417232513</v>
      </c>
      <c r="I767" s="190">
        <v>1150.8789999999999</v>
      </c>
      <c r="J767" s="134" t="str">
        <f t="shared" si="95"/>
        <v>keep</v>
      </c>
      <c r="K767" s="134" t="str">
        <f t="shared" si="96"/>
        <v>R11</v>
      </c>
      <c r="L767" s="134" t="str">
        <f t="shared" si="97"/>
        <v>R11</v>
      </c>
      <c r="M767" s="146" t="str">
        <f t="shared" si="93"/>
        <v>R0</v>
      </c>
      <c r="N767" s="146" t="str">
        <f t="shared" si="94"/>
        <v>Double</v>
      </c>
      <c r="O767" s="146" t="str">
        <f t="shared" si="98"/>
        <v>Heat PumpR11R11R0Double</v>
      </c>
      <c r="P767" s="134" t="str">
        <f t="shared" si="99"/>
        <v>Crawlspace</v>
      </c>
      <c r="Q767" s="134"/>
      <c r="R767" s="134"/>
      <c r="S767" s="134"/>
      <c r="T767" s="134"/>
      <c r="U767" s="134"/>
      <c r="V767" s="134"/>
      <c r="W767" s="134"/>
      <c r="X767" s="134"/>
      <c r="Y767" s="134"/>
      <c r="Z767" s="134"/>
      <c r="AA767" s="134"/>
      <c r="AB767" s="134"/>
      <c r="AC767" s="134"/>
      <c r="AD767" s="134"/>
      <c r="AE767" s="134"/>
      <c r="AF767" s="146"/>
      <c r="AG767" s="134"/>
      <c r="AH767" s="134"/>
      <c r="AI767" s="134"/>
      <c r="AJ767" s="134"/>
      <c r="AK767" s="134"/>
      <c r="AL767" s="134"/>
      <c r="AM767" s="146"/>
      <c r="AN767" s="132"/>
      <c r="AO767" s="132"/>
      <c r="AP767" s="132"/>
      <c r="AQ767" s="132"/>
      <c r="AR767" s="134"/>
      <c r="AS767" s="134"/>
      <c r="AT767" s="132"/>
      <c r="AU767" s="133"/>
      <c r="AV767" s="134"/>
    </row>
    <row r="768" spans="1:48">
      <c r="A768" s="74">
        <v>10230</v>
      </c>
      <c r="B768" s="74" t="s">
        <v>227</v>
      </c>
      <c r="C768" s="74">
        <v>4</v>
      </c>
      <c r="D768" s="74">
        <v>3619</v>
      </c>
      <c r="E768" s="73">
        <v>6.1940851444016981E-2</v>
      </c>
      <c r="F768" s="73">
        <v>0.8966160385318882</v>
      </c>
      <c r="G768" s="73">
        <v>9.0000003576278687E-2</v>
      </c>
      <c r="H768" s="73">
        <v>0</v>
      </c>
      <c r="I768" s="190">
        <v>1464.694</v>
      </c>
      <c r="J768" s="134" t="str">
        <f t="shared" si="95"/>
        <v>keep</v>
      </c>
      <c r="K768" s="134" t="str">
        <f t="shared" si="96"/>
        <v>R19</v>
      </c>
      <c r="L768" s="134" t="str">
        <f t="shared" si="97"/>
        <v>R11</v>
      </c>
      <c r="M768" s="146" t="str">
        <f t="shared" si="93"/>
        <v>Basement</v>
      </c>
      <c r="N768" s="146" t="str">
        <f t="shared" si="94"/>
        <v>Double</v>
      </c>
      <c r="O768" s="146" t="str">
        <f t="shared" si="98"/>
        <v>Electric FAFR19R11BasementDouble</v>
      </c>
      <c r="P768" s="134" t="str">
        <f t="shared" si="99"/>
        <v>Basement</v>
      </c>
      <c r="Q768" s="134"/>
      <c r="R768" s="134"/>
      <c r="S768" s="134"/>
      <c r="T768" s="134"/>
      <c r="U768" s="134"/>
      <c r="V768" s="134"/>
      <c r="W768" s="134"/>
      <c r="X768" s="134"/>
      <c r="Y768" s="134"/>
      <c r="Z768" s="134"/>
      <c r="AA768" s="134"/>
      <c r="AB768" s="134"/>
      <c r="AC768" s="134"/>
      <c r="AD768" s="134"/>
      <c r="AE768" s="134"/>
      <c r="AF768" s="146"/>
      <c r="AG768" s="134"/>
      <c r="AH768" s="134"/>
      <c r="AI768" s="134"/>
      <c r="AJ768" s="134"/>
      <c r="AK768" s="134"/>
      <c r="AL768" s="134"/>
      <c r="AM768" s="146"/>
      <c r="AN768" s="132"/>
      <c r="AO768" s="132"/>
      <c r="AP768" s="132"/>
      <c r="AQ768" s="132"/>
      <c r="AR768" s="134"/>
      <c r="AS768" s="134"/>
      <c r="AT768" s="132"/>
      <c r="AU768" s="133"/>
      <c r="AV768" s="134"/>
    </row>
    <row r="769" spans="1:48">
      <c r="A769" s="74">
        <v>10254</v>
      </c>
      <c r="B769" s="74" t="s">
        <v>229</v>
      </c>
      <c r="C769" s="74">
        <v>1</v>
      </c>
      <c r="D769" s="74">
        <v>2964</v>
      </c>
      <c r="E769" s="73">
        <v>2.500000037252903E-2</v>
      </c>
      <c r="F769" s="73">
        <v>0.4522925650448778</v>
      </c>
      <c r="G769" s="73">
        <v>5.9999998658895493E-2</v>
      </c>
      <c r="H769" s="73">
        <v>4.5000001788139343E-2</v>
      </c>
      <c r="I769" s="190">
        <v>1188.027</v>
      </c>
      <c r="J769" s="134" t="str">
        <f t="shared" si="95"/>
        <v>keep</v>
      </c>
      <c r="K769" s="134" t="str">
        <f t="shared" si="96"/>
        <v>R38</v>
      </c>
      <c r="L769" s="134" t="str">
        <f t="shared" si="97"/>
        <v>R11</v>
      </c>
      <c r="M769" s="146" t="str">
        <f t="shared" si="93"/>
        <v>Better</v>
      </c>
      <c r="N769" s="146" t="str">
        <f t="shared" si="94"/>
        <v>Better</v>
      </c>
      <c r="O769" s="146" t="str">
        <f t="shared" si="98"/>
        <v>Heat PumpR38R11BetterBetter</v>
      </c>
      <c r="P769" s="134" t="str">
        <f t="shared" si="99"/>
        <v>Crawlspace</v>
      </c>
      <c r="Q769" s="134"/>
      <c r="R769" s="134"/>
      <c r="S769" s="134"/>
      <c r="T769" s="134"/>
      <c r="U769" s="134"/>
      <c r="V769" s="134"/>
      <c r="W769" s="134"/>
      <c r="X769" s="134"/>
      <c r="Y769" s="134"/>
      <c r="Z769" s="134"/>
      <c r="AA769" s="134"/>
      <c r="AB769" s="134"/>
      <c r="AC769" s="134"/>
      <c r="AD769" s="134"/>
      <c r="AE769" s="134"/>
      <c r="AF769" s="146"/>
      <c r="AG769" s="134"/>
      <c r="AH769" s="134"/>
      <c r="AI769" s="134"/>
      <c r="AJ769" s="134"/>
      <c r="AK769" s="134"/>
      <c r="AL769" s="134"/>
      <c r="AM769" s="146"/>
      <c r="AN769" s="132"/>
      <c r="AO769" s="132"/>
      <c r="AP769" s="132"/>
      <c r="AQ769" s="132"/>
      <c r="AR769" s="134"/>
      <c r="AS769" s="134"/>
      <c r="AT769" s="132"/>
      <c r="AU769" s="133"/>
      <c r="AV769" s="134"/>
    </row>
    <row r="770" spans="1:48">
      <c r="A770" s="74">
        <v>10259</v>
      </c>
      <c r="B770" s="74" t="s">
        <v>228</v>
      </c>
      <c r="C770" s="74">
        <v>1</v>
      </c>
      <c r="D770" s="74">
        <v>705</v>
      </c>
      <c r="E770" s="73">
        <v>7.9999998211860657E-2</v>
      </c>
      <c r="F770" s="73">
        <v>0.9289156528840582</v>
      </c>
      <c r="G770" s="73">
        <v>0.23400000000000004</v>
      </c>
      <c r="H770" s="73">
        <v>0.23000000417232513</v>
      </c>
      <c r="I770" s="190">
        <v>1524.7619999999999</v>
      </c>
      <c r="J770" s="134" t="str">
        <f t="shared" si="95"/>
        <v>keep</v>
      </c>
      <c r="K770" s="134" t="str">
        <f t="shared" si="96"/>
        <v>R19</v>
      </c>
      <c r="L770" s="134" t="str">
        <f t="shared" si="97"/>
        <v>R0</v>
      </c>
      <c r="M770" s="146" t="str">
        <f t="shared" si="93"/>
        <v>R0</v>
      </c>
      <c r="N770" s="146" t="str">
        <f t="shared" si="94"/>
        <v>Double</v>
      </c>
      <c r="O770" s="146" t="str">
        <f t="shared" si="98"/>
        <v>Electric ZonalR19R0R0Double</v>
      </c>
      <c r="P770" s="134" t="str">
        <f t="shared" si="99"/>
        <v>Crawlspace</v>
      </c>
      <c r="Q770" s="134"/>
      <c r="R770" s="134"/>
      <c r="S770" s="134"/>
      <c r="T770" s="134"/>
      <c r="U770" s="134"/>
      <c r="V770" s="134"/>
      <c r="W770" s="134"/>
      <c r="X770" s="134"/>
      <c r="Y770" s="134"/>
      <c r="Z770" s="134"/>
      <c r="AA770" s="134"/>
      <c r="AB770" s="134"/>
      <c r="AC770" s="134"/>
      <c r="AD770" s="134"/>
      <c r="AE770" s="134"/>
      <c r="AF770" s="146"/>
      <c r="AG770" s="134"/>
      <c r="AH770" s="134"/>
      <c r="AI770" s="134"/>
      <c r="AJ770" s="134"/>
      <c r="AK770" s="134"/>
      <c r="AL770" s="134"/>
      <c r="AM770" s="146"/>
      <c r="AN770" s="132"/>
      <c r="AO770" s="132"/>
      <c r="AP770" s="132"/>
      <c r="AQ770" s="132"/>
      <c r="AR770" s="134"/>
      <c r="AS770" s="134"/>
      <c r="AT770" s="132"/>
      <c r="AU770" s="133"/>
      <c r="AV770" s="134"/>
    </row>
    <row r="771" spans="1:48">
      <c r="A771" s="74">
        <v>10282</v>
      </c>
      <c r="B771" s="74" t="s">
        <v>228</v>
      </c>
      <c r="C771" s="74">
        <v>1</v>
      </c>
      <c r="D771" s="74">
        <v>1288</v>
      </c>
      <c r="E771" s="73">
        <v>9.4999998807907104E-2</v>
      </c>
      <c r="F771" s="73">
        <v>0.80000001192092896</v>
      </c>
      <c r="G771" s="73">
        <v>0.23000000417232516</v>
      </c>
      <c r="H771" s="73">
        <v>0.23000000417232513</v>
      </c>
      <c r="I771" s="190">
        <v>1150.8789999999999</v>
      </c>
      <c r="J771" s="134" t="str">
        <f t="shared" si="95"/>
        <v>keep</v>
      </c>
      <c r="K771" s="134" t="str">
        <f t="shared" si="96"/>
        <v>R11</v>
      </c>
      <c r="L771" s="134" t="str">
        <f t="shared" si="97"/>
        <v>R0</v>
      </c>
      <c r="M771" s="146" t="str">
        <f t="shared" si="93"/>
        <v>R0</v>
      </c>
      <c r="N771" s="146" t="str">
        <f t="shared" si="94"/>
        <v>Better</v>
      </c>
      <c r="O771" s="146" t="str">
        <f t="shared" si="98"/>
        <v>Electric ZonalR11R0R0Better</v>
      </c>
      <c r="P771" s="134" t="str">
        <f t="shared" si="99"/>
        <v>Crawlspace</v>
      </c>
      <c r="Q771" s="134"/>
      <c r="R771" s="134"/>
      <c r="S771" s="134"/>
      <c r="T771" s="134"/>
      <c r="U771" s="134"/>
      <c r="V771" s="134"/>
      <c r="W771" s="134"/>
      <c r="X771" s="134"/>
      <c r="Y771" s="134"/>
      <c r="Z771" s="134"/>
      <c r="AA771" s="134"/>
      <c r="AB771" s="134"/>
      <c r="AC771" s="134"/>
      <c r="AD771" s="134"/>
      <c r="AE771" s="134"/>
      <c r="AF771" s="146"/>
      <c r="AG771" s="134"/>
      <c r="AH771" s="134"/>
      <c r="AI771" s="134"/>
      <c r="AJ771" s="134"/>
      <c r="AK771" s="134"/>
      <c r="AL771" s="134"/>
      <c r="AM771" s="146"/>
      <c r="AN771" s="132"/>
      <c r="AO771" s="132"/>
      <c r="AP771" s="132"/>
      <c r="AQ771" s="132"/>
      <c r="AR771" s="134"/>
      <c r="AS771" s="134"/>
      <c r="AT771" s="132"/>
      <c r="AU771" s="133"/>
      <c r="AV771" s="134"/>
    </row>
    <row r="772" spans="1:48">
      <c r="A772" s="74">
        <v>10313</v>
      </c>
      <c r="B772" s="74" t="s">
        <v>229</v>
      </c>
      <c r="C772" s="74">
        <v>4</v>
      </c>
      <c r="D772" s="74">
        <v>2208</v>
      </c>
      <c r="E772" s="73">
        <v>4.5000001788139343E-2</v>
      </c>
      <c r="F772" s="73">
        <v>0.80000001192092896</v>
      </c>
      <c r="G772" s="73">
        <v>9.0000003576278687E-2</v>
      </c>
      <c r="H772" s="73">
        <v>3.5000000149011612E-2</v>
      </c>
      <c r="I772" s="190">
        <v>1188.027</v>
      </c>
      <c r="J772" s="134" t="str">
        <f t="shared" si="95"/>
        <v>keep</v>
      </c>
      <c r="K772" s="134" t="str">
        <f t="shared" si="96"/>
        <v>R30</v>
      </c>
      <c r="L772" s="134" t="str">
        <f t="shared" si="97"/>
        <v>R11</v>
      </c>
      <c r="M772" s="146" t="str">
        <f t="shared" si="93"/>
        <v>Basement</v>
      </c>
      <c r="N772" s="146" t="str">
        <f t="shared" si="94"/>
        <v>Better</v>
      </c>
      <c r="O772" s="146" t="str">
        <f t="shared" si="98"/>
        <v>Heat PumpR30R11BasementBetter</v>
      </c>
      <c r="P772" s="134" t="str">
        <f t="shared" si="99"/>
        <v>Basement</v>
      </c>
      <c r="Q772" s="134"/>
      <c r="R772" s="134"/>
      <c r="S772" s="134"/>
      <c r="T772" s="134"/>
      <c r="U772" s="134"/>
      <c r="V772" s="134"/>
      <c r="W772" s="134"/>
      <c r="X772" s="134"/>
      <c r="Y772" s="134"/>
      <c r="Z772" s="134"/>
      <c r="AA772" s="134"/>
      <c r="AB772" s="134"/>
      <c r="AC772" s="134"/>
      <c r="AD772" s="134"/>
      <c r="AE772" s="134"/>
      <c r="AF772" s="146"/>
      <c r="AG772" s="134"/>
      <c r="AH772" s="134"/>
      <c r="AI772" s="134"/>
      <c r="AJ772" s="134"/>
      <c r="AK772" s="134"/>
      <c r="AL772" s="134"/>
      <c r="AM772" s="146"/>
      <c r="AN772" s="132"/>
      <c r="AO772" s="132"/>
      <c r="AP772" s="132"/>
      <c r="AQ772" s="132"/>
      <c r="AR772" s="134"/>
      <c r="AS772" s="134"/>
      <c r="AT772" s="132"/>
      <c r="AU772" s="133"/>
      <c r="AV772" s="134"/>
    </row>
    <row r="773" spans="1:48">
      <c r="A773" s="74">
        <v>10322</v>
      </c>
      <c r="B773" s="74" t="s">
        <v>228</v>
      </c>
      <c r="C773" s="74">
        <v>1</v>
      </c>
      <c r="D773" s="74">
        <v>1384</v>
      </c>
      <c r="E773" s="73">
        <v>2.500000037252903E-2</v>
      </c>
      <c r="F773" s="73">
        <v>0.55000001192092896</v>
      </c>
      <c r="G773" s="73">
        <v>5.9999998658895493E-2</v>
      </c>
      <c r="H773" s="73">
        <v>5.9999998658895493E-2</v>
      </c>
      <c r="I773" s="190">
        <v>4956.4930000000004</v>
      </c>
      <c r="J773" s="134" t="str">
        <f t="shared" si="95"/>
        <v>keep</v>
      </c>
      <c r="K773" s="134" t="str">
        <f t="shared" si="96"/>
        <v>R38</v>
      </c>
      <c r="L773" s="134" t="str">
        <f t="shared" si="97"/>
        <v>R11</v>
      </c>
      <c r="M773" s="146" t="str">
        <f t="shared" si="93"/>
        <v>R19</v>
      </c>
      <c r="N773" s="146" t="str">
        <f t="shared" si="94"/>
        <v>Better</v>
      </c>
      <c r="O773" s="146" t="str">
        <f t="shared" si="98"/>
        <v>Electric ZonalR38R11R19Better</v>
      </c>
      <c r="P773" s="134" t="str">
        <f t="shared" si="99"/>
        <v>Crawlspace</v>
      </c>
      <c r="Q773" s="134"/>
      <c r="R773" s="134"/>
      <c r="S773" s="134"/>
      <c r="T773" s="134"/>
      <c r="U773" s="134"/>
      <c r="V773" s="134"/>
      <c r="W773" s="134"/>
      <c r="X773" s="134"/>
      <c r="Y773" s="134"/>
      <c r="Z773" s="134"/>
      <c r="AA773" s="134"/>
      <c r="AB773" s="134"/>
      <c r="AC773" s="134"/>
      <c r="AD773" s="134"/>
      <c r="AE773" s="134"/>
      <c r="AF773" s="146"/>
      <c r="AG773" s="134"/>
      <c r="AH773" s="134"/>
      <c r="AI773" s="134"/>
      <c r="AJ773" s="134"/>
      <c r="AK773" s="134"/>
      <c r="AL773" s="134"/>
      <c r="AM773" s="146"/>
      <c r="AN773" s="132"/>
      <c r="AO773" s="132"/>
      <c r="AP773" s="132"/>
      <c r="AQ773" s="132"/>
      <c r="AR773" s="134"/>
      <c r="AS773" s="134"/>
      <c r="AT773" s="132"/>
      <c r="AU773" s="133"/>
      <c r="AV773" s="134"/>
    </row>
    <row r="774" spans="1:48">
      <c r="A774" s="74">
        <v>10337</v>
      </c>
      <c r="B774" s="74" t="s">
        <v>229</v>
      </c>
      <c r="C774" s="74">
        <v>1</v>
      </c>
      <c r="D774" s="74">
        <v>1340</v>
      </c>
      <c r="E774" s="73">
        <v>3.222222226085486E-2</v>
      </c>
      <c r="F774" s="73">
        <v>0.72178899530970719</v>
      </c>
      <c r="G774" s="73">
        <v>5.9999998658895493E-2</v>
      </c>
      <c r="H774" s="73">
        <v>0.23000000417232513</v>
      </c>
      <c r="I774" s="190">
        <v>1188.027</v>
      </c>
      <c r="J774" s="134" t="str">
        <f t="shared" si="95"/>
        <v>keep</v>
      </c>
      <c r="K774" s="134" t="str">
        <f t="shared" si="96"/>
        <v>R38</v>
      </c>
      <c r="L774" s="134" t="str">
        <f t="shared" si="97"/>
        <v>R11</v>
      </c>
      <c r="M774" s="146" t="str">
        <f t="shared" si="93"/>
        <v>R0</v>
      </c>
      <c r="N774" s="146" t="str">
        <f t="shared" si="94"/>
        <v>Better</v>
      </c>
      <c r="O774" s="146" t="str">
        <f t="shared" si="98"/>
        <v>Heat PumpR38R11R0Better</v>
      </c>
      <c r="P774" s="134" t="str">
        <f t="shared" si="99"/>
        <v>Crawlspace</v>
      </c>
      <c r="Q774" s="134"/>
      <c r="R774" s="134"/>
      <c r="S774" s="134"/>
      <c r="T774" s="134"/>
      <c r="U774" s="134"/>
      <c r="V774" s="134"/>
      <c r="W774" s="134"/>
      <c r="X774" s="134"/>
      <c r="Y774" s="134"/>
      <c r="Z774" s="134"/>
      <c r="AA774" s="134"/>
      <c r="AB774" s="134"/>
      <c r="AC774" s="134"/>
      <c r="AD774" s="134"/>
      <c r="AE774" s="134"/>
      <c r="AF774" s="146"/>
      <c r="AG774" s="134"/>
      <c r="AH774" s="134"/>
      <c r="AI774" s="134"/>
      <c r="AJ774" s="134"/>
      <c r="AK774" s="134"/>
      <c r="AL774" s="134"/>
      <c r="AM774" s="146"/>
      <c r="AN774" s="132"/>
      <c r="AO774" s="132"/>
      <c r="AP774" s="132"/>
      <c r="AQ774" s="132"/>
      <c r="AR774" s="134"/>
      <c r="AS774" s="134"/>
      <c r="AT774" s="132"/>
      <c r="AU774" s="133"/>
      <c r="AV774" s="134"/>
    </row>
    <row r="775" spans="1:48">
      <c r="A775" s="74">
        <v>10338</v>
      </c>
      <c r="B775" s="74" t="s">
        <v>228</v>
      </c>
      <c r="C775" s="74">
        <v>1</v>
      </c>
      <c r="D775" s="74">
        <v>1212</v>
      </c>
      <c r="E775" s="73">
        <v>2.500000037252903E-2</v>
      </c>
      <c r="F775" s="73">
        <v>0.56030152191468818</v>
      </c>
      <c r="G775" s="73">
        <v>9.0000003576278687E-2</v>
      </c>
      <c r="H775" s="73">
        <v>5.9999998658895493E-2</v>
      </c>
      <c r="I775" s="190">
        <v>4956.4930000000004</v>
      </c>
      <c r="J775" s="134" t="str">
        <f t="shared" si="95"/>
        <v>keep</v>
      </c>
      <c r="K775" s="134" t="str">
        <f t="shared" si="96"/>
        <v>R38</v>
      </c>
      <c r="L775" s="134" t="str">
        <f t="shared" si="97"/>
        <v>R11</v>
      </c>
      <c r="M775" s="146" t="str">
        <f t="shared" si="93"/>
        <v>R19</v>
      </c>
      <c r="N775" s="146" t="str">
        <f t="shared" si="94"/>
        <v>Better</v>
      </c>
      <c r="O775" s="146" t="str">
        <f t="shared" si="98"/>
        <v>Electric ZonalR38R11R19Better</v>
      </c>
      <c r="P775" s="134" t="str">
        <f t="shared" si="99"/>
        <v>Crawlspace</v>
      </c>
      <c r="Q775" s="134"/>
      <c r="R775" s="134"/>
      <c r="S775" s="134"/>
      <c r="T775" s="134"/>
      <c r="U775" s="134"/>
      <c r="V775" s="134"/>
      <c r="W775" s="134"/>
      <c r="X775" s="134"/>
      <c r="Y775" s="134"/>
      <c r="Z775" s="134"/>
      <c r="AA775" s="134"/>
      <c r="AB775" s="134"/>
      <c r="AC775" s="134"/>
      <c r="AD775" s="134"/>
      <c r="AE775" s="134"/>
      <c r="AF775" s="146"/>
      <c r="AG775" s="134"/>
      <c r="AH775" s="134"/>
      <c r="AI775" s="134"/>
      <c r="AJ775" s="134"/>
      <c r="AK775" s="134"/>
      <c r="AL775" s="134"/>
      <c r="AM775" s="146"/>
      <c r="AN775" s="132"/>
      <c r="AO775" s="132"/>
      <c r="AP775" s="132"/>
      <c r="AQ775" s="132"/>
      <c r="AR775" s="134"/>
      <c r="AS775" s="134"/>
      <c r="AT775" s="132"/>
      <c r="AU775" s="133"/>
      <c r="AV775" s="134"/>
    </row>
    <row r="776" spans="1:48">
      <c r="A776" s="74">
        <v>10388</v>
      </c>
      <c r="B776" s="74" t="s">
        <v>228</v>
      </c>
      <c r="C776" s="74">
        <v>1</v>
      </c>
      <c r="D776" s="74">
        <v>943</v>
      </c>
      <c r="E776" s="73">
        <v>7.9999998211860657E-2</v>
      </c>
      <c r="F776" s="73">
        <v>0.44999998807907104</v>
      </c>
      <c r="G776" s="73">
        <v>8.1974977242882704E-2</v>
      </c>
      <c r="H776" s="73">
        <v>9.0000003576278687E-2</v>
      </c>
      <c r="I776" s="190">
        <v>1464.694</v>
      </c>
      <c r="J776" s="134" t="str">
        <f t="shared" si="95"/>
        <v>keep</v>
      </c>
      <c r="K776" s="134" t="str">
        <f t="shared" si="96"/>
        <v>R19</v>
      </c>
      <c r="L776" s="134" t="str">
        <f t="shared" si="97"/>
        <v>R11</v>
      </c>
      <c r="M776" s="146" t="str">
        <f t="shared" si="93"/>
        <v>R0</v>
      </c>
      <c r="N776" s="146" t="str">
        <f t="shared" si="94"/>
        <v>Better</v>
      </c>
      <c r="O776" s="146" t="str">
        <f t="shared" si="98"/>
        <v>Electric ZonalR19R11R0Better</v>
      </c>
      <c r="P776" s="134" t="str">
        <f t="shared" si="99"/>
        <v>Crawlspace</v>
      </c>
      <c r="Q776" s="134"/>
      <c r="R776" s="134"/>
      <c r="S776" s="134"/>
      <c r="T776" s="134"/>
      <c r="U776" s="134"/>
      <c r="V776" s="134"/>
      <c r="W776" s="134"/>
      <c r="X776" s="134"/>
      <c r="Y776" s="134"/>
      <c r="Z776" s="134"/>
      <c r="AA776" s="134"/>
      <c r="AB776" s="134"/>
      <c r="AC776" s="134"/>
      <c r="AD776" s="134"/>
      <c r="AE776" s="134"/>
      <c r="AF776" s="146"/>
      <c r="AG776" s="134"/>
      <c r="AH776" s="134"/>
      <c r="AI776" s="134"/>
      <c r="AJ776" s="134"/>
      <c r="AK776" s="134"/>
      <c r="AL776" s="134"/>
      <c r="AM776" s="146"/>
      <c r="AN776" s="132"/>
      <c r="AO776" s="132"/>
      <c r="AP776" s="132"/>
      <c r="AQ776" s="132"/>
      <c r="AR776" s="134"/>
      <c r="AS776" s="134"/>
      <c r="AT776" s="132"/>
      <c r="AU776" s="133"/>
      <c r="AV776" s="134"/>
    </row>
    <row r="777" spans="1:48">
      <c r="A777" s="74">
        <v>10401</v>
      </c>
      <c r="B777" s="74" t="s">
        <v>227</v>
      </c>
      <c r="C777" s="74">
        <v>4</v>
      </c>
      <c r="D777" s="74">
        <v>2525</v>
      </c>
      <c r="E777" s="73">
        <v>7.5000002980232239E-2</v>
      </c>
      <c r="F777" s="73">
        <v>0.8103053610743457</v>
      </c>
      <c r="G777" s="73">
        <v>0.23400000000000004</v>
      </c>
      <c r="H777" s="73">
        <v>0</v>
      </c>
      <c r="I777" s="190">
        <v>2003.7159999999999</v>
      </c>
      <c r="J777" s="134" t="str">
        <f t="shared" si="95"/>
        <v>keep</v>
      </c>
      <c r="K777" s="134" t="str">
        <f t="shared" si="96"/>
        <v>R19</v>
      </c>
      <c r="L777" s="134" t="str">
        <f t="shared" si="97"/>
        <v>R0</v>
      </c>
      <c r="M777" s="146" t="str">
        <f t="shared" si="93"/>
        <v>Basement</v>
      </c>
      <c r="N777" s="146" t="str">
        <f t="shared" si="94"/>
        <v>Double</v>
      </c>
      <c r="O777" s="146" t="str">
        <f t="shared" si="98"/>
        <v>Electric FAFR19R0BasementDouble</v>
      </c>
      <c r="P777" s="134" t="str">
        <f t="shared" si="99"/>
        <v>Basement</v>
      </c>
      <c r="Q777" s="134"/>
      <c r="R777" s="134"/>
      <c r="S777" s="134"/>
      <c r="T777" s="134"/>
      <c r="U777" s="134"/>
      <c r="V777" s="134"/>
      <c r="W777" s="134"/>
      <c r="X777" s="134"/>
      <c r="Y777" s="134"/>
      <c r="Z777" s="134"/>
      <c r="AA777" s="134"/>
      <c r="AB777" s="134"/>
      <c r="AC777" s="134"/>
      <c r="AD777" s="134"/>
      <c r="AE777" s="134"/>
      <c r="AF777" s="146"/>
      <c r="AG777" s="134"/>
      <c r="AH777" s="134"/>
      <c r="AI777" s="134"/>
      <c r="AJ777" s="134"/>
      <c r="AK777" s="134"/>
      <c r="AL777" s="134"/>
      <c r="AM777" s="146"/>
      <c r="AN777" s="132"/>
      <c r="AO777" s="132"/>
      <c r="AP777" s="132"/>
      <c r="AQ777" s="132"/>
      <c r="AR777" s="134"/>
      <c r="AS777" s="134"/>
      <c r="AT777" s="132"/>
      <c r="AU777" s="133"/>
      <c r="AV777" s="134"/>
    </row>
    <row r="778" spans="1:48">
      <c r="A778" s="74">
        <v>10411</v>
      </c>
      <c r="B778" s="74" t="s">
        <v>228</v>
      </c>
      <c r="C778" s="74">
        <v>1</v>
      </c>
      <c r="D778" s="74">
        <v>1076</v>
      </c>
      <c r="E778" s="73">
        <v>2.500000037252903E-2</v>
      </c>
      <c r="F778" s="73">
        <v>0.44999998807907104</v>
      </c>
      <c r="G778" s="73">
        <v>5.9999998658895493E-2</v>
      </c>
      <c r="H778" s="73">
        <v>6.4999997615814209E-2</v>
      </c>
      <c r="I778" s="190">
        <v>1150.8789999999999</v>
      </c>
      <c r="J778" s="134" t="str">
        <f t="shared" si="95"/>
        <v>keep</v>
      </c>
      <c r="K778" s="134" t="str">
        <f t="shared" si="96"/>
        <v>R38</v>
      </c>
      <c r="L778" s="134" t="str">
        <f t="shared" si="97"/>
        <v>R11</v>
      </c>
      <c r="M778" s="146" t="str">
        <f t="shared" si="93"/>
        <v>R19</v>
      </c>
      <c r="N778" s="146" t="str">
        <f t="shared" si="94"/>
        <v>Better</v>
      </c>
      <c r="O778" s="146" t="str">
        <f t="shared" si="98"/>
        <v>Electric ZonalR38R11R19Better</v>
      </c>
      <c r="P778" s="134" t="str">
        <f t="shared" si="99"/>
        <v>Crawlspace</v>
      </c>
      <c r="Q778" s="134"/>
      <c r="R778" s="134"/>
      <c r="S778" s="134"/>
      <c r="T778" s="134"/>
      <c r="U778" s="134"/>
      <c r="V778" s="134"/>
      <c r="W778" s="134"/>
      <c r="X778" s="134"/>
      <c r="Y778" s="134"/>
      <c r="Z778" s="134"/>
      <c r="AA778" s="134"/>
      <c r="AB778" s="134"/>
      <c r="AC778" s="134"/>
      <c r="AD778" s="134"/>
      <c r="AE778" s="134"/>
      <c r="AF778" s="146"/>
      <c r="AG778" s="134"/>
      <c r="AH778" s="134"/>
      <c r="AI778" s="134"/>
      <c r="AJ778" s="134"/>
      <c r="AK778" s="134"/>
      <c r="AL778" s="134"/>
      <c r="AM778" s="146"/>
      <c r="AN778" s="132"/>
      <c r="AO778" s="132"/>
      <c r="AP778" s="132"/>
      <c r="AQ778" s="132"/>
      <c r="AR778" s="134"/>
      <c r="AS778" s="134"/>
      <c r="AT778" s="132"/>
      <c r="AU778" s="133"/>
      <c r="AV778" s="134"/>
    </row>
    <row r="779" spans="1:48">
      <c r="A779" s="74">
        <v>10421</v>
      </c>
      <c r="B779" s="74" t="s">
        <v>228</v>
      </c>
      <c r="C779" s="74">
        <v>1</v>
      </c>
      <c r="D779" s="74">
        <v>1218</v>
      </c>
      <c r="E779" s="73">
        <v>3.5000000149011612E-2</v>
      </c>
      <c r="F779" s="73">
        <v>0.60000002384185791</v>
      </c>
      <c r="G779" s="73">
        <v>9.0000003576278687E-2</v>
      </c>
      <c r="H779" s="73">
        <v>6.4999997615814209E-2</v>
      </c>
      <c r="I779" s="190">
        <v>1464.694</v>
      </c>
      <c r="J779" s="134" t="str">
        <f t="shared" si="95"/>
        <v>keep</v>
      </c>
      <c r="K779" s="134" t="str">
        <f t="shared" si="96"/>
        <v>R38</v>
      </c>
      <c r="L779" s="134" t="str">
        <f t="shared" si="97"/>
        <v>R11</v>
      </c>
      <c r="M779" s="146" t="str">
        <f t="shared" si="93"/>
        <v>R19</v>
      </c>
      <c r="N779" s="146" t="str">
        <f t="shared" si="94"/>
        <v>Better</v>
      </c>
      <c r="O779" s="146" t="str">
        <f t="shared" si="98"/>
        <v>Electric ZonalR38R11R19Better</v>
      </c>
      <c r="P779" s="134" t="str">
        <f t="shared" si="99"/>
        <v>Crawlspace</v>
      </c>
      <c r="Q779" s="134"/>
      <c r="R779" s="134"/>
      <c r="S779" s="134"/>
      <c r="T779" s="134"/>
      <c r="U779" s="134"/>
      <c r="V779" s="134"/>
      <c r="W779" s="134"/>
      <c r="X779" s="134"/>
      <c r="Y779" s="134"/>
      <c r="Z779" s="134"/>
      <c r="AA779" s="134"/>
      <c r="AB779" s="134"/>
      <c r="AC779" s="134"/>
      <c r="AD779" s="134"/>
      <c r="AE779" s="134"/>
      <c r="AF779" s="146"/>
      <c r="AG779" s="134"/>
      <c r="AH779" s="134"/>
      <c r="AI779" s="134"/>
      <c r="AJ779" s="134"/>
      <c r="AK779" s="134"/>
      <c r="AL779" s="134"/>
      <c r="AM779" s="146"/>
      <c r="AN779" s="132"/>
      <c r="AO779" s="132"/>
      <c r="AP779" s="132"/>
      <c r="AQ779" s="132"/>
      <c r="AR779" s="134"/>
      <c r="AS779" s="134"/>
      <c r="AT779" s="132"/>
      <c r="AU779" s="133"/>
      <c r="AV779" s="134"/>
    </row>
    <row r="780" spans="1:48">
      <c r="A780" s="74">
        <v>10430</v>
      </c>
      <c r="B780" s="74" t="s">
        <v>228</v>
      </c>
      <c r="C780" s="74" t="s">
        <v>673</v>
      </c>
      <c r="D780" s="74">
        <v>1868</v>
      </c>
      <c r="E780" s="73">
        <v>8.2200211574778942E-2</v>
      </c>
      <c r="F780" s="73">
        <v>0.66045342434563625</v>
      </c>
      <c r="G780" s="73">
        <v>9.0000003576278687E-2</v>
      </c>
      <c r="H780" s="73">
        <v>6.4999997615814209E-2</v>
      </c>
      <c r="I780" s="190">
        <v>1464.694</v>
      </c>
      <c r="J780" s="134" t="str">
        <f t="shared" si="95"/>
        <v>ignore</v>
      </c>
      <c r="K780" s="134" t="str">
        <f t="shared" si="96"/>
        <v>R19</v>
      </c>
      <c r="L780" s="134" t="str">
        <f t="shared" si="97"/>
        <v>R11</v>
      </c>
      <c r="M780" s="146" t="str">
        <f t="shared" si="93"/>
        <v>R19</v>
      </c>
      <c r="N780" s="146" t="str">
        <f t="shared" si="94"/>
        <v>Better</v>
      </c>
      <c r="O780" s="146" t="str">
        <f t="shared" si="98"/>
        <v>Electric ZonalR19R11R19Better</v>
      </c>
      <c r="P780" s="134" t="str">
        <f t="shared" si="99"/>
        <v>error</v>
      </c>
      <c r="Q780" s="134"/>
      <c r="R780" s="134"/>
      <c r="S780" s="134"/>
      <c r="T780" s="134"/>
      <c r="U780" s="134"/>
      <c r="V780" s="134"/>
      <c r="W780" s="134"/>
      <c r="X780" s="134"/>
      <c r="Y780" s="134"/>
      <c r="Z780" s="134"/>
      <c r="AA780" s="134"/>
      <c r="AB780" s="134"/>
      <c r="AC780" s="134"/>
      <c r="AD780" s="134"/>
      <c r="AE780" s="134"/>
      <c r="AF780" s="146"/>
      <c r="AG780" s="134"/>
      <c r="AH780" s="134"/>
      <c r="AI780" s="134"/>
      <c r="AJ780" s="134"/>
      <c r="AK780" s="134"/>
      <c r="AL780" s="134"/>
      <c r="AM780" s="146"/>
      <c r="AN780" s="132"/>
      <c r="AO780" s="132"/>
      <c r="AP780" s="132"/>
      <c r="AQ780" s="132"/>
      <c r="AR780" s="134"/>
      <c r="AS780" s="134"/>
      <c r="AT780" s="132"/>
      <c r="AU780" s="133"/>
      <c r="AV780" s="134"/>
    </row>
    <row r="781" spans="1:48">
      <c r="A781" s="74">
        <v>10466</v>
      </c>
      <c r="B781" s="74" t="s">
        <v>228</v>
      </c>
      <c r="C781" s="74">
        <v>2</v>
      </c>
      <c r="D781" s="74">
        <v>1066</v>
      </c>
      <c r="E781" s="73">
        <v>7.9999998211860657E-2</v>
      </c>
      <c r="F781" s="73">
        <v>0.60000002384185791</v>
      </c>
      <c r="G781" s="73">
        <v>0.23400000000000001</v>
      </c>
      <c r="H781" s="73">
        <v>0</v>
      </c>
      <c r="I781" s="190">
        <v>1464.694</v>
      </c>
      <c r="J781" s="134" t="str">
        <f t="shared" si="95"/>
        <v>keep</v>
      </c>
      <c r="K781" s="134" t="str">
        <f t="shared" si="96"/>
        <v>R19</v>
      </c>
      <c r="L781" s="134" t="str">
        <f t="shared" si="97"/>
        <v>R0</v>
      </c>
      <c r="M781" s="146" t="str">
        <f t="shared" si="93"/>
        <v>Slab</v>
      </c>
      <c r="N781" s="146" t="str">
        <f t="shared" si="94"/>
        <v>Better</v>
      </c>
      <c r="O781" s="146" t="str">
        <f t="shared" si="98"/>
        <v>Electric ZonalR19R0SlabBetter</v>
      </c>
      <c r="P781" s="134" t="str">
        <f t="shared" si="99"/>
        <v>Slab</v>
      </c>
      <c r="Q781" s="134"/>
      <c r="R781" s="134"/>
      <c r="S781" s="134"/>
      <c r="T781" s="134"/>
      <c r="U781" s="134"/>
      <c r="V781" s="134"/>
      <c r="W781" s="134"/>
      <c r="X781" s="134"/>
      <c r="Y781" s="134"/>
      <c r="Z781" s="134"/>
      <c r="AA781" s="134"/>
      <c r="AB781" s="134"/>
      <c r="AC781" s="134"/>
      <c r="AD781" s="134"/>
      <c r="AE781" s="134"/>
      <c r="AF781" s="146"/>
      <c r="AG781" s="134"/>
      <c r="AH781" s="134"/>
      <c r="AI781" s="134"/>
      <c r="AJ781" s="134"/>
      <c r="AK781" s="134"/>
      <c r="AL781" s="134"/>
      <c r="AM781" s="146"/>
      <c r="AN781" s="132"/>
      <c r="AO781" s="132"/>
      <c r="AP781" s="132"/>
      <c r="AQ781" s="132"/>
      <c r="AR781" s="134"/>
      <c r="AS781" s="134"/>
      <c r="AT781" s="132"/>
      <c r="AU781" s="133"/>
      <c r="AV781" s="134"/>
    </row>
    <row r="782" spans="1:48">
      <c r="A782" s="74">
        <v>10496</v>
      </c>
      <c r="B782" s="74" t="s">
        <v>228</v>
      </c>
      <c r="C782" s="74">
        <v>1</v>
      </c>
      <c r="D782" s="74">
        <v>1112</v>
      </c>
      <c r="E782" s="73">
        <v>1.9999999552965164E-2</v>
      </c>
      <c r="F782" s="73">
        <v>0.55000001192092896</v>
      </c>
      <c r="G782" s="73">
        <v>5.9999998658895493E-2</v>
      </c>
      <c r="H782" s="73">
        <v>0.23000000417232513</v>
      </c>
      <c r="I782" s="190">
        <v>1150.8789999999999</v>
      </c>
      <c r="J782" s="134" t="str">
        <f t="shared" si="95"/>
        <v>keep</v>
      </c>
      <c r="K782" s="134" t="str">
        <f t="shared" si="96"/>
        <v>R38</v>
      </c>
      <c r="L782" s="134" t="str">
        <f t="shared" si="97"/>
        <v>R11</v>
      </c>
      <c r="M782" s="146" t="str">
        <f t="shared" si="93"/>
        <v>R0</v>
      </c>
      <c r="N782" s="146" t="str">
        <f t="shared" si="94"/>
        <v>Better</v>
      </c>
      <c r="O782" s="146" t="str">
        <f t="shared" si="98"/>
        <v>Electric ZonalR38R11R0Better</v>
      </c>
      <c r="P782" s="134" t="str">
        <f t="shared" si="99"/>
        <v>Crawlspace</v>
      </c>
      <c r="Q782" s="134"/>
      <c r="R782" s="134"/>
      <c r="S782" s="134"/>
      <c r="T782" s="134"/>
      <c r="U782" s="134"/>
      <c r="V782" s="134"/>
      <c r="W782" s="134"/>
      <c r="X782" s="134"/>
      <c r="Y782" s="134"/>
      <c r="Z782" s="134"/>
      <c r="AA782" s="134"/>
      <c r="AB782" s="134"/>
      <c r="AC782" s="134"/>
      <c r="AD782" s="134"/>
      <c r="AE782" s="134"/>
      <c r="AF782" s="146"/>
      <c r="AG782" s="134"/>
      <c r="AH782" s="134"/>
      <c r="AI782" s="134"/>
      <c r="AJ782" s="134"/>
      <c r="AK782" s="134"/>
      <c r="AL782" s="134"/>
      <c r="AM782" s="146"/>
      <c r="AN782" s="132"/>
      <c r="AO782" s="132"/>
      <c r="AP782" s="132"/>
      <c r="AQ782" s="132"/>
      <c r="AR782" s="134"/>
      <c r="AS782" s="134"/>
      <c r="AT782" s="132"/>
      <c r="AU782" s="133"/>
      <c r="AV782" s="134"/>
    </row>
    <row r="783" spans="1:48">
      <c r="A783" s="74">
        <v>10525</v>
      </c>
      <c r="B783" s="74" t="s">
        <v>227</v>
      </c>
      <c r="C783" s="74">
        <v>1</v>
      </c>
      <c r="D783" s="74">
        <v>1116</v>
      </c>
      <c r="E783" s="73">
        <v>0.27433961995367734</v>
      </c>
      <c r="F783" s="73">
        <v>0.50803571407284054</v>
      </c>
      <c r="G783" s="73">
        <v>7.9999998211860657E-2</v>
      </c>
      <c r="H783" s="73">
        <v>2.9999999329447746E-2</v>
      </c>
      <c r="I783" s="190">
        <v>1464.694</v>
      </c>
      <c r="J783" s="134" t="str">
        <f t="shared" si="95"/>
        <v>keep</v>
      </c>
      <c r="K783" s="134" t="str">
        <f t="shared" si="96"/>
        <v>R0</v>
      </c>
      <c r="L783" s="134" t="str">
        <f t="shared" si="97"/>
        <v>R11</v>
      </c>
      <c r="M783" s="146" t="str">
        <f t="shared" si="93"/>
        <v>Better</v>
      </c>
      <c r="N783" s="146" t="str">
        <f t="shared" si="94"/>
        <v>Better</v>
      </c>
      <c r="O783" s="146" t="str">
        <f t="shared" si="98"/>
        <v>Electric FAFR0R11BetterBetter</v>
      </c>
      <c r="P783" s="134" t="str">
        <f t="shared" si="99"/>
        <v>Crawlspace</v>
      </c>
      <c r="Q783" s="134"/>
      <c r="R783" s="134"/>
      <c r="S783" s="134"/>
      <c r="T783" s="134"/>
      <c r="U783" s="134"/>
      <c r="V783" s="134"/>
      <c r="W783" s="134"/>
      <c r="X783" s="134"/>
      <c r="Y783" s="134"/>
      <c r="Z783" s="134"/>
      <c r="AA783" s="134"/>
      <c r="AB783" s="134"/>
      <c r="AC783" s="134"/>
      <c r="AD783" s="134"/>
      <c r="AE783" s="134"/>
      <c r="AF783" s="146"/>
      <c r="AG783" s="134"/>
      <c r="AH783" s="134"/>
      <c r="AI783" s="134"/>
      <c r="AJ783" s="134"/>
      <c r="AK783" s="134"/>
      <c r="AL783" s="134"/>
      <c r="AM783" s="146"/>
      <c r="AN783" s="132"/>
      <c r="AO783" s="132"/>
      <c r="AP783" s="132"/>
      <c r="AQ783" s="132"/>
      <c r="AR783" s="134"/>
      <c r="AS783" s="134"/>
      <c r="AT783" s="132"/>
      <c r="AU783" s="133"/>
      <c r="AV783" s="134"/>
    </row>
    <row r="784" spans="1:48">
      <c r="A784" s="74">
        <v>10537</v>
      </c>
      <c r="B784" s="74" t="s">
        <v>228</v>
      </c>
      <c r="C784" s="74" t="s">
        <v>673</v>
      </c>
      <c r="D784" s="74">
        <v>2463</v>
      </c>
      <c r="E784" s="73">
        <v>0.10999999940395355</v>
      </c>
      <c r="F784" s="73">
        <v>0.5</v>
      </c>
      <c r="G784" s="73">
        <v>7.9999998211860657E-2</v>
      </c>
      <c r="H784" s="73">
        <v>6.4999997615814209E-2</v>
      </c>
      <c r="I784" s="190">
        <v>4956.4930000000004</v>
      </c>
      <c r="J784" s="134" t="str">
        <f t="shared" si="95"/>
        <v>ignore</v>
      </c>
      <c r="K784" s="134" t="str">
        <f t="shared" si="96"/>
        <v>R11</v>
      </c>
      <c r="L784" s="134" t="str">
        <f t="shared" si="97"/>
        <v>R11</v>
      </c>
      <c r="M784" s="146" t="str">
        <f t="shared" si="93"/>
        <v>R19</v>
      </c>
      <c r="N784" s="146" t="str">
        <f t="shared" si="94"/>
        <v>Better</v>
      </c>
      <c r="O784" s="146" t="str">
        <f t="shared" si="98"/>
        <v>Electric ZonalR11R11R19Better</v>
      </c>
      <c r="P784" s="134" t="str">
        <f t="shared" si="99"/>
        <v>error</v>
      </c>
      <c r="Q784" s="134"/>
      <c r="R784" s="134"/>
      <c r="S784" s="134"/>
      <c r="T784" s="134"/>
      <c r="U784" s="134"/>
      <c r="V784" s="134"/>
      <c r="W784" s="134"/>
      <c r="X784" s="134"/>
      <c r="Y784" s="134"/>
      <c r="Z784" s="134"/>
      <c r="AA784" s="134"/>
      <c r="AB784" s="134"/>
      <c r="AC784" s="134"/>
      <c r="AD784" s="134"/>
      <c r="AE784" s="134"/>
      <c r="AF784" s="146"/>
      <c r="AG784" s="134"/>
      <c r="AH784" s="134"/>
      <c r="AI784" s="134"/>
      <c r="AJ784" s="134"/>
      <c r="AK784" s="134"/>
      <c r="AL784" s="134"/>
      <c r="AM784" s="146"/>
      <c r="AN784" s="132"/>
      <c r="AO784" s="132"/>
      <c r="AP784" s="132"/>
      <c r="AQ784" s="132"/>
      <c r="AR784" s="134"/>
      <c r="AS784" s="134"/>
      <c r="AT784" s="132"/>
      <c r="AU784" s="133"/>
      <c r="AV784" s="134"/>
    </row>
    <row r="785" spans="1:48">
      <c r="A785" s="74">
        <v>10540</v>
      </c>
      <c r="B785" s="74" t="s">
        <v>229</v>
      </c>
      <c r="C785" s="74" t="s">
        <v>673</v>
      </c>
      <c r="D785" s="74">
        <v>2100</v>
      </c>
      <c r="E785" s="73">
        <v>2.500000037252903E-2</v>
      </c>
      <c r="F785" s="73">
        <v>0.55000001192092896</v>
      </c>
      <c r="G785" s="73">
        <v>5.9999998658895493E-2</v>
      </c>
      <c r="H785" s="73">
        <v>2.9999999329447746E-2</v>
      </c>
      <c r="I785" s="190">
        <v>6932.7380000000003</v>
      </c>
      <c r="J785" s="134" t="str">
        <f t="shared" si="95"/>
        <v>ignore</v>
      </c>
      <c r="K785" s="134" t="str">
        <f t="shared" si="96"/>
        <v>R38</v>
      </c>
      <c r="L785" s="134" t="str">
        <f t="shared" si="97"/>
        <v>R11</v>
      </c>
      <c r="M785" s="146" t="str">
        <f t="shared" si="93"/>
        <v>Better</v>
      </c>
      <c r="N785" s="146" t="str">
        <f t="shared" si="94"/>
        <v>Better</v>
      </c>
      <c r="O785" s="146" t="str">
        <f t="shared" si="98"/>
        <v>Heat PumpR38R11BetterBetter</v>
      </c>
      <c r="P785" s="134" t="str">
        <f t="shared" si="99"/>
        <v>error</v>
      </c>
      <c r="Q785" s="134"/>
      <c r="R785" s="134"/>
      <c r="S785" s="134"/>
      <c r="T785" s="134"/>
      <c r="U785" s="134"/>
      <c r="V785" s="134"/>
      <c r="W785" s="134"/>
      <c r="X785" s="134"/>
      <c r="Y785" s="134"/>
      <c r="Z785" s="134"/>
      <c r="AA785" s="134"/>
      <c r="AB785" s="134"/>
      <c r="AC785" s="134"/>
      <c r="AD785" s="134"/>
      <c r="AE785" s="134"/>
      <c r="AF785" s="146"/>
      <c r="AG785" s="134"/>
      <c r="AH785" s="134"/>
      <c r="AI785" s="134"/>
      <c r="AJ785" s="134"/>
      <c r="AK785" s="134"/>
      <c r="AL785" s="134"/>
      <c r="AM785" s="146"/>
      <c r="AN785" s="132"/>
      <c r="AO785" s="132"/>
      <c r="AP785" s="132"/>
      <c r="AQ785" s="132"/>
      <c r="AR785" s="134"/>
      <c r="AS785" s="134"/>
      <c r="AT785" s="132"/>
      <c r="AU785" s="133"/>
      <c r="AV785" s="134"/>
    </row>
    <row r="786" spans="1:48">
      <c r="A786" s="74">
        <v>10552</v>
      </c>
      <c r="B786" s="74" t="s">
        <v>229</v>
      </c>
      <c r="C786" s="74">
        <v>4</v>
      </c>
      <c r="D786" s="74">
        <v>2845</v>
      </c>
      <c r="E786" s="73">
        <v>4.0921052378651346E-2</v>
      </c>
      <c r="F786" s="73">
        <v>0.62903227729182087</v>
      </c>
      <c r="G786" s="73">
        <v>9.0000003576278687E-2</v>
      </c>
      <c r="H786" s="73">
        <v>0</v>
      </c>
      <c r="I786" s="190">
        <v>1464.694</v>
      </c>
      <c r="J786" s="134" t="str">
        <f t="shared" si="95"/>
        <v>keep</v>
      </c>
      <c r="K786" s="134" t="str">
        <f t="shared" si="96"/>
        <v>R30</v>
      </c>
      <c r="L786" s="134" t="str">
        <f t="shared" si="97"/>
        <v>R11</v>
      </c>
      <c r="M786" s="146" t="str">
        <f t="shared" si="93"/>
        <v>Basement</v>
      </c>
      <c r="N786" s="146" t="str">
        <f t="shared" si="94"/>
        <v>Better</v>
      </c>
      <c r="O786" s="146" t="str">
        <f t="shared" si="98"/>
        <v>Heat PumpR30R11BasementBetter</v>
      </c>
      <c r="P786" s="134" t="str">
        <f t="shared" si="99"/>
        <v>Basement</v>
      </c>
      <c r="Q786" s="134"/>
      <c r="R786" s="134"/>
      <c r="S786" s="134"/>
      <c r="T786" s="134"/>
      <c r="U786" s="134"/>
      <c r="V786" s="134"/>
      <c r="W786" s="134"/>
      <c r="X786" s="134"/>
      <c r="Y786" s="134"/>
      <c r="Z786" s="134"/>
      <c r="AA786" s="134"/>
      <c r="AB786" s="134"/>
      <c r="AC786" s="134"/>
      <c r="AD786" s="134"/>
      <c r="AE786" s="134"/>
      <c r="AF786" s="146"/>
      <c r="AG786" s="134"/>
      <c r="AH786" s="134"/>
      <c r="AI786" s="134"/>
      <c r="AJ786" s="134"/>
      <c r="AK786" s="134"/>
      <c r="AL786" s="134"/>
      <c r="AM786" s="146"/>
      <c r="AN786" s="132"/>
      <c r="AO786" s="132"/>
      <c r="AP786" s="132"/>
      <c r="AQ786" s="132"/>
      <c r="AR786" s="134"/>
      <c r="AS786" s="134"/>
      <c r="AT786" s="132"/>
      <c r="AU786" s="133"/>
      <c r="AV786" s="134"/>
    </row>
    <row r="787" spans="1:48">
      <c r="A787" s="74">
        <v>10561</v>
      </c>
      <c r="B787" s="74" t="s">
        <v>228</v>
      </c>
      <c r="C787" s="74">
        <v>1</v>
      </c>
      <c r="D787" s="74">
        <v>940</v>
      </c>
      <c r="E787" s="73">
        <v>4.5000001788139343E-2</v>
      </c>
      <c r="F787" s="73">
        <v>1.1000000238418579</v>
      </c>
      <c r="G787" s="73" t="e">
        <v>#VALUE!</v>
      </c>
      <c r="H787" s="73">
        <v>0.15999999642372131</v>
      </c>
      <c r="I787" s="190">
        <v>2003.7159999999999</v>
      </c>
      <c r="J787" s="134" t="str">
        <f t="shared" si="95"/>
        <v>ignore</v>
      </c>
      <c r="K787" s="134" t="str">
        <f t="shared" si="96"/>
        <v>R30</v>
      </c>
      <c r="L787" s="134" t="e">
        <f t="shared" si="97"/>
        <v>#VALUE!</v>
      </c>
      <c r="M787" s="146" t="str">
        <f t="shared" si="93"/>
        <v>R0</v>
      </c>
      <c r="N787" s="146" t="str">
        <f t="shared" si="94"/>
        <v>Single</v>
      </c>
      <c r="O787" s="146" t="e">
        <f t="shared" si="98"/>
        <v>#VALUE!</v>
      </c>
      <c r="P787" s="134" t="str">
        <f t="shared" si="99"/>
        <v>Crawlspace</v>
      </c>
      <c r="Q787" s="134"/>
      <c r="R787" s="134"/>
      <c r="S787" s="134"/>
      <c r="T787" s="134"/>
      <c r="U787" s="134"/>
      <c r="V787" s="134"/>
      <c r="W787" s="134"/>
      <c r="X787" s="134"/>
      <c r="Y787" s="134"/>
      <c r="Z787" s="134"/>
      <c r="AA787" s="134"/>
      <c r="AB787" s="134"/>
      <c r="AC787" s="134"/>
      <c r="AD787" s="134"/>
      <c r="AE787" s="134"/>
      <c r="AF787" s="146"/>
      <c r="AG787" s="134"/>
      <c r="AH787" s="134"/>
      <c r="AI787" s="134"/>
      <c r="AJ787" s="134"/>
      <c r="AK787" s="134"/>
      <c r="AL787" s="134"/>
      <c r="AM787" s="146"/>
      <c r="AN787" s="132"/>
      <c r="AO787" s="132"/>
      <c r="AP787" s="132"/>
      <c r="AQ787" s="132"/>
      <c r="AR787" s="134"/>
      <c r="AS787" s="134"/>
      <c r="AT787" s="132"/>
      <c r="AU787" s="133"/>
      <c r="AV787" s="134"/>
    </row>
    <row r="788" spans="1:48">
      <c r="A788" s="74">
        <v>10567</v>
      </c>
      <c r="B788" s="74" t="s">
        <v>228</v>
      </c>
      <c r="C788" s="74">
        <v>1</v>
      </c>
      <c r="D788" s="74">
        <v>2035</v>
      </c>
      <c r="E788" s="73">
        <v>7.2659574237698366E-2</v>
      </c>
      <c r="F788" s="73">
        <v>0.65603448625268612</v>
      </c>
      <c r="G788" s="73">
        <v>9.0000003576278687E-2</v>
      </c>
      <c r="H788" s="73">
        <v>6.4999997615814209E-2</v>
      </c>
      <c r="I788" s="190">
        <v>2003.7159999999999</v>
      </c>
      <c r="J788" s="134" t="str">
        <f t="shared" si="95"/>
        <v>keep</v>
      </c>
      <c r="K788" s="134" t="str">
        <f t="shared" si="96"/>
        <v>R19</v>
      </c>
      <c r="L788" s="134" t="str">
        <f t="shared" si="97"/>
        <v>R11</v>
      </c>
      <c r="M788" s="146" t="str">
        <f t="shared" si="93"/>
        <v>R19</v>
      </c>
      <c r="N788" s="146" t="str">
        <f t="shared" si="94"/>
        <v>Better</v>
      </c>
      <c r="O788" s="146" t="str">
        <f t="shared" si="98"/>
        <v>Electric ZonalR19R11R19Better</v>
      </c>
      <c r="P788" s="134" t="str">
        <f t="shared" si="99"/>
        <v>Crawlspace</v>
      </c>
      <c r="Q788" s="134"/>
      <c r="R788" s="134"/>
      <c r="S788" s="134"/>
      <c r="T788" s="134"/>
      <c r="U788" s="134"/>
      <c r="V788" s="134"/>
      <c r="W788" s="134"/>
      <c r="X788" s="134"/>
      <c r="Y788" s="134"/>
      <c r="Z788" s="134"/>
      <c r="AA788" s="134"/>
      <c r="AB788" s="134"/>
      <c r="AC788" s="134"/>
      <c r="AD788" s="134"/>
      <c r="AE788" s="134"/>
      <c r="AF788" s="146"/>
      <c r="AG788" s="134"/>
      <c r="AH788" s="134"/>
      <c r="AI788" s="134"/>
      <c r="AJ788" s="134"/>
      <c r="AK788" s="134"/>
      <c r="AL788" s="134"/>
      <c r="AM788" s="146"/>
      <c r="AN788" s="132"/>
      <c r="AO788" s="132"/>
      <c r="AP788" s="132"/>
      <c r="AQ788" s="132"/>
      <c r="AR788" s="134"/>
      <c r="AS788" s="134"/>
      <c r="AT788" s="132"/>
      <c r="AU788" s="133"/>
      <c r="AV788" s="134"/>
    </row>
    <row r="789" spans="1:48">
      <c r="A789" s="74">
        <v>10580</v>
      </c>
      <c r="B789" s="74" t="s">
        <v>229</v>
      </c>
      <c r="C789" s="74" t="s">
        <v>673</v>
      </c>
      <c r="D789" s="74">
        <v>1675</v>
      </c>
      <c r="E789" s="73">
        <v>9.0000003576278687E-2</v>
      </c>
      <c r="F789" s="73">
        <v>0.55000001192092896</v>
      </c>
      <c r="G789" s="73">
        <v>9.0000003576278687E-2</v>
      </c>
      <c r="H789" s="73">
        <v>0.23000000417232513</v>
      </c>
      <c r="I789" s="190">
        <v>1524.7619999999999</v>
      </c>
      <c r="J789" s="134" t="str">
        <f t="shared" si="95"/>
        <v>ignore</v>
      </c>
      <c r="K789" s="134" t="str">
        <f t="shared" si="96"/>
        <v>R11</v>
      </c>
      <c r="L789" s="134" t="str">
        <f t="shared" si="97"/>
        <v>R11</v>
      </c>
      <c r="M789" s="146" t="str">
        <f t="shared" si="93"/>
        <v>R0</v>
      </c>
      <c r="N789" s="146" t="str">
        <f t="shared" si="94"/>
        <v>Better</v>
      </c>
      <c r="O789" s="146" t="str">
        <f t="shared" si="98"/>
        <v>Heat PumpR11R11R0Better</v>
      </c>
      <c r="P789" s="134" t="str">
        <f t="shared" si="99"/>
        <v>error</v>
      </c>
      <c r="Q789" s="134"/>
      <c r="R789" s="134"/>
      <c r="S789" s="134"/>
      <c r="T789" s="134"/>
      <c r="U789" s="134"/>
      <c r="V789" s="134"/>
      <c r="W789" s="134"/>
      <c r="X789" s="134"/>
      <c r="Y789" s="134"/>
      <c r="Z789" s="134"/>
      <c r="AA789" s="134"/>
      <c r="AB789" s="134"/>
      <c r="AC789" s="134"/>
      <c r="AD789" s="134"/>
      <c r="AE789" s="134"/>
      <c r="AF789" s="146"/>
      <c r="AG789" s="134"/>
      <c r="AH789" s="134"/>
      <c r="AI789" s="134"/>
      <c r="AJ789" s="134"/>
      <c r="AK789" s="134"/>
      <c r="AL789" s="134"/>
      <c r="AM789" s="146"/>
      <c r="AN789" s="132"/>
      <c r="AO789" s="132"/>
      <c r="AP789" s="132"/>
      <c r="AQ789" s="132"/>
      <c r="AR789" s="134"/>
      <c r="AS789" s="134"/>
      <c r="AT789" s="132"/>
      <c r="AU789" s="133"/>
      <c r="AV789" s="134"/>
    </row>
    <row r="790" spans="1:48">
      <c r="A790" s="74">
        <v>10585</v>
      </c>
      <c r="B790" s="74" t="s">
        <v>227</v>
      </c>
      <c r="C790" s="74" t="s">
        <v>673</v>
      </c>
      <c r="D790" s="74">
        <v>1577</v>
      </c>
      <c r="E790" s="73">
        <v>2.500000037252903E-2</v>
      </c>
      <c r="F790" s="73">
        <v>0.60000002384185791</v>
      </c>
      <c r="G790" s="73">
        <v>7.9999998211860657E-2</v>
      </c>
      <c r="H790" s="73">
        <v>2.9999999329447746E-2</v>
      </c>
      <c r="I790" s="190">
        <v>2003.7159999999999</v>
      </c>
      <c r="J790" s="134" t="str">
        <f t="shared" si="95"/>
        <v>ignore</v>
      </c>
      <c r="K790" s="134" t="str">
        <f t="shared" si="96"/>
        <v>R38</v>
      </c>
      <c r="L790" s="134" t="str">
        <f t="shared" si="97"/>
        <v>R11</v>
      </c>
      <c r="M790" s="146" t="str">
        <f t="shared" si="93"/>
        <v>Better</v>
      </c>
      <c r="N790" s="146" t="str">
        <f t="shared" si="94"/>
        <v>Better</v>
      </c>
      <c r="O790" s="146" t="str">
        <f t="shared" si="98"/>
        <v>Electric FAFR38R11BetterBetter</v>
      </c>
      <c r="P790" s="134" t="str">
        <f t="shared" si="99"/>
        <v>error</v>
      </c>
      <c r="Q790" s="134"/>
      <c r="R790" s="134"/>
      <c r="S790" s="134"/>
      <c r="T790" s="134"/>
      <c r="U790" s="134"/>
      <c r="V790" s="134"/>
      <c r="W790" s="134"/>
      <c r="X790" s="134"/>
      <c r="Y790" s="134"/>
      <c r="Z790" s="134"/>
      <c r="AA790" s="134"/>
      <c r="AB790" s="134"/>
      <c r="AC790" s="134"/>
      <c r="AD790" s="134"/>
      <c r="AE790" s="134"/>
      <c r="AF790" s="146"/>
      <c r="AG790" s="134"/>
      <c r="AH790" s="134"/>
      <c r="AI790" s="134"/>
      <c r="AJ790" s="134"/>
      <c r="AK790" s="134"/>
      <c r="AL790" s="134"/>
      <c r="AM790" s="146"/>
      <c r="AN790" s="132"/>
      <c r="AO790" s="132"/>
      <c r="AP790" s="132"/>
      <c r="AQ790" s="132"/>
      <c r="AR790" s="134"/>
      <c r="AS790" s="134"/>
      <c r="AT790" s="132"/>
      <c r="AU790" s="133"/>
      <c r="AV790" s="134"/>
    </row>
    <row r="791" spans="1:48">
      <c r="A791" s="74">
        <v>10612</v>
      </c>
      <c r="B791" s="74" t="s">
        <v>229</v>
      </c>
      <c r="C791" s="74">
        <v>1</v>
      </c>
      <c r="D791" s="74">
        <v>1748</v>
      </c>
      <c r="E791" s="73">
        <v>2.500000037252903E-2</v>
      </c>
      <c r="F791" s="73">
        <v>0.56053512790131332</v>
      </c>
      <c r="G791" s="73">
        <v>5.9999998658895493E-2</v>
      </c>
      <c r="H791" s="73">
        <v>0.10000000149011612</v>
      </c>
      <c r="I791" s="190">
        <v>6932.7380000000003</v>
      </c>
      <c r="J791" s="134" t="str">
        <f t="shared" si="95"/>
        <v>keep</v>
      </c>
      <c r="K791" s="134" t="str">
        <f t="shared" si="96"/>
        <v>R38</v>
      </c>
      <c r="L791" s="134" t="str">
        <f t="shared" si="97"/>
        <v>R11</v>
      </c>
      <c r="M791" s="146" t="str">
        <f t="shared" si="93"/>
        <v>R0</v>
      </c>
      <c r="N791" s="146" t="str">
        <f t="shared" si="94"/>
        <v>Better</v>
      </c>
      <c r="O791" s="146" t="str">
        <f t="shared" si="98"/>
        <v>Heat PumpR38R11R0Better</v>
      </c>
      <c r="P791" s="134" t="str">
        <f t="shared" si="99"/>
        <v>Crawlspace</v>
      </c>
      <c r="Q791" s="134"/>
      <c r="R791" s="134"/>
      <c r="S791" s="134"/>
      <c r="T791" s="134"/>
      <c r="U791" s="134"/>
      <c r="V791" s="134"/>
      <c r="W791" s="134"/>
      <c r="X791" s="134"/>
      <c r="Y791" s="134"/>
      <c r="Z791" s="134"/>
      <c r="AA791" s="134"/>
      <c r="AB791" s="134"/>
      <c r="AC791" s="134"/>
      <c r="AD791" s="134"/>
      <c r="AE791" s="134"/>
      <c r="AF791" s="146"/>
      <c r="AG791" s="134"/>
      <c r="AH791" s="134"/>
      <c r="AI791" s="134"/>
      <c r="AJ791" s="134"/>
      <c r="AK791" s="134"/>
      <c r="AL791" s="134"/>
      <c r="AM791" s="146"/>
      <c r="AN791" s="132"/>
      <c r="AO791" s="132"/>
      <c r="AP791" s="132"/>
      <c r="AQ791" s="132"/>
      <c r="AR791" s="134"/>
      <c r="AS791" s="134"/>
      <c r="AT791" s="132"/>
      <c r="AU791" s="133"/>
      <c r="AV791" s="134"/>
    </row>
    <row r="792" spans="1:48">
      <c r="A792" s="74">
        <v>10637</v>
      </c>
      <c r="B792" s="74" t="s">
        <v>229</v>
      </c>
      <c r="C792" s="74">
        <v>1</v>
      </c>
      <c r="D792" s="74">
        <v>1805</v>
      </c>
      <c r="E792" s="73">
        <v>1.9999999552965164E-2</v>
      </c>
      <c r="F792" s="73">
        <v>0.44999998807907104</v>
      </c>
      <c r="G792" s="73">
        <v>7.5000002980232239E-2</v>
      </c>
      <c r="H792" s="73">
        <v>2.9999999329447746E-2</v>
      </c>
      <c r="I792" s="190">
        <v>1188.027</v>
      </c>
      <c r="J792" s="134" t="str">
        <f t="shared" si="95"/>
        <v>keep</v>
      </c>
      <c r="K792" s="134" t="str">
        <f t="shared" si="96"/>
        <v>R38</v>
      </c>
      <c r="L792" s="134" t="str">
        <f t="shared" si="97"/>
        <v>R11</v>
      </c>
      <c r="M792" s="146" t="str">
        <f t="shared" si="93"/>
        <v>Better</v>
      </c>
      <c r="N792" s="146" t="str">
        <f t="shared" si="94"/>
        <v>Better</v>
      </c>
      <c r="O792" s="146" t="str">
        <f t="shared" si="98"/>
        <v>Heat PumpR38R11BetterBetter</v>
      </c>
      <c r="P792" s="134" t="str">
        <f t="shared" si="99"/>
        <v>Crawlspace</v>
      </c>
      <c r="Q792" s="134"/>
      <c r="R792" s="134"/>
      <c r="S792" s="134"/>
      <c r="T792" s="134"/>
      <c r="U792" s="134"/>
      <c r="V792" s="134"/>
      <c r="W792" s="134"/>
      <c r="X792" s="134"/>
      <c r="Y792" s="134"/>
      <c r="Z792" s="134"/>
      <c r="AA792" s="134"/>
      <c r="AB792" s="134"/>
      <c r="AC792" s="134"/>
      <c r="AD792" s="134"/>
      <c r="AE792" s="134"/>
      <c r="AF792" s="146"/>
      <c r="AG792" s="134"/>
      <c r="AH792" s="134"/>
      <c r="AI792" s="134"/>
      <c r="AJ792" s="134"/>
      <c r="AK792" s="134"/>
      <c r="AL792" s="134"/>
      <c r="AM792" s="146"/>
      <c r="AN792" s="132"/>
      <c r="AO792" s="132"/>
      <c r="AP792" s="132"/>
      <c r="AQ792" s="132"/>
      <c r="AR792" s="134"/>
      <c r="AS792" s="134"/>
      <c r="AT792" s="132"/>
      <c r="AU792" s="133"/>
      <c r="AV792" s="134"/>
    </row>
    <row r="793" spans="1:48">
      <c r="A793" s="74">
        <v>10638</v>
      </c>
      <c r="B793" s="74" t="s">
        <v>228</v>
      </c>
      <c r="C793" s="74" t="s">
        <v>673</v>
      </c>
      <c r="D793" s="74">
        <v>832</v>
      </c>
      <c r="E793" s="73" t="e">
        <v>#VALUE!</v>
      </c>
      <c r="F793" s="73">
        <v>0.85000002384185791</v>
      </c>
      <c r="G793" s="73">
        <v>9.0000003576278687E-2</v>
      </c>
      <c r="H793" s="73">
        <v>9.0000003576278687E-2</v>
      </c>
      <c r="I793" s="190">
        <v>1524.7619999999999</v>
      </c>
      <c r="J793" s="134" t="str">
        <f t="shared" si="95"/>
        <v>ignore</v>
      </c>
      <c r="K793" s="134" t="e">
        <f t="shared" si="96"/>
        <v>#VALUE!</v>
      </c>
      <c r="L793" s="134" t="str">
        <f t="shared" si="97"/>
        <v>R11</v>
      </c>
      <c r="M793" s="146" t="str">
        <f t="shared" si="93"/>
        <v>R0</v>
      </c>
      <c r="N793" s="146" t="str">
        <f t="shared" si="94"/>
        <v>Double</v>
      </c>
      <c r="O793" s="146" t="e">
        <f t="shared" si="98"/>
        <v>#VALUE!</v>
      </c>
      <c r="P793" s="134" t="str">
        <f t="shared" si="99"/>
        <v>error</v>
      </c>
      <c r="Q793" s="134"/>
      <c r="R793" s="134"/>
      <c r="S793" s="134"/>
      <c r="T793" s="134"/>
      <c r="U793" s="134"/>
      <c r="V793" s="134"/>
      <c r="W793" s="134"/>
      <c r="X793" s="134"/>
      <c r="Y793" s="134"/>
      <c r="Z793" s="134"/>
      <c r="AA793" s="134"/>
      <c r="AB793" s="134"/>
      <c r="AC793" s="134"/>
      <c r="AD793" s="134"/>
      <c r="AE793" s="134"/>
      <c r="AF793" s="146"/>
      <c r="AG793" s="134"/>
      <c r="AH793" s="134"/>
      <c r="AI793" s="134"/>
      <c r="AJ793" s="134"/>
      <c r="AK793" s="134"/>
      <c r="AL793" s="134"/>
      <c r="AM793" s="146"/>
      <c r="AN793" s="132"/>
      <c r="AO793" s="132"/>
      <c r="AP793" s="132"/>
      <c r="AQ793" s="132"/>
      <c r="AR793" s="134"/>
      <c r="AS793" s="134"/>
      <c r="AT793" s="132"/>
      <c r="AU793" s="133"/>
      <c r="AV793" s="134"/>
    </row>
    <row r="794" spans="1:48">
      <c r="A794" s="74">
        <v>10681</v>
      </c>
      <c r="B794" s="74" t="s">
        <v>229</v>
      </c>
      <c r="C794" s="74">
        <v>4</v>
      </c>
      <c r="D794" s="74">
        <v>3475</v>
      </c>
      <c r="E794" s="73">
        <v>2.500000037252903E-2</v>
      </c>
      <c r="F794" s="73">
        <v>0.85000002384185791</v>
      </c>
      <c r="G794" s="73">
        <v>9.0000003576278687E-2</v>
      </c>
      <c r="H794" s="73">
        <v>2.9999999329447746E-2</v>
      </c>
      <c r="I794" s="190">
        <v>2003.7159999999999</v>
      </c>
      <c r="J794" s="134" t="str">
        <f t="shared" si="95"/>
        <v>keep</v>
      </c>
      <c r="K794" s="134" t="str">
        <f t="shared" si="96"/>
        <v>R38</v>
      </c>
      <c r="L794" s="134" t="str">
        <f t="shared" si="97"/>
        <v>R11</v>
      </c>
      <c r="M794" s="146" t="str">
        <f t="shared" si="93"/>
        <v>Basement</v>
      </c>
      <c r="N794" s="146" t="str">
        <f t="shared" si="94"/>
        <v>Double</v>
      </c>
      <c r="O794" s="146" t="str">
        <f t="shared" si="98"/>
        <v>Heat PumpR38R11BasementDouble</v>
      </c>
      <c r="P794" s="134" t="str">
        <f t="shared" si="99"/>
        <v>Basement</v>
      </c>
      <c r="Q794" s="134"/>
      <c r="R794" s="134"/>
      <c r="S794" s="134"/>
      <c r="T794" s="134"/>
      <c r="U794" s="134"/>
      <c r="V794" s="134"/>
      <c r="W794" s="134"/>
      <c r="X794" s="134"/>
      <c r="Y794" s="134"/>
      <c r="Z794" s="134"/>
      <c r="AA794" s="134"/>
      <c r="AB794" s="134"/>
      <c r="AC794" s="134"/>
      <c r="AD794" s="134"/>
      <c r="AE794" s="134"/>
      <c r="AF794" s="146"/>
      <c r="AG794" s="134"/>
      <c r="AH794" s="134"/>
      <c r="AI794" s="134"/>
      <c r="AJ794" s="134"/>
      <c r="AK794" s="134"/>
      <c r="AL794" s="134"/>
      <c r="AM794" s="146"/>
      <c r="AN794" s="132"/>
      <c r="AO794" s="132"/>
      <c r="AP794" s="132"/>
      <c r="AQ794" s="132"/>
      <c r="AR794" s="134"/>
      <c r="AS794" s="134"/>
      <c r="AT794" s="132"/>
      <c r="AU794" s="133"/>
      <c r="AV794" s="134"/>
    </row>
    <row r="795" spans="1:48">
      <c r="A795" s="74">
        <v>10688</v>
      </c>
      <c r="B795" s="74" t="s">
        <v>228</v>
      </c>
      <c r="C795" s="74">
        <v>1</v>
      </c>
      <c r="D795" s="74">
        <v>979</v>
      </c>
      <c r="E795" s="73">
        <v>0.33000001311302185</v>
      </c>
      <c r="F795" s="73">
        <v>0.55000001192092896</v>
      </c>
      <c r="G795" s="73">
        <v>0.23400000000000001</v>
      </c>
      <c r="H795" s="73">
        <v>0.23000000417232513</v>
      </c>
      <c r="I795" s="190">
        <v>1150.8789999999999</v>
      </c>
      <c r="J795" s="134" t="str">
        <f t="shared" si="95"/>
        <v>keep</v>
      </c>
      <c r="K795" s="134" t="str">
        <f t="shared" si="96"/>
        <v>R0</v>
      </c>
      <c r="L795" s="134" t="str">
        <f t="shared" si="97"/>
        <v>R0</v>
      </c>
      <c r="M795" s="146" t="str">
        <f t="shared" si="93"/>
        <v>R0</v>
      </c>
      <c r="N795" s="146" t="str">
        <f t="shared" si="94"/>
        <v>Better</v>
      </c>
      <c r="O795" s="146" t="str">
        <f t="shared" si="98"/>
        <v>Electric ZonalR0R0R0Better</v>
      </c>
      <c r="P795" s="134" t="str">
        <f t="shared" si="99"/>
        <v>Crawlspace</v>
      </c>
      <c r="Q795" s="134"/>
      <c r="R795" s="134"/>
      <c r="S795" s="134"/>
      <c r="T795" s="134"/>
      <c r="U795" s="134"/>
      <c r="V795" s="134"/>
      <c r="W795" s="134"/>
      <c r="X795" s="134"/>
      <c r="Y795" s="134"/>
      <c r="Z795" s="134"/>
      <c r="AA795" s="134"/>
      <c r="AB795" s="134"/>
      <c r="AC795" s="134"/>
      <c r="AD795" s="134"/>
      <c r="AE795" s="134"/>
      <c r="AF795" s="146"/>
      <c r="AG795" s="134"/>
      <c r="AH795" s="134"/>
      <c r="AI795" s="134"/>
      <c r="AJ795" s="134"/>
      <c r="AK795" s="134"/>
      <c r="AL795" s="134"/>
      <c r="AM795" s="146"/>
      <c r="AN795" s="132"/>
      <c r="AO795" s="132"/>
      <c r="AP795" s="132"/>
      <c r="AQ795" s="132"/>
      <c r="AR795" s="134"/>
      <c r="AS795" s="134"/>
      <c r="AT795" s="132"/>
      <c r="AU795" s="133"/>
      <c r="AV795" s="134"/>
    </row>
    <row r="796" spans="1:48">
      <c r="A796" s="74">
        <v>10695</v>
      </c>
      <c r="B796" s="74" t="s">
        <v>228</v>
      </c>
      <c r="C796" s="74">
        <v>2</v>
      </c>
      <c r="D796" s="74">
        <v>1027</v>
      </c>
      <c r="E796" s="73" t="e">
        <v>#VALUE!</v>
      </c>
      <c r="F796" s="73">
        <v>0.81666666836965651</v>
      </c>
      <c r="G796" s="73">
        <v>9.0000003576278687E-2</v>
      </c>
      <c r="H796" s="73">
        <v>0</v>
      </c>
      <c r="I796" s="190">
        <v>1464.694</v>
      </c>
      <c r="J796" s="134" t="str">
        <f t="shared" si="95"/>
        <v>ignore</v>
      </c>
      <c r="K796" s="134" t="e">
        <f t="shared" si="96"/>
        <v>#VALUE!</v>
      </c>
      <c r="L796" s="134" t="str">
        <f t="shared" si="97"/>
        <v>R11</v>
      </c>
      <c r="M796" s="146" t="str">
        <f t="shared" si="93"/>
        <v>Slab</v>
      </c>
      <c r="N796" s="146" t="str">
        <f t="shared" si="94"/>
        <v>Double</v>
      </c>
      <c r="O796" s="146" t="e">
        <f t="shared" si="98"/>
        <v>#VALUE!</v>
      </c>
      <c r="P796" s="134" t="str">
        <f t="shared" si="99"/>
        <v>Slab</v>
      </c>
      <c r="Q796" s="134"/>
      <c r="R796" s="134"/>
      <c r="S796" s="134"/>
      <c r="T796" s="134"/>
      <c r="U796" s="134"/>
      <c r="V796" s="134"/>
      <c r="W796" s="134"/>
      <c r="X796" s="134"/>
      <c r="Y796" s="134"/>
      <c r="Z796" s="134"/>
      <c r="AA796" s="134"/>
      <c r="AB796" s="134"/>
      <c r="AC796" s="134"/>
      <c r="AD796" s="134"/>
      <c r="AE796" s="134"/>
      <c r="AF796" s="146"/>
      <c r="AG796" s="134"/>
      <c r="AH796" s="134"/>
      <c r="AI796" s="134"/>
      <c r="AJ796" s="134"/>
      <c r="AK796" s="134"/>
      <c r="AL796" s="134"/>
      <c r="AM796" s="146"/>
      <c r="AN796" s="132"/>
      <c r="AO796" s="132"/>
      <c r="AP796" s="132"/>
      <c r="AQ796" s="132"/>
      <c r="AR796" s="134"/>
      <c r="AS796" s="134"/>
      <c r="AT796" s="132"/>
      <c r="AU796" s="133"/>
      <c r="AV796" s="134"/>
    </row>
    <row r="797" spans="1:48">
      <c r="A797" s="74">
        <v>10696</v>
      </c>
      <c r="B797" s="74" t="s">
        <v>228</v>
      </c>
      <c r="C797" s="74">
        <v>2</v>
      </c>
      <c r="D797" s="74">
        <v>1832</v>
      </c>
      <c r="E797" s="73">
        <v>4.5000001788139343E-2</v>
      </c>
      <c r="F797" s="73">
        <v>0.85000002384185791</v>
      </c>
      <c r="G797" s="73">
        <v>9.0000003576278687E-2</v>
      </c>
      <c r="H797" s="73">
        <v>0</v>
      </c>
      <c r="I797" s="190">
        <v>1464.694</v>
      </c>
      <c r="J797" s="134" t="str">
        <f t="shared" si="95"/>
        <v>keep</v>
      </c>
      <c r="K797" s="134" t="str">
        <f t="shared" si="96"/>
        <v>R30</v>
      </c>
      <c r="L797" s="134" t="str">
        <f t="shared" si="97"/>
        <v>R11</v>
      </c>
      <c r="M797" s="146" t="str">
        <f t="shared" si="93"/>
        <v>Slab</v>
      </c>
      <c r="N797" s="146" t="str">
        <f t="shared" si="94"/>
        <v>Double</v>
      </c>
      <c r="O797" s="146" t="str">
        <f t="shared" si="98"/>
        <v>Electric ZonalR30R11SlabDouble</v>
      </c>
      <c r="P797" s="134" t="str">
        <f t="shared" si="99"/>
        <v>Slab</v>
      </c>
      <c r="Q797" s="134"/>
      <c r="R797" s="134"/>
      <c r="S797" s="134"/>
      <c r="T797" s="134"/>
      <c r="U797" s="134"/>
      <c r="V797" s="134"/>
      <c r="W797" s="134"/>
      <c r="X797" s="134"/>
      <c r="Y797" s="134"/>
      <c r="Z797" s="134"/>
      <c r="AA797" s="134"/>
      <c r="AB797" s="134"/>
      <c r="AC797" s="134"/>
      <c r="AD797" s="134"/>
      <c r="AE797" s="134"/>
      <c r="AF797" s="146"/>
      <c r="AG797" s="134"/>
      <c r="AH797" s="134"/>
      <c r="AI797" s="134"/>
      <c r="AJ797" s="134"/>
      <c r="AK797" s="134"/>
      <c r="AL797" s="134"/>
      <c r="AM797" s="146"/>
      <c r="AN797" s="132"/>
      <c r="AO797" s="132"/>
      <c r="AP797" s="132"/>
      <c r="AQ797" s="132"/>
      <c r="AR797" s="134"/>
      <c r="AS797" s="134"/>
      <c r="AT797" s="132"/>
      <c r="AU797" s="133"/>
      <c r="AV797" s="134"/>
    </row>
    <row r="798" spans="1:48">
      <c r="A798" s="74">
        <v>10699</v>
      </c>
      <c r="B798" s="74" t="s">
        <v>228</v>
      </c>
      <c r="C798" s="74">
        <v>1</v>
      </c>
      <c r="D798" s="74">
        <v>1134</v>
      </c>
      <c r="E798" s="73">
        <v>3.5000000149011612E-2</v>
      </c>
      <c r="F798" s="73">
        <v>0.85000002384185791</v>
      </c>
      <c r="G798" s="73">
        <v>7.9999998211860657E-2</v>
      </c>
      <c r="H798" s="73">
        <v>4.5000001788139343E-2</v>
      </c>
      <c r="I798" s="190">
        <v>6932.7380000000003</v>
      </c>
      <c r="J798" s="134" t="str">
        <f t="shared" si="95"/>
        <v>keep</v>
      </c>
      <c r="K798" s="134" t="str">
        <f t="shared" si="96"/>
        <v>R38</v>
      </c>
      <c r="L798" s="134" t="str">
        <f t="shared" si="97"/>
        <v>R11</v>
      </c>
      <c r="M798" s="146" t="str">
        <f t="shared" si="93"/>
        <v>Better</v>
      </c>
      <c r="N798" s="146" t="str">
        <f t="shared" si="94"/>
        <v>Double</v>
      </c>
      <c r="O798" s="146" t="str">
        <f t="shared" si="98"/>
        <v>Electric ZonalR38R11BetterDouble</v>
      </c>
      <c r="P798" s="134" t="str">
        <f t="shared" si="99"/>
        <v>Crawlspace</v>
      </c>
      <c r="Q798" s="134"/>
      <c r="R798" s="134"/>
      <c r="S798" s="134"/>
      <c r="T798" s="134"/>
      <c r="U798" s="134"/>
      <c r="V798" s="134"/>
      <c r="W798" s="134"/>
      <c r="X798" s="134"/>
      <c r="Y798" s="134"/>
      <c r="Z798" s="134"/>
      <c r="AA798" s="134"/>
      <c r="AB798" s="134"/>
      <c r="AC798" s="134"/>
      <c r="AD798" s="134"/>
      <c r="AE798" s="134"/>
      <c r="AF798" s="146"/>
      <c r="AG798" s="134"/>
      <c r="AH798" s="134"/>
      <c r="AI798" s="134"/>
      <c r="AJ798" s="134"/>
      <c r="AK798" s="134"/>
      <c r="AL798" s="134"/>
      <c r="AM798" s="146"/>
      <c r="AN798" s="132"/>
      <c r="AO798" s="132"/>
      <c r="AP798" s="132"/>
      <c r="AQ798" s="132"/>
      <c r="AR798" s="134"/>
      <c r="AS798" s="134"/>
      <c r="AT798" s="132"/>
      <c r="AU798" s="133"/>
      <c r="AV798" s="134"/>
    </row>
    <row r="799" spans="1:48">
      <c r="A799" s="74">
        <v>10705</v>
      </c>
      <c r="B799" s="74" t="s">
        <v>229</v>
      </c>
      <c r="C799" s="74">
        <v>1</v>
      </c>
      <c r="D799" s="74">
        <v>2997</v>
      </c>
      <c r="E799" s="73">
        <v>3.713733098829354E-2</v>
      </c>
      <c r="F799" s="73">
        <v>0.74807692338258791</v>
      </c>
      <c r="G799" s="73">
        <v>5.9999998658895493E-2</v>
      </c>
      <c r="H799" s="73">
        <v>2.9999999329447746E-2</v>
      </c>
      <c r="I799" s="190">
        <v>1464.694</v>
      </c>
      <c r="J799" s="134" t="str">
        <f t="shared" si="95"/>
        <v>keep</v>
      </c>
      <c r="K799" s="134" t="str">
        <f t="shared" si="96"/>
        <v>R38</v>
      </c>
      <c r="L799" s="134" t="str">
        <f t="shared" si="97"/>
        <v>R11</v>
      </c>
      <c r="M799" s="146" t="str">
        <f t="shared" si="93"/>
        <v>Better</v>
      </c>
      <c r="N799" s="146" t="str">
        <f t="shared" si="94"/>
        <v>Better</v>
      </c>
      <c r="O799" s="146" t="str">
        <f t="shared" si="98"/>
        <v>Heat PumpR38R11BetterBetter</v>
      </c>
      <c r="P799" s="134" t="str">
        <f t="shared" si="99"/>
        <v>Crawlspace</v>
      </c>
      <c r="Q799" s="134"/>
      <c r="R799" s="134"/>
      <c r="S799" s="134"/>
      <c r="T799" s="134"/>
      <c r="U799" s="134"/>
      <c r="V799" s="134"/>
      <c r="W799" s="134"/>
      <c r="X799" s="134"/>
      <c r="Y799" s="134"/>
      <c r="Z799" s="134"/>
      <c r="AA799" s="134"/>
      <c r="AB799" s="134"/>
      <c r="AC799" s="134"/>
      <c r="AD799" s="134"/>
      <c r="AE799" s="134"/>
      <c r="AF799" s="146"/>
      <c r="AG799" s="134"/>
      <c r="AH799" s="134"/>
      <c r="AI799" s="134"/>
      <c r="AJ799" s="134"/>
      <c r="AK799" s="134"/>
      <c r="AL799" s="134"/>
      <c r="AM799" s="146"/>
      <c r="AN799" s="132"/>
      <c r="AO799" s="132"/>
      <c r="AP799" s="132"/>
      <c r="AQ799" s="132"/>
      <c r="AR799" s="134"/>
      <c r="AS799" s="134"/>
      <c r="AT799" s="132"/>
      <c r="AU799" s="133"/>
      <c r="AV799" s="134"/>
    </row>
    <row r="800" spans="1:48">
      <c r="A800" s="74">
        <v>10709</v>
      </c>
      <c r="B800" s="74" t="s">
        <v>227</v>
      </c>
      <c r="C800" s="74" t="s">
        <v>673</v>
      </c>
      <c r="D800" s="74">
        <v>2860</v>
      </c>
      <c r="E800" s="73">
        <v>2.500000037252903E-2</v>
      </c>
      <c r="F800" s="73">
        <v>0.98160533602022404</v>
      </c>
      <c r="G800" s="73">
        <v>0.11251781298613039</v>
      </c>
      <c r="H800" s="73">
        <v>4.5000001788139343E-2</v>
      </c>
      <c r="I800" s="190">
        <v>1524.7619999999999</v>
      </c>
      <c r="J800" s="134" t="str">
        <f t="shared" si="95"/>
        <v>ignore</v>
      </c>
      <c r="K800" s="134" t="str">
        <f t="shared" si="96"/>
        <v>R38</v>
      </c>
      <c r="L800" s="134" t="str">
        <f t="shared" si="97"/>
        <v>R11</v>
      </c>
      <c r="M800" s="146" t="str">
        <f t="shared" si="93"/>
        <v>Better</v>
      </c>
      <c r="N800" s="146" t="str">
        <f t="shared" si="94"/>
        <v>Double</v>
      </c>
      <c r="O800" s="146" t="str">
        <f t="shared" si="98"/>
        <v>Electric FAFR38R11BetterDouble</v>
      </c>
      <c r="P800" s="134" t="str">
        <f t="shared" si="99"/>
        <v>error</v>
      </c>
      <c r="Q800" s="134"/>
      <c r="R800" s="134"/>
      <c r="S800" s="134"/>
      <c r="T800" s="134"/>
      <c r="U800" s="134"/>
      <c r="V800" s="134"/>
      <c r="W800" s="134"/>
      <c r="X800" s="134"/>
      <c r="Y800" s="134"/>
      <c r="Z800" s="134"/>
      <c r="AA800" s="134"/>
      <c r="AB800" s="134"/>
      <c r="AC800" s="134"/>
      <c r="AD800" s="134"/>
      <c r="AE800" s="134"/>
      <c r="AF800" s="146"/>
      <c r="AG800" s="134"/>
      <c r="AH800" s="134"/>
      <c r="AI800" s="134"/>
      <c r="AJ800" s="134"/>
      <c r="AK800" s="134"/>
      <c r="AL800" s="134"/>
      <c r="AM800" s="146"/>
      <c r="AN800" s="132"/>
      <c r="AO800" s="132"/>
      <c r="AP800" s="132"/>
      <c r="AQ800" s="132"/>
      <c r="AR800" s="134"/>
      <c r="AS800" s="134"/>
      <c r="AT800" s="132"/>
      <c r="AU800" s="133"/>
      <c r="AV800" s="134"/>
    </row>
    <row r="801" spans="1:48">
      <c r="A801" s="74">
        <v>10710</v>
      </c>
      <c r="B801" s="74" t="s">
        <v>229</v>
      </c>
      <c r="C801" s="74" t="s">
        <v>673</v>
      </c>
      <c r="D801" s="74">
        <v>3530</v>
      </c>
      <c r="E801" s="73">
        <v>4.5000001788139343E-2</v>
      </c>
      <c r="F801" s="73">
        <v>0.54468749401470029</v>
      </c>
      <c r="G801" s="73">
        <v>9.0000003576278687E-2</v>
      </c>
      <c r="H801" s="73">
        <v>0.23000000417232513</v>
      </c>
      <c r="I801" s="190">
        <v>6932.7380000000003</v>
      </c>
      <c r="J801" s="134" t="str">
        <f t="shared" si="95"/>
        <v>ignore</v>
      </c>
      <c r="K801" s="134" t="str">
        <f t="shared" si="96"/>
        <v>R30</v>
      </c>
      <c r="L801" s="134" t="str">
        <f t="shared" si="97"/>
        <v>R11</v>
      </c>
      <c r="M801" s="146" t="str">
        <f t="shared" si="93"/>
        <v>R0</v>
      </c>
      <c r="N801" s="146" t="str">
        <f t="shared" si="94"/>
        <v>Better</v>
      </c>
      <c r="O801" s="146" t="str">
        <f t="shared" si="98"/>
        <v>Heat PumpR30R11R0Better</v>
      </c>
      <c r="P801" s="134" t="str">
        <f t="shared" si="99"/>
        <v>error</v>
      </c>
      <c r="Q801" s="134"/>
      <c r="R801" s="134"/>
      <c r="S801" s="134"/>
      <c r="T801" s="134"/>
      <c r="U801" s="134"/>
      <c r="V801" s="134"/>
      <c r="W801" s="134"/>
      <c r="X801" s="134"/>
      <c r="Y801" s="134"/>
      <c r="Z801" s="134"/>
      <c r="AA801" s="134"/>
      <c r="AB801" s="134"/>
      <c r="AC801" s="134"/>
      <c r="AD801" s="134"/>
      <c r="AE801" s="134"/>
      <c r="AF801" s="146"/>
      <c r="AG801" s="134"/>
      <c r="AH801" s="134"/>
      <c r="AI801" s="134"/>
      <c r="AJ801" s="134"/>
      <c r="AK801" s="134"/>
      <c r="AL801" s="134"/>
      <c r="AM801" s="146"/>
      <c r="AN801" s="132"/>
      <c r="AO801" s="132"/>
      <c r="AP801" s="132"/>
      <c r="AQ801" s="132"/>
      <c r="AR801" s="134"/>
      <c r="AS801" s="134"/>
      <c r="AT801" s="132"/>
      <c r="AU801" s="133"/>
      <c r="AV801" s="134"/>
    </row>
    <row r="802" spans="1:48">
      <c r="A802" s="74">
        <v>10728</v>
      </c>
      <c r="B802" s="74" t="s">
        <v>229</v>
      </c>
      <c r="C802" s="74" t="s">
        <v>673</v>
      </c>
      <c r="D802" s="74">
        <v>2906</v>
      </c>
      <c r="E802" s="73">
        <v>2.9446730013984259E-2</v>
      </c>
      <c r="F802" s="73">
        <v>0.74082031543366611</v>
      </c>
      <c r="G802" s="73" t="e">
        <v>#VALUE!</v>
      </c>
      <c r="H802" s="73">
        <v>3.5000000149011612E-2</v>
      </c>
      <c r="I802" s="190">
        <v>2003.7159999999999</v>
      </c>
      <c r="J802" s="134" t="str">
        <f t="shared" si="95"/>
        <v>ignore</v>
      </c>
      <c r="K802" s="134" t="str">
        <f t="shared" si="96"/>
        <v>R38</v>
      </c>
      <c r="L802" s="134" t="e">
        <f t="shared" si="97"/>
        <v>#VALUE!</v>
      </c>
      <c r="M802" s="146" t="str">
        <f t="shared" si="93"/>
        <v>Better</v>
      </c>
      <c r="N802" s="146" t="str">
        <f t="shared" si="94"/>
        <v>Better</v>
      </c>
      <c r="O802" s="146" t="e">
        <f t="shared" si="98"/>
        <v>#VALUE!</v>
      </c>
      <c r="P802" s="134" t="str">
        <f t="shared" si="99"/>
        <v>error</v>
      </c>
      <c r="Q802" s="134"/>
      <c r="R802" s="134"/>
      <c r="S802" s="134"/>
      <c r="T802" s="134"/>
      <c r="U802" s="134"/>
      <c r="V802" s="134"/>
      <c r="W802" s="134"/>
      <c r="X802" s="134"/>
      <c r="Y802" s="134"/>
      <c r="Z802" s="134"/>
      <c r="AA802" s="134"/>
      <c r="AB802" s="134"/>
      <c r="AC802" s="134"/>
      <c r="AD802" s="134"/>
      <c r="AE802" s="134"/>
      <c r="AF802" s="146"/>
      <c r="AG802" s="134"/>
      <c r="AH802" s="134"/>
      <c r="AI802" s="134"/>
      <c r="AJ802" s="134"/>
      <c r="AK802" s="134"/>
      <c r="AL802" s="134"/>
      <c r="AM802" s="146"/>
      <c r="AN802" s="132"/>
      <c r="AO802" s="132"/>
      <c r="AP802" s="132"/>
      <c r="AQ802" s="132"/>
      <c r="AR802" s="134"/>
      <c r="AS802" s="134"/>
      <c r="AT802" s="132"/>
      <c r="AU802" s="133"/>
      <c r="AV802" s="134"/>
    </row>
    <row r="803" spans="1:48">
      <c r="A803" s="74">
        <v>10795</v>
      </c>
      <c r="B803" s="74" t="s">
        <v>229</v>
      </c>
      <c r="C803" s="74">
        <v>1</v>
      </c>
      <c r="D803" s="74">
        <v>988</v>
      </c>
      <c r="E803" s="73">
        <v>2.500000037252903E-2</v>
      </c>
      <c r="F803" s="73">
        <v>0.55000001192092896</v>
      </c>
      <c r="G803" s="73">
        <v>9.0000003576278687E-2</v>
      </c>
      <c r="H803" s="73">
        <v>0.23000000417232513</v>
      </c>
      <c r="I803" s="190">
        <v>6932.7380000000003</v>
      </c>
      <c r="J803" s="134" t="str">
        <f t="shared" si="95"/>
        <v>keep</v>
      </c>
      <c r="K803" s="134" t="str">
        <f t="shared" si="96"/>
        <v>R38</v>
      </c>
      <c r="L803" s="134" t="str">
        <f t="shared" si="97"/>
        <v>R11</v>
      </c>
      <c r="M803" s="146" t="str">
        <f t="shared" si="93"/>
        <v>R0</v>
      </c>
      <c r="N803" s="146" t="str">
        <f t="shared" si="94"/>
        <v>Better</v>
      </c>
      <c r="O803" s="146" t="str">
        <f t="shared" si="98"/>
        <v>Heat PumpR38R11R0Better</v>
      </c>
      <c r="P803" s="134" t="str">
        <f t="shared" si="99"/>
        <v>Crawlspace</v>
      </c>
      <c r="Q803" s="134"/>
      <c r="R803" s="134"/>
      <c r="S803" s="134"/>
      <c r="T803" s="134"/>
      <c r="U803" s="134"/>
      <c r="V803" s="134"/>
      <c r="W803" s="134"/>
      <c r="X803" s="134"/>
      <c r="Y803" s="134"/>
      <c r="Z803" s="134"/>
      <c r="AA803" s="134"/>
      <c r="AB803" s="134"/>
      <c r="AC803" s="134"/>
      <c r="AD803" s="134"/>
      <c r="AE803" s="134"/>
      <c r="AF803" s="146"/>
      <c r="AG803" s="134"/>
      <c r="AH803" s="134"/>
      <c r="AI803" s="134"/>
      <c r="AJ803" s="134"/>
      <c r="AK803" s="134"/>
      <c r="AL803" s="134"/>
      <c r="AM803" s="146"/>
      <c r="AN803" s="132"/>
      <c r="AO803" s="132"/>
      <c r="AP803" s="132"/>
      <c r="AQ803" s="132"/>
      <c r="AR803" s="134"/>
      <c r="AS803" s="134"/>
      <c r="AT803" s="132"/>
      <c r="AU803" s="133"/>
      <c r="AV803" s="134"/>
    </row>
    <row r="804" spans="1:48">
      <c r="A804" s="74">
        <v>10852</v>
      </c>
      <c r="B804" s="74" t="s">
        <v>228</v>
      </c>
      <c r="C804" s="74">
        <v>1</v>
      </c>
      <c r="D804" s="74">
        <v>779</v>
      </c>
      <c r="E804" s="73">
        <v>3.5000000149011612E-2</v>
      </c>
      <c r="F804" s="73">
        <v>0.55000001192092896</v>
      </c>
      <c r="G804" s="73">
        <v>0.11999999731779099</v>
      </c>
      <c r="H804" s="73">
        <v>0.10000000149011612</v>
      </c>
      <c r="I804" s="190">
        <v>1188.027</v>
      </c>
      <c r="J804" s="134" t="str">
        <f t="shared" si="95"/>
        <v>keep</v>
      </c>
      <c r="K804" s="134" t="str">
        <f t="shared" si="96"/>
        <v>R38</v>
      </c>
      <c r="L804" s="134" t="str">
        <f t="shared" si="97"/>
        <v>R11</v>
      </c>
      <c r="M804" s="146" t="str">
        <f t="shared" si="93"/>
        <v>R0</v>
      </c>
      <c r="N804" s="146" t="str">
        <f t="shared" si="94"/>
        <v>Better</v>
      </c>
      <c r="O804" s="146" t="str">
        <f t="shared" si="98"/>
        <v>Electric ZonalR38R11R0Better</v>
      </c>
      <c r="P804" s="134" t="str">
        <f t="shared" si="99"/>
        <v>Crawlspace</v>
      </c>
      <c r="Q804" s="134"/>
      <c r="R804" s="134"/>
      <c r="S804" s="134"/>
      <c r="T804" s="134"/>
      <c r="U804" s="134"/>
      <c r="V804" s="134"/>
      <c r="W804" s="134"/>
      <c r="X804" s="134"/>
      <c r="Y804" s="134"/>
      <c r="Z804" s="134"/>
      <c r="AA804" s="134"/>
      <c r="AB804" s="134"/>
      <c r="AC804" s="134"/>
      <c r="AD804" s="134"/>
      <c r="AE804" s="134"/>
      <c r="AF804" s="146"/>
      <c r="AG804" s="134"/>
      <c r="AH804" s="134"/>
      <c r="AI804" s="134"/>
      <c r="AJ804" s="134"/>
      <c r="AK804" s="134"/>
      <c r="AL804" s="134"/>
      <c r="AM804" s="146"/>
      <c r="AN804" s="132"/>
      <c r="AO804" s="132"/>
      <c r="AP804" s="132"/>
      <c r="AQ804" s="132"/>
      <c r="AR804" s="134"/>
      <c r="AS804" s="134"/>
      <c r="AT804" s="132"/>
      <c r="AU804" s="133"/>
      <c r="AV804" s="134"/>
    </row>
    <row r="805" spans="1:48">
      <c r="A805" s="74">
        <v>10866</v>
      </c>
      <c r="B805" s="74" t="s">
        <v>229</v>
      </c>
      <c r="C805" s="74">
        <v>1</v>
      </c>
      <c r="D805" s="74">
        <v>2256</v>
      </c>
      <c r="E805" s="73">
        <v>2.500000037252903E-2</v>
      </c>
      <c r="F805" s="73">
        <v>0.55000001192092896</v>
      </c>
      <c r="G805" s="73">
        <v>5.9999998658895493E-2</v>
      </c>
      <c r="H805" s="73">
        <v>2.9999999329447746E-2</v>
      </c>
      <c r="I805" s="190">
        <v>2003.7159999999999</v>
      </c>
      <c r="J805" s="134" t="str">
        <f t="shared" si="95"/>
        <v>keep</v>
      </c>
      <c r="K805" s="134" t="str">
        <f t="shared" si="96"/>
        <v>R38</v>
      </c>
      <c r="L805" s="134" t="str">
        <f t="shared" si="97"/>
        <v>R11</v>
      </c>
      <c r="M805" s="146" t="str">
        <f t="shared" si="93"/>
        <v>Better</v>
      </c>
      <c r="N805" s="146" t="str">
        <f t="shared" si="94"/>
        <v>Better</v>
      </c>
      <c r="O805" s="146" t="str">
        <f t="shared" si="98"/>
        <v>Heat PumpR38R11BetterBetter</v>
      </c>
      <c r="P805" s="134" t="str">
        <f t="shared" si="99"/>
        <v>Crawlspace</v>
      </c>
      <c r="Q805" s="134"/>
      <c r="R805" s="134"/>
      <c r="S805" s="134"/>
      <c r="T805" s="134"/>
      <c r="U805" s="134"/>
      <c r="V805" s="134"/>
      <c r="W805" s="134"/>
      <c r="X805" s="134"/>
      <c r="Y805" s="134"/>
      <c r="Z805" s="134"/>
      <c r="AA805" s="134"/>
      <c r="AB805" s="134"/>
      <c r="AC805" s="134"/>
      <c r="AD805" s="134"/>
      <c r="AE805" s="134"/>
      <c r="AF805" s="146"/>
      <c r="AG805" s="134"/>
      <c r="AH805" s="134"/>
      <c r="AI805" s="134"/>
      <c r="AJ805" s="134"/>
      <c r="AK805" s="134"/>
      <c r="AL805" s="134"/>
      <c r="AM805" s="146"/>
      <c r="AN805" s="132"/>
      <c r="AO805" s="132"/>
      <c r="AP805" s="132"/>
      <c r="AQ805" s="132"/>
      <c r="AR805" s="134"/>
      <c r="AS805" s="134"/>
      <c r="AT805" s="132"/>
      <c r="AU805" s="133"/>
      <c r="AV805" s="134"/>
    </row>
    <row r="806" spans="1:48">
      <c r="A806" s="74">
        <v>10887</v>
      </c>
      <c r="B806" s="74" t="s">
        <v>229</v>
      </c>
      <c r="C806" s="74" t="s">
        <v>673</v>
      </c>
      <c r="D806" s="74">
        <v>2514</v>
      </c>
      <c r="E806" s="73">
        <v>3.9040590792454477E-2</v>
      </c>
      <c r="F806" s="73">
        <v>0.84618137232728108</v>
      </c>
      <c r="G806" s="73">
        <v>0.11999999731779099</v>
      </c>
      <c r="H806" s="73">
        <v>0.12556179977032575</v>
      </c>
      <c r="I806" s="190">
        <v>1464.694</v>
      </c>
      <c r="J806" s="134" t="str">
        <f t="shared" si="95"/>
        <v>ignore</v>
      </c>
      <c r="K806" s="134" t="str">
        <f t="shared" si="96"/>
        <v>R30</v>
      </c>
      <c r="L806" s="134" t="str">
        <f t="shared" si="97"/>
        <v>R11</v>
      </c>
      <c r="M806" s="146" t="str">
        <f t="shared" si="93"/>
        <v>R0</v>
      </c>
      <c r="N806" s="146" t="str">
        <f t="shared" si="94"/>
        <v>Double</v>
      </c>
      <c r="O806" s="146" t="str">
        <f t="shared" si="98"/>
        <v>Heat PumpR30R11R0Double</v>
      </c>
      <c r="P806" s="134" t="str">
        <f t="shared" si="99"/>
        <v>error</v>
      </c>
      <c r="Q806" s="134"/>
      <c r="R806" s="134"/>
      <c r="S806" s="134"/>
      <c r="T806" s="134"/>
      <c r="U806" s="134"/>
      <c r="V806" s="134"/>
      <c r="W806" s="134"/>
      <c r="X806" s="134"/>
      <c r="Y806" s="134"/>
      <c r="Z806" s="134"/>
      <c r="AA806" s="134"/>
      <c r="AB806" s="134"/>
      <c r="AC806" s="134"/>
      <c r="AD806" s="134"/>
      <c r="AE806" s="134"/>
      <c r="AF806" s="146"/>
      <c r="AG806" s="134"/>
      <c r="AH806" s="134"/>
      <c r="AI806" s="134"/>
      <c r="AJ806" s="134"/>
      <c r="AK806" s="134"/>
      <c r="AL806" s="134"/>
      <c r="AM806" s="146"/>
      <c r="AN806" s="132"/>
      <c r="AO806" s="132"/>
      <c r="AP806" s="132"/>
      <c r="AQ806" s="132"/>
      <c r="AR806" s="134"/>
      <c r="AS806" s="134"/>
      <c r="AT806" s="132"/>
      <c r="AU806" s="133"/>
      <c r="AV806" s="134"/>
    </row>
    <row r="807" spans="1:48">
      <c r="A807" s="74">
        <v>10965</v>
      </c>
      <c r="B807" s="74" t="s">
        <v>228</v>
      </c>
      <c r="C807" s="74" t="s">
        <v>673</v>
      </c>
      <c r="D807" s="74">
        <v>575</v>
      </c>
      <c r="E807" s="73">
        <v>4.5000001788139343E-2</v>
      </c>
      <c r="F807" s="73">
        <v>0.60000002384185791</v>
      </c>
      <c r="G807" s="73" t="e">
        <v>#VALUE!</v>
      </c>
      <c r="H807" s="73">
        <v>0</v>
      </c>
      <c r="I807" s="190">
        <v>4956.4930000000004</v>
      </c>
      <c r="J807" s="134" t="str">
        <f t="shared" si="95"/>
        <v>ignore</v>
      </c>
      <c r="K807" s="134" t="str">
        <f t="shared" si="96"/>
        <v>R30</v>
      </c>
      <c r="L807" s="134" t="e">
        <f t="shared" si="97"/>
        <v>#VALUE!</v>
      </c>
      <c r="M807" s="146" t="str">
        <f t="shared" si="93"/>
        <v>Better</v>
      </c>
      <c r="N807" s="146" t="str">
        <f t="shared" si="94"/>
        <v>Better</v>
      </c>
      <c r="O807" s="146" t="e">
        <f t="shared" si="98"/>
        <v>#VALUE!</v>
      </c>
      <c r="P807" s="134" t="str">
        <f t="shared" si="99"/>
        <v>error</v>
      </c>
      <c r="Q807" s="134"/>
      <c r="R807" s="134"/>
      <c r="S807" s="134"/>
      <c r="T807" s="134"/>
      <c r="U807" s="134"/>
      <c r="V807" s="134"/>
      <c r="W807" s="134"/>
      <c r="X807" s="134"/>
      <c r="Y807" s="134"/>
      <c r="Z807" s="134"/>
      <c r="AA807" s="134"/>
      <c r="AB807" s="134"/>
      <c r="AC807" s="134"/>
      <c r="AD807" s="134"/>
      <c r="AE807" s="134"/>
      <c r="AF807" s="146"/>
      <c r="AG807" s="134"/>
      <c r="AH807" s="134"/>
      <c r="AI807" s="134"/>
      <c r="AJ807" s="134"/>
      <c r="AK807" s="134"/>
      <c r="AL807" s="134"/>
      <c r="AM807" s="146"/>
      <c r="AN807" s="132"/>
      <c r="AO807" s="132"/>
      <c r="AP807" s="132"/>
      <c r="AQ807" s="132"/>
      <c r="AR807" s="134"/>
      <c r="AS807" s="134"/>
      <c r="AT807" s="132"/>
      <c r="AU807" s="133"/>
      <c r="AV807" s="134"/>
    </row>
    <row r="808" spans="1:48">
      <c r="A808" s="74">
        <v>10978</v>
      </c>
      <c r="B808" s="74" t="s">
        <v>228</v>
      </c>
      <c r="C808" s="74">
        <v>1</v>
      </c>
      <c r="D808" s="74">
        <v>1280</v>
      </c>
      <c r="E808" s="73">
        <v>8.5044247024090941E-2</v>
      </c>
      <c r="F808" s="73">
        <v>0.6306451684044253</v>
      </c>
      <c r="G808" s="73">
        <v>8.6341466391231955E-2</v>
      </c>
      <c r="H808" s="73">
        <v>0.10000000149011612</v>
      </c>
      <c r="I808" s="190">
        <v>1524.7619999999999</v>
      </c>
      <c r="J808" s="134" t="str">
        <f t="shared" si="95"/>
        <v>keep</v>
      </c>
      <c r="K808" s="134" t="str">
        <f t="shared" si="96"/>
        <v>R11</v>
      </c>
      <c r="L808" s="134" t="str">
        <f t="shared" si="97"/>
        <v>R11</v>
      </c>
      <c r="M808" s="146" t="str">
        <f t="shared" si="93"/>
        <v>R0</v>
      </c>
      <c r="N808" s="146" t="str">
        <f t="shared" si="94"/>
        <v>Better</v>
      </c>
      <c r="O808" s="146" t="str">
        <f t="shared" si="98"/>
        <v>Electric ZonalR11R11R0Better</v>
      </c>
      <c r="P808" s="134" t="str">
        <f t="shared" si="99"/>
        <v>Crawlspace</v>
      </c>
      <c r="Q808" s="134"/>
      <c r="R808" s="134"/>
      <c r="S808" s="134"/>
      <c r="T808" s="134"/>
      <c r="U808" s="134"/>
      <c r="V808" s="134"/>
      <c r="W808" s="134"/>
      <c r="X808" s="134"/>
      <c r="Y808" s="134"/>
      <c r="Z808" s="134"/>
      <c r="AA808" s="134"/>
      <c r="AB808" s="134"/>
      <c r="AC808" s="134"/>
      <c r="AD808" s="134"/>
      <c r="AE808" s="134"/>
      <c r="AF808" s="146"/>
      <c r="AG808" s="134"/>
      <c r="AH808" s="134"/>
      <c r="AI808" s="134"/>
      <c r="AJ808" s="134"/>
      <c r="AK808" s="134"/>
      <c r="AL808" s="134"/>
      <c r="AM808" s="146"/>
      <c r="AN808" s="132"/>
      <c r="AO808" s="132"/>
      <c r="AP808" s="132"/>
      <c r="AQ808" s="132"/>
      <c r="AR808" s="134"/>
      <c r="AS808" s="134"/>
      <c r="AT808" s="132"/>
      <c r="AU808" s="133"/>
      <c r="AV808" s="134"/>
    </row>
    <row r="809" spans="1:48">
      <c r="A809" s="74">
        <v>10986</v>
      </c>
      <c r="B809" s="74" t="s">
        <v>229</v>
      </c>
      <c r="C809" s="74">
        <v>1</v>
      </c>
      <c r="D809" s="74">
        <v>1926</v>
      </c>
      <c r="E809" s="73">
        <v>9.4999998807907104E-2</v>
      </c>
      <c r="F809" s="73">
        <v>0.85000002384185791</v>
      </c>
      <c r="G809" s="73">
        <v>5.9999998658895493E-2</v>
      </c>
      <c r="H809" s="73">
        <v>9.0000003576278687E-2</v>
      </c>
      <c r="I809" s="190">
        <v>2003.7159999999999</v>
      </c>
      <c r="J809" s="134" t="str">
        <f t="shared" si="95"/>
        <v>keep</v>
      </c>
      <c r="K809" s="134" t="str">
        <f t="shared" si="96"/>
        <v>R11</v>
      </c>
      <c r="L809" s="134" t="str">
        <f t="shared" si="97"/>
        <v>R11</v>
      </c>
      <c r="M809" s="146" t="str">
        <f t="shared" si="93"/>
        <v>R0</v>
      </c>
      <c r="N809" s="146" t="str">
        <f t="shared" si="94"/>
        <v>Double</v>
      </c>
      <c r="O809" s="146" t="str">
        <f t="shared" si="98"/>
        <v>Heat PumpR11R11R0Double</v>
      </c>
      <c r="P809" s="134" t="str">
        <f t="shared" si="99"/>
        <v>Crawlspace</v>
      </c>
      <c r="Q809" s="134"/>
      <c r="R809" s="134"/>
      <c r="S809" s="134"/>
      <c r="T809" s="134"/>
      <c r="U809" s="134"/>
      <c r="V809" s="134"/>
      <c r="W809" s="134"/>
      <c r="X809" s="134"/>
      <c r="Y809" s="134"/>
      <c r="Z809" s="134"/>
      <c r="AA809" s="134"/>
      <c r="AB809" s="134"/>
      <c r="AC809" s="134"/>
      <c r="AD809" s="134"/>
      <c r="AE809" s="134"/>
      <c r="AF809" s="146"/>
      <c r="AG809" s="134"/>
      <c r="AH809" s="134"/>
      <c r="AI809" s="134"/>
      <c r="AJ809" s="134"/>
      <c r="AK809" s="134"/>
      <c r="AL809" s="134"/>
      <c r="AM809" s="146"/>
      <c r="AN809" s="132"/>
      <c r="AO809" s="132"/>
      <c r="AP809" s="132"/>
      <c r="AQ809" s="132"/>
      <c r="AR809" s="134"/>
      <c r="AS809" s="134"/>
      <c r="AT809" s="132"/>
      <c r="AU809" s="133"/>
      <c r="AV809" s="134"/>
    </row>
    <row r="810" spans="1:48">
      <c r="A810" s="74">
        <v>10995</v>
      </c>
      <c r="B810" s="74" t="s">
        <v>228</v>
      </c>
      <c r="C810" s="74">
        <v>2</v>
      </c>
      <c r="D810" s="74">
        <v>1940</v>
      </c>
      <c r="E810" s="73">
        <v>9.0000003576278687E-2</v>
      </c>
      <c r="F810" s="73">
        <v>0.9070422682963627</v>
      </c>
      <c r="G810" s="73">
        <v>9.0000003576278687E-2</v>
      </c>
      <c r="H810" s="73">
        <v>0</v>
      </c>
      <c r="I810" s="190">
        <v>4956.4930000000004</v>
      </c>
      <c r="J810" s="134" t="str">
        <f t="shared" si="95"/>
        <v>keep</v>
      </c>
      <c r="K810" s="134" t="str">
        <f t="shared" si="96"/>
        <v>R11</v>
      </c>
      <c r="L810" s="134" t="str">
        <f t="shared" si="97"/>
        <v>R11</v>
      </c>
      <c r="M810" s="146" t="str">
        <f t="shared" si="93"/>
        <v>Slab</v>
      </c>
      <c r="N810" s="146" t="str">
        <f t="shared" si="94"/>
        <v>Double</v>
      </c>
      <c r="O810" s="146" t="str">
        <f t="shared" si="98"/>
        <v>Electric ZonalR11R11SlabDouble</v>
      </c>
      <c r="P810" s="134" t="str">
        <f t="shared" si="99"/>
        <v>Slab</v>
      </c>
      <c r="Q810" s="134"/>
      <c r="R810" s="134"/>
      <c r="S810" s="134"/>
      <c r="T810" s="134"/>
      <c r="U810" s="134"/>
      <c r="V810" s="134"/>
      <c r="W810" s="134"/>
      <c r="X810" s="134"/>
      <c r="Y810" s="134"/>
      <c r="Z810" s="134"/>
      <c r="AA810" s="134"/>
      <c r="AB810" s="134"/>
      <c r="AC810" s="134"/>
      <c r="AD810" s="134"/>
      <c r="AE810" s="134"/>
      <c r="AF810" s="146"/>
      <c r="AG810" s="134"/>
      <c r="AH810" s="134"/>
      <c r="AI810" s="134"/>
      <c r="AJ810" s="134"/>
      <c r="AK810" s="134"/>
      <c r="AL810" s="134"/>
      <c r="AM810" s="146"/>
      <c r="AN810" s="132"/>
      <c r="AO810" s="132"/>
      <c r="AP810" s="132"/>
      <c r="AQ810" s="132"/>
      <c r="AR810" s="134"/>
      <c r="AS810" s="134"/>
      <c r="AT810" s="132"/>
      <c r="AU810" s="133"/>
      <c r="AV810" s="134"/>
    </row>
    <row r="811" spans="1:48">
      <c r="A811" s="74">
        <v>11014</v>
      </c>
      <c r="B811" s="74" t="s">
        <v>229</v>
      </c>
      <c r="C811" s="74">
        <v>1</v>
      </c>
      <c r="D811" s="74">
        <v>1725</v>
      </c>
      <c r="E811" s="73">
        <v>4.5000001788139343E-2</v>
      </c>
      <c r="F811" s="73">
        <v>0.5552009587874086</v>
      </c>
      <c r="G811" s="73">
        <v>7.9999998211860657E-2</v>
      </c>
      <c r="H811" s="73">
        <v>4.5000001788139343E-2</v>
      </c>
      <c r="I811" s="190">
        <v>1188.027</v>
      </c>
      <c r="J811" s="134" t="str">
        <f t="shared" si="95"/>
        <v>keep</v>
      </c>
      <c r="K811" s="134" t="str">
        <f t="shared" si="96"/>
        <v>R30</v>
      </c>
      <c r="L811" s="134" t="str">
        <f t="shared" si="97"/>
        <v>R11</v>
      </c>
      <c r="M811" s="146" t="str">
        <f t="shared" si="93"/>
        <v>Better</v>
      </c>
      <c r="N811" s="146" t="str">
        <f t="shared" si="94"/>
        <v>Better</v>
      </c>
      <c r="O811" s="146" t="str">
        <f t="shared" si="98"/>
        <v>Heat PumpR30R11BetterBetter</v>
      </c>
      <c r="P811" s="134" t="str">
        <f t="shared" si="99"/>
        <v>Crawlspace</v>
      </c>
      <c r="Q811" s="134"/>
      <c r="R811" s="134"/>
      <c r="S811" s="134"/>
      <c r="T811" s="134"/>
      <c r="U811" s="134"/>
      <c r="V811" s="134"/>
      <c r="W811" s="134"/>
      <c r="X811" s="134"/>
      <c r="Y811" s="134"/>
      <c r="Z811" s="134"/>
      <c r="AA811" s="134"/>
      <c r="AB811" s="134"/>
      <c r="AC811" s="134"/>
      <c r="AD811" s="134"/>
      <c r="AE811" s="134"/>
      <c r="AF811" s="146"/>
      <c r="AG811" s="134"/>
      <c r="AH811" s="134"/>
      <c r="AI811" s="134"/>
      <c r="AJ811" s="134"/>
      <c r="AK811" s="134"/>
      <c r="AL811" s="134"/>
      <c r="AM811" s="146"/>
      <c r="AN811" s="132"/>
      <c r="AO811" s="132"/>
      <c r="AP811" s="132"/>
      <c r="AQ811" s="132"/>
      <c r="AR811" s="134"/>
      <c r="AS811" s="134"/>
      <c r="AT811" s="132"/>
      <c r="AU811" s="133"/>
      <c r="AV811" s="134"/>
    </row>
    <row r="812" spans="1:48">
      <c r="A812" s="74">
        <v>11030</v>
      </c>
      <c r="B812" s="74" t="s">
        <v>228</v>
      </c>
      <c r="C812" s="74">
        <v>1</v>
      </c>
      <c r="D812" s="74">
        <v>958</v>
      </c>
      <c r="E812" s="73">
        <v>0.37000000476837153</v>
      </c>
      <c r="F812" s="73">
        <v>0.94999998807907104</v>
      </c>
      <c r="G812" s="73">
        <v>0.23400000000000001</v>
      </c>
      <c r="H812" s="73">
        <v>0.23000000417232513</v>
      </c>
      <c r="I812" s="190">
        <v>1464.694</v>
      </c>
      <c r="J812" s="134" t="str">
        <f t="shared" si="95"/>
        <v>keep</v>
      </c>
      <c r="K812" s="134" t="str">
        <f t="shared" si="96"/>
        <v>R0</v>
      </c>
      <c r="L812" s="134" t="str">
        <f t="shared" si="97"/>
        <v>R0</v>
      </c>
      <c r="M812" s="146" t="str">
        <f t="shared" si="93"/>
        <v>R0</v>
      </c>
      <c r="N812" s="146" t="str">
        <f t="shared" si="94"/>
        <v>Double</v>
      </c>
      <c r="O812" s="146" t="str">
        <f t="shared" si="98"/>
        <v>Electric ZonalR0R0R0Double</v>
      </c>
      <c r="P812" s="134" t="str">
        <f t="shared" si="99"/>
        <v>Crawlspace</v>
      </c>
      <c r="Q812" s="134"/>
      <c r="R812" s="134"/>
      <c r="S812" s="134"/>
      <c r="T812" s="134"/>
      <c r="U812" s="134"/>
      <c r="V812" s="134"/>
      <c r="W812" s="134"/>
      <c r="X812" s="134"/>
      <c r="Y812" s="134"/>
      <c r="Z812" s="134"/>
      <c r="AA812" s="134"/>
      <c r="AB812" s="134"/>
      <c r="AC812" s="134"/>
      <c r="AD812" s="134"/>
      <c r="AE812" s="134"/>
      <c r="AF812" s="146"/>
      <c r="AG812" s="134"/>
      <c r="AH812" s="134"/>
      <c r="AI812" s="134"/>
      <c r="AJ812" s="134"/>
      <c r="AK812" s="134"/>
      <c r="AL812" s="134"/>
      <c r="AM812" s="146"/>
      <c r="AN812" s="132"/>
      <c r="AO812" s="132"/>
      <c r="AP812" s="132"/>
      <c r="AQ812" s="132"/>
      <c r="AR812" s="134"/>
      <c r="AS812" s="134"/>
      <c r="AT812" s="132"/>
      <c r="AU812" s="133"/>
      <c r="AV812" s="134"/>
    </row>
    <row r="813" spans="1:48">
      <c r="A813" s="74">
        <v>11032</v>
      </c>
      <c r="B813" s="74" t="s">
        <v>228</v>
      </c>
      <c r="C813" s="74">
        <v>1</v>
      </c>
      <c r="D813" s="74">
        <v>667</v>
      </c>
      <c r="E813" s="73">
        <v>5.000000074505806E-2</v>
      </c>
      <c r="F813" s="73">
        <v>0.67228916897831192</v>
      </c>
      <c r="G813" s="73">
        <v>9.0000003576278687E-2</v>
      </c>
      <c r="H813" s="73">
        <v>0.10000000149011612</v>
      </c>
      <c r="I813" s="190">
        <v>1188.027</v>
      </c>
      <c r="J813" s="134" t="str">
        <f t="shared" si="95"/>
        <v>keep</v>
      </c>
      <c r="K813" s="134" t="str">
        <f t="shared" si="96"/>
        <v>R30</v>
      </c>
      <c r="L813" s="134" t="str">
        <f t="shared" si="97"/>
        <v>R11</v>
      </c>
      <c r="M813" s="146" t="str">
        <f t="shared" si="93"/>
        <v>R0</v>
      </c>
      <c r="N813" s="146" t="str">
        <f t="shared" si="94"/>
        <v>Better</v>
      </c>
      <c r="O813" s="146" t="str">
        <f t="shared" si="98"/>
        <v>Electric ZonalR30R11R0Better</v>
      </c>
      <c r="P813" s="134" t="str">
        <f t="shared" si="99"/>
        <v>Crawlspace</v>
      </c>
      <c r="Q813" s="134"/>
      <c r="R813" s="134"/>
      <c r="S813" s="134"/>
      <c r="T813" s="134"/>
      <c r="U813" s="134"/>
      <c r="V813" s="134"/>
      <c r="W813" s="134"/>
      <c r="X813" s="134"/>
      <c r="Y813" s="134"/>
      <c r="Z813" s="134"/>
      <c r="AA813" s="134"/>
      <c r="AB813" s="134"/>
      <c r="AC813" s="134"/>
      <c r="AD813" s="134"/>
      <c r="AE813" s="134"/>
      <c r="AF813" s="146"/>
      <c r="AG813" s="134"/>
      <c r="AH813" s="134"/>
      <c r="AI813" s="134"/>
      <c r="AJ813" s="134"/>
      <c r="AK813" s="134"/>
      <c r="AL813" s="134"/>
      <c r="AM813" s="146"/>
      <c r="AN813" s="132"/>
      <c r="AO813" s="132"/>
      <c r="AP813" s="132"/>
      <c r="AQ813" s="132"/>
      <c r="AR813" s="134"/>
      <c r="AS813" s="134"/>
      <c r="AT813" s="132"/>
      <c r="AU813" s="133"/>
      <c r="AV813" s="134"/>
    </row>
    <row r="814" spans="1:48">
      <c r="A814" s="74">
        <v>11035</v>
      </c>
      <c r="B814" s="74" t="s">
        <v>229</v>
      </c>
      <c r="C814" s="74" t="s">
        <v>673</v>
      </c>
      <c r="D814" s="74">
        <v>2508</v>
      </c>
      <c r="E814" s="73">
        <v>7.0000000298023224E-2</v>
      </c>
      <c r="F814" s="73">
        <v>0.89078015864036331</v>
      </c>
      <c r="G814" s="73">
        <v>9.0000003576278687E-2</v>
      </c>
      <c r="H814" s="73">
        <v>7.5000002980232239E-2</v>
      </c>
      <c r="I814" s="190">
        <v>1150.8789999999999</v>
      </c>
      <c r="J814" s="134" t="str">
        <f t="shared" si="95"/>
        <v>ignore</v>
      </c>
      <c r="K814" s="134" t="str">
        <f t="shared" si="96"/>
        <v>R19</v>
      </c>
      <c r="L814" s="134" t="str">
        <f t="shared" si="97"/>
        <v>R11</v>
      </c>
      <c r="M814" s="146" t="str">
        <f t="shared" si="93"/>
        <v>R0</v>
      </c>
      <c r="N814" s="146" t="str">
        <f t="shared" si="94"/>
        <v>Double</v>
      </c>
      <c r="O814" s="146" t="str">
        <f t="shared" si="98"/>
        <v>Heat PumpR19R11R0Double</v>
      </c>
      <c r="P814" s="134" t="str">
        <f t="shared" si="99"/>
        <v>error</v>
      </c>
      <c r="Q814" s="134"/>
      <c r="R814" s="134"/>
      <c r="S814" s="134"/>
      <c r="T814" s="134"/>
      <c r="U814" s="134"/>
      <c r="V814" s="134"/>
      <c r="W814" s="134"/>
      <c r="X814" s="134"/>
      <c r="Y814" s="134"/>
      <c r="Z814" s="134"/>
      <c r="AA814" s="134"/>
      <c r="AB814" s="134"/>
      <c r="AC814" s="134"/>
      <c r="AD814" s="134"/>
      <c r="AE814" s="134"/>
      <c r="AF814" s="146"/>
      <c r="AG814" s="134"/>
      <c r="AH814" s="134"/>
      <c r="AI814" s="134"/>
      <c r="AJ814" s="134"/>
      <c r="AK814" s="134"/>
      <c r="AL814" s="134"/>
      <c r="AM814" s="146"/>
      <c r="AN814" s="132"/>
      <c r="AO814" s="132"/>
      <c r="AP814" s="132"/>
      <c r="AQ814" s="132"/>
      <c r="AR814" s="134"/>
      <c r="AS814" s="134"/>
      <c r="AT814" s="132"/>
      <c r="AU814" s="133"/>
      <c r="AV814" s="134"/>
    </row>
    <row r="815" spans="1:48">
      <c r="A815" s="74">
        <v>11047</v>
      </c>
      <c r="B815" s="74" t="s">
        <v>228</v>
      </c>
      <c r="C815" s="74">
        <v>1</v>
      </c>
      <c r="D815" s="74">
        <v>697</v>
      </c>
      <c r="E815" s="73">
        <v>4.5000001788139343E-2</v>
      </c>
      <c r="F815" s="73">
        <v>1.1000000238418579</v>
      </c>
      <c r="G815" s="73">
        <v>7.9999998211860657E-2</v>
      </c>
      <c r="H815" s="73">
        <v>3.5000000149011612E-2</v>
      </c>
      <c r="I815" s="190">
        <v>1524.7619999999999</v>
      </c>
      <c r="J815" s="134" t="str">
        <f t="shared" si="95"/>
        <v>keep</v>
      </c>
      <c r="K815" s="134" t="str">
        <f t="shared" si="96"/>
        <v>R30</v>
      </c>
      <c r="L815" s="134" t="str">
        <f t="shared" si="97"/>
        <v>R11</v>
      </c>
      <c r="M815" s="146" t="str">
        <f t="shared" si="93"/>
        <v>Better</v>
      </c>
      <c r="N815" s="146" t="str">
        <f t="shared" si="94"/>
        <v>Single</v>
      </c>
      <c r="O815" s="146" t="str">
        <f t="shared" si="98"/>
        <v>Electric ZonalR30R11BetterSingle</v>
      </c>
      <c r="P815" s="134" t="str">
        <f t="shared" si="99"/>
        <v>Crawlspace</v>
      </c>
      <c r="Q815" s="134"/>
      <c r="R815" s="134"/>
      <c r="S815" s="134"/>
      <c r="T815" s="134"/>
      <c r="U815" s="134"/>
      <c r="V815" s="134"/>
      <c r="W815" s="134"/>
      <c r="X815" s="134"/>
      <c r="Y815" s="134"/>
      <c r="Z815" s="134"/>
      <c r="AA815" s="134"/>
      <c r="AB815" s="134"/>
      <c r="AC815" s="134"/>
      <c r="AD815" s="134"/>
      <c r="AE815" s="134"/>
      <c r="AF815" s="146"/>
      <c r="AG815" s="134"/>
      <c r="AH815" s="134"/>
      <c r="AI815" s="134"/>
      <c r="AJ815" s="134"/>
      <c r="AK815" s="134"/>
      <c r="AL815" s="134"/>
      <c r="AM815" s="146"/>
      <c r="AN815" s="132"/>
      <c r="AO815" s="132"/>
      <c r="AP815" s="132"/>
      <c r="AQ815" s="132"/>
      <c r="AR815" s="134"/>
      <c r="AS815" s="134"/>
      <c r="AT815" s="132"/>
      <c r="AU815" s="133"/>
      <c r="AV815" s="134"/>
    </row>
    <row r="816" spans="1:48">
      <c r="A816" s="74">
        <v>11048</v>
      </c>
      <c r="B816" s="74" t="s">
        <v>228</v>
      </c>
      <c r="C816" s="74" t="s">
        <v>673</v>
      </c>
      <c r="D816" s="74">
        <v>1780</v>
      </c>
      <c r="E816" s="73">
        <v>9.4999998807907104E-2</v>
      </c>
      <c r="F816" s="73">
        <v>0.85000002384185791</v>
      </c>
      <c r="G816" s="73">
        <v>5.4999999701976776E-2</v>
      </c>
      <c r="H816" s="73">
        <v>0</v>
      </c>
      <c r="I816" s="190">
        <v>1464.694</v>
      </c>
      <c r="J816" s="134" t="str">
        <f t="shared" si="95"/>
        <v>ignore</v>
      </c>
      <c r="K816" s="134" t="str">
        <f t="shared" si="96"/>
        <v>R11</v>
      </c>
      <c r="L816" s="134" t="str">
        <f t="shared" si="97"/>
        <v>R11</v>
      </c>
      <c r="M816" s="146" t="str">
        <f t="shared" si="93"/>
        <v>Better</v>
      </c>
      <c r="N816" s="146" t="str">
        <f t="shared" si="94"/>
        <v>Double</v>
      </c>
      <c r="O816" s="146" t="str">
        <f t="shared" si="98"/>
        <v>Electric ZonalR11R11BetterDouble</v>
      </c>
      <c r="P816" s="134" t="str">
        <f t="shared" si="99"/>
        <v>error</v>
      </c>
      <c r="Q816" s="134"/>
      <c r="R816" s="134"/>
      <c r="S816" s="134"/>
      <c r="T816" s="134"/>
      <c r="U816" s="134"/>
      <c r="V816" s="134"/>
      <c r="W816" s="134"/>
      <c r="X816" s="134"/>
      <c r="Y816" s="134"/>
      <c r="Z816" s="134"/>
      <c r="AA816" s="134"/>
      <c r="AB816" s="134"/>
      <c r="AC816" s="134"/>
      <c r="AD816" s="134"/>
      <c r="AE816" s="134"/>
      <c r="AF816" s="146"/>
      <c r="AG816" s="134"/>
      <c r="AH816" s="134"/>
      <c r="AI816" s="134"/>
      <c r="AJ816" s="134"/>
      <c r="AK816" s="134"/>
      <c r="AL816" s="134"/>
      <c r="AM816" s="146"/>
      <c r="AN816" s="132"/>
      <c r="AO816" s="132"/>
      <c r="AP816" s="132"/>
      <c r="AQ816" s="132"/>
      <c r="AR816" s="134"/>
      <c r="AS816" s="134"/>
      <c r="AT816" s="132"/>
      <c r="AU816" s="133"/>
      <c r="AV816" s="134"/>
    </row>
    <row r="817" spans="1:48">
      <c r="A817" s="74">
        <v>11094</v>
      </c>
      <c r="B817" s="74" t="s">
        <v>228</v>
      </c>
      <c r="C817" s="74">
        <v>1</v>
      </c>
      <c r="D817" s="74">
        <v>1700</v>
      </c>
      <c r="E817" s="73">
        <v>4.5000001788139343E-2</v>
      </c>
      <c r="F817" s="73">
        <v>0.55000001192092896</v>
      </c>
      <c r="G817" s="73">
        <v>9.0000003576278687E-2</v>
      </c>
      <c r="H817" s="73">
        <v>0.13073529281160412</v>
      </c>
      <c r="I817" s="190">
        <v>1524.7619999999999</v>
      </c>
      <c r="J817" s="134" t="str">
        <f t="shared" si="95"/>
        <v>keep</v>
      </c>
      <c r="K817" s="134" t="str">
        <f t="shared" si="96"/>
        <v>R30</v>
      </c>
      <c r="L817" s="134" t="str">
        <f t="shared" si="97"/>
        <v>R11</v>
      </c>
      <c r="M817" s="146" t="str">
        <f t="shared" si="93"/>
        <v>R0</v>
      </c>
      <c r="N817" s="146" t="str">
        <f t="shared" si="94"/>
        <v>Better</v>
      </c>
      <c r="O817" s="146" t="str">
        <f t="shared" si="98"/>
        <v>Electric ZonalR30R11R0Better</v>
      </c>
      <c r="P817" s="134" t="str">
        <f t="shared" si="99"/>
        <v>Crawlspace</v>
      </c>
      <c r="Q817" s="134"/>
      <c r="R817" s="134"/>
      <c r="S817" s="134"/>
      <c r="T817" s="134"/>
      <c r="U817" s="134"/>
      <c r="V817" s="134"/>
      <c r="W817" s="134"/>
      <c r="X817" s="134"/>
      <c r="Y817" s="134"/>
      <c r="Z817" s="134"/>
      <c r="AA817" s="134"/>
      <c r="AB817" s="134"/>
      <c r="AC817" s="134"/>
      <c r="AD817" s="134"/>
      <c r="AE817" s="134"/>
      <c r="AF817" s="146"/>
      <c r="AG817" s="134"/>
      <c r="AH817" s="134"/>
      <c r="AI817" s="134"/>
      <c r="AJ817" s="134"/>
      <c r="AK817" s="134"/>
      <c r="AL817" s="134"/>
      <c r="AM817" s="146"/>
      <c r="AN817" s="132"/>
      <c r="AO817" s="132"/>
      <c r="AP817" s="132"/>
      <c r="AQ817" s="132"/>
      <c r="AR817" s="134"/>
      <c r="AS817" s="134"/>
      <c r="AT817" s="132"/>
      <c r="AU817" s="133"/>
      <c r="AV817" s="134"/>
    </row>
    <row r="818" spans="1:48">
      <c r="A818" s="74">
        <v>11145</v>
      </c>
      <c r="B818" s="74" t="s">
        <v>228</v>
      </c>
      <c r="C818" s="74">
        <v>1</v>
      </c>
      <c r="D818" s="74">
        <v>1400</v>
      </c>
      <c r="E818" s="73">
        <v>2.500000037252903E-2</v>
      </c>
      <c r="F818" s="73">
        <v>0.85000002384185791</v>
      </c>
      <c r="G818" s="73">
        <v>9.0000003576278687E-2</v>
      </c>
      <c r="H818" s="73">
        <v>4.5000001788139343E-2</v>
      </c>
      <c r="I818" s="190">
        <v>4956.4930000000004</v>
      </c>
      <c r="J818" s="134" t="str">
        <f t="shared" si="95"/>
        <v>keep</v>
      </c>
      <c r="K818" s="134" t="str">
        <f t="shared" si="96"/>
        <v>R38</v>
      </c>
      <c r="L818" s="134" t="str">
        <f t="shared" si="97"/>
        <v>R11</v>
      </c>
      <c r="M818" s="146" t="str">
        <f t="shared" si="93"/>
        <v>Better</v>
      </c>
      <c r="N818" s="146" t="str">
        <f t="shared" si="94"/>
        <v>Double</v>
      </c>
      <c r="O818" s="146" t="str">
        <f t="shared" si="98"/>
        <v>Electric ZonalR38R11BetterDouble</v>
      </c>
      <c r="P818" s="134" t="str">
        <f t="shared" si="99"/>
        <v>Crawlspace</v>
      </c>
      <c r="Q818" s="134"/>
      <c r="R818" s="134"/>
      <c r="S818" s="134"/>
      <c r="T818" s="134"/>
      <c r="U818" s="134"/>
      <c r="V818" s="134"/>
      <c r="W818" s="134"/>
      <c r="X818" s="134"/>
      <c r="Y818" s="134"/>
      <c r="Z818" s="134"/>
      <c r="AA818" s="134"/>
      <c r="AB818" s="134"/>
      <c r="AC818" s="134"/>
      <c r="AD818" s="134"/>
      <c r="AE818" s="134"/>
      <c r="AF818" s="146"/>
      <c r="AG818" s="134"/>
      <c r="AH818" s="134"/>
      <c r="AI818" s="134"/>
      <c r="AJ818" s="134"/>
      <c r="AK818" s="134"/>
      <c r="AL818" s="134"/>
      <c r="AM818" s="146"/>
      <c r="AN818" s="132"/>
      <c r="AO818" s="132"/>
      <c r="AP818" s="132"/>
      <c r="AQ818" s="132"/>
      <c r="AR818" s="134"/>
      <c r="AS818" s="134"/>
      <c r="AT818" s="132"/>
      <c r="AU818" s="133"/>
      <c r="AV818" s="134"/>
    </row>
    <row r="819" spans="1:48">
      <c r="A819" s="74">
        <v>11194</v>
      </c>
      <c r="B819" s="74" t="s">
        <v>228</v>
      </c>
      <c r="C819" s="74">
        <v>1</v>
      </c>
      <c r="D819" s="74">
        <v>1664</v>
      </c>
      <c r="E819" s="73">
        <v>3.0053507988468505E-2</v>
      </c>
      <c r="F819" s="73">
        <v>0.5</v>
      </c>
      <c r="G819" s="73">
        <v>7.5000002980232239E-2</v>
      </c>
      <c r="H819" s="73">
        <v>4.5000001788139343E-2</v>
      </c>
      <c r="I819" s="190">
        <v>4956.4930000000004</v>
      </c>
      <c r="J819" s="134" t="str">
        <f t="shared" si="95"/>
        <v>keep</v>
      </c>
      <c r="K819" s="134" t="str">
        <f t="shared" si="96"/>
        <v>R38</v>
      </c>
      <c r="L819" s="134" t="str">
        <f t="shared" si="97"/>
        <v>R11</v>
      </c>
      <c r="M819" s="146" t="str">
        <f t="shared" ref="M819:M882" si="100">IF(OR(C819=4,C819=3),"Basement",IF(C819=2,"Slab",IF(H819&gt;$D$10,$C$10,IF(H819&gt;$D$11,$C$11,"Better"))))</f>
        <v>Better</v>
      </c>
      <c r="N819" s="146" t="str">
        <f t="shared" ref="N819:N882" si="101">IF(F819&gt;$D$13,$C$13,IF(F819&gt;$D$14,$C$14,"Better"))</f>
        <v>Better</v>
      </c>
      <c r="O819" s="146" t="str">
        <f t="shared" si="98"/>
        <v>Electric ZonalR38R11BetterBetter</v>
      </c>
      <c r="P819" s="134" t="str">
        <f t="shared" si="99"/>
        <v>Crawlspace</v>
      </c>
      <c r="Q819" s="134"/>
      <c r="R819" s="134"/>
      <c r="S819" s="134"/>
      <c r="T819" s="134"/>
      <c r="U819" s="134"/>
      <c r="V819" s="134"/>
      <c r="W819" s="134"/>
      <c r="X819" s="134"/>
      <c r="Y819" s="134"/>
      <c r="Z819" s="134"/>
      <c r="AA819" s="134"/>
      <c r="AB819" s="134"/>
      <c r="AC819" s="134"/>
      <c r="AD819" s="134"/>
      <c r="AE819" s="134"/>
      <c r="AF819" s="146"/>
      <c r="AG819" s="134"/>
      <c r="AH819" s="134"/>
      <c r="AI819" s="134"/>
      <c r="AJ819" s="134"/>
      <c r="AK819" s="134"/>
      <c r="AL819" s="134"/>
      <c r="AM819" s="146"/>
      <c r="AN819" s="132"/>
      <c r="AO819" s="132"/>
      <c r="AP819" s="132"/>
      <c r="AQ819" s="132"/>
      <c r="AR819" s="134"/>
      <c r="AS819" s="134"/>
      <c r="AT819" s="132"/>
      <c r="AU819" s="133"/>
      <c r="AV819" s="134"/>
    </row>
    <row r="820" spans="1:48">
      <c r="A820" s="74">
        <v>11219</v>
      </c>
      <c r="B820" s="74" t="s">
        <v>229</v>
      </c>
      <c r="C820" s="74">
        <v>1</v>
      </c>
      <c r="D820" s="74">
        <v>1400</v>
      </c>
      <c r="E820" s="73">
        <v>2.500000037252903E-2</v>
      </c>
      <c r="F820" s="73">
        <v>0.44999998807907104</v>
      </c>
      <c r="G820" s="73">
        <v>7.9999998211860657E-2</v>
      </c>
      <c r="H820" s="73">
        <v>0.14000000059604645</v>
      </c>
      <c r="I820" s="190">
        <v>4956.4930000000004</v>
      </c>
      <c r="J820" s="134" t="str">
        <f t="shared" ref="J820:J883" si="102">IF(OR(C820="FLAG",ISERROR(PRODUCT(D820:H820))),"ignore","keep")</f>
        <v>keep</v>
      </c>
      <c r="K820" s="134" t="str">
        <f t="shared" ref="K820:K883" si="103">IF(E820&gt;$D$3,$C$3,IF(E820&gt;$D$4,$C$4,IF(E820&gt;$D$5,$C$5,IF(E820&gt;$D$6,$C$6,IF(E820&gt;$D$7,$C$7,"R38")))))</f>
        <v>R38</v>
      </c>
      <c r="L820" s="134" t="str">
        <f t="shared" ref="L820:L883" si="104">IF(G820&gt;$D$8,$C$8,"R11")</f>
        <v>R11</v>
      </c>
      <c r="M820" s="146" t="str">
        <f t="shared" si="100"/>
        <v>R0</v>
      </c>
      <c r="N820" s="146" t="str">
        <f t="shared" si="101"/>
        <v>Better</v>
      </c>
      <c r="O820" s="146" t="str">
        <f t="shared" ref="O820:O883" si="105">B820&amp;K820&amp;L820&amp;M820&amp;N820</f>
        <v>Heat PumpR38R11R0Better</v>
      </c>
      <c r="P820" s="134" t="str">
        <f t="shared" ref="P820:P883" si="106">IF(C820=1,"Crawlspace",IF(C820=2,"Slab",IF(OR(C820=3,C820=4),"Basement","error")))</f>
        <v>Crawlspace</v>
      </c>
      <c r="Q820" s="134"/>
      <c r="R820" s="134"/>
      <c r="S820" s="134"/>
      <c r="T820" s="134"/>
      <c r="U820" s="134"/>
      <c r="V820" s="134"/>
      <c r="W820" s="134"/>
      <c r="X820" s="134"/>
      <c r="Y820" s="134"/>
      <c r="Z820" s="134"/>
      <c r="AA820" s="134"/>
      <c r="AB820" s="134"/>
      <c r="AC820" s="134"/>
      <c r="AD820" s="134"/>
      <c r="AE820" s="134"/>
      <c r="AF820" s="146"/>
      <c r="AG820" s="134"/>
      <c r="AH820" s="134"/>
      <c r="AI820" s="134"/>
      <c r="AJ820" s="134"/>
      <c r="AK820" s="134"/>
      <c r="AL820" s="134"/>
      <c r="AM820" s="146"/>
      <c r="AN820" s="132"/>
      <c r="AO820" s="132"/>
      <c r="AP820" s="132"/>
      <c r="AQ820" s="132"/>
      <c r="AR820" s="134"/>
      <c r="AS820" s="134"/>
      <c r="AT820" s="132"/>
      <c r="AU820" s="133"/>
      <c r="AV820" s="134"/>
    </row>
    <row r="821" spans="1:48">
      <c r="A821" s="74">
        <v>11236</v>
      </c>
      <c r="B821" s="74" t="s">
        <v>227</v>
      </c>
      <c r="C821" s="74">
        <v>1</v>
      </c>
      <c r="D821" s="74">
        <v>2114</v>
      </c>
      <c r="E821" s="73">
        <v>2.9310181056398307E-2</v>
      </c>
      <c r="F821" s="73">
        <v>0.56112566902375349</v>
      </c>
      <c r="G821" s="73">
        <v>7.9999998211860657E-2</v>
      </c>
      <c r="H821" s="73">
        <v>2.9999999329447746E-2</v>
      </c>
      <c r="I821" s="190">
        <v>4956.4930000000004</v>
      </c>
      <c r="J821" s="134" t="str">
        <f t="shared" si="102"/>
        <v>keep</v>
      </c>
      <c r="K821" s="134" t="str">
        <f t="shared" si="103"/>
        <v>R38</v>
      </c>
      <c r="L821" s="134" t="str">
        <f t="shared" si="104"/>
        <v>R11</v>
      </c>
      <c r="M821" s="146" t="str">
        <f t="shared" si="100"/>
        <v>Better</v>
      </c>
      <c r="N821" s="146" t="str">
        <f t="shared" si="101"/>
        <v>Better</v>
      </c>
      <c r="O821" s="146" t="str">
        <f t="shared" si="105"/>
        <v>Electric FAFR38R11BetterBetter</v>
      </c>
      <c r="P821" s="134" t="str">
        <f t="shared" si="106"/>
        <v>Crawlspace</v>
      </c>
      <c r="Q821" s="134"/>
      <c r="R821" s="134"/>
      <c r="S821" s="134"/>
      <c r="T821" s="134"/>
      <c r="U821" s="134"/>
      <c r="V821" s="134"/>
      <c r="W821" s="134"/>
      <c r="X821" s="134"/>
      <c r="Y821" s="134"/>
      <c r="Z821" s="134"/>
      <c r="AA821" s="134"/>
      <c r="AB821" s="134"/>
      <c r="AC821" s="134"/>
      <c r="AD821" s="134"/>
      <c r="AE821" s="134"/>
      <c r="AF821" s="146"/>
      <c r="AG821" s="134"/>
      <c r="AH821" s="134"/>
      <c r="AI821" s="134"/>
      <c r="AJ821" s="134"/>
      <c r="AK821" s="134"/>
      <c r="AL821" s="134"/>
      <c r="AM821" s="146"/>
      <c r="AN821" s="132"/>
      <c r="AO821" s="132"/>
      <c r="AP821" s="132"/>
      <c r="AQ821" s="132"/>
      <c r="AR821" s="134"/>
      <c r="AS821" s="134"/>
      <c r="AT821" s="132"/>
      <c r="AU821" s="133"/>
      <c r="AV821" s="134"/>
    </row>
    <row r="822" spans="1:48">
      <c r="A822" s="74">
        <v>11282</v>
      </c>
      <c r="B822" s="74" t="s">
        <v>229</v>
      </c>
      <c r="C822" s="74">
        <v>4</v>
      </c>
      <c r="D822" s="74">
        <v>4520</v>
      </c>
      <c r="E822" s="73">
        <v>2.3401239723547882E-2</v>
      </c>
      <c r="F822" s="73">
        <v>0.8469979395283922</v>
      </c>
      <c r="G822" s="73">
        <v>7.9999998211860657E-2</v>
      </c>
      <c r="H822" s="73">
        <v>0</v>
      </c>
      <c r="I822" s="190">
        <v>6932.7380000000003</v>
      </c>
      <c r="J822" s="134" t="str">
        <f t="shared" si="102"/>
        <v>keep</v>
      </c>
      <c r="K822" s="134" t="str">
        <f t="shared" si="103"/>
        <v>R38</v>
      </c>
      <c r="L822" s="134" t="str">
        <f t="shared" si="104"/>
        <v>R11</v>
      </c>
      <c r="M822" s="146" t="str">
        <f t="shared" si="100"/>
        <v>Basement</v>
      </c>
      <c r="N822" s="146" t="str">
        <f t="shared" si="101"/>
        <v>Double</v>
      </c>
      <c r="O822" s="146" t="str">
        <f t="shared" si="105"/>
        <v>Heat PumpR38R11BasementDouble</v>
      </c>
      <c r="P822" s="134" t="str">
        <f t="shared" si="106"/>
        <v>Basement</v>
      </c>
      <c r="Q822" s="134"/>
      <c r="R822" s="134"/>
      <c r="S822" s="134"/>
      <c r="T822" s="134"/>
      <c r="U822" s="134"/>
      <c r="V822" s="134"/>
      <c r="W822" s="134"/>
      <c r="X822" s="134"/>
      <c r="Y822" s="134"/>
      <c r="Z822" s="134"/>
      <c r="AA822" s="134"/>
      <c r="AB822" s="134"/>
      <c r="AC822" s="134"/>
      <c r="AD822" s="134"/>
      <c r="AE822" s="134"/>
      <c r="AF822" s="146"/>
      <c r="AG822" s="134"/>
      <c r="AH822" s="134"/>
      <c r="AI822" s="134"/>
      <c r="AJ822" s="134"/>
      <c r="AK822" s="134"/>
      <c r="AL822" s="134"/>
      <c r="AM822" s="146"/>
      <c r="AN822" s="132"/>
      <c r="AO822" s="132"/>
      <c r="AP822" s="132"/>
      <c r="AQ822" s="132"/>
      <c r="AR822" s="134"/>
      <c r="AS822" s="134"/>
      <c r="AT822" s="132"/>
      <c r="AU822" s="133"/>
      <c r="AV822" s="134"/>
    </row>
    <row r="823" spans="1:48">
      <c r="A823" s="74">
        <v>11289</v>
      </c>
      <c r="B823" s="74" t="s">
        <v>228</v>
      </c>
      <c r="C823" s="74">
        <v>4</v>
      </c>
      <c r="D823" s="74">
        <v>1602</v>
      </c>
      <c r="E823" s="73">
        <v>2.500000037252903E-2</v>
      </c>
      <c r="F823" s="73">
        <v>0.55000001192092896</v>
      </c>
      <c r="G823" s="73">
        <v>7.9999998211860657E-2</v>
      </c>
      <c r="H823" s="73">
        <v>0</v>
      </c>
      <c r="I823" s="190">
        <v>1524.7619999999999</v>
      </c>
      <c r="J823" s="134" t="str">
        <f t="shared" si="102"/>
        <v>keep</v>
      </c>
      <c r="K823" s="134" t="str">
        <f t="shared" si="103"/>
        <v>R38</v>
      </c>
      <c r="L823" s="134" t="str">
        <f t="shared" si="104"/>
        <v>R11</v>
      </c>
      <c r="M823" s="146" t="str">
        <f t="shared" si="100"/>
        <v>Basement</v>
      </c>
      <c r="N823" s="146" t="str">
        <f t="shared" si="101"/>
        <v>Better</v>
      </c>
      <c r="O823" s="146" t="str">
        <f t="shared" si="105"/>
        <v>Electric ZonalR38R11BasementBetter</v>
      </c>
      <c r="P823" s="134" t="str">
        <f t="shared" si="106"/>
        <v>Basement</v>
      </c>
      <c r="Q823" s="134"/>
      <c r="R823" s="134"/>
      <c r="S823" s="134"/>
      <c r="T823" s="134"/>
      <c r="U823" s="134"/>
      <c r="V823" s="134"/>
      <c r="W823" s="134"/>
      <c r="X823" s="134"/>
      <c r="Y823" s="134"/>
      <c r="Z823" s="134"/>
      <c r="AA823" s="134"/>
      <c r="AB823" s="134"/>
      <c r="AC823" s="134"/>
      <c r="AD823" s="134"/>
      <c r="AE823" s="134"/>
      <c r="AF823" s="146"/>
      <c r="AG823" s="134"/>
      <c r="AH823" s="134"/>
      <c r="AI823" s="134"/>
      <c r="AJ823" s="134"/>
      <c r="AK823" s="134"/>
      <c r="AL823" s="134"/>
      <c r="AM823" s="146"/>
      <c r="AN823" s="132"/>
      <c r="AO823" s="132"/>
      <c r="AP823" s="132"/>
      <c r="AQ823" s="132"/>
      <c r="AR823" s="134"/>
      <c r="AS823" s="134"/>
      <c r="AT823" s="132"/>
      <c r="AU823" s="133"/>
      <c r="AV823" s="134"/>
    </row>
    <row r="824" spans="1:48">
      <c r="A824" s="74">
        <v>11323</v>
      </c>
      <c r="B824" s="74" t="s">
        <v>229</v>
      </c>
      <c r="C824" s="74">
        <v>4</v>
      </c>
      <c r="D824" s="74">
        <v>2256</v>
      </c>
      <c r="E824" s="73">
        <v>7.5000002980232239E-2</v>
      </c>
      <c r="F824" s="73">
        <v>0.50903614673269804</v>
      </c>
      <c r="G824" s="73">
        <v>0.10824884769553962</v>
      </c>
      <c r="H824" s="73">
        <v>0</v>
      </c>
      <c r="I824" s="190">
        <v>2003.7159999999999</v>
      </c>
      <c r="J824" s="134" t="str">
        <f t="shared" si="102"/>
        <v>keep</v>
      </c>
      <c r="K824" s="134" t="str">
        <f t="shared" si="103"/>
        <v>R19</v>
      </c>
      <c r="L824" s="134" t="str">
        <f t="shared" si="104"/>
        <v>R11</v>
      </c>
      <c r="M824" s="146" t="str">
        <f t="shared" si="100"/>
        <v>Basement</v>
      </c>
      <c r="N824" s="146" t="str">
        <f t="shared" si="101"/>
        <v>Better</v>
      </c>
      <c r="O824" s="146" t="str">
        <f t="shared" si="105"/>
        <v>Heat PumpR19R11BasementBetter</v>
      </c>
      <c r="P824" s="134" t="str">
        <f t="shared" si="106"/>
        <v>Basement</v>
      </c>
      <c r="Q824" s="134"/>
      <c r="R824" s="134"/>
      <c r="S824" s="134"/>
      <c r="T824" s="134"/>
      <c r="U824" s="134"/>
      <c r="V824" s="134"/>
      <c r="W824" s="134"/>
      <c r="X824" s="134"/>
      <c r="Y824" s="134"/>
      <c r="Z824" s="134"/>
      <c r="AA824" s="134"/>
      <c r="AB824" s="134"/>
      <c r="AC824" s="134"/>
      <c r="AD824" s="134"/>
      <c r="AE824" s="134"/>
      <c r="AF824" s="146"/>
      <c r="AG824" s="134"/>
      <c r="AH824" s="134"/>
      <c r="AI824" s="134"/>
      <c r="AJ824" s="134"/>
      <c r="AK824" s="134"/>
      <c r="AL824" s="134"/>
      <c r="AM824" s="146"/>
      <c r="AN824" s="132"/>
      <c r="AO824" s="132"/>
      <c r="AP824" s="132"/>
      <c r="AQ824" s="132"/>
      <c r="AR824" s="134"/>
      <c r="AS824" s="134"/>
      <c r="AT824" s="132"/>
      <c r="AU824" s="133"/>
      <c r="AV824" s="134"/>
    </row>
    <row r="825" spans="1:48">
      <c r="A825" s="74">
        <v>11327</v>
      </c>
      <c r="B825" s="74" t="s">
        <v>228</v>
      </c>
      <c r="C825" s="74">
        <v>1</v>
      </c>
      <c r="D825" s="74">
        <v>1240</v>
      </c>
      <c r="E825" s="73">
        <v>7.0000000298023224E-2</v>
      </c>
      <c r="F825" s="73">
        <v>0.5</v>
      </c>
      <c r="G825" s="73">
        <v>6.8056537081938331E-2</v>
      </c>
      <c r="H825" s="73">
        <v>7.5000002980232239E-2</v>
      </c>
      <c r="I825" s="190">
        <v>2003.7159999999999</v>
      </c>
      <c r="J825" s="134" t="str">
        <f t="shared" si="102"/>
        <v>keep</v>
      </c>
      <c r="K825" s="134" t="str">
        <f t="shared" si="103"/>
        <v>R19</v>
      </c>
      <c r="L825" s="134" t="str">
        <f t="shared" si="104"/>
        <v>R11</v>
      </c>
      <c r="M825" s="146" t="str">
        <f t="shared" si="100"/>
        <v>R0</v>
      </c>
      <c r="N825" s="146" t="str">
        <f t="shared" si="101"/>
        <v>Better</v>
      </c>
      <c r="O825" s="146" t="str">
        <f t="shared" si="105"/>
        <v>Electric ZonalR19R11R0Better</v>
      </c>
      <c r="P825" s="134" t="str">
        <f t="shared" si="106"/>
        <v>Crawlspace</v>
      </c>
      <c r="Q825" s="134"/>
      <c r="R825" s="134"/>
      <c r="S825" s="134"/>
      <c r="T825" s="134"/>
      <c r="U825" s="134"/>
      <c r="V825" s="134"/>
      <c r="W825" s="134"/>
      <c r="X825" s="134"/>
      <c r="Y825" s="134"/>
      <c r="Z825" s="134"/>
      <c r="AA825" s="134"/>
      <c r="AB825" s="134"/>
      <c r="AC825" s="134"/>
      <c r="AD825" s="134"/>
      <c r="AE825" s="134"/>
      <c r="AF825" s="146"/>
      <c r="AG825" s="134"/>
      <c r="AH825" s="134"/>
      <c r="AI825" s="134"/>
      <c r="AJ825" s="134"/>
      <c r="AK825" s="134"/>
      <c r="AL825" s="134"/>
      <c r="AM825" s="146"/>
      <c r="AN825" s="132"/>
      <c r="AO825" s="132"/>
      <c r="AP825" s="132"/>
      <c r="AQ825" s="132"/>
      <c r="AR825" s="134"/>
      <c r="AS825" s="134"/>
      <c r="AT825" s="132"/>
      <c r="AU825" s="133"/>
      <c r="AV825" s="134"/>
    </row>
    <row r="826" spans="1:48">
      <c r="A826" s="74">
        <v>11332</v>
      </c>
      <c r="B826" s="74" t="s">
        <v>228</v>
      </c>
      <c r="C826" s="74">
        <v>1</v>
      </c>
      <c r="D826" s="74">
        <v>1326</v>
      </c>
      <c r="E826" s="73">
        <v>3.5000000149011612E-2</v>
      </c>
      <c r="F826" s="73">
        <v>0.77018781726908792</v>
      </c>
      <c r="G826" s="73">
        <v>9.0000003576278687E-2</v>
      </c>
      <c r="H826" s="73">
        <v>6.4999997615814209E-2</v>
      </c>
      <c r="I826" s="190">
        <v>4956.4930000000004</v>
      </c>
      <c r="J826" s="134" t="str">
        <f t="shared" si="102"/>
        <v>keep</v>
      </c>
      <c r="K826" s="134" t="str">
        <f t="shared" si="103"/>
        <v>R38</v>
      </c>
      <c r="L826" s="134" t="str">
        <f t="shared" si="104"/>
        <v>R11</v>
      </c>
      <c r="M826" s="146" t="str">
        <f t="shared" si="100"/>
        <v>R19</v>
      </c>
      <c r="N826" s="146" t="str">
        <f t="shared" si="101"/>
        <v>Better</v>
      </c>
      <c r="O826" s="146" t="str">
        <f t="shared" si="105"/>
        <v>Electric ZonalR38R11R19Better</v>
      </c>
      <c r="P826" s="134" t="str">
        <f t="shared" si="106"/>
        <v>Crawlspace</v>
      </c>
      <c r="Q826" s="134"/>
      <c r="R826" s="134"/>
      <c r="S826" s="134"/>
      <c r="T826" s="134"/>
      <c r="U826" s="134"/>
      <c r="V826" s="134"/>
      <c r="W826" s="134"/>
      <c r="X826" s="134"/>
      <c r="Y826" s="134"/>
      <c r="Z826" s="134"/>
      <c r="AA826" s="134"/>
      <c r="AB826" s="134"/>
      <c r="AC826" s="134"/>
      <c r="AD826" s="134"/>
      <c r="AE826" s="134"/>
      <c r="AF826" s="146"/>
      <c r="AG826" s="134"/>
      <c r="AH826" s="134"/>
      <c r="AI826" s="134"/>
      <c r="AJ826" s="134"/>
      <c r="AK826" s="134"/>
      <c r="AL826" s="134"/>
      <c r="AM826" s="146"/>
      <c r="AN826" s="132"/>
      <c r="AO826" s="132"/>
      <c r="AP826" s="132"/>
      <c r="AQ826" s="132"/>
      <c r="AR826" s="134"/>
      <c r="AS826" s="134"/>
      <c r="AT826" s="132"/>
      <c r="AU826" s="133"/>
      <c r="AV826" s="134"/>
    </row>
    <row r="827" spans="1:48">
      <c r="A827" s="74">
        <v>11342</v>
      </c>
      <c r="B827" s="74" t="s">
        <v>228</v>
      </c>
      <c r="C827" s="74">
        <v>1</v>
      </c>
      <c r="D827" s="74">
        <v>1580</v>
      </c>
      <c r="E827" s="73">
        <v>3.5000000149011612E-2</v>
      </c>
      <c r="F827" s="73">
        <v>0.85000002384185791</v>
      </c>
      <c r="G827" s="73">
        <v>9.0000003576278687E-2</v>
      </c>
      <c r="H827" s="73">
        <v>6.4999997615814209E-2</v>
      </c>
      <c r="I827" s="190">
        <v>4956.4930000000004</v>
      </c>
      <c r="J827" s="134" t="str">
        <f t="shared" si="102"/>
        <v>keep</v>
      </c>
      <c r="K827" s="134" t="str">
        <f t="shared" si="103"/>
        <v>R38</v>
      </c>
      <c r="L827" s="134" t="str">
        <f t="shared" si="104"/>
        <v>R11</v>
      </c>
      <c r="M827" s="146" t="str">
        <f t="shared" si="100"/>
        <v>R19</v>
      </c>
      <c r="N827" s="146" t="str">
        <f t="shared" si="101"/>
        <v>Double</v>
      </c>
      <c r="O827" s="146" t="str">
        <f t="shared" si="105"/>
        <v>Electric ZonalR38R11R19Double</v>
      </c>
      <c r="P827" s="134" t="str">
        <f t="shared" si="106"/>
        <v>Crawlspace</v>
      </c>
      <c r="Q827" s="134"/>
      <c r="R827" s="134"/>
      <c r="S827" s="134"/>
      <c r="T827" s="134"/>
      <c r="U827" s="134"/>
      <c r="V827" s="134"/>
      <c r="W827" s="134"/>
      <c r="X827" s="134"/>
      <c r="Y827" s="134"/>
      <c r="Z827" s="134"/>
      <c r="AA827" s="134"/>
      <c r="AB827" s="134"/>
      <c r="AC827" s="134"/>
      <c r="AD827" s="134"/>
      <c r="AE827" s="134"/>
      <c r="AF827" s="146"/>
      <c r="AG827" s="134"/>
      <c r="AH827" s="134"/>
      <c r="AI827" s="134"/>
      <c r="AJ827" s="134"/>
      <c r="AK827" s="134"/>
      <c r="AL827" s="134"/>
      <c r="AM827" s="146"/>
      <c r="AN827" s="132"/>
      <c r="AO827" s="132"/>
      <c r="AP827" s="132"/>
      <c r="AQ827" s="132"/>
      <c r="AR827" s="134"/>
      <c r="AS827" s="134"/>
      <c r="AT827" s="132"/>
      <c r="AU827" s="133"/>
      <c r="AV827" s="134"/>
    </row>
    <row r="828" spans="1:48">
      <c r="A828" s="74">
        <v>11347</v>
      </c>
      <c r="B828" s="74" t="s">
        <v>227</v>
      </c>
      <c r="C828" s="74">
        <v>1</v>
      </c>
      <c r="D828" s="74">
        <v>1380</v>
      </c>
      <c r="E828" s="73">
        <v>7.9999998211860657E-2</v>
      </c>
      <c r="F828" s="73">
        <v>0.43979239144127263</v>
      </c>
      <c r="G828" s="73">
        <v>0.11999999731779099</v>
      </c>
      <c r="H828" s="73">
        <v>6.4999997615814209E-2</v>
      </c>
      <c r="I828" s="190">
        <v>4956.4930000000004</v>
      </c>
      <c r="J828" s="134" t="str">
        <f t="shared" si="102"/>
        <v>keep</v>
      </c>
      <c r="K828" s="134" t="str">
        <f t="shared" si="103"/>
        <v>R19</v>
      </c>
      <c r="L828" s="134" t="str">
        <f t="shared" si="104"/>
        <v>R11</v>
      </c>
      <c r="M828" s="146" t="str">
        <f t="shared" si="100"/>
        <v>R19</v>
      </c>
      <c r="N828" s="146" t="str">
        <f t="shared" si="101"/>
        <v>Better</v>
      </c>
      <c r="O828" s="146" t="str">
        <f t="shared" si="105"/>
        <v>Electric FAFR19R11R19Better</v>
      </c>
      <c r="P828" s="134" t="str">
        <f t="shared" si="106"/>
        <v>Crawlspace</v>
      </c>
      <c r="Q828" s="134"/>
      <c r="R828" s="134"/>
      <c r="S828" s="134"/>
      <c r="T828" s="134"/>
      <c r="U828" s="134"/>
      <c r="V828" s="134"/>
      <c r="W828" s="134"/>
      <c r="X828" s="134"/>
      <c r="Y828" s="134"/>
      <c r="Z828" s="134"/>
      <c r="AA828" s="134"/>
      <c r="AB828" s="134"/>
      <c r="AC828" s="134"/>
      <c r="AD828" s="134"/>
      <c r="AE828" s="134"/>
      <c r="AF828" s="146"/>
      <c r="AG828" s="134"/>
      <c r="AH828" s="134"/>
      <c r="AI828" s="134"/>
      <c r="AJ828" s="134"/>
      <c r="AK828" s="134"/>
      <c r="AL828" s="134"/>
      <c r="AM828" s="146"/>
      <c r="AN828" s="132"/>
      <c r="AO828" s="132"/>
      <c r="AP828" s="132"/>
      <c r="AQ828" s="132"/>
      <c r="AR828" s="134"/>
      <c r="AS828" s="134"/>
      <c r="AT828" s="132"/>
      <c r="AU828" s="133"/>
      <c r="AV828" s="134"/>
    </row>
    <row r="829" spans="1:48">
      <c r="A829" s="74">
        <v>11409</v>
      </c>
      <c r="B829" s="74" t="s">
        <v>229</v>
      </c>
      <c r="C829" s="74">
        <v>2</v>
      </c>
      <c r="D829" s="74">
        <v>1212</v>
      </c>
      <c r="E829" s="73">
        <v>2.500000037252903E-2</v>
      </c>
      <c r="F829" s="73">
        <v>0.55000001192092896</v>
      </c>
      <c r="G829" s="73">
        <v>5.9999998658895493E-2</v>
      </c>
      <c r="H829" s="73">
        <v>0</v>
      </c>
      <c r="I829" s="190">
        <v>1188.027</v>
      </c>
      <c r="J829" s="134" t="str">
        <f t="shared" si="102"/>
        <v>keep</v>
      </c>
      <c r="K829" s="134" t="str">
        <f t="shared" si="103"/>
        <v>R38</v>
      </c>
      <c r="L829" s="134" t="str">
        <f t="shared" si="104"/>
        <v>R11</v>
      </c>
      <c r="M829" s="146" t="str">
        <f t="shared" si="100"/>
        <v>Slab</v>
      </c>
      <c r="N829" s="146" t="str">
        <f t="shared" si="101"/>
        <v>Better</v>
      </c>
      <c r="O829" s="146" t="str">
        <f t="shared" si="105"/>
        <v>Heat PumpR38R11SlabBetter</v>
      </c>
      <c r="P829" s="134" t="str">
        <f t="shared" si="106"/>
        <v>Slab</v>
      </c>
      <c r="Q829" s="134"/>
      <c r="R829" s="134"/>
      <c r="S829" s="134"/>
      <c r="T829" s="134"/>
      <c r="U829" s="134"/>
      <c r="V829" s="134"/>
      <c r="W829" s="134"/>
      <c r="X829" s="134"/>
      <c r="Y829" s="134"/>
      <c r="Z829" s="134"/>
      <c r="AA829" s="134"/>
      <c r="AB829" s="134"/>
      <c r="AC829" s="134"/>
      <c r="AD829" s="134"/>
      <c r="AE829" s="134"/>
      <c r="AF829" s="146"/>
      <c r="AG829" s="134"/>
      <c r="AH829" s="134"/>
      <c r="AI829" s="134"/>
      <c r="AJ829" s="134"/>
      <c r="AK829" s="134"/>
      <c r="AL829" s="134"/>
      <c r="AM829" s="146"/>
      <c r="AN829" s="132"/>
      <c r="AO829" s="132"/>
      <c r="AP829" s="132"/>
      <c r="AQ829" s="132"/>
      <c r="AR829" s="134"/>
      <c r="AS829" s="134"/>
      <c r="AT829" s="132"/>
      <c r="AU829" s="133"/>
      <c r="AV829" s="134"/>
    </row>
    <row r="830" spans="1:48">
      <c r="A830" s="74">
        <v>11417</v>
      </c>
      <c r="B830" s="74" t="s">
        <v>227</v>
      </c>
      <c r="C830" s="74">
        <v>4</v>
      </c>
      <c r="D830" s="74">
        <v>1360</v>
      </c>
      <c r="E830" s="73">
        <v>2.500000037252903E-2</v>
      </c>
      <c r="F830" s="73">
        <v>0.85000002384185791</v>
      </c>
      <c r="G830" s="73">
        <v>9.0000003576278687E-2</v>
      </c>
      <c r="H830" s="73">
        <v>0</v>
      </c>
      <c r="I830" s="190">
        <v>4956.4930000000004</v>
      </c>
      <c r="J830" s="134" t="str">
        <f t="shared" si="102"/>
        <v>keep</v>
      </c>
      <c r="K830" s="134" t="str">
        <f t="shared" si="103"/>
        <v>R38</v>
      </c>
      <c r="L830" s="134" t="str">
        <f t="shared" si="104"/>
        <v>R11</v>
      </c>
      <c r="M830" s="146" t="str">
        <f t="shared" si="100"/>
        <v>Basement</v>
      </c>
      <c r="N830" s="146" t="str">
        <f t="shared" si="101"/>
        <v>Double</v>
      </c>
      <c r="O830" s="146" t="str">
        <f t="shared" si="105"/>
        <v>Electric FAFR38R11BasementDouble</v>
      </c>
      <c r="P830" s="134" t="str">
        <f t="shared" si="106"/>
        <v>Basement</v>
      </c>
      <c r="Q830" s="134"/>
      <c r="R830" s="134"/>
      <c r="S830" s="134"/>
      <c r="T830" s="134"/>
      <c r="U830" s="134"/>
      <c r="V830" s="134"/>
      <c r="W830" s="134"/>
      <c r="X830" s="134"/>
      <c r="Y830" s="134"/>
      <c r="Z830" s="134"/>
      <c r="AA830" s="134"/>
      <c r="AB830" s="134"/>
      <c r="AC830" s="134"/>
      <c r="AD830" s="134"/>
      <c r="AE830" s="134"/>
      <c r="AF830" s="146"/>
      <c r="AG830" s="134"/>
      <c r="AH830" s="134"/>
      <c r="AI830" s="134"/>
      <c r="AJ830" s="134"/>
      <c r="AK830" s="134"/>
      <c r="AL830" s="134"/>
      <c r="AM830" s="146"/>
      <c r="AN830" s="132"/>
      <c r="AO830" s="132"/>
      <c r="AP830" s="132"/>
      <c r="AQ830" s="132"/>
      <c r="AR830" s="134"/>
      <c r="AS830" s="134"/>
      <c r="AT830" s="132"/>
      <c r="AU830" s="133"/>
      <c r="AV830" s="134"/>
    </row>
    <row r="831" spans="1:48">
      <c r="A831" s="74">
        <v>11418</v>
      </c>
      <c r="B831" s="74" t="s">
        <v>229</v>
      </c>
      <c r="C831" s="74">
        <v>1</v>
      </c>
      <c r="D831" s="74">
        <v>1326</v>
      </c>
      <c r="E831" s="73">
        <v>2.500000037252903E-2</v>
      </c>
      <c r="F831" s="73">
        <v>0.44999998807907104</v>
      </c>
      <c r="G831" s="73">
        <v>5.9999998658895493E-2</v>
      </c>
      <c r="H831" s="73">
        <v>3.5000000149011612E-2</v>
      </c>
      <c r="I831" s="190">
        <v>6932.7380000000003</v>
      </c>
      <c r="J831" s="134" t="str">
        <f t="shared" si="102"/>
        <v>keep</v>
      </c>
      <c r="K831" s="134" t="str">
        <f t="shared" si="103"/>
        <v>R38</v>
      </c>
      <c r="L831" s="134" t="str">
        <f t="shared" si="104"/>
        <v>R11</v>
      </c>
      <c r="M831" s="146" t="str">
        <f t="shared" si="100"/>
        <v>Better</v>
      </c>
      <c r="N831" s="146" t="str">
        <f t="shared" si="101"/>
        <v>Better</v>
      </c>
      <c r="O831" s="146" t="str">
        <f t="shared" si="105"/>
        <v>Heat PumpR38R11BetterBetter</v>
      </c>
      <c r="P831" s="134" t="str">
        <f t="shared" si="106"/>
        <v>Crawlspace</v>
      </c>
      <c r="Q831" s="134"/>
      <c r="R831" s="134"/>
      <c r="S831" s="134"/>
      <c r="T831" s="134"/>
      <c r="U831" s="134"/>
      <c r="V831" s="134"/>
      <c r="W831" s="134"/>
      <c r="X831" s="134"/>
      <c r="Y831" s="134"/>
      <c r="Z831" s="134"/>
      <c r="AA831" s="134"/>
      <c r="AB831" s="134"/>
      <c r="AC831" s="134"/>
      <c r="AD831" s="134"/>
      <c r="AE831" s="134"/>
      <c r="AF831" s="146"/>
      <c r="AG831" s="134"/>
      <c r="AH831" s="134"/>
      <c r="AI831" s="134"/>
      <c r="AJ831" s="134"/>
      <c r="AK831" s="134"/>
      <c r="AL831" s="134"/>
      <c r="AM831" s="146"/>
      <c r="AN831" s="132"/>
      <c r="AO831" s="132"/>
      <c r="AP831" s="132"/>
      <c r="AQ831" s="132"/>
      <c r="AR831" s="134"/>
      <c r="AS831" s="134"/>
      <c r="AT831" s="132"/>
      <c r="AU831" s="133"/>
      <c r="AV831" s="134"/>
    </row>
    <row r="832" spans="1:48">
      <c r="A832" s="74">
        <v>11503</v>
      </c>
      <c r="B832" s="74" t="s">
        <v>228</v>
      </c>
      <c r="C832" s="74">
        <v>4</v>
      </c>
      <c r="D832" s="74">
        <v>1387</v>
      </c>
      <c r="E832" s="73">
        <v>2.500000037252903E-2</v>
      </c>
      <c r="F832" s="73">
        <v>0.44999998807907104</v>
      </c>
      <c r="G832" s="73">
        <v>0.23400000000000001</v>
      </c>
      <c r="H832" s="73">
        <v>0</v>
      </c>
      <c r="I832" s="190">
        <v>1524.7619999999999</v>
      </c>
      <c r="J832" s="134" t="str">
        <f t="shared" si="102"/>
        <v>keep</v>
      </c>
      <c r="K832" s="134" t="str">
        <f t="shared" si="103"/>
        <v>R38</v>
      </c>
      <c r="L832" s="134" t="str">
        <f t="shared" si="104"/>
        <v>R0</v>
      </c>
      <c r="M832" s="146" t="str">
        <f t="shared" si="100"/>
        <v>Basement</v>
      </c>
      <c r="N832" s="146" t="str">
        <f t="shared" si="101"/>
        <v>Better</v>
      </c>
      <c r="O832" s="146" t="str">
        <f t="shared" si="105"/>
        <v>Electric ZonalR38R0BasementBetter</v>
      </c>
      <c r="P832" s="134" t="str">
        <f t="shared" si="106"/>
        <v>Basement</v>
      </c>
      <c r="Q832" s="134"/>
      <c r="R832" s="134"/>
      <c r="S832" s="134"/>
      <c r="T832" s="134"/>
      <c r="U832" s="134"/>
      <c r="V832" s="134"/>
      <c r="W832" s="134"/>
      <c r="X832" s="134"/>
      <c r="Y832" s="134"/>
      <c r="Z832" s="134"/>
      <c r="AA832" s="134"/>
      <c r="AB832" s="134"/>
      <c r="AC832" s="134"/>
      <c r="AD832" s="134"/>
      <c r="AE832" s="134"/>
      <c r="AF832" s="146"/>
      <c r="AG832" s="134"/>
      <c r="AH832" s="134"/>
      <c r="AI832" s="134"/>
      <c r="AJ832" s="134"/>
      <c r="AK832" s="134"/>
      <c r="AL832" s="134"/>
      <c r="AM832" s="146"/>
      <c r="AN832" s="132"/>
      <c r="AO832" s="132"/>
      <c r="AP832" s="132"/>
      <c r="AQ832" s="132"/>
      <c r="AR832" s="134"/>
      <c r="AS832" s="134"/>
      <c r="AT832" s="132"/>
      <c r="AU832" s="133"/>
      <c r="AV832" s="134"/>
    </row>
    <row r="833" spans="1:48">
      <c r="A833" s="74">
        <v>11504</v>
      </c>
      <c r="B833" s="74" t="s">
        <v>229</v>
      </c>
      <c r="C833" s="74">
        <v>1</v>
      </c>
      <c r="D833" s="74">
        <v>1980</v>
      </c>
      <c r="E833" s="73">
        <v>8.9177215212508099E-2</v>
      </c>
      <c r="F833" s="73">
        <v>0.56805157456493649</v>
      </c>
      <c r="G833" s="73">
        <v>7.9024392021138493E-2</v>
      </c>
      <c r="H833" s="73">
        <v>0.23000000417232513</v>
      </c>
      <c r="I833" s="190">
        <v>6932.7380000000003</v>
      </c>
      <c r="J833" s="134" t="str">
        <f t="shared" si="102"/>
        <v>keep</v>
      </c>
      <c r="K833" s="134" t="str">
        <f t="shared" si="103"/>
        <v>R11</v>
      </c>
      <c r="L833" s="134" t="str">
        <f t="shared" si="104"/>
        <v>R11</v>
      </c>
      <c r="M833" s="146" t="str">
        <f t="shared" si="100"/>
        <v>R0</v>
      </c>
      <c r="N833" s="146" t="str">
        <f t="shared" si="101"/>
        <v>Better</v>
      </c>
      <c r="O833" s="146" t="str">
        <f t="shared" si="105"/>
        <v>Heat PumpR11R11R0Better</v>
      </c>
      <c r="P833" s="134" t="str">
        <f t="shared" si="106"/>
        <v>Crawlspace</v>
      </c>
      <c r="Q833" s="134"/>
      <c r="R833" s="134"/>
      <c r="S833" s="134"/>
      <c r="T833" s="134"/>
      <c r="U833" s="134"/>
      <c r="V833" s="134"/>
      <c r="W833" s="134"/>
      <c r="X833" s="134"/>
      <c r="Y833" s="134"/>
      <c r="Z833" s="134"/>
      <c r="AA833" s="134"/>
      <c r="AB833" s="134"/>
      <c r="AC833" s="134"/>
      <c r="AD833" s="134"/>
      <c r="AE833" s="134"/>
      <c r="AF833" s="146"/>
      <c r="AG833" s="134"/>
      <c r="AH833" s="134"/>
      <c r="AI833" s="134"/>
      <c r="AJ833" s="134"/>
      <c r="AK833" s="134"/>
      <c r="AL833" s="134"/>
      <c r="AM833" s="146"/>
      <c r="AN833" s="132"/>
      <c r="AO833" s="132"/>
      <c r="AP833" s="132"/>
      <c r="AQ833" s="132"/>
      <c r="AR833" s="134"/>
      <c r="AS833" s="134"/>
      <c r="AT833" s="132"/>
      <c r="AU833" s="133"/>
      <c r="AV833" s="134"/>
    </row>
    <row r="834" spans="1:48">
      <c r="A834" s="74">
        <v>11520</v>
      </c>
      <c r="B834" s="74" t="s">
        <v>227</v>
      </c>
      <c r="C834" s="74">
        <v>1</v>
      </c>
      <c r="D834" s="74">
        <v>1456</v>
      </c>
      <c r="E834" s="73">
        <v>0.14499999582767487</v>
      </c>
      <c r="F834" s="73">
        <v>0.44999998807907104</v>
      </c>
      <c r="G834" s="73">
        <v>0.23400000000000001</v>
      </c>
      <c r="H834" s="73">
        <v>4.5000001788139343E-2</v>
      </c>
      <c r="I834" s="190">
        <v>2003.7159999999999</v>
      </c>
      <c r="J834" s="134" t="str">
        <f t="shared" si="102"/>
        <v>keep</v>
      </c>
      <c r="K834" s="134" t="str">
        <f t="shared" si="103"/>
        <v>R11</v>
      </c>
      <c r="L834" s="134" t="str">
        <f t="shared" si="104"/>
        <v>R0</v>
      </c>
      <c r="M834" s="146" t="str">
        <f t="shared" si="100"/>
        <v>Better</v>
      </c>
      <c r="N834" s="146" t="str">
        <f t="shared" si="101"/>
        <v>Better</v>
      </c>
      <c r="O834" s="146" t="str">
        <f t="shared" si="105"/>
        <v>Electric FAFR11R0BetterBetter</v>
      </c>
      <c r="P834" s="134" t="str">
        <f t="shared" si="106"/>
        <v>Crawlspace</v>
      </c>
      <c r="Q834" s="134"/>
      <c r="R834" s="134"/>
      <c r="S834" s="134"/>
      <c r="T834" s="134"/>
      <c r="U834" s="134"/>
      <c r="V834" s="134"/>
      <c r="W834" s="134"/>
      <c r="X834" s="134"/>
      <c r="Y834" s="134"/>
      <c r="Z834" s="134"/>
      <c r="AA834" s="134"/>
      <c r="AB834" s="134"/>
      <c r="AC834" s="134"/>
      <c r="AD834" s="134"/>
      <c r="AE834" s="134"/>
      <c r="AF834" s="146"/>
      <c r="AG834" s="134"/>
      <c r="AH834" s="134"/>
      <c r="AI834" s="134"/>
      <c r="AJ834" s="134"/>
      <c r="AK834" s="134"/>
      <c r="AL834" s="134"/>
      <c r="AM834" s="146"/>
      <c r="AN834" s="132"/>
      <c r="AO834" s="132"/>
      <c r="AP834" s="132"/>
      <c r="AQ834" s="132"/>
      <c r="AR834" s="134"/>
      <c r="AS834" s="134"/>
      <c r="AT834" s="132"/>
      <c r="AU834" s="133"/>
      <c r="AV834" s="134"/>
    </row>
    <row r="835" spans="1:48">
      <c r="A835" s="74">
        <v>11531</v>
      </c>
      <c r="B835" s="74" t="s">
        <v>228</v>
      </c>
      <c r="C835" s="74">
        <v>2</v>
      </c>
      <c r="D835" s="74">
        <v>1028</v>
      </c>
      <c r="E835" s="73">
        <v>4.5000001788139343E-2</v>
      </c>
      <c r="F835" s="73">
        <v>0.60000002384185791</v>
      </c>
      <c r="G835" s="73">
        <v>9.0000003576278687E-2</v>
      </c>
      <c r="H835" s="73">
        <v>0</v>
      </c>
      <c r="I835" s="190">
        <v>4956.4930000000004</v>
      </c>
      <c r="J835" s="134" t="str">
        <f t="shared" si="102"/>
        <v>keep</v>
      </c>
      <c r="K835" s="134" t="str">
        <f t="shared" si="103"/>
        <v>R30</v>
      </c>
      <c r="L835" s="134" t="str">
        <f t="shared" si="104"/>
        <v>R11</v>
      </c>
      <c r="M835" s="146" t="str">
        <f t="shared" si="100"/>
        <v>Slab</v>
      </c>
      <c r="N835" s="146" t="str">
        <f t="shared" si="101"/>
        <v>Better</v>
      </c>
      <c r="O835" s="146" t="str">
        <f t="shared" si="105"/>
        <v>Electric ZonalR30R11SlabBetter</v>
      </c>
      <c r="P835" s="134" t="str">
        <f t="shared" si="106"/>
        <v>Slab</v>
      </c>
      <c r="Q835" s="134"/>
      <c r="R835" s="134"/>
      <c r="S835" s="134"/>
      <c r="T835" s="134"/>
      <c r="U835" s="134"/>
      <c r="V835" s="134"/>
      <c r="W835" s="134"/>
      <c r="X835" s="134"/>
      <c r="Y835" s="134"/>
      <c r="Z835" s="134"/>
      <c r="AA835" s="134"/>
      <c r="AB835" s="134"/>
      <c r="AC835" s="134"/>
      <c r="AD835" s="134"/>
      <c r="AE835" s="134"/>
      <c r="AF835" s="146"/>
      <c r="AG835" s="134"/>
      <c r="AH835" s="134"/>
      <c r="AI835" s="134"/>
      <c r="AJ835" s="134"/>
      <c r="AK835" s="134"/>
      <c r="AL835" s="134"/>
      <c r="AM835" s="146"/>
      <c r="AN835" s="132"/>
      <c r="AO835" s="132"/>
      <c r="AP835" s="132"/>
      <c r="AQ835" s="132"/>
      <c r="AR835" s="134"/>
      <c r="AS835" s="134"/>
      <c r="AT835" s="132"/>
      <c r="AU835" s="133"/>
      <c r="AV835" s="134"/>
    </row>
    <row r="836" spans="1:48">
      <c r="A836" s="74">
        <v>11539</v>
      </c>
      <c r="B836" s="74" t="s">
        <v>228</v>
      </c>
      <c r="C836" s="74">
        <v>1</v>
      </c>
      <c r="D836" s="74">
        <v>1044</v>
      </c>
      <c r="E836" s="73">
        <v>0.37000000476837153</v>
      </c>
      <c r="F836" s="73">
        <v>0.85000002384185791</v>
      </c>
      <c r="G836" s="73">
        <v>0.11999999731779099</v>
      </c>
      <c r="H836" s="73">
        <v>0.14499999582767487</v>
      </c>
      <c r="I836" s="190">
        <v>2003.7159999999999</v>
      </c>
      <c r="J836" s="134" t="str">
        <f t="shared" si="102"/>
        <v>keep</v>
      </c>
      <c r="K836" s="134" t="str">
        <f t="shared" si="103"/>
        <v>R0</v>
      </c>
      <c r="L836" s="134" t="str">
        <f t="shared" si="104"/>
        <v>R11</v>
      </c>
      <c r="M836" s="146" t="str">
        <f t="shared" si="100"/>
        <v>R0</v>
      </c>
      <c r="N836" s="146" t="str">
        <f t="shared" si="101"/>
        <v>Double</v>
      </c>
      <c r="O836" s="146" t="str">
        <f t="shared" si="105"/>
        <v>Electric ZonalR0R11R0Double</v>
      </c>
      <c r="P836" s="134" t="str">
        <f t="shared" si="106"/>
        <v>Crawlspace</v>
      </c>
      <c r="Q836" s="134"/>
      <c r="R836" s="134"/>
      <c r="S836" s="134"/>
      <c r="T836" s="134"/>
      <c r="U836" s="134"/>
      <c r="V836" s="134"/>
      <c r="W836" s="134"/>
      <c r="X836" s="134"/>
      <c r="Y836" s="134"/>
      <c r="Z836" s="134"/>
      <c r="AA836" s="134"/>
      <c r="AB836" s="134"/>
      <c r="AC836" s="134"/>
      <c r="AD836" s="134"/>
      <c r="AE836" s="134"/>
      <c r="AF836" s="146"/>
      <c r="AG836" s="134"/>
      <c r="AH836" s="134"/>
      <c r="AI836" s="134"/>
      <c r="AJ836" s="134"/>
      <c r="AK836" s="134"/>
      <c r="AL836" s="134"/>
      <c r="AM836" s="146"/>
      <c r="AN836" s="132"/>
      <c r="AO836" s="132"/>
      <c r="AP836" s="132"/>
      <c r="AQ836" s="132"/>
      <c r="AR836" s="134"/>
      <c r="AS836" s="134"/>
      <c r="AT836" s="132"/>
      <c r="AU836" s="133"/>
      <c r="AV836" s="134"/>
    </row>
    <row r="837" spans="1:48">
      <c r="A837" s="74">
        <v>11544</v>
      </c>
      <c r="B837" s="74" t="s">
        <v>228</v>
      </c>
      <c r="C837" s="74" t="s">
        <v>673</v>
      </c>
      <c r="D837" s="74">
        <v>960</v>
      </c>
      <c r="E837" s="73">
        <v>4.5000001788139343E-2</v>
      </c>
      <c r="F837" s="73">
        <v>0.85000002384185791</v>
      </c>
      <c r="G837" s="73">
        <v>7.9999998211860657E-2</v>
      </c>
      <c r="H837" s="73">
        <v>0</v>
      </c>
      <c r="I837" s="190">
        <v>4956.4930000000004</v>
      </c>
      <c r="J837" s="134" t="str">
        <f t="shared" si="102"/>
        <v>ignore</v>
      </c>
      <c r="K837" s="134" t="str">
        <f t="shared" si="103"/>
        <v>R30</v>
      </c>
      <c r="L837" s="134" t="str">
        <f t="shared" si="104"/>
        <v>R11</v>
      </c>
      <c r="M837" s="146" t="str">
        <f t="shared" si="100"/>
        <v>Better</v>
      </c>
      <c r="N837" s="146" t="str">
        <f t="shared" si="101"/>
        <v>Double</v>
      </c>
      <c r="O837" s="146" t="str">
        <f t="shared" si="105"/>
        <v>Electric ZonalR30R11BetterDouble</v>
      </c>
      <c r="P837" s="134" t="str">
        <f t="shared" si="106"/>
        <v>error</v>
      </c>
      <c r="Q837" s="134"/>
      <c r="R837" s="134"/>
      <c r="S837" s="134"/>
      <c r="T837" s="134"/>
      <c r="U837" s="134"/>
      <c r="V837" s="134"/>
      <c r="W837" s="134"/>
      <c r="X837" s="134"/>
      <c r="Y837" s="134"/>
      <c r="Z837" s="134"/>
      <c r="AA837" s="134"/>
      <c r="AB837" s="134"/>
      <c r="AC837" s="134"/>
      <c r="AD837" s="134"/>
      <c r="AE837" s="134"/>
      <c r="AF837" s="146"/>
      <c r="AG837" s="134"/>
      <c r="AH837" s="134"/>
      <c r="AI837" s="134"/>
      <c r="AJ837" s="134"/>
      <c r="AK837" s="134"/>
      <c r="AL837" s="134"/>
      <c r="AM837" s="146"/>
      <c r="AN837" s="132"/>
      <c r="AO837" s="132"/>
      <c r="AP837" s="132"/>
      <c r="AQ837" s="132"/>
      <c r="AR837" s="134"/>
      <c r="AS837" s="134"/>
      <c r="AT837" s="132"/>
      <c r="AU837" s="133"/>
      <c r="AV837" s="134"/>
    </row>
    <row r="838" spans="1:48">
      <c r="A838" s="74">
        <v>11555</v>
      </c>
      <c r="B838" s="74" t="s">
        <v>228</v>
      </c>
      <c r="C838" s="74">
        <v>4</v>
      </c>
      <c r="D838" s="74">
        <v>2230</v>
      </c>
      <c r="E838" s="73">
        <v>9.4999998807907104E-2</v>
      </c>
      <c r="F838" s="73">
        <v>0.85000002384185791</v>
      </c>
      <c r="G838" s="73">
        <v>9.0000003576278687E-2</v>
      </c>
      <c r="H838" s="73">
        <v>0</v>
      </c>
      <c r="I838" s="190">
        <v>2003.7159999999999</v>
      </c>
      <c r="J838" s="134" t="str">
        <f t="shared" si="102"/>
        <v>keep</v>
      </c>
      <c r="K838" s="134" t="str">
        <f t="shared" si="103"/>
        <v>R11</v>
      </c>
      <c r="L838" s="134" t="str">
        <f t="shared" si="104"/>
        <v>R11</v>
      </c>
      <c r="M838" s="146" t="str">
        <f t="shared" si="100"/>
        <v>Basement</v>
      </c>
      <c r="N838" s="146" t="str">
        <f t="shared" si="101"/>
        <v>Double</v>
      </c>
      <c r="O838" s="146" t="str">
        <f t="shared" si="105"/>
        <v>Electric ZonalR11R11BasementDouble</v>
      </c>
      <c r="P838" s="134" t="str">
        <f t="shared" si="106"/>
        <v>Basement</v>
      </c>
      <c r="Q838" s="134"/>
      <c r="R838" s="134"/>
      <c r="S838" s="134"/>
      <c r="T838" s="134"/>
      <c r="U838" s="134"/>
      <c r="V838" s="134"/>
      <c r="W838" s="134"/>
      <c r="X838" s="134"/>
      <c r="Y838" s="134"/>
      <c r="Z838" s="134"/>
      <c r="AA838" s="134"/>
      <c r="AB838" s="134"/>
      <c r="AC838" s="134"/>
      <c r="AD838" s="134"/>
      <c r="AE838" s="134"/>
      <c r="AF838" s="146"/>
      <c r="AG838" s="134"/>
      <c r="AH838" s="134"/>
      <c r="AI838" s="134"/>
      <c r="AJ838" s="134"/>
      <c r="AK838" s="134"/>
      <c r="AL838" s="134"/>
      <c r="AM838" s="146"/>
      <c r="AN838" s="132"/>
      <c r="AO838" s="132"/>
      <c r="AP838" s="132"/>
      <c r="AQ838" s="132"/>
      <c r="AR838" s="134"/>
      <c r="AS838" s="134"/>
      <c r="AT838" s="132"/>
      <c r="AU838" s="133"/>
      <c r="AV838" s="134"/>
    </row>
    <row r="839" spans="1:48">
      <c r="A839" s="74">
        <v>11602</v>
      </c>
      <c r="B839" s="74" t="s">
        <v>228</v>
      </c>
      <c r="C839" s="74">
        <v>1</v>
      </c>
      <c r="D839" s="74">
        <v>1456</v>
      </c>
      <c r="E839" s="73">
        <v>3.5000000149011612E-2</v>
      </c>
      <c r="F839" s="73">
        <v>0.85000002384185791</v>
      </c>
      <c r="G839" s="73">
        <v>9.0000003576278687E-2</v>
      </c>
      <c r="H839" s="73">
        <v>9.0000003576278687E-2</v>
      </c>
      <c r="I839" s="190">
        <v>1150.8789999999999</v>
      </c>
      <c r="J839" s="134" t="str">
        <f t="shared" si="102"/>
        <v>keep</v>
      </c>
      <c r="K839" s="134" t="str">
        <f t="shared" si="103"/>
        <v>R38</v>
      </c>
      <c r="L839" s="134" t="str">
        <f t="shared" si="104"/>
        <v>R11</v>
      </c>
      <c r="M839" s="146" t="str">
        <f t="shared" si="100"/>
        <v>R0</v>
      </c>
      <c r="N839" s="146" t="str">
        <f t="shared" si="101"/>
        <v>Double</v>
      </c>
      <c r="O839" s="146" t="str">
        <f t="shared" si="105"/>
        <v>Electric ZonalR38R11R0Double</v>
      </c>
      <c r="P839" s="134" t="str">
        <f t="shared" si="106"/>
        <v>Crawlspace</v>
      </c>
      <c r="Q839" s="134"/>
      <c r="R839" s="134"/>
      <c r="S839" s="134"/>
      <c r="T839" s="134"/>
      <c r="U839" s="134"/>
      <c r="V839" s="134"/>
      <c r="W839" s="134"/>
      <c r="X839" s="134"/>
      <c r="Y839" s="134"/>
      <c r="Z839" s="134"/>
      <c r="AA839" s="134"/>
      <c r="AB839" s="134"/>
      <c r="AC839" s="134"/>
      <c r="AD839" s="134"/>
      <c r="AE839" s="134"/>
      <c r="AF839" s="146"/>
      <c r="AG839" s="134"/>
      <c r="AH839" s="134"/>
      <c r="AI839" s="134"/>
      <c r="AJ839" s="134"/>
      <c r="AK839" s="134"/>
      <c r="AL839" s="134"/>
      <c r="AM839" s="146"/>
      <c r="AN839" s="132"/>
      <c r="AO839" s="132"/>
      <c r="AP839" s="132"/>
      <c r="AQ839" s="132"/>
      <c r="AR839" s="134"/>
      <c r="AS839" s="134"/>
      <c r="AT839" s="132"/>
      <c r="AU839" s="133"/>
      <c r="AV839" s="134"/>
    </row>
    <row r="840" spans="1:48">
      <c r="A840" s="74">
        <v>11636</v>
      </c>
      <c r="B840" s="74" t="s">
        <v>228</v>
      </c>
      <c r="C840" s="74">
        <v>4</v>
      </c>
      <c r="D840" s="74">
        <v>2863</v>
      </c>
      <c r="E840" s="73">
        <v>8.7994676939448957E-2</v>
      </c>
      <c r="F840" s="73">
        <v>0.80185186421429666</v>
      </c>
      <c r="G840" s="73">
        <v>0.11999999731779099</v>
      </c>
      <c r="H840" s="73">
        <v>0</v>
      </c>
      <c r="I840" s="190">
        <v>1464.694</v>
      </c>
      <c r="J840" s="134" t="str">
        <f t="shared" si="102"/>
        <v>keep</v>
      </c>
      <c r="K840" s="134" t="str">
        <f t="shared" si="103"/>
        <v>R11</v>
      </c>
      <c r="L840" s="134" t="str">
        <f t="shared" si="104"/>
        <v>R11</v>
      </c>
      <c r="M840" s="146" t="str">
        <f t="shared" si="100"/>
        <v>Basement</v>
      </c>
      <c r="N840" s="146" t="str">
        <f t="shared" si="101"/>
        <v>Better</v>
      </c>
      <c r="O840" s="146" t="str">
        <f t="shared" si="105"/>
        <v>Electric ZonalR11R11BasementBetter</v>
      </c>
      <c r="P840" s="134" t="str">
        <f t="shared" si="106"/>
        <v>Basement</v>
      </c>
      <c r="Q840" s="134"/>
      <c r="R840" s="134"/>
      <c r="S840" s="134"/>
      <c r="T840" s="134"/>
      <c r="U840" s="134"/>
      <c r="V840" s="134"/>
      <c r="W840" s="134"/>
      <c r="X840" s="134"/>
      <c r="Y840" s="134"/>
      <c r="Z840" s="134"/>
      <c r="AA840" s="134"/>
      <c r="AB840" s="134"/>
      <c r="AC840" s="134"/>
      <c r="AD840" s="134"/>
      <c r="AE840" s="134"/>
      <c r="AF840" s="146"/>
      <c r="AG840" s="134"/>
      <c r="AH840" s="134"/>
      <c r="AI840" s="134"/>
      <c r="AJ840" s="134"/>
      <c r="AK840" s="134"/>
      <c r="AL840" s="134"/>
      <c r="AM840" s="146"/>
      <c r="AN840" s="132"/>
      <c r="AO840" s="132"/>
      <c r="AP840" s="132"/>
      <c r="AQ840" s="132"/>
      <c r="AR840" s="134"/>
      <c r="AS840" s="134"/>
      <c r="AT840" s="132"/>
      <c r="AU840" s="133"/>
      <c r="AV840" s="134"/>
    </row>
    <row r="841" spans="1:48">
      <c r="A841" s="74">
        <v>11670</v>
      </c>
      <c r="B841" s="74" t="s">
        <v>228</v>
      </c>
      <c r="C841" s="74">
        <v>1</v>
      </c>
      <c r="D841" s="74">
        <v>896</v>
      </c>
      <c r="E841" s="73">
        <v>7.0000000298023224E-2</v>
      </c>
      <c r="F841" s="73">
        <v>0.94999998807907104</v>
      </c>
      <c r="G841" s="73">
        <v>9.0000003576278687E-2</v>
      </c>
      <c r="H841" s="73">
        <v>5.9999998658895493E-2</v>
      </c>
      <c r="I841" s="190">
        <v>1524.7619999999999</v>
      </c>
      <c r="J841" s="134" t="str">
        <f t="shared" si="102"/>
        <v>keep</v>
      </c>
      <c r="K841" s="134" t="str">
        <f t="shared" si="103"/>
        <v>R19</v>
      </c>
      <c r="L841" s="134" t="str">
        <f t="shared" si="104"/>
        <v>R11</v>
      </c>
      <c r="M841" s="146" t="str">
        <f t="shared" si="100"/>
        <v>R19</v>
      </c>
      <c r="N841" s="146" t="str">
        <f t="shared" si="101"/>
        <v>Double</v>
      </c>
      <c r="O841" s="146" t="str">
        <f t="shared" si="105"/>
        <v>Electric ZonalR19R11R19Double</v>
      </c>
      <c r="P841" s="134" t="str">
        <f t="shared" si="106"/>
        <v>Crawlspace</v>
      </c>
      <c r="Q841" s="134"/>
      <c r="R841" s="134"/>
      <c r="S841" s="134"/>
      <c r="T841" s="134"/>
      <c r="U841" s="134"/>
      <c r="V841" s="134"/>
      <c r="W841" s="134"/>
      <c r="X841" s="134"/>
      <c r="Y841" s="134"/>
      <c r="Z841" s="134"/>
      <c r="AA841" s="134"/>
      <c r="AB841" s="134"/>
      <c r="AC841" s="134"/>
      <c r="AD841" s="134"/>
      <c r="AE841" s="134"/>
      <c r="AF841" s="146"/>
      <c r="AG841" s="134"/>
      <c r="AH841" s="134"/>
      <c r="AI841" s="134"/>
      <c r="AJ841" s="134"/>
      <c r="AK841" s="134"/>
      <c r="AL841" s="134"/>
      <c r="AM841" s="146"/>
      <c r="AN841" s="132"/>
      <c r="AO841" s="132"/>
      <c r="AP841" s="132"/>
      <c r="AQ841" s="132"/>
      <c r="AR841" s="134"/>
      <c r="AS841" s="134"/>
      <c r="AT841" s="132"/>
      <c r="AU841" s="133"/>
      <c r="AV841" s="134"/>
    </row>
    <row r="842" spans="1:48">
      <c r="A842" s="74">
        <v>11684</v>
      </c>
      <c r="B842" s="74" t="s">
        <v>228</v>
      </c>
      <c r="C842" s="74">
        <v>1</v>
      </c>
      <c r="D842" s="74">
        <v>1334</v>
      </c>
      <c r="E842" s="73">
        <v>5.000000074505806E-2</v>
      </c>
      <c r="F842" s="73">
        <v>0.77264153327582019</v>
      </c>
      <c r="G842" s="73">
        <v>9.0000003576278687E-2</v>
      </c>
      <c r="H842" s="73">
        <v>5.9999998658895493E-2</v>
      </c>
      <c r="I842" s="190">
        <v>2003.7159999999999</v>
      </c>
      <c r="J842" s="134" t="str">
        <f t="shared" si="102"/>
        <v>keep</v>
      </c>
      <c r="K842" s="134" t="str">
        <f t="shared" si="103"/>
        <v>R30</v>
      </c>
      <c r="L842" s="134" t="str">
        <f t="shared" si="104"/>
        <v>R11</v>
      </c>
      <c r="M842" s="146" t="str">
        <f t="shared" si="100"/>
        <v>R19</v>
      </c>
      <c r="N842" s="146" t="str">
        <f t="shared" si="101"/>
        <v>Better</v>
      </c>
      <c r="O842" s="146" t="str">
        <f t="shared" si="105"/>
        <v>Electric ZonalR30R11R19Better</v>
      </c>
      <c r="P842" s="134" t="str">
        <f t="shared" si="106"/>
        <v>Crawlspace</v>
      </c>
      <c r="Q842" s="134"/>
      <c r="R842" s="134"/>
      <c r="S842" s="134"/>
      <c r="T842" s="134"/>
      <c r="U842" s="134"/>
      <c r="V842" s="134"/>
      <c r="W842" s="134"/>
      <c r="X842" s="134"/>
      <c r="Y842" s="134"/>
      <c r="Z842" s="134"/>
      <c r="AA842" s="134"/>
      <c r="AB842" s="134"/>
      <c r="AC842" s="134"/>
      <c r="AD842" s="134"/>
      <c r="AE842" s="134"/>
      <c r="AF842" s="146"/>
      <c r="AG842" s="134"/>
      <c r="AH842" s="134"/>
      <c r="AI842" s="134"/>
      <c r="AJ842" s="134"/>
      <c r="AK842" s="134"/>
      <c r="AL842" s="134"/>
      <c r="AM842" s="146"/>
      <c r="AN842" s="132"/>
      <c r="AO842" s="132"/>
      <c r="AP842" s="132"/>
      <c r="AQ842" s="132"/>
      <c r="AR842" s="134"/>
      <c r="AS842" s="134"/>
      <c r="AT842" s="132"/>
      <c r="AU842" s="133"/>
      <c r="AV842" s="134"/>
    </row>
    <row r="843" spans="1:48">
      <c r="A843" s="74">
        <v>11702</v>
      </c>
      <c r="B843" s="74" t="s">
        <v>228</v>
      </c>
      <c r="C843" s="74">
        <v>1</v>
      </c>
      <c r="D843" s="74">
        <v>740</v>
      </c>
      <c r="E843" s="73">
        <v>0.1550000011920929</v>
      </c>
      <c r="F843" s="73">
        <v>0.65460994733986277</v>
      </c>
      <c r="G843" s="73">
        <v>0.11999999731779099</v>
      </c>
      <c r="H843" s="73">
        <v>0.10000000149011612</v>
      </c>
      <c r="I843" s="190">
        <v>2003.7159999999999</v>
      </c>
      <c r="J843" s="134" t="str">
        <f t="shared" si="102"/>
        <v>keep</v>
      </c>
      <c r="K843" s="134" t="str">
        <f t="shared" si="103"/>
        <v>R0</v>
      </c>
      <c r="L843" s="134" t="str">
        <f t="shared" si="104"/>
        <v>R11</v>
      </c>
      <c r="M843" s="146" t="str">
        <f t="shared" si="100"/>
        <v>R0</v>
      </c>
      <c r="N843" s="146" t="str">
        <f t="shared" si="101"/>
        <v>Better</v>
      </c>
      <c r="O843" s="146" t="str">
        <f t="shared" si="105"/>
        <v>Electric ZonalR0R11R0Better</v>
      </c>
      <c r="P843" s="134" t="str">
        <f t="shared" si="106"/>
        <v>Crawlspace</v>
      </c>
      <c r="Q843" s="134"/>
      <c r="R843" s="134"/>
      <c r="S843" s="134"/>
      <c r="T843" s="134"/>
      <c r="U843" s="134"/>
      <c r="V843" s="134"/>
      <c r="W843" s="134"/>
      <c r="X843" s="134"/>
      <c r="Y843" s="134"/>
      <c r="Z843" s="134"/>
      <c r="AA843" s="134"/>
      <c r="AB843" s="134"/>
      <c r="AC843" s="134"/>
      <c r="AD843" s="134"/>
      <c r="AE843" s="134"/>
      <c r="AF843" s="146"/>
      <c r="AG843" s="134"/>
      <c r="AH843" s="134"/>
      <c r="AI843" s="134"/>
      <c r="AJ843" s="134"/>
      <c r="AK843" s="134"/>
      <c r="AL843" s="134"/>
      <c r="AM843" s="146"/>
      <c r="AN843" s="132"/>
      <c r="AO843" s="132"/>
      <c r="AP843" s="132"/>
      <c r="AQ843" s="132"/>
      <c r="AR843" s="134"/>
      <c r="AS843" s="134"/>
      <c r="AT843" s="132"/>
      <c r="AU843" s="133"/>
      <c r="AV843" s="134"/>
    </row>
    <row r="844" spans="1:48">
      <c r="A844" s="74">
        <v>11713</v>
      </c>
      <c r="B844" s="74" t="s">
        <v>228</v>
      </c>
      <c r="C844" s="74">
        <v>1</v>
      </c>
      <c r="D844" s="74">
        <v>1839</v>
      </c>
      <c r="E844" s="73">
        <v>7.0000000298023224E-2</v>
      </c>
      <c r="F844" s="73">
        <v>0.85000002384185791</v>
      </c>
      <c r="G844" s="73">
        <v>9.0000003576278687E-2</v>
      </c>
      <c r="H844" s="73">
        <v>0.23000000417232513</v>
      </c>
      <c r="I844" s="190">
        <v>2003.7159999999999</v>
      </c>
      <c r="J844" s="134" t="str">
        <f t="shared" si="102"/>
        <v>keep</v>
      </c>
      <c r="K844" s="134" t="str">
        <f t="shared" si="103"/>
        <v>R19</v>
      </c>
      <c r="L844" s="134" t="str">
        <f t="shared" si="104"/>
        <v>R11</v>
      </c>
      <c r="M844" s="146" t="str">
        <f t="shared" si="100"/>
        <v>R0</v>
      </c>
      <c r="N844" s="146" t="str">
        <f t="shared" si="101"/>
        <v>Double</v>
      </c>
      <c r="O844" s="146" t="str">
        <f t="shared" si="105"/>
        <v>Electric ZonalR19R11R0Double</v>
      </c>
      <c r="P844" s="134" t="str">
        <f t="shared" si="106"/>
        <v>Crawlspace</v>
      </c>
      <c r="Q844" s="134"/>
      <c r="R844" s="134"/>
      <c r="S844" s="134"/>
      <c r="T844" s="134"/>
      <c r="U844" s="134"/>
      <c r="V844" s="134"/>
      <c r="W844" s="134"/>
      <c r="X844" s="134"/>
      <c r="Y844" s="134"/>
      <c r="Z844" s="134"/>
      <c r="AA844" s="134"/>
      <c r="AB844" s="134"/>
      <c r="AC844" s="134"/>
      <c r="AD844" s="134"/>
      <c r="AE844" s="134"/>
      <c r="AF844" s="146"/>
      <c r="AG844" s="134"/>
      <c r="AH844" s="134"/>
      <c r="AI844" s="134"/>
      <c r="AJ844" s="134"/>
      <c r="AK844" s="134"/>
      <c r="AL844" s="134"/>
      <c r="AM844" s="146"/>
      <c r="AN844" s="132"/>
      <c r="AO844" s="132"/>
      <c r="AP844" s="132"/>
      <c r="AQ844" s="132"/>
      <c r="AR844" s="134"/>
      <c r="AS844" s="134"/>
      <c r="AT844" s="132"/>
      <c r="AU844" s="133"/>
      <c r="AV844" s="134"/>
    </row>
    <row r="845" spans="1:48">
      <c r="A845" s="74">
        <v>11762</v>
      </c>
      <c r="B845" s="74" t="s">
        <v>229</v>
      </c>
      <c r="C845" s="74">
        <v>1</v>
      </c>
      <c r="D845" s="74">
        <v>1616</v>
      </c>
      <c r="E845" s="73">
        <v>4.9937758842073535E-2</v>
      </c>
      <c r="F845" s="73">
        <v>0.44999998807907104</v>
      </c>
      <c r="G845" s="73">
        <v>9.0000003576278687E-2</v>
      </c>
      <c r="H845" s="73">
        <v>0</v>
      </c>
      <c r="I845" s="190">
        <v>1464.694</v>
      </c>
      <c r="J845" s="134" t="str">
        <f t="shared" si="102"/>
        <v>keep</v>
      </c>
      <c r="K845" s="134" t="str">
        <f t="shared" si="103"/>
        <v>R30</v>
      </c>
      <c r="L845" s="134" t="str">
        <f t="shared" si="104"/>
        <v>R11</v>
      </c>
      <c r="M845" s="146" t="str">
        <f t="shared" si="100"/>
        <v>Better</v>
      </c>
      <c r="N845" s="146" t="str">
        <f t="shared" si="101"/>
        <v>Better</v>
      </c>
      <c r="O845" s="146" t="str">
        <f t="shared" si="105"/>
        <v>Heat PumpR30R11BetterBetter</v>
      </c>
      <c r="P845" s="134" t="str">
        <f t="shared" si="106"/>
        <v>Crawlspace</v>
      </c>
      <c r="Q845" s="134"/>
      <c r="R845" s="134"/>
      <c r="S845" s="134"/>
      <c r="T845" s="134"/>
      <c r="U845" s="134"/>
      <c r="V845" s="134"/>
      <c r="W845" s="134"/>
      <c r="X845" s="134"/>
      <c r="Y845" s="134"/>
      <c r="Z845" s="134"/>
      <c r="AA845" s="134"/>
      <c r="AB845" s="134"/>
      <c r="AC845" s="134"/>
      <c r="AD845" s="134"/>
      <c r="AE845" s="134"/>
      <c r="AF845" s="146"/>
      <c r="AG845" s="134"/>
      <c r="AH845" s="134"/>
      <c r="AI845" s="134"/>
      <c r="AJ845" s="134"/>
      <c r="AK845" s="134"/>
      <c r="AL845" s="134"/>
      <c r="AM845" s="146"/>
      <c r="AN845" s="132"/>
      <c r="AO845" s="132"/>
      <c r="AP845" s="132"/>
      <c r="AQ845" s="132"/>
      <c r="AR845" s="134"/>
      <c r="AS845" s="134"/>
      <c r="AT845" s="132"/>
      <c r="AU845" s="133"/>
      <c r="AV845" s="134"/>
    </row>
    <row r="846" spans="1:48">
      <c r="A846" s="74">
        <v>11775</v>
      </c>
      <c r="B846" s="74" t="s">
        <v>229</v>
      </c>
      <c r="C846" s="74">
        <v>1</v>
      </c>
      <c r="D846" s="74">
        <v>1318</v>
      </c>
      <c r="E846" s="73">
        <v>0.10999999940395355</v>
      </c>
      <c r="F846" s="73">
        <v>0.57269938555231859</v>
      </c>
      <c r="G846" s="73">
        <v>0.11999999731779099</v>
      </c>
      <c r="H846" s="73">
        <v>0.10000000149011612</v>
      </c>
      <c r="I846" s="190">
        <v>4956.4930000000004</v>
      </c>
      <c r="J846" s="134" t="str">
        <f t="shared" si="102"/>
        <v>keep</v>
      </c>
      <c r="K846" s="134" t="str">
        <f t="shared" si="103"/>
        <v>R11</v>
      </c>
      <c r="L846" s="134" t="str">
        <f t="shared" si="104"/>
        <v>R11</v>
      </c>
      <c r="M846" s="146" t="str">
        <f t="shared" si="100"/>
        <v>R0</v>
      </c>
      <c r="N846" s="146" t="str">
        <f t="shared" si="101"/>
        <v>Better</v>
      </c>
      <c r="O846" s="146" t="str">
        <f t="shared" si="105"/>
        <v>Heat PumpR11R11R0Better</v>
      </c>
      <c r="P846" s="134" t="str">
        <f t="shared" si="106"/>
        <v>Crawlspace</v>
      </c>
      <c r="Q846" s="134"/>
      <c r="R846" s="134"/>
      <c r="S846" s="134"/>
      <c r="T846" s="134"/>
      <c r="U846" s="134"/>
      <c r="V846" s="134"/>
      <c r="W846" s="134"/>
      <c r="X846" s="134"/>
      <c r="Y846" s="134"/>
      <c r="Z846" s="134"/>
      <c r="AA846" s="134"/>
      <c r="AB846" s="134"/>
      <c r="AC846" s="134"/>
      <c r="AD846" s="134"/>
      <c r="AE846" s="134"/>
      <c r="AF846" s="146"/>
      <c r="AG846" s="134"/>
      <c r="AH846" s="134"/>
      <c r="AI846" s="134"/>
      <c r="AJ846" s="134"/>
      <c r="AK846" s="134"/>
      <c r="AL846" s="134"/>
      <c r="AM846" s="146"/>
      <c r="AN846" s="132"/>
      <c r="AO846" s="132"/>
      <c r="AP846" s="132"/>
      <c r="AQ846" s="132"/>
      <c r="AR846" s="134"/>
      <c r="AS846" s="134"/>
      <c r="AT846" s="132"/>
      <c r="AU846" s="133"/>
      <c r="AV846" s="134"/>
    </row>
    <row r="847" spans="1:48">
      <c r="A847" s="74">
        <v>11779</v>
      </c>
      <c r="B847" s="74" t="s">
        <v>228</v>
      </c>
      <c r="C847" s="74">
        <v>1</v>
      </c>
      <c r="D847" s="74">
        <v>1050</v>
      </c>
      <c r="E847" s="73">
        <v>6.1250000260770314E-2</v>
      </c>
      <c r="F847" s="73">
        <v>0.72113404446041462</v>
      </c>
      <c r="G847" s="73">
        <v>0.23400000000000001</v>
      </c>
      <c r="H847" s="73">
        <v>0.23000000417232513</v>
      </c>
      <c r="I847" s="190">
        <v>1524.7619999999999</v>
      </c>
      <c r="J847" s="134" t="str">
        <f t="shared" si="102"/>
        <v>keep</v>
      </c>
      <c r="K847" s="134" t="str">
        <f t="shared" si="103"/>
        <v>R19</v>
      </c>
      <c r="L847" s="134" t="str">
        <f t="shared" si="104"/>
        <v>R0</v>
      </c>
      <c r="M847" s="146" t="str">
        <f t="shared" si="100"/>
        <v>R0</v>
      </c>
      <c r="N847" s="146" t="str">
        <f t="shared" si="101"/>
        <v>Better</v>
      </c>
      <c r="O847" s="146" t="str">
        <f t="shared" si="105"/>
        <v>Electric ZonalR19R0R0Better</v>
      </c>
      <c r="P847" s="134" t="str">
        <f t="shared" si="106"/>
        <v>Crawlspace</v>
      </c>
      <c r="Q847" s="134"/>
      <c r="R847" s="134"/>
      <c r="S847" s="134"/>
      <c r="T847" s="134"/>
      <c r="U847" s="134"/>
      <c r="V847" s="134"/>
      <c r="W847" s="134"/>
      <c r="X847" s="134"/>
      <c r="Y847" s="134"/>
      <c r="Z847" s="134"/>
      <c r="AA847" s="134"/>
      <c r="AB847" s="134"/>
      <c r="AC847" s="134"/>
      <c r="AD847" s="134"/>
      <c r="AE847" s="134"/>
      <c r="AF847" s="146"/>
      <c r="AG847" s="134"/>
      <c r="AH847" s="134"/>
      <c r="AI847" s="134"/>
      <c r="AJ847" s="134"/>
      <c r="AK847" s="134"/>
      <c r="AL847" s="134"/>
      <c r="AM847" s="146"/>
      <c r="AN847" s="132"/>
      <c r="AO847" s="132"/>
      <c r="AP847" s="132"/>
      <c r="AQ847" s="132"/>
      <c r="AR847" s="134"/>
      <c r="AS847" s="134"/>
      <c r="AT847" s="132"/>
      <c r="AU847" s="133"/>
      <c r="AV847" s="134"/>
    </row>
    <row r="848" spans="1:48">
      <c r="A848" s="74">
        <v>11780</v>
      </c>
      <c r="B848" s="74" t="s">
        <v>229</v>
      </c>
      <c r="C848" s="74">
        <v>1</v>
      </c>
      <c r="D848" s="74">
        <v>2339</v>
      </c>
      <c r="E848" s="73">
        <v>2.500000037252903E-2</v>
      </c>
      <c r="F848" s="73">
        <v>0.55548781810737236</v>
      </c>
      <c r="G848" s="73">
        <v>5.9999998658895493E-2</v>
      </c>
      <c r="H848" s="73">
        <v>3.5000000149011612E-2</v>
      </c>
      <c r="I848" s="190">
        <v>1150.8789999999999</v>
      </c>
      <c r="J848" s="134" t="str">
        <f t="shared" si="102"/>
        <v>keep</v>
      </c>
      <c r="K848" s="134" t="str">
        <f t="shared" si="103"/>
        <v>R38</v>
      </c>
      <c r="L848" s="134" t="str">
        <f t="shared" si="104"/>
        <v>R11</v>
      </c>
      <c r="M848" s="146" t="str">
        <f t="shared" si="100"/>
        <v>Better</v>
      </c>
      <c r="N848" s="146" t="str">
        <f t="shared" si="101"/>
        <v>Better</v>
      </c>
      <c r="O848" s="146" t="str">
        <f t="shared" si="105"/>
        <v>Heat PumpR38R11BetterBetter</v>
      </c>
      <c r="P848" s="134" t="str">
        <f t="shared" si="106"/>
        <v>Crawlspace</v>
      </c>
      <c r="Q848" s="134"/>
      <c r="R848" s="134"/>
      <c r="S848" s="134"/>
      <c r="T848" s="134"/>
      <c r="U848" s="134"/>
      <c r="V848" s="134"/>
      <c r="W848" s="134"/>
      <c r="X848" s="134"/>
      <c r="Y848" s="134"/>
      <c r="Z848" s="134"/>
      <c r="AA848" s="134"/>
      <c r="AB848" s="134"/>
      <c r="AC848" s="134"/>
      <c r="AD848" s="134"/>
      <c r="AE848" s="134"/>
      <c r="AF848" s="146"/>
      <c r="AG848" s="134"/>
      <c r="AH848" s="134"/>
      <c r="AI848" s="134"/>
      <c r="AJ848" s="134"/>
      <c r="AK848" s="134"/>
      <c r="AL848" s="134"/>
      <c r="AM848" s="146"/>
      <c r="AN848" s="132"/>
      <c r="AO848" s="132"/>
      <c r="AP848" s="132"/>
      <c r="AQ848" s="132"/>
      <c r="AR848" s="134"/>
      <c r="AS848" s="134"/>
      <c r="AT848" s="132"/>
      <c r="AU848" s="133"/>
      <c r="AV848" s="134"/>
    </row>
    <row r="849" spans="1:48">
      <c r="A849" s="74">
        <v>11794</v>
      </c>
      <c r="B849" s="74" t="s">
        <v>228</v>
      </c>
      <c r="C849" s="74">
        <v>1</v>
      </c>
      <c r="D849" s="74">
        <v>700</v>
      </c>
      <c r="E849" s="73">
        <v>2.500000037252903E-2</v>
      </c>
      <c r="F849" s="73">
        <v>0.60000002384185791</v>
      </c>
      <c r="G849" s="73">
        <v>0.23400000000000001</v>
      </c>
      <c r="H849" s="73">
        <v>3.5000000149011612E-2</v>
      </c>
      <c r="I849" s="190">
        <v>1464.694</v>
      </c>
      <c r="J849" s="134" t="str">
        <f t="shared" si="102"/>
        <v>keep</v>
      </c>
      <c r="K849" s="134" t="str">
        <f t="shared" si="103"/>
        <v>R38</v>
      </c>
      <c r="L849" s="134" t="str">
        <f t="shared" si="104"/>
        <v>R0</v>
      </c>
      <c r="M849" s="146" t="str">
        <f t="shared" si="100"/>
        <v>Better</v>
      </c>
      <c r="N849" s="146" t="str">
        <f t="shared" si="101"/>
        <v>Better</v>
      </c>
      <c r="O849" s="146" t="str">
        <f t="shared" si="105"/>
        <v>Electric ZonalR38R0BetterBetter</v>
      </c>
      <c r="P849" s="134" t="str">
        <f t="shared" si="106"/>
        <v>Crawlspace</v>
      </c>
      <c r="Q849" s="134"/>
      <c r="R849" s="134"/>
      <c r="S849" s="134"/>
      <c r="T849" s="134"/>
      <c r="U849" s="134"/>
      <c r="V849" s="134"/>
      <c r="W849" s="134"/>
      <c r="X849" s="134"/>
      <c r="Y849" s="134"/>
      <c r="Z849" s="134"/>
      <c r="AA849" s="134"/>
      <c r="AB849" s="134"/>
      <c r="AC849" s="134"/>
      <c r="AD849" s="134"/>
      <c r="AE849" s="134"/>
      <c r="AF849" s="146"/>
      <c r="AG849" s="134"/>
      <c r="AH849" s="134"/>
      <c r="AI849" s="134"/>
      <c r="AJ849" s="134"/>
      <c r="AK849" s="134"/>
      <c r="AL849" s="134"/>
      <c r="AM849" s="146"/>
      <c r="AN849" s="132"/>
      <c r="AO849" s="132"/>
      <c r="AP849" s="132"/>
      <c r="AQ849" s="132"/>
      <c r="AR849" s="134"/>
      <c r="AS849" s="134"/>
      <c r="AT849" s="132"/>
      <c r="AU849" s="133"/>
      <c r="AV849" s="134"/>
    </row>
    <row r="850" spans="1:48">
      <c r="A850" s="74">
        <v>11802</v>
      </c>
      <c r="B850" s="74" t="s">
        <v>228</v>
      </c>
      <c r="C850" s="74">
        <v>1</v>
      </c>
      <c r="D850" s="74">
        <v>1420</v>
      </c>
      <c r="E850" s="73">
        <v>8.4999998410542815E-2</v>
      </c>
      <c r="F850" s="73">
        <v>0.55000001192092896</v>
      </c>
      <c r="G850" s="73">
        <v>9.0000003576278687E-2</v>
      </c>
      <c r="H850" s="73">
        <v>3.5000000149011612E-2</v>
      </c>
      <c r="I850" s="190">
        <v>1188.027</v>
      </c>
      <c r="J850" s="134" t="str">
        <f t="shared" si="102"/>
        <v>keep</v>
      </c>
      <c r="K850" s="134" t="str">
        <f t="shared" si="103"/>
        <v>R11</v>
      </c>
      <c r="L850" s="134" t="str">
        <f t="shared" si="104"/>
        <v>R11</v>
      </c>
      <c r="M850" s="146" t="str">
        <f t="shared" si="100"/>
        <v>Better</v>
      </c>
      <c r="N850" s="146" t="str">
        <f t="shared" si="101"/>
        <v>Better</v>
      </c>
      <c r="O850" s="146" t="str">
        <f t="shared" si="105"/>
        <v>Electric ZonalR11R11BetterBetter</v>
      </c>
      <c r="P850" s="134" t="str">
        <f t="shared" si="106"/>
        <v>Crawlspace</v>
      </c>
      <c r="Q850" s="134"/>
      <c r="R850" s="134"/>
      <c r="S850" s="134"/>
      <c r="T850" s="134"/>
      <c r="U850" s="134"/>
      <c r="V850" s="134"/>
      <c r="W850" s="134"/>
      <c r="X850" s="134"/>
      <c r="Y850" s="134"/>
      <c r="Z850" s="134"/>
      <c r="AA850" s="134"/>
      <c r="AB850" s="134"/>
      <c r="AC850" s="134"/>
      <c r="AD850" s="134"/>
      <c r="AE850" s="134"/>
      <c r="AF850" s="146"/>
      <c r="AG850" s="134"/>
      <c r="AH850" s="134"/>
      <c r="AI850" s="134"/>
      <c r="AJ850" s="134"/>
      <c r="AK850" s="134"/>
      <c r="AL850" s="134"/>
      <c r="AM850" s="146"/>
      <c r="AN850" s="132"/>
      <c r="AO850" s="132"/>
      <c r="AP850" s="132"/>
      <c r="AQ850" s="132"/>
      <c r="AR850" s="134"/>
      <c r="AS850" s="134"/>
      <c r="AT850" s="132"/>
      <c r="AU850" s="133"/>
      <c r="AV850" s="134"/>
    </row>
    <row r="851" spans="1:48">
      <c r="A851" s="74">
        <v>11808</v>
      </c>
      <c r="B851" s="74" t="s">
        <v>227</v>
      </c>
      <c r="C851" s="74">
        <v>4</v>
      </c>
      <c r="D851" s="74">
        <v>2028</v>
      </c>
      <c r="E851" s="73">
        <v>2.500000037252903E-2</v>
      </c>
      <c r="F851" s="73">
        <v>0.81018520902704305</v>
      </c>
      <c r="G851" s="73">
        <v>9.0000003576278687E-2</v>
      </c>
      <c r="H851" s="73">
        <v>0.23000000417232513</v>
      </c>
      <c r="I851" s="190">
        <v>4956.4930000000004</v>
      </c>
      <c r="J851" s="134" t="str">
        <f t="shared" si="102"/>
        <v>keep</v>
      </c>
      <c r="K851" s="134" t="str">
        <f t="shared" si="103"/>
        <v>R38</v>
      </c>
      <c r="L851" s="134" t="str">
        <f t="shared" si="104"/>
        <v>R11</v>
      </c>
      <c r="M851" s="146" t="str">
        <f t="shared" si="100"/>
        <v>Basement</v>
      </c>
      <c r="N851" s="146" t="str">
        <f t="shared" si="101"/>
        <v>Double</v>
      </c>
      <c r="O851" s="146" t="str">
        <f t="shared" si="105"/>
        <v>Electric FAFR38R11BasementDouble</v>
      </c>
      <c r="P851" s="134" t="str">
        <f t="shared" si="106"/>
        <v>Basement</v>
      </c>
      <c r="Q851" s="134"/>
      <c r="R851" s="134"/>
      <c r="S851" s="134"/>
      <c r="T851" s="134"/>
      <c r="U851" s="134"/>
      <c r="V851" s="134"/>
      <c r="W851" s="134"/>
      <c r="X851" s="134"/>
      <c r="Y851" s="134"/>
      <c r="Z851" s="134"/>
      <c r="AA851" s="134"/>
      <c r="AB851" s="134"/>
      <c r="AC851" s="134"/>
      <c r="AD851" s="134"/>
      <c r="AE851" s="134"/>
      <c r="AF851" s="146"/>
      <c r="AG851" s="134"/>
      <c r="AH851" s="134"/>
      <c r="AI851" s="134"/>
      <c r="AJ851" s="134"/>
      <c r="AK851" s="134"/>
      <c r="AL851" s="134"/>
      <c r="AM851" s="146"/>
      <c r="AN851" s="132"/>
      <c r="AO851" s="132"/>
      <c r="AP851" s="132"/>
      <c r="AQ851" s="132"/>
      <c r="AR851" s="134"/>
      <c r="AS851" s="134"/>
      <c r="AT851" s="132"/>
      <c r="AU851" s="133"/>
      <c r="AV851" s="134"/>
    </row>
    <row r="852" spans="1:48">
      <c r="A852" s="74">
        <v>11825</v>
      </c>
      <c r="B852" s="74" t="s">
        <v>228</v>
      </c>
      <c r="C852" s="74" t="s">
        <v>673</v>
      </c>
      <c r="D852" s="74">
        <v>1444</v>
      </c>
      <c r="E852" s="73">
        <v>8.7562325382166642E-2</v>
      </c>
      <c r="F852" s="73">
        <v>0.48539324791243904</v>
      </c>
      <c r="G852" s="73">
        <v>0.23400000000000001</v>
      </c>
      <c r="H852" s="73">
        <v>6.4999997615814209E-2</v>
      </c>
      <c r="I852" s="190">
        <v>1464.694</v>
      </c>
      <c r="J852" s="134" t="str">
        <f t="shared" si="102"/>
        <v>ignore</v>
      </c>
      <c r="K852" s="134" t="str">
        <f t="shared" si="103"/>
        <v>R11</v>
      </c>
      <c r="L852" s="134" t="str">
        <f t="shared" si="104"/>
        <v>R0</v>
      </c>
      <c r="M852" s="146" t="str">
        <f t="shared" si="100"/>
        <v>R19</v>
      </c>
      <c r="N852" s="146" t="str">
        <f t="shared" si="101"/>
        <v>Better</v>
      </c>
      <c r="O852" s="146" t="str">
        <f t="shared" si="105"/>
        <v>Electric ZonalR11R0R19Better</v>
      </c>
      <c r="P852" s="134" t="str">
        <f t="shared" si="106"/>
        <v>error</v>
      </c>
      <c r="Q852" s="134"/>
      <c r="R852" s="134"/>
      <c r="S852" s="134"/>
      <c r="T852" s="134"/>
      <c r="U852" s="134"/>
      <c r="V852" s="134"/>
      <c r="W852" s="134"/>
      <c r="X852" s="134"/>
      <c r="Y852" s="134"/>
      <c r="Z852" s="134"/>
      <c r="AA852" s="134"/>
      <c r="AB852" s="134"/>
      <c r="AC852" s="134"/>
      <c r="AD852" s="134"/>
      <c r="AE852" s="134"/>
      <c r="AF852" s="146"/>
      <c r="AG852" s="134"/>
      <c r="AH852" s="134"/>
      <c r="AI852" s="134"/>
      <c r="AJ852" s="134"/>
      <c r="AK852" s="134"/>
      <c r="AL852" s="134"/>
      <c r="AM852" s="146"/>
      <c r="AN852" s="132"/>
      <c r="AO852" s="132"/>
      <c r="AP852" s="132"/>
      <c r="AQ852" s="132"/>
      <c r="AR852" s="134"/>
      <c r="AS852" s="134"/>
      <c r="AT852" s="132"/>
      <c r="AU852" s="133"/>
      <c r="AV852" s="134"/>
    </row>
    <row r="853" spans="1:48">
      <c r="A853" s="74">
        <v>11844</v>
      </c>
      <c r="B853" s="74" t="s">
        <v>228</v>
      </c>
      <c r="C853" s="74">
        <v>1</v>
      </c>
      <c r="D853" s="74">
        <v>752</v>
      </c>
      <c r="E853" s="73">
        <v>0.1949999928474426</v>
      </c>
      <c r="F853" s="73">
        <v>0.85000002384185791</v>
      </c>
      <c r="G853" s="73">
        <v>0.11999999731779099</v>
      </c>
      <c r="H853" s="73">
        <v>0.23000000417232513</v>
      </c>
      <c r="I853" s="190">
        <v>4956.4930000000004</v>
      </c>
      <c r="J853" s="134" t="str">
        <f t="shared" si="102"/>
        <v>keep</v>
      </c>
      <c r="K853" s="134" t="str">
        <f t="shared" si="103"/>
        <v>R0</v>
      </c>
      <c r="L853" s="134" t="str">
        <f t="shared" si="104"/>
        <v>R11</v>
      </c>
      <c r="M853" s="146" t="str">
        <f t="shared" si="100"/>
        <v>R0</v>
      </c>
      <c r="N853" s="146" t="str">
        <f t="shared" si="101"/>
        <v>Double</v>
      </c>
      <c r="O853" s="146" t="str">
        <f t="shared" si="105"/>
        <v>Electric ZonalR0R11R0Double</v>
      </c>
      <c r="P853" s="134" t="str">
        <f t="shared" si="106"/>
        <v>Crawlspace</v>
      </c>
      <c r="Q853" s="134"/>
      <c r="R853" s="134"/>
      <c r="S853" s="134"/>
      <c r="T853" s="134"/>
      <c r="U853" s="134"/>
      <c r="V853" s="134"/>
      <c r="W853" s="134"/>
      <c r="X853" s="134"/>
      <c r="Y853" s="134"/>
      <c r="Z853" s="134"/>
      <c r="AA853" s="134"/>
      <c r="AB853" s="134"/>
      <c r="AC853" s="134"/>
      <c r="AD853" s="134"/>
      <c r="AE853" s="134"/>
      <c r="AF853" s="146"/>
      <c r="AG853" s="134"/>
      <c r="AH853" s="134"/>
      <c r="AI853" s="134"/>
      <c r="AJ853" s="134"/>
      <c r="AK853" s="134"/>
      <c r="AL853" s="134"/>
      <c r="AM853" s="146"/>
      <c r="AN853" s="132"/>
      <c r="AO853" s="132"/>
      <c r="AP853" s="132"/>
      <c r="AQ853" s="132"/>
      <c r="AR853" s="134"/>
      <c r="AS853" s="134"/>
      <c r="AT853" s="132"/>
      <c r="AU853" s="133"/>
      <c r="AV853" s="134"/>
    </row>
    <row r="854" spans="1:48">
      <c r="A854" s="74">
        <v>11871</v>
      </c>
      <c r="B854" s="74" t="s">
        <v>228</v>
      </c>
      <c r="C854" s="74">
        <v>2</v>
      </c>
      <c r="D854" s="74">
        <v>1413</v>
      </c>
      <c r="E854" s="73">
        <v>6.9416784311765289E-2</v>
      </c>
      <c r="F854" s="73">
        <v>0.69999998807907104</v>
      </c>
      <c r="G854" s="73">
        <v>5.9999998658895493E-2</v>
      </c>
      <c r="H854" s="73">
        <v>0</v>
      </c>
      <c r="I854" s="190">
        <v>4956.4930000000004</v>
      </c>
      <c r="J854" s="134" t="str">
        <f t="shared" si="102"/>
        <v>keep</v>
      </c>
      <c r="K854" s="134" t="str">
        <f t="shared" si="103"/>
        <v>R19</v>
      </c>
      <c r="L854" s="134" t="str">
        <f t="shared" si="104"/>
        <v>R11</v>
      </c>
      <c r="M854" s="146" t="str">
        <f t="shared" si="100"/>
        <v>Slab</v>
      </c>
      <c r="N854" s="146" t="str">
        <f t="shared" si="101"/>
        <v>Better</v>
      </c>
      <c r="O854" s="146" t="str">
        <f t="shared" si="105"/>
        <v>Electric ZonalR19R11SlabBetter</v>
      </c>
      <c r="P854" s="134" t="str">
        <f t="shared" si="106"/>
        <v>Slab</v>
      </c>
      <c r="Q854" s="134"/>
      <c r="R854" s="134"/>
      <c r="S854" s="134"/>
      <c r="T854" s="134"/>
      <c r="U854" s="134"/>
      <c r="V854" s="134"/>
      <c r="W854" s="134"/>
      <c r="X854" s="134"/>
      <c r="Y854" s="134"/>
      <c r="Z854" s="134"/>
      <c r="AA854" s="134"/>
      <c r="AB854" s="134"/>
      <c r="AC854" s="134"/>
      <c r="AD854" s="134"/>
      <c r="AE854" s="134"/>
      <c r="AF854" s="146"/>
      <c r="AG854" s="134"/>
      <c r="AH854" s="134"/>
      <c r="AI854" s="134"/>
      <c r="AJ854" s="134"/>
      <c r="AK854" s="134"/>
      <c r="AL854" s="134"/>
      <c r="AM854" s="146"/>
      <c r="AN854" s="132"/>
      <c r="AO854" s="132"/>
      <c r="AP854" s="132"/>
      <c r="AQ854" s="132"/>
      <c r="AR854" s="134"/>
      <c r="AS854" s="134"/>
      <c r="AT854" s="132"/>
      <c r="AU854" s="133"/>
      <c r="AV854" s="134"/>
    </row>
    <row r="855" spans="1:48">
      <c r="A855" s="74">
        <v>11910</v>
      </c>
      <c r="B855" s="74" t="s">
        <v>228</v>
      </c>
      <c r="C855" s="74" t="s">
        <v>673</v>
      </c>
      <c r="D855" s="74">
        <v>2624</v>
      </c>
      <c r="E855" s="73">
        <v>8.4085104757166934E-2</v>
      </c>
      <c r="F855" s="73">
        <v>0.64671459481946247</v>
      </c>
      <c r="G855" s="73">
        <v>0.11999999731779099</v>
      </c>
      <c r="H855" s="73">
        <v>7.5000002980232239E-2</v>
      </c>
      <c r="I855" s="190">
        <v>2003.7159999999999</v>
      </c>
      <c r="J855" s="134" t="str">
        <f t="shared" si="102"/>
        <v>ignore</v>
      </c>
      <c r="K855" s="134" t="str">
        <f t="shared" si="103"/>
        <v>R11</v>
      </c>
      <c r="L855" s="134" t="str">
        <f t="shared" si="104"/>
        <v>R11</v>
      </c>
      <c r="M855" s="146" t="str">
        <f t="shared" si="100"/>
        <v>R0</v>
      </c>
      <c r="N855" s="146" t="str">
        <f t="shared" si="101"/>
        <v>Better</v>
      </c>
      <c r="O855" s="146" t="str">
        <f t="shared" si="105"/>
        <v>Electric ZonalR11R11R0Better</v>
      </c>
      <c r="P855" s="134" t="str">
        <f t="shared" si="106"/>
        <v>error</v>
      </c>
      <c r="Q855" s="134"/>
      <c r="R855" s="134"/>
      <c r="S855" s="134"/>
      <c r="T855" s="134"/>
      <c r="U855" s="134"/>
      <c r="V855" s="134"/>
      <c r="W855" s="134"/>
      <c r="X855" s="134"/>
      <c r="Y855" s="134"/>
      <c r="Z855" s="134"/>
      <c r="AA855" s="134"/>
      <c r="AB855" s="134"/>
      <c r="AC855" s="134"/>
      <c r="AD855" s="134"/>
      <c r="AE855" s="134"/>
      <c r="AF855" s="146"/>
      <c r="AG855" s="134"/>
      <c r="AH855" s="134"/>
      <c r="AI855" s="134"/>
      <c r="AJ855" s="134"/>
      <c r="AK855" s="134"/>
      <c r="AL855" s="134"/>
      <c r="AM855" s="146"/>
      <c r="AN855" s="132"/>
      <c r="AO855" s="132"/>
      <c r="AP855" s="132"/>
      <c r="AQ855" s="132"/>
      <c r="AR855" s="134"/>
      <c r="AS855" s="134"/>
      <c r="AT855" s="132"/>
      <c r="AU855" s="133"/>
      <c r="AV855" s="134"/>
    </row>
    <row r="856" spans="1:48">
      <c r="A856" s="74">
        <v>11925</v>
      </c>
      <c r="B856" s="74" t="s">
        <v>229</v>
      </c>
      <c r="C856" s="74">
        <v>1</v>
      </c>
      <c r="D856" s="74">
        <v>1994</v>
      </c>
      <c r="E856" s="73">
        <v>2.500000037252903E-2</v>
      </c>
      <c r="F856" s="73">
        <v>0.49339887483066386</v>
      </c>
      <c r="G856" s="73">
        <v>5.9999998658895493E-2</v>
      </c>
      <c r="H856" s="73">
        <v>4.5000001788139343E-2</v>
      </c>
      <c r="I856" s="190">
        <v>4956.4930000000004</v>
      </c>
      <c r="J856" s="134" t="str">
        <f t="shared" si="102"/>
        <v>keep</v>
      </c>
      <c r="K856" s="134" t="str">
        <f t="shared" si="103"/>
        <v>R38</v>
      </c>
      <c r="L856" s="134" t="str">
        <f t="shared" si="104"/>
        <v>R11</v>
      </c>
      <c r="M856" s="146" t="str">
        <f t="shared" si="100"/>
        <v>Better</v>
      </c>
      <c r="N856" s="146" t="str">
        <f t="shared" si="101"/>
        <v>Better</v>
      </c>
      <c r="O856" s="146" t="str">
        <f t="shared" si="105"/>
        <v>Heat PumpR38R11BetterBetter</v>
      </c>
      <c r="P856" s="134" t="str">
        <f t="shared" si="106"/>
        <v>Crawlspace</v>
      </c>
      <c r="Q856" s="134"/>
      <c r="R856" s="134"/>
      <c r="S856" s="134"/>
      <c r="T856" s="134"/>
      <c r="U856" s="134"/>
      <c r="V856" s="134"/>
      <c r="W856" s="134"/>
      <c r="X856" s="134"/>
      <c r="Y856" s="134"/>
      <c r="Z856" s="134"/>
      <c r="AA856" s="134"/>
      <c r="AB856" s="134"/>
      <c r="AC856" s="134"/>
      <c r="AD856" s="134"/>
      <c r="AE856" s="134"/>
      <c r="AF856" s="146"/>
      <c r="AG856" s="134"/>
      <c r="AH856" s="134"/>
      <c r="AI856" s="134"/>
      <c r="AJ856" s="134"/>
      <c r="AK856" s="134"/>
      <c r="AL856" s="134"/>
      <c r="AM856" s="146"/>
      <c r="AN856" s="132"/>
      <c r="AO856" s="132"/>
      <c r="AP856" s="132"/>
      <c r="AQ856" s="132"/>
      <c r="AR856" s="134"/>
      <c r="AS856" s="134"/>
      <c r="AT856" s="132"/>
      <c r="AU856" s="133"/>
      <c r="AV856" s="134"/>
    </row>
    <row r="857" spans="1:48">
      <c r="A857" s="74">
        <v>11988</v>
      </c>
      <c r="B857" s="74" t="s">
        <v>228</v>
      </c>
      <c r="C857" s="74" t="s">
        <v>673</v>
      </c>
      <c r="D857" s="74">
        <v>1026</v>
      </c>
      <c r="E857" s="73">
        <v>8.551246821467566E-2</v>
      </c>
      <c r="F857" s="73">
        <v>0.55000001192092896</v>
      </c>
      <c r="G857" s="73">
        <v>9.0000003576278687E-2</v>
      </c>
      <c r="H857" s="73">
        <v>4.5000001788139343E-2</v>
      </c>
      <c r="I857" s="190">
        <v>1188.027</v>
      </c>
      <c r="J857" s="134" t="str">
        <f t="shared" si="102"/>
        <v>ignore</v>
      </c>
      <c r="K857" s="134" t="str">
        <f t="shared" si="103"/>
        <v>R11</v>
      </c>
      <c r="L857" s="134" t="str">
        <f t="shared" si="104"/>
        <v>R11</v>
      </c>
      <c r="M857" s="146" t="str">
        <f t="shared" si="100"/>
        <v>Better</v>
      </c>
      <c r="N857" s="146" t="str">
        <f t="shared" si="101"/>
        <v>Better</v>
      </c>
      <c r="O857" s="146" t="str">
        <f t="shared" si="105"/>
        <v>Electric ZonalR11R11BetterBetter</v>
      </c>
      <c r="P857" s="134" t="str">
        <f t="shared" si="106"/>
        <v>error</v>
      </c>
      <c r="Q857" s="134"/>
      <c r="R857" s="134"/>
      <c r="S857" s="134"/>
      <c r="T857" s="134"/>
      <c r="U857" s="134"/>
      <c r="V857" s="134"/>
      <c r="W857" s="134"/>
      <c r="X857" s="134"/>
      <c r="Y857" s="134"/>
      <c r="Z857" s="134"/>
      <c r="AA857" s="134"/>
      <c r="AB857" s="134"/>
      <c r="AC857" s="134"/>
      <c r="AD857" s="134"/>
      <c r="AE857" s="134"/>
      <c r="AF857" s="146"/>
      <c r="AG857" s="134"/>
      <c r="AH857" s="134"/>
      <c r="AI857" s="134"/>
      <c r="AJ857" s="134"/>
      <c r="AK857" s="134"/>
      <c r="AL857" s="134"/>
      <c r="AM857" s="146"/>
      <c r="AN857" s="132"/>
      <c r="AO857" s="132"/>
      <c r="AP857" s="132"/>
      <c r="AQ857" s="132"/>
      <c r="AR857" s="134"/>
      <c r="AS857" s="134"/>
      <c r="AT857" s="132"/>
      <c r="AU857" s="133"/>
      <c r="AV857" s="134"/>
    </row>
    <row r="858" spans="1:48">
      <c r="A858" s="74">
        <v>11993</v>
      </c>
      <c r="B858" s="74" t="s">
        <v>228</v>
      </c>
      <c r="C858" s="74">
        <v>1</v>
      </c>
      <c r="D858" s="74">
        <v>960</v>
      </c>
      <c r="E858" s="73">
        <v>0.15000000596046448</v>
      </c>
      <c r="F858" s="73">
        <v>0.85000002384185791</v>
      </c>
      <c r="G858" s="73">
        <v>9.0000003576278687E-2</v>
      </c>
      <c r="H858" s="73">
        <v>4.5000001788139343E-2</v>
      </c>
      <c r="I858" s="190">
        <v>2003.7159999999999</v>
      </c>
      <c r="J858" s="134" t="str">
        <f t="shared" si="102"/>
        <v>keep</v>
      </c>
      <c r="K858" s="134" t="str">
        <f t="shared" si="103"/>
        <v>R0</v>
      </c>
      <c r="L858" s="134" t="str">
        <f t="shared" si="104"/>
        <v>R11</v>
      </c>
      <c r="M858" s="146" t="str">
        <f t="shared" si="100"/>
        <v>Better</v>
      </c>
      <c r="N858" s="146" t="str">
        <f t="shared" si="101"/>
        <v>Double</v>
      </c>
      <c r="O858" s="146" t="str">
        <f t="shared" si="105"/>
        <v>Electric ZonalR0R11BetterDouble</v>
      </c>
      <c r="P858" s="134" t="str">
        <f t="shared" si="106"/>
        <v>Crawlspace</v>
      </c>
      <c r="Q858" s="134"/>
      <c r="R858" s="134"/>
      <c r="S858" s="134"/>
      <c r="T858" s="134"/>
      <c r="U858" s="134"/>
      <c r="V858" s="134"/>
      <c r="W858" s="134"/>
      <c r="X858" s="134"/>
      <c r="Y858" s="134"/>
      <c r="Z858" s="134"/>
      <c r="AA858" s="134"/>
      <c r="AB858" s="134"/>
      <c r="AC858" s="134"/>
      <c r="AD858" s="134"/>
      <c r="AE858" s="134"/>
      <c r="AF858" s="146"/>
      <c r="AG858" s="134"/>
      <c r="AH858" s="134"/>
      <c r="AI858" s="134"/>
      <c r="AJ858" s="134"/>
      <c r="AK858" s="134"/>
      <c r="AL858" s="134"/>
      <c r="AM858" s="146"/>
      <c r="AN858" s="132"/>
      <c r="AO858" s="132"/>
      <c r="AP858" s="132"/>
      <c r="AQ858" s="132"/>
      <c r="AR858" s="134"/>
      <c r="AS858" s="134"/>
      <c r="AT858" s="132"/>
      <c r="AU858" s="133"/>
      <c r="AV858" s="134"/>
    </row>
    <row r="859" spans="1:48">
      <c r="A859" s="74">
        <v>12016</v>
      </c>
      <c r="B859" s="74" t="s">
        <v>228</v>
      </c>
      <c r="C859" s="74">
        <v>4</v>
      </c>
      <c r="D859" s="74">
        <v>2290</v>
      </c>
      <c r="E859" s="73" t="e">
        <v>#VALUE!</v>
      </c>
      <c r="F859" s="73">
        <v>0.55000001192092896</v>
      </c>
      <c r="G859" s="73">
        <v>9.0000003576278687E-2</v>
      </c>
      <c r="H859" s="73">
        <v>0</v>
      </c>
      <c r="I859" s="190">
        <v>1524.7619999999999</v>
      </c>
      <c r="J859" s="134" t="str">
        <f t="shared" si="102"/>
        <v>ignore</v>
      </c>
      <c r="K859" s="134" t="e">
        <f t="shared" si="103"/>
        <v>#VALUE!</v>
      </c>
      <c r="L859" s="134" t="str">
        <f t="shared" si="104"/>
        <v>R11</v>
      </c>
      <c r="M859" s="146" t="str">
        <f t="shared" si="100"/>
        <v>Basement</v>
      </c>
      <c r="N859" s="146" t="str">
        <f t="shared" si="101"/>
        <v>Better</v>
      </c>
      <c r="O859" s="146" t="e">
        <f t="shared" si="105"/>
        <v>#VALUE!</v>
      </c>
      <c r="P859" s="134" t="str">
        <f t="shared" si="106"/>
        <v>Basement</v>
      </c>
      <c r="Q859" s="134"/>
      <c r="R859" s="134"/>
      <c r="S859" s="134"/>
      <c r="T859" s="134"/>
      <c r="U859" s="134"/>
      <c r="V859" s="134"/>
      <c r="W859" s="134"/>
      <c r="X859" s="134"/>
      <c r="Y859" s="134"/>
      <c r="Z859" s="134"/>
      <c r="AA859" s="134"/>
      <c r="AB859" s="134"/>
      <c r="AC859" s="134"/>
      <c r="AD859" s="134"/>
      <c r="AE859" s="134"/>
      <c r="AF859" s="146"/>
      <c r="AG859" s="134"/>
      <c r="AH859" s="134"/>
      <c r="AI859" s="134"/>
      <c r="AJ859" s="134"/>
      <c r="AK859" s="134"/>
      <c r="AL859" s="134"/>
      <c r="AM859" s="146"/>
      <c r="AN859" s="132"/>
      <c r="AO859" s="132"/>
      <c r="AP859" s="132"/>
      <c r="AQ859" s="132"/>
      <c r="AR859" s="134"/>
      <c r="AS859" s="134"/>
      <c r="AT859" s="132"/>
      <c r="AU859" s="133"/>
      <c r="AV859" s="134"/>
    </row>
    <row r="860" spans="1:48">
      <c r="A860" s="74">
        <v>12033</v>
      </c>
      <c r="B860" s="74" t="s">
        <v>229</v>
      </c>
      <c r="C860" s="74">
        <v>1</v>
      </c>
      <c r="D860" s="74">
        <v>979</v>
      </c>
      <c r="E860" s="73">
        <v>2.500000037252903E-2</v>
      </c>
      <c r="F860" s="73">
        <v>0.55000001192092896</v>
      </c>
      <c r="G860" s="73">
        <v>7.5000002980232239E-2</v>
      </c>
      <c r="H860" s="73">
        <v>2.9999999329447746E-2</v>
      </c>
      <c r="I860" s="190">
        <v>1188.027</v>
      </c>
      <c r="J860" s="134" t="str">
        <f t="shared" si="102"/>
        <v>keep</v>
      </c>
      <c r="K860" s="134" t="str">
        <f t="shared" si="103"/>
        <v>R38</v>
      </c>
      <c r="L860" s="134" t="str">
        <f t="shared" si="104"/>
        <v>R11</v>
      </c>
      <c r="M860" s="146" t="str">
        <f t="shared" si="100"/>
        <v>Better</v>
      </c>
      <c r="N860" s="146" t="str">
        <f t="shared" si="101"/>
        <v>Better</v>
      </c>
      <c r="O860" s="146" t="str">
        <f t="shared" si="105"/>
        <v>Heat PumpR38R11BetterBetter</v>
      </c>
      <c r="P860" s="134" t="str">
        <f t="shared" si="106"/>
        <v>Crawlspace</v>
      </c>
      <c r="Q860" s="134"/>
      <c r="R860" s="134"/>
      <c r="S860" s="134"/>
      <c r="T860" s="134"/>
      <c r="U860" s="134"/>
      <c r="V860" s="134"/>
      <c r="W860" s="134"/>
      <c r="X860" s="134"/>
      <c r="Y860" s="134"/>
      <c r="Z860" s="134"/>
      <c r="AA860" s="134"/>
      <c r="AB860" s="134"/>
      <c r="AC860" s="134"/>
      <c r="AD860" s="134"/>
      <c r="AE860" s="134"/>
      <c r="AF860" s="146"/>
      <c r="AG860" s="134"/>
      <c r="AH860" s="134"/>
      <c r="AI860" s="134"/>
      <c r="AJ860" s="134"/>
      <c r="AK860" s="134"/>
      <c r="AL860" s="134"/>
      <c r="AM860" s="146"/>
      <c r="AN860" s="132"/>
      <c r="AO860" s="132"/>
      <c r="AP860" s="132"/>
      <c r="AQ860" s="132"/>
      <c r="AR860" s="134"/>
      <c r="AS860" s="134"/>
      <c r="AT860" s="132"/>
      <c r="AU860" s="133"/>
      <c r="AV860" s="134"/>
    </row>
    <row r="861" spans="1:48">
      <c r="A861" s="74">
        <v>12039</v>
      </c>
      <c r="B861" s="74" t="s">
        <v>229</v>
      </c>
      <c r="C861" s="74">
        <v>1</v>
      </c>
      <c r="D861" s="74">
        <v>1820</v>
      </c>
      <c r="E861" s="73">
        <v>9.0000003576278687E-2</v>
      </c>
      <c r="F861" s="73">
        <v>0.92467250105595489</v>
      </c>
      <c r="G861" s="73">
        <v>9.0000003576278687E-2</v>
      </c>
      <c r="H861" s="73">
        <v>6.4999997615814209E-2</v>
      </c>
      <c r="I861" s="190">
        <v>4956.4930000000004</v>
      </c>
      <c r="J861" s="134" t="str">
        <f t="shared" si="102"/>
        <v>keep</v>
      </c>
      <c r="K861" s="134" t="str">
        <f t="shared" si="103"/>
        <v>R11</v>
      </c>
      <c r="L861" s="134" t="str">
        <f t="shared" si="104"/>
        <v>R11</v>
      </c>
      <c r="M861" s="146" t="str">
        <f t="shared" si="100"/>
        <v>R19</v>
      </c>
      <c r="N861" s="146" t="str">
        <f t="shared" si="101"/>
        <v>Double</v>
      </c>
      <c r="O861" s="146" t="str">
        <f t="shared" si="105"/>
        <v>Heat PumpR11R11R19Double</v>
      </c>
      <c r="P861" s="134" t="str">
        <f t="shared" si="106"/>
        <v>Crawlspace</v>
      </c>
      <c r="Q861" s="134"/>
      <c r="R861" s="134"/>
      <c r="S861" s="134"/>
      <c r="T861" s="134"/>
      <c r="U861" s="134"/>
      <c r="V861" s="134"/>
      <c r="W861" s="134"/>
      <c r="X861" s="134"/>
      <c r="Y861" s="134"/>
      <c r="Z861" s="134"/>
      <c r="AA861" s="134"/>
      <c r="AB861" s="134"/>
      <c r="AC861" s="134"/>
      <c r="AD861" s="134"/>
      <c r="AE861" s="134"/>
      <c r="AF861" s="146"/>
      <c r="AG861" s="134"/>
      <c r="AH861" s="134"/>
      <c r="AI861" s="134"/>
      <c r="AJ861" s="134"/>
      <c r="AK861" s="134"/>
      <c r="AL861" s="134"/>
      <c r="AM861" s="146"/>
      <c r="AN861" s="132"/>
      <c r="AO861" s="132"/>
      <c r="AP861" s="132"/>
      <c r="AQ861" s="132"/>
      <c r="AR861" s="134"/>
      <c r="AS861" s="134"/>
      <c r="AT861" s="132"/>
      <c r="AU861" s="133"/>
      <c r="AV861" s="134"/>
    </row>
    <row r="862" spans="1:48">
      <c r="A862" s="74">
        <v>12062</v>
      </c>
      <c r="B862" s="74" t="s">
        <v>227</v>
      </c>
      <c r="C862" s="74">
        <v>1</v>
      </c>
      <c r="D862" s="74">
        <v>1417</v>
      </c>
      <c r="E862" s="73">
        <v>0.17000000178813934</v>
      </c>
      <c r="F862" s="73">
        <v>0.56299434846403906</v>
      </c>
      <c r="G862" s="73">
        <v>9.0000003576278687E-2</v>
      </c>
      <c r="H862" s="73">
        <v>6.4999997615814209E-2</v>
      </c>
      <c r="I862" s="190">
        <v>6932.7380000000003</v>
      </c>
      <c r="J862" s="134" t="str">
        <f t="shared" si="102"/>
        <v>keep</v>
      </c>
      <c r="K862" s="134" t="str">
        <f t="shared" si="103"/>
        <v>R0</v>
      </c>
      <c r="L862" s="134" t="str">
        <f t="shared" si="104"/>
        <v>R11</v>
      </c>
      <c r="M862" s="146" t="str">
        <f t="shared" si="100"/>
        <v>R19</v>
      </c>
      <c r="N862" s="146" t="str">
        <f t="shared" si="101"/>
        <v>Better</v>
      </c>
      <c r="O862" s="146" t="str">
        <f t="shared" si="105"/>
        <v>Electric FAFR0R11R19Better</v>
      </c>
      <c r="P862" s="134" t="str">
        <f t="shared" si="106"/>
        <v>Crawlspace</v>
      </c>
      <c r="Q862" s="134"/>
      <c r="R862" s="134"/>
      <c r="S862" s="134"/>
      <c r="T862" s="134"/>
      <c r="U862" s="134"/>
      <c r="V862" s="134"/>
      <c r="W862" s="134"/>
      <c r="X862" s="134"/>
      <c r="Y862" s="134"/>
      <c r="Z862" s="134"/>
      <c r="AA862" s="134"/>
      <c r="AB862" s="134"/>
      <c r="AC862" s="134"/>
      <c r="AD862" s="134"/>
      <c r="AE862" s="134"/>
      <c r="AF862" s="146"/>
      <c r="AG862" s="134"/>
      <c r="AH862" s="134"/>
      <c r="AI862" s="134"/>
      <c r="AJ862" s="134"/>
      <c r="AK862" s="134"/>
      <c r="AL862" s="134"/>
      <c r="AM862" s="146"/>
      <c r="AN862" s="132"/>
      <c r="AO862" s="132"/>
      <c r="AP862" s="132"/>
      <c r="AQ862" s="132"/>
      <c r="AR862" s="134"/>
      <c r="AS862" s="134"/>
      <c r="AT862" s="132"/>
      <c r="AU862" s="133"/>
      <c r="AV862" s="134"/>
    </row>
    <row r="863" spans="1:48">
      <c r="A863" s="74">
        <v>12063</v>
      </c>
      <c r="B863" s="74" t="s">
        <v>227</v>
      </c>
      <c r="C863" s="74">
        <v>1</v>
      </c>
      <c r="D863" s="74">
        <v>1395</v>
      </c>
      <c r="E863" s="73">
        <v>2.500000037252903E-2</v>
      </c>
      <c r="F863" s="73">
        <v>0.68902441030595363</v>
      </c>
      <c r="G863" s="73">
        <v>0.11366119964526651</v>
      </c>
      <c r="H863" s="73">
        <v>2.9999999329447746E-2</v>
      </c>
      <c r="I863" s="190">
        <v>1464.694</v>
      </c>
      <c r="J863" s="134" t="str">
        <f t="shared" si="102"/>
        <v>keep</v>
      </c>
      <c r="K863" s="134" t="str">
        <f t="shared" si="103"/>
        <v>R38</v>
      </c>
      <c r="L863" s="134" t="str">
        <f t="shared" si="104"/>
        <v>R11</v>
      </c>
      <c r="M863" s="146" t="str">
        <f t="shared" si="100"/>
        <v>Better</v>
      </c>
      <c r="N863" s="146" t="str">
        <f t="shared" si="101"/>
        <v>Better</v>
      </c>
      <c r="O863" s="146" t="str">
        <f t="shared" si="105"/>
        <v>Electric FAFR38R11BetterBetter</v>
      </c>
      <c r="P863" s="134" t="str">
        <f t="shared" si="106"/>
        <v>Crawlspace</v>
      </c>
      <c r="Q863" s="134"/>
      <c r="R863" s="134"/>
      <c r="S863" s="134"/>
      <c r="T863" s="134"/>
      <c r="U863" s="134"/>
      <c r="V863" s="134"/>
      <c r="W863" s="134"/>
      <c r="X863" s="134"/>
      <c r="Y863" s="134"/>
      <c r="Z863" s="134"/>
      <c r="AA863" s="134"/>
      <c r="AB863" s="134"/>
      <c r="AC863" s="134"/>
      <c r="AD863" s="134"/>
      <c r="AE863" s="134"/>
      <c r="AF863" s="146"/>
      <c r="AG863" s="134"/>
      <c r="AH863" s="134"/>
      <c r="AI863" s="134"/>
      <c r="AJ863" s="134"/>
      <c r="AK863" s="134"/>
      <c r="AL863" s="134"/>
      <c r="AM863" s="146"/>
      <c r="AN863" s="132"/>
      <c r="AO863" s="132"/>
      <c r="AP863" s="132"/>
      <c r="AQ863" s="132"/>
      <c r="AR863" s="134"/>
      <c r="AS863" s="134"/>
      <c r="AT863" s="132"/>
      <c r="AU863" s="133"/>
      <c r="AV863" s="134"/>
    </row>
    <row r="864" spans="1:48">
      <c r="A864" s="74">
        <v>12105</v>
      </c>
      <c r="B864" s="74" t="s">
        <v>229</v>
      </c>
      <c r="C864" s="74">
        <v>4</v>
      </c>
      <c r="D864" s="74">
        <v>3000</v>
      </c>
      <c r="E864" s="73">
        <v>2.500000037252903E-2</v>
      </c>
      <c r="F864" s="73">
        <v>0.44999998807907104</v>
      </c>
      <c r="G864" s="73">
        <v>0.20718121148595875</v>
      </c>
      <c r="H864" s="73">
        <v>0</v>
      </c>
      <c r="I864" s="190">
        <v>1188.027</v>
      </c>
      <c r="J864" s="134" t="str">
        <f t="shared" si="102"/>
        <v>keep</v>
      </c>
      <c r="K864" s="134" t="str">
        <f t="shared" si="103"/>
        <v>R38</v>
      </c>
      <c r="L864" s="134" t="str">
        <f t="shared" si="104"/>
        <v>R0</v>
      </c>
      <c r="M864" s="146" t="str">
        <f t="shared" si="100"/>
        <v>Basement</v>
      </c>
      <c r="N864" s="146" t="str">
        <f t="shared" si="101"/>
        <v>Better</v>
      </c>
      <c r="O864" s="146" t="str">
        <f t="shared" si="105"/>
        <v>Heat PumpR38R0BasementBetter</v>
      </c>
      <c r="P864" s="134" t="str">
        <f t="shared" si="106"/>
        <v>Basement</v>
      </c>
      <c r="Q864" s="134"/>
      <c r="R864" s="134"/>
      <c r="S864" s="134"/>
      <c r="T864" s="134"/>
      <c r="U864" s="134"/>
      <c r="V864" s="134"/>
      <c r="W864" s="134"/>
      <c r="X864" s="134"/>
      <c r="Y864" s="134"/>
      <c r="Z864" s="134"/>
      <c r="AA864" s="134"/>
      <c r="AB864" s="134"/>
      <c r="AC864" s="134"/>
      <c r="AD864" s="134"/>
      <c r="AE864" s="134"/>
      <c r="AF864" s="146"/>
      <c r="AG864" s="134"/>
      <c r="AH864" s="134"/>
      <c r="AI864" s="134"/>
      <c r="AJ864" s="134"/>
      <c r="AK864" s="134"/>
      <c r="AL864" s="134"/>
      <c r="AM864" s="146"/>
      <c r="AN864" s="132"/>
      <c r="AO864" s="132"/>
      <c r="AP864" s="132"/>
      <c r="AQ864" s="132"/>
      <c r="AR864" s="134"/>
      <c r="AS864" s="134"/>
      <c r="AT864" s="132"/>
      <c r="AU864" s="133"/>
      <c r="AV864" s="134"/>
    </row>
    <row r="865" spans="1:48">
      <c r="A865" s="74">
        <v>12107</v>
      </c>
      <c r="B865" s="74" t="s">
        <v>228</v>
      </c>
      <c r="C865" s="74">
        <v>1</v>
      </c>
      <c r="D865" s="74">
        <v>1102</v>
      </c>
      <c r="E865" s="73">
        <v>0.10999999940395355</v>
      </c>
      <c r="F865" s="73">
        <v>0.40000000596046448</v>
      </c>
      <c r="G865" s="73">
        <v>0.23400000000000001</v>
      </c>
      <c r="H865" s="73">
        <v>0.15000000596046448</v>
      </c>
      <c r="I865" s="190">
        <v>4956.4930000000004</v>
      </c>
      <c r="J865" s="134" t="str">
        <f t="shared" si="102"/>
        <v>keep</v>
      </c>
      <c r="K865" s="134" t="str">
        <f t="shared" si="103"/>
        <v>R11</v>
      </c>
      <c r="L865" s="134" t="str">
        <f t="shared" si="104"/>
        <v>R0</v>
      </c>
      <c r="M865" s="146" t="str">
        <f t="shared" si="100"/>
        <v>R0</v>
      </c>
      <c r="N865" s="146" t="str">
        <f t="shared" si="101"/>
        <v>Better</v>
      </c>
      <c r="O865" s="146" t="str">
        <f t="shared" si="105"/>
        <v>Electric ZonalR11R0R0Better</v>
      </c>
      <c r="P865" s="134" t="str">
        <f t="shared" si="106"/>
        <v>Crawlspace</v>
      </c>
      <c r="Q865" s="134"/>
      <c r="R865" s="134"/>
      <c r="S865" s="134"/>
      <c r="T865" s="134"/>
      <c r="U865" s="134"/>
      <c r="V865" s="134"/>
      <c r="W865" s="134"/>
      <c r="X865" s="134"/>
      <c r="Y865" s="134"/>
      <c r="Z865" s="134"/>
      <c r="AA865" s="134"/>
      <c r="AB865" s="134"/>
      <c r="AC865" s="134"/>
      <c r="AD865" s="134"/>
      <c r="AE865" s="134"/>
      <c r="AF865" s="146"/>
      <c r="AG865" s="134"/>
      <c r="AH865" s="134"/>
      <c r="AI865" s="134"/>
      <c r="AJ865" s="134"/>
      <c r="AK865" s="134"/>
      <c r="AL865" s="134"/>
      <c r="AM865" s="146"/>
      <c r="AN865" s="132"/>
      <c r="AO865" s="132"/>
      <c r="AP865" s="132"/>
      <c r="AQ865" s="132"/>
      <c r="AR865" s="134"/>
      <c r="AS865" s="134"/>
      <c r="AT865" s="132"/>
      <c r="AU865" s="133"/>
      <c r="AV865" s="134"/>
    </row>
    <row r="866" spans="1:48">
      <c r="A866" s="74">
        <v>12108</v>
      </c>
      <c r="B866" s="74" t="s">
        <v>228</v>
      </c>
      <c r="C866" s="74">
        <v>1</v>
      </c>
      <c r="D866" s="74">
        <v>2364</v>
      </c>
      <c r="E866" s="73">
        <v>2.500000037252903E-2</v>
      </c>
      <c r="F866" s="73">
        <v>0.55000001192092896</v>
      </c>
      <c r="G866" s="73">
        <v>9.0000003576278687E-2</v>
      </c>
      <c r="H866" s="73">
        <v>4.5000001788139343E-2</v>
      </c>
      <c r="I866" s="190">
        <v>1524.7619999999999</v>
      </c>
      <c r="J866" s="134" t="str">
        <f t="shared" si="102"/>
        <v>keep</v>
      </c>
      <c r="K866" s="134" t="str">
        <f t="shared" si="103"/>
        <v>R38</v>
      </c>
      <c r="L866" s="134" t="str">
        <f t="shared" si="104"/>
        <v>R11</v>
      </c>
      <c r="M866" s="146" t="str">
        <f t="shared" si="100"/>
        <v>Better</v>
      </c>
      <c r="N866" s="146" t="str">
        <f t="shared" si="101"/>
        <v>Better</v>
      </c>
      <c r="O866" s="146" t="str">
        <f t="shared" si="105"/>
        <v>Electric ZonalR38R11BetterBetter</v>
      </c>
      <c r="P866" s="134" t="str">
        <f t="shared" si="106"/>
        <v>Crawlspace</v>
      </c>
      <c r="Q866" s="134"/>
      <c r="R866" s="134"/>
      <c r="S866" s="134"/>
      <c r="T866" s="134"/>
      <c r="U866" s="134"/>
      <c r="V866" s="134"/>
      <c r="W866" s="134"/>
      <c r="X866" s="134"/>
      <c r="Y866" s="134"/>
      <c r="Z866" s="134"/>
      <c r="AA866" s="134"/>
      <c r="AB866" s="134"/>
      <c r="AC866" s="134"/>
      <c r="AD866" s="134"/>
      <c r="AE866" s="134"/>
      <c r="AF866" s="146"/>
      <c r="AG866" s="134"/>
      <c r="AH866" s="134"/>
      <c r="AI866" s="134"/>
      <c r="AJ866" s="134"/>
      <c r="AK866" s="134"/>
      <c r="AL866" s="134"/>
      <c r="AM866" s="146"/>
      <c r="AN866" s="132"/>
      <c r="AO866" s="132"/>
      <c r="AP866" s="132"/>
      <c r="AQ866" s="132"/>
      <c r="AR866" s="134"/>
      <c r="AS866" s="134"/>
      <c r="AT866" s="132"/>
      <c r="AU866" s="133"/>
      <c r="AV866" s="134"/>
    </row>
    <row r="867" spans="1:48">
      <c r="A867" s="74">
        <v>12153</v>
      </c>
      <c r="B867" s="74" t="s">
        <v>228</v>
      </c>
      <c r="C867" s="74" t="s">
        <v>673</v>
      </c>
      <c r="D867" s="74">
        <v>1226</v>
      </c>
      <c r="E867" s="73">
        <v>3.5000000149011612E-2</v>
      </c>
      <c r="F867" s="73">
        <v>0.44999998807907104</v>
      </c>
      <c r="G867" s="73">
        <v>5.9999998658895493E-2</v>
      </c>
      <c r="H867" s="73">
        <v>0</v>
      </c>
      <c r="I867" s="190">
        <v>1524.7619999999999</v>
      </c>
      <c r="J867" s="134" t="str">
        <f t="shared" si="102"/>
        <v>ignore</v>
      </c>
      <c r="K867" s="134" t="str">
        <f t="shared" si="103"/>
        <v>R38</v>
      </c>
      <c r="L867" s="134" t="str">
        <f t="shared" si="104"/>
        <v>R11</v>
      </c>
      <c r="M867" s="146" t="str">
        <f t="shared" si="100"/>
        <v>Better</v>
      </c>
      <c r="N867" s="146" t="str">
        <f t="shared" si="101"/>
        <v>Better</v>
      </c>
      <c r="O867" s="146" t="str">
        <f t="shared" si="105"/>
        <v>Electric ZonalR38R11BetterBetter</v>
      </c>
      <c r="P867" s="134" t="str">
        <f t="shared" si="106"/>
        <v>error</v>
      </c>
      <c r="Q867" s="134"/>
      <c r="R867" s="134"/>
      <c r="S867" s="134"/>
      <c r="T867" s="134"/>
      <c r="U867" s="134"/>
      <c r="V867" s="134"/>
      <c r="W867" s="134"/>
      <c r="X867" s="134"/>
      <c r="Y867" s="134"/>
      <c r="Z867" s="134"/>
      <c r="AA867" s="134"/>
      <c r="AB867" s="134"/>
      <c r="AC867" s="134"/>
      <c r="AD867" s="134"/>
      <c r="AE867" s="134"/>
      <c r="AF867" s="146"/>
      <c r="AG867" s="134"/>
      <c r="AH867" s="134"/>
      <c r="AI867" s="134"/>
      <c r="AJ867" s="134"/>
      <c r="AK867" s="134"/>
      <c r="AL867" s="134"/>
      <c r="AM867" s="146"/>
      <c r="AN867" s="132"/>
      <c r="AO867" s="132"/>
      <c r="AP867" s="132"/>
      <c r="AQ867" s="132"/>
      <c r="AR867" s="134"/>
      <c r="AS867" s="134"/>
      <c r="AT867" s="132"/>
      <c r="AU867" s="133"/>
      <c r="AV867" s="134"/>
    </row>
    <row r="868" spans="1:48">
      <c r="A868" s="74">
        <v>12190</v>
      </c>
      <c r="B868" s="74" t="s">
        <v>228</v>
      </c>
      <c r="C868" s="74">
        <v>2</v>
      </c>
      <c r="D868" s="74">
        <v>4191</v>
      </c>
      <c r="E868" s="73">
        <v>2.8643133219945879E-2</v>
      </c>
      <c r="F868" s="73">
        <v>0.51167401159387327</v>
      </c>
      <c r="G868" s="73">
        <v>5.9999998658895493E-2</v>
      </c>
      <c r="H868" s="73">
        <v>0</v>
      </c>
      <c r="I868" s="190">
        <v>4956.4930000000004</v>
      </c>
      <c r="J868" s="134" t="str">
        <f t="shared" si="102"/>
        <v>keep</v>
      </c>
      <c r="K868" s="134" t="str">
        <f t="shared" si="103"/>
        <v>R38</v>
      </c>
      <c r="L868" s="134" t="str">
        <f t="shared" si="104"/>
        <v>R11</v>
      </c>
      <c r="M868" s="146" t="str">
        <f t="shared" si="100"/>
        <v>Slab</v>
      </c>
      <c r="N868" s="146" t="str">
        <f t="shared" si="101"/>
        <v>Better</v>
      </c>
      <c r="O868" s="146" t="str">
        <f t="shared" si="105"/>
        <v>Electric ZonalR38R11SlabBetter</v>
      </c>
      <c r="P868" s="134" t="str">
        <f t="shared" si="106"/>
        <v>Slab</v>
      </c>
      <c r="Q868" s="134"/>
      <c r="R868" s="134"/>
      <c r="S868" s="134"/>
      <c r="T868" s="134"/>
      <c r="U868" s="134"/>
      <c r="V868" s="134"/>
      <c r="W868" s="134"/>
      <c r="X868" s="134"/>
      <c r="Y868" s="134"/>
      <c r="Z868" s="134"/>
      <c r="AA868" s="134"/>
      <c r="AB868" s="134"/>
      <c r="AC868" s="134"/>
      <c r="AD868" s="134"/>
      <c r="AE868" s="134"/>
      <c r="AF868" s="146"/>
      <c r="AG868" s="134"/>
      <c r="AH868" s="134"/>
      <c r="AI868" s="134"/>
      <c r="AJ868" s="134"/>
      <c r="AK868" s="134"/>
      <c r="AL868" s="134"/>
      <c r="AM868" s="146"/>
      <c r="AN868" s="132"/>
      <c r="AO868" s="132"/>
      <c r="AP868" s="132"/>
      <c r="AQ868" s="132"/>
      <c r="AR868" s="134"/>
      <c r="AS868" s="134"/>
      <c r="AT868" s="132"/>
      <c r="AU868" s="133"/>
      <c r="AV868" s="134"/>
    </row>
    <row r="869" spans="1:48">
      <c r="A869" s="74">
        <v>12207</v>
      </c>
      <c r="B869" s="74" t="s">
        <v>227</v>
      </c>
      <c r="C869" s="74">
        <v>1</v>
      </c>
      <c r="D869" s="74">
        <v>1230</v>
      </c>
      <c r="E869" s="73">
        <v>3.5000000149011612E-2</v>
      </c>
      <c r="F869" s="73">
        <v>0.60000002384185791</v>
      </c>
      <c r="G869" s="73">
        <v>5.9999998658895493E-2</v>
      </c>
      <c r="H869" s="73">
        <v>4.5000001788139343E-2</v>
      </c>
      <c r="I869" s="190">
        <v>4956.4930000000004</v>
      </c>
      <c r="J869" s="134" t="str">
        <f t="shared" si="102"/>
        <v>keep</v>
      </c>
      <c r="K869" s="134" t="str">
        <f t="shared" si="103"/>
        <v>R38</v>
      </c>
      <c r="L869" s="134" t="str">
        <f t="shared" si="104"/>
        <v>R11</v>
      </c>
      <c r="M869" s="146" t="str">
        <f t="shared" si="100"/>
        <v>Better</v>
      </c>
      <c r="N869" s="146" t="str">
        <f t="shared" si="101"/>
        <v>Better</v>
      </c>
      <c r="O869" s="146" t="str">
        <f t="shared" si="105"/>
        <v>Electric FAFR38R11BetterBetter</v>
      </c>
      <c r="P869" s="134" t="str">
        <f t="shared" si="106"/>
        <v>Crawlspace</v>
      </c>
      <c r="Q869" s="134"/>
      <c r="R869" s="134"/>
      <c r="S869" s="134"/>
      <c r="T869" s="134"/>
      <c r="U869" s="134"/>
      <c r="V869" s="134"/>
      <c r="W869" s="134"/>
      <c r="X869" s="134"/>
      <c r="Y869" s="134"/>
      <c r="Z869" s="134"/>
      <c r="AA869" s="134"/>
      <c r="AB869" s="134"/>
      <c r="AC869" s="134"/>
      <c r="AD869" s="134"/>
      <c r="AE869" s="134"/>
      <c r="AF869" s="146"/>
      <c r="AG869" s="134"/>
      <c r="AH869" s="134"/>
      <c r="AI869" s="134"/>
      <c r="AJ869" s="134"/>
      <c r="AK869" s="134"/>
      <c r="AL869" s="134"/>
      <c r="AM869" s="146"/>
      <c r="AN869" s="132"/>
      <c r="AO869" s="132"/>
      <c r="AP869" s="132"/>
      <c r="AQ869" s="132"/>
      <c r="AR869" s="134"/>
      <c r="AS869" s="134"/>
      <c r="AT869" s="132"/>
      <c r="AU869" s="133"/>
      <c r="AV869" s="134"/>
    </row>
    <row r="870" spans="1:48">
      <c r="A870" s="74">
        <v>12213</v>
      </c>
      <c r="B870" s="74" t="s">
        <v>228</v>
      </c>
      <c r="C870" s="74">
        <v>1</v>
      </c>
      <c r="D870" s="74">
        <v>738</v>
      </c>
      <c r="E870" s="73">
        <v>4.5000001788139343E-2</v>
      </c>
      <c r="F870" s="73">
        <v>0.60000002384185791</v>
      </c>
      <c r="G870" s="73">
        <v>9.0000003576278687E-2</v>
      </c>
      <c r="H870" s="73">
        <v>4.5000001788139343E-2</v>
      </c>
      <c r="I870" s="190">
        <v>1464.694</v>
      </c>
      <c r="J870" s="134" t="str">
        <f t="shared" si="102"/>
        <v>keep</v>
      </c>
      <c r="K870" s="134" t="str">
        <f t="shared" si="103"/>
        <v>R30</v>
      </c>
      <c r="L870" s="134" t="str">
        <f t="shared" si="104"/>
        <v>R11</v>
      </c>
      <c r="M870" s="146" t="str">
        <f t="shared" si="100"/>
        <v>Better</v>
      </c>
      <c r="N870" s="146" t="str">
        <f t="shared" si="101"/>
        <v>Better</v>
      </c>
      <c r="O870" s="146" t="str">
        <f t="shared" si="105"/>
        <v>Electric ZonalR30R11BetterBetter</v>
      </c>
      <c r="P870" s="134" t="str">
        <f t="shared" si="106"/>
        <v>Crawlspace</v>
      </c>
      <c r="Q870" s="134"/>
      <c r="R870" s="134"/>
      <c r="S870" s="134"/>
      <c r="T870" s="134"/>
      <c r="U870" s="134"/>
      <c r="V870" s="134"/>
      <c r="W870" s="134"/>
      <c r="X870" s="134"/>
      <c r="Y870" s="134"/>
      <c r="Z870" s="134"/>
      <c r="AA870" s="134"/>
      <c r="AB870" s="134"/>
      <c r="AC870" s="134"/>
      <c r="AD870" s="134"/>
      <c r="AE870" s="134"/>
      <c r="AF870" s="146"/>
      <c r="AG870" s="134"/>
      <c r="AH870" s="134"/>
      <c r="AI870" s="134"/>
      <c r="AJ870" s="134"/>
      <c r="AK870" s="134"/>
      <c r="AL870" s="134"/>
      <c r="AM870" s="146"/>
      <c r="AN870" s="132"/>
      <c r="AO870" s="132"/>
      <c r="AP870" s="132"/>
      <c r="AQ870" s="132"/>
      <c r="AR870" s="134"/>
      <c r="AS870" s="134"/>
      <c r="AT870" s="132"/>
      <c r="AU870" s="133"/>
      <c r="AV870" s="134"/>
    </row>
    <row r="871" spans="1:48">
      <c r="A871" s="74">
        <v>12214</v>
      </c>
      <c r="B871" s="74" t="s">
        <v>228</v>
      </c>
      <c r="C871" s="74">
        <v>2</v>
      </c>
      <c r="D871" s="74">
        <v>1100</v>
      </c>
      <c r="E871" s="73">
        <v>7.5000002980232239E-2</v>
      </c>
      <c r="F871" s="73">
        <v>0.55000001192092896</v>
      </c>
      <c r="G871" s="73">
        <v>9.0000003576278687E-2</v>
      </c>
      <c r="H871" s="73">
        <v>0</v>
      </c>
      <c r="I871" s="190">
        <v>4956.4930000000004</v>
      </c>
      <c r="J871" s="134" t="str">
        <f t="shared" si="102"/>
        <v>keep</v>
      </c>
      <c r="K871" s="134" t="str">
        <f t="shared" si="103"/>
        <v>R19</v>
      </c>
      <c r="L871" s="134" t="str">
        <f t="shared" si="104"/>
        <v>R11</v>
      </c>
      <c r="M871" s="146" t="str">
        <f t="shared" si="100"/>
        <v>Slab</v>
      </c>
      <c r="N871" s="146" t="str">
        <f t="shared" si="101"/>
        <v>Better</v>
      </c>
      <c r="O871" s="146" t="str">
        <f t="shared" si="105"/>
        <v>Electric ZonalR19R11SlabBetter</v>
      </c>
      <c r="P871" s="134" t="str">
        <f t="shared" si="106"/>
        <v>Slab</v>
      </c>
      <c r="Q871" s="134"/>
      <c r="R871" s="134"/>
      <c r="S871" s="134"/>
      <c r="T871" s="134"/>
      <c r="U871" s="134"/>
      <c r="V871" s="134"/>
      <c r="W871" s="134"/>
      <c r="X871" s="134"/>
      <c r="Y871" s="134"/>
      <c r="Z871" s="134"/>
      <c r="AA871" s="134"/>
      <c r="AB871" s="134"/>
      <c r="AC871" s="134"/>
      <c r="AD871" s="134"/>
      <c r="AE871" s="134"/>
      <c r="AF871" s="146"/>
      <c r="AG871" s="134"/>
      <c r="AH871" s="134"/>
      <c r="AI871" s="134"/>
      <c r="AJ871" s="134"/>
      <c r="AK871" s="134"/>
      <c r="AL871" s="134"/>
      <c r="AM871" s="146"/>
      <c r="AN871" s="132"/>
      <c r="AO871" s="132"/>
      <c r="AP871" s="132"/>
      <c r="AQ871" s="132"/>
      <c r="AR871" s="134"/>
      <c r="AS871" s="134"/>
      <c r="AT871" s="132"/>
      <c r="AU871" s="133"/>
      <c r="AV871" s="134"/>
    </row>
    <row r="872" spans="1:48">
      <c r="A872" s="74">
        <v>12215</v>
      </c>
      <c r="B872" s="74" t="s">
        <v>228</v>
      </c>
      <c r="C872" s="74">
        <v>1</v>
      </c>
      <c r="D872" s="74">
        <v>1098</v>
      </c>
      <c r="E872" s="73">
        <v>2.500000037252903E-2</v>
      </c>
      <c r="F872" s="73">
        <v>0.64999997615814209</v>
      </c>
      <c r="G872" s="73">
        <v>5.6000001728534692E-2</v>
      </c>
      <c r="H872" s="73">
        <v>5.4999999701976776E-2</v>
      </c>
      <c r="I872" s="190">
        <v>2003.7159999999999</v>
      </c>
      <c r="J872" s="134" t="str">
        <f t="shared" si="102"/>
        <v>keep</v>
      </c>
      <c r="K872" s="134" t="str">
        <f t="shared" si="103"/>
        <v>R38</v>
      </c>
      <c r="L872" s="134" t="str">
        <f t="shared" si="104"/>
        <v>R11</v>
      </c>
      <c r="M872" s="146" t="str">
        <f t="shared" si="100"/>
        <v>R19</v>
      </c>
      <c r="N872" s="146" t="str">
        <f t="shared" si="101"/>
        <v>Better</v>
      </c>
      <c r="O872" s="146" t="str">
        <f t="shared" si="105"/>
        <v>Electric ZonalR38R11R19Better</v>
      </c>
      <c r="P872" s="134" t="str">
        <f t="shared" si="106"/>
        <v>Crawlspace</v>
      </c>
      <c r="Q872" s="134"/>
      <c r="R872" s="134"/>
      <c r="S872" s="134"/>
      <c r="T872" s="134"/>
      <c r="U872" s="134"/>
      <c r="V872" s="134"/>
      <c r="W872" s="134"/>
      <c r="X872" s="134"/>
      <c r="Y872" s="134"/>
      <c r="Z872" s="134"/>
      <c r="AA872" s="134"/>
      <c r="AB872" s="134"/>
      <c r="AC872" s="134"/>
      <c r="AD872" s="134"/>
      <c r="AE872" s="134"/>
      <c r="AF872" s="146"/>
      <c r="AG872" s="134"/>
      <c r="AH872" s="134"/>
      <c r="AI872" s="134"/>
      <c r="AJ872" s="134"/>
      <c r="AK872" s="134"/>
      <c r="AL872" s="134"/>
      <c r="AM872" s="146"/>
      <c r="AN872" s="132"/>
      <c r="AO872" s="132"/>
      <c r="AP872" s="132"/>
      <c r="AQ872" s="132"/>
      <c r="AR872" s="134"/>
      <c r="AS872" s="134"/>
      <c r="AT872" s="132"/>
      <c r="AU872" s="133"/>
      <c r="AV872" s="134"/>
    </row>
    <row r="873" spans="1:48">
      <c r="A873" s="74">
        <v>12232</v>
      </c>
      <c r="B873" s="74" t="s">
        <v>228</v>
      </c>
      <c r="C873" s="74">
        <v>1</v>
      </c>
      <c r="D873" s="74">
        <v>2328</v>
      </c>
      <c r="E873" s="73">
        <v>3.5000000149011612E-2</v>
      </c>
      <c r="F873" s="73">
        <v>0.56452146320059748</v>
      </c>
      <c r="G873" s="73">
        <v>9.0000003576278687E-2</v>
      </c>
      <c r="H873" s="73">
        <v>4.5000001788139343E-2</v>
      </c>
      <c r="I873" s="190">
        <v>1188.027</v>
      </c>
      <c r="J873" s="134" t="str">
        <f t="shared" si="102"/>
        <v>keep</v>
      </c>
      <c r="K873" s="134" t="str">
        <f t="shared" si="103"/>
        <v>R38</v>
      </c>
      <c r="L873" s="134" t="str">
        <f t="shared" si="104"/>
        <v>R11</v>
      </c>
      <c r="M873" s="146" t="str">
        <f t="shared" si="100"/>
        <v>Better</v>
      </c>
      <c r="N873" s="146" t="str">
        <f t="shared" si="101"/>
        <v>Better</v>
      </c>
      <c r="O873" s="146" t="str">
        <f t="shared" si="105"/>
        <v>Electric ZonalR38R11BetterBetter</v>
      </c>
      <c r="P873" s="134" t="str">
        <f t="shared" si="106"/>
        <v>Crawlspace</v>
      </c>
      <c r="Q873" s="134"/>
      <c r="R873" s="134"/>
      <c r="S873" s="134"/>
      <c r="T873" s="134"/>
      <c r="U873" s="134"/>
      <c r="V873" s="134"/>
      <c r="W873" s="134"/>
      <c r="X873" s="134"/>
      <c r="Y873" s="134"/>
      <c r="Z873" s="134"/>
      <c r="AA873" s="134"/>
      <c r="AB873" s="134"/>
      <c r="AC873" s="134"/>
      <c r="AD873" s="134"/>
      <c r="AE873" s="134"/>
      <c r="AF873" s="146"/>
      <c r="AG873" s="134"/>
      <c r="AH873" s="134"/>
      <c r="AI873" s="134"/>
      <c r="AJ873" s="134"/>
      <c r="AK873" s="134"/>
      <c r="AL873" s="134"/>
      <c r="AM873" s="146"/>
      <c r="AN873" s="132"/>
      <c r="AO873" s="132"/>
      <c r="AP873" s="132"/>
      <c r="AQ873" s="132"/>
      <c r="AR873" s="134"/>
      <c r="AS873" s="134"/>
      <c r="AT873" s="132"/>
      <c r="AU873" s="133"/>
      <c r="AV873" s="134"/>
    </row>
    <row r="874" spans="1:48">
      <c r="A874" s="74">
        <v>12247</v>
      </c>
      <c r="B874" s="74" t="s">
        <v>228</v>
      </c>
      <c r="C874" s="74">
        <v>1</v>
      </c>
      <c r="D874" s="74">
        <v>1999</v>
      </c>
      <c r="E874" s="73">
        <v>5.000000074505806E-2</v>
      </c>
      <c r="F874" s="73">
        <v>0.41793893289020045</v>
      </c>
      <c r="G874" s="73">
        <v>0.11999999731779099</v>
      </c>
      <c r="H874" s="73">
        <v>0.10000000149011612</v>
      </c>
      <c r="I874" s="190">
        <v>2003.7159999999999</v>
      </c>
      <c r="J874" s="134" t="str">
        <f t="shared" si="102"/>
        <v>keep</v>
      </c>
      <c r="K874" s="134" t="str">
        <f t="shared" si="103"/>
        <v>R30</v>
      </c>
      <c r="L874" s="134" t="str">
        <f t="shared" si="104"/>
        <v>R11</v>
      </c>
      <c r="M874" s="146" t="str">
        <f t="shared" si="100"/>
        <v>R0</v>
      </c>
      <c r="N874" s="146" t="str">
        <f t="shared" si="101"/>
        <v>Better</v>
      </c>
      <c r="O874" s="146" t="str">
        <f t="shared" si="105"/>
        <v>Electric ZonalR30R11R0Better</v>
      </c>
      <c r="P874" s="134" t="str">
        <f t="shared" si="106"/>
        <v>Crawlspace</v>
      </c>
      <c r="Q874" s="134"/>
      <c r="R874" s="134"/>
      <c r="S874" s="134"/>
      <c r="T874" s="134"/>
      <c r="U874" s="134"/>
      <c r="V874" s="134"/>
      <c r="W874" s="134"/>
      <c r="X874" s="134"/>
      <c r="Y874" s="134"/>
      <c r="Z874" s="134"/>
      <c r="AA874" s="134"/>
      <c r="AB874" s="134"/>
      <c r="AC874" s="134"/>
      <c r="AD874" s="134"/>
      <c r="AE874" s="134"/>
      <c r="AF874" s="146"/>
      <c r="AG874" s="134"/>
      <c r="AH874" s="134"/>
      <c r="AI874" s="134"/>
      <c r="AJ874" s="134"/>
      <c r="AK874" s="134"/>
      <c r="AL874" s="134"/>
      <c r="AM874" s="146"/>
      <c r="AN874" s="132"/>
      <c r="AO874" s="132"/>
      <c r="AP874" s="132"/>
      <c r="AQ874" s="132"/>
      <c r="AR874" s="134"/>
      <c r="AS874" s="134"/>
      <c r="AT874" s="132"/>
      <c r="AU874" s="133"/>
      <c r="AV874" s="134"/>
    </row>
    <row r="875" spans="1:48">
      <c r="A875" s="74">
        <v>12263</v>
      </c>
      <c r="B875" s="74" t="s">
        <v>228</v>
      </c>
      <c r="C875" s="74">
        <v>1</v>
      </c>
      <c r="D875" s="74">
        <v>825</v>
      </c>
      <c r="E875" s="73">
        <v>3.5000000149011612E-2</v>
      </c>
      <c r="F875" s="73">
        <v>0.5</v>
      </c>
      <c r="G875" s="73">
        <v>0.11999999731779099</v>
      </c>
      <c r="H875" s="73">
        <v>0.23000000417232513</v>
      </c>
      <c r="I875" s="190">
        <v>1524.7619999999999</v>
      </c>
      <c r="J875" s="134" t="str">
        <f t="shared" si="102"/>
        <v>keep</v>
      </c>
      <c r="K875" s="134" t="str">
        <f t="shared" si="103"/>
        <v>R38</v>
      </c>
      <c r="L875" s="134" t="str">
        <f t="shared" si="104"/>
        <v>R11</v>
      </c>
      <c r="M875" s="146" t="str">
        <f t="shared" si="100"/>
        <v>R0</v>
      </c>
      <c r="N875" s="146" t="str">
        <f t="shared" si="101"/>
        <v>Better</v>
      </c>
      <c r="O875" s="146" t="str">
        <f t="shared" si="105"/>
        <v>Electric ZonalR38R11R0Better</v>
      </c>
      <c r="P875" s="134" t="str">
        <f t="shared" si="106"/>
        <v>Crawlspace</v>
      </c>
      <c r="Q875" s="134"/>
      <c r="R875" s="134"/>
      <c r="S875" s="134"/>
      <c r="T875" s="134"/>
      <c r="U875" s="134"/>
      <c r="V875" s="134"/>
      <c r="W875" s="134"/>
      <c r="X875" s="134"/>
      <c r="Y875" s="134"/>
      <c r="Z875" s="134"/>
      <c r="AA875" s="134"/>
      <c r="AB875" s="134"/>
      <c r="AC875" s="134"/>
      <c r="AD875" s="134"/>
      <c r="AE875" s="134"/>
      <c r="AF875" s="146"/>
      <c r="AG875" s="134"/>
      <c r="AH875" s="134"/>
      <c r="AI875" s="134"/>
      <c r="AJ875" s="134"/>
      <c r="AK875" s="134"/>
      <c r="AL875" s="134"/>
      <c r="AM875" s="146"/>
      <c r="AN875" s="132"/>
      <c r="AO875" s="132"/>
      <c r="AP875" s="132"/>
      <c r="AQ875" s="132"/>
      <c r="AR875" s="134"/>
      <c r="AS875" s="134"/>
      <c r="AT875" s="132"/>
      <c r="AU875" s="133"/>
      <c r="AV875" s="134"/>
    </row>
    <row r="876" spans="1:48">
      <c r="A876" s="74">
        <v>12270</v>
      </c>
      <c r="B876" s="74" t="s">
        <v>228</v>
      </c>
      <c r="C876" s="74">
        <v>1</v>
      </c>
      <c r="D876" s="74">
        <v>1700</v>
      </c>
      <c r="E876" s="73">
        <v>0.15000000596046448</v>
      </c>
      <c r="F876" s="73">
        <v>0.55000001192092896</v>
      </c>
      <c r="G876" s="73">
        <v>7.9999998211860657E-2</v>
      </c>
      <c r="H876" s="73">
        <v>7.5000002980232239E-2</v>
      </c>
      <c r="I876" s="190">
        <v>1150.8789999999999</v>
      </c>
      <c r="J876" s="134" t="str">
        <f t="shared" si="102"/>
        <v>keep</v>
      </c>
      <c r="K876" s="134" t="str">
        <f t="shared" si="103"/>
        <v>R0</v>
      </c>
      <c r="L876" s="134" t="str">
        <f t="shared" si="104"/>
        <v>R11</v>
      </c>
      <c r="M876" s="146" t="str">
        <f t="shared" si="100"/>
        <v>R0</v>
      </c>
      <c r="N876" s="146" t="str">
        <f t="shared" si="101"/>
        <v>Better</v>
      </c>
      <c r="O876" s="146" t="str">
        <f t="shared" si="105"/>
        <v>Electric ZonalR0R11R0Better</v>
      </c>
      <c r="P876" s="134" t="str">
        <f t="shared" si="106"/>
        <v>Crawlspace</v>
      </c>
      <c r="Q876" s="134"/>
      <c r="R876" s="134"/>
      <c r="S876" s="134"/>
      <c r="T876" s="134"/>
      <c r="U876" s="134"/>
      <c r="V876" s="134"/>
      <c r="W876" s="134"/>
      <c r="X876" s="134"/>
      <c r="Y876" s="134"/>
      <c r="Z876" s="134"/>
      <c r="AA876" s="134"/>
      <c r="AB876" s="134"/>
      <c r="AC876" s="134"/>
      <c r="AD876" s="134"/>
      <c r="AE876" s="134"/>
      <c r="AF876" s="146"/>
      <c r="AG876" s="134"/>
      <c r="AH876" s="134"/>
      <c r="AI876" s="134"/>
      <c r="AJ876" s="134"/>
      <c r="AK876" s="134"/>
      <c r="AL876" s="134"/>
      <c r="AM876" s="146"/>
      <c r="AN876" s="132"/>
      <c r="AO876" s="132"/>
      <c r="AP876" s="132"/>
      <c r="AQ876" s="132"/>
      <c r="AR876" s="134"/>
      <c r="AS876" s="134"/>
      <c r="AT876" s="132"/>
      <c r="AU876" s="133"/>
      <c r="AV876" s="134"/>
    </row>
    <row r="877" spans="1:48">
      <c r="A877" s="74">
        <v>12303</v>
      </c>
      <c r="B877" s="74" t="s">
        <v>229</v>
      </c>
      <c r="C877" s="74" t="s">
        <v>673</v>
      </c>
      <c r="D877" s="74">
        <v>1985</v>
      </c>
      <c r="E877" s="73">
        <v>7.5000002980232239E-2</v>
      </c>
      <c r="F877" s="73">
        <v>0.44999998807907104</v>
      </c>
      <c r="G877" s="73">
        <v>0.10573544531345025</v>
      </c>
      <c r="H877" s="73">
        <v>4.5000001788139343E-2</v>
      </c>
      <c r="I877" s="190">
        <v>1464.694</v>
      </c>
      <c r="J877" s="134" t="str">
        <f t="shared" si="102"/>
        <v>ignore</v>
      </c>
      <c r="K877" s="134" t="str">
        <f t="shared" si="103"/>
        <v>R19</v>
      </c>
      <c r="L877" s="134" t="str">
        <f t="shared" si="104"/>
        <v>R11</v>
      </c>
      <c r="M877" s="146" t="str">
        <f t="shared" si="100"/>
        <v>Better</v>
      </c>
      <c r="N877" s="146" t="str">
        <f t="shared" si="101"/>
        <v>Better</v>
      </c>
      <c r="O877" s="146" t="str">
        <f t="shared" si="105"/>
        <v>Heat PumpR19R11BetterBetter</v>
      </c>
      <c r="P877" s="134" t="str">
        <f t="shared" si="106"/>
        <v>error</v>
      </c>
      <c r="Q877" s="134"/>
      <c r="R877" s="134"/>
      <c r="S877" s="134"/>
      <c r="T877" s="134"/>
      <c r="U877" s="134"/>
      <c r="V877" s="134"/>
      <c r="W877" s="134"/>
      <c r="X877" s="134"/>
      <c r="Y877" s="134"/>
      <c r="Z877" s="134"/>
      <c r="AA877" s="134"/>
      <c r="AB877" s="134"/>
      <c r="AC877" s="134"/>
      <c r="AD877" s="134"/>
      <c r="AE877" s="134"/>
      <c r="AF877" s="146"/>
      <c r="AG877" s="134"/>
      <c r="AH877" s="134"/>
      <c r="AI877" s="134"/>
      <c r="AJ877" s="134"/>
      <c r="AK877" s="134"/>
      <c r="AL877" s="134"/>
      <c r="AM877" s="146"/>
      <c r="AN877" s="132"/>
      <c r="AO877" s="132"/>
      <c r="AP877" s="132"/>
      <c r="AQ877" s="132"/>
      <c r="AR877" s="134"/>
      <c r="AS877" s="134"/>
      <c r="AT877" s="132"/>
      <c r="AU877" s="133"/>
      <c r="AV877" s="134"/>
    </row>
    <row r="878" spans="1:48">
      <c r="A878" s="74">
        <v>12315</v>
      </c>
      <c r="B878" s="74" t="s">
        <v>229</v>
      </c>
      <c r="C878" s="74" t="s">
        <v>673</v>
      </c>
      <c r="D878" s="74">
        <v>2596</v>
      </c>
      <c r="E878" s="73">
        <v>5.856299117999518E-2</v>
      </c>
      <c r="F878" s="73">
        <v>0.49904987265548345</v>
      </c>
      <c r="G878" s="73">
        <v>9.0000003576278687E-2</v>
      </c>
      <c r="H878" s="73">
        <v>0</v>
      </c>
      <c r="I878" s="190">
        <v>2003.7159999999999</v>
      </c>
      <c r="J878" s="134" t="str">
        <f t="shared" si="102"/>
        <v>ignore</v>
      </c>
      <c r="K878" s="134" t="str">
        <f t="shared" si="103"/>
        <v>R19</v>
      </c>
      <c r="L878" s="134" t="str">
        <f t="shared" si="104"/>
        <v>R11</v>
      </c>
      <c r="M878" s="146" t="str">
        <f t="shared" si="100"/>
        <v>Better</v>
      </c>
      <c r="N878" s="146" t="str">
        <f t="shared" si="101"/>
        <v>Better</v>
      </c>
      <c r="O878" s="146" t="str">
        <f t="shared" si="105"/>
        <v>Heat PumpR19R11BetterBetter</v>
      </c>
      <c r="P878" s="134" t="str">
        <f t="shared" si="106"/>
        <v>error</v>
      </c>
      <c r="Q878" s="134"/>
      <c r="R878" s="134"/>
      <c r="S878" s="134"/>
      <c r="T878" s="134"/>
      <c r="U878" s="134"/>
      <c r="V878" s="134"/>
      <c r="W878" s="134"/>
      <c r="X878" s="134"/>
      <c r="Y878" s="134"/>
      <c r="Z878" s="134"/>
      <c r="AA878" s="134"/>
      <c r="AB878" s="134"/>
      <c r="AC878" s="134"/>
      <c r="AD878" s="134"/>
      <c r="AE878" s="134"/>
      <c r="AF878" s="146"/>
      <c r="AG878" s="134"/>
      <c r="AH878" s="134"/>
      <c r="AI878" s="134"/>
      <c r="AJ878" s="134"/>
      <c r="AK878" s="134"/>
      <c r="AL878" s="134"/>
      <c r="AM878" s="146"/>
      <c r="AN878" s="132"/>
      <c r="AO878" s="132"/>
      <c r="AP878" s="132"/>
      <c r="AQ878" s="132"/>
      <c r="AR878" s="134"/>
      <c r="AS878" s="134"/>
      <c r="AT878" s="132"/>
      <c r="AU878" s="133"/>
      <c r="AV878" s="134"/>
    </row>
    <row r="879" spans="1:48">
      <c r="A879" s="74">
        <v>12321</v>
      </c>
      <c r="B879" s="74" t="s">
        <v>227</v>
      </c>
      <c r="C879" s="74">
        <v>1</v>
      </c>
      <c r="D879" s="74">
        <v>1142</v>
      </c>
      <c r="E879" s="73">
        <v>3.5634574429407165E-2</v>
      </c>
      <c r="F879" s="73">
        <v>0.44999998807907104</v>
      </c>
      <c r="G879" s="73">
        <v>0.12777108428079678</v>
      </c>
      <c r="H879" s="73">
        <v>6.1903721500082144E-2</v>
      </c>
      <c r="I879" s="190">
        <v>1524.7619999999999</v>
      </c>
      <c r="J879" s="134" t="str">
        <f t="shared" si="102"/>
        <v>keep</v>
      </c>
      <c r="K879" s="134" t="str">
        <f t="shared" si="103"/>
        <v>R38</v>
      </c>
      <c r="L879" s="134" t="str">
        <f t="shared" si="104"/>
        <v>R11</v>
      </c>
      <c r="M879" s="146" t="str">
        <f t="shared" si="100"/>
        <v>R19</v>
      </c>
      <c r="N879" s="146" t="str">
        <f t="shared" si="101"/>
        <v>Better</v>
      </c>
      <c r="O879" s="146" t="str">
        <f t="shared" si="105"/>
        <v>Electric FAFR38R11R19Better</v>
      </c>
      <c r="P879" s="134" t="str">
        <f t="shared" si="106"/>
        <v>Crawlspace</v>
      </c>
      <c r="Q879" s="134"/>
      <c r="R879" s="134"/>
      <c r="S879" s="134"/>
      <c r="T879" s="134"/>
      <c r="U879" s="134"/>
      <c r="V879" s="134"/>
      <c r="W879" s="134"/>
      <c r="X879" s="134"/>
      <c r="Y879" s="134"/>
      <c r="Z879" s="134"/>
      <c r="AA879" s="134"/>
      <c r="AB879" s="134"/>
      <c r="AC879" s="134"/>
      <c r="AD879" s="134"/>
      <c r="AE879" s="134"/>
      <c r="AF879" s="146"/>
      <c r="AG879" s="134"/>
      <c r="AH879" s="134"/>
      <c r="AI879" s="134"/>
      <c r="AJ879" s="134"/>
      <c r="AK879" s="134"/>
      <c r="AL879" s="134"/>
      <c r="AM879" s="146"/>
      <c r="AN879" s="132"/>
      <c r="AO879" s="132"/>
      <c r="AP879" s="132"/>
      <c r="AQ879" s="132"/>
      <c r="AR879" s="134"/>
      <c r="AS879" s="134"/>
      <c r="AT879" s="132"/>
      <c r="AU879" s="133"/>
      <c r="AV879" s="134"/>
    </row>
    <row r="880" spans="1:48">
      <c r="A880" s="74">
        <v>12370</v>
      </c>
      <c r="B880" s="74" t="s">
        <v>229</v>
      </c>
      <c r="C880" s="74">
        <v>4</v>
      </c>
      <c r="D880" s="74">
        <v>3288</v>
      </c>
      <c r="E880" s="73">
        <v>0.13779863593114519</v>
      </c>
      <c r="F880" s="73">
        <v>0.7129174173402032</v>
      </c>
      <c r="G880" s="73">
        <v>0.19611745037448486</v>
      </c>
      <c r="H880" s="73">
        <v>0</v>
      </c>
      <c r="I880" s="190">
        <v>6932.7380000000003</v>
      </c>
      <c r="J880" s="134" t="str">
        <f t="shared" si="102"/>
        <v>keep</v>
      </c>
      <c r="K880" s="134" t="str">
        <f t="shared" si="103"/>
        <v>R11</v>
      </c>
      <c r="L880" s="134" t="str">
        <f t="shared" si="104"/>
        <v>R11</v>
      </c>
      <c r="M880" s="146" t="str">
        <f t="shared" si="100"/>
        <v>Basement</v>
      </c>
      <c r="N880" s="146" t="str">
        <f t="shared" si="101"/>
        <v>Better</v>
      </c>
      <c r="O880" s="146" t="str">
        <f t="shared" si="105"/>
        <v>Heat PumpR11R11BasementBetter</v>
      </c>
      <c r="P880" s="134" t="str">
        <f t="shared" si="106"/>
        <v>Basement</v>
      </c>
      <c r="Q880" s="134"/>
      <c r="R880" s="134"/>
      <c r="S880" s="134"/>
      <c r="T880" s="134"/>
      <c r="U880" s="134"/>
      <c r="V880" s="134"/>
      <c r="W880" s="134"/>
      <c r="X880" s="134"/>
      <c r="Y880" s="134"/>
      <c r="Z880" s="134"/>
      <c r="AA880" s="134"/>
      <c r="AB880" s="134"/>
      <c r="AC880" s="134"/>
      <c r="AD880" s="134"/>
      <c r="AE880" s="134"/>
      <c r="AF880" s="146"/>
      <c r="AG880" s="134"/>
      <c r="AH880" s="134"/>
      <c r="AI880" s="134"/>
      <c r="AJ880" s="134"/>
      <c r="AK880" s="134"/>
      <c r="AL880" s="134"/>
      <c r="AM880" s="146"/>
      <c r="AN880" s="132"/>
      <c r="AO880" s="132"/>
      <c r="AP880" s="132"/>
      <c r="AQ880" s="132"/>
      <c r="AR880" s="134"/>
      <c r="AS880" s="134"/>
      <c r="AT880" s="132"/>
      <c r="AU880" s="133"/>
      <c r="AV880" s="134"/>
    </row>
    <row r="881" spans="1:48">
      <c r="A881" s="74">
        <v>12372</v>
      </c>
      <c r="B881" s="74" t="s">
        <v>228</v>
      </c>
      <c r="C881" s="74">
        <v>1</v>
      </c>
      <c r="D881" s="74">
        <v>1235</v>
      </c>
      <c r="E881" s="73">
        <v>9.4999998807907104E-2</v>
      </c>
      <c r="F881" s="73">
        <v>0.80000002384185787</v>
      </c>
      <c r="G881" s="73">
        <v>7.9999998211860657E-2</v>
      </c>
      <c r="H881" s="73">
        <v>7.5000002980232239E-2</v>
      </c>
      <c r="I881" s="190">
        <v>4956.4930000000004</v>
      </c>
      <c r="J881" s="134" t="str">
        <f t="shared" si="102"/>
        <v>keep</v>
      </c>
      <c r="K881" s="134" t="str">
        <f t="shared" si="103"/>
        <v>R11</v>
      </c>
      <c r="L881" s="134" t="str">
        <f t="shared" si="104"/>
        <v>R11</v>
      </c>
      <c r="M881" s="146" t="str">
        <f t="shared" si="100"/>
        <v>R0</v>
      </c>
      <c r="N881" s="146" t="str">
        <f t="shared" si="101"/>
        <v>Better</v>
      </c>
      <c r="O881" s="146" t="str">
        <f t="shared" si="105"/>
        <v>Electric ZonalR11R11R0Better</v>
      </c>
      <c r="P881" s="134" t="str">
        <f t="shared" si="106"/>
        <v>Crawlspace</v>
      </c>
      <c r="Q881" s="134"/>
      <c r="R881" s="134"/>
      <c r="S881" s="134"/>
      <c r="T881" s="134"/>
      <c r="U881" s="134"/>
      <c r="V881" s="134"/>
      <c r="W881" s="134"/>
      <c r="X881" s="134"/>
      <c r="Y881" s="134"/>
      <c r="Z881" s="134"/>
      <c r="AA881" s="134"/>
      <c r="AB881" s="134"/>
      <c r="AC881" s="134"/>
      <c r="AD881" s="134"/>
      <c r="AE881" s="134"/>
      <c r="AF881" s="146"/>
      <c r="AG881" s="134"/>
      <c r="AH881" s="134"/>
      <c r="AI881" s="134"/>
      <c r="AJ881" s="134"/>
      <c r="AK881" s="134"/>
      <c r="AL881" s="134"/>
      <c r="AM881" s="146"/>
      <c r="AN881" s="132"/>
      <c r="AO881" s="132"/>
      <c r="AP881" s="132"/>
      <c r="AQ881" s="132"/>
      <c r="AR881" s="134"/>
      <c r="AS881" s="134"/>
      <c r="AT881" s="132"/>
      <c r="AU881" s="133"/>
      <c r="AV881" s="134"/>
    </row>
    <row r="882" spans="1:48">
      <c r="A882" s="74">
        <v>12404</v>
      </c>
      <c r="B882" s="74" t="s">
        <v>229</v>
      </c>
      <c r="C882" s="74">
        <v>1</v>
      </c>
      <c r="D882" s="74">
        <v>1932</v>
      </c>
      <c r="E882" s="73">
        <v>4.5000001788139343E-2</v>
      </c>
      <c r="F882" s="73">
        <v>0.55000001192092896</v>
      </c>
      <c r="G882" s="73">
        <v>9.0000003576278687E-2</v>
      </c>
      <c r="H882" s="73">
        <v>4.5000001788139343E-2</v>
      </c>
      <c r="I882" s="190">
        <v>2003.7159999999999</v>
      </c>
      <c r="J882" s="134" t="str">
        <f t="shared" si="102"/>
        <v>keep</v>
      </c>
      <c r="K882" s="134" t="str">
        <f t="shared" si="103"/>
        <v>R30</v>
      </c>
      <c r="L882" s="134" t="str">
        <f t="shared" si="104"/>
        <v>R11</v>
      </c>
      <c r="M882" s="146" t="str">
        <f t="shared" si="100"/>
        <v>Better</v>
      </c>
      <c r="N882" s="146" t="str">
        <f t="shared" si="101"/>
        <v>Better</v>
      </c>
      <c r="O882" s="146" t="str">
        <f t="shared" si="105"/>
        <v>Heat PumpR30R11BetterBetter</v>
      </c>
      <c r="P882" s="134" t="str">
        <f t="shared" si="106"/>
        <v>Crawlspace</v>
      </c>
      <c r="Q882" s="134"/>
      <c r="R882" s="134"/>
      <c r="S882" s="134"/>
      <c r="T882" s="134"/>
      <c r="U882" s="134"/>
      <c r="V882" s="134"/>
      <c r="W882" s="134"/>
      <c r="X882" s="134"/>
      <c r="Y882" s="134"/>
      <c r="Z882" s="134"/>
      <c r="AA882" s="134"/>
      <c r="AB882" s="134"/>
      <c r="AC882" s="134"/>
      <c r="AD882" s="134"/>
      <c r="AE882" s="134"/>
      <c r="AF882" s="146"/>
      <c r="AG882" s="134"/>
      <c r="AH882" s="134"/>
      <c r="AI882" s="134"/>
      <c r="AJ882" s="134"/>
      <c r="AK882" s="134"/>
      <c r="AL882" s="134"/>
      <c r="AM882" s="146"/>
      <c r="AN882" s="132"/>
      <c r="AO882" s="132"/>
      <c r="AP882" s="132"/>
      <c r="AQ882" s="132"/>
      <c r="AR882" s="134"/>
      <c r="AS882" s="134"/>
      <c r="AT882" s="132"/>
      <c r="AU882" s="133"/>
      <c r="AV882" s="134"/>
    </row>
    <row r="883" spans="1:48">
      <c r="A883" s="74">
        <v>12407</v>
      </c>
      <c r="B883" s="74" t="s">
        <v>229</v>
      </c>
      <c r="C883" s="74">
        <v>1</v>
      </c>
      <c r="D883" s="74">
        <v>1783</v>
      </c>
      <c r="E883" s="73">
        <v>1.9999999552965164E-2</v>
      </c>
      <c r="F883" s="73">
        <v>0.45228425258307287</v>
      </c>
      <c r="G883" s="73">
        <v>5.9999998658895493E-2</v>
      </c>
      <c r="H883" s="73">
        <v>2.9999999329447746E-2</v>
      </c>
      <c r="I883" s="190">
        <v>1150.8789999999999</v>
      </c>
      <c r="J883" s="134" t="str">
        <f t="shared" si="102"/>
        <v>keep</v>
      </c>
      <c r="K883" s="134" t="str">
        <f t="shared" si="103"/>
        <v>R38</v>
      </c>
      <c r="L883" s="134" t="str">
        <f t="shared" si="104"/>
        <v>R11</v>
      </c>
      <c r="M883" s="146" t="str">
        <f t="shared" ref="M883:M946" si="107">IF(OR(C883=4,C883=3),"Basement",IF(C883=2,"Slab",IF(H883&gt;$D$10,$C$10,IF(H883&gt;$D$11,$C$11,"Better"))))</f>
        <v>Better</v>
      </c>
      <c r="N883" s="146" t="str">
        <f t="shared" ref="N883:N946" si="108">IF(F883&gt;$D$13,$C$13,IF(F883&gt;$D$14,$C$14,"Better"))</f>
        <v>Better</v>
      </c>
      <c r="O883" s="146" t="str">
        <f t="shared" si="105"/>
        <v>Heat PumpR38R11BetterBetter</v>
      </c>
      <c r="P883" s="134" t="str">
        <f t="shared" si="106"/>
        <v>Crawlspace</v>
      </c>
      <c r="Q883" s="134"/>
      <c r="R883" s="134"/>
      <c r="S883" s="134"/>
      <c r="T883" s="134"/>
      <c r="U883" s="134"/>
      <c r="V883" s="134"/>
      <c r="W883" s="134"/>
      <c r="X883" s="134"/>
      <c r="Y883" s="134"/>
      <c r="Z883" s="134"/>
      <c r="AA883" s="134"/>
      <c r="AB883" s="134"/>
      <c r="AC883" s="134"/>
      <c r="AD883" s="134"/>
      <c r="AE883" s="134"/>
      <c r="AF883" s="146"/>
      <c r="AG883" s="134"/>
      <c r="AH883" s="134"/>
      <c r="AI883" s="134"/>
      <c r="AJ883" s="134"/>
      <c r="AK883" s="134"/>
      <c r="AL883" s="134"/>
      <c r="AM883" s="146"/>
      <c r="AN883" s="132"/>
      <c r="AO883" s="132"/>
      <c r="AP883" s="132"/>
      <c r="AQ883" s="132"/>
      <c r="AR883" s="134"/>
      <c r="AS883" s="134"/>
      <c r="AT883" s="132"/>
      <c r="AU883" s="133"/>
      <c r="AV883" s="134"/>
    </row>
    <row r="884" spans="1:48">
      <c r="A884" s="74">
        <v>12414</v>
      </c>
      <c r="B884" s="74" t="s">
        <v>228</v>
      </c>
      <c r="C884" s="74">
        <v>1</v>
      </c>
      <c r="D884" s="74">
        <v>972</v>
      </c>
      <c r="E884" s="73">
        <v>3.5000000149011612E-2</v>
      </c>
      <c r="F884" s="73">
        <v>0.55000001192092896</v>
      </c>
      <c r="G884" s="73">
        <v>0.23400000000000004</v>
      </c>
      <c r="H884" s="73">
        <v>2.9999999329447746E-2</v>
      </c>
      <c r="I884" s="190">
        <v>1524.7619999999999</v>
      </c>
      <c r="J884" s="134" t="str">
        <f t="shared" ref="J884:J947" si="109">IF(OR(C884="FLAG",ISERROR(PRODUCT(D884:H884))),"ignore","keep")</f>
        <v>keep</v>
      </c>
      <c r="K884" s="134" t="str">
        <f t="shared" ref="K884:K947" si="110">IF(E884&gt;$D$3,$C$3,IF(E884&gt;$D$4,$C$4,IF(E884&gt;$D$5,$C$5,IF(E884&gt;$D$6,$C$6,IF(E884&gt;$D$7,$C$7,"R38")))))</f>
        <v>R38</v>
      </c>
      <c r="L884" s="134" t="str">
        <f t="shared" ref="L884:L947" si="111">IF(G884&gt;$D$8,$C$8,"R11")</f>
        <v>R0</v>
      </c>
      <c r="M884" s="146" t="str">
        <f t="shared" si="107"/>
        <v>Better</v>
      </c>
      <c r="N884" s="146" t="str">
        <f t="shared" si="108"/>
        <v>Better</v>
      </c>
      <c r="O884" s="146" t="str">
        <f t="shared" ref="O884:O947" si="112">B884&amp;K884&amp;L884&amp;M884&amp;N884</f>
        <v>Electric ZonalR38R0BetterBetter</v>
      </c>
      <c r="P884" s="134" t="str">
        <f t="shared" ref="P884:P947" si="113">IF(C884=1,"Crawlspace",IF(C884=2,"Slab",IF(OR(C884=3,C884=4),"Basement","error")))</f>
        <v>Crawlspace</v>
      </c>
      <c r="Q884" s="134"/>
      <c r="R884" s="134"/>
      <c r="S884" s="134"/>
      <c r="T884" s="134"/>
      <c r="U884" s="134"/>
      <c r="V884" s="134"/>
      <c r="W884" s="134"/>
      <c r="X884" s="134"/>
      <c r="Y884" s="134"/>
      <c r="Z884" s="134"/>
      <c r="AA884" s="134"/>
      <c r="AB884" s="134"/>
      <c r="AC884" s="134"/>
      <c r="AD884" s="134"/>
      <c r="AE884" s="134"/>
      <c r="AF884" s="146"/>
      <c r="AG884" s="134"/>
      <c r="AH884" s="134"/>
      <c r="AI884" s="134"/>
      <c r="AJ884" s="134"/>
      <c r="AK884" s="134"/>
      <c r="AL884" s="134"/>
      <c r="AM884" s="146"/>
      <c r="AN884" s="132"/>
      <c r="AO884" s="132"/>
      <c r="AP884" s="132"/>
      <c r="AQ884" s="132"/>
      <c r="AR884" s="134"/>
      <c r="AS884" s="134"/>
      <c r="AT884" s="132"/>
      <c r="AU884" s="133"/>
      <c r="AV884" s="134"/>
    </row>
    <row r="885" spans="1:48">
      <c r="A885" s="74">
        <v>12456</v>
      </c>
      <c r="B885" s="74" t="s">
        <v>228</v>
      </c>
      <c r="C885" s="74" t="s">
        <v>673</v>
      </c>
      <c r="D885" s="74">
        <v>693</v>
      </c>
      <c r="E885" s="73">
        <v>9.0000003576278687E-2</v>
      </c>
      <c r="F885" s="73">
        <v>0.85000002384185791</v>
      </c>
      <c r="G885" s="73">
        <v>9.0000003576278687E-2</v>
      </c>
      <c r="H885" s="73">
        <v>0</v>
      </c>
      <c r="I885" s="190">
        <v>2003.7159999999999</v>
      </c>
      <c r="J885" s="134" t="str">
        <f t="shared" si="109"/>
        <v>ignore</v>
      </c>
      <c r="K885" s="134" t="str">
        <f t="shared" si="110"/>
        <v>R11</v>
      </c>
      <c r="L885" s="134" t="str">
        <f t="shared" si="111"/>
        <v>R11</v>
      </c>
      <c r="M885" s="146" t="str">
        <f t="shared" si="107"/>
        <v>Better</v>
      </c>
      <c r="N885" s="146" t="str">
        <f t="shared" si="108"/>
        <v>Double</v>
      </c>
      <c r="O885" s="146" t="str">
        <f t="shared" si="112"/>
        <v>Electric ZonalR11R11BetterDouble</v>
      </c>
      <c r="P885" s="134" t="str">
        <f t="shared" si="113"/>
        <v>error</v>
      </c>
      <c r="Q885" s="134"/>
      <c r="R885" s="134"/>
      <c r="S885" s="134"/>
      <c r="T885" s="134"/>
      <c r="U885" s="134"/>
      <c r="V885" s="134"/>
      <c r="W885" s="134"/>
      <c r="X885" s="134"/>
      <c r="Y885" s="134"/>
      <c r="Z885" s="134"/>
      <c r="AA885" s="134"/>
      <c r="AB885" s="134"/>
      <c r="AC885" s="134"/>
      <c r="AD885" s="134"/>
      <c r="AE885" s="134"/>
      <c r="AF885" s="146"/>
      <c r="AG885" s="134"/>
      <c r="AH885" s="134"/>
      <c r="AI885" s="134"/>
      <c r="AJ885" s="134"/>
      <c r="AK885" s="134"/>
      <c r="AL885" s="134"/>
      <c r="AM885" s="146"/>
      <c r="AN885" s="132"/>
      <c r="AO885" s="132"/>
      <c r="AP885" s="132"/>
      <c r="AQ885" s="132"/>
      <c r="AR885" s="134"/>
      <c r="AS885" s="134"/>
      <c r="AT885" s="132"/>
      <c r="AU885" s="133"/>
      <c r="AV885" s="134"/>
    </row>
    <row r="886" spans="1:48">
      <c r="A886" s="74">
        <v>12460</v>
      </c>
      <c r="B886" s="74" t="s">
        <v>229</v>
      </c>
      <c r="C886" s="74">
        <v>1</v>
      </c>
      <c r="D886" s="74">
        <v>1296</v>
      </c>
      <c r="E886" s="73">
        <v>2.500000037252903E-2</v>
      </c>
      <c r="F886" s="73">
        <v>0.44999998807907104</v>
      </c>
      <c r="G886" s="73">
        <v>9.0000003576278687E-2</v>
      </c>
      <c r="H886" s="73">
        <v>4.5000001788139343E-2</v>
      </c>
      <c r="I886" s="190">
        <v>1150.8789999999999</v>
      </c>
      <c r="J886" s="134" t="str">
        <f t="shared" si="109"/>
        <v>keep</v>
      </c>
      <c r="K886" s="134" t="str">
        <f t="shared" si="110"/>
        <v>R38</v>
      </c>
      <c r="L886" s="134" t="str">
        <f t="shared" si="111"/>
        <v>R11</v>
      </c>
      <c r="M886" s="146" t="str">
        <f t="shared" si="107"/>
        <v>Better</v>
      </c>
      <c r="N886" s="146" t="str">
        <f t="shared" si="108"/>
        <v>Better</v>
      </c>
      <c r="O886" s="146" t="str">
        <f t="shared" si="112"/>
        <v>Heat PumpR38R11BetterBetter</v>
      </c>
      <c r="P886" s="134" t="str">
        <f t="shared" si="113"/>
        <v>Crawlspace</v>
      </c>
      <c r="Q886" s="134"/>
      <c r="R886" s="134"/>
      <c r="S886" s="134"/>
      <c r="T886" s="134"/>
      <c r="U886" s="134"/>
      <c r="V886" s="134"/>
      <c r="W886" s="134"/>
      <c r="X886" s="134"/>
      <c r="Y886" s="134"/>
      <c r="Z886" s="134"/>
      <c r="AA886" s="134"/>
      <c r="AB886" s="134"/>
      <c r="AC886" s="134"/>
      <c r="AD886" s="134"/>
      <c r="AE886" s="134"/>
      <c r="AF886" s="146"/>
      <c r="AG886" s="134"/>
      <c r="AH886" s="134"/>
      <c r="AI886" s="134"/>
      <c r="AJ886" s="134"/>
      <c r="AK886" s="134"/>
      <c r="AL886" s="134"/>
      <c r="AM886" s="146"/>
      <c r="AN886" s="132"/>
      <c r="AO886" s="132"/>
      <c r="AP886" s="132"/>
      <c r="AQ886" s="132"/>
      <c r="AR886" s="134"/>
      <c r="AS886" s="134"/>
      <c r="AT886" s="132"/>
      <c r="AU886" s="133"/>
      <c r="AV886" s="134"/>
    </row>
    <row r="887" spans="1:48">
      <c r="A887" s="74">
        <v>12482</v>
      </c>
      <c r="B887" s="74" t="s">
        <v>229</v>
      </c>
      <c r="C887" s="74">
        <v>1</v>
      </c>
      <c r="D887" s="74">
        <v>2938</v>
      </c>
      <c r="E887" s="73">
        <v>2.6061643629449686E-2</v>
      </c>
      <c r="F887" s="73">
        <v>0.45446223170588163</v>
      </c>
      <c r="G887" s="73">
        <v>5.9999998658895493E-2</v>
      </c>
      <c r="H887" s="73">
        <v>2.9999999329447746E-2</v>
      </c>
      <c r="I887" s="190">
        <v>4956.4930000000004</v>
      </c>
      <c r="J887" s="134" t="str">
        <f t="shared" si="109"/>
        <v>keep</v>
      </c>
      <c r="K887" s="134" t="str">
        <f t="shared" si="110"/>
        <v>R38</v>
      </c>
      <c r="L887" s="134" t="str">
        <f t="shared" si="111"/>
        <v>R11</v>
      </c>
      <c r="M887" s="146" t="str">
        <f t="shared" si="107"/>
        <v>Better</v>
      </c>
      <c r="N887" s="146" t="str">
        <f t="shared" si="108"/>
        <v>Better</v>
      </c>
      <c r="O887" s="146" t="str">
        <f t="shared" si="112"/>
        <v>Heat PumpR38R11BetterBetter</v>
      </c>
      <c r="P887" s="134" t="str">
        <f t="shared" si="113"/>
        <v>Crawlspace</v>
      </c>
      <c r="Q887" s="134"/>
      <c r="R887" s="134"/>
      <c r="S887" s="134"/>
      <c r="T887" s="134"/>
      <c r="U887" s="134"/>
      <c r="V887" s="134"/>
      <c r="W887" s="134"/>
      <c r="X887" s="134"/>
      <c r="Y887" s="134"/>
      <c r="Z887" s="134"/>
      <c r="AA887" s="134"/>
      <c r="AB887" s="134"/>
      <c r="AC887" s="134"/>
      <c r="AD887" s="134"/>
      <c r="AE887" s="134"/>
      <c r="AF887" s="146"/>
      <c r="AG887" s="134"/>
      <c r="AH887" s="134"/>
      <c r="AI887" s="134"/>
      <c r="AJ887" s="134"/>
      <c r="AK887" s="134"/>
      <c r="AL887" s="134"/>
      <c r="AM887" s="146"/>
      <c r="AN887" s="132"/>
      <c r="AO887" s="132"/>
      <c r="AP887" s="132"/>
      <c r="AQ887" s="132"/>
      <c r="AR887" s="134"/>
      <c r="AS887" s="134"/>
      <c r="AT887" s="132"/>
      <c r="AU887" s="133"/>
      <c r="AV887" s="134"/>
    </row>
    <row r="888" spans="1:48">
      <c r="A888" s="74">
        <v>12483</v>
      </c>
      <c r="B888" s="74" t="s">
        <v>228</v>
      </c>
      <c r="C888" s="74">
        <v>2</v>
      </c>
      <c r="D888" s="74">
        <v>884</v>
      </c>
      <c r="E888" s="73">
        <v>9.4999998807907104E-2</v>
      </c>
      <c r="F888" s="73">
        <v>0.55000001192092896</v>
      </c>
      <c r="G888" s="73">
        <v>7.9999998211860657E-2</v>
      </c>
      <c r="H888" s="73">
        <v>0</v>
      </c>
      <c r="I888" s="190">
        <v>1188.027</v>
      </c>
      <c r="J888" s="134" t="str">
        <f t="shared" si="109"/>
        <v>keep</v>
      </c>
      <c r="K888" s="134" t="str">
        <f t="shared" si="110"/>
        <v>R11</v>
      </c>
      <c r="L888" s="134" t="str">
        <f t="shared" si="111"/>
        <v>R11</v>
      </c>
      <c r="M888" s="146" t="str">
        <f t="shared" si="107"/>
        <v>Slab</v>
      </c>
      <c r="N888" s="146" t="str">
        <f t="shared" si="108"/>
        <v>Better</v>
      </c>
      <c r="O888" s="146" t="str">
        <f t="shared" si="112"/>
        <v>Electric ZonalR11R11SlabBetter</v>
      </c>
      <c r="P888" s="134" t="str">
        <f t="shared" si="113"/>
        <v>Slab</v>
      </c>
      <c r="Q888" s="134"/>
      <c r="R888" s="134"/>
      <c r="S888" s="134"/>
      <c r="T888" s="134"/>
      <c r="U888" s="134"/>
      <c r="V888" s="134"/>
      <c r="W888" s="134"/>
      <c r="X888" s="134"/>
      <c r="Y888" s="134"/>
      <c r="Z888" s="134"/>
      <c r="AA888" s="134"/>
      <c r="AB888" s="134"/>
      <c r="AC888" s="134"/>
      <c r="AD888" s="134"/>
      <c r="AE888" s="134"/>
      <c r="AF888" s="146"/>
      <c r="AG888" s="134"/>
      <c r="AH888" s="134"/>
      <c r="AI888" s="134"/>
      <c r="AJ888" s="134"/>
      <c r="AK888" s="134"/>
      <c r="AL888" s="134"/>
      <c r="AM888" s="146"/>
      <c r="AN888" s="132"/>
      <c r="AO888" s="132"/>
      <c r="AP888" s="132"/>
      <c r="AQ888" s="132"/>
      <c r="AR888" s="134"/>
      <c r="AS888" s="134"/>
      <c r="AT888" s="132"/>
      <c r="AU888" s="133"/>
      <c r="AV888" s="134"/>
    </row>
    <row r="889" spans="1:48">
      <c r="A889" s="74">
        <v>12496</v>
      </c>
      <c r="B889" s="74" t="s">
        <v>228</v>
      </c>
      <c r="C889" s="74">
        <v>1</v>
      </c>
      <c r="D889" s="74">
        <v>975</v>
      </c>
      <c r="E889" s="73">
        <v>2.500000037252903E-2</v>
      </c>
      <c r="F889" s="73">
        <v>1.1000000238418579</v>
      </c>
      <c r="G889" s="73">
        <v>9.0000003576278687E-2</v>
      </c>
      <c r="H889" s="73">
        <v>0.23000000417232513</v>
      </c>
      <c r="I889" s="190">
        <v>1150.8789999999999</v>
      </c>
      <c r="J889" s="134" t="str">
        <f t="shared" si="109"/>
        <v>keep</v>
      </c>
      <c r="K889" s="134" t="str">
        <f t="shared" si="110"/>
        <v>R38</v>
      </c>
      <c r="L889" s="134" t="str">
        <f t="shared" si="111"/>
        <v>R11</v>
      </c>
      <c r="M889" s="146" t="str">
        <f t="shared" si="107"/>
        <v>R0</v>
      </c>
      <c r="N889" s="146" t="str">
        <f t="shared" si="108"/>
        <v>Single</v>
      </c>
      <c r="O889" s="146" t="str">
        <f t="shared" si="112"/>
        <v>Electric ZonalR38R11R0Single</v>
      </c>
      <c r="P889" s="134" t="str">
        <f t="shared" si="113"/>
        <v>Crawlspace</v>
      </c>
      <c r="Q889" s="134"/>
      <c r="R889" s="134"/>
      <c r="S889" s="134"/>
      <c r="T889" s="134"/>
      <c r="U889" s="134"/>
      <c r="V889" s="134"/>
      <c r="W889" s="134"/>
      <c r="X889" s="134"/>
      <c r="Y889" s="134"/>
      <c r="Z889" s="134"/>
      <c r="AA889" s="134"/>
      <c r="AB889" s="134"/>
      <c r="AC889" s="134"/>
      <c r="AD889" s="134"/>
      <c r="AE889" s="134"/>
      <c r="AF889" s="146"/>
      <c r="AG889" s="134"/>
      <c r="AH889" s="134"/>
      <c r="AI889" s="134"/>
      <c r="AJ889" s="134"/>
      <c r="AK889" s="134"/>
      <c r="AL889" s="134"/>
      <c r="AM889" s="146"/>
      <c r="AN889" s="132"/>
      <c r="AO889" s="132"/>
      <c r="AP889" s="132"/>
      <c r="AQ889" s="132"/>
      <c r="AR889" s="134"/>
      <c r="AS889" s="134"/>
      <c r="AT889" s="132"/>
      <c r="AU889" s="133"/>
      <c r="AV889" s="134"/>
    </row>
    <row r="890" spans="1:48">
      <c r="A890" s="74">
        <v>12505</v>
      </c>
      <c r="B890" s="74" t="s">
        <v>228</v>
      </c>
      <c r="C890" s="74" t="s">
        <v>673</v>
      </c>
      <c r="D890" s="74">
        <v>1377</v>
      </c>
      <c r="E890" s="73">
        <v>7.9999998211860657E-2</v>
      </c>
      <c r="F890" s="73">
        <v>0.55000001192092896</v>
      </c>
      <c r="G890" s="73">
        <v>9.0000003576278687E-2</v>
      </c>
      <c r="H890" s="73">
        <v>7.5000002980232239E-2</v>
      </c>
      <c r="I890" s="190">
        <v>2003.7159999999999</v>
      </c>
      <c r="J890" s="134" t="str">
        <f t="shared" si="109"/>
        <v>ignore</v>
      </c>
      <c r="K890" s="134" t="str">
        <f t="shared" si="110"/>
        <v>R19</v>
      </c>
      <c r="L890" s="134" t="str">
        <f t="shared" si="111"/>
        <v>R11</v>
      </c>
      <c r="M890" s="146" t="str">
        <f t="shared" si="107"/>
        <v>R0</v>
      </c>
      <c r="N890" s="146" t="str">
        <f t="shared" si="108"/>
        <v>Better</v>
      </c>
      <c r="O890" s="146" t="str">
        <f t="shared" si="112"/>
        <v>Electric ZonalR19R11R0Better</v>
      </c>
      <c r="P890" s="134" t="str">
        <f t="shared" si="113"/>
        <v>error</v>
      </c>
      <c r="Q890" s="134"/>
      <c r="R890" s="134"/>
      <c r="S890" s="134"/>
      <c r="T890" s="134"/>
      <c r="U890" s="134"/>
      <c r="V890" s="134"/>
      <c r="W890" s="134"/>
      <c r="X890" s="134"/>
      <c r="Y890" s="134"/>
      <c r="Z890" s="134"/>
      <c r="AA890" s="134"/>
      <c r="AB890" s="134"/>
      <c r="AC890" s="134"/>
      <c r="AD890" s="134"/>
      <c r="AE890" s="134"/>
      <c r="AF890" s="146"/>
      <c r="AG890" s="134"/>
      <c r="AH890" s="134"/>
      <c r="AI890" s="134"/>
      <c r="AJ890" s="134"/>
      <c r="AK890" s="134"/>
      <c r="AL890" s="134"/>
      <c r="AM890" s="146"/>
      <c r="AN890" s="132"/>
      <c r="AO890" s="132"/>
      <c r="AP890" s="132"/>
      <c r="AQ890" s="132"/>
      <c r="AR890" s="134"/>
      <c r="AS890" s="134"/>
      <c r="AT890" s="132"/>
      <c r="AU890" s="133"/>
      <c r="AV890" s="134"/>
    </row>
    <row r="891" spans="1:48">
      <c r="A891" s="74">
        <v>12507</v>
      </c>
      <c r="B891" s="74" t="s">
        <v>229</v>
      </c>
      <c r="C891" s="74" t="s">
        <v>673</v>
      </c>
      <c r="D891" s="74">
        <v>1142</v>
      </c>
      <c r="E891" s="73">
        <v>8.3769362952027998E-2</v>
      </c>
      <c r="F891" s="73">
        <v>0.46036584420901971</v>
      </c>
      <c r="G891" s="73">
        <v>0.10122681656764679</v>
      </c>
      <c r="H891" s="73">
        <v>9.0000003576278687E-2</v>
      </c>
      <c r="I891" s="190">
        <v>1524.7619999999999</v>
      </c>
      <c r="J891" s="134" t="str">
        <f t="shared" si="109"/>
        <v>ignore</v>
      </c>
      <c r="K891" s="134" t="str">
        <f t="shared" si="110"/>
        <v>R11</v>
      </c>
      <c r="L891" s="134" t="str">
        <f t="shared" si="111"/>
        <v>R11</v>
      </c>
      <c r="M891" s="146" t="str">
        <f t="shared" si="107"/>
        <v>R0</v>
      </c>
      <c r="N891" s="146" t="str">
        <f t="shared" si="108"/>
        <v>Better</v>
      </c>
      <c r="O891" s="146" t="str">
        <f t="shared" si="112"/>
        <v>Heat PumpR11R11R0Better</v>
      </c>
      <c r="P891" s="134" t="str">
        <f t="shared" si="113"/>
        <v>error</v>
      </c>
      <c r="Q891" s="134"/>
      <c r="R891" s="134"/>
      <c r="S891" s="134"/>
      <c r="T891" s="134"/>
      <c r="U891" s="134"/>
      <c r="V891" s="134"/>
      <c r="W891" s="134"/>
      <c r="X891" s="134"/>
      <c r="Y891" s="134"/>
      <c r="Z891" s="134"/>
      <c r="AA891" s="134"/>
      <c r="AB891" s="134"/>
      <c r="AC891" s="134"/>
      <c r="AD891" s="134"/>
      <c r="AE891" s="134"/>
      <c r="AF891" s="146"/>
      <c r="AG891" s="134"/>
      <c r="AH891" s="134"/>
      <c r="AI891" s="134"/>
      <c r="AJ891" s="134"/>
      <c r="AK891" s="134"/>
      <c r="AL891" s="134"/>
      <c r="AM891" s="146"/>
      <c r="AN891" s="132"/>
      <c r="AO891" s="132"/>
      <c r="AP891" s="132"/>
      <c r="AQ891" s="132"/>
      <c r="AR891" s="134"/>
      <c r="AS891" s="134"/>
      <c r="AT891" s="132"/>
      <c r="AU891" s="133"/>
      <c r="AV891" s="134"/>
    </row>
    <row r="892" spans="1:48">
      <c r="A892" s="74">
        <v>12510</v>
      </c>
      <c r="B892" s="74" t="s">
        <v>229</v>
      </c>
      <c r="C892" s="74" t="s">
        <v>673</v>
      </c>
      <c r="D892" s="74">
        <v>3353</v>
      </c>
      <c r="E892" s="73">
        <v>1.9999999552965164E-2</v>
      </c>
      <c r="F892" s="73">
        <v>0.47401960164892909</v>
      </c>
      <c r="G892" s="73">
        <v>9.0000003576278687E-2</v>
      </c>
      <c r="H892" s="73">
        <v>2.9999999329447746E-2</v>
      </c>
      <c r="I892" s="190">
        <v>2003.7159999999999</v>
      </c>
      <c r="J892" s="134" t="str">
        <f t="shared" si="109"/>
        <v>ignore</v>
      </c>
      <c r="K892" s="134" t="str">
        <f t="shared" si="110"/>
        <v>R38</v>
      </c>
      <c r="L892" s="134" t="str">
        <f t="shared" si="111"/>
        <v>R11</v>
      </c>
      <c r="M892" s="146" t="str">
        <f t="shared" si="107"/>
        <v>Better</v>
      </c>
      <c r="N892" s="146" t="str">
        <f t="shared" si="108"/>
        <v>Better</v>
      </c>
      <c r="O892" s="146" t="str">
        <f t="shared" si="112"/>
        <v>Heat PumpR38R11BetterBetter</v>
      </c>
      <c r="P892" s="134" t="str">
        <f t="shared" si="113"/>
        <v>error</v>
      </c>
      <c r="Q892" s="134"/>
      <c r="R892" s="134"/>
      <c r="S892" s="134"/>
      <c r="T892" s="134"/>
      <c r="U892" s="134"/>
      <c r="V892" s="134"/>
      <c r="W892" s="134"/>
      <c r="X892" s="134"/>
      <c r="Y892" s="134"/>
      <c r="Z892" s="134"/>
      <c r="AA892" s="134"/>
      <c r="AB892" s="134"/>
      <c r="AC892" s="134"/>
      <c r="AD892" s="134"/>
      <c r="AE892" s="134"/>
      <c r="AF892" s="146"/>
      <c r="AG892" s="134"/>
      <c r="AH892" s="134"/>
      <c r="AI892" s="134"/>
      <c r="AJ892" s="134"/>
      <c r="AK892" s="134"/>
      <c r="AL892" s="134"/>
      <c r="AM892" s="146"/>
      <c r="AN892" s="132"/>
      <c r="AO892" s="132"/>
      <c r="AP892" s="132"/>
      <c r="AQ892" s="132"/>
      <c r="AR892" s="134"/>
      <c r="AS892" s="134"/>
      <c r="AT892" s="132"/>
      <c r="AU892" s="133"/>
      <c r="AV892" s="134"/>
    </row>
    <row r="893" spans="1:48">
      <c r="A893" s="74">
        <v>12569</v>
      </c>
      <c r="B893" s="74" t="s">
        <v>227</v>
      </c>
      <c r="C893" s="74">
        <v>1</v>
      </c>
      <c r="D893" s="74">
        <v>981</v>
      </c>
      <c r="E893" s="73">
        <v>3.5000000149011612E-2</v>
      </c>
      <c r="F893" s="73">
        <v>0.40000000596046448</v>
      </c>
      <c r="G893" s="73" t="e">
        <v>#VALUE!</v>
      </c>
      <c r="H893" s="73">
        <v>6.4999997615814209E-2</v>
      </c>
      <c r="I893" s="190">
        <v>2003.7159999999999</v>
      </c>
      <c r="J893" s="134" t="str">
        <f t="shared" si="109"/>
        <v>ignore</v>
      </c>
      <c r="K893" s="134" t="str">
        <f t="shared" si="110"/>
        <v>R38</v>
      </c>
      <c r="L893" s="134" t="e">
        <f t="shared" si="111"/>
        <v>#VALUE!</v>
      </c>
      <c r="M893" s="146" t="str">
        <f t="shared" si="107"/>
        <v>R19</v>
      </c>
      <c r="N893" s="146" t="str">
        <f t="shared" si="108"/>
        <v>Better</v>
      </c>
      <c r="O893" s="146" t="e">
        <f t="shared" si="112"/>
        <v>#VALUE!</v>
      </c>
      <c r="P893" s="134" t="str">
        <f t="shared" si="113"/>
        <v>Crawlspace</v>
      </c>
      <c r="Q893" s="134"/>
      <c r="R893" s="134"/>
      <c r="S893" s="134"/>
      <c r="T893" s="134"/>
      <c r="U893" s="134"/>
      <c r="V893" s="134"/>
      <c r="W893" s="134"/>
      <c r="X893" s="134"/>
      <c r="Y893" s="134"/>
      <c r="Z893" s="134"/>
      <c r="AA893" s="134"/>
      <c r="AB893" s="134"/>
      <c r="AC893" s="134"/>
      <c r="AD893" s="134"/>
      <c r="AE893" s="134"/>
      <c r="AF893" s="146"/>
      <c r="AG893" s="134"/>
      <c r="AH893" s="134"/>
      <c r="AI893" s="134"/>
      <c r="AJ893" s="134"/>
      <c r="AK893" s="134"/>
      <c r="AL893" s="134"/>
      <c r="AM893" s="146"/>
      <c r="AN893" s="132"/>
      <c r="AO893" s="132"/>
      <c r="AP893" s="132"/>
      <c r="AQ893" s="132"/>
      <c r="AR893" s="134"/>
      <c r="AS893" s="134"/>
      <c r="AT893" s="132"/>
      <c r="AU893" s="133"/>
      <c r="AV893" s="134"/>
    </row>
    <row r="894" spans="1:48">
      <c r="A894" s="74">
        <v>12572</v>
      </c>
      <c r="B894" s="74" t="s">
        <v>227</v>
      </c>
      <c r="C894" s="74">
        <v>1</v>
      </c>
      <c r="D894" s="74">
        <v>725</v>
      </c>
      <c r="E894" s="73">
        <v>2.500000037252903E-2</v>
      </c>
      <c r="F894" s="73">
        <v>0.55000001192092896</v>
      </c>
      <c r="G894" s="73">
        <v>5.9999998658895493E-2</v>
      </c>
      <c r="H894" s="73">
        <v>3.5000000149011612E-2</v>
      </c>
      <c r="I894" s="190">
        <v>6932.7380000000003</v>
      </c>
      <c r="J894" s="134" t="str">
        <f t="shared" si="109"/>
        <v>keep</v>
      </c>
      <c r="K894" s="134" t="str">
        <f t="shared" si="110"/>
        <v>R38</v>
      </c>
      <c r="L894" s="134" t="str">
        <f t="shared" si="111"/>
        <v>R11</v>
      </c>
      <c r="M894" s="146" t="str">
        <f t="shared" si="107"/>
        <v>Better</v>
      </c>
      <c r="N894" s="146" t="str">
        <f t="shared" si="108"/>
        <v>Better</v>
      </c>
      <c r="O894" s="146" t="str">
        <f t="shared" si="112"/>
        <v>Electric FAFR38R11BetterBetter</v>
      </c>
      <c r="P894" s="134" t="str">
        <f t="shared" si="113"/>
        <v>Crawlspace</v>
      </c>
      <c r="Q894" s="134"/>
      <c r="R894" s="134"/>
      <c r="S894" s="134"/>
      <c r="T894" s="134"/>
      <c r="U894" s="134"/>
      <c r="V894" s="134"/>
      <c r="W894" s="134"/>
      <c r="X894" s="134"/>
      <c r="Y894" s="134"/>
      <c r="Z894" s="134"/>
      <c r="AA894" s="134"/>
      <c r="AB894" s="134"/>
      <c r="AC894" s="134"/>
      <c r="AD894" s="134"/>
      <c r="AE894" s="134"/>
      <c r="AF894" s="146"/>
      <c r="AG894" s="134"/>
      <c r="AH894" s="134"/>
      <c r="AI894" s="134"/>
      <c r="AJ894" s="134"/>
      <c r="AK894" s="134"/>
      <c r="AL894" s="134"/>
      <c r="AM894" s="146"/>
      <c r="AN894" s="132"/>
      <c r="AO894" s="132"/>
      <c r="AP894" s="132"/>
      <c r="AQ894" s="132"/>
      <c r="AR894" s="134"/>
      <c r="AS894" s="134"/>
      <c r="AT894" s="132"/>
      <c r="AU894" s="133"/>
      <c r="AV894" s="134"/>
    </row>
    <row r="895" spans="1:48">
      <c r="A895" s="74">
        <v>12582</v>
      </c>
      <c r="B895" s="74" t="s">
        <v>229</v>
      </c>
      <c r="C895" s="74">
        <v>4</v>
      </c>
      <c r="D895" s="74">
        <v>3220</v>
      </c>
      <c r="E895" s="73">
        <v>9.4999998807907104E-2</v>
      </c>
      <c r="F895" s="73">
        <v>1.0395874357645076</v>
      </c>
      <c r="G895" s="73">
        <v>8.1757578750451407E-2</v>
      </c>
      <c r="H895" s="73">
        <v>0</v>
      </c>
      <c r="I895" s="190">
        <v>2003.7159999999999</v>
      </c>
      <c r="J895" s="134" t="str">
        <f t="shared" si="109"/>
        <v>keep</v>
      </c>
      <c r="K895" s="134" t="str">
        <f t="shared" si="110"/>
        <v>R11</v>
      </c>
      <c r="L895" s="134" t="str">
        <f t="shared" si="111"/>
        <v>R11</v>
      </c>
      <c r="M895" s="146" t="str">
        <f t="shared" si="107"/>
        <v>Basement</v>
      </c>
      <c r="N895" s="146" t="str">
        <f t="shared" si="108"/>
        <v>Double</v>
      </c>
      <c r="O895" s="146" t="str">
        <f t="shared" si="112"/>
        <v>Heat PumpR11R11BasementDouble</v>
      </c>
      <c r="P895" s="134" t="str">
        <f t="shared" si="113"/>
        <v>Basement</v>
      </c>
      <c r="Q895" s="134"/>
      <c r="R895" s="134"/>
      <c r="S895" s="134"/>
      <c r="T895" s="134"/>
      <c r="U895" s="134"/>
      <c r="V895" s="134"/>
      <c r="W895" s="134"/>
      <c r="X895" s="134"/>
      <c r="Y895" s="134"/>
      <c r="Z895" s="134"/>
      <c r="AA895" s="134"/>
      <c r="AB895" s="134"/>
      <c r="AC895" s="134"/>
      <c r="AD895" s="134"/>
      <c r="AE895" s="134"/>
      <c r="AF895" s="146"/>
      <c r="AG895" s="134"/>
      <c r="AH895" s="134"/>
      <c r="AI895" s="134"/>
      <c r="AJ895" s="134"/>
      <c r="AK895" s="134"/>
      <c r="AL895" s="134"/>
      <c r="AM895" s="146"/>
      <c r="AN895" s="132"/>
      <c r="AO895" s="132"/>
      <c r="AP895" s="132"/>
      <c r="AQ895" s="132"/>
      <c r="AR895" s="134"/>
      <c r="AS895" s="134"/>
      <c r="AT895" s="132"/>
      <c r="AU895" s="133"/>
      <c r="AV895" s="134"/>
    </row>
    <row r="896" spans="1:48">
      <c r="A896" s="74">
        <v>12620</v>
      </c>
      <c r="B896" s="74" t="s">
        <v>228</v>
      </c>
      <c r="C896" s="74" t="s">
        <v>673</v>
      </c>
      <c r="D896" s="74">
        <v>3418</v>
      </c>
      <c r="E896" s="73">
        <v>5.7812499813735485E-2</v>
      </c>
      <c r="F896" s="73">
        <v>0.86355746413001266</v>
      </c>
      <c r="G896" s="73">
        <v>9.0000003576278687E-2</v>
      </c>
      <c r="H896" s="73">
        <v>7.8275862567383669E-2</v>
      </c>
      <c r="I896" s="190">
        <v>2003.7159999999999</v>
      </c>
      <c r="J896" s="134" t="str">
        <f t="shared" si="109"/>
        <v>ignore</v>
      </c>
      <c r="K896" s="134" t="str">
        <f t="shared" si="110"/>
        <v>R19</v>
      </c>
      <c r="L896" s="134" t="str">
        <f t="shared" si="111"/>
        <v>R11</v>
      </c>
      <c r="M896" s="146" t="str">
        <f t="shared" si="107"/>
        <v>R0</v>
      </c>
      <c r="N896" s="146" t="str">
        <f t="shared" si="108"/>
        <v>Double</v>
      </c>
      <c r="O896" s="146" t="str">
        <f t="shared" si="112"/>
        <v>Electric ZonalR19R11R0Double</v>
      </c>
      <c r="P896" s="134" t="str">
        <f t="shared" si="113"/>
        <v>error</v>
      </c>
      <c r="Q896" s="134"/>
      <c r="R896" s="134"/>
      <c r="S896" s="134"/>
      <c r="T896" s="134"/>
      <c r="U896" s="134"/>
      <c r="V896" s="134"/>
      <c r="W896" s="134"/>
      <c r="X896" s="134"/>
      <c r="Y896" s="134"/>
      <c r="Z896" s="134"/>
      <c r="AA896" s="134"/>
      <c r="AB896" s="134"/>
      <c r="AC896" s="134"/>
      <c r="AD896" s="134"/>
      <c r="AE896" s="134"/>
      <c r="AF896" s="146"/>
      <c r="AG896" s="134"/>
      <c r="AH896" s="134"/>
      <c r="AI896" s="134"/>
      <c r="AJ896" s="134"/>
      <c r="AK896" s="134"/>
      <c r="AL896" s="134"/>
      <c r="AM896" s="146"/>
      <c r="AN896" s="132"/>
      <c r="AO896" s="132"/>
      <c r="AP896" s="132"/>
      <c r="AQ896" s="132"/>
      <c r="AR896" s="134"/>
      <c r="AS896" s="134"/>
      <c r="AT896" s="132"/>
      <c r="AU896" s="133"/>
      <c r="AV896" s="134"/>
    </row>
    <row r="897" spans="1:48">
      <c r="A897" s="74">
        <v>12621</v>
      </c>
      <c r="B897" s="74" t="s">
        <v>229</v>
      </c>
      <c r="C897" s="74">
        <v>1</v>
      </c>
      <c r="D897" s="74">
        <v>1728</v>
      </c>
      <c r="E897" s="73">
        <v>3.5000000149011612E-2</v>
      </c>
      <c r="F897" s="73">
        <v>0.60000002384185791</v>
      </c>
      <c r="G897" s="73">
        <v>5.9999998658895493E-2</v>
      </c>
      <c r="H897" s="73">
        <v>4.5000001788139343E-2</v>
      </c>
      <c r="I897" s="190">
        <v>2003.7159999999999</v>
      </c>
      <c r="J897" s="134" t="str">
        <f t="shared" si="109"/>
        <v>keep</v>
      </c>
      <c r="K897" s="134" t="str">
        <f t="shared" si="110"/>
        <v>R38</v>
      </c>
      <c r="L897" s="134" t="str">
        <f t="shared" si="111"/>
        <v>R11</v>
      </c>
      <c r="M897" s="146" t="str">
        <f t="shared" si="107"/>
        <v>Better</v>
      </c>
      <c r="N897" s="146" t="str">
        <f t="shared" si="108"/>
        <v>Better</v>
      </c>
      <c r="O897" s="146" t="str">
        <f t="shared" si="112"/>
        <v>Heat PumpR38R11BetterBetter</v>
      </c>
      <c r="P897" s="134" t="str">
        <f t="shared" si="113"/>
        <v>Crawlspace</v>
      </c>
      <c r="Q897" s="134"/>
      <c r="R897" s="134"/>
      <c r="S897" s="134"/>
      <c r="T897" s="134"/>
      <c r="U897" s="134"/>
      <c r="V897" s="134"/>
      <c r="W897" s="134"/>
      <c r="X897" s="134"/>
      <c r="Y897" s="134"/>
      <c r="Z897" s="134"/>
      <c r="AA897" s="134"/>
      <c r="AB897" s="134"/>
      <c r="AC897" s="134"/>
      <c r="AD897" s="134"/>
      <c r="AE897" s="134"/>
      <c r="AF897" s="146"/>
      <c r="AG897" s="134"/>
      <c r="AH897" s="134"/>
      <c r="AI897" s="134"/>
      <c r="AJ897" s="134"/>
      <c r="AK897" s="134"/>
      <c r="AL897" s="134"/>
      <c r="AM897" s="146"/>
      <c r="AN897" s="132"/>
      <c r="AO897" s="132"/>
      <c r="AP897" s="132"/>
      <c r="AQ897" s="132"/>
      <c r="AR897" s="134"/>
      <c r="AS897" s="134"/>
      <c r="AT897" s="132"/>
      <c r="AU897" s="133"/>
      <c r="AV897" s="134"/>
    </row>
    <row r="898" spans="1:48">
      <c r="A898" s="74">
        <v>12630</v>
      </c>
      <c r="B898" s="74" t="s">
        <v>228</v>
      </c>
      <c r="C898" s="74">
        <v>1</v>
      </c>
      <c r="D898" s="74">
        <v>1290</v>
      </c>
      <c r="E898" s="73">
        <v>8.7284728696507788E-2</v>
      </c>
      <c r="F898" s="73">
        <v>0.45602410654705688</v>
      </c>
      <c r="G898" s="73">
        <v>0.11999999731779099</v>
      </c>
      <c r="H898" s="73">
        <v>4.5000001788139343E-2</v>
      </c>
      <c r="I898" s="190">
        <v>2003.7159999999999</v>
      </c>
      <c r="J898" s="134" t="str">
        <f t="shared" si="109"/>
        <v>keep</v>
      </c>
      <c r="K898" s="134" t="str">
        <f t="shared" si="110"/>
        <v>R11</v>
      </c>
      <c r="L898" s="134" t="str">
        <f t="shared" si="111"/>
        <v>R11</v>
      </c>
      <c r="M898" s="146" t="str">
        <f t="shared" si="107"/>
        <v>Better</v>
      </c>
      <c r="N898" s="146" t="str">
        <f t="shared" si="108"/>
        <v>Better</v>
      </c>
      <c r="O898" s="146" t="str">
        <f t="shared" si="112"/>
        <v>Electric ZonalR11R11BetterBetter</v>
      </c>
      <c r="P898" s="134" t="str">
        <f t="shared" si="113"/>
        <v>Crawlspace</v>
      </c>
      <c r="Q898" s="134"/>
      <c r="R898" s="134"/>
      <c r="S898" s="134"/>
      <c r="T898" s="134"/>
      <c r="U898" s="134"/>
      <c r="V898" s="134"/>
      <c r="W898" s="134"/>
      <c r="X898" s="134"/>
      <c r="Y898" s="134"/>
      <c r="Z898" s="134"/>
      <c r="AA898" s="134"/>
      <c r="AB898" s="134"/>
      <c r="AC898" s="134"/>
      <c r="AD898" s="134"/>
      <c r="AE898" s="134"/>
      <c r="AF898" s="146"/>
      <c r="AG898" s="134"/>
      <c r="AH898" s="134"/>
      <c r="AI898" s="134"/>
      <c r="AJ898" s="134"/>
      <c r="AK898" s="134"/>
      <c r="AL898" s="134"/>
      <c r="AM898" s="146"/>
      <c r="AN898" s="132"/>
      <c r="AO898" s="132"/>
      <c r="AP898" s="132"/>
      <c r="AQ898" s="132"/>
      <c r="AR898" s="134"/>
      <c r="AS898" s="134"/>
      <c r="AT898" s="132"/>
      <c r="AU898" s="133"/>
      <c r="AV898" s="134"/>
    </row>
    <row r="899" spans="1:48">
      <c r="A899" s="74">
        <v>12640</v>
      </c>
      <c r="B899" s="74" t="s">
        <v>228</v>
      </c>
      <c r="C899" s="74">
        <v>1</v>
      </c>
      <c r="D899" s="74">
        <v>1242</v>
      </c>
      <c r="E899" s="73">
        <v>9.4999998807907104E-2</v>
      </c>
      <c r="F899" s="73">
        <v>0.81129033719339683</v>
      </c>
      <c r="G899" s="73">
        <v>7.0000000298023224E-2</v>
      </c>
      <c r="H899" s="73">
        <v>0.14000000059604645</v>
      </c>
      <c r="I899" s="190">
        <v>1150.8789999999999</v>
      </c>
      <c r="J899" s="134" t="str">
        <f t="shared" si="109"/>
        <v>keep</v>
      </c>
      <c r="K899" s="134" t="str">
        <f t="shared" si="110"/>
        <v>R11</v>
      </c>
      <c r="L899" s="134" t="str">
        <f t="shared" si="111"/>
        <v>R11</v>
      </c>
      <c r="M899" s="146" t="str">
        <f t="shared" si="107"/>
        <v>R0</v>
      </c>
      <c r="N899" s="146" t="str">
        <f t="shared" si="108"/>
        <v>Double</v>
      </c>
      <c r="O899" s="146" t="str">
        <f t="shared" si="112"/>
        <v>Electric ZonalR11R11R0Double</v>
      </c>
      <c r="P899" s="134" t="str">
        <f t="shared" si="113"/>
        <v>Crawlspace</v>
      </c>
      <c r="Q899" s="134"/>
      <c r="R899" s="134"/>
      <c r="S899" s="134"/>
      <c r="T899" s="134"/>
      <c r="U899" s="134"/>
      <c r="V899" s="134"/>
      <c r="W899" s="134"/>
      <c r="X899" s="134"/>
      <c r="Y899" s="134"/>
      <c r="Z899" s="134"/>
      <c r="AA899" s="134"/>
      <c r="AB899" s="134"/>
      <c r="AC899" s="134"/>
      <c r="AD899" s="134"/>
      <c r="AE899" s="134"/>
      <c r="AF899" s="146"/>
      <c r="AG899" s="134"/>
      <c r="AH899" s="134"/>
      <c r="AI899" s="134"/>
      <c r="AJ899" s="134"/>
      <c r="AK899" s="134"/>
      <c r="AL899" s="134"/>
      <c r="AM899" s="146"/>
      <c r="AN899" s="132"/>
      <c r="AO899" s="132"/>
      <c r="AP899" s="132"/>
      <c r="AQ899" s="132"/>
      <c r="AR899" s="134"/>
      <c r="AS899" s="134"/>
      <c r="AT899" s="132"/>
      <c r="AU899" s="133"/>
      <c r="AV899" s="134"/>
    </row>
    <row r="900" spans="1:48">
      <c r="A900" s="74">
        <v>12648</v>
      </c>
      <c r="B900" s="74" t="s">
        <v>229</v>
      </c>
      <c r="C900" s="74" t="s">
        <v>673</v>
      </c>
      <c r="D900" s="74">
        <v>2044</v>
      </c>
      <c r="E900" s="73">
        <v>2.500000037252903E-2</v>
      </c>
      <c r="F900" s="73">
        <v>0.40000000596046448</v>
      </c>
      <c r="G900" s="73">
        <v>5.9999998658895493E-2</v>
      </c>
      <c r="H900" s="73">
        <v>0</v>
      </c>
      <c r="I900" s="190">
        <v>4956.4930000000004</v>
      </c>
      <c r="J900" s="134" t="str">
        <f t="shared" si="109"/>
        <v>ignore</v>
      </c>
      <c r="K900" s="134" t="str">
        <f t="shared" si="110"/>
        <v>R38</v>
      </c>
      <c r="L900" s="134" t="str">
        <f t="shared" si="111"/>
        <v>R11</v>
      </c>
      <c r="M900" s="146" t="str">
        <f t="shared" si="107"/>
        <v>Better</v>
      </c>
      <c r="N900" s="146" t="str">
        <f t="shared" si="108"/>
        <v>Better</v>
      </c>
      <c r="O900" s="146" t="str">
        <f t="shared" si="112"/>
        <v>Heat PumpR38R11BetterBetter</v>
      </c>
      <c r="P900" s="134" t="str">
        <f t="shared" si="113"/>
        <v>error</v>
      </c>
      <c r="Q900" s="134"/>
      <c r="R900" s="134"/>
      <c r="S900" s="134"/>
      <c r="T900" s="134"/>
      <c r="U900" s="134"/>
      <c r="V900" s="134"/>
      <c r="W900" s="134"/>
      <c r="X900" s="134"/>
      <c r="Y900" s="134"/>
      <c r="Z900" s="134"/>
      <c r="AA900" s="134"/>
      <c r="AB900" s="134"/>
      <c r="AC900" s="134"/>
      <c r="AD900" s="134"/>
      <c r="AE900" s="134"/>
      <c r="AF900" s="146"/>
      <c r="AG900" s="134"/>
      <c r="AH900" s="134"/>
      <c r="AI900" s="134"/>
      <c r="AJ900" s="134"/>
      <c r="AK900" s="134"/>
      <c r="AL900" s="134"/>
      <c r="AM900" s="146"/>
      <c r="AN900" s="132"/>
      <c r="AO900" s="132"/>
      <c r="AP900" s="132"/>
      <c r="AQ900" s="132"/>
      <c r="AR900" s="134"/>
      <c r="AS900" s="134"/>
      <c r="AT900" s="132"/>
      <c r="AU900" s="133"/>
      <c r="AV900" s="134"/>
    </row>
    <row r="901" spans="1:48">
      <c r="A901" s="74">
        <v>12657</v>
      </c>
      <c r="B901" s="74" t="s">
        <v>228</v>
      </c>
      <c r="C901" s="74" t="s">
        <v>673</v>
      </c>
      <c r="D901" s="74">
        <v>1308</v>
      </c>
      <c r="E901" s="73">
        <v>5.000000074505806E-2</v>
      </c>
      <c r="F901" s="73">
        <v>0.97857143197740826</v>
      </c>
      <c r="G901" s="73">
        <v>9.0000003576278687E-2</v>
      </c>
      <c r="H901" s="73">
        <v>0</v>
      </c>
      <c r="I901" s="190">
        <v>1524.7619999999999</v>
      </c>
      <c r="J901" s="134" t="str">
        <f t="shared" si="109"/>
        <v>ignore</v>
      </c>
      <c r="K901" s="134" t="str">
        <f t="shared" si="110"/>
        <v>R30</v>
      </c>
      <c r="L901" s="134" t="str">
        <f t="shared" si="111"/>
        <v>R11</v>
      </c>
      <c r="M901" s="146" t="str">
        <f t="shared" si="107"/>
        <v>Better</v>
      </c>
      <c r="N901" s="146" t="str">
        <f t="shared" si="108"/>
        <v>Double</v>
      </c>
      <c r="O901" s="146" t="str">
        <f t="shared" si="112"/>
        <v>Electric ZonalR30R11BetterDouble</v>
      </c>
      <c r="P901" s="134" t="str">
        <f t="shared" si="113"/>
        <v>error</v>
      </c>
      <c r="Q901" s="134"/>
      <c r="R901" s="134"/>
      <c r="S901" s="134"/>
      <c r="T901" s="134"/>
      <c r="U901" s="134"/>
      <c r="V901" s="134"/>
      <c r="W901" s="134"/>
      <c r="X901" s="134"/>
      <c r="Y901" s="134"/>
      <c r="Z901" s="134"/>
      <c r="AA901" s="134"/>
      <c r="AB901" s="134"/>
      <c r="AC901" s="134"/>
      <c r="AD901" s="134"/>
      <c r="AE901" s="134"/>
      <c r="AF901" s="146"/>
      <c r="AG901" s="134"/>
      <c r="AH901" s="134"/>
      <c r="AI901" s="134"/>
      <c r="AJ901" s="134"/>
      <c r="AK901" s="134"/>
      <c r="AL901" s="134"/>
      <c r="AM901" s="146"/>
      <c r="AN901" s="132"/>
      <c r="AO901" s="132"/>
      <c r="AP901" s="132"/>
      <c r="AQ901" s="132"/>
      <c r="AR901" s="134"/>
      <c r="AS901" s="134"/>
      <c r="AT901" s="132"/>
      <c r="AU901" s="133"/>
      <c r="AV901" s="134"/>
    </row>
    <row r="902" spans="1:48">
      <c r="A902" s="74">
        <v>12661</v>
      </c>
      <c r="B902" s="74" t="s">
        <v>228</v>
      </c>
      <c r="C902" s="74">
        <v>1</v>
      </c>
      <c r="D902" s="74">
        <v>1441</v>
      </c>
      <c r="E902" s="73">
        <v>7.9999998211860657E-2</v>
      </c>
      <c r="F902" s="73">
        <v>0.81297298540940155</v>
      </c>
      <c r="G902" s="73">
        <v>0.11999999731779099</v>
      </c>
      <c r="H902" s="73">
        <v>2.9999999329447746E-2</v>
      </c>
      <c r="I902" s="190">
        <v>2003.7159999999999</v>
      </c>
      <c r="J902" s="134" t="str">
        <f t="shared" si="109"/>
        <v>keep</v>
      </c>
      <c r="K902" s="134" t="str">
        <f t="shared" si="110"/>
        <v>R19</v>
      </c>
      <c r="L902" s="134" t="str">
        <f t="shared" si="111"/>
        <v>R11</v>
      </c>
      <c r="M902" s="146" t="str">
        <f t="shared" si="107"/>
        <v>Better</v>
      </c>
      <c r="N902" s="146" t="str">
        <f t="shared" si="108"/>
        <v>Double</v>
      </c>
      <c r="O902" s="146" t="str">
        <f t="shared" si="112"/>
        <v>Electric ZonalR19R11BetterDouble</v>
      </c>
      <c r="P902" s="134" t="str">
        <f t="shared" si="113"/>
        <v>Crawlspace</v>
      </c>
      <c r="Q902" s="134"/>
      <c r="R902" s="134"/>
      <c r="S902" s="134"/>
      <c r="T902" s="134"/>
      <c r="U902" s="134"/>
      <c r="V902" s="134"/>
      <c r="W902" s="134"/>
      <c r="X902" s="134"/>
      <c r="Y902" s="134"/>
      <c r="Z902" s="134"/>
      <c r="AA902" s="134"/>
      <c r="AB902" s="134"/>
      <c r="AC902" s="134"/>
      <c r="AD902" s="134"/>
      <c r="AE902" s="134"/>
      <c r="AF902" s="146"/>
      <c r="AG902" s="134"/>
      <c r="AH902" s="134"/>
      <c r="AI902" s="134"/>
      <c r="AJ902" s="134"/>
      <c r="AK902" s="134"/>
      <c r="AL902" s="134"/>
      <c r="AM902" s="146"/>
      <c r="AN902" s="132"/>
      <c r="AO902" s="132"/>
      <c r="AP902" s="132"/>
      <c r="AQ902" s="132"/>
      <c r="AR902" s="134"/>
      <c r="AS902" s="134"/>
      <c r="AT902" s="132"/>
      <c r="AU902" s="133"/>
      <c r="AV902" s="134"/>
    </row>
    <row r="903" spans="1:48">
      <c r="A903" s="74">
        <v>12670</v>
      </c>
      <c r="B903" s="74" t="s">
        <v>228</v>
      </c>
      <c r="C903" s="74" t="s">
        <v>673</v>
      </c>
      <c r="D903" s="74">
        <v>1684</v>
      </c>
      <c r="E903" s="73">
        <v>5.000000074505806E-2</v>
      </c>
      <c r="F903" s="73">
        <v>0.89999997615814209</v>
      </c>
      <c r="G903" s="73">
        <v>0.23400000000000001</v>
      </c>
      <c r="H903" s="73">
        <v>0</v>
      </c>
      <c r="I903" s="190">
        <v>1524.7619999999999</v>
      </c>
      <c r="J903" s="134" t="str">
        <f t="shared" si="109"/>
        <v>ignore</v>
      </c>
      <c r="K903" s="134" t="str">
        <f t="shared" si="110"/>
        <v>R30</v>
      </c>
      <c r="L903" s="134" t="str">
        <f t="shared" si="111"/>
        <v>R0</v>
      </c>
      <c r="M903" s="146" t="str">
        <f t="shared" si="107"/>
        <v>Better</v>
      </c>
      <c r="N903" s="146" t="str">
        <f t="shared" si="108"/>
        <v>Double</v>
      </c>
      <c r="O903" s="146" t="str">
        <f t="shared" si="112"/>
        <v>Electric ZonalR30R0BetterDouble</v>
      </c>
      <c r="P903" s="134" t="str">
        <f t="shared" si="113"/>
        <v>error</v>
      </c>
      <c r="Q903" s="134"/>
      <c r="R903" s="134"/>
      <c r="S903" s="134"/>
      <c r="T903" s="134"/>
      <c r="U903" s="134"/>
      <c r="V903" s="134"/>
      <c r="W903" s="134"/>
      <c r="X903" s="134"/>
      <c r="Y903" s="134"/>
      <c r="Z903" s="134"/>
      <c r="AA903" s="134"/>
      <c r="AB903" s="134"/>
      <c r="AC903" s="134"/>
      <c r="AD903" s="134"/>
      <c r="AE903" s="134"/>
      <c r="AF903" s="146"/>
      <c r="AG903" s="134"/>
      <c r="AH903" s="134"/>
      <c r="AI903" s="134"/>
      <c r="AJ903" s="134"/>
      <c r="AK903" s="134"/>
      <c r="AL903" s="134"/>
      <c r="AM903" s="146"/>
      <c r="AN903" s="132"/>
      <c r="AO903" s="132"/>
      <c r="AP903" s="132"/>
      <c r="AQ903" s="132"/>
      <c r="AR903" s="134"/>
      <c r="AS903" s="134"/>
      <c r="AT903" s="132"/>
      <c r="AU903" s="133"/>
      <c r="AV903" s="134"/>
    </row>
    <row r="904" spans="1:48">
      <c r="A904" s="74">
        <v>12690</v>
      </c>
      <c r="B904" s="74" t="s">
        <v>229</v>
      </c>
      <c r="C904" s="74" t="s">
        <v>673</v>
      </c>
      <c r="D904" s="74">
        <v>2060</v>
      </c>
      <c r="E904" s="73">
        <v>6.6286721342318763E-2</v>
      </c>
      <c r="F904" s="73">
        <v>0.68557535790546975</v>
      </c>
      <c r="G904" s="73">
        <v>9.0000003576278687E-2</v>
      </c>
      <c r="H904" s="73">
        <v>2.9999999329447746E-2</v>
      </c>
      <c r="I904" s="190">
        <v>4956.4930000000004</v>
      </c>
      <c r="J904" s="134" t="str">
        <f t="shared" si="109"/>
        <v>ignore</v>
      </c>
      <c r="K904" s="134" t="str">
        <f t="shared" si="110"/>
        <v>R19</v>
      </c>
      <c r="L904" s="134" t="str">
        <f t="shared" si="111"/>
        <v>R11</v>
      </c>
      <c r="M904" s="146" t="str">
        <f t="shared" si="107"/>
        <v>Better</v>
      </c>
      <c r="N904" s="146" t="str">
        <f t="shared" si="108"/>
        <v>Better</v>
      </c>
      <c r="O904" s="146" t="str">
        <f t="shared" si="112"/>
        <v>Heat PumpR19R11BetterBetter</v>
      </c>
      <c r="P904" s="134" t="str">
        <f t="shared" si="113"/>
        <v>error</v>
      </c>
      <c r="Q904" s="134"/>
      <c r="R904" s="134"/>
      <c r="S904" s="134"/>
      <c r="T904" s="134"/>
      <c r="U904" s="134"/>
      <c r="V904" s="134"/>
      <c r="W904" s="134"/>
      <c r="X904" s="134"/>
      <c r="Y904" s="134"/>
      <c r="Z904" s="134"/>
      <c r="AA904" s="134"/>
      <c r="AB904" s="134"/>
      <c r="AC904" s="134"/>
      <c r="AD904" s="134"/>
      <c r="AE904" s="134"/>
      <c r="AF904" s="146"/>
      <c r="AG904" s="134"/>
      <c r="AH904" s="134"/>
      <c r="AI904" s="134"/>
      <c r="AJ904" s="134"/>
      <c r="AK904" s="134"/>
      <c r="AL904" s="134"/>
      <c r="AM904" s="146"/>
      <c r="AN904" s="132"/>
      <c r="AO904" s="132"/>
      <c r="AP904" s="132"/>
      <c r="AQ904" s="132"/>
      <c r="AR904" s="134"/>
      <c r="AS904" s="134"/>
      <c r="AT904" s="132"/>
      <c r="AU904" s="133"/>
      <c r="AV904" s="134"/>
    </row>
    <row r="905" spans="1:48">
      <c r="A905" s="74">
        <v>12724</v>
      </c>
      <c r="B905" s="74" t="s">
        <v>227</v>
      </c>
      <c r="C905" s="74">
        <v>1</v>
      </c>
      <c r="D905" s="74">
        <v>4481</v>
      </c>
      <c r="E905" s="73">
        <v>7.9999998211860657E-2</v>
      </c>
      <c r="F905" s="73">
        <v>0.69789673835324051</v>
      </c>
      <c r="G905" s="73">
        <v>9.0000003576278687E-2</v>
      </c>
      <c r="H905" s="73">
        <v>8.5000000894069672E-2</v>
      </c>
      <c r="I905" s="190">
        <v>2003.7159999999999</v>
      </c>
      <c r="J905" s="134" t="str">
        <f t="shared" si="109"/>
        <v>keep</v>
      </c>
      <c r="K905" s="134" t="str">
        <f t="shared" si="110"/>
        <v>R19</v>
      </c>
      <c r="L905" s="134" t="str">
        <f t="shared" si="111"/>
        <v>R11</v>
      </c>
      <c r="M905" s="146" t="str">
        <f t="shared" si="107"/>
        <v>R0</v>
      </c>
      <c r="N905" s="146" t="str">
        <f t="shared" si="108"/>
        <v>Better</v>
      </c>
      <c r="O905" s="146" t="str">
        <f t="shared" si="112"/>
        <v>Electric FAFR19R11R0Better</v>
      </c>
      <c r="P905" s="134" t="str">
        <f t="shared" si="113"/>
        <v>Crawlspace</v>
      </c>
      <c r="Q905" s="134"/>
      <c r="R905" s="134"/>
      <c r="S905" s="134"/>
      <c r="T905" s="134"/>
      <c r="U905" s="134"/>
      <c r="V905" s="134"/>
      <c r="W905" s="134"/>
      <c r="X905" s="134"/>
      <c r="Y905" s="134"/>
      <c r="Z905" s="134"/>
      <c r="AA905" s="134"/>
      <c r="AB905" s="134"/>
      <c r="AC905" s="134"/>
      <c r="AD905" s="134"/>
      <c r="AE905" s="134"/>
      <c r="AF905" s="146"/>
      <c r="AG905" s="134"/>
      <c r="AH905" s="134"/>
      <c r="AI905" s="134"/>
      <c r="AJ905" s="134"/>
      <c r="AK905" s="134"/>
      <c r="AL905" s="134"/>
      <c r="AM905" s="146"/>
      <c r="AN905" s="132"/>
      <c r="AO905" s="132"/>
      <c r="AP905" s="132"/>
      <c r="AQ905" s="132"/>
      <c r="AR905" s="134"/>
      <c r="AS905" s="134"/>
      <c r="AT905" s="132"/>
      <c r="AU905" s="133"/>
      <c r="AV905" s="134"/>
    </row>
    <row r="906" spans="1:48">
      <c r="A906" s="74">
        <v>12730</v>
      </c>
      <c r="B906" s="74" t="s">
        <v>228</v>
      </c>
      <c r="C906" s="74">
        <v>1</v>
      </c>
      <c r="D906" s="74">
        <v>704</v>
      </c>
      <c r="E906" s="73">
        <v>9.0000003576278687E-2</v>
      </c>
      <c r="F906" s="73">
        <v>0.44999998807907104</v>
      </c>
      <c r="G906" s="73">
        <v>9.0000003576278687E-2</v>
      </c>
      <c r="H906" s="73">
        <v>0.14499999582767487</v>
      </c>
      <c r="I906" s="190">
        <v>1150.8789999999999</v>
      </c>
      <c r="J906" s="134" t="str">
        <f t="shared" si="109"/>
        <v>keep</v>
      </c>
      <c r="K906" s="134" t="str">
        <f t="shared" si="110"/>
        <v>R11</v>
      </c>
      <c r="L906" s="134" t="str">
        <f t="shared" si="111"/>
        <v>R11</v>
      </c>
      <c r="M906" s="146" t="str">
        <f t="shared" si="107"/>
        <v>R0</v>
      </c>
      <c r="N906" s="146" t="str">
        <f t="shared" si="108"/>
        <v>Better</v>
      </c>
      <c r="O906" s="146" t="str">
        <f t="shared" si="112"/>
        <v>Electric ZonalR11R11R0Better</v>
      </c>
      <c r="P906" s="134" t="str">
        <f t="shared" si="113"/>
        <v>Crawlspace</v>
      </c>
      <c r="Q906" s="134"/>
      <c r="R906" s="134"/>
      <c r="S906" s="134"/>
      <c r="T906" s="134"/>
      <c r="U906" s="134"/>
      <c r="V906" s="134"/>
      <c r="W906" s="134"/>
      <c r="X906" s="134"/>
      <c r="Y906" s="134"/>
      <c r="Z906" s="134"/>
      <c r="AA906" s="134"/>
      <c r="AB906" s="134"/>
      <c r="AC906" s="134"/>
      <c r="AD906" s="134"/>
      <c r="AE906" s="134"/>
      <c r="AF906" s="146"/>
      <c r="AG906" s="134"/>
      <c r="AH906" s="134"/>
      <c r="AI906" s="134"/>
      <c r="AJ906" s="134"/>
      <c r="AK906" s="134"/>
      <c r="AL906" s="134"/>
      <c r="AM906" s="146"/>
      <c r="AN906" s="132"/>
      <c r="AO906" s="132"/>
      <c r="AP906" s="132"/>
      <c r="AQ906" s="132"/>
      <c r="AR906" s="134"/>
      <c r="AS906" s="134"/>
      <c r="AT906" s="132"/>
      <c r="AU906" s="133"/>
      <c r="AV906" s="134"/>
    </row>
    <row r="907" spans="1:48">
      <c r="A907" s="74">
        <v>12738</v>
      </c>
      <c r="B907" s="74" t="s">
        <v>228</v>
      </c>
      <c r="C907" s="74">
        <v>1</v>
      </c>
      <c r="D907" s="74">
        <v>1345</v>
      </c>
      <c r="E907" s="73">
        <v>4.5000001788139343E-2</v>
      </c>
      <c r="F907" s="73">
        <v>0.60000002384185791</v>
      </c>
      <c r="G907" s="73">
        <v>9.0000003576278687E-2</v>
      </c>
      <c r="H907" s="73">
        <v>0.23000000417232513</v>
      </c>
      <c r="I907" s="190">
        <v>1464.694</v>
      </c>
      <c r="J907" s="134" t="str">
        <f t="shared" si="109"/>
        <v>keep</v>
      </c>
      <c r="K907" s="134" t="str">
        <f t="shared" si="110"/>
        <v>R30</v>
      </c>
      <c r="L907" s="134" t="str">
        <f t="shared" si="111"/>
        <v>R11</v>
      </c>
      <c r="M907" s="146" t="str">
        <f t="shared" si="107"/>
        <v>R0</v>
      </c>
      <c r="N907" s="146" t="str">
        <f t="shared" si="108"/>
        <v>Better</v>
      </c>
      <c r="O907" s="146" t="str">
        <f t="shared" si="112"/>
        <v>Electric ZonalR30R11R0Better</v>
      </c>
      <c r="P907" s="134" t="str">
        <f t="shared" si="113"/>
        <v>Crawlspace</v>
      </c>
      <c r="Q907" s="134"/>
      <c r="R907" s="134"/>
      <c r="S907" s="134"/>
      <c r="T907" s="134"/>
      <c r="U907" s="134"/>
      <c r="V907" s="134"/>
      <c r="W907" s="134"/>
      <c r="X907" s="134"/>
      <c r="Y907" s="134"/>
      <c r="Z907" s="134"/>
      <c r="AA907" s="134"/>
      <c r="AB907" s="134"/>
      <c r="AC907" s="134"/>
      <c r="AD907" s="134"/>
      <c r="AE907" s="134"/>
      <c r="AF907" s="146"/>
      <c r="AG907" s="134"/>
      <c r="AH907" s="134"/>
      <c r="AI907" s="134"/>
      <c r="AJ907" s="134"/>
      <c r="AK907" s="134"/>
      <c r="AL907" s="134"/>
      <c r="AM907" s="146"/>
      <c r="AN907" s="132"/>
      <c r="AO907" s="132"/>
      <c r="AP907" s="132"/>
      <c r="AQ907" s="132"/>
      <c r="AR907" s="134"/>
      <c r="AS907" s="134"/>
      <c r="AT907" s="132"/>
      <c r="AU907" s="133"/>
      <c r="AV907" s="134"/>
    </row>
    <row r="908" spans="1:48">
      <c r="A908" s="74">
        <v>12739</v>
      </c>
      <c r="B908" s="74" t="s">
        <v>228</v>
      </c>
      <c r="C908" s="74">
        <v>1</v>
      </c>
      <c r="D908" s="74">
        <v>1280</v>
      </c>
      <c r="E908" s="73">
        <v>3.5000000149011612E-2</v>
      </c>
      <c r="F908" s="73">
        <v>0.55186917124507584</v>
      </c>
      <c r="G908" s="73">
        <v>5.9999998658895493E-2</v>
      </c>
      <c r="H908" s="73">
        <v>2.9999999329447746E-2</v>
      </c>
      <c r="I908" s="190">
        <v>1188.027</v>
      </c>
      <c r="J908" s="134" t="str">
        <f t="shared" si="109"/>
        <v>keep</v>
      </c>
      <c r="K908" s="134" t="str">
        <f t="shared" si="110"/>
        <v>R38</v>
      </c>
      <c r="L908" s="134" t="str">
        <f t="shared" si="111"/>
        <v>R11</v>
      </c>
      <c r="M908" s="146" t="str">
        <f t="shared" si="107"/>
        <v>Better</v>
      </c>
      <c r="N908" s="146" t="str">
        <f t="shared" si="108"/>
        <v>Better</v>
      </c>
      <c r="O908" s="146" t="str">
        <f t="shared" si="112"/>
        <v>Electric ZonalR38R11BetterBetter</v>
      </c>
      <c r="P908" s="134" t="str">
        <f t="shared" si="113"/>
        <v>Crawlspace</v>
      </c>
      <c r="Q908" s="134"/>
      <c r="R908" s="134"/>
      <c r="S908" s="134"/>
      <c r="T908" s="134"/>
      <c r="U908" s="134"/>
      <c r="V908" s="134"/>
      <c r="W908" s="134"/>
      <c r="X908" s="134"/>
      <c r="Y908" s="134"/>
      <c r="Z908" s="134"/>
      <c r="AA908" s="134"/>
      <c r="AB908" s="134"/>
      <c r="AC908" s="134"/>
      <c r="AD908" s="134"/>
      <c r="AE908" s="134"/>
      <c r="AF908" s="146"/>
      <c r="AG908" s="134"/>
      <c r="AH908" s="134"/>
      <c r="AI908" s="134"/>
      <c r="AJ908" s="134"/>
      <c r="AK908" s="134"/>
      <c r="AL908" s="134"/>
      <c r="AM908" s="146"/>
      <c r="AN908" s="132"/>
      <c r="AO908" s="132"/>
      <c r="AP908" s="132"/>
      <c r="AQ908" s="132"/>
      <c r="AR908" s="134"/>
      <c r="AS908" s="134"/>
      <c r="AT908" s="132"/>
      <c r="AU908" s="133"/>
      <c r="AV908" s="134"/>
    </row>
    <row r="909" spans="1:48">
      <c r="A909" s="74">
        <v>12745</v>
      </c>
      <c r="B909" s="74" t="s">
        <v>227</v>
      </c>
      <c r="C909" s="74">
        <v>1</v>
      </c>
      <c r="D909" s="74">
        <v>900</v>
      </c>
      <c r="E909" s="73">
        <v>3.5000000149011612E-2</v>
      </c>
      <c r="F909" s="73">
        <v>0.57611942113335457</v>
      </c>
      <c r="G909" s="73">
        <v>0.23400000000000001</v>
      </c>
      <c r="H909" s="73">
        <v>4.5000001788139343E-2</v>
      </c>
      <c r="I909" s="190">
        <v>1524.7619999999999</v>
      </c>
      <c r="J909" s="134" t="str">
        <f t="shared" si="109"/>
        <v>keep</v>
      </c>
      <c r="K909" s="134" t="str">
        <f t="shared" si="110"/>
        <v>R38</v>
      </c>
      <c r="L909" s="134" t="str">
        <f t="shared" si="111"/>
        <v>R0</v>
      </c>
      <c r="M909" s="146" t="str">
        <f t="shared" si="107"/>
        <v>Better</v>
      </c>
      <c r="N909" s="146" t="str">
        <f t="shared" si="108"/>
        <v>Better</v>
      </c>
      <c r="O909" s="146" t="str">
        <f t="shared" si="112"/>
        <v>Electric FAFR38R0BetterBetter</v>
      </c>
      <c r="P909" s="134" t="str">
        <f t="shared" si="113"/>
        <v>Crawlspace</v>
      </c>
      <c r="Q909" s="134"/>
      <c r="R909" s="134"/>
      <c r="S909" s="134"/>
      <c r="T909" s="134"/>
      <c r="U909" s="134"/>
      <c r="V909" s="134"/>
      <c r="W909" s="134"/>
      <c r="X909" s="134"/>
      <c r="Y909" s="134"/>
      <c r="Z909" s="134"/>
      <c r="AA909" s="134"/>
      <c r="AB909" s="134"/>
      <c r="AC909" s="134"/>
      <c r="AD909" s="134"/>
      <c r="AE909" s="134"/>
      <c r="AF909" s="146"/>
      <c r="AG909" s="134"/>
      <c r="AH909" s="134"/>
      <c r="AI909" s="134"/>
      <c r="AJ909" s="134"/>
      <c r="AK909" s="134"/>
      <c r="AL909" s="134"/>
      <c r="AM909" s="146"/>
      <c r="AN909" s="132"/>
      <c r="AO909" s="132"/>
      <c r="AP909" s="132"/>
      <c r="AQ909" s="132"/>
      <c r="AR909" s="134"/>
      <c r="AS909" s="134"/>
      <c r="AT909" s="132"/>
      <c r="AU909" s="133"/>
      <c r="AV909" s="134"/>
    </row>
    <row r="910" spans="1:48">
      <c r="A910" s="74">
        <v>12759</v>
      </c>
      <c r="B910" s="74" t="s">
        <v>228</v>
      </c>
      <c r="C910" s="74" t="s">
        <v>673</v>
      </c>
      <c r="D910" s="74">
        <v>2000</v>
      </c>
      <c r="E910" s="73">
        <v>3.5000000149011612E-2</v>
      </c>
      <c r="F910" s="73">
        <v>0.70821919086627994</v>
      </c>
      <c r="G910" s="73">
        <v>9.0000003576278687E-2</v>
      </c>
      <c r="H910" s="73">
        <v>0.23000000417232513</v>
      </c>
      <c r="I910" s="190">
        <v>2003.7159999999999</v>
      </c>
      <c r="J910" s="134" t="str">
        <f t="shared" si="109"/>
        <v>ignore</v>
      </c>
      <c r="K910" s="134" t="str">
        <f t="shared" si="110"/>
        <v>R38</v>
      </c>
      <c r="L910" s="134" t="str">
        <f t="shared" si="111"/>
        <v>R11</v>
      </c>
      <c r="M910" s="146" t="str">
        <f t="shared" si="107"/>
        <v>R0</v>
      </c>
      <c r="N910" s="146" t="str">
        <f t="shared" si="108"/>
        <v>Better</v>
      </c>
      <c r="O910" s="146" t="str">
        <f t="shared" si="112"/>
        <v>Electric ZonalR38R11R0Better</v>
      </c>
      <c r="P910" s="134" t="str">
        <f t="shared" si="113"/>
        <v>error</v>
      </c>
      <c r="Q910" s="134"/>
      <c r="R910" s="134"/>
      <c r="S910" s="134"/>
      <c r="T910" s="134"/>
      <c r="U910" s="134"/>
      <c r="V910" s="134"/>
      <c r="W910" s="134"/>
      <c r="X910" s="134"/>
      <c r="Y910" s="134"/>
      <c r="Z910" s="134"/>
      <c r="AA910" s="134"/>
      <c r="AB910" s="134"/>
      <c r="AC910" s="134"/>
      <c r="AD910" s="134"/>
      <c r="AE910" s="134"/>
      <c r="AF910" s="146"/>
      <c r="AG910" s="134"/>
      <c r="AH910" s="134"/>
      <c r="AI910" s="134"/>
      <c r="AJ910" s="134"/>
      <c r="AK910" s="134"/>
      <c r="AL910" s="134"/>
      <c r="AM910" s="146"/>
      <c r="AN910" s="132"/>
      <c r="AO910" s="132"/>
      <c r="AP910" s="132"/>
      <c r="AQ910" s="132"/>
      <c r="AR910" s="134"/>
      <c r="AS910" s="134"/>
      <c r="AT910" s="132"/>
      <c r="AU910" s="133"/>
      <c r="AV910" s="134"/>
    </row>
    <row r="911" spans="1:48">
      <c r="A911" s="74">
        <v>12777</v>
      </c>
      <c r="B911" s="74" t="s">
        <v>229</v>
      </c>
      <c r="C911" s="74">
        <v>1</v>
      </c>
      <c r="D911" s="74">
        <v>1692</v>
      </c>
      <c r="E911" s="73">
        <v>1.9999999552965164E-2</v>
      </c>
      <c r="F911" s="73">
        <v>0.44999998807907104</v>
      </c>
      <c r="G911" s="73">
        <v>5.9999998658895493E-2</v>
      </c>
      <c r="H911" s="73">
        <v>5.9999998658895493E-2</v>
      </c>
      <c r="I911" s="190">
        <v>1188.027</v>
      </c>
      <c r="J911" s="134" t="str">
        <f t="shared" si="109"/>
        <v>keep</v>
      </c>
      <c r="K911" s="134" t="str">
        <f t="shared" si="110"/>
        <v>R38</v>
      </c>
      <c r="L911" s="134" t="str">
        <f t="shared" si="111"/>
        <v>R11</v>
      </c>
      <c r="M911" s="146" t="str">
        <f t="shared" si="107"/>
        <v>R19</v>
      </c>
      <c r="N911" s="146" t="str">
        <f t="shared" si="108"/>
        <v>Better</v>
      </c>
      <c r="O911" s="146" t="str">
        <f t="shared" si="112"/>
        <v>Heat PumpR38R11R19Better</v>
      </c>
      <c r="P911" s="134" t="str">
        <f t="shared" si="113"/>
        <v>Crawlspace</v>
      </c>
      <c r="Q911" s="134"/>
      <c r="R911" s="134"/>
      <c r="S911" s="134"/>
      <c r="T911" s="134"/>
      <c r="U911" s="134"/>
      <c r="V911" s="134"/>
      <c r="W911" s="134"/>
      <c r="X911" s="134"/>
      <c r="Y911" s="134"/>
      <c r="Z911" s="134"/>
      <c r="AA911" s="134"/>
      <c r="AB911" s="134"/>
      <c r="AC911" s="134"/>
      <c r="AD911" s="134"/>
      <c r="AE911" s="134"/>
      <c r="AF911" s="146"/>
      <c r="AG911" s="134"/>
      <c r="AH911" s="134"/>
      <c r="AI911" s="134"/>
      <c r="AJ911" s="134"/>
      <c r="AK911" s="134"/>
      <c r="AL911" s="134"/>
      <c r="AM911" s="146"/>
      <c r="AN911" s="132"/>
      <c r="AO911" s="132"/>
      <c r="AP911" s="132"/>
      <c r="AQ911" s="132"/>
      <c r="AR911" s="134"/>
      <c r="AS911" s="134"/>
      <c r="AT911" s="132"/>
      <c r="AU911" s="133"/>
      <c r="AV911" s="134"/>
    </row>
    <row r="912" spans="1:48">
      <c r="A912" s="74">
        <v>12825</v>
      </c>
      <c r="B912" s="74" t="s">
        <v>228</v>
      </c>
      <c r="C912" s="74">
        <v>4</v>
      </c>
      <c r="D912" s="74">
        <v>1582</v>
      </c>
      <c r="E912" s="73">
        <v>2.500000037252903E-2</v>
      </c>
      <c r="F912" s="73">
        <v>0.60000002384185791</v>
      </c>
      <c r="G912" s="73">
        <v>9.0000003576278687E-2</v>
      </c>
      <c r="H912" s="73">
        <v>0</v>
      </c>
      <c r="I912" s="190">
        <v>1524.7619999999999</v>
      </c>
      <c r="J912" s="134" t="str">
        <f t="shared" si="109"/>
        <v>keep</v>
      </c>
      <c r="K912" s="134" t="str">
        <f t="shared" si="110"/>
        <v>R38</v>
      </c>
      <c r="L912" s="134" t="str">
        <f t="shared" si="111"/>
        <v>R11</v>
      </c>
      <c r="M912" s="146" t="str">
        <f t="shared" si="107"/>
        <v>Basement</v>
      </c>
      <c r="N912" s="146" t="str">
        <f t="shared" si="108"/>
        <v>Better</v>
      </c>
      <c r="O912" s="146" t="str">
        <f t="shared" si="112"/>
        <v>Electric ZonalR38R11BasementBetter</v>
      </c>
      <c r="P912" s="134" t="str">
        <f t="shared" si="113"/>
        <v>Basement</v>
      </c>
      <c r="Q912" s="134"/>
      <c r="R912" s="134"/>
      <c r="S912" s="134"/>
      <c r="T912" s="134"/>
      <c r="U912" s="134"/>
      <c r="V912" s="134"/>
      <c r="W912" s="134"/>
      <c r="X912" s="134"/>
      <c r="Y912" s="134"/>
      <c r="Z912" s="134"/>
      <c r="AA912" s="134"/>
      <c r="AB912" s="134"/>
      <c r="AC912" s="134"/>
      <c r="AD912" s="134"/>
      <c r="AE912" s="134"/>
      <c r="AF912" s="146"/>
      <c r="AG912" s="134"/>
      <c r="AH912" s="134"/>
      <c r="AI912" s="134"/>
      <c r="AJ912" s="134"/>
      <c r="AK912" s="134"/>
      <c r="AL912" s="134"/>
      <c r="AM912" s="146"/>
      <c r="AN912" s="132"/>
      <c r="AO912" s="132"/>
      <c r="AP912" s="132"/>
      <c r="AQ912" s="132"/>
      <c r="AR912" s="134"/>
      <c r="AS912" s="134"/>
      <c r="AT912" s="132"/>
      <c r="AU912" s="133"/>
      <c r="AV912" s="134"/>
    </row>
    <row r="913" spans="1:48">
      <c r="A913" s="74">
        <v>12833</v>
      </c>
      <c r="B913" s="74" t="s">
        <v>229</v>
      </c>
      <c r="C913" s="74">
        <v>4</v>
      </c>
      <c r="D913" s="74">
        <v>2793</v>
      </c>
      <c r="E913" s="73" t="e">
        <v>#VALUE!</v>
      </c>
      <c r="F913" s="73">
        <v>0.4814516084809457</v>
      </c>
      <c r="G913" s="73">
        <v>9.0000003576278687E-2</v>
      </c>
      <c r="H913" s="73">
        <v>0</v>
      </c>
      <c r="I913" s="190">
        <v>2003.7159999999999</v>
      </c>
      <c r="J913" s="134" t="str">
        <f t="shared" si="109"/>
        <v>ignore</v>
      </c>
      <c r="K913" s="134" t="e">
        <f t="shared" si="110"/>
        <v>#VALUE!</v>
      </c>
      <c r="L913" s="134" t="str">
        <f t="shared" si="111"/>
        <v>R11</v>
      </c>
      <c r="M913" s="146" t="str">
        <f t="shared" si="107"/>
        <v>Basement</v>
      </c>
      <c r="N913" s="146" t="str">
        <f t="shared" si="108"/>
        <v>Better</v>
      </c>
      <c r="O913" s="146" t="e">
        <f t="shared" si="112"/>
        <v>#VALUE!</v>
      </c>
      <c r="P913" s="134" t="str">
        <f t="shared" si="113"/>
        <v>Basement</v>
      </c>
      <c r="Q913" s="134"/>
      <c r="R913" s="134"/>
      <c r="S913" s="134"/>
      <c r="T913" s="134"/>
      <c r="U913" s="134"/>
      <c r="V913" s="134"/>
      <c r="W913" s="134"/>
      <c r="X913" s="134"/>
      <c r="Y913" s="134"/>
      <c r="Z913" s="134"/>
      <c r="AA913" s="134"/>
      <c r="AB913" s="134"/>
      <c r="AC913" s="134"/>
      <c r="AD913" s="134"/>
      <c r="AE913" s="134"/>
      <c r="AF913" s="146"/>
      <c r="AG913" s="134"/>
      <c r="AH913" s="134"/>
      <c r="AI913" s="134"/>
      <c r="AJ913" s="134"/>
      <c r="AK913" s="134"/>
      <c r="AL913" s="134"/>
      <c r="AM913" s="146"/>
      <c r="AN913" s="132"/>
      <c r="AO913" s="132"/>
      <c r="AP913" s="132"/>
      <c r="AQ913" s="132"/>
      <c r="AR913" s="134"/>
      <c r="AS913" s="134"/>
      <c r="AT913" s="132"/>
      <c r="AU913" s="133"/>
      <c r="AV913" s="134"/>
    </row>
    <row r="914" spans="1:48">
      <c r="A914" s="74">
        <v>12853</v>
      </c>
      <c r="B914" s="74" t="s">
        <v>229</v>
      </c>
      <c r="C914" s="74" t="s">
        <v>673</v>
      </c>
      <c r="D914" s="74">
        <v>2411</v>
      </c>
      <c r="E914" s="73">
        <v>2.500000037252903E-2</v>
      </c>
      <c r="F914" s="73">
        <v>0.55000001192092896</v>
      </c>
      <c r="G914" s="73">
        <v>0.23399999999999996</v>
      </c>
      <c r="H914" s="73">
        <v>0</v>
      </c>
      <c r="I914" s="190">
        <v>1188.027</v>
      </c>
      <c r="J914" s="134" t="str">
        <f t="shared" si="109"/>
        <v>ignore</v>
      </c>
      <c r="K914" s="134" t="str">
        <f t="shared" si="110"/>
        <v>R38</v>
      </c>
      <c r="L914" s="134" t="str">
        <f t="shared" si="111"/>
        <v>R0</v>
      </c>
      <c r="M914" s="146" t="str">
        <f t="shared" si="107"/>
        <v>Better</v>
      </c>
      <c r="N914" s="146" t="str">
        <f t="shared" si="108"/>
        <v>Better</v>
      </c>
      <c r="O914" s="146" t="str">
        <f t="shared" si="112"/>
        <v>Heat PumpR38R0BetterBetter</v>
      </c>
      <c r="P914" s="134" t="str">
        <f t="shared" si="113"/>
        <v>error</v>
      </c>
      <c r="Q914" s="134"/>
      <c r="R914" s="134"/>
      <c r="S914" s="134"/>
      <c r="T914" s="134"/>
      <c r="U914" s="134"/>
      <c r="V914" s="134"/>
      <c r="W914" s="134"/>
      <c r="X914" s="134"/>
      <c r="Y914" s="134"/>
      <c r="Z914" s="134"/>
      <c r="AA914" s="134"/>
      <c r="AB914" s="134"/>
      <c r="AC914" s="134"/>
      <c r="AD914" s="134"/>
      <c r="AE914" s="134"/>
      <c r="AF914" s="146"/>
      <c r="AG914" s="134"/>
      <c r="AH914" s="134"/>
      <c r="AI914" s="134"/>
      <c r="AJ914" s="134"/>
      <c r="AK914" s="134"/>
      <c r="AL914" s="134"/>
      <c r="AM914" s="146"/>
      <c r="AN914" s="132"/>
      <c r="AO914" s="132"/>
      <c r="AP914" s="132"/>
      <c r="AQ914" s="132"/>
      <c r="AR914" s="134"/>
      <c r="AS914" s="134"/>
      <c r="AT914" s="132"/>
      <c r="AU914" s="133"/>
      <c r="AV914" s="134"/>
    </row>
    <row r="915" spans="1:48">
      <c r="A915" s="74">
        <v>12906</v>
      </c>
      <c r="B915" s="74" t="s">
        <v>227</v>
      </c>
      <c r="C915" s="74">
        <v>4</v>
      </c>
      <c r="D915" s="74">
        <v>1920</v>
      </c>
      <c r="E915" s="73">
        <v>5.000000074505806E-2</v>
      </c>
      <c r="F915" s="73">
        <v>0.77692307875706601</v>
      </c>
      <c r="G915" s="73">
        <v>7.9999998211860657E-2</v>
      </c>
      <c r="H915" s="73">
        <v>0</v>
      </c>
      <c r="I915" s="190">
        <v>4956.4930000000004</v>
      </c>
      <c r="J915" s="134" t="str">
        <f t="shared" si="109"/>
        <v>keep</v>
      </c>
      <c r="K915" s="134" t="str">
        <f t="shared" si="110"/>
        <v>R30</v>
      </c>
      <c r="L915" s="134" t="str">
        <f t="shared" si="111"/>
        <v>R11</v>
      </c>
      <c r="M915" s="146" t="str">
        <f t="shared" si="107"/>
        <v>Basement</v>
      </c>
      <c r="N915" s="146" t="str">
        <f t="shared" si="108"/>
        <v>Better</v>
      </c>
      <c r="O915" s="146" t="str">
        <f t="shared" si="112"/>
        <v>Electric FAFR30R11BasementBetter</v>
      </c>
      <c r="P915" s="134" t="str">
        <f t="shared" si="113"/>
        <v>Basement</v>
      </c>
      <c r="Q915" s="134"/>
      <c r="R915" s="134"/>
      <c r="S915" s="134"/>
      <c r="T915" s="134"/>
      <c r="U915" s="134"/>
      <c r="V915" s="134"/>
      <c r="W915" s="134"/>
      <c r="X915" s="134"/>
      <c r="Y915" s="134"/>
      <c r="Z915" s="134"/>
      <c r="AA915" s="134"/>
      <c r="AB915" s="134"/>
      <c r="AC915" s="134"/>
      <c r="AD915" s="134"/>
      <c r="AE915" s="134"/>
      <c r="AF915" s="146"/>
      <c r="AG915" s="134"/>
      <c r="AH915" s="134"/>
      <c r="AI915" s="134"/>
      <c r="AJ915" s="134"/>
      <c r="AK915" s="134"/>
      <c r="AL915" s="134"/>
      <c r="AM915" s="146"/>
      <c r="AN915" s="132"/>
      <c r="AO915" s="132"/>
      <c r="AP915" s="132"/>
      <c r="AQ915" s="132"/>
      <c r="AR915" s="134"/>
      <c r="AS915" s="134"/>
      <c r="AT915" s="132"/>
      <c r="AU915" s="133"/>
      <c r="AV915" s="134"/>
    </row>
    <row r="916" spans="1:48">
      <c r="A916" s="74">
        <v>12939</v>
      </c>
      <c r="B916" s="74" t="s">
        <v>229</v>
      </c>
      <c r="C916" s="74">
        <v>3</v>
      </c>
      <c r="D916" s="74">
        <v>1650</v>
      </c>
      <c r="E916" s="73">
        <v>3.7475519828416286E-2</v>
      </c>
      <c r="F916" s="73">
        <v>0.40000000596046448</v>
      </c>
      <c r="G916" s="73">
        <v>9.0000003576278687E-2</v>
      </c>
      <c r="H916" s="73">
        <v>0</v>
      </c>
      <c r="I916" s="190">
        <v>2003.7159999999999</v>
      </c>
      <c r="J916" s="134" t="str">
        <f t="shared" si="109"/>
        <v>keep</v>
      </c>
      <c r="K916" s="134" t="str">
        <f t="shared" si="110"/>
        <v>R38</v>
      </c>
      <c r="L916" s="134" t="str">
        <f t="shared" si="111"/>
        <v>R11</v>
      </c>
      <c r="M916" s="146" t="str">
        <f t="shared" si="107"/>
        <v>Basement</v>
      </c>
      <c r="N916" s="146" t="str">
        <f t="shared" si="108"/>
        <v>Better</v>
      </c>
      <c r="O916" s="146" t="str">
        <f t="shared" si="112"/>
        <v>Heat PumpR38R11BasementBetter</v>
      </c>
      <c r="P916" s="134" t="str">
        <f t="shared" si="113"/>
        <v>Basement</v>
      </c>
      <c r="Q916" s="134"/>
      <c r="R916" s="134"/>
      <c r="S916" s="134"/>
      <c r="T916" s="134"/>
      <c r="U916" s="134"/>
      <c r="V916" s="134"/>
      <c r="W916" s="134"/>
      <c r="X916" s="134"/>
      <c r="Y916" s="134"/>
      <c r="Z916" s="134"/>
      <c r="AA916" s="134"/>
      <c r="AB916" s="134"/>
      <c r="AC916" s="134"/>
      <c r="AD916" s="134"/>
      <c r="AE916" s="134"/>
      <c r="AF916" s="146"/>
      <c r="AG916" s="134"/>
      <c r="AH916" s="134"/>
      <c r="AI916" s="134"/>
      <c r="AJ916" s="134"/>
      <c r="AK916" s="134"/>
      <c r="AL916" s="134"/>
      <c r="AM916" s="146"/>
      <c r="AN916" s="132"/>
      <c r="AO916" s="132"/>
      <c r="AP916" s="132"/>
      <c r="AQ916" s="132"/>
      <c r="AR916" s="134"/>
      <c r="AS916" s="134"/>
      <c r="AT916" s="132"/>
      <c r="AU916" s="133"/>
      <c r="AV916" s="134"/>
    </row>
    <row r="917" spans="1:48">
      <c r="A917" s="74">
        <v>12956</v>
      </c>
      <c r="B917" s="74" t="s">
        <v>229</v>
      </c>
      <c r="C917" s="74" t="s">
        <v>673</v>
      </c>
      <c r="D917" s="74">
        <v>2803</v>
      </c>
      <c r="E917" s="73">
        <v>4.5000001788139343E-2</v>
      </c>
      <c r="F917" s="73">
        <v>0.44999998807907104</v>
      </c>
      <c r="G917" s="73">
        <v>0.23400000000000001</v>
      </c>
      <c r="H917" s="73">
        <v>6.4999997615814209E-2</v>
      </c>
      <c r="I917" s="190">
        <v>2003.7159999999999</v>
      </c>
      <c r="J917" s="134" t="str">
        <f t="shared" si="109"/>
        <v>ignore</v>
      </c>
      <c r="K917" s="134" t="str">
        <f t="shared" si="110"/>
        <v>R30</v>
      </c>
      <c r="L917" s="134" t="str">
        <f t="shared" si="111"/>
        <v>R0</v>
      </c>
      <c r="M917" s="146" t="str">
        <f t="shared" si="107"/>
        <v>R19</v>
      </c>
      <c r="N917" s="146" t="str">
        <f t="shared" si="108"/>
        <v>Better</v>
      </c>
      <c r="O917" s="146" t="str">
        <f t="shared" si="112"/>
        <v>Heat PumpR30R0R19Better</v>
      </c>
      <c r="P917" s="134" t="str">
        <f t="shared" si="113"/>
        <v>error</v>
      </c>
      <c r="Q917" s="134"/>
      <c r="R917" s="134"/>
      <c r="S917" s="134"/>
      <c r="T917" s="134"/>
      <c r="U917" s="134"/>
      <c r="V917" s="134"/>
      <c r="W917" s="134"/>
      <c r="X917" s="134"/>
      <c r="Y917" s="134"/>
      <c r="Z917" s="134"/>
      <c r="AA917" s="134"/>
      <c r="AB917" s="134"/>
      <c r="AC917" s="134"/>
      <c r="AD917" s="134"/>
      <c r="AE917" s="134"/>
      <c r="AF917" s="146"/>
      <c r="AG917" s="134"/>
      <c r="AH917" s="134"/>
      <c r="AI917" s="134"/>
      <c r="AJ917" s="134"/>
      <c r="AK917" s="134"/>
      <c r="AL917" s="134"/>
      <c r="AM917" s="146"/>
      <c r="AN917" s="132"/>
      <c r="AO917" s="132"/>
      <c r="AP917" s="132"/>
      <c r="AQ917" s="132"/>
      <c r="AR917" s="134"/>
      <c r="AS917" s="134"/>
      <c r="AT917" s="132"/>
      <c r="AU917" s="133"/>
      <c r="AV917" s="134"/>
    </row>
    <row r="918" spans="1:48">
      <c r="A918" s="74">
        <v>12975</v>
      </c>
      <c r="B918" s="74" t="s">
        <v>229</v>
      </c>
      <c r="C918" s="74">
        <v>1</v>
      </c>
      <c r="D918" s="74">
        <v>1188</v>
      </c>
      <c r="E918" s="73">
        <v>9.4999998807907104E-2</v>
      </c>
      <c r="F918" s="73">
        <v>0.44999998807907104</v>
      </c>
      <c r="G918" s="73">
        <v>0.11999999731779099</v>
      </c>
      <c r="H918" s="73">
        <v>0.23000000417232513</v>
      </c>
      <c r="I918" s="190">
        <v>6932.7380000000003</v>
      </c>
      <c r="J918" s="134" t="str">
        <f t="shared" si="109"/>
        <v>keep</v>
      </c>
      <c r="K918" s="134" t="str">
        <f t="shared" si="110"/>
        <v>R11</v>
      </c>
      <c r="L918" s="134" t="str">
        <f t="shared" si="111"/>
        <v>R11</v>
      </c>
      <c r="M918" s="146" t="str">
        <f t="shared" si="107"/>
        <v>R0</v>
      </c>
      <c r="N918" s="146" t="str">
        <f t="shared" si="108"/>
        <v>Better</v>
      </c>
      <c r="O918" s="146" t="str">
        <f t="shared" si="112"/>
        <v>Heat PumpR11R11R0Better</v>
      </c>
      <c r="P918" s="134" t="str">
        <f t="shared" si="113"/>
        <v>Crawlspace</v>
      </c>
      <c r="Q918" s="134"/>
      <c r="R918" s="134"/>
      <c r="S918" s="134"/>
      <c r="T918" s="134"/>
      <c r="U918" s="134"/>
      <c r="V918" s="134"/>
      <c r="W918" s="134"/>
      <c r="X918" s="134"/>
      <c r="Y918" s="134"/>
      <c r="Z918" s="134"/>
      <c r="AA918" s="134"/>
      <c r="AB918" s="134"/>
      <c r="AC918" s="134"/>
      <c r="AD918" s="134"/>
      <c r="AE918" s="134"/>
      <c r="AF918" s="146"/>
      <c r="AG918" s="134"/>
      <c r="AH918" s="134"/>
      <c r="AI918" s="134"/>
      <c r="AJ918" s="134"/>
      <c r="AK918" s="134"/>
      <c r="AL918" s="134"/>
      <c r="AM918" s="146"/>
      <c r="AN918" s="132"/>
      <c r="AO918" s="132"/>
      <c r="AP918" s="132"/>
      <c r="AQ918" s="132"/>
      <c r="AR918" s="134"/>
      <c r="AS918" s="134"/>
      <c r="AT918" s="132"/>
      <c r="AU918" s="133"/>
      <c r="AV918" s="134"/>
    </row>
    <row r="919" spans="1:48">
      <c r="A919" s="74">
        <v>12977</v>
      </c>
      <c r="B919" s="74" t="s">
        <v>229</v>
      </c>
      <c r="C919" s="74">
        <v>2</v>
      </c>
      <c r="D919" s="74">
        <v>2160</v>
      </c>
      <c r="E919" s="73">
        <v>3.5000000149011612E-2</v>
      </c>
      <c r="F919" s="73">
        <v>0.76978924598291831</v>
      </c>
      <c r="G919" s="73">
        <v>5.9999998658895493E-2</v>
      </c>
      <c r="H919" s="73">
        <v>0</v>
      </c>
      <c r="I919" s="190">
        <v>4956.4930000000004</v>
      </c>
      <c r="J919" s="134" t="str">
        <f t="shared" si="109"/>
        <v>keep</v>
      </c>
      <c r="K919" s="134" t="str">
        <f t="shared" si="110"/>
        <v>R38</v>
      </c>
      <c r="L919" s="134" t="str">
        <f t="shared" si="111"/>
        <v>R11</v>
      </c>
      <c r="M919" s="146" t="str">
        <f t="shared" si="107"/>
        <v>Slab</v>
      </c>
      <c r="N919" s="146" t="str">
        <f t="shared" si="108"/>
        <v>Better</v>
      </c>
      <c r="O919" s="146" t="str">
        <f t="shared" si="112"/>
        <v>Heat PumpR38R11SlabBetter</v>
      </c>
      <c r="P919" s="134" t="str">
        <f t="shared" si="113"/>
        <v>Slab</v>
      </c>
      <c r="Q919" s="134"/>
      <c r="R919" s="134"/>
      <c r="S919" s="134"/>
      <c r="T919" s="134"/>
      <c r="U919" s="134"/>
      <c r="V919" s="134"/>
      <c r="W919" s="134"/>
      <c r="X919" s="134"/>
      <c r="Y919" s="134"/>
      <c r="Z919" s="134"/>
      <c r="AA919" s="134"/>
      <c r="AB919" s="134"/>
      <c r="AC919" s="134"/>
      <c r="AD919" s="134"/>
      <c r="AE919" s="134"/>
      <c r="AF919" s="146"/>
      <c r="AG919" s="134"/>
      <c r="AH919" s="134"/>
      <c r="AI919" s="134"/>
      <c r="AJ919" s="134"/>
      <c r="AK919" s="134"/>
      <c r="AL919" s="134"/>
      <c r="AM919" s="146"/>
      <c r="AN919" s="132"/>
      <c r="AO919" s="132"/>
      <c r="AP919" s="132"/>
      <c r="AQ919" s="132"/>
      <c r="AR919" s="134"/>
      <c r="AS919" s="134"/>
      <c r="AT919" s="132"/>
      <c r="AU919" s="133"/>
      <c r="AV919" s="134"/>
    </row>
    <row r="920" spans="1:48">
      <c r="A920" s="74">
        <v>13011</v>
      </c>
      <c r="B920" s="74" t="s">
        <v>228</v>
      </c>
      <c r="C920" s="74">
        <v>1</v>
      </c>
      <c r="D920" s="74">
        <v>1536</v>
      </c>
      <c r="E920" s="73">
        <v>1.9999999552965164E-2</v>
      </c>
      <c r="F920" s="73">
        <v>0.58196348496223693</v>
      </c>
      <c r="G920" s="73">
        <v>9.0000003576278687E-2</v>
      </c>
      <c r="H920" s="73">
        <v>4.5000001788139343E-2</v>
      </c>
      <c r="I920" s="190">
        <v>1188.027</v>
      </c>
      <c r="J920" s="134" t="str">
        <f t="shared" si="109"/>
        <v>keep</v>
      </c>
      <c r="K920" s="134" t="str">
        <f t="shared" si="110"/>
        <v>R38</v>
      </c>
      <c r="L920" s="134" t="str">
        <f t="shared" si="111"/>
        <v>R11</v>
      </c>
      <c r="M920" s="146" t="str">
        <f t="shared" si="107"/>
        <v>Better</v>
      </c>
      <c r="N920" s="146" t="str">
        <f t="shared" si="108"/>
        <v>Better</v>
      </c>
      <c r="O920" s="146" t="str">
        <f t="shared" si="112"/>
        <v>Electric ZonalR38R11BetterBetter</v>
      </c>
      <c r="P920" s="134" t="str">
        <f t="shared" si="113"/>
        <v>Crawlspace</v>
      </c>
      <c r="Q920" s="134"/>
      <c r="R920" s="134"/>
      <c r="S920" s="134"/>
      <c r="T920" s="134"/>
      <c r="U920" s="134"/>
      <c r="V920" s="134"/>
      <c r="W920" s="134"/>
      <c r="X920" s="134"/>
      <c r="Y920" s="134"/>
      <c r="Z920" s="134"/>
      <c r="AA920" s="134"/>
      <c r="AB920" s="134"/>
      <c r="AC920" s="134"/>
      <c r="AD920" s="134"/>
      <c r="AE920" s="134"/>
      <c r="AF920" s="146"/>
      <c r="AG920" s="134"/>
      <c r="AH920" s="134"/>
      <c r="AI920" s="134"/>
      <c r="AJ920" s="134"/>
      <c r="AK920" s="134"/>
      <c r="AL920" s="134"/>
      <c r="AM920" s="146"/>
      <c r="AN920" s="132"/>
      <c r="AO920" s="132"/>
      <c r="AP920" s="132"/>
      <c r="AQ920" s="132"/>
      <c r="AR920" s="134"/>
      <c r="AS920" s="134"/>
      <c r="AT920" s="132"/>
      <c r="AU920" s="133"/>
      <c r="AV920" s="134"/>
    </row>
    <row r="921" spans="1:48">
      <c r="A921" s="74">
        <v>13023</v>
      </c>
      <c r="B921" s="74" t="s">
        <v>228</v>
      </c>
      <c r="C921" s="74" t="s">
        <v>673</v>
      </c>
      <c r="D921" s="74">
        <v>1174</v>
      </c>
      <c r="E921" s="73">
        <v>3.6129412924980418E-2</v>
      </c>
      <c r="F921" s="73">
        <v>1.0945055183473524</v>
      </c>
      <c r="G921" s="73">
        <v>0.22936107394071234</v>
      </c>
      <c r="H921" s="73">
        <v>5.9999998658895493E-2</v>
      </c>
      <c r="I921" s="190">
        <v>2003.7159999999999</v>
      </c>
      <c r="J921" s="134" t="str">
        <f t="shared" si="109"/>
        <v>ignore</v>
      </c>
      <c r="K921" s="134" t="str">
        <f t="shared" si="110"/>
        <v>R38</v>
      </c>
      <c r="L921" s="134" t="str">
        <f t="shared" si="111"/>
        <v>R0</v>
      </c>
      <c r="M921" s="146" t="str">
        <f t="shared" si="107"/>
        <v>R19</v>
      </c>
      <c r="N921" s="146" t="str">
        <f t="shared" si="108"/>
        <v>Double</v>
      </c>
      <c r="O921" s="146" t="str">
        <f t="shared" si="112"/>
        <v>Electric ZonalR38R0R19Double</v>
      </c>
      <c r="P921" s="134" t="str">
        <f t="shared" si="113"/>
        <v>error</v>
      </c>
      <c r="Q921" s="134"/>
      <c r="R921" s="134"/>
      <c r="S921" s="134"/>
      <c r="T921" s="134"/>
      <c r="U921" s="134"/>
      <c r="V921" s="134"/>
      <c r="W921" s="134"/>
      <c r="X921" s="134"/>
      <c r="Y921" s="134"/>
      <c r="Z921" s="134"/>
      <c r="AA921" s="134"/>
      <c r="AB921" s="134"/>
      <c r="AC921" s="134"/>
      <c r="AD921" s="134"/>
      <c r="AE921" s="134"/>
      <c r="AF921" s="146"/>
      <c r="AG921" s="134"/>
      <c r="AH921" s="134"/>
      <c r="AI921" s="134"/>
      <c r="AJ921" s="134"/>
      <c r="AK921" s="134"/>
      <c r="AL921" s="134"/>
      <c r="AM921" s="146"/>
      <c r="AN921" s="132"/>
      <c r="AO921" s="132"/>
      <c r="AP921" s="132"/>
      <c r="AQ921" s="132"/>
      <c r="AR921" s="134"/>
      <c r="AS921" s="134"/>
      <c r="AT921" s="132"/>
      <c r="AU921" s="133"/>
      <c r="AV921" s="134"/>
    </row>
    <row r="922" spans="1:48">
      <c r="A922" s="74">
        <v>13051</v>
      </c>
      <c r="B922" s="74" t="s">
        <v>228</v>
      </c>
      <c r="C922" s="74">
        <v>1</v>
      </c>
      <c r="D922" s="74">
        <v>1692</v>
      </c>
      <c r="E922" s="73">
        <v>2.500000037252903E-2</v>
      </c>
      <c r="F922" s="73">
        <v>0.8027777808999258</v>
      </c>
      <c r="G922" s="73">
        <v>7.9999998211860657E-2</v>
      </c>
      <c r="H922" s="73">
        <v>4.5000001788139343E-2</v>
      </c>
      <c r="I922" s="190">
        <v>4956.4930000000004</v>
      </c>
      <c r="J922" s="134" t="str">
        <f t="shared" si="109"/>
        <v>keep</v>
      </c>
      <c r="K922" s="134" t="str">
        <f t="shared" si="110"/>
        <v>R38</v>
      </c>
      <c r="L922" s="134" t="str">
        <f t="shared" si="111"/>
        <v>R11</v>
      </c>
      <c r="M922" s="146" t="str">
        <f t="shared" si="107"/>
        <v>Better</v>
      </c>
      <c r="N922" s="146" t="str">
        <f t="shared" si="108"/>
        <v>Better</v>
      </c>
      <c r="O922" s="146" t="str">
        <f t="shared" si="112"/>
        <v>Electric ZonalR38R11BetterBetter</v>
      </c>
      <c r="P922" s="134" t="str">
        <f t="shared" si="113"/>
        <v>Crawlspace</v>
      </c>
      <c r="Q922" s="134"/>
      <c r="R922" s="134"/>
      <c r="S922" s="134"/>
      <c r="T922" s="134"/>
      <c r="U922" s="134"/>
      <c r="V922" s="134"/>
      <c r="W922" s="134"/>
      <c r="X922" s="134"/>
      <c r="Y922" s="134"/>
      <c r="Z922" s="134"/>
      <c r="AA922" s="134"/>
      <c r="AB922" s="134"/>
      <c r="AC922" s="134"/>
      <c r="AD922" s="134"/>
      <c r="AE922" s="134"/>
      <c r="AF922" s="146"/>
      <c r="AG922" s="134"/>
      <c r="AH922" s="134"/>
      <c r="AI922" s="134"/>
      <c r="AJ922" s="134"/>
      <c r="AK922" s="134"/>
      <c r="AL922" s="134"/>
      <c r="AM922" s="146"/>
      <c r="AN922" s="132"/>
      <c r="AO922" s="132"/>
      <c r="AP922" s="132"/>
      <c r="AQ922" s="132"/>
      <c r="AR922" s="134"/>
      <c r="AS922" s="134"/>
      <c r="AT922" s="132"/>
      <c r="AU922" s="133"/>
      <c r="AV922" s="134"/>
    </row>
    <row r="923" spans="1:48">
      <c r="A923" s="74">
        <v>13141</v>
      </c>
      <c r="B923" s="74" t="s">
        <v>228</v>
      </c>
      <c r="C923" s="74">
        <v>1</v>
      </c>
      <c r="D923" s="74">
        <v>2256</v>
      </c>
      <c r="E923" s="73">
        <v>6.2796611304855102E-2</v>
      </c>
      <c r="F923" s="73">
        <v>0.55000001192092896</v>
      </c>
      <c r="G923" s="73">
        <v>7.9999998211860657E-2</v>
      </c>
      <c r="H923" s="73">
        <v>4.5000001788139343E-2</v>
      </c>
      <c r="I923" s="190">
        <v>4956.4930000000004</v>
      </c>
      <c r="J923" s="134" t="str">
        <f t="shared" si="109"/>
        <v>keep</v>
      </c>
      <c r="K923" s="134" t="str">
        <f t="shared" si="110"/>
        <v>R19</v>
      </c>
      <c r="L923" s="134" t="str">
        <f t="shared" si="111"/>
        <v>R11</v>
      </c>
      <c r="M923" s="146" t="str">
        <f t="shared" si="107"/>
        <v>Better</v>
      </c>
      <c r="N923" s="146" t="str">
        <f t="shared" si="108"/>
        <v>Better</v>
      </c>
      <c r="O923" s="146" t="str">
        <f t="shared" si="112"/>
        <v>Electric ZonalR19R11BetterBetter</v>
      </c>
      <c r="P923" s="134" t="str">
        <f t="shared" si="113"/>
        <v>Crawlspace</v>
      </c>
      <c r="Q923" s="134"/>
      <c r="R923" s="134"/>
      <c r="S923" s="134"/>
      <c r="T923" s="134"/>
      <c r="U923" s="134"/>
      <c r="V923" s="134"/>
      <c r="W923" s="134"/>
      <c r="X923" s="134"/>
      <c r="Y923" s="134"/>
      <c r="Z923" s="134"/>
      <c r="AA923" s="134"/>
      <c r="AB923" s="134"/>
      <c r="AC923" s="134"/>
      <c r="AD923" s="134"/>
      <c r="AE923" s="134"/>
      <c r="AF923" s="146"/>
      <c r="AG923" s="134"/>
      <c r="AH923" s="134"/>
      <c r="AI923" s="134"/>
      <c r="AJ923" s="134"/>
      <c r="AK923" s="134"/>
      <c r="AL923" s="134"/>
      <c r="AM923" s="146"/>
      <c r="AN923" s="132"/>
      <c r="AO923" s="132"/>
      <c r="AP923" s="132"/>
      <c r="AQ923" s="132"/>
      <c r="AR923" s="134"/>
      <c r="AS923" s="134"/>
      <c r="AT923" s="132"/>
      <c r="AU923" s="133"/>
      <c r="AV923" s="134"/>
    </row>
    <row r="924" spans="1:48">
      <c r="A924" s="74">
        <v>13165</v>
      </c>
      <c r="B924" s="74" t="s">
        <v>229</v>
      </c>
      <c r="C924" s="74">
        <v>1</v>
      </c>
      <c r="D924" s="74">
        <v>2375</v>
      </c>
      <c r="E924" s="73">
        <v>3.5000000149011612E-2</v>
      </c>
      <c r="F924" s="73">
        <v>0.72771738910156747</v>
      </c>
      <c r="G924" s="73">
        <v>7.9999998211860657E-2</v>
      </c>
      <c r="H924" s="73">
        <v>4.5000001788139343E-2</v>
      </c>
      <c r="I924" s="190">
        <v>4956.4930000000004</v>
      </c>
      <c r="J924" s="134" t="str">
        <f t="shared" si="109"/>
        <v>keep</v>
      </c>
      <c r="K924" s="134" t="str">
        <f t="shared" si="110"/>
        <v>R38</v>
      </c>
      <c r="L924" s="134" t="str">
        <f t="shared" si="111"/>
        <v>R11</v>
      </c>
      <c r="M924" s="146" t="str">
        <f t="shared" si="107"/>
        <v>Better</v>
      </c>
      <c r="N924" s="146" t="str">
        <f t="shared" si="108"/>
        <v>Better</v>
      </c>
      <c r="O924" s="146" t="str">
        <f t="shared" si="112"/>
        <v>Heat PumpR38R11BetterBetter</v>
      </c>
      <c r="P924" s="134" t="str">
        <f t="shared" si="113"/>
        <v>Crawlspace</v>
      </c>
      <c r="Q924" s="134"/>
      <c r="R924" s="134"/>
      <c r="S924" s="134"/>
      <c r="T924" s="134"/>
      <c r="U924" s="134"/>
      <c r="V924" s="134"/>
      <c r="W924" s="134"/>
      <c r="X924" s="134"/>
      <c r="Y924" s="134"/>
      <c r="Z924" s="134"/>
      <c r="AA924" s="134"/>
      <c r="AB924" s="134"/>
      <c r="AC924" s="134"/>
      <c r="AD924" s="134"/>
      <c r="AE924" s="134"/>
      <c r="AF924" s="146"/>
      <c r="AG924" s="134"/>
      <c r="AH924" s="134"/>
      <c r="AI924" s="134"/>
      <c r="AJ924" s="134"/>
      <c r="AK924" s="134"/>
      <c r="AL924" s="134"/>
      <c r="AM924" s="146"/>
      <c r="AN924" s="132"/>
      <c r="AO924" s="132"/>
      <c r="AP924" s="132"/>
      <c r="AQ924" s="132"/>
      <c r="AR924" s="134"/>
      <c r="AS924" s="134"/>
      <c r="AT924" s="132"/>
      <c r="AU924" s="133"/>
      <c r="AV924" s="134"/>
    </row>
    <row r="925" spans="1:48">
      <c r="A925" s="74">
        <v>13169</v>
      </c>
      <c r="B925" s="74" t="s">
        <v>229</v>
      </c>
      <c r="C925" s="74" t="s">
        <v>673</v>
      </c>
      <c r="D925" s="74">
        <v>3048</v>
      </c>
      <c r="E925" s="73">
        <v>4.5000001788139343E-2</v>
      </c>
      <c r="F925" s="73">
        <v>0.82809670057901807</v>
      </c>
      <c r="G925" s="73">
        <v>9.0000003576278687E-2</v>
      </c>
      <c r="H925" s="73">
        <v>0</v>
      </c>
      <c r="I925" s="190">
        <v>1150.8789999999999</v>
      </c>
      <c r="J925" s="134" t="str">
        <f t="shared" si="109"/>
        <v>ignore</v>
      </c>
      <c r="K925" s="134" t="str">
        <f t="shared" si="110"/>
        <v>R30</v>
      </c>
      <c r="L925" s="134" t="str">
        <f t="shared" si="111"/>
        <v>R11</v>
      </c>
      <c r="M925" s="146" t="str">
        <f t="shared" si="107"/>
        <v>Better</v>
      </c>
      <c r="N925" s="146" t="str">
        <f t="shared" si="108"/>
        <v>Double</v>
      </c>
      <c r="O925" s="146" t="str">
        <f t="shared" si="112"/>
        <v>Heat PumpR30R11BetterDouble</v>
      </c>
      <c r="P925" s="134" t="str">
        <f t="shared" si="113"/>
        <v>error</v>
      </c>
      <c r="Q925" s="134"/>
      <c r="R925" s="134"/>
      <c r="S925" s="134"/>
      <c r="T925" s="134"/>
      <c r="U925" s="134"/>
      <c r="V925" s="134"/>
      <c r="W925" s="134"/>
      <c r="X925" s="134"/>
      <c r="Y925" s="134"/>
      <c r="Z925" s="134"/>
      <c r="AA925" s="134"/>
      <c r="AB925" s="134"/>
      <c r="AC925" s="134"/>
      <c r="AD925" s="134"/>
      <c r="AE925" s="134"/>
      <c r="AF925" s="146"/>
      <c r="AG925" s="134"/>
      <c r="AH925" s="134"/>
      <c r="AI925" s="134"/>
      <c r="AJ925" s="134"/>
      <c r="AK925" s="134"/>
      <c r="AL925" s="134"/>
      <c r="AM925" s="146"/>
      <c r="AN925" s="132"/>
      <c r="AO925" s="132"/>
      <c r="AP925" s="132"/>
      <c r="AQ925" s="132"/>
      <c r="AR925" s="134"/>
      <c r="AS925" s="134"/>
      <c r="AT925" s="132"/>
      <c r="AU925" s="133"/>
      <c r="AV925" s="134"/>
    </row>
    <row r="926" spans="1:48">
      <c r="A926" s="74">
        <v>13222</v>
      </c>
      <c r="B926" s="74" t="s">
        <v>229</v>
      </c>
      <c r="C926" s="74">
        <v>4</v>
      </c>
      <c r="D926" s="74">
        <v>2152</v>
      </c>
      <c r="E926" s="73">
        <v>0.15000000596046448</v>
      </c>
      <c r="F926" s="73">
        <v>0.57330509717181577</v>
      </c>
      <c r="G926" s="73">
        <v>0.18832573182439183</v>
      </c>
      <c r="H926" s="73">
        <v>0</v>
      </c>
      <c r="I926" s="190">
        <v>2003.7159999999999</v>
      </c>
      <c r="J926" s="134" t="str">
        <f t="shared" si="109"/>
        <v>keep</v>
      </c>
      <c r="K926" s="134" t="str">
        <f t="shared" si="110"/>
        <v>R0</v>
      </c>
      <c r="L926" s="134" t="str">
        <f t="shared" si="111"/>
        <v>R11</v>
      </c>
      <c r="M926" s="146" t="str">
        <f t="shared" si="107"/>
        <v>Basement</v>
      </c>
      <c r="N926" s="146" t="str">
        <f t="shared" si="108"/>
        <v>Better</v>
      </c>
      <c r="O926" s="146" t="str">
        <f t="shared" si="112"/>
        <v>Heat PumpR0R11BasementBetter</v>
      </c>
      <c r="P926" s="134" t="str">
        <f t="shared" si="113"/>
        <v>Basement</v>
      </c>
      <c r="Q926" s="134"/>
      <c r="R926" s="134"/>
      <c r="S926" s="134"/>
      <c r="T926" s="134"/>
      <c r="U926" s="134"/>
      <c r="V926" s="134"/>
      <c r="W926" s="134"/>
      <c r="X926" s="134"/>
      <c r="Y926" s="134"/>
      <c r="Z926" s="134"/>
      <c r="AA926" s="134"/>
      <c r="AB926" s="134"/>
      <c r="AC926" s="134"/>
      <c r="AD926" s="134"/>
      <c r="AE926" s="134"/>
      <c r="AF926" s="146"/>
      <c r="AG926" s="134"/>
      <c r="AH926" s="134"/>
      <c r="AI926" s="134"/>
      <c r="AJ926" s="134"/>
      <c r="AK926" s="134"/>
      <c r="AL926" s="134"/>
      <c r="AM926" s="146"/>
      <c r="AN926" s="132"/>
      <c r="AO926" s="132"/>
      <c r="AP926" s="132"/>
      <c r="AQ926" s="132"/>
      <c r="AR926" s="134"/>
      <c r="AS926" s="134"/>
      <c r="AT926" s="132"/>
      <c r="AU926" s="133"/>
      <c r="AV926" s="134"/>
    </row>
    <row r="927" spans="1:48">
      <c r="A927" s="74">
        <v>13246</v>
      </c>
      <c r="B927" s="74" t="s">
        <v>228</v>
      </c>
      <c r="C927" s="74">
        <v>4</v>
      </c>
      <c r="D927" s="74">
        <v>3672</v>
      </c>
      <c r="E927" s="73">
        <v>1.9999999552965164E-2</v>
      </c>
      <c r="F927" s="73">
        <v>0.53564886346118146</v>
      </c>
      <c r="G927" s="73">
        <v>0.11999999731779099</v>
      </c>
      <c r="H927" s="73">
        <v>0</v>
      </c>
      <c r="I927" s="190">
        <v>2003.7159999999999</v>
      </c>
      <c r="J927" s="134" t="str">
        <f t="shared" si="109"/>
        <v>keep</v>
      </c>
      <c r="K927" s="134" t="str">
        <f t="shared" si="110"/>
        <v>R38</v>
      </c>
      <c r="L927" s="134" t="str">
        <f t="shared" si="111"/>
        <v>R11</v>
      </c>
      <c r="M927" s="146" t="str">
        <f t="shared" si="107"/>
        <v>Basement</v>
      </c>
      <c r="N927" s="146" t="str">
        <f t="shared" si="108"/>
        <v>Better</v>
      </c>
      <c r="O927" s="146" t="str">
        <f t="shared" si="112"/>
        <v>Electric ZonalR38R11BasementBetter</v>
      </c>
      <c r="P927" s="134" t="str">
        <f t="shared" si="113"/>
        <v>Basement</v>
      </c>
      <c r="Q927" s="134"/>
      <c r="R927" s="134"/>
      <c r="S927" s="134"/>
      <c r="T927" s="134"/>
      <c r="U927" s="134"/>
      <c r="V927" s="134"/>
      <c r="W927" s="134"/>
      <c r="X927" s="134"/>
      <c r="Y927" s="134"/>
      <c r="Z927" s="134"/>
      <c r="AA927" s="134"/>
      <c r="AB927" s="134"/>
      <c r="AC927" s="134"/>
      <c r="AD927" s="134"/>
      <c r="AE927" s="134"/>
      <c r="AF927" s="146"/>
      <c r="AG927" s="134"/>
      <c r="AH927" s="134"/>
      <c r="AI927" s="134"/>
      <c r="AJ927" s="134"/>
      <c r="AK927" s="134"/>
      <c r="AL927" s="134"/>
      <c r="AM927" s="146"/>
      <c r="AN927" s="132"/>
      <c r="AO927" s="132"/>
      <c r="AP927" s="132"/>
      <c r="AQ927" s="132"/>
      <c r="AR927" s="134"/>
      <c r="AS927" s="134"/>
      <c r="AT927" s="132"/>
      <c r="AU927" s="133"/>
      <c r="AV927" s="134"/>
    </row>
    <row r="928" spans="1:48">
      <c r="A928" s="74">
        <v>13248</v>
      </c>
      <c r="B928" s="74" t="s">
        <v>229</v>
      </c>
      <c r="C928" s="74">
        <v>1</v>
      </c>
      <c r="D928" s="74">
        <v>1112</v>
      </c>
      <c r="E928" s="73">
        <v>7.9999998211860657E-2</v>
      </c>
      <c r="F928" s="73">
        <v>0.4797101400900578</v>
      </c>
      <c r="G928" s="73">
        <v>5.9999998658895493E-2</v>
      </c>
      <c r="H928" s="73">
        <v>3.5000000149011612E-2</v>
      </c>
      <c r="I928" s="190">
        <v>1464.694</v>
      </c>
      <c r="J928" s="134" t="str">
        <f t="shared" si="109"/>
        <v>keep</v>
      </c>
      <c r="K928" s="134" t="str">
        <f t="shared" si="110"/>
        <v>R19</v>
      </c>
      <c r="L928" s="134" t="str">
        <f t="shared" si="111"/>
        <v>R11</v>
      </c>
      <c r="M928" s="146" t="str">
        <f t="shared" si="107"/>
        <v>Better</v>
      </c>
      <c r="N928" s="146" t="str">
        <f t="shared" si="108"/>
        <v>Better</v>
      </c>
      <c r="O928" s="146" t="str">
        <f t="shared" si="112"/>
        <v>Heat PumpR19R11BetterBetter</v>
      </c>
      <c r="P928" s="134" t="str">
        <f t="shared" si="113"/>
        <v>Crawlspace</v>
      </c>
      <c r="Q928" s="134"/>
      <c r="R928" s="134"/>
      <c r="S928" s="134"/>
      <c r="T928" s="134"/>
      <c r="U928" s="134"/>
      <c r="V928" s="134"/>
      <c r="W928" s="134"/>
      <c r="X928" s="134"/>
      <c r="Y928" s="134"/>
      <c r="Z928" s="134"/>
      <c r="AA928" s="134"/>
      <c r="AB928" s="134"/>
      <c r="AC928" s="134"/>
      <c r="AD928" s="134"/>
      <c r="AE928" s="134"/>
      <c r="AF928" s="146"/>
      <c r="AG928" s="134"/>
      <c r="AH928" s="134"/>
      <c r="AI928" s="134"/>
      <c r="AJ928" s="134"/>
      <c r="AK928" s="134"/>
      <c r="AL928" s="134"/>
      <c r="AM928" s="146"/>
      <c r="AN928" s="132"/>
      <c r="AO928" s="132"/>
      <c r="AP928" s="132"/>
      <c r="AQ928" s="132"/>
      <c r="AR928" s="134"/>
      <c r="AS928" s="134"/>
      <c r="AT928" s="132"/>
      <c r="AU928" s="133"/>
      <c r="AV928" s="134"/>
    </row>
    <row r="929" spans="1:48">
      <c r="A929" s="74">
        <v>13250</v>
      </c>
      <c r="B929" s="74" t="s">
        <v>228</v>
      </c>
      <c r="C929" s="74">
        <v>1</v>
      </c>
      <c r="D929" s="74">
        <v>1024</v>
      </c>
      <c r="E929" s="73">
        <v>2.500000037252903E-2</v>
      </c>
      <c r="F929" s="73">
        <v>0.55000001192092896</v>
      </c>
      <c r="G929" s="73">
        <v>9.0000003576278687E-2</v>
      </c>
      <c r="H929" s="73">
        <v>6.4999997615814209E-2</v>
      </c>
      <c r="I929" s="190">
        <v>2003.7159999999999</v>
      </c>
      <c r="J929" s="134" t="str">
        <f t="shared" si="109"/>
        <v>keep</v>
      </c>
      <c r="K929" s="134" t="str">
        <f t="shared" si="110"/>
        <v>R38</v>
      </c>
      <c r="L929" s="134" t="str">
        <f t="shared" si="111"/>
        <v>R11</v>
      </c>
      <c r="M929" s="146" t="str">
        <f t="shared" si="107"/>
        <v>R19</v>
      </c>
      <c r="N929" s="146" t="str">
        <f t="shared" si="108"/>
        <v>Better</v>
      </c>
      <c r="O929" s="146" t="str">
        <f t="shared" si="112"/>
        <v>Electric ZonalR38R11R19Better</v>
      </c>
      <c r="P929" s="134" t="str">
        <f t="shared" si="113"/>
        <v>Crawlspace</v>
      </c>
      <c r="Q929" s="134"/>
      <c r="R929" s="134"/>
      <c r="S929" s="134"/>
      <c r="T929" s="134"/>
      <c r="U929" s="134"/>
      <c r="V929" s="134"/>
      <c r="W929" s="134"/>
      <c r="X929" s="134"/>
      <c r="Y929" s="134"/>
      <c r="Z929" s="134"/>
      <c r="AA929" s="134"/>
      <c r="AB929" s="134"/>
      <c r="AC929" s="134"/>
      <c r="AD929" s="134"/>
      <c r="AE929" s="134"/>
      <c r="AF929" s="146"/>
      <c r="AG929" s="134"/>
      <c r="AH929" s="134"/>
      <c r="AI929" s="134"/>
      <c r="AJ929" s="134"/>
      <c r="AK929" s="134"/>
      <c r="AL929" s="134"/>
      <c r="AM929" s="146"/>
      <c r="AN929" s="132"/>
      <c r="AO929" s="132"/>
      <c r="AP929" s="132"/>
      <c r="AQ929" s="132"/>
      <c r="AR929" s="134"/>
      <c r="AS929" s="134"/>
      <c r="AT929" s="132"/>
      <c r="AU929" s="133"/>
      <c r="AV929" s="134"/>
    </row>
    <row r="930" spans="1:48">
      <c r="A930" s="74">
        <v>13265</v>
      </c>
      <c r="B930" s="74" t="s">
        <v>228</v>
      </c>
      <c r="C930" s="74">
        <v>2</v>
      </c>
      <c r="D930" s="74">
        <v>1308</v>
      </c>
      <c r="E930" s="73">
        <v>9.4999998807907104E-2</v>
      </c>
      <c r="F930" s="73">
        <v>0.40000000596046448</v>
      </c>
      <c r="G930" s="73">
        <v>0.11999999731779099</v>
      </c>
      <c r="H930" s="73">
        <v>0</v>
      </c>
      <c r="I930" s="190">
        <v>2003.7159999999999</v>
      </c>
      <c r="J930" s="134" t="str">
        <f t="shared" si="109"/>
        <v>keep</v>
      </c>
      <c r="K930" s="134" t="str">
        <f t="shared" si="110"/>
        <v>R11</v>
      </c>
      <c r="L930" s="134" t="str">
        <f t="shared" si="111"/>
        <v>R11</v>
      </c>
      <c r="M930" s="146" t="str">
        <f t="shared" si="107"/>
        <v>Slab</v>
      </c>
      <c r="N930" s="146" t="str">
        <f t="shared" si="108"/>
        <v>Better</v>
      </c>
      <c r="O930" s="146" t="str">
        <f t="shared" si="112"/>
        <v>Electric ZonalR11R11SlabBetter</v>
      </c>
      <c r="P930" s="134" t="str">
        <f t="shared" si="113"/>
        <v>Slab</v>
      </c>
      <c r="Q930" s="134"/>
      <c r="R930" s="134"/>
      <c r="S930" s="134"/>
      <c r="T930" s="134"/>
      <c r="U930" s="134"/>
      <c r="V930" s="134"/>
      <c r="W930" s="134"/>
      <c r="X930" s="134"/>
      <c r="Y930" s="134"/>
      <c r="Z930" s="134"/>
      <c r="AA930" s="134"/>
      <c r="AB930" s="134"/>
      <c r="AC930" s="134"/>
      <c r="AD930" s="134"/>
      <c r="AE930" s="134"/>
      <c r="AF930" s="146"/>
      <c r="AG930" s="134"/>
      <c r="AH930" s="134"/>
      <c r="AI930" s="134"/>
      <c r="AJ930" s="134"/>
      <c r="AK930" s="134"/>
      <c r="AL930" s="134"/>
      <c r="AM930" s="146"/>
      <c r="AN930" s="132"/>
      <c r="AO930" s="132"/>
      <c r="AP930" s="132"/>
      <c r="AQ930" s="132"/>
      <c r="AR930" s="134"/>
      <c r="AS930" s="134"/>
      <c r="AT930" s="132"/>
      <c r="AU930" s="133"/>
      <c r="AV930" s="134"/>
    </row>
    <row r="931" spans="1:48">
      <c r="A931" s="74">
        <v>13310</v>
      </c>
      <c r="B931" s="74" t="s">
        <v>228</v>
      </c>
      <c r="C931" s="74">
        <v>1</v>
      </c>
      <c r="D931" s="74">
        <v>756</v>
      </c>
      <c r="E931" s="73">
        <v>5.4645670093889313E-2</v>
      </c>
      <c r="F931" s="73">
        <v>0.6837837986043982</v>
      </c>
      <c r="G931" s="73">
        <v>0.23400000000000001</v>
      </c>
      <c r="H931" s="73">
        <v>6.4999997615814209E-2</v>
      </c>
      <c r="I931" s="190">
        <v>2003.7159999999999</v>
      </c>
      <c r="J931" s="134" t="str">
        <f t="shared" si="109"/>
        <v>keep</v>
      </c>
      <c r="K931" s="134" t="str">
        <f t="shared" si="110"/>
        <v>R19</v>
      </c>
      <c r="L931" s="134" t="str">
        <f t="shared" si="111"/>
        <v>R0</v>
      </c>
      <c r="M931" s="146" t="str">
        <f t="shared" si="107"/>
        <v>R19</v>
      </c>
      <c r="N931" s="146" t="str">
        <f t="shared" si="108"/>
        <v>Better</v>
      </c>
      <c r="O931" s="146" t="str">
        <f t="shared" si="112"/>
        <v>Electric ZonalR19R0R19Better</v>
      </c>
      <c r="P931" s="134" t="str">
        <f t="shared" si="113"/>
        <v>Crawlspace</v>
      </c>
      <c r="Q931" s="134"/>
      <c r="R931" s="134"/>
      <c r="S931" s="134"/>
      <c r="T931" s="134"/>
      <c r="U931" s="134"/>
      <c r="V931" s="134"/>
      <c r="W931" s="134"/>
      <c r="X931" s="134"/>
      <c r="Y931" s="134"/>
      <c r="Z931" s="134"/>
      <c r="AA931" s="134"/>
      <c r="AB931" s="134"/>
      <c r="AC931" s="134"/>
      <c r="AD931" s="134"/>
      <c r="AE931" s="134"/>
      <c r="AF931" s="146"/>
      <c r="AG931" s="134"/>
      <c r="AH931" s="134"/>
      <c r="AI931" s="134"/>
      <c r="AJ931" s="134"/>
      <c r="AK931" s="134"/>
      <c r="AL931" s="134"/>
      <c r="AM931" s="146"/>
      <c r="AN931" s="132"/>
      <c r="AO931" s="132"/>
      <c r="AP931" s="132"/>
      <c r="AQ931" s="132"/>
      <c r="AR931" s="134"/>
      <c r="AS931" s="134"/>
      <c r="AT931" s="132"/>
      <c r="AU931" s="133"/>
      <c r="AV931" s="134"/>
    </row>
    <row r="932" spans="1:48">
      <c r="A932" s="74">
        <v>13315</v>
      </c>
      <c r="B932" s="74" t="s">
        <v>228</v>
      </c>
      <c r="C932" s="74">
        <v>1</v>
      </c>
      <c r="D932" s="74">
        <v>910</v>
      </c>
      <c r="E932" s="73">
        <v>4.723076817507927E-2</v>
      </c>
      <c r="F932" s="73">
        <v>0.51038961286668649</v>
      </c>
      <c r="G932" s="73">
        <v>5.9999998658895493E-2</v>
      </c>
      <c r="H932" s="73">
        <v>3.5000000149011612E-2</v>
      </c>
      <c r="I932" s="190">
        <v>4956.4930000000004</v>
      </c>
      <c r="J932" s="134" t="str">
        <f t="shared" si="109"/>
        <v>keep</v>
      </c>
      <c r="K932" s="134" t="str">
        <f t="shared" si="110"/>
        <v>R30</v>
      </c>
      <c r="L932" s="134" t="str">
        <f t="shared" si="111"/>
        <v>R11</v>
      </c>
      <c r="M932" s="146" t="str">
        <f t="shared" si="107"/>
        <v>Better</v>
      </c>
      <c r="N932" s="146" t="str">
        <f t="shared" si="108"/>
        <v>Better</v>
      </c>
      <c r="O932" s="146" t="str">
        <f t="shared" si="112"/>
        <v>Electric ZonalR30R11BetterBetter</v>
      </c>
      <c r="P932" s="134" t="str">
        <f t="shared" si="113"/>
        <v>Crawlspace</v>
      </c>
      <c r="Q932" s="134"/>
      <c r="R932" s="134"/>
      <c r="S932" s="134"/>
      <c r="T932" s="134"/>
      <c r="U932" s="134"/>
      <c r="V932" s="134"/>
      <c r="W932" s="134"/>
      <c r="X932" s="134"/>
      <c r="Y932" s="134"/>
      <c r="Z932" s="134"/>
      <c r="AA932" s="134"/>
      <c r="AB932" s="134"/>
      <c r="AC932" s="134"/>
      <c r="AD932" s="134"/>
      <c r="AE932" s="134"/>
      <c r="AF932" s="146"/>
      <c r="AG932" s="134"/>
      <c r="AH932" s="134"/>
      <c r="AI932" s="134"/>
      <c r="AJ932" s="134"/>
      <c r="AK932" s="134"/>
      <c r="AL932" s="134"/>
      <c r="AM932" s="146"/>
      <c r="AN932" s="132"/>
      <c r="AO932" s="132"/>
      <c r="AP932" s="132"/>
      <c r="AQ932" s="132"/>
      <c r="AR932" s="134"/>
      <c r="AS932" s="134"/>
      <c r="AT932" s="132"/>
      <c r="AU932" s="133"/>
      <c r="AV932" s="134"/>
    </row>
    <row r="933" spans="1:48">
      <c r="A933" s="74">
        <v>13319</v>
      </c>
      <c r="B933" s="74" t="s">
        <v>227</v>
      </c>
      <c r="C933" s="74" t="s">
        <v>673</v>
      </c>
      <c r="D933" s="74">
        <v>1809</v>
      </c>
      <c r="E933" s="73">
        <v>0.20280991051315278</v>
      </c>
      <c r="F933" s="73">
        <v>0.44999998807907104</v>
      </c>
      <c r="G933" s="73">
        <v>0.23400000000000001</v>
      </c>
      <c r="H933" s="73">
        <v>9.0000003576278687E-2</v>
      </c>
      <c r="I933" s="190">
        <v>1150.8789999999999</v>
      </c>
      <c r="J933" s="134" t="str">
        <f t="shared" si="109"/>
        <v>ignore</v>
      </c>
      <c r="K933" s="134" t="str">
        <f t="shared" si="110"/>
        <v>R0</v>
      </c>
      <c r="L933" s="134" t="str">
        <f t="shared" si="111"/>
        <v>R0</v>
      </c>
      <c r="M933" s="146" t="str">
        <f t="shared" si="107"/>
        <v>R0</v>
      </c>
      <c r="N933" s="146" t="str">
        <f t="shared" si="108"/>
        <v>Better</v>
      </c>
      <c r="O933" s="146" t="str">
        <f t="shared" si="112"/>
        <v>Electric FAFR0R0R0Better</v>
      </c>
      <c r="P933" s="134" t="str">
        <f t="shared" si="113"/>
        <v>error</v>
      </c>
      <c r="Q933" s="134"/>
      <c r="R933" s="134"/>
      <c r="S933" s="134"/>
      <c r="T933" s="134"/>
      <c r="U933" s="134"/>
      <c r="V933" s="134"/>
      <c r="W933" s="134"/>
      <c r="X933" s="134"/>
      <c r="Y933" s="134"/>
      <c r="Z933" s="134"/>
      <c r="AA933" s="134"/>
      <c r="AB933" s="134"/>
      <c r="AC933" s="134"/>
      <c r="AD933" s="134"/>
      <c r="AE933" s="134"/>
      <c r="AF933" s="146"/>
      <c r="AG933" s="134"/>
      <c r="AH933" s="134"/>
      <c r="AI933" s="134"/>
      <c r="AJ933" s="134"/>
      <c r="AK933" s="134"/>
      <c r="AL933" s="134"/>
      <c r="AM933" s="146"/>
      <c r="AN933" s="132"/>
      <c r="AO933" s="132"/>
      <c r="AP933" s="132"/>
      <c r="AQ933" s="132"/>
      <c r="AR933" s="134"/>
      <c r="AS933" s="134"/>
      <c r="AT933" s="132"/>
      <c r="AU933" s="133"/>
      <c r="AV933" s="134"/>
    </row>
    <row r="934" spans="1:48">
      <c r="A934" s="74">
        <v>13347</v>
      </c>
      <c r="B934" s="74" t="s">
        <v>228</v>
      </c>
      <c r="C934" s="74">
        <v>1</v>
      </c>
      <c r="D934" s="74">
        <v>2294</v>
      </c>
      <c r="E934" s="73">
        <v>2.500000037252903E-2</v>
      </c>
      <c r="F934" s="73">
        <v>0.85000002384185791</v>
      </c>
      <c r="G934" s="73">
        <v>0.23400000000000001</v>
      </c>
      <c r="H934" s="73">
        <v>9.0000003576278687E-2</v>
      </c>
      <c r="I934" s="190">
        <v>2003.7159999999999</v>
      </c>
      <c r="J934" s="134" t="str">
        <f t="shared" si="109"/>
        <v>keep</v>
      </c>
      <c r="K934" s="134" t="str">
        <f t="shared" si="110"/>
        <v>R38</v>
      </c>
      <c r="L934" s="134" t="str">
        <f t="shared" si="111"/>
        <v>R0</v>
      </c>
      <c r="M934" s="146" t="str">
        <f t="shared" si="107"/>
        <v>R0</v>
      </c>
      <c r="N934" s="146" t="str">
        <f t="shared" si="108"/>
        <v>Double</v>
      </c>
      <c r="O934" s="146" t="str">
        <f t="shared" si="112"/>
        <v>Electric ZonalR38R0R0Double</v>
      </c>
      <c r="P934" s="134" t="str">
        <f t="shared" si="113"/>
        <v>Crawlspace</v>
      </c>
      <c r="Q934" s="134"/>
      <c r="R934" s="134"/>
      <c r="S934" s="134"/>
      <c r="T934" s="134"/>
      <c r="U934" s="134"/>
      <c r="V934" s="134"/>
      <c r="W934" s="134"/>
      <c r="X934" s="134"/>
      <c r="Y934" s="134"/>
      <c r="Z934" s="134"/>
      <c r="AA934" s="134"/>
      <c r="AB934" s="134"/>
      <c r="AC934" s="134"/>
      <c r="AD934" s="134"/>
      <c r="AE934" s="134"/>
      <c r="AF934" s="146"/>
      <c r="AG934" s="134"/>
      <c r="AH934" s="134"/>
      <c r="AI934" s="134"/>
      <c r="AJ934" s="134"/>
      <c r="AK934" s="134"/>
      <c r="AL934" s="134"/>
      <c r="AM934" s="146"/>
      <c r="AN934" s="132"/>
      <c r="AO934" s="132"/>
      <c r="AP934" s="132"/>
      <c r="AQ934" s="132"/>
      <c r="AR934" s="134"/>
      <c r="AS934" s="134"/>
      <c r="AT934" s="132"/>
      <c r="AU934" s="133"/>
      <c r="AV934" s="134"/>
    </row>
    <row r="935" spans="1:48">
      <c r="A935" s="74">
        <v>13359</v>
      </c>
      <c r="B935" s="74" t="s">
        <v>228</v>
      </c>
      <c r="C935" s="74">
        <v>1</v>
      </c>
      <c r="D935" s="74">
        <v>1040</v>
      </c>
      <c r="E935" s="73">
        <v>0.14499999582767487</v>
      </c>
      <c r="F935" s="73">
        <v>0.55000001192092896</v>
      </c>
      <c r="G935" s="73">
        <v>7.5000002980232239E-2</v>
      </c>
      <c r="H935" s="73">
        <v>5.9999998658895493E-2</v>
      </c>
      <c r="I935" s="190">
        <v>1150.8789999999999</v>
      </c>
      <c r="J935" s="134" t="str">
        <f t="shared" si="109"/>
        <v>keep</v>
      </c>
      <c r="K935" s="134" t="str">
        <f t="shared" si="110"/>
        <v>R11</v>
      </c>
      <c r="L935" s="134" t="str">
        <f t="shared" si="111"/>
        <v>R11</v>
      </c>
      <c r="M935" s="146" t="str">
        <f t="shared" si="107"/>
        <v>R19</v>
      </c>
      <c r="N935" s="146" t="str">
        <f t="shared" si="108"/>
        <v>Better</v>
      </c>
      <c r="O935" s="146" t="str">
        <f t="shared" si="112"/>
        <v>Electric ZonalR11R11R19Better</v>
      </c>
      <c r="P935" s="134" t="str">
        <f t="shared" si="113"/>
        <v>Crawlspace</v>
      </c>
      <c r="Q935" s="134"/>
      <c r="R935" s="134"/>
      <c r="S935" s="134"/>
      <c r="T935" s="134"/>
      <c r="U935" s="134"/>
      <c r="V935" s="134"/>
      <c r="W935" s="134"/>
      <c r="X935" s="134"/>
      <c r="Y935" s="134"/>
      <c r="Z935" s="134"/>
      <c r="AA935" s="134"/>
      <c r="AB935" s="134"/>
      <c r="AC935" s="134"/>
      <c r="AD935" s="134"/>
      <c r="AE935" s="134"/>
      <c r="AF935" s="146"/>
      <c r="AG935" s="134"/>
      <c r="AH935" s="134"/>
      <c r="AI935" s="134"/>
      <c r="AJ935" s="134"/>
      <c r="AK935" s="134"/>
      <c r="AL935" s="134"/>
      <c r="AM935" s="146"/>
      <c r="AN935" s="132"/>
      <c r="AO935" s="132"/>
      <c r="AP935" s="132"/>
      <c r="AQ935" s="132"/>
      <c r="AR935" s="134"/>
      <c r="AS935" s="134"/>
      <c r="AT935" s="132"/>
      <c r="AU935" s="133"/>
      <c r="AV935" s="134"/>
    </row>
    <row r="936" spans="1:48">
      <c r="A936" s="74">
        <v>13445</v>
      </c>
      <c r="B936" s="74" t="s">
        <v>229</v>
      </c>
      <c r="C936" s="74">
        <v>1</v>
      </c>
      <c r="D936" s="74">
        <v>3440</v>
      </c>
      <c r="E936" s="73">
        <v>4.3911535628883093E-2</v>
      </c>
      <c r="F936" s="73">
        <v>0.46789726361417083</v>
      </c>
      <c r="G936" s="73">
        <v>4.5000001788139343E-2</v>
      </c>
      <c r="H936" s="73">
        <v>2.9999999329447746E-2</v>
      </c>
      <c r="I936" s="190">
        <v>4956.4930000000004</v>
      </c>
      <c r="J936" s="134" t="str">
        <f t="shared" si="109"/>
        <v>keep</v>
      </c>
      <c r="K936" s="134" t="str">
        <f t="shared" si="110"/>
        <v>R30</v>
      </c>
      <c r="L936" s="134" t="str">
        <f t="shared" si="111"/>
        <v>R11</v>
      </c>
      <c r="M936" s="146" t="str">
        <f t="shared" si="107"/>
        <v>Better</v>
      </c>
      <c r="N936" s="146" t="str">
        <f t="shared" si="108"/>
        <v>Better</v>
      </c>
      <c r="O936" s="146" t="str">
        <f t="shared" si="112"/>
        <v>Heat PumpR30R11BetterBetter</v>
      </c>
      <c r="P936" s="134" t="str">
        <f t="shared" si="113"/>
        <v>Crawlspace</v>
      </c>
      <c r="Q936" s="134"/>
      <c r="R936" s="134"/>
      <c r="S936" s="134"/>
      <c r="T936" s="134"/>
      <c r="U936" s="134"/>
      <c r="V936" s="134"/>
      <c r="W936" s="134"/>
      <c r="X936" s="134"/>
      <c r="Y936" s="134"/>
      <c r="Z936" s="134"/>
      <c r="AA936" s="134"/>
      <c r="AB936" s="134"/>
      <c r="AC936" s="134"/>
      <c r="AD936" s="134"/>
      <c r="AE936" s="134"/>
      <c r="AF936" s="146"/>
      <c r="AG936" s="134"/>
      <c r="AH936" s="134"/>
      <c r="AI936" s="134"/>
      <c r="AJ936" s="134"/>
      <c r="AK936" s="134"/>
      <c r="AL936" s="134"/>
      <c r="AM936" s="146"/>
      <c r="AN936" s="132"/>
      <c r="AO936" s="132"/>
      <c r="AP936" s="132"/>
      <c r="AQ936" s="132"/>
      <c r="AR936" s="134"/>
      <c r="AS936" s="134"/>
      <c r="AT936" s="132"/>
      <c r="AU936" s="133"/>
      <c r="AV936" s="134"/>
    </row>
    <row r="937" spans="1:48">
      <c r="A937" s="74">
        <v>13451</v>
      </c>
      <c r="B937" s="74" t="s">
        <v>229</v>
      </c>
      <c r="C937" s="74">
        <v>1</v>
      </c>
      <c r="D937" s="74">
        <v>1142</v>
      </c>
      <c r="E937" s="73">
        <v>4.5000001788139343E-2</v>
      </c>
      <c r="F937" s="73">
        <v>0.60000002384185791</v>
      </c>
      <c r="G937" s="73">
        <v>9.0000003576278687E-2</v>
      </c>
      <c r="H937" s="73">
        <v>4.5000001788139343E-2</v>
      </c>
      <c r="I937" s="190">
        <v>1150.8789999999999</v>
      </c>
      <c r="J937" s="134" t="str">
        <f t="shared" si="109"/>
        <v>keep</v>
      </c>
      <c r="K937" s="134" t="str">
        <f t="shared" si="110"/>
        <v>R30</v>
      </c>
      <c r="L937" s="134" t="str">
        <f t="shared" si="111"/>
        <v>R11</v>
      </c>
      <c r="M937" s="146" t="str">
        <f t="shared" si="107"/>
        <v>Better</v>
      </c>
      <c r="N937" s="146" t="str">
        <f t="shared" si="108"/>
        <v>Better</v>
      </c>
      <c r="O937" s="146" t="str">
        <f t="shared" si="112"/>
        <v>Heat PumpR30R11BetterBetter</v>
      </c>
      <c r="P937" s="134" t="str">
        <f t="shared" si="113"/>
        <v>Crawlspace</v>
      </c>
      <c r="Q937" s="134"/>
      <c r="R937" s="134"/>
      <c r="S937" s="134"/>
      <c r="T937" s="134"/>
      <c r="U937" s="134"/>
      <c r="V937" s="134"/>
      <c r="W937" s="134"/>
      <c r="X937" s="134"/>
      <c r="Y937" s="134"/>
      <c r="Z937" s="134"/>
      <c r="AA937" s="134"/>
      <c r="AB937" s="134"/>
      <c r="AC937" s="134"/>
      <c r="AD937" s="134"/>
      <c r="AE937" s="134"/>
      <c r="AF937" s="146"/>
      <c r="AG937" s="134"/>
      <c r="AH937" s="134"/>
      <c r="AI937" s="134"/>
      <c r="AJ937" s="134"/>
      <c r="AK937" s="134"/>
      <c r="AL937" s="134"/>
      <c r="AM937" s="146"/>
      <c r="AN937" s="132"/>
      <c r="AO937" s="132"/>
      <c r="AP937" s="132"/>
      <c r="AQ937" s="132"/>
      <c r="AR937" s="134"/>
      <c r="AS937" s="134"/>
      <c r="AT937" s="132"/>
      <c r="AU937" s="133"/>
      <c r="AV937" s="134"/>
    </row>
    <row r="938" spans="1:48">
      <c r="A938" s="74">
        <v>13490</v>
      </c>
      <c r="B938" s="74" t="s">
        <v>229</v>
      </c>
      <c r="C938" s="74">
        <v>1</v>
      </c>
      <c r="D938" s="74">
        <v>1560</v>
      </c>
      <c r="E938" s="73">
        <v>7.5000002980232239E-2</v>
      </c>
      <c r="F938" s="73">
        <v>0.60000002384185791</v>
      </c>
      <c r="G938" s="73">
        <v>7.9999998211860657E-2</v>
      </c>
      <c r="H938" s="73">
        <v>6.4999997615814209E-2</v>
      </c>
      <c r="I938" s="190">
        <v>1464.694</v>
      </c>
      <c r="J938" s="134" t="str">
        <f t="shared" si="109"/>
        <v>keep</v>
      </c>
      <c r="K938" s="134" t="str">
        <f t="shared" si="110"/>
        <v>R19</v>
      </c>
      <c r="L938" s="134" t="str">
        <f t="shared" si="111"/>
        <v>R11</v>
      </c>
      <c r="M938" s="146" t="str">
        <f t="shared" si="107"/>
        <v>R19</v>
      </c>
      <c r="N938" s="146" t="str">
        <f t="shared" si="108"/>
        <v>Better</v>
      </c>
      <c r="O938" s="146" t="str">
        <f t="shared" si="112"/>
        <v>Heat PumpR19R11R19Better</v>
      </c>
      <c r="P938" s="134" t="str">
        <f t="shared" si="113"/>
        <v>Crawlspace</v>
      </c>
      <c r="Q938" s="134"/>
      <c r="R938" s="134"/>
      <c r="S938" s="134"/>
      <c r="T938" s="134"/>
      <c r="U938" s="134"/>
      <c r="V938" s="134"/>
      <c r="W938" s="134"/>
      <c r="X938" s="134"/>
      <c r="Y938" s="134"/>
      <c r="Z938" s="134"/>
      <c r="AA938" s="134"/>
      <c r="AB938" s="134"/>
      <c r="AC938" s="134"/>
      <c r="AD938" s="134"/>
      <c r="AE938" s="134"/>
      <c r="AF938" s="146"/>
      <c r="AG938" s="134"/>
      <c r="AH938" s="134"/>
      <c r="AI938" s="134"/>
      <c r="AJ938" s="134"/>
      <c r="AK938" s="134"/>
      <c r="AL938" s="134"/>
      <c r="AM938" s="146"/>
      <c r="AN938" s="132"/>
      <c r="AO938" s="132"/>
      <c r="AP938" s="132"/>
      <c r="AQ938" s="132"/>
      <c r="AR938" s="134"/>
      <c r="AS938" s="134"/>
      <c r="AT938" s="132"/>
      <c r="AU938" s="133"/>
      <c r="AV938" s="134"/>
    </row>
    <row r="939" spans="1:48">
      <c r="A939" s="74">
        <v>13655</v>
      </c>
      <c r="B939" s="74" t="s">
        <v>228</v>
      </c>
      <c r="C939" s="74" t="s">
        <v>673</v>
      </c>
      <c r="D939" s="74">
        <v>1432</v>
      </c>
      <c r="E939" s="73">
        <v>7.0000000298023224E-2</v>
      </c>
      <c r="F939" s="73">
        <v>0.24788194284256962</v>
      </c>
      <c r="G939" s="73">
        <v>9.0000003576278687E-2</v>
      </c>
      <c r="H939" s="73">
        <v>0</v>
      </c>
      <c r="I939" s="190">
        <v>1464.694</v>
      </c>
      <c r="J939" s="134" t="str">
        <f t="shared" si="109"/>
        <v>ignore</v>
      </c>
      <c r="K939" s="134" t="str">
        <f t="shared" si="110"/>
        <v>R19</v>
      </c>
      <c r="L939" s="134" t="str">
        <f t="shared" si="111"/>
        <v>R11</v>
      </c>
      <c r="M939" s="146" t="str">
        <f t="shared" si="107"/>
        <v>Better</v>
      </c>
      <c r="N939" s="146" t="str">
        <f t="shared" si="108"/>
        <v>Better</v>
      </c>
      <c r="O939" s="146" t="str">
        <f t="shared" si="112"/>
        <v>Electric ZonalR19R11BetterBetter</v>
      </c>
      <c r="P939" s="134" t="str">
        <f t="shared" si="113"/>
        <v>error</v>
      </c>
      <c r="Q939" s="134"/>
      <c r="R939" s="134"/>
      <c r="S939" s="134"/>
      <c r="T939" s="134"/>
      <c r="U939" s="134"/>
      <c r="V939" s="134"/>
      <c r="W939" s="134"/>
      <c r="X939" s="134"/>
      <c r="Y939" s="134"/>
      <c r="Z939" s="134"/>
      <c r="AA939" s="134"/>
      <c r="AB939" s="134"/>
      <c r="AC939" s="134"/>
      <c r="AD939" s="134"/>
      <c r="AE939" s="134"/>
      <c r="AF939" s="146"/>
      <c r="AG939" s="134"/>
      <c r="AH939" s="134"/>
      <c r="AI939" s="134"/>
      <c r="AJ939" s="134"/>
      <c r="AK939" s="134"/>
      <c r="AL939" s="134"/>
      <c r="AM939" s="146"/>
      <c r="AN939" s="132"/>
      <c r="AO939" s="132"/>
      <c r="AP939" s="132"/>
      <c r="AQ939" s="132"/>
      <c r="AR939" s="134"/>
      <c r="AS939" s="134"/>
      <c r="AT939" s="132"/>
      <c r="AU939" s="133"/>
      <c r="AV939" s="134"/>
    </row>
    <row r="940" spans="1:48">
      <c r="A940" s="74">
        <v>13672</v>
      </c>
      <c r="B940" s="74" t="s">
        <v>228</v>
      </c>
      <c r="C940" s="74">
        <v>2</v>
      </c>
      <c r="D940" s="74">
        <v>2200</v>
      </c>
      <c r="E940" s="73">
        <v>9.6184737810807691E-2</v>
      </c>
      <c r="F940" s="73">
        <v>0.82330316305160522</v>
      </c>
      <c r="G940" s="73">
        <v>0.19518393331073053</v>
      </c>
      <c r="H940" s="73">
        <v>0</v>
      </c>
      <c r="I940" s="190">
        <v>1188.027</v>
      </c>
      <c r="J940" s="134" t="str">
        <f t="shared" si="109"/>
        <v>keep</v>
      </c>
      <c r="K940" s="134" t="str">
        <f t="shared" si="110"/>
        <v>R11</v>
      </c>
      <c r="L940" s="134" t="str">
        <f t="shared" si="111"/>
        <v>R11</v>
      </c>
      <c r="M940" s="146" t="str">
        <f t="shared" si="107"/>
        <v>Slab</v>
      </c>
      <c r="N940" s="146" t="str">
        <f t="shared" si="108"/>
        <v>Double</v>
      </c>
      <c r="O940" s="146" t="str">
        <f t="shared" si="112"/>
        <v>Electric ZonalR11R11SlabDouble</v>
      </c>
      <c r="P940" s="134" t="str">
        <f t="shared" si="113"/>
        <v>Slab</v>
      </c>
      <c r="Q940" s="134"/>
      <c r="R940" s="134"/>
      <c r="S940" s="134"/>
      <c r="T940" s="134"/>
      <c r="U940" s="134"/>
      <c r="V940" s="134"/>
      <c r="W940" s="134"/>
      <c r="X940" s="134"/>
      <c r="Y940" s="134"/>
      <c r="Z940" s="134"/>
      <c r="AA940" s="134"/>
      <c r="AB940" s="134"/>
      <c r="AC940" s="134"/>
      <c r="AD940" s="134"/>
      <c r="AE940" s="134"/>
      <c r="AF940" s="146"/>
      <c r="AG940" s="134"/>
      <c r="AH940" s="134"/>
      <c r="AI940" s="134"/>
      <c r="AJ940" s="134"/>
      <c r="AK940" s="134"/>
      <c r="AL940" s="134"/>
      <c r="AM940" s="146"/>
      <c r="AN940" s="132"/>
      <c r="AO940" s="132"/>
      <c r="AP940" s="132"/>
      <c r="AQ940" s="132"/>
      <c r="AR940" s="134"/>
      <c r="AS940" s="134"/>
      <c r="AT940" s="132"/>
      <c r="AU940" s="133"/>
      <c r="AV940" s="134"/>
    </row>
    <row r="941" spans="1:48">
      <c r="A941" s="74">
        <v>13746</v>
      </c>
      <c r="B941" s="74" t="s">
        <v>228</v>
      </c>
      <c r="C941" s="74">
        <v>1</v>
      </c>
      <c r="D941" s="74">
        <v>988</v>
      </c>
      <c r="E941" s="73">
        <v>2.500000037252903E-2</v>
      </c>
      <c r="F941" s="73">
        <v>0.83775512296326304</v>
      </c>
      <c r="G941" s="73">
        <v>9.0000003576278687E-2</v>
      </c>
      <c r="H941" s="73">
        <v>8.5000000894069672E-2</v>
      </c>
      <c r="I941" s="190">
        <v>1188.027</v>
      </c>
      <c r="J941" s="134" t="str">
        <f t="shared" si="109"/>
        <v>keep</v>
      </c>
      <c r="K941" s="134" t="str">
        <f t="shared" si="110"/>
        <v>R38</v>
      </c>
      <c r="L941" s="134" t="str">
        <f t="shared" si="111"/>
        <v>R11</v>
      </c>
      <c r="M941" s="146" t="str">
        <f t="shared" si="107"/>
        <v>R0</v>
      </c>
      <c r="N941" s="146" t="str">
        <f t="shared" si="108"/>
        <v>Double</v>
      </c>
      <c r="O941" s="146" t="str">
        <f t="shared" si="112"/>
        <v>Electric ZonalR38R11R0Double</v>
      </c>
      <c r="P941" s="134" t="str">
        <f t="shared" si="113"/>
        <v>Crawlspace</v>
      </c>
      <c r="Q941" s="134"/>
      <c r="R941" s="134"/>
      <c r="S941" s="134"/>
      <c r="T941" s="134"/>
      <c r="U941" s="134"/>
      <c r="V941" s="134"/>
      <c r="W941" s="134"/>
      <c r="X941" s="134"/>
      <c r="Y941" s="134"/>
      <c r="Z941" s="134"/>
      <c r="AA941" s="134"/>
      <c r="AB941" s="134"/>
      <c r="AC941" s="134"/>
      <c r="AD941" s="134"/>
      <c r="AE941" s="134"/>
      <c r="AF941" s="146"/>
      <c r="AG941" s="134"/>
      <c r="AH941" s="134"/>
      <c r="AI941" s="134"/>
      <c r="AJ941" s="134"/>
      <c r="AK941" s="134"/>
      <c r="AL941" s="134"/>
      <c r="AM941" s="146"/>
      <c r="AN941" s="132"/>
      <c r="AO941" s="132"/>
      <c r="AP941" s="132"/>
      <c r="AQ941" s="132"/>
      <c r="AR941" s="134"/>
      <c r="AS941" s="134"/>
      <c r="AT941" s="132"/>
      <c r="AU941" s="133"/>
      <c r="AV941" s="134"/>
    </row>
    <row r="942" spans="1:48">
      <c r="A942" s="74">
        <v>13752</v>
      </c>
      <c r="B942" s="74" t="s">
        <v>228</v>
      </c>
      <c r="C942" s="74" t="s">
        <v>673</v>
      </c>
      <c r="D942" s="74">
        <v>2620</v>
      </c>
      <c r="E942" s="73">
        <v>7.5000002980232239E-2</v>
      </c>
      <c r="F942" s="73">
        <v>0.55000001192092896</v>
      </c>
      <c r="G942" s="73">
        <v>9.0000003576278687E-2</v>
      </c>
      <c r="H942" s="73">
        <v>3.5000000149011612E-2</v>
      </c>
      <c r="I942" s="190">
        <v>2003.7159999999999</v>
      </c>
      <c r="J942" s="134" t="str">
        <f t="shared" si="109"/>
        <v>ignore</v>
      </c>
      <c r="K942" s="134" t="str">
        <f t="shared" si="110"/>
        <v>R19</v>
      </c>
      <c r="L942" s="134" t="str">
        <f t="shared" si="111"/>
        <v>R11</v>
      </c>
      <c r="M942" s="146" t="str">
        <f t="shared" si="107"/>
        <v>Better</v>
      </c>
      <c r="N942" s="146" t="str">
        <f t="shared" si="108"/>
        <v>Better</v>
      </c>
      <c r="O942" s="146" t="str">
        <f t="shared" si="112"/>
        <v>Electric ZonalR19R11BetterBetter</v>
      </c>
      <c r="P942" s="134" t="str">
        <f t="shared" si="113"/>
        <v>error</v>
      </c>
      <c r="Q942" s="134"/>
      <c r="R942" s="134"/>
      <c r="S942" s="134"/>
      <c r="T942" s="134"/>
      <c r="U942" s="134"/>
      <c r="V942" s="134"/>
      <c r="W942" s="134"/>
      <c r="X942" s="134"/>
      <c r="Y942" s="134"/>
      <c r="Z942" s="134"/>
      <c r="AA942" s="134"/>
      <c r="AB942" s="134"/>
      <c r="AC942" s="134"/>
      <c r="AD942" s="134"/>
      <c r="AE942" s="134"/>
      <c r="AF942" s="146"/>
      <c r="AG942" s="134"/>
      <c r="AH942" s="134"/>
      <c r="AI942" s="134"/>
      <c r="AJ942" s="134"/>
      <c r="AK942" s="134"/>
      <c r="AL942" s="134"/>
      <c r="AM942" s="146"/>
      <c r="AN942" s="132"/>
      <c r="AO942" s="132"/>
      <c r="AP942" s="132"/>
      <c r="AQ942" s="132"/>
      <c r="AR942" s="134"/>
      <c r="AS942" s="134"/>
      <c r="AT942" s="132"/>
      <c r="AU942" s="133"/>
      <c r="AV942" s="134"/>
    </row>
    <row r="943" spans="1:48">
      <c r="A943" s="74">
        <v>13756</v>
      </c>
      <c r="B943" s="74" t="s">
        <v>229</v>
      </c>
      <c r="C943" s="74">
        <v>4</v>
      </c>
      <c r="D943" s="74">
        <v>2726</v>
      </c>
      <c r="E943" s="73">
        <v>7.5000002980232239E-2</v>
      </c>
      <c r="F943" s="73">
        <v>0.55249377810152389</v>
      </c>
      <c r="G943" s="73">
        <v>5.9999998658895493E-2</v>
      </c>
      <c r="H943" s="73">
        <v>0</v>
      </c>
      <c r="I943" s="190">
        <v>1188.027</v>
      </c>
      <c r="J943" s="134" t="str">
        <f t="shared" si="109"/>
        <v>keep</v>
      </c>
      <c r="K943" s="134" t="str">
        <f t="shared" si="110"/>
        <v>R19</v>
      </c>
      <c r="L943" s="134" t="str">
        <f t="shared" si="111"/>
        <v>R11</v>
      </c>
      <c r="M943" s="146" t="str">
        <f t="shared" si="107"/>
        <v>Basement</v>
      </c>
      <c r="N943" s="146" t="str">
        <f t="shared" si="108"/>
        <v>Better</v>
      </c>
      <c r="O943" s="146" t="str">
        <f t="shared" si="112"/>
        <v>Heat PumpR19R11BasementBetter</v>
      </c>
      <c r="P943" s="134" t="str">
        <f t="shared" si="113"/>
        <v>Basement</v>
      </c>
      <c r="Q943" s="134"/>
      <c r="R943" s="134"/>
      <c r="S943" s="134"/>
      <c r="T943" s="134"/>
      <c r="U943" s="134"/>
      <c r="V943" s="134"/>
      <c r="W943" s="134"/>
      <c r="X943" s="134"/>
      <c r="Y943" s="134"/>
      <c r="Z943" s="134"/>
      <c r="AA943" s="134"/>
      <c r="AB943" s="134"/>
      <c r="AC943" s="134"/>
      <c r="AD943" s="134"/>
      <c r="AE943" s="134"/>
      <c r="AF943" s="146"/>
      <c r="AG943" s="134"/>
      <c r="AH943" s="134"/>
      <c r="AI943" s="134"/>
      <c r="AJ943" s="134"/>
      <c r="AK943" s="134"/>
      <c r="AL943" s="134"/>
      <c r="AM943" s="146"/>
      <c r="AN943" s="132"/>
      <c r="AO943" s="132"/>
      <c r="AP943" s="132"/>
      <c r="AQ943" s="132"/>
      <c r="AR943" s="134"/>
      <c r="AS943" s="134"/>
      <c r="AT943" s="132"/>
      <c r="AU943" s="133"/>
      <c r="AV943" s="134"/>
    </row>
    <row r="944" spans="1:48">
      <c r="A944" s="74">
        <v>13785</v>
      </c>
      <c r="B944" s="74" t="s">
        <v>229</v>
      </c>
      <c r="C944" s="74">
        <v>4</v>
      </c>
      <c r="D944" s="74">
        <v>2589</v>
      </c>
      <c r="E944" s="73">
        <v>0.10999999940395355</v>
      </c>
      <c r="F944" s="73">
        <v>0.75</v>
      </c>
      <c r="G944" s="73">
        <v>5.9999998658895493E-2</v>
      </c>
      <c r="H944" s="73">
        <v>0</v>
      </c>
      <c r="I944" s="190">
        <v>1150.8789999999999</v>
      </c>
      <c r="J944" s="134" t="str">
        <f t="shared" si="109"/>
        <v>keep</v>
      </c>
      <c r="K944" s="134" t="str">
        <f t="shared" si="110"/>
        <v>R11</v>
      </c>
      <c r="L944" s="134" t="str">
        <f t="shared" si="111"/>
        <v>R11</v>
      </c>
      <c r="M944" s="146" t="str">
        <f t="shared" si="107"/>
        <v>Basement</v>
      </c>
      <c r="N944" s="146" t="str">
        <f t="shared" si="108"/>
        <v>Better</v>
      </c>
      <c r="O944" s="146" t="str">
        <f t="shared" si="112"/>
        <v>Heat PumpR11R11BasementBetter</v>
      </c>
      <c r="P944" s="134" t="str">
        <f t="shared" si="113"/>
        <v>Basement</v>
      </c>
      <c r="Q944" s="134"/>
      <c r="R944" s="134"/>
      <c r="S944" s="134"/>
      <c r="T944" s="134"/>
      <c r="U944" s="134"/>
      <c r="V944" s="134"/>
      <c r="W944" s="134"/>
      <c r="X944" s="134"/>
      <c r="Y944" s="134"/>
      <c r="Z944" s="134"/>
      <c r="AA944" s="134"/>
      <c r="AB944" s="134"/>
      <c r="AC944" s="134"/>
      <c r="AD944" s="134"/>
      <c r="AE944" s="134"/>
      <c r="AF944" s="146"/>
      <c r="AG944" s="134"/>
      <c r="AH944" s="134"/>
      <c r="AI944" s="134"/>
      <c r="AJ944" s="134"/>
      <c r="AK944" s="134"/>
      <c r="AL944" s="134"/>
      <c r="AM944" s="146"/>
      <c r="AN944" s="132"/>
      <c r="AO944" s="132"/>
      <c r="AP944" s="132"/>
      <c r="AQ944" s="132"/>
      <c r="AR944" s="134"/>
      <c r="AS944" s="134"/>
      <c r="AT944" s="132"/>
      <c r="AU944" s="133"/>
      <c r="AV944" s="134"/>
    </row>
    <row r="945" spans="1:48">
      <c r="A945" s="74">
        <v>13803</v>
      </c>
      <c r="B945" s="74" t="s">
        <v>228</v>
      </c>
      <c r="C945" s="74" t="s">
        <v>673</v>
      </c>
      <c r="D945" s="74">
        <v>1960</v>
      </c>
      <c r="E945" s="73">
        <v>0.13002040836275841</v>
      </c>
      <c r="F945" s="73">
        <v>0.6288927407825694</v>
      </c>
      <c r="G945" s="73">
        <v>7.9999998211860657E-2</v>
      </c>
      <c r="H945" s="73">
        <v>0.10000000149011612</v>
      </c>
      <c r="I945" s="190">
        <v>2003.7159999999999</v>
      </c>
      <c r="J945" s="134" t="str">
        <f t="shared" si="109"/>
        <v>ignore</v>
      </c>
      <c r="K945" s="134" t="str">
        <f t="shared" si="110"/>
        <v>R11</v>
      </c>
      <c r="L945" s="134" t="str">
        <f t="shared" si="111"/>
        <v>R11</v>
      </c>
      <c r="M945" s="146" t="str">
        <f t="shared" si="107"/>
        <v>R0</v>
      </c>
      <c r="N945" s="146" t="str">
        <f t="shared" si="108"/>
        <v>Better</v>
      </c>
      <c r="O945" s="146" t="str">
        <f t="shared" si="112"/>
        <v>Electric ZonalR11R11R0Better</v>
      </c>
      <c r="P945" s="134" t="str">
        <f t="shared" si="113"/>
        <v>error</v>
      </c>
      <c r="Q945" s="134"/>
      <c r="R945" s="134"/>
      <c r="S945" s="134"/>
      <c r="T945" s="134"/>
      <c r="U945" s="134"/>
      <c r="V945" s="134"/>
      <c r="W945" s="134"/>
      <c r="X945" s="134"/>
      <c r="Y945" s="134"/>
      <c r="Z945" s="134"/>
      <c r="AA945" s="134"/>
      <c r="AB945" s="134"/>
      <c r="AC945" s="134"/>
      <c r="AD945" s="134"/>
      <c r="AE945" s="134"/>
      <c r="AF945" s="146"/>
      <c r="AG945" s="134"/>
      <c r="AH945" s="134"/>
      <c r="AI945" s="134"/>
      <c r="AJ945" s="134"/>
      <c r="AK945" s="134"/>
      <c r="AL945" s="134"/>
      <c r="AM945" s="146"/>
      <c r="AN945" s="132"/>
      <c r="AO945" s="132"/>
      <c r="AP945" s="132"/>
      <c r="AQ945" s="132"/>
      <c r="AR945" s="134"/>
      <c r="AS945" s="134"/>
      <c r="AT945" s="132"/>
      <c r="AU945" s="133"/>
      <c r="AV945" s="134"/>
    </row>
    <row r="946" spans="1:48">
      <c r="A946" s="74">
        <v>13817</v>
      </c>
      <c r="B946" s="74" t="s">
        <v>229</v>
      </c>
      <c r="C946" s="74" t="s">
        <v>673</v>
      </c>
      <c r="D946" s="74">
        <v>2083</v>
      </c>
      <c r="E946" s="73">
        <v>1.9999999552965164E-2</v>
      </c>
      <c r="F946" s="73">
        <v>0.63193548084587181</v>
      </c>
      <c r="G946" s="73">
        <v>9.0000003576278687E-2</v>
      </c>
      <c r="H946" s="73">
        <v>5.9999998658895493E-2</v>
      </c>
      <c r="I946" s="190">
        <v>1188.027</v>
      </c>
      <c r="J946" s="134" t="str">
        <f t="shared" si="109"/>
        <v>ignore</v>
      </c>
      <c r="K946" s="134" t="str">
        <f t="shared" si="110"/>
        <v>R38</v>
      </c>
      <c r="L946" s="134" t="str">
        <f t="shared" si="111"/>
        <v>R11</v>
      </c>
      <c r="M946" s="146" t="str">
        <f t="shared" si="107"/>
        <v>R19</v>
      </c>
      <c r="N946" s="146" t="str">
        <f t="shared" si="108"/>
        <v>Better</v>
      </c>
      <c r="O946" s="146" t="str">
        <f t="shared" si="112"/>
        <v>Heat PumpR38R11R19Better</v>
      </c>
      <c r="P946" s="134" t="str">
        <f t="shared" si="113"/>
        <v>error</v>
      </c>
      <c r="Q946" s="134"/>
      <c r="R946" s="134"/>
      <c r="S946" s="134"/>
      <c r="T946" s="134"/>
      <c r="U946" s="134"/>
      <c r="V946" s="134"/>
      <c r="W946" s="134"/>
      <c r="X946" s="134"/>
      <c r="Y946" s="134"/>
      <c r="Z946" s="134"/>
      <c r="AA946" s="134"/>
      <c r="AB946" s="134"/>
      <c r="AC946" s="134"/>
      <c r="AD946" s="134"/>
      <c r="AE946" s="134"/>
      <c r="AF946" s="146"/>
      <c r="AG946" s="134"/>
      <c r="AH946" s="134"/>
      <c r="AI946" s="134"/>
      <c r="AJ946" s="134"/>
      <c r="AK946" s="134"/>
      <c r="AL946" s="134"/>
      <c r="AM946" s="146"/>
      <c r="AN946" s="132"/>
      <c r="AO946" s="132"/>
      <c r="AP946" s="132"/>
      <c r="AQ946" s="132"/>
      <c r="AR946" s="134"/>
      <c r="AS946" s="134"/>
      <c r="AT946" s="132"/>
      <c r="AU946" s="133"/>
      <c r="AV946" s="134"/>
    </row>
    <row r="947" spans="1:48">
      <c r="A947" s="74">
        <v>13867</v>
      </c>
      <c r="B947" s="74" t="s">
        <v>229</v>
      </c>
      <c r="C947" s="74">
        <v>1</v>
      </c>
      <c r="D947" s="74">
        <v>2619</v>
      </c>
      <c r="E947" s="73">
        <v>2.500000037252903E-2</v>
      </c>
      <c r="F947" s="73">
        <v>0.60000002384185791</v>
      </c>
      <c r="G947" s="73">
        <v>9.0000003576278687E-2</v>
      </c>
      <c r="H947" s="73">
        <v>4.5000001788139343E-2</v>
      </c>
      <c r="I947" s="190">
        <v>1464.694</v>
      </c>
      <c r="J947" s="134" t="str">
        <f t="shared" si="109"/>
        <v>keep</v>
      </c>
      <c r="K947" s="134" t="str">
        <f t="shared" si="110"/>
        <v>R38</v>
      </c>
      <c r="L947" s="134" t="str">
        <f t="shared" si="111"/>
        <v>R11</v>
      </c>
      <c r="M947" s="146" t="str">
        <f t="shared" ref="M947:M1010" si="114">IF(OR(C947=4,C947=3),"Basement",IF(C947=2,"Slab",IF(H947&gt;$D$10,$C$10,IF(H947&gt;$D$11,$C$11,"Better"))))</f>
        <v>Better</v>
      </c>
      <c r="N947" s="146" t="str">
        <f t="shared" ref="N947:N1010" si="115">IF(F947&gt;$D$13,$C$13,IF(F947&gt;$D$14,$C$14,"Better"))</f>
        <v>Better</v>
      </c>
      <c r="O947" s="146" t="str">
        <f t="shared" si="112"/>
        <v>Heat PumpR38R11BetterBetter</v>
      </c>
      <c r="P947" s="134" t="str">
        <f t="shared" si="113"/>
        <v>Crawlspace</v>
      </c>
      <c r="Q947" s="134"/>
      <c r="R947" s="134"/>
      <c r="S947" s="134"/>
      <c r="T947" s="134"/>
      <c r="U947" s="134"/>
      <c r="V947" s="134"/>
      <c r="W947" s="134"/>
      <c r="X947" s="134"/>
      <c r="Y947" s="134"/>
      <c r="Z947" s="134"/>
      <c r="AA947" s="134"/>
      <c r="AB947" s="134"/>
      <c r="AC947" s="134"/>
      <c r="AD947" s="134"/>
      <c r="AE947" s="134"/>
      <c r="AF947" s="146"/>
      <c r="AG947" s="134"/>
      <c r="AH947" s="134"/>
      <c r="AI947" s="134"/>
      <c r="AJ947" s="134"/>
      <c r="AK947" s="134"/>
      <c r="AL947" s="134"/>
      <c r="AM947" s="146"/>
      <c r="AN947" s="132"/>
      <c r="AO947" s="132"/>
      <c r="AP947" s="132"/>
      <c r="AQ947" s="132"/>
      <c r="AR947" s="134"/>
      <c r="AS947" s="134"/>
      <c r="AT947" s="132"/>
      <c r="AU947" s="133"/>
      <c r="AV947" s="134"/>
    </row>
    <row r="948" spans="1:48">
      <c r="A948" s="74">
        <v>13871</v>
      </c>
      <c r="B948" s="74" t="s">
        <v>229</v>
      </c>
      <c r="C948" s="74">
        <v>1</v>
      </c>
      <c r="D948" s="74">
        <v>2272</v>
      </c>
      <c r="E948" s="73">
        <v>2.500000037252903E-2</v>
      </c>
      <c r="F948" s="73">
        <v>0.56213721798089056</v>
      </c>
      <c r="G948" s="73">
        <v>0.23400000000000001</v>
      </c>
      <c r="H948" s="73">
        <v>4.5000001788139343E-2</v>
      </c>
      <c r="I948" s="190">
        <v>1150.8789999999999</v>
      </c>
      <c r="J948" s="134" t="str">
        <f t="shared" ref="J948:J1011" si="116">IF(OR(C948="FLAG",ISERROR(PRODUCT(D948:H948))),"ignore","keep")</f>
        <v>keep</v>
      </c>
      <c r="K948" s="134" t="str">
        <f t="shared" ref="K948:K1011" si="117">IF(E948&gt;$D$3,$C$3,IF(E948&gt;$D$4,$C$4,IF(E948&gt;$D$5,$C$5,IF(E948&gt;$D$6,$C$6,IF(E948&gt;$D$7,$C$7,"R38")))))</f>
        <v>R38</v>
      </c>
      <c r="L948" s="134" t="str">
        <f t="shared" ref="L948:L1011" si="118">IF(G948&gt;$D$8,$C$8,"R11")</f>
        <v>R0</v>
      </c>
      <c r="M948" s="146" t="str">
        <f t="shared" si="114"/>
        <v>Better</v>
      </c>
      <c r="N948" s="146" t="str">
        <f t="shared" si="115"/>
        <v>Better</v>
      </c>
      <c r="O948" s="146" t="str">
        <f t="shared" ref="O948:O1011" si="119">B948&amp;K948&amp;L948&amp;M948&amp;N948</f>
        <v>Heat PumpR38R0BetterBetter</v>
      </c>
      <c r="P948" s="134" t="str">
        <f t="shared" ref="P948:P1011" si="120">IF(C948=1,"Crawlspace",IF(C948=2,"Slab",IF(OR(C948=3,C948=4),"Basement","error")))</f>
        <v>Crawlspace</v>
      </c>
      <c r="Q948" s="134"/>
      <c r="R948" s="134"/>
      <c r="S948" s="134"/>
      <c r="T948" s="134"/>
      <c r="U948" s="134"/>
      <c r="V948" s="134"/>
      <c r="W948" s="134"/>
      <c r="X948" s="134"/>
      <c r="Y948" s="134"/>
      <c r="Z948" s="134"/>
      <c r="AA948" s="134"/>
      <c r="AB948" s="134"/>
      <c r="AC948" s="134"/>
      <c r="AD948" s="134"/>
      <c r="AE948" s="134"/>
      <c r="AF948" s="146"/>
      <c r="AG948" s="134"/>
      <c r="AH948" s="134"/>
      <c r="AI948" s="134"/>
      <c r="AJ948" s="134"/>
      <c r="AK948" s="134"/>
      <c r="AL948" s="134"/>
      <c r="AM948" s="146"/>
      <c r="AN948" s="132"/>
      <c r="AO948" s="132"/>
      <c r="AP948" s="132"/>
      <c r="AQ948" s="132"/>
      <c r="AR948" s="134"/>
      <c r="AS948" s="134"/>
      <c r="AT948" s="132"/>
      <c r="AU948" s="133"/>
      <c r="AV948" s="134"/>
    </row>
    <row r="949" spans="1:48">
      <c r="A949" s="74">
        <v>13912</v>
      </c>
      <c r="B949" s="74" t="s">
        <v>228</v>
      </c>
      <c r="C949" s="74">
        <v>1</v>
      </c>
      <c r="D949" s="74">
        <v>1192</v>
      </c>
      <c r="E949" s="73">
        <v>7.5000002980232239E-2</v>
      </c>
      <c r="F949" s="73">
        <v>0.45176469438216266</v>
      </c>
      <c r="G949" s="73">
        <v>0.11999999731779099</v>
      </c>
      <c r="H949" s="73">
        <v>9.0000003576278687E-2</v>
      </c>
      <c r="I949" s="190">
        <v>2003.7159999999999</v>
      </c>
      <c r="J949" s="134" t="str">
        <f t="shared" si="116"/>
        <v>keep</v>
      </c>
      <c r="K949" s="134" t="str">
        <f t="shared" si="117"/>
        <v>R19</v>
      </c>
      <c r="L949" s="134" t="str">
        <f t="shared" si="118"/>
        <v>R11</v>
      </c>
      <c r="M949" s="146" t="str">
        <f t="shared" si="114"/>
        <v>R0</v>
      </c>
      <c r="N949" s="146" t="str">
        <f t="shared" si="115"/>
        <v>Better</v>
      </c>
      <c r="O949" s="146" t="str">
        <f t="shared" si="119"/>
        <v>Electric ZonalR19R11R0Better</v>
      </c>
      <c r="P949" s="134" t="str">
        <f t="shared" si="120"/>
        <v>Crawlspace</v>
      </c>
      <c r="Q949" s="134"/>
      <c r="R949" s="134"/>
      <c r="S949" s="134"/>
      <c r="T949" s="134"/>
      <c r="U949" s="134"/>
      <c r="V949" s="134"/>
      <c r="W949" s="134"/>
      <c r="X949" s="134"/>
      <c r="Y949" s="134"/>
      <c r="Z949" s="134"/>
      <c r="AA949" s="134"/>
      <c r="AB949" s="134"/>
      <c r="AC949" s="134"/>
      <c r="AD949" s="134"/>
      <c r="AE949" s="134"/>
      <c r="AF949" s="146"/>
      <c r="AG949" s="134"/>
      <c r="AH949" s="134"/>
      <c r="AI949" s="134"/>
      <c r="AJ949" s="134"/>
      <c r="AK949" s="134"/>
      <c r="AL949" s="134"/>
      <c r="AM949" s="146"/>
      <c r="AN949" s="132"/>
      <c r="AO949" s="132"/>
      <c r="AP949" s="132"/>
      <c r="AQ949" s="132"/>
      <c r="AR949" s="134"/>
      <c r="AS949" s="134"/>
      <c r="AT949" s="132"/>
      <c r="AU949" s="133"/>
      <c r="AV949" s="134"/>
    </row>
    <row r="950" spans="1:48">
      <c r="A950" s="74">
        <v>14046</v>
      </c>
      <c r="B950" s="74" t="s">
        <v>228</v>
      </c>
      <c r="C950" s="74">
        <v>1</v>
      </c>
      <c r="D950" s="74">
        <v>1564</v>
      </c>
      <c r="E950" s="73">
        <v>0.10999999940395355</v>
      </c>
      <c r="F950" s="73">
        <v>0.85000002384185791</v>
      </c>
      <c r="G950" s="73">
        <v>9.0000003576278687E-2</v>
      </c>
      <c r="H950" s="73">
        <v>0.23000000417232513</v>
      </c>
      <c r="I950" s="190">
        <v>1464.694</v>
      </c>
      <c r="J950" s="134" t="str">
        <f t="shared" si="116"/>
        <v>keep</v>
      </c>
      <c r="K950" s="134" t="str">
        <f t="shared" si="117"/>
        <v>R11</v>
      </c>
      <c r="L950" s="134" t="str">
        <f t="shared" si="118"/>
        <v>R11</v>
      </c>
      <c r="M950" s="146" t="str">
        <f t="shared" si="114"/>
        <v>R0</v>
      </c>
      <c r="N950" s="146" t="str">
        <f t="shared" si="115"/>
        <v>Double</v>
      </c>
      <c r="O950" s="146" t="str">
        <f t="shared" si="119"/>
        <v>Electric ZonalR11R11R0Double</v>
      </c>
      <c r="P950" s="134" t="str">
        <f t="shared" si="120"/>
        <v>Crawlspace</v>
      </c>
      <c r="Q950" s="134"/>
      <c r="R950" s="134"/>
      <c r="S950" s="134"/>
      <c r="T950" s="134"/>
      <c r="U950" s="134"/>
      <c r="V950" s="134"/>
      <c r="W950" s="134"/>
      <c r="X950" s="134"/>
      <c r="Y950" s="134"/>
      <c r="Z950" s="134"/>
      <c r="AA950" s="134"/>
      <c r="AB950" s="134"/>
      <c r="AC950" s="134"/>
      <c r="AD950" s="134"/>
      <c r="AE950" s="134"/>
      <c r="AF950" s="146"/>
      <c r="AG950" s="134"/>
      <c r="AH950" s="134"/>
      <c r="AI950" s="134"/>
      <c r="AJ950" s="134"/>
      <c r="AK950" s="134"/>
      <c r="AL950" s="134"/>
      <c r="AM950" s="146"/>
      <c r="AN950" s="132"/>
      <c r="AO950" s="132"/>
      <c r="AP950" s="132"/>
      <c r="AQ950" s="132"/>
      <c r="AR950" s="134"/>
      <c r="AS950" s="134"/>
      <c r="AT950" s="132"/>
      <c r="AU950" s="133"/>
      <c r="AV950" s="134"/>
    </row>
    <row r="951" spans="1:48">
      <c r="A951" s="74">
        <v>14051</v>
      </c>
      <c r="B951" s="74" t="s">
        <v>228</v>
      </c>
      <c r="C951" s="74">
        <v>1</v>
      </c>
      <c r="D951" s="74">
        <v>1344</v>
      </c>
      <c r="E951" s="73">
        <v>7.5000002980232239E-2</v>
      </c>
      <c r="F951" s="73">
        <v>0.58958332141240433</v>
      </c>
      <c r="G951" s="73">
        <v>7.9999998211860657E-2</v>
      </c>
      <c r="H951" s="73">
        <v>6.4999997615814209E-2</v>
      </c>
      <c r="I951" s="190">
        <v>1188.027</v>
      </c>
      <c r="J951" s="134" t="str">
        <f t="shared" si="116"/>
        <v>keep</v>
      </c>
      <c r="K951" s="134" t="str">
        <f t="shared" si="117"/>
        <v>R19</v>
      </c>
      <c r="L951" s="134" t="str">
        <f t="shared" si="118"/>
        <v>R11</v>
      </c>
      <c r="M951" s="146" t="str">
        <f t="shared" si="114"/>
        <v>R19</v>
      </c>
      <c r="N951" s="146" t="str">
        <f t="shared" si="115"/>
        <v>Better</v>
      </c>
      <c r="O951" s="146" t="str">
        <f t="shared" si="119"/>
        <v>Electric ZonalR19R11R19Better</v>
      </c>
      <c r="P951" s="134" t="str">
        <f t="shared" si="120"/>
        <v>Crawlspace</v>
      </c>
      <c r="Q951" s="134"/>
      <c r="R951" s="134"/>
      <c r="S951" s="134"/>
      <c r="T951" s="134"/>
      <c r="U951" s="134"/>
      <c r="V951" s="134"/>
      <c r="W951" s="134"/>
      <c r="X951" s="134"/>
      <c r="Y951" s="134"/>
      <c r="Z951" s="134"/>
      <c r="AA951" s="134"/>
      <c r="AB951" s="134"/>
      <c r="AC951" s="134"/>
      <c r="AD951" s="134"/>
      <c r="AE951" s="134"/>
      <c r="AF951" s="146"/>
      <c r="AG951" s="134"/>
      <c r="AH951" s="134"/>
      <c r="AI951" s="134"/>
      <c r="AJ951" s="134"/>
      <c r="AK951" s="134"/>
      <c r="AL951" s="134"/>
      <c r="AM951" s="146"/>
      <c r="AN951" s="132"/>
      <c r="AO951" s="132"/>
      <c r="AP951" s="132"/>
      <c r="AQ951" s="132"/>
      <c r="AR951" s="134"/>
      <c r="AS951" s="134"/>
      <c r="AT951" s="132"/>
      <c r="AU951" s="133"/>
      <c r="AV951" s="134"/>
    </row>
    <row r="952" spans="1:48">
      <c r="A952" s="74">
        <v>14052</v>
      </c>
      <c r="B952" s="74" t="s">
        <v>229</v>
      </c>
      <c r="C952" s="74">
        <v>1</v>
      </c>
      <c r="D952" s="74">
        <v>1978</v>
      </c>
      <c r="E952" s="73">
        <v>7.5000002980232239E-2</v>
      </c>
      <c r="F952" s="73">
        <v>0.55000001192092896</v>
      </c>
      <c r="G952" s="73">
        <v>9.0000003576278687E-2</v>
      </c>
      <c r="H952" s="73">
        <v>5.9999998658895493E-2</v>
      </c>
      <c r="I952" s="190">
        <v>1188.027</v>
      </c>
      <c r="J952" s="134" t="str">
        <f t="shared" si="116"/>
        <v>keep</v>
      </c>
      <c r="K952" s="134" t="str">
        <f t="shared" si="117"/>
        <v>R19</v>
      </c>
      <c r="L952" s="134" t="str">
        <f t="shared" si="118"/>
        <v>R11</v>
      </c>
      <c r="M952" s="146" t="str">
        <f t="shared" si="114"/>
        <v>R19</v>
      </c>
      <c r="N952" s="146" t="str">
        <f t="shared" si="115"/>
        <v>Better</v>
      </c>
      <c r="O952" s="146" t="str">
        <f t="shared" si="119"/>
        <v>Heat PumpR19R11R19Better</v>
      </c>
      <c r="P952" s="134" t="str">
        <f t="shared" si="120"/>
        <v>Crawlspace</v>
      </c>
      <c r="Q952" s="134"/>
      <c r="R952" s="134"/>
      <c r="S952" s="134"/>
      <c r="T952" s="134"/>
      <c r="U952" s="134"/>
      <c r="V952" s="134"/>
      <c r="W952" s="134"/>
      <c r="X952" s="134"/>
      <c r="Y952" s="134"/>
      <c r="Z952" s="134"/>
      <c r="AA952" s="134"/>
      <c r="AB952" s="134"/>
      <c r="AC952" s="134"/>
      <c r="AD952" s="134"/>
      <c r="AE952" s="134"/>
      <c r="AF952" s="146"/>
      <c r="AG952" s="134"/>
      <c r="AH952" s="134"/>
      <c r="AI952" s="134"/>
      <c r="AJ952" s="134"/>
      <c r="AK952" s="134"/>
      <c r="AL952" s="134"/>
      <c r="AM952" s="146"/>
      <c r="AN952" s="132"/>
      <c r="AO952" s="132"/>
      <c r="AP952" s="132"/>
      <c r="AQ952" s="132"/>
      <c r="AR952" s="134"/>
      <c r="AS952" s="134"/>
      <c r="AT952" s="132"/>
      <c r="AU952" s="133"/>
      <c r="AV952" s="134"/>
    </row>
    <row r="953" spans="1:48">
      <c r="A953" s="74">
        <v>14078</v>
      </c>
      <c r="B953" s="74" t="s">
        <v>228</v>
      </c>
      <c r="C953" s="74" t="s">
        <v>673</v>
      </c>
      <c r="D953" s="74">
        <v>3584</v>
      </c>
      <c r="E953" s="73">
        <v>0.10999999940395355</v>
      </c>
      <c r="F953" s="73">
        <v>0.72959460374471308</v>
      </c>
      <c r="G953" s="73">
        <v>0.23400000000000001</v>
      </c>
      <c r="H953" s="73">
        <v>4.5000001788139343E-2</v>
      </c>
      <c r="I953" s="190">
        <v>1150.8789999999999</v>
      </c>
      <c r="J953" s="134" t="str">
        <f t="shared" si="116"/>
        <v>ignore</v>
      </c>
      <c r="K953" s="134" t="str">
        <f t="shared" si="117"/>
        <v>R11</v>
      </c>
      <c r="L953" s="134" t="str">
        <f t="shared" si="118"/>
        <v>R0</v>
      </c>
      <c r="M953" s="146" t="str">
        <f t="shared" si="114"/>
        <v>Better</v>
      </c>
      <c r="N953" s="146" t="str">
        <f t="shared" si="115"/>
        <v>Better</v>
      </c>
      <c r="O953" s="146" t="str">
        <f t="shared" si="119"/>
        <v>Electric ZonalR11R0BetterBetter</v>
      </c>
      <c r="P953" s="134" t="str">
        <f t="shared" si="120"/>
        <v>error</v>
      </c>
      <c r="Q953" s="134"/>
      <c r="R953" s="134"/>
      <c r="S953" s="134"/>
      <c r="T953" s="134"/>
      <c r="U953" s="134"/>
      <c r="V953" s="134"/>
      <c r="W953" s="134"/>
      <c r="X953" s="134"/>
      <c r="Y953" s="134"/>
      <c r="Z953" s="134"/>
      <c r="AA953" s="134"/>
      <c r="AB953" s="134"/>
      <c r="AC953" s="134"/>
      <c r="AD953" s="134"/>
      <c r="AE953" s="134"/>
      <c r="AF953" s="146"/>
      <c r="AG953" s="134"/>
      <c r="AH953" s="134"/>
      <c r="AI953" s="134"/>
      <c r="AJ953" s="134"/>
      <c r="AK953" s="134"/>
      <c r="AL953" s="134"/>
      <c r="AM953" s="146"/>
      <c r="AN953" s="132"/>
      <c r="AO953" s="132"/>
      <c r="AP953" s="132"/>
      <c r="AQ953" s="132"/>
      <c r="AR953" s="134"/>
      <c r="AS953" s="134"/>
      <c r="AT953" s="132"/>
      <c r="AU953" s="133"/>
      <c r="AV953" s="134"/>
    </row>
    <row r="954" spans="1:48">
      <c r="A954" s="74">
        <v>14117</v>
      </c>
      <c r="B954" s="74" t="s">
        <v>228</v>
      </c>
      <c r="C954" s="74">
        <v>1</v>
      </c>
      <c r="D954" s="74">
        <v>906</v>
      </c>
      <c r="E954" s="73">
        <v>9.4999998807907104E-2</v>
      </c>
      <c r="F954" s="73">
        <v>1.1000000238418579</v>
      </c>
      <c r="G954" s="73">
        <v>0.23000000417232516</v>
      </c>
      <c r="H954" s="73">
        <v>0.23000000417232513</v>
      </c>
      <c r="I954" s="190">
        <v>1150.8789999999999</v>
      </c>
      <c r="J954" s="134" t="str">
        <f t="shared" si="116"/>
        <v>keep</v>
      </c>
      <c r="K954" s="134" t="str">
        <f t="shared" si="117"/>
        <v>R11</v>
      </c>
      <c r="L954" s="134" t="str">
        <f t="shared" si="118"/>
        <v>R0</v>
      </c>
      <c r="M954" s="146" t="str">
        <f t="shared" si="114"/>
        <v>R0</v>
      </c>
      <c r="N954" s="146" t="str">
        <f t="shared" si="115"/>
        <v>Single</v>
      </c>
      <c r="O954" s="146" t="str">
        <f t="shared" si="119"/>
        <v>Electric ZonalR11R0R0Single</v>
      </c>
      <c r="P954" s="134" t="str">
        <f t="shared" si="120"/>
        <v>Crawlspace</v>
      </c>
      <c r="Q954" s="134"/>
      <c r="R954" s="134"/>
      <c r="S954" s="134"/>
      <c r="T954" s="134"/>
      <c r="U954" s="134"/>
      <c r="V954" s="134"/>
      <c r="W954" s="134"/>
      <c r="X954" s="134"/>
      <c r="Y954" s="134"/>
      <c r="Z954" s="134"/>
      <c r="AA954" s="134"/>
      <c r="AB954" s="134"/>
      <c r="AC954" s="134"/>
      <c r="AD954" s="134"/>
      <c r="AE954" s="134"/>
      <c r="AF954" s="146"/>
      <c r="AG954" s="134"/>
      <c r="AH954" s="134"/>
      <c r="AI954" s="134"/>
      <c r="AJ954" s="134"/>
      <c r="AK954" s="134"/>
      <c r="AL954" s="134"/>
      <c r="AM954" s="146"/>
      <c r="AN954" s="132"/>
      <c r="AO954" s="132"/>
      <c r="AP954" s="132"/>
      <c r="AQ954" s="132"/>
      <c r="AR954" s="134"/>
      <c r="AS954" s="134"/>
      <c r="AT954" s="132"/>
      <c r="AU954" s="133"/>
      <c r="AV954" s="134"/>
    </row>
    <row r="955" spans="1:48">
      <c r="A955" s="74">
        <v>14129</v>
      </c>
      <c r="B955" s="74" t="s">
        <v>228</v>
      </c>
      <c r="C955" s="74">
        <v>1</v>
      </c>
      <c r="D955" s="74">
        <v>780</v>
      </c>
      <c r="E955" s="73">
        <v>0.15000000596046448</v>
      </c>
      <c r="F955" s="73">
        <v>0.85000002384185791</v>
      </c>
      <c r="G955" s="73">
        <v>0.23400000000000004</v>
      </c>
      <c r="H955" s="73">
        <v>8.5000000894069672E-2</v>
      </c>
      <c r="I955" s="190">
        <v>1188.027</v>
      </c>
      <c r="J955" s="134" t="str">
        <f t="shared" si="116"/>
        <v>keep</v>
      </c>
      <c r="K955" s="134" t="str">
        <f t="shared" si="117"/>
        <v>R0</v>
      </c>
      <c r="L955" s="134" t="str">
        <f t="shared" si="118"/>
        <v>R0</v>
      </c>
      <c r="M955" s="146" t="str">
        <f t="shared" si="114"/>
        <v>R0</v>
      </c>
      <c r="N955" s="146" t="str">
        <f t="shared" si="115"/>
        <v>Double</v>
      </c>
      <c r="O955" s="146" t="str">
        <f t="shared" si="119"/>
        <v>Electric ZonalR0R0R0Double</v>
      </c>
      <c r="P955" s="134" t="str">
        <f t="shared" si="120"/>
        <v>Crawlspace</v>
      </c>
      <c r="Q955" s="134"/>
      <c r="R955" s="134"/>
      <c r="S955" s="134"/>
      <c r="T955" s="134"/>
      <c r="U955" s="134"/>
      <c r="V955" s="134"/>
      <c r="W955" s="134"/>
      <c r="X955" s="134"/>
      <c r="Y955" s="134"/>
      <c r="Z955" s="134"/>
      <c r="AA955" s="134"/>
      <c r="AB955" s="134"/>
      <c r="AC955" s="134"/>
      <c r="AD955" s="134"/>
      <c r="AE955" s="134"/>
      <c r="AF955" s="146"/>
      <c r="AG955" s="134"/>
      <c r="AH955" s="134"/>
      <c r="AI955" s="134"/>
      <c r="AJ955" s="134"/>
      <c r="AK955" s="134"/>
      <c r="AL955" s="134"/>
      <c r="AM955" s="146"/>
      <c r="AN955" s="132"/>
      <c r="AO955" s="132"/>
      <c r="AP955" s="132"/>
      <c r="AQ955" s="132"/>
      <c r="AR955" s="134"/>
      <c r="AS955" s="134"/>
      <c r="AT955" s="132"/>
      <c r="AU955" s="133"/>
      <c r="AV955" s="134"/>
    </row>
    <row r="956" spans="1:48">
      <c r="A956" s="74">
        <v>14140</v>
      </c>
      <c r="B956" s="74" t="s">
        <v>228</v>
      </c>
      <c r="C956" s="74" t="s">
        <v>673</v>
      </c>
      <c r="D956" s="74">
        <v>2907</v>
      </c>
      <c r="E956" s="73">
        <v>4.5554866493487313E-2</v>
      </c>
      <c r="F956" s="73">
        <v>0.37640625502293307</v>
      </c>
      <c r="G956" s="73">
        <v>0.10175510532515389</v>
      </c>
      <c r="H956" s="73">
        <v>7.5000002980232239E-2</v>
      </c>
      <c r="I956" s="190">
        <v>2003.7159999999999</v>
      </c>
      <c r="J956" s="134" t="str">
        <f t="shared" si="116"/>
        <v>ignore</v>
      </c>
      <c r="K956" s="134" t="str">
        <f t="shared" si="117"/>
        <v>R30</v>
      </c>
      <c r="L956" s="134" t="str">
        <f t="shared" si="118"/>
        <v>R11</v>
      </c>
      <c r="M956" s="146" t="str">
        <f t="shared" si="114"/>
        <v>R0</v>
      </c>
      <c r="N956" s="146" t="str">
        <f t="shared" si="115"/>
        <v>Better</v>
      </c>
      <c r="O956" s="146" t="str">
        <f t="shared" si="119"/>
        <v>Electric ZonalR30R11R0Better</v>
      </c>
      <c r="P956" s="134" t="str">
        <f t="shared" si="120"/>
        <v>error</v>
      </c>
      <c r="Q956" s="134"/>
      <c r="R956" s="134"/>
      <c r="S956" s="134"/>
      <c r="T956" s="134"/>
      <c r="U956" s="134"/>
      <c r="V956" s="134"/>
      <c r="W956" s="134"/>
      <c r="X956" s="134"/>
      <c r="Y956" s="134"/>
      <c r="Z956" s="134"/>
      <c r="AA956" s="134"/>
      <c r="AB956" s="134"/>
      <c r="AC956" s="134"/>
      <c r="AD956" s="134"/>
      <c r="AE956" s="134"/>
      <c r="AF956" s="146"/>
      <c r="AG956" s="134"/>
      <c r="AH956" s="134"/>
      <c r="AI956" s="134"/>
      <c r="AJ956" s="134"/>
      <c r="AK956" s="134"/>
      <c r="AL956" s="134"/>
      <c r="AM956" s="146"/>
      <c r="AN956" s="132"/>
      <c r="AO956" s="132"/>
      <c r="AP956" s="132"/>
      <c r="AQ956" s="132"/>
      <c r="AR956" s="134"/>
      <c r="AS956" s="134"/>
      <c r="AT956" s="132"/>
      <c r="AU956" s="133"/>
      <c r="AV956" s="134"/>
    </row>
    <row r="957" spans="1:48">
      <c r="A957" s="74">
        <v>14162</v>
      </c>
      <c r="B957" s="74" t="s">
        <v>229</v>
      </c>
      <c r="C957" s="74" t="s">
        <v>673</v>
      </c>
      <c r="D957" s="74">
        <v>2600</v>
      </c>
      <c r="E957" s="73">
        <v>0.12429022079198518</v>
      </c>
      <c r="F957" s="73" t="s">
        <v>673</v>
      </c>
      <c r="G957" s="73">
        <v>0.23400000000000001</v>
      </c>
      <c r="H957" s="73">
        <v>0.23000000417232513</v>
      </c>
      <c r="I957" s="190">
        <v>1464.694</v>
      </c>
      <c r="J957" s="134" t="str">
        <f t="shared" si="116"/>
        <v>ignore</v>
      </c>
      <c r="K957" s="134" t="str">
        <f t="shared" si="117"/>
        <v>R11</v>
      </c>
      <c r="L957" s="134" t="str">
        <f t="shared" si="118"/>
        <v>R0</v>
      </c>
      <c r="M957" s="146" t="str">
        <f t="shared" si="114"/>
        <v>R0</v>
      </c>
      <c r="N957" s="146" t="str">
        <f t="shared" si="115"/>
        <v>Single</v>
      </c>
      <c r="O957" s="146" t="str">
        <f t="shared" si="119"/>
        <v>Heat PumpR11R0R0Single</v>
      </c>
      <c r="P957" s="134" t="str">
        <f t="shared" si="120"/>
        <v>error</v>
      </c>
      <c r="Q957" s="134"/>
      <c r="R957" s="134"/>
      <c r="S957" s="134"/>
      <c r="T957" s="134"/>
      <c r="U957" s="134"/>
      <c r="V957" s="134"/>
      <c r="W957" s="134"/>
      <c r="X957" s="134"/>
      <c r="Y957" s="134"/>
      <c r="Z957" s="134"/>
      <c r="AA957" s="134"/>
      <c r="AB957" s="134"/>
      <c r="AC957" s="134"/>
      <c r="AD957" s="134"/>
      <c r="AE957" s="134"/>
      <c r="AF957" s="146"/>
      <c r="AG957" s="134"/>
      <c r="AH957" s="134"/>
      <c r="AI957" s="134"/>
      <c r="AJ957" s="134"/>
      <c r="AK957" s="134"/>
      <c r="AL957" s="134"/>
      <c r="AM957" s="146"/>
      <c r="AN957" s="132"/>
      <c r="AO957" s="132"/>
      <c r="AP957" s="132"/>
      <c r="AQ957" s="132"/>
      <c r="AR957" s="134"/>
      <c r="AS957" s="134"/>
      <c r="AT957" s="132"/>
      <c r="AU957" s="133"/>
      <c r="AV957" s="134"/>
    </row>
    <row r="958" spans="1:48">
      <c r="A958" s="74">
        <v>14174</v>
      </c>
      <c r="B958" s="74" t="s">
        <v>229</v>
      </c>
      <c r="C958" s="74" t="s">
        <v>673</v>
      </c>
      <c r="D958" s="74">
        <v>2054</v>
      </c>
      <c r="E958" s="73">
        <v>1.9999999552965164E-2</v>
      </c>
      <c r="F958" s="73">
        <v>0.72561837780180749</v>
      </c>
      <c r="G958" s="73">
        <v>0.11999999731779099</v>
      </c>
      <c r="H958" s="73">
        <v>0</v>
      </c>
      <c r="I958" s="190">
        <v>6932.7380000000003</v>
      </c>
      <c r="J958" s="134" t="str">
        <f t="shared" si="116"/>
        <v>ignore</v>
      </c>
      <c r="K958" s="134" t="str">
        <f t="shared" si="117"/>
        <v>R38</v>
      </c>
      <c r="L958" s="134" t="str">
        <f t="shared" si="118"/>
        <v>R11</v>
      </c>
      <c r="M958" s="146" t="str">
        <f t="shared" si="114"/>
        <v>Better</v>
      </c>
      <c r="N958" s="146" t="str">
        <f t="shared" si="115"/>
        <v>Better</v>
      </c>
      <c r="O958" s="146" t="str">
        <f t="shared" si="119"/>
        <v>Heat PumpR38R11BetterBetter</v>
      </c>
      <c r="P958" s="134" t="str">
        <f t="shared" si="120"/>
        <v>error</v>
      </c>
      <c r="Q958" s="134"/>
      <c r="R958" s="134"/>
      <c r="S958" s="134"/>
      <c r="T958" s="134"/>
      <c r="U958" s="134"/>
      <c r="V958" s="134"/>
      <c r="W958" s="134"/>
      <c r="X958" s="134"/>
      <c r="Y958" s="134"/>
      <c r="Z958" s="134"/>
      <c r="AA958" s="134"/>
      <c r="AB958" s="134"/>
      <c r="AC958" s="134"/>
      <c r="AD958" s="134"/>
      <c r="AE958" s="134"/>
      <c r="AF958" s="146"/>
      <c r="AG958" s="134"/>
      <c r="AH958" s="134"/>
      <c r="AI958" s="134"/>
      <c r="AJ958" s="134"/>
      <c r="AK958" s="134"/>
      <c r="AL958" s="134"/>
      <c r="AM958" s="146"/>
      <c r="AN958" s="132"/>
      <c r="AO958" s="132"/>
      <c r="AP958" s="132"/>
      <c r="AQ958" s="132"/>
      <c r="AR958" s="134"/>
      <c r="AS958" s="134"/>
      <c r="AT958" s="132"/>
      <c r="AU958" s="133"/>
      <c r="AV958" s="134"/>
    </row>
    <row r="959" spans="1:48">
      <c r="A959" s="74">
        <v>14285</v>
      </c>
      <c r="B959" s="74" t="s">
        <v>227</v>
      </c>
      <c r="C959" s="74" t="s">
        <v>673</v>
      </c>
      <c r="D959" s="74">
        <v>2356</v>
      </c>
      <c r="E959" s="73">
        <v>7.9999998211860657E-2</v>
      </c>
      <c r="F959" s="73">
        <v>0.94999998807907104</v>
      </c>
      <c r="G959" s="73">
        <v>8.2502232293554245E-2</v>
      </c>
      <c r="H959" s="73">
        <v>5.4999999701976776E-2</v>
      </c>
      <c r="I959" s="190">
        <v>1524.7619999999999</v>
      </c>
      <c r="J959" s="134" t="str">
        <f t="shared" si="116"/>
        <v>ignore</v>
      </c>
      <c r="K959" s="134" t="str">
        <f t="shared" si="117"/>
        <v>R19</v>
      </c>
      <c r="L959" s="134" t="str">
        <f t="shared" si="118"/>
        <v>R11</v>
      </c>
      <c r="M959" s="146" t="str">
        <f t="shared" si="114"/>
        <v>R19</v>
      </c>
      <c r="N959" s="146" t="str">
        <f t="shared" si="115"/>
        <v>Double</v>
      </c>
      <c r="O959" s="146" t="str">
        <f t="shared" si="119"/>
        <v>Electric FAFR19R11R19Double</v>
      </c>
      <c r="P959" s="134" t="str">
        <f t="shared" si="120"/>
        <v>error</v>
      </c>
      <c r="Q959" s="134"/>
      <c r="R959" s="134"/>
      <c r="S959" s="134"/>
      <c r="T959" s="134"/>
      <c r="U959" s="134"/>
      <c r="V959" s="134"/>
      <c r="W959" s="134"/>
      <c r="X959" s="134"/>
      <c r="Y959" s="134"/>
      <c r="Z959" s="134"/>
      <c r="AA959" s="134"/>
      <c r="AB959" s="134"/>
      <c r="AC959" s="134"/>
      <c r="AD959" s="134"/>
      <c r="AE959" s="134"/>
      <c r="AF959" s="146"/>
      <c r="AG959" s="134"/>
      <c r="AH959" s="134"/>
      <c r="AI959" s="134"/>
      <c r="AJ959" s="134"/>
      <c r="AK959" s="134"/>
      <c r="AL959" s="134"/>
      <c r="AM959" s="146"/>
      <c r="AN959" s="132"/>
      <c r="AO959" s="132"/>
      <c r="AP959" s="132"/>
      <c r="AQ959" s="132"/>
      <c r="AR959" s="134"/>
      <c r="AS959" s="134"/>
      <c r="AT959" s="132"/>
      <c r="AU959" s="133"/>
      <c r="AV959" s="134"/>
    </row>
    <row r="960" spans="1:48">
      <c r="A960" s="74">
        <v>14300</v>
      </c>
      <c r="B960" s="74" t="s">
        <v>228</v>
      </c>
      <c r="C960" s="74">
        <v>1</v>
      </c>
      <c r="D960" s="74">
        <v>1240</v>
      </c>
      <c r="E960" s="73">
        <v>4.5000001788139343E-2</v>
      </c>
      <c r="F960" s="73">
        <v>0.53074999541044232</v>
      </c>
      <c r="G960" s="73">
        <v>0.11738058289251821</v>
      </c>
      <c r="H960" s="73">
        <v>5.9999998658895493E-2</v>
      </c>
      <c r="I960" s="190">
        <v>4956.4930000000004</v>
      </c>
      <c r="J960" s="134" t="str">
        <f t="shared" si="116"/>
        <v>keep</v>
      </c>
      <c r="K960" s="134" t="str">
        <f t="shared" si="117"/>
        <v>R30</v>
      </c>
      <c r="L960" s="134" t="str">
        <f t="shared" si="118"/>
        <v>R11</v>
      </c>
      <c r="M960" s="146" t="str">
        <f t="shared" si="114"/>
        <v>R19</v>
      </c>
      <c r="N960" s="146" t="str">
        <f t="shared" si="115"/>
        <v>Better</v>
      </c>
      <c r="O960" s="146" t="str">
        <f t="shared" si="119"/>
        <v>Electric ZonalR30R11R19Better</v>
      </c>
      <c r="P960" s="134" t="str">
        <f t="shared" si="120"/>
        <v>Crawlspace</v>
      </c>
      <c r="Q960" s="134"/>
      <c r="R960" s="134"/>
      <c r="S960" s="134"/>
      <c r="T960" s="134"/>
      <c r="U960" s="134"/>
      <c r="V960" s="134"/>
      <c r="W960" s="134"/>
      <c r="X960" s="134"/>
      <c r="Y960" s="134"/>
      <c r="Z960" s="134"/>
      <c r="AA960" s="134"/>
      <c r="AB960" s="134"/>
      <c r="AC960" s="134"/>
      <c r="AD960" s="134"/>
      <c r="AE960" s="134"/>
      <c r="AF960" s="146"/>
      <c r="AG960" s="134"/>
      <c r="AH960" s="134"/>
      <c r="AI960" s="134"/>
      <c r="AJ960" s="134"/>
      <c r="AK960" s="134"/>
      <c r="AL960" s="134"/>
      <c r="AM960" s="146"/>
      <c r="AN960" s="132"/>
      <c r="AO960" s="132"/>
      <c r="AP960" s="132"/>
      <c r="AQ960" s="132"/>
      <c r="AR960" s="134"/>
      <c r="AS960" s="134"/>
      <c r="AT960" s="132"/>
      <c r="AU960" s="133"/>
      <c r="AV960" s="134"/>
    </row>
    <row r="961" spans="1:48">
      <c r="A961" s="74">
        <v>14331</v>
      </c>
      <c r="B961" s="74" t="s">
        <v>229</v>
      </c>
      <c r="C961" s="74" t="s">
        <v>673</v>
      </c>
      <c r="D961" s="74">
        <v>1892</v>
      </c>
      <c r="E961" s="73">
        <v>3.5000000149011612E-2</v>
      </c>
      <c r="F961" s="73">
        <v>0.55000001192092896</v>
      </c>
      <c r="G961" s="73">
        <v>9.0000003576278687E-2</v>
      </c>
      <c r="H961" s="73">
        <v>4.5000001788139343E-2</v>
      </c>
      <c r="I961" s="190">
        <v>6932.7380000000003</v>
      </c>
      <c r="J961" s="134" t="str">
        <f t="shared" si="116"/>
        <v>ignore</v>
      </c>
      <c r="K961" s="134" t="str">
        <f t="shared" si="117"/>
        <v>R38</v>
      </c>
      <c r="L961" s="134" t="str">
        <f t="shared" si="118"/>
        <v>R11</v>
      </c>
      <c r="M961" s="146" t="str">
        <f t="shared" si="114"/>
        <v>Better</v>
      </c>
      <c r="N961" s="146" t="str">
        <f t="shared" si="115"/>
        <v>Better</v>
      </c>
      <c r="O961" s="146" t="str">
        <f t="shared" si="119"/>
        <v>Heat PumpR38R11BetterBetter</v>
      </c>
      <c r="P961" s="134" t="str">
        <f t="shared" si="120"/>
        <v>error</v>
      </c>
      <c r="Q961" s="134"/>
      <c r="R961" s="134"/>
      <c r="S961" s="134"/>
      <c r="T961" s="134"/>
      <c r="U961" s="134"/>
      <c r="V961" s="134"/>
      <c r="W961" s="134"/>
      <c r="X961" s="134"/>
      <c r="Y961" s="134"/>
      <c r="Z961" s="134"/>
      <c r="AA961" s="134"/>
      <c r="AB961" s="134"/>
      <c r="AC961" s="134"/>
      <c r="AD961" s="134"/>
      <c r="AE961" s="134"/>
      <c r="AF961" s="146"/>
      <c r="AG961" s="134"/>
      <c r="AH961" s="134"/>
      <c r="AI961" s="134"/>
      <c r="AJ961" s="134"/>
      <c r="AK961" s="134"/>
      <c r="AL961" s="134"/>
      <c r="AM961" s="146"/>
      <c r="AN961" s="132"/>
      <c r="AO961" s="132"/>
      <c r="AP961" s="132"/>
      <c r="AQ961" s="132"/>
      <c r="AR961" s="134"/>
      <c r="AS961" s="134"/>
      <c r="AT961" s="132"/>
      <c r="AU961" s="133"/>
      <c r="AV961" s="134"/>
    </row>
    <row r="962" spans="1:48">
      <c r="A962" s="74">
        <v>14457</v>
      </c>
      <c r="B962" s="74" t="s">
        <v>228</v>
      </c>
      <c r="C962" s="74">
        <v>1</v>
      </c>
      <c r="D962" s="74">
        <v>1521</v>
      </c>
      <c r="E962" s="73">
        <v>4.5000001788139343E-2</v>
      </c>
      <c r="F962" s="73">
        <v>0.2199999988079071</v>
      </c>
      <c r="G962" s="73">
        <v>7.9999998211860657E-2</v>
      </c>
      <c r="H962" s="73">
        <v>3.5000000149011612E-2</v>
      </c>
      <c r="I962" s="190">
        <v>1150.8789999999999</v>
      </c>
      <c r="J962" s="134" t="str">
        <f t="shared" si="116"/>
        <v>keep</v>
      </c>
      <c r="K962" s="134" t="str">
        <f t="shared" si="117"/>
        <v>R30</v>
      </c>
      <c r="L962" s="134" t="str">
        <f t="shared" si="118"/>
        <v>R11</v>
      </c>
      <c r="M962" s="146" t="str">
        <f t="shared" si="114"/>
        <v>Better</v>
      </c>
      <c r="N962" s="146" t="str">
        <f t="shared" si="115"/>
        <v>Better</v>
      </c>
      <c r="O962" s="146" t="str">
        <f t="shared" si="119"/>
        <v>Electric ZonalR30R11BetterBetter</v>
      </c>
      <c r="P962" s="134" t="str">
        <f t="shared" si="120"/>
        <v>Crawlspace</v>
      </c>
      <c r="Q962" s="134"/>
      <c r="R962" s="134"/>
      <c r="S962" s="134"/>
      <c r="T962" s="134"/>
      <c r="U962" s="134"/>
      <c r="V962" s="134"/>
      <c r="W962" s="134"/>
      <c r="X962" s="134"/>
      <c r="Y962" s="134"/>
      <c r="Z962" s="134"/>
      <c r="AA962" s="134"/>
      <c r="AB962" s="134"/>
      <c r="AC962" s="134"/>
      <c r="AD962" s="134"/>
      <c r="AE962" s="134"/>
      <c r="AF962" s="146"/>
      <c r="AG962" s="134"/>
      <c r="AH962" s="134"/>
      <c r="AI962" s="134"/>
      <c r="AJ962" s="134"/>
      <c r="AK962" s="134"/>
      <c r="AL962" s="134"/>
      <c r="AM962" s="146"/>
      <c r="AN962" s="132"/>
      <c r="AO962" s="132"/>
      <c r="AP962" s="132"/>
      <c r="AQ962" s="132"/>
      <c r="AR962" s="134"/>
      <c r="AS962" s="134"/>
      <c r="AT962" s="132"/>
      <c r="AU962" s="133"/>
      <c r="AV962" s="134"/>
    </row>
    <row r="963" spans="1:48">
      <c r="A963" s="74">
        <v>14508</v>
      </c>
      <c r="B963" s="74" t="s">
        <v>229</v>
      </c>
      <c r="C963" s="74">
        <v>4</v>
      </c>
      <c r="D963" s="74">
        <v>3507</v>
      </c>
      <c r="E963" s="73">
        <v>4.8277080067823781E-2</v>
      </c>
      <c r="F963" s="73">
        <v>0.4904844225690439</v>
      </c>
      <c r="G963" s="73">
        <v>0.11999999731779099</v>
      </c>
      <c r="H963" s="73">
        <v>0</v>
      </c>
      <c r="I963" s="190">
        <v>4956.4930000000004</v>
      </c>
      <c r="J963" s="134" t="str">
        <f t="shared" si="116"/>
        <v>keep</v>
      </c>
      <c r="K963" s="134" t="str">
        <f t="shared" si="117"/>
        <v>R30</v>
      </c>
      <c r="L963" s="134" t="str">
        <f t="shared" si="118"/>
        <v>R11</v>
      </c>
      <c r="M963" s="146" t="str">
        <f t="shared" si="114"/>
        <v>Basement</v>
      </c>
      <c r="N963" s="146" t="str">
        <f t="shared" si="115"/>
        <v>Better</v>
      </c>
      <c r="O963" s="146" t="str">
        <f t="shared" si="119"/>
        <v>Heat PumpR30R11BasementBetter</v>
      </c>
      <c r="P963" s="134" t="str">
        <f t="shared" si="120"/>
        <v>Basement</v>
      </c>
      <c r="Q963" s="134"/>
      <c r="R963" s="134"/>
      <c r="S963" s="134"/>
      <c r="T963" s="134"/>
      <c r="U963" s="134"/>
      <c r="V963" s="134"/>
      <c r="W963" s="134"/>
      <c r="X963" s="134"/>
      <c r="Y963" s="134"/>
      <c r="Z963" s="134"/>
      <c r="AA963" s="134"/>
      <c r="AB963" s="134"/>
      <c r="AC963" s="134"/>
      <c r="AD963" s="134"/>
      <c r="AE963" s="134"/>
      <c r="AF963" s="146"/>
      <c r="AG963" s="134"/>
      <c r="AH963" s="134"/>
      <c r="AI963" s="134"/>
      <c r="AJ963" s="134"/>
      <c r="AK963" s="134"/>
      <c r="AL963" s="134"/>
      <c r="AM963" s="146"/>
      <c r="AN963" s="132"/>
      <c r="AO963" s="132"/>
      <c r="AP963" s="132"/>
      <c r="AQ963" s="132"/>
      <c r="AR963" s="134"/>
      <c r="AS963" s="134"/>
      <c r="AT963" s="132"/>
      <c r="AU963" s="133"/>
      <c r="AV963" s="134"/>
    </row>
    <row r="964" spans="1:48">
      <c r="A964" s="74">
        <v>14542</v>
      </c>
      <c r="B964" s="74" t="s">
        <v>229</v>
      </c>
      <c r="C964" s="74">
        <v>1</v>
      </c>
      <c r="D964" s="74">
        <v>3440</v>
      </c>
      <c r="E964" s="73">
        <v>5.000000074505806E-2</v>
      </c>
      <c r="F964" s="73">
        <v>0.60000002384185791</v>
      </c>
      <c r="G964" s="73">
        <v>5.9999998658895493E-2</v>
      </c>
      <c r="H964" s="73">
        <v>0.23000000417232513</v>
      </c>
      <c r="I964" s="190">
        <v>1188.027</v>
      </c>
      <c r="J964" s="134" t="str">
        <f t="shared" si="116"/>
        <v>keep</v>
      </c>
      <c r="K964" s="134" t="str">
        <f t="shared" si="117"/>
        <v>R30</v>
      </c>
      <c r="L964" s="134" t="str">
        <f t="shared" si="118"/>
        <v>R11</v>
      </c>
      <c r="M964" s="146" t="str">
        <f t="shared" si="114"/>
        <v>R0</v>
      </c>
      <c r="N964" s="146" t="str">
        <f t="shared" si="115"/>
        <v>Better</v>
      </c>
      <c r="O964" s="146" t="str">
        <f t="shared" si="119"/>
        <v>Heat PumpR30R11R0Better</v>
      </c>
      <c r="P964" s="134" t="str">
        <f t="shared" si="120"/>
        <v>Crawlspace</v>
      </c>
      <c r="Q964" s="134"/>
      <c r="R964" s="134"/>
      <c r="S964" s="134"/>
      <c r="T964" s="134"/>
      <c r="U964" s="134"/>
      <c r="V964" s="134"/>
      <c r="W964" s="134"/>
      <c r="X964" s="134"/>
      <c r="Y964" s="134"/>
      <c r="Z964" s="134"/>
      <c r="AA964" s="134"/>
      <c r="AB964" s="134"/>
      <c r="AC964" s="134"/>
      <c r="AD964" s="134"/>
      <c r="AE964" s="134"/>
      <c r="AF964" s="146"/>
      <c r="AG964" s="134"/>
      <c r="AH964" s="134"/>
      <c r="AI964" s="134"/>
      <c r="AJ964" s="134"/>
      <c r="AK964" s="134"/>
      <c r="AL964" s="134"/>
      <c r="AM964" s="146"/>
      <c r="AN964" s="132"/>
      <c r="AO964" s="132"/>
      <c r="AP964" s="132"/>
      <c r="AQ964" s="132"/>
      <c r="AR964" s="134"/>
      <c r="AS964" s="134"/>
      <c r="AT964" s="132"/>
      <c r="AU964" s="133"/>
      <c r="AV964" s="134"/>
    </row>
    <row r="965" spans="1:48">
      <c r="A965" s="74">
        <v>14646</v>
      </c>
      <c r="B965" s="74" t="s">
        <v>229</v>
      </c>
      <c r="C965" s="74">
        <v>1</v>
      </c>
      <c r="D965" s="74">
        <v>1125</v>
      </c>
      <c r="E965" s="73">
        <v>1.9999999552965164E-2</v>
      </c>
      <c r="F965" s="73">
        <v>0.44999998807907104</v>
      </c>
      <c r="G965" s="73">
        <v>8.4000002592802048E-2</v>
      </c>
      <c r="H965" s="73">
        <v>0.11999999731779099</v>
      </c>
      <c r="I965" s="190">
        <v>1188.027</v>
      </c>
      <c r="J965" s="134" t="str">
        <f t="shared" si="116"/>
        <v>keep</v>
      </c>
      <c r="K965" s="134" t="str">
        <f t="shared" si="117"/>
        <v>R38</v>
      </c>
      <c r="L965" s="134" t="str">
        <f t="shared" si="118"/>
        <v>R11</v>
      </c>
      <c r="M965" s="146" t="str">
        <f t="shared" si="114"/>
        <v>R0</v>
      </c>
      <c r="N965" s="146" t="str">
        <f t="shared" si="115"/>
        <v>Better</v>
      </c>
      <c r="O965" s="146" t="str">
        <f t="shared" si="119"/>
        <v>Heat PumpR38R11R0Better</v>
      </c>
      <c r="P965" s="134" t="str">
        <f t="shared" si="120"/>
        <v>Crawlspace</v>
      </c>
      <c r="Q965" s="134"/>
      <c r="R965" s="134"/>
      <c r="S965" s="134"/>
      <c r="T965" s="134"/>
      <c r="U965" s="134"/>
      <c r="V965" s="134"/>
      <c r="W965" s="134"/>
      <c r="X965" s="134"/>
      <c r="Y965" s="134"/>
      <c r="Z965" s="134"/>
      <c r="AA965" s="134"/>
      <c r="AB965" s="134"/>
      <c r="AC965" s="134"/>
      <c r="AD965" s="134"/>
      <c r="AE965" s="134"/>
      <c r="AF965" s="146"/>
      <c r="AG965" s="134"/>
      <c r="AH965" s="134"/>
      <c r="AI965" s="134"/>
      <c r="AJ965" s="134"/>
      <c r="AK965" s="134"/>
      <c r="AL965" s="134"/>
      <c r="AM965" s="146"/>
      <c r="AN965" s="132"/>
      <c r="AO965" s="132"/>
      <c r="AP965" s="132"/>
      <c r="AQ965" s="132"/>
      <c r="AR965" s="134"/>
      <c r="AS965" s="134"/>
      <c r="AT965" s="132"/>
      <c r="AU965" s="133"/>
      <c r="AV965" s="134"/>
    </row>
    <row r="966" spans="1:48">
      <c r="A966" s="74">
        <v>20007</v>
      </c>
      <c r="B966" s="74" t="s">
        <v>227</v>
      </c>
      <c r="C966" s="74">
        <v>1</v>
      </c>
      <c r="D966" s="74">
        <v>1344</v>
      </c>
      <c r="E966" s="73">
        <v>0.17000000178813934</v>
      </c>
      <c r="F966" s="73">
        <v>0.55000001192092896</v>
      </c>
      <c r="G966" s="73">
        <v>5.9999998658895493E-2</v>
      </c>
      <c r="H966" s="73">
        <v>6.4999997615814209E-2</v>
      </c>
      <c r="I966" s="190">
        <v>2079.9929999999999</v>
      </c>
      <c r="J966" s="134" t="str">
        <f t="shared" si="116"/>
        <v>keep</v>
      </c>
      <c r="K966" s="134" t="str">
        <f t="shared" si="117"/>
        <v>R0</v>
      </c>
      <c r="L966" s="134" t="str">
        <f t="shared" si="118"/>
        <v>R11</v>
      </c>
      <c r="M966" s="146" t="str">
        <f t="shared" si="114"/>
        <v>R19</v>
      </c>
      <c r="N966" s="146" t="str">
        <f t="shared" si="115"/>
        <v>Better</v>
      </c>
      <c r="O966" s="146" t="str">
        <f t="shared" si="119"/>
        <v>Electric FAFR0R11R19Better</v>
      </c>
      <c r="P966" s="134" t="str">
        <f t="shared" si="120"/>
        <v>Crawlspace</v>
      </c>
      <c r="Q966" s="134"/>
      <c r="R966" s="134"/>
      <c r="S966" s="134"/>
      <c r="T966" s="134"/>
      <c r="U966" s="134"/>
      <c r="V966" s="134"/>
      <c r="W966" s="134"/>
      <c r="X966" s="134"/>
      <c r="Y966" s="134"/>
      <c r="Z966" s="134"/>
      <c r="AA966" s="134"/>
      <c r="AB966" s="134"/>
      <c r="AC966" s="134"/>
      <c r="AD966" s="134"/>
      <c r="AE966" s="134"/>
      <c r="AF966" s="146"/>
      <c r="AG966" s="134"/>
      <c r="AH966" s="134"/>
      <c r="AI966" s="134"/>
      <c r="AJ966" s="134"/>
      <c r="AK966" s="134"/>
      <c r="AL966" s="134"/>
      <c r="AM966" s="146"/>
      <c r="AN966" s="132"/>
      <c r="AO966" s="132"/>
      <c r="AP966" s="132"/>
      <c r="AQ966" s="132"/>
      <c r="AR966" s="134"/>
      <c r="AS966" s="134"/>
      <c r="AT966" s="132"/>
      <c r="AU966" s="133"/>
      <c r="AV966" s="134"/>
    </row>
    <row r="967" spans="1:48">
      <c r="A967" s="74">
        <v>20016</v>
      </c>
      <c r="B967" s="74" t="s">
        <v>228</v>
      </c>
      <c r="C967" s="74">
        <v>1</v>
      </c>
      <c r="D967" s="74">
        <v>780</v>
      </c>
      <c r="E967" s="73">
        <v>0.1949999928474426</v>
      </c>
      <c r="F967" s="73">
        <v>0.55000001192092896</v>
      </c>
      <c r="G967" s="73">
        <v>0.23400000000000001</v>
      </c>
      <c r="H967" s="73">
        <v>0.23000000417232513</v>
      </c>
      <c r="I967" s="190">
        <v>12271.31</v>
      </c>
      <c r="J967" s="134" t="str">
        <f t="shared" si="116"/>
        <v>keep</v>
      </c>
      <c r="K967" s="134" t="str">
        <f t="shared" si="117"/>
        <v>R0</v>
      </c>
      <c r="L967" s="134" t="str">
        <f t="shared" si="118"/>
        <v>R0</v>
      </c>
      <c r="M967" s="146" t="str">
        <f t="shared" si="114"/>
        <v>R0</v>
      </c>
      <c r="N967" s="146" t="str">
        <f t="shared" si="115"/>
        <v>Better</v>
      </c>
      <c r="O967" s="146" t="str">
        <f t="shared" si="119"/>
        <v>Electric ZonalR0R0R0Better</v>
      </c>
      <c r="P967" s="134" t="str">
        <f t="shared" si="120"/>
        <v>Crawlspace</v>
      </c>
      <c r="Q967" s="134"/>
      <c r="R967" s="134"/>
      <c r="S967" s="134"/>
      <c r="T967" s="134"/>
      <c r="U967" s="134"/>
      <c r="V967" s="134"/>
      <c r="W967" s="134"/>
      <c r="X967" s="134"/>
      <c r="Y967" s="134"/>
      <c r="Z967" s="134"/>
      <c r="AA967" s="134"/>
      <c r="AB967" s="134"/>
      <c r="AC967" s="134"/>
      <c r="AD967" s="134"/>
      <c r="AE967" s="134"/>
      <c r="AF967" s="146"/>
      <c r="AG967" s="134"/>
      <c r="AH967" s="134"/>
      <c r="AI967" s="134"/>
      <c r="AJ967" s="134"/>
      <c r="AK967" s="134"/>
      <c r="AL967" s="134"/>
      <c r="AM967" s="146"/>
      <c r="AN967" s="132"/>
      <c r="AO967" s="132"/>
      <c r="AP967" s="132"/>
      <c r="AQ967" s="132"/>
      <c r="AR967" s="134"/>
      <c r="AS967" s="134"/>
      <c r="AT967" s="132"/>
      <c r="AU967" s="133"/>
      <c r="AV967" s="134"/>
    </row>
    <row r="968" spans="1:48">
      <c r="A968" s="74">
        <v>20020</v>
      </c>
      <c r="B968" s="74" t="s">
        <v>227</v>
      </c>
      <c r="C968" s="74">
        <v>1</v>
      </c>
      <c r="D968" s="74">
        <v>2026</v>
      </c>
      <c r="E968" s="73">
        <v>2.500000037252903E-2</v>
      </c>
      <c r="F968" s="73">
        <v>0.55000001192092896</v>
      </c>
      <c r="G968" s="73">
        <v>5.9999998658895493E-2</v>
      </c>
      <c r="H968" s="73">
        <v>2.9999999329447746E-2</v>
      </c>
      <c r="I968" s="190">
        <v>1904.288</v>
      </c>
      <c r="J968" s="134" t="str">
        <f t="shared" si="116"/>
        <v>keep</v>
      </c>
      <c r="K968" s="134" t="str">
        <f t="shared" si="117"/>
        <v>R38</v>
      </c>
      <c r="L968" s="134" t="str">
        <f t="shared" si="118"/>
        <v>R11</v>
      </c>
      <c r="M968" s="146" t="str">
        <f t="shared" si="114"/>
        <v>Better</v>
      </c>
      <c r="N968" s="146" t="str">
        <f t="shared" si="115"/>
        <v>Better</v>
      </c>
      <c r="O968" s="146" t="str">
        <f t="shared" si="119"/>
        <v>Electric FAFR38R11BetterBetter</v>
      </c>
      <c r="P968" s="134" t="str">
        <f t="shared" si="120"/>
        <v>Crawlspace</v>
      </c>
      <c r="Q968" s="134"/>
      <c r="R968" s="134"/>
      <c r="S968" s="134"/>
      <c r="T968" s="134"/>
      <c r="U968" s="134"/>
      <c r="V968" s="134"/>
      <c r="W968" s="134"/>
      <c r="X968" s="134"/>
      <c r="Y968" s="134"/>
      <c r="Z968" s="134"/>
      <c r="AA968" s="134"/>
      <c r="AB968" s="134"/>
      <c r="AC968" s="134"/>
      <c r="AD968" s="134"/>
      <c r="AE968" s="134"/>
      <c r="AF968" s="146"/>
      <c r="AG968" s="134"/>
      <c r="AH968" s="134"/>
      <c r="AI968" s="134"/>
      <c r="AJ968" s="134"/>
      <c r="AK968" s="134"/>
      <c r="AL968" s="134"/>
      <c r="AM968" s="146"/>
      <c r="AN968" s="132"/>
      <c r="AO968" s="132"/>
      <c r="AP968" s="132"/>
      <c r="AQ968" s="132"/>
      <c r="AR968" s="134"/>
      <c r="AS968" s="134"/>
      <c r="AT968" s="132"/>
      <c r="AU968" s="133"/>
      <c r="AV968" s="134"/>
    </row>
    <row r="969" spans="1:48">
      <c r="A969" s="74">
        <v>20038</v>
      </c>
      <c r="B969" s="74" t="s">
        <v>229</v>
      </c>
      <c r="C969" s="74">
        <v>4</v>
      </c>
      <c r="D969" s="74">
        <v>2482</v>
      </c>
      <c r="E969" s="73">
        <v>1.9999999552965164E-2</v>
      </c>
      <c r="F969" s="73">
        <v>0.44999998807907104</v>
      </c>
      <c r="G969" s="73">
        <v>3.9999999105930328E-2</v>
      </c>
      <c r="H969" s="73">
        <v>0</v>
      </c>
      <c r="I969" s="190">
        <v>1144.6790000000001</v>
      </c>
      <c r="J969" s="134" t="str">
        <f t="shared" si="116"/>
        <v>keep</v>
      </c>
      <c r="K969" s="134" t="str">
        <f t="shared" si="117"/>
        <v>R38</v>
      </c>
      <c r="L969" s="134" t="str">
        <f t="shared" si="118"/>
        <v>R11</v>
      </c>
      <c r="M969" s="146" t="str">
        <f t="shared" si="114"/>
        <v>Basement</v>
      </c>
      <c r="N969" s="146" t="str">
        <f t="shared" si="115"/>
        <v>Better</v>
      </c>
      <c r="O969" s="146" t="str">
        <f t="shared" si="119"/>
        <v>Heat PumpR38R11BasementBetter</v>
      </c>
      <c r="P969" s="134" t="str">
        <f t="shared" si="120"/>
        <v>Basement</v>
      </c>
      <c r="Q969" s="134"/>
      <c r="R969" s="134"/>
      <c r="S969" s="134"/>
      <c r="T969" s="134"/>
      <c r="U969" s="134"/>
      <c r="V969" s="134"/>
      <c r="W969" s="134"/>
      <c r="X969" s="134"/>
      <c r="Y969" s="134"/>
      <c r="Z969" s="134"/>
      <c r="AA969" s="134"/>
      <c r="AB969" s="134"/>
      <c r="AC969" s="134"/>
      <c r="AD969" s="134"/>
      <c r="AE969" s="134"/>
      <c r="AF969" s="146"/>
      <c r="AG969" s="134"/>
      <c r="AH969" s="134"/>
      <c r="AI969" s="134"/>
      <c r="AJ969" s="134"/>
      <c r="AK969" s="134"/>
      <c r="AL969" s="134"/>
      <c r="AM969" s="146"/>
      <c r="AN969" s="132"/>
      <c r="AO969" s="132"/>
      <c r="AP969" s="132"/>
      <c r="AQ969" s="132"/>
      <c r="AR969" s="134"/>
      <c r="AS969" s="134"/>
      <c r="AT969" s="132"/>
      <c r="AU969" s="133"/>
      <c r="AV969" s="134"/>
    </row>
    <row r="970" spans="1:48">
      <c r="A970" s="74">
        <v>20058</v>
      </c>
      <c r="B970" s="74" t="s">
        <v>229</v>
      </c>
      <c r="C970" s="74">
        <v>1</v>
      </c>
      <c r="D970" s="74">
        <v>1080</v>
      </c>
      <c r="E970" s="73">
        <v>9.0000003576278687E-2</v>
      </c>
      <c r="F970" s="73">
        <v>0.44999998807907104</v>
      </c>
      <c r="G970" s="73">
        <v>7.9999998211860657E-2</v>
      </c>
      <c r="H970" s="73">
        <v>4.5000001788139343E-2</v>
      </c>
      <c r="I970" s="190">
        <v>3785.7640000000001</v>
      </c>
      <c r="J970" s="134" t="str">
        <f t="shared" si="116"/>
        <v>keep</v>
      </c>
      <c r="K970" s="134" t="str">
        <f t="shared" si="117"/>
        <v>R11</v>
      </c>
      <c r="L970" s="134" t="str">
        <f t="shared" si="118"/>
        <v>R11</v>
      </c>
      <c r="M970" s="146" t="str">
        <f t="shared" si="114"/>
        <v>Better</v>
      </c>
      <c r="N970" s="146" t="str">
        <f t="shared" si="115"/>
        <v>Better</v>
      </c>
      <c r="O970" s="146" t="str">
        <f t="shared" si="119"/>
        <v>Heat PumpR11R11BetterBetter</v>
      </c>
      <c r="P970" s="134" t="str">
        <f t="shared" si="120"/>
        <v>Crawlspace</v>
      </c>
      <c r="Q970" s="134"/>
      <c r="R970" s="134"/>
      <c r="S970" s="134"/>
      <c r="T970" s="134"/>
      <c r="U970" s="134"/>
      <c r="V970" s="134"/>
      <c r="W970" s="134"/>
      <c r="X970" s="134"/>
      <c r="Y970" s="134"/>
      <c r="Z970" s="134"/>
      <c r="AA970" s="134"/>
      <c r="AB970" s="134"/>
      <c r="AC970" s="134"/>
      <c r="AD970" s="134"/>
      <c r="AE970" s="134"/>
      <c r="AF970" s="146"/>
      <c r="AG970" s="134"/>
      <c r="AH970" s="134"/>
      <c r="AI970" s="134"/>
      <c r="AJ970" s="134"/>
      <c r="AK970" s="134"/>
      <c r="AL970" s="134"/>
      <c r="AM970" s="146"/>
      <c r="AN970" s="132"/>
      <c r="AO970" s="132"/>
      <c r="AP970" s="132"/>
      <c r="AQ970" s="132"/>
      <c r="AR970" s="134"/>
      <c r="AS970" s="134"/>
      <c r="AT970" s="132"/>
      <c r="AU970" s="133"/>
      <c r="AV970" s="134"/>
    </row>
    <row r="971" spans="1:48">
      <c r="A971" s="74">
        <v>20066</v>
      </c>
      <c r="B971" s="74" t="s">
        <v>229</v>
      </c>
      <c r="C971" s="74">
        <v>1</v>
      </c>
      <c r="D971" s="74">
        <v>2300</v>
      </c>
      <c r="E971" s="73">
        <v>7.5000002980232239E-2</v>
      </c>
      <c r="F971" s="73">
        <v>0.55021232619660165</v>
      </c>
      <c r="G971" s="73">
        <v>0.10999999940395355</v>
      </c>
      <c r="H971" s="73">
        <v>0.23000000417232513</v>
      </c>
      <c r="I971" s="190">
        <v>2079.9929999999999</v>
      </c>
      <c r="J971" s="134" t="str">
        <f t="shared" si="116"/>
        <v>keep</v>
      </c>
      <c r="K971" s="134" t="str">
        <f t="shared" si="117"/>
        <v>R19</v>
      </c>
      <c r="L971" s="134" t="str">
        <f t="shared" si="118"/>
        <v>R11</v>
      </c>
      <c r="M971" s="146" t="str">
        <f t="shared" si="114"/>
        <v>R0</v>
      </c>
      <c r="N971" s="146" t="str">
        <f t="shared" si="115"/>
        <v>Better</v>
      </c>
      <c r="O971" s="146" t="str">
        <f t="shared" si="119"/>
        <v>Heat PumpR19R11R0Better</v>
      </c>
      <c r="P971" s="134" t="str">
        <f t="shared" si="120"/>
        <v>Crawlspace</v>
      </c>
      <c r="Q971" s="134"/>
      <c r="R971" s="134"/>
      <c r="S971" s="134"/>
      <c r="T971" s="134"/>
      <c r="U971" s="134"/>
      <c r="V971" s="134"/>
      <c r="W971" s="134"/>
      <c r="X971" s="134"/>
      <c r="Y971" s="134"/>
      <c r="Z971" s="134"/>
      <c r="AA971" s="134"/>
      <c r="AB971" s="134"/>
      <c r="AC971" s="134"/>
      <c r="AD971" s="134"/>
      <c r="AE971" s="134"/>
      <c r="AF971" s="146"/>
      <c r="AG971" s="134"/>
      <c r="AH971" s="134"/>
      <c r="AI971" s="134"/>
      <c r="AJ971" s="134"/>
      <c r="AK971" s="134"/>
      <c r="AL971" s="134"/>
      <c r="AM971" s="146"/>
      <c r="AN971" s="132"/>
      <c r="AO971" s="132"/>
      <c r="AP971" s="132"/>
      <c r="AQ971" s="132"/>
      <c r="AR971" s="134"/>
      <c r="AS971" s="134"/>
      <c r="AT971" s="132"/>
      <c r="AU971" s="133"/>
      <c r="AV971" s="134"/>
    </row>
    <row r="972" spans="1:48">
      <c r="A972" s="74">
        <v>20076</v>
      </c>
      <c r="B972" s="74" t="s">
        <v>229</v>
      </c>
      <c r="C972" s="74">
        <v>1</v>
      </c>
      <c r="D972" s="74">
        <v>3492</v>
      </c>
      <c r="E972" s="73">
        <v>7.5000002980232239E-2</v>
      </c>
      <c r="F972" s="73">
        <v>0.44999998807907104</v>
      </c>
      <c r="G972" s="73">
        <v>5.9999998658895493E-2</v>
      </c>
      <c r="H972" s="73">
        <v>2.9999999329447746E-2</v>
      </c>
      <c r="I972" s="190">
        <v>3785.7640000000001</v>
      </c>
      <c r="J972" s="134" t="str">
        <f t="shared" si="116"/>
        <v>keep</v>
      </c>
      <c r="K972" s="134" t="str">
        <f t="shared" si="117"/>
        <v>R19</v>
      </c>
      <c r="L972" s="134" t="str">
        <f t="shared" si="118"/>
        <v>R11</v>
      </c>
      <c r="M972" s="146" t="str">
        <f t="shared" si="114"/>
        <v>Better</v>
      </c>
      <c r="N972" s="146" t="str">
        <f t="shared" si="115"/>
        <v>Better</v>
      </c>
      <c r="O972" s="146" t="str">
        <f t="shared" si="119"/>
        <v>Heat PumpR19R11BetterBetter</v>
      </c>
      <c r="P972" s="134" t="str">
        <f t="shared" si="120"/>
        <v>Crawlspace</v>
      </c>
      <c r="Q972" s="134"/>
      <c r="R972" s="134"/>
      <c r="S972" s="134"/>
      <c r="T972" s="134"/>
      <c r="U972" s="134"/>
      <c r="V972" s="134"/>
      <c r="W972" s="134"/>
      <c r="X972" s="134"/>
      <c r="Y972" s="134"/>
      <c r="Z972" s="134"/>
      <c r="AA972" s="134"/>
      <c r="AB972" s="134"/>
      <c r="AC972" s="134"/>
      <c r="AD972" s="134"/>
      <c r="AE972" s="134"/>
      <c r="AF972" s="146"/>
      <c r="AG972" s="134"/>
      <c r="AH972" s="134"/>
      <c r="AI972" s="134"/>
      <c r="AJ972" s="134"/>
      <c r="AK972" s="134"/>
      <c r="AL972" s="134"/>
      <c r="AM972" s="146"/>
      <c r="AN972" s="132"/>
      <c r="AO972" s="132"/>
      <c r="AP972" s="132"/>
      <c r="AQ972" s="132"/>
      <c r="AR972" s="134"/>
      <c r="AS972" s="134"/>
      <c r="AT972" s="132"/>
      <c r="AU972" s="133"/>
      <c r="AV972" s="134"/>
    </row>
    <row r="973" spans="1:48">
      <c r="A973" s="74">
        <v>20080</v>
      </c>
      <c r="B973" s="74" t="s">
        <v>227</v>
      </c>
      <c r="C973" s="74">
        <v>4</v>
      </c>
      <c r="D973" s="74">
        <v>2330</v>
      </c>
      <c r="E973" s="73">
        <v>9.0000003576278687E-2</v>
      </c>
      <c r="F973" s="73">
        <v>0.55000001192092896</v>
      </c>
      <c r="G973" s="73">
        <v>5.9999998658895493E-2</v>
      </c>
      <c r="H973" s="73">
        <v>0</v>
      </c>
      <c r="I973" s="190">
        <v>1904.288</v>
      </c>
      <c r="J973" s="134" t="str">
        <f t="shared" si="116"/>
        <v>keep</v>
      </c>
      <c r="K973" s="134" t="str">
        <f t="shared" si="117"/>
        <v>R11</v>
      </c>
      <c r="L973" s="134" t="str">
        <f t="shared" si="118"/>
        <v>R11</v>
      </c>
      <c r="M973" s="146" t="str">
        <f t="shared" si="114"/>
        <v>Basement</v>
      </c>
      <c r="N973" s="146" t="str">
        <f t="shared" si="115"/>
        <v>Better</v>
      </c>
      <c r="O973" s="146" t="str">
        <f t="shared" si="119"/>
        <v>Electric FAFR11R11BasementBetter</v>
      </c>
      <c r="P973" s="134" t="str">
        <f t="shared" si="120"/>
        <v>Basement</v>
      </c>
      <c r="Q973" s="134"/>
      <c r="R973" s="134"/>
      <c r="S973" s="134"/>
      <c r="T973" s="134"/>
      <c r="U973" s="134"/>
      <c r="V973" s="134"/>
      <c r="W973" s="134"/>
      <c r="X973" s="134"/>
      <c r="Y973" s="134"/>
      <c r="Z973" s="134"/>
      <c r="AA973" s="134"/>
      <c r="AB973" s="134"/>
      <c r="AC973" s="134"/>
      <c r="AD973" s="134"/>
      <c r="AE973" s="134"/>
      <c r="AF973" s="146"/>
      <c r="AG973" s="134"/>
      <c r="AH973" s="134"/>
      <c r="AI973" s="134"/>
      <c r="AJ973" s="134"/>
      <c r="AK973" s="134"/>
      <c r="AL973" s="134"/>
      <c r="AM973" s="146"/>
      <c r="AN973" s="132"/>
      <c r="AO973" s="132"/>
      <c r="AP973" s="132"/>
      <c r="AQ973" s="132"/>
      <c r="AR973" s="134"/>
      <c r="AS973" s="134"/>
      <c r="AT973" s="132"/>
      <c r="AU973" s="133"/>
      <c r="AV973" s="134"/>
    </row>
    <row r="974" spans="1:48">
      <c r="A974" s="74">
        <v>20152</v>
      </c>
      <c r="B974" s="74" t="s">
        <v>228</v>
      </c>
      <c r="C974" s="74">
        <v>4</v>
      </c>
      <c r="D974" s="74">
        <v>2856</v>
      </c>
      <c r="E974" s="73">
        <v>1.9999999552965164E-2</v>
      </c>
      <c r="F974" s="73">
        <v>0.7897727299820293</v>
      </c>
      <c r="G974" s="73">
        <v>9.0000003576278687E-2</v>
      </c>
      <c r="H974" s="73">
        <v>0</v>
      </c>
      <c r="I974" s="190">
        <v>3785.7640000000001</v>
      </c>
      <c r="J974" s="134" t="str">
        <f t="shared" si="116"/>
        <v>keep</v>
      </c>
      <c r="K974" s="134" t="str">
        <f t="shared" si="117"/>
        <v>R38</v>
      </c>
      <c r="L974" s="134" t="str">
        <f t="shared" si="118"/>
        <v>R11</v>
      </c>
      <c r="M974" s="146" t="str">
        <f t="shared" si="114"/>
        <v>Basement</v>
      </c>
      <c r="N974" s="146" t="str">
        <f t="shared" si="115"/>
        <v>Better</v>
      </c>
      <c r="O974" s="146" t="str">
        <f t="shared" si="119"/>
        <v>Electric ZonalR38R11BasementBetter</v>
      </c>
      <c r="P974" s="134" t="str">
        <f t="shared" si="120"/>
        <v>Basement</v>
      </c>
      <c r="Q974" s="134"/>
      <c r="R974" s="134"/>
      <c r="S974" s="134"/>
      <c r="T974" s="134"/>
      <c r="U974" s="134"/>
      <c r="V974" s="134"/>
      <c r="W974" s="134"/>
      <c r="X974" s="134"/>
      <c r="Y974" s="134"/>
      <c r="Z974" s="134"/>
      <c r="AA974" s="134"/>
      <c r="AB974" s="134"/>
      <c r="AC974" s="134"/>
      <c r="AD974" s="134"/>
      <c r="AE974" s="134"/>
      <c r="AF974" s="146"/>
      <c r="AG974" s="134"/>
      <c r="AH974" s="134"/>
      <c r="AI974" s="134"/>
      <c r="AJ974" s="134"/>
      <c r="AK974" s="134"/>
      <c r="AL974" s="134"/>
      <c r="AM974" s="146"/>
      <c r="AN974" s="132"/>
      <c r="AO974" s="132"/>
      <c r="AP974" s="132"/>
      <c r="AQ974" s="132"/>
      <c r="AR974" s="134"/>
      <c r="AS974" s="134"/>
      <c r="AT974" s="132"/>
      <c r="AU974" s="133"/>
      <c r="AV974" s="134"/>
    </row>
    <row r="975" spans="1:48">
      <c r="A975" s="74">
        <v>20163</v>
      </c>
      <c r="B975" s="74" t="s">
        <v>229</v>
      </c>
      <c r="C975" s="74" t="s">
        <v>673</v>
      </c>
      <c r="D975" s="74">
        <v>1047</v>
      </c>
      <c r="E975" s="73">
        <v>0.14845237597113564</v>
      </c>
      <c r="F975" s="73">
        <v>0.80000001192092896</v>
      </c>
      <c r="G975" s="73">
        <v>0.11999999731779099</v>
      </c>
      <c r="H975" s="73">
        <v>0.23000000417232513</v>
      </c>
      <c r="I975" s="190">
        <v>2079.9929999999999</v>
      </c>
      <c r="J975" s="134" t="str">
        <f t="shared" si="116"/>
        <v>ignore</v>
      </c>
      <c r="K975" s="134" t="str">
        <f t="shared" si="117"/>
        <v>R11</v>
      </c>
      <c r="L975" s="134" t="str">
        <f t="shared" si="118"/>
        <v>R11</v>
      </c>
      <c r="M975" s="146" t="str">
        <f t="shared" si="114"/>
        <v>R0</v>
      </c>
      <c r="N975" s="146" t="str">
        <f t="shared" si="115"/>
        <v>Better</v>
      </c>
      <c r="O975" s="146" t="str">
        <f t="shared" si="119"/>
        <v>Heat PumpR11R11R0Better</v>
      </c>
      <c r="P975" s="134" t="str">
        <f t="shared" si="120"/>
        <v>error</v>
      </c>
      <c r="Q975" s="134"/>
      <c r="R975" s="134"/>
      <c r="S975" s="134"/>
      <c r="T975" s="134"/>
      <c r="U975" s="134"/>
      <c r="V975" s="134"/>
      <c r="W975" s="134"/>
      <c r="X975" s="134"/>
      <c r="Y975" s="134"/>
      <c r="Z975" s="134"/>
      <c r="AA975" s="134"/>
      <c r="AB975" s="134"/>
      <c r="AC975" s="134"/>
      <c r="AD975" s="134"/>
      <c r="AE975" s="134"/>
      <c r="AF975" s="146"/>
      <c r="AG975" s="134"/>
      <c r="AH975" s="134"/>
      <c r="AI975" s="134"/>
      <c r="AJ975" s="134"/>
      <c r="AK975" s="134"/>
      <c r="AL975" s="134"/>
      <c r="AM975" s="146"/>
      <c r="AN975" s="132"/>
      <c r="AO975" s="132"/>
      <c r="AP975" s="132"/>
      <c r="AQ975" s="132"/>
      <c r="AR975" s="134"/>
      <c r="AS975" s="134"/>
      <c r="AT975" s="132"/>
      <c r="AU975" s="133"/>
      <c r="AV975" s="134"/>
    </row>
    <row r="976" spans="1:48">
      <c r="A976" s="74">
        <v>20166</v>
      </c>
      <c r="B976" s="74" t="s">
        <v>229</v>
      </c>
      <c r="C976" s="74">
        <v>1</v>
      </c>
      <c r="D976" s="74">
        <v>1843</v>
      </c>
      <c r="E976" s="73">
        <v>3.5000000149011612E-2</v>
      </c>
      <c r="F976" s="73">
        <v>0.55000001192092896</v>
      </c>
      <c r="G976" s="73">
        <v>5.9999998658895493E-2</v>
      </c>
      <c r="H976" s="73">
        <v>4.5000001788139343E-2</v>
      </c>
      <c r="I976" s="190">
        <v>2079.9929999999999</v>
      </c>
      <c r="J976" s="134" t="str">
        <f t="shared" si="116"/>
        <v>keep</v>
      </c>
      <c r="K976" s="134" t="str">
        <f t="shared" si="117"/>
        <v>R38</v>
      </c>
      <c r="L976" s="134" t="str">
        <f t="shared" si="118"/>
        <v>R11</v>
      </c>
      <c r="M976" s="146" t="str">
        <f t="shared" si="114"/>
        <v>Better</v>
      </c>
      <c r="N976" s="146" t="str">
        <f t="shared" si="115"/>
        <v>Better</v>
      </c>
      <c r="O976" s="146" t="str">
        <f t="shared" si="119"/>
        <v>Heat PumpR38R11BetterBetter</v>
      </c>
      <c r="P976" s="134" t="str">
        <f t="shared" si="120"/>
        <v>Crawlspace</v>
      </c>
      <c r="Q976" s="134"/>
      <c r="R976" s="134"/>
      <c r="S976" s="134"/>
      <c r="T976" s="134"/>
      <c r="U976" s="134"/>
      <c r="V976" s="134"/>
      <c r="W976" s="134"/>
      <c r="X976" s="134"/>
      <c r="Y976" s="134"/>
      <c r="Z976" s="134"/>
      <c r="AA976" s="134"/>
      <c r="AB976" s="134"/>
      <c r="AC976" s="134"/>
      <c r="AD976" s="134"/>
      <c r="AE976" s="134"/>
      <c r="AF976" s="146"/>
      <c r="AG976" s="134"/>
      <c r="AH976" s="134"/>
      <c r="AI976" s="134"/>
      <c r="AJ976" s="134"/>
      <c r="AK976" s="134"/>
      <c r="AL976" s="134"/>
      <c r="AM976" s="146"/>
      <c r="AN976" s="132"/>
      <c r="AO976" s="132"/>
      <c r="AP976" s="132"/>
      <c r="AQ976" s="132"/>
      <c r="AR976" s="134"/>
      <c r="AS976" s="134"/>
      <c r="AT976" s="132"/>
      <c r="AU976" s="133"/>
      <c r="AV976" s="134"/>
    </row>
    <row r="977" spans="1:48">
      <c r="A977" s="74">
        <v>20168</v>
      </c>
      <c r="B977" s="74" t="s">
        <v>229</v>
      </c>
      <c r="C977" s="74">
        <v>1</v>
      </c>
      <c r="D977" s="74">
        <v>1715</v>
      </c>
      <c r="E977" s="73">
        <v>0.14000000059604645</v>
      </c>
      <c r="F977" s="73">
        <v>0.44999998807907104</v>
      </c>
      <c r="G977" s="73">
        <v>5.9999998658895493E-2</v>
      </c>
      <c r="H977" s="73">
        <v>3.5000000149011612E-2</v>
      </c>
      <c r="I977" s="190">
        <v>1612.692</v>
      </c>
      <c r="J977" s="134" t="str">
        <f t="shared" si="116"/>
        <v>keep</v>
      </c>
      <c r="K977" s="134" t="str">
        <f t="shared" si="117"/>
        <v>R11</v>
      </c>
      <c r="L977" s="134" t="str">
        <f t="shared" si="118"/>
        <v>R11</v>
      </c>
      <c r="M977" s="146" t="str">
        <f t="shared" si="114"/>
        <v>Better</v>
      </c>
      <c r="N977" s="146" t="str">
        <f t="shared" si="115"/>
        <v>Better</v>
      </c>
      <c r="O977" s="146" t="str">
        <f t="shared" si="119"/>
        <v>Heat PumpR11R11BetterBetter</v>
      </c>
      <c r="P977" s="134" t="str">
        <f t="shared" si="120"/>
        <v>Crawlspace</v>
      </c>
      <c r="Q977" s="134"/>
      <c r="R977" s="134"/>
      <c r="S977" s="134"/>
      <c r="T977" s="134"/>
      <c r="U977" s="134"/>
      <c r="V977" s="134"/>
      <c r="W977" s="134"/>
      <c r="X977" s="134"/>
      <c r="Y977" s="134"/>
      <c r="Z977" s="134"/>
      <c r="AA977" s="134"/>
      <c r="AB977" s="134"/>
      <c r="AC977" s="134"/>
      <c r="AD977" s="134"/>
      <c r="AE977" s="134"/>
      <c r="AF977" s="146"/>
      <c r="AG977" s="134"/>
      <c r="AH977" s="134"/>
      <c r="AI977" s="134"/>
      <c r="AJ977" s="134"/>
      <c r="AK977" s="134"/>
      <c r="AL977" s="134"/>
      <c r="AM977" s="146"/>
      <c r="AN977" s="132"/>
      <c r="AO977" s="132"/>
      <c r="AP977" s="132"/>
      <c r="AQ977" s="132"/>
      <c r="AR977" s="134"/>
      <c r="AS977" s="134"/>
      <c r="AT977" s="132"/>
      <c r="AU977" s="133"/>
      <c r="AV977" s="134"/>
    </row>
    <row r="978" spans="1:48">
      <c r="A978" s="74">
        <v>20180</v>
      </c>
      <c r="B978" s="74" t="s">
        <v>229</v>
      </c>
      <c r="C978" s="74" t="s">
        <v>673</v>
      </c>
      <c r="D978" s="74">
        <v>3116</v>
      </c>
      <c r="E978" s="73">
        <v>2.500000037252903E-2</v>
      </c>
      <c r="F978" s="73">
        <v>0.55000001192092896</v>
      </c>
      <c r="G978" s="73">
        <v>7.2961525668735608E-2</v>
      </c>
      <c r="H978" s="73">
        <v>3.8667413964033261E-2</v>
      </c>
      <c r="I978" s="190">
        <v>1612.692</v>
      </c>
      <c r="J978" s="134" t="str">
        <f t="shared" si="116"/>
        <v>ignore</v>
      </c>
      <c r="K978" s="134" t="str">
        <f t="shared" si="117"/>
        <v>R38</v>
      </c>
      <c r="L978" s="134" t="str">
        <f t="shared" si="118"/>
        <v>R11</v>
      </c>
      <c r="M978" s="146" t="str">
        <f t="shared" si="114"/>
        <v>Better</v>
      </c>
      <c r="N978" s="146" t="str">
        <f t="shared" si="115"/>
        <v>Better</v>
      </c>
      <c r="O978" s="146" t="str">
        <f t="shared" si="119"/>
        <v>Heat PumpR38R11BetterBetter</v>
      </c>
      <c r="P978" s="134" t="str">
        <f t="shared" si="120"/>
        <v>error</v>
      </c>
      <c r="Q978" s="134"/>
      <c r="R978" s="134"/>
      <c r="S978" s="134"/>
      <c r="T978" s="134"/>
      <c r="U978" s="134"/>
      <c r="V978" s="134"/>
      <c r="W978" s="134"/>
      <c r="X978" s="134"/>
      <c r="Y978" s="134"/>
      <c r="Z978" s="134"/>
      <c r="AA978" s="134"/>
      <c r="AB978" s="134"/>
      <c r="AC978" s="134"/>
      <c r="AD978" s="134"/>
      <c r="AE978" s="134"/>
      <c r="AF978" s="146"/>
      <c r="AG978" s="134"/>
      <c r="AH978" s="134"/>
      <c r="AI978" s="134"/>
      <c r="AJ978" s="134"/>
      <c r="AK978" s="134"/>
      <c r="AL978" s="134"/>
      <c r="AM978" s="146"/>
      <c r="AN978" s="132"/>
      <c r="AO978" s="132"/>
      <c r="AP978" s="132"/>
      <c r="AQ978" s="132"/>
      <c r="AR978" s="134"/>
      <c r="AS978" s="134"/>
      <c r="AT978" s="132"/>
      <c r="AU978" s="133"/>
      <c r="AV978" s="134"/>
    </row>
    <row r="979" spans="1:48">
      <c r="A979" s="74">
        <v>20215</v>
      </c>
      <c r="B979" s="74" t="s">
        <v>227</v>
      </c>
      <c r="C979" s="74" t="s">
        <v>673</v>
      </c>
      <c r="D979" s="74">
        <v>3038</v>
      </c>
      <c r="E979" s="73">
        <v>2.500000037252903E-2</v>
      </c>
      <c r="F979" s="73">
        <v>0.44999998807907104</v>
      </c>
      <c r="G979" s="73">
        <v>8.3848923431347602E-2</v>
      </c>
      <c r="H979" s="73">
        <v>3.5000000149011612E-2</v>
      </c>
      <c r="I979" s="190">
        <v>1612.692</v>
      </c>
      <c r="J979" s="134" t="str">
        <f t="shared" si="116"/>
        <v>ignore</v>
      </c>
      <c r="K979" s="134" t="str">
        <f t="shared" si="117"/>
        <v>R38</v>
      </c>
      <c r="L979" s="134" t="str">
        <f t="shared" si="118"/>
        <v>R11</v>
      </c>
      <c r="M979" s="146" t="str">
        <f t="shared" si="114"/>
        <v>Better</v>
      </c>
      <c r="N979" s="146" t="str">
        <f t="shared" si="115"/>
        <v>Better</v>
      </c>
      <c r="O979" s="146" t="str">
        <f t="shared" si="119"/>
        <v>Electric FAFR38R11BetterBetter</v>
      </c>
      <c r="P979" s="134" t="str">
        <f t="shared" si="120"/>
        <v>error</v>
      </c>
      <c r="Q979" s="134"/>
      <c r="R979" s="134"/>
      <c r="S979" s="134"/>
      <c r="T979" s="134"/>
      <c r="U979" s="134"/>
      <c r="V979" s="134"/>
      <c r="W979" s="134"/>
      <c r="X979" s="134"/>
      <c r="Y979" s="134"/>
      <c r="Z979" s="134"/>
      <c r="AA979" s="134"/>
      <c r="AB979" s="134"/>
      <c r="AC979" s="134"/>
      <c r="AD979" s="134"/>
      <c r="AE979" s="134"/>
      <c r="AF979" s="146"/>
      <c r="AG979" s="134"/>
      <c r="AH979" s="134"/>
      <c r="AI979" s="134"/>
      <c r="AJ979" s="134"/>
      <c r="AK979" s="134"/>
      <c r="AL979" s="134"/>
      <c r="AM979" s="146"/>
      <c r="AN979" s="132"/>
      <c r="AO979" s="132"/>
      <c r="AP979" s="132"/>
      <c r="AQ979" s="132"/>
      <c r="AR979" s="134"/>
      <c r="AS979" s="134"/>
      <c r="AT979" s="132"/>
      <c r="AU979" s="133"/>
      <c r="AV979" s="134"/>
    </row>
    <row r="980" spans="1:48">
      <c r="A980" s="74">
        <v>20230</v>
      </c>
      <c r="B980" s="74" t="s">
        <v>228</v>
      </c>
      <c r="C980" s="74">
        <v>4</v>
      </c>
      <c r="D980" s="74">
        <v>2478</v>
      </c>
      <c r="E980" s="73">
        <v>4.5000001788139343E-2</v>
      </c>
      <c r="F980" s="73">
        <v>0.85000002384185791</v>
      </c>
      <c r="G980" s="73">
        <v>9.0000003576278687E-2</v>
      </c>
      <c r="H980" s="73">
        <v>0</v>
      </c>
      <c r="I980" s="190">
        <v>1144.6790000000001</v>
      </c>
      <c r="J980" s="134" t="str">
        <f t="shared" si="116"/>
        <v>keep</v>
      </c>
      <c r="K980" s="134" t="str">
        <f t="shared" si="117"/>
        <v>R30</v>
      </c>
      <c r="L980" s="134" t="str">
        <f t="shared" si="118"/>
        <v>R11</v>
      </c>
      <c r="M980" s="146" t="str">
        <f t="shared" si="114"/>
        <v>Basement</v>
      </c>
      <c r="N980" s="146" t="str">
        <f t="shared" si="115"/>
        <v>Double</v>
      </c>
      <c r="O980" s="146" t="str">
        <f t="shared" si="119"/>
        <v>Electric ZonalR30R11BasementDouble</v>
      </c>
      <c r="P980" s="134" t="str">
        <f t="shared" si="120"/>
        <v>Basement</v>
      </c>
      <c r="Q980" s="134"/>
      <c r="R980" s="134"/>
      <c r="S980" s="134"/>
      <c r="T980" s="134"/>
      <c r="U980" s="134"/>
      <c r="V980" s="134"/>
      <c r="W980" s="134"/>
      <c r="X980" s="134"/>
      <c r="Y980" s="134"/>
      <c r="Z980" s="134"/>
      <c r="AA980" s="134"/>
      <c r="AB980" s="134"/>
      <c r="AC980" s="134"/>
      <c r="AD980" s="134"/>
      <c r="AE980" s="134"/>
      <c r="AF980" s="146"/>
      <c r="AG980" s="134"/>
      <c r="AH980" s="134"/>
      <c r="AI980" s="134"/>
      <c r="AJ980" s="134"/>
      <c r="AK980" s="134"/>
      <c r="AL980" s="134"/>
      <c r="AM980" s="146"/>
      <c r="AN980" s="132"/>
      <c r="AO980" s="132"/>
      <c r="AP980" s="132"/>
      <c r="AQ980" s="132"/>
      <c r="AR980" s="134"/>
      <c r="AS980" s="134"/>
      <c r="AT980" s="132"/>
      <c r="AU980" s="133"/>
      <c r="AV980" s="134"/>
    </row>
    <row r="981" spans="1:48">
      <c r="A981" s="74">
        <v>20244</v>
      </c>
      <c r="B981" s="74" t="s">
        <v>228</v>
      </c>
      <c r="C981" s="74">
        <v>4</v>
      </c>
      <c r="D981" s="74">
        <v>1350</v>
      </c>
      <c r="E981" s="73">
        <v>0.17000000178813934</v>
      </c>
      <c r="F981" s="73">
        <v>0.60000002384185791</v>
      </c>
      <c r="G981" s="73">
        <v>9.0000003576278687E-2</v>
      </c>
      <c r="H981" s="73">
        <v>0</v>
      </c>
      <c r="I981" s="190">
        <v>2079.9929999999999</v>
      </c>
      <c r="J981" s="134" t="str">
        <f t="shared" si="116"/>
        <v>keep</v>
      </c>
      <c r="K981" s="134" t="str">
        <f t="shared" si="117"/>
        <v>R0</v>
      </c>
      <c r="L981" s="134" t="str">
        <f t="shared" si="118"/>
        <v>R11</v>
      </c>
      <c r="M981" s="146" t="str">
        <f t="shared" si="114"/>
        <v>Basement</v>
      </c>
      <c r="N981" s="146" t="str">
        <f t="shared" si="115"/>
        <v>Better</v>
      </c>
      <c r="O981" s="146" t="str">
        <f t="shared" si="119"/>
        <v>Electric ZonalR0R11BasementBetter</v>
      </c>
      <c r="P981" s="134" t="str">
        <f t="shared" si="120"/>
        <v>Basement</v>
      </c>
      <c r="Q981" s="134"/>
      <c r="R981" s="134"/>
      <c r="S981" s="134"/>
      <c r="T981" s="134"/>
      <c r="U981" s="134"/>
      <c r="V981" s="134"/>
      <c r="W981" s="134"/>
      <c r="X981" s="134"/>
      <c r="Y981" s="134"/>
      <c r="Z981" s="134"/>
      <c r="AA981" s="134"/>
      <c r="AB981" s="134"/>
      <c r="AC981" s="134"/>
      <c r="AD981" s="134"/>
      <c r="AE981" s="134"/>
      <c r="AF981" s="146"/>
      <c r="AG981" s="134"/>
      <c r="AH981" s="134"/>
      <c r="AI981" s="134"/>
      <c r="AJ981" s="134"/>
      <c r="AK981" s="134"/>
      <c r="AL981" s="134"/>
      <c r="AM981" s="146"/>
      <c r="AN981" s="132"/>
      <c r="AO981" s="132"/>
      <c r="AP981" s="132"/>
      <c r="AQ981" s="132"/>
      <c r="AR981" s="134"/>
      <c r="AS981" s="134"/>
      <c r="AT981" s="132"/>
      <c r="AU981" s="133"/>
      <c r="AV981" s="134"/>
    </row>
    <row r="982" spans="1:48">
      <c r="A982" s="74">
        <v>20245</v>
      </c>
      <c r="B982" s="74" t="s">
        <v>228</v>
      </c>
      <c r="C982" s="74">
        <v>1</v>
      </c>
      <c r="D982" s="74">
        <v>356</v>
      </c>
      <c r="E982" s="73">
        <v>1.9999999552965164E-2</v>
      </c>
      <c r="F982" s="73">
        <v>0.55000001192092896</v>
      </c>
      <c r="G982" s="73">
        <v>9.0000003576278687E-2</v>
      </c>
      <c r="H982" s="73">
        <v>4.5000001788139343E-2</v>
      </c>
      <c r="I982" s="190">
        <v>2079.9929999999999</v>
      </c>
      <c r="J982" s="134" t="str">
        <f t="shared" si="116"/>
        <v>keep</v>
      </c>
      <c r="K982" s="134" t="str">
        <f t="shared" si="117"/>
        <v>R38</v>
      </c>
      <c r="L982" s="134" t="str">
        <f t="shared" si="118"/>
        <v>R11</v>
      </c>
      <c r="M982" s="146" t="str">
        <f t="shared" si="114"/>
        <v>Better</v>
      </c>
      <c r="N982" s="146" t="str">
        <f t="shared" si="115"/>
        <v>Better</v>
      </c>
      <c r="O982" s="146" t="str">
        <f t="shared" si="119"/>
        <v>Electric ZonalR38R11BetterBetter</v>
      </c>
      <c r="P982" s="134" t="str">
        <f t="shared" si="120"/>
        <v>Crawlspace</v>
      </c>
      <c r="Q982" s="134"/>
      <c r="R982" s="134"/>
      <c r="S982" s="134"/>
      <c r="T982" s="134"/>
      <c r="U982" s="134"/>
      <c r="V982" s="134"/>
      <c r="W982" s="134"/>
      <c r="X982" s="134"/>
      <c r="Y982" s="134"/>
      <c r="Z982" s="134"/>
      <c r="AA982" s="134"/>
      <c r="AB982" s="134"/>
      <c r="AC982" s="134"/>
      <c r="AD982" s="134"/>
      <c r="AE982" s="134"/>
      <c r="AF982" s="146"/>
      <c r="AG982" s="134"/>
      <c r="AH982" s="134"/>
      <c r="AI982" s="134"/>
      <c r="AJ982" s="134"/>
      <c r="AK982" s="134"/>
      <c r="AL982" s="134"/>
      <c r="AM982" s="146"/>
      <c r="AN982" s="132"/>
      <c r="AO982" s="132"/>
      <c r="AP982" s="132"/>
      <c r="AQ982" s="132"/>
      <c r="AR982" s="134"/>
      <c r="AS982" s="134"/>
      <c r="AT982" s="132"/>
      <c r="AU982" s="133"/>
      <c r="AV982" s="134"/>
    </row>
    <row r="983" spans="1:48">
      <c r="A983" s="74">
        <v>20287</v>
      </c>
      <c r="B983" s="74" t="s">
        <v>229</v>
      </c>
      <c r="C983" s="74">
        <v>1</v>
      </c>
      <c r="D983" s="74">
        <v>2721</v>
      </c>
      <c r="E983" s="73">
        <v>1.9999999552965164E-2</v>
      </c>
      <c r="F983" s="73">
        <v>0.4491776199521203</v>
      </c>
      <c r="G983" s="73">
        <v>5.9999998658895493E-2</v>
      </c>
      <c r="H983" s="73">
        <v>4.5000001788139343E-2</v>
      </c>
      <c r="I983" s="190">
        <v>2079.9929999999999</v>
      </c>
      <c r="J983" s="134" t="str">
        <f t="shared" si="116"/>
        <v>keep</v>
      </c>
      <c r="K983" s="134" t="str">
        <f t="shared" si="117"/>
        <v>R38</v>
      </c>
      <c r="L983" s="134" t="str">
        <f t="shared" si="118"/>
        <v>R11</v>
      </c>
      <c r="M983" s="146" t="str">
        <f t="shared" si="114"/>
        <v>Better</v>
      </c>
      <c r="N983" s="146" t="str">
        <f t="shared" si="115"/>
        <v>Better</v>
      </c>
      <c r="O983" s="146" t="str">
        <f t="shared" si="119"/>
        <v>Heat PumpR38R11BetterBetter</v>
      </c>
      <c r="P983" s="134" t="str">
        <f t="shared" si="120"/>
        <v>Crawlspace</v>
      </c>
      <c r="Q983" s="134"/>
      <c r="R983" s="134"/>
      <c r="S983" s="134"/>
      <c r="T983" s="134"/>
      <c r="U983" s="134"/>
      <c r="V983" s="134"/>
      <c r="W983" s="134"/>
      <c r="X983" s="134"/>
      <c r="Y983" s="134"/>
      <c r="Z983" s="134"/>
      <c r="AA983" s="134"/>
      <c r="AB983" s="134"/>
      <c r="AC983" s="134"/>
      <c r="AD983" s="134"/>
      <c r="AE983" s="134"/>
      <c r="AF983" s="146"/>
      <c r="AG983" s="134"/>
      <c r="AH983" s="134"/>
      <c r="AI983" s="134"/>
      <c r="AJ983" s="134"/>
      <c r="AK983" s="134"/>
      <c r="AL983" s="134"/>
      <c r="AM983" s="146"/>
      <c r="AN983" s="132"/>
      <c r="AO983" s="132"/>
      <c r="AP983" s="132"/>
      <c r="AQ983" s="132"/>
      <c r="AR983" s="134"/>
      <c r="AS983" s="134"/>
      <c r="AT983" s="132"/>
      <c r="AU983" s="133"/>
      <c r="AV983" s="134"/>
    </row>
    <row r="984" spans="1:48">
      <c r="A984" s="74">
        <v>20288</v>
      </c>
      <c r="B984" s="74" t="s">
        <v>228</v>
      </c>
      <c r="C984" s="74">
        <v>2</v>
      </c>
      <c r="D984" s="74">
        <v>3060</v>
      </c>
      <c r="E984" s="73">
        <v>4.5411763690850315E-2</v>
      </c>
      <c r="F984" s="73">
        <v>0.44999998807907104</v>
      </c>
      <c r="G984" s="73">
        <v>5.9999998658895493E-2</v>
      </c>
      <c r="H984" s="73">
        <v>0</v>
      </c>
      <c r="I984" s="190">
        <v>1144.6790000000001</v>
      </c>
      <c r="J984" s="134" t="str">
        <f t="shared" si="116"/>
        <v>keep</v>
      </c>
      <c r="K984" s="134" t="str">
        <f t="shared" si="117"/>
        <v>R30</v>
      </c>
      <c r="L984" s="134" t="str">
        <f t="shared" si="118"/>
        <v>R11</v>
      </c>
      <c r="M984" s="146" t="str">
        <f t="shared" si="114"/>
        <v>Slab</v>
      </c>
      <c r="N984" s="146" t="str">
        <f t="shared" si="115"/>
        <v>Better</v>
      </c>
      <c r="O984" s="146" t="str">
        <f t="shared" si="119"/>
        <v>Electric ZonalR30R11SlabBetter</v>
      </c>
      <c r="P984" s="134" t="str">
        <f t="shared" si="120"/>
        <v>Slab</v>
      </c>
      <c r="Q984" s="134"/>
      <c r="R984" s="134"/>
      <c r="S984" s="134"/>
      <c r="T984" s="134"/>
      <c r="U984" s="134"/>
      <c r="V984" s="134"/>
      <c r="W984" s="134"/>
      <c r="X984" s="134"/>
      <c r="Y984" s="134"/>
      <c r="Z984" s="134"/>
      <c r="AA984" s="134"/>
      <c r="AB984" s="134"/>
      <c r="AC984" s="134"/>
      <c r="AD984" s="134"/>
      <c r="AE984" s="134"/>
      <c r="AF984" s="146"/>
      <c r="AG984" s="134"/>
      <c r="AH984" s="134"/>
      <c r="AI984" s="134"/>
      <c r="AJ984" s="134"/>
      <c r="AK984" s="134"/>
      <c r="AL984" s="134"/>
      <c r="AM984" s="146"/>
      <c r="AN984" s="132"/>
      <c r="AO984" s="132"/>
      <c r="AP984" s="132"/>
      <c r="AQ984" s="132"/>
      <c r="AR984" s="134"/>
      <c r="AS984" s="134"/>
      <c r="AT984" s="132"/>
      <c r="AU984" s="133"/>
      <c r="AV984" s="134"/>
    </row>
    <row r="985" spans="1:48">
      <c r="A985" s="74">
        <v>20294</v>
      </c>
      <c r="B985" s="74" t="s">
        <v>229</v>
      </c>
      <c r="C985" s="74">
        <v>4</v>
      </c>
      <c r="D985" s="74">
        <v>3087</v>
      </c>
      <c r="E985" s="73">
        <v>2.500000037252903E-2</v>
      </c>
      <c r="F985" s="73">
        <v>0.5185354803465051</v>
      </c>
      <c r="G985" s="73">
        <v>7.9999998211860657E-2</v>
      </c>
      <c r="H985" s="73">
        <v>0</v>
      </c>
      <c r="I985" s="190">
        <v>2079.9929999999999</v>
      </c>
      <c r="J985" s="134" t="str">
        <f t="shared" si="116"/>
        <v>keep</v>
      </c>
      <c r="K985" s="134" t="str">
        <f t="shared" si="117"/>
        <v>R38</v>
      </c>
      <c r="L985" s="134" t="str">
        <f t="shared" si="118"/>
        <v>R11</v>
      </c>
      <c r="M985" s="146" t="str">
        <f t="shared" si="114"/>
        <v>Basement</v>
      </c>
      <c r="N985" s="146" t="str">
        <f t="shared" si="115"/>
        <v>Better</v>
      </c>
      <c r="O985" s="146" t="str">
        <f t="shared" si="119"/>
        <v>Heat PumpR38R11BasementBetter</v>
      </c>
      <c r="P985" s="134" t="str">
        <f t="shared" si="120"/>
        <v>Basement</v>
      </c>
      <c r="Q985" s="134"/>
      <c r="R985" s="134"/>
      <c r="S985" s="134"/>
      <c r="T985" s="134"/>
      <c r="U985" s="134"/>
      <c r="V985" s="134"/>
      <c r="W985" s="134"/>
      <c r="X985" s="134"/>
      <c r="Y985" s="134"/>
      <c r="Z985" s="134"/>
      <c r="AA985" s="134"/>
      <c r="AB985" s="134"/>
      <c r="AC985" s="134"/>
      <c r="AD985" s="134"/>
      <c r="AE985" s="134"/>
      <c r="AF985" s="146"/>
      <c r="AG985" s="134"/>
      <c r="AH985" s="134"/>
      <c r="AI985" s="134"/>
      <c r="AJ985" s="134"/>
      <c r="AK985" s="134"/>
      <c r="AL985" s="134"/>
      <c r="AM985" s="146"/>
      <c r="AN985" s="132"/>
      <c r="AO985" s="132"/>
      <c r="AP985" s="132"/>
      <c r="AQ985" s="132"/>
      <c r="AR985" s="134"/>
      <c r="AS985" s="134"/>
      <c r="AT985" s="132"/>
      <c r="AU985" s="133"/>
      <c r="AV985" s="134"/>
    </row>
    <row r="986" spans="1:48">
      <c r="A986" s="74">
        <v>20311</v>
      </c>
      <c r="B986" s="74" t="s">
        <v>229</v>
      </c>
      <c r="C986" s="74">
        <v>1</v>
      </c>
      <c r="D986" s="74">
        <v>1279</v>
      </c>
      <c r="E986" s="73">
        <v>2.500000037252903E-2</v>
      </c>
      <c r="F986" s="73">
        <v>0.44999998807907104</v>
      </c>
      <c r="G986" s="73">
        <v>5.9999998658895493E-2</v>
      </c>
      <c r="H986" s="73">
        <v>3.5000000149011612E-2</v>
      </c>
      <c r="I986" s="190">
        <v>1612.692</v>
      </c>
      <c r="J986" s="134" t="str">
        <f t="shared" si="116"/>
        <v>keep</v>
      </c>
      <c r="K986" s="134" t="str">
        <f t="shared" si="117"/>
        <v>R38</v>
      </c>
      <c r="L986" s="134" t="str">
        <f t="shared" si="118"/>
        <v>R11</v>
      </c>
      <c r="M986" s="146" t="str">
        <f t="shared" si="114"/>
        <v>Better</v>
      </c>
      <c r="N986" s="146" t="str">
        <f t="shared" si="115"/>
        <v>Better</v>
      </c>
      <c r="O986" s="146" t="str">
        <f t="shared" si="119"/>
        <v>Heat PumpR38R11BetterBetter</v>
      </c>
      <c r="P986" s="134" t="str">
        <f t="shared" si="120"/>
        <v>Crawlspace</v>
      </c>
      <c r="Q986" s="134"/>
      <c r="R986" s="134"/>
      <c r="S986" s="134"/>
      <c r="T986" s="134"/>
      <c r="U986" s="134"/>
      <c r="V986" s="134"/>
      <c r="W986" s="134"/>
      <c r="X986" s="134"/>
      <c r="Y986" s="134"/>
      <c r="Z986" s="134"/>
      <c r="AA986" s="134"/>
      <c r="AB986" s="134"/>
      <c r="AC986" s="134"/>
      <c r="AD986" s="134"/>
      <c r="AE986" s="134"/>
      <c r="AF986" s="146"/>
      <c r="AG986" s="134"/>
      <c r="AH986" s="134"/>
      <c r="AI986" s="134"/>
      <c r="AJ986" s="134"/>
      <c r="AK986" s="134"/>
      <c r="AL986" s="134"/>
      <c r="AM986" s="146"/>
      <c r="AN986" s="132"/>
      <c r="AO986" s="132"/>
      <c r="AP986" s="132"/>
      <c r="AQ986" s="132"/>
      <c r="AR986" s="134"/>
      <c r="AS986" s="134"/>
      <c r="AT986" s="132"/>
      <c r="AU986" s="133"/>
      <c r="AV986" s="134"/>
    </row>
    <row r="987" spans="1:48">
      <c r="A987" s="74">
        <v>20324</v>
      </c>
      <c r="B987" s="74" t="s">
        <v>229</v>
      </c>
      <c r="C987" s="74">
        <v>1</v>
      </c>
      <c r="D987" s="74">
        <v>1620</v>
      </c>
      <c r="E987" s="73">
        <v>9.0000003576278687E-2</v>
      </c>
      <c r="F987" s="73">
        <v>0.85000002384185791</v>
      </c>
      <c r="G987" s="73">
        <v>5.9999998658895493E-2</v>
      </c>
      <c r="H987" s="73">
        <v>6.4999997615814209E-2</v>
      </c>
      <c r="I987" s="190">
        <v>1925.059</v>
      </c>
      <c r="J987" s="134" t="str">
        <f t="shared" si="116"/>
        <v>keep</v>
      </c>
      <c r="K987" s="134" t="str">
        <f t="shared" si="117"/>
        <v>R11</v>
      </c>
      <c r="L987" s="134" t="str">
        <f t="shared" si="118"/>
        <v>R11</v>
      </c>
      <c r="M987" s="146" t="str">
        <f t="shared" si="114"/>
        <v>R19</v>
      </c>
      <c r="N987" s="146" t="str">
        <f t="shared" si="115"/>
        <v>Double</v>
      </c>
      <c r="O987" s="146" t="str">
        <f t="shared" si="119"/>
        <v>Heat PumpR11R11R19Double</v>
      </c>
      <c r="P987" s="134" t="str">
        <f t="shared" si="120"/>
        <v>Crawlspace</v>
      </c>
      <c r="Q987" s="134"/>
      <c r="R987" s="134"/>
      <c r="S987" s="134"/>
      <c r="T987" s="134"/>
      <c r="U987" s="134"/>
      <c r="V987" s="134"/>
      <c r="W987" s="134"/>
      <c r="X987" s="134"/>
      <c r="Y987" s="134"/>
      <c r="Z987" s="134"/>
      <c r="AA987" s="134"/>
      <c r="AB987" s="134"/>
      <c r="AC987" s="134"/>
      <c r="AD987" s="134"/>
      <c r="AE987" s="134"/>
      <c r="AF987" s="146"/>
      <c r="AG987" s="134"/>
      <c r="AH987" s="134"/>
      <c r="AI987" s="134"/>
      <c r="AJ987" s="134"/>
      <c r="AK987" s="134"/>
      <c r="AL987" s="134"/>
      <c r="AM987" s="146"/>
      <c r="AN987" s="132"/>
      <c r="AO987" s="132"/>
      <c r="AP987" s="132"/>
      <c r="AQ987" s="132"/>
      <c r="AR987" s="134"/>
      <c r="AS987" s="134"/>
      <c r="AT987" s="132"/>
      <c r="AU987" s="133"/>
      <c r="AV987" s="134"/>
    </row>
    <row r="988" spans="1:48">
      <c r="A988" s="74">
        <v>20325</v>
      </c>
      <c r="B988" s="74" t="s">
        <v>229</v>
      </c>
      <c r="C988" s="74">
        <v>1</v>
      </c>
      <c r="D988" s="74">
        <v>1907</v>
      </c>
      <c r="E988" s="73">
        <v>7.6164243034166509E-2</v>
      </c>
      <c r="F988" s="73">
        <v>0.49314159128518231</v>
      </c>
      <c r="G988" s="73">
        <v>5.9999998658895493E-2</v>
      </c>
      <c r="H988" s="73">
        <v>3.5000000149011612E-2</v>
      </c>
      <c r="I988" s="190">
        <v>1925.059</v>
      </c>
      <c r="J988" s="134" t="str">
        <f t="shared" si="116"/>
        <v>keep</v>
      </c>
      <c r="K988" s="134" t="str">
        <f t="shared" si="117"/>
        <v>R19</v>
      </c>
      <c r="L988" s="134" t="str">
        <f t="shared" si="118"/>
        <v>R11</v>
      </c>
      <c r="M988" s="146" t="str">
        <f t="shared" si="114"/>
        <v>Better</v>
      </c>
      <c r="N988" s="146" t="str">
        <f t="shared" si="115"/>
        <v>Better</v>
      </c>
      <c r="O988" s="146" t="str">
        <f t="shared" si="119"/>
        <v>Heat PumpR19R11BetterBetter</v>
      </c>
      <c r="P988" s="134" t="str">
        <f t="shared" si="120"/>
        <v>Crawlspace</v>
      </c>
      <c r="Q988" s="134"/>
      <c r="R988" s="134"/>
      <c r="S988" s="134"/>
      <c r="T988" s="134"/>
      <c r="U988" s="134"/>
      <c r="V988" s="134"/>
      <c r="W988" s="134"/>
      <c r="X988" s="134"/>
      <c r="Y988" s="134"/>
      <c r="Z988" s="134"/>
      <c r="AA988" s="134"/>
      <c r="AB988" s="134"/>
      <c r="AC988" s="134"/>
      <c r="AD988" s="134"/>
      <c r="AE988" s="134"/>
      <c r="AF988" s="146"/>
      <c r="AG988" s="134"/>
      <c r="AH988" s="134"/>
      <c r="AI988" s="134"/>
      <c r="AJ988" s="134"/>
      <c r="AK988" s="134"/>
      <c r="AL988" s="134"/>
      <c r="AM988" s="146"/>
      <c r="AN988" s="132"/>
      <c r="AO988" s="132"/>
      <c r="AP988" s="132"/>
      <c r="AQ988" s="132"/>
      <c r="AR988" s="134"/>
      <c r="AS988" s="134"/>
      <c r="AT988" s="132"/>
      <c r="AU988" s="133"/>
      <c r="AV988" s="134"/>
    </row>
    <row r="989" spans="1:48">
      <c r="A989" s="74">
        <v>20392</v>
      </c>
      <c r="B989" s="74" t="s">
        <v>229</v>
      </c>
      <c r="C989" s="74">
        <v>1</v>
      </c>
      <c r="D989" s="74">
        <v>3442</v>
      </c>
      <c r="E989" s="73">
        <v>1.9999999552965164E-2</v>
      </c>
      <c r="F989" s="73">
        <v>0.55000001192092896</v>
      </c>
      <c r="G989" s="73">
        <v>5.9999998658895493E-2</v>
      </c>
      <c r="H989" s="73">
        <v>2.9999999329447746E-2</v>
      </c>
      <c r="I989" s="190">
        <v>1904.288</v>
      </c>
      <c r="J989" s="134" t="str">
        <f t="shared" si="116"/>
        <v>keep</v>
      </c>
      <c r="K989" s="134" t="str">
        <f t="shared" si="117"/>
        <v>R38</v>
      </c>
      <c r="L989" s="134" t="str">
        <f t="shared" si="118"/>
        <v>R11</v>
      </c>
      <c r="M989" s="146" t="str">
        <f t="shared" si="114"/>
        <v>Better</v>
      </c>
      <c r="N989" s="146" t="str">
        <f t="shared" si="115"/>
        <v>Better</v>
      </c>
      <c r="O989" s="146" t="str">
        <f t="shared" si="119"/>
        <v>Heat PumpR38R11BetterBetter</v>
      </c>
      <c r="P989" s="134" t="str">
        <f t="shared" si="120"/>
        <v>Crawlspace</v>
      </c>
      <c r="Q989" s="134"/>
      <c r="R989" s="134"/>
      <c r="S989" s="134"/>
      <c r="T989" s="134"/>
      <c r="U989" s="134"/>
      <c r="V989" s="134"/>
      <c r="W989" s="134"/>
      <c r="X989" s="134"/>
      <c r="Y989" s="134"/>
      <c r="Z989" s="134"/>
      <c r="AA989" s="134"/>
      <c r="AB989" s="134"/>
      <c r="AC989" s="134"/>
      <c r="AD989" s="134"/>
      <c r="AE989" s="134"/>
      <c r="AF989" s="146"/>
      <c r="AG989" s="134"/>
      <c r="AH989" s="134"/>
      <c r="AI989" s="134"/>
      <c r="AJ989" s="134"/>
      <c r="AK989" s="134"/>
      <c r="AL989" s="134"/>
      <c r="AM989" s="146"/>
      <c r="AN989" s="132"/>
      <c r="AO989" s="132"/>
      <c r="AP989" s="132"/>
      <c r="AQ989" s="132"/>
      <c r="AR989" s="134"/>
      <c r="AS989" s="134"/>
      <c r="AT989" s="132"/>
      <c r="AU989" s="133"/>
      <c r="AV989" s="134"/>
    </row>
    <row r="990" spans="1:48">
      <c r="A990" s="74">
        <v>20408</v>
      </c>
      <c r="B990" s="74" t="s">
        <v>228</v>
      </c>
      <c r="C990" s="74">
        <v>1</v>
      </c>
      <c r="D990" s="74">
        <v>1075</v>
      </c>
      <c r="E990" s="73">
        <v>7.5000002980232239E-2</v>
      </c>
      <c r="F990" s="73">
        <v>0.55000001192092896</v>
      </c>
      <c r="G990" s="73">
        <v>9.0000003576278687E-2</v>
      </c>
      <c r="H990" s="73">
        <v>5.9999998658895493E-2</v>
      </c>
      <c r="I990" s="190">
        <v>2079.9929999999999</v>
      </c>
      <c r="J990" s="134" t="str">
        <f t="shared" si="116"/>
        <v>keep</v>
      </c>
      <c r="K990" s="134" t="str">
        <f t="shared" si="117"/>
        <v>R19</v>
      </c>
      <c r="L990" s="134" t="str">
        <f t="shared" si="118"/>
        <v>R11</v>
      </c>
      <c r="M990" s="146" t="str">
        <f t="shared" si="114"/>
        <v>R19</v>
      </c>
      <c r="N990" s="146" t="str">
        <f t="shared" si="115"/>
        <v>Better</v>
      </c>
      <c r="O990" s="146" t="str">
        <f t="shared" si="119"/>
        <v>Electric ZonalR19R11R19Better</v>
      </c>
      <c r="P990" s="134" t="str">
        <f t="shared" si="120"/>
        <v>Crawlspace</v>
      </c>
      <c r="Q990" s="134"/>
      <c r="R990" s="134"/>
      <c r="S990" s="134"/>
      <c r="T990" s="134"/>
      <c r="U990" s="134"/>
      <c r="V990" s="134"/>
      <c r="W990" s="134"/>
      <c r="X990" s="134"/>
      <c r="Y990" s="134"/>
      <c r="Z990" s="134"/>
      <c r="AA990" s="134"/>
      <c r="AB990" s="134"/>
      <c r="AC990" s="134"/>
      <c r="AD990" s="134"/>
      <c r="AE990" s="134"/>
      <c r="AF990" s="146"/>
      <c r="AG990" s="134"/>
      <c r="AH990" s="134"/>
      <c r="AI990" s="134"/>
      <c r="AJ990" s="134"/>
      <c r="AK990" s="134"/>
      <c r="AL990" s="134"/>
      <c r="AM990" s="146"/>
      <c r="AN990" s="132"/>
      <c r="AO990" s="132"/>
      <c r="AP990" s="132"/>
      <c r="AQ990" s="132"/>
      <c r="AR990" s="134"/>
      <c r="AS990" s="134"/>
      <c r="AT990" s="132"/>
      <c r="AU990" s="133"/>
      <c r="AV990" s="134"/>
    </row>
    <row r="991" spans="1:48">
      <c r="A991" s="74">
        <v>20426</v>
      </c>
      <c r="B991" s="74" t="s">
        <v>228</v>
      </c>
      <c r="C991" s="74" t="s">
        <v>673</v>
      </c>
      <c r="D991" s="74">
        <v>1444</v>
      </c>
      <c r="E991" s="73">
        <v>2.500000037252903E-2</v>
      </c>
      <c r="F991" s="73">
        <v>0.55000001192092896</v>
      </c>
      <c r="G991" s="73">
        <v>0.23400000000000001</v>
      </c>
      <c r="H991" s="73">
        <v>0</v>
      </c>
      <c r="I991" s="190">
        <v>1904.288</v>
      </c>
      <c r="J991" s="134" t="str">
        <f t="shared" si="116"/>
        <v>ignore</v>
      </c>
      <c r="K991" s="134" t="str">
        <f t="shared" si="117"/>
        <v>R38</v>
      </c>
      <c r="L991" s="134" t="str">
        <f t="shared" si="118"/>
        <v>R0</v>
      </c>
      <c r="M991" s="146" t="str">
        <f t="shared" si="114"/>
        <v>Better</v>
      </c>
      <c r="N991" s="146" t="str">
        <f t="shared" si="115"/>
        <v>Better</v>
      </c>
      <c r="O991" s="146" t="str">
        <f t="shared" si="119"/>
        <v>Electric ZonalR38R0BetterBetter</v>
      </c>
      <c r="P991" s="134" t="str">
        <f t="shared" si="120"/>
        <v>error</v>
      </c>
      <c r="Q991" s="134"/>
      <c r="R991" s="134"/>
      <c r="S991" s="134"/>
      <c r="T991" s="134"/>
      <c r="U991" s="134"/>
      <c r="V991" s="134"/>
      <c r="W991" s="134"/>
      <c r="X991" s="134"/>
      <c r="Y991" s="134"/>
      <c r="Z991" s="134"/>
      <c r="AA991" s="134"/>
      <c r="AB991" s="134"/>
      <c r="AC991" s="134"/>
      <c r="AD991" s="134"/>
      <c r="AE991" s="134"/>
      <c r="AF991" s="146"/>
      <c r="AG991" s="134"/>
      <c r="AH991" s="134"/>
      <c r="AI991" s="134"/>
      <c r="AJ991" s="134"/>
      <c r="AK991" s="134"/>
      <c r="AL991" s="134"/>
      <c r="AM991" s="146"/>
      <c r="AN991" s="132"/>
      <c r="AO991" s="132"/>
      <c r="AP991" s="132"/>
      <c r="AQ991" s="132"/>
      <c r="AR991" s="134"/>
      <c r="AS991" s="134"/>
      <c r="AT991" s="132"/>
      <c r="AU991" s="133"/>
      <c r="AV991" s="134"/>
    </row>
    <row r="992" spans="1:48">
      <c r="A992" s="74">
        <v>20433</v>
      </c>
      <c r="B992" s="74" t="s">
        <v>227</v>
      </c>
      <c r="C992" s="74">
        <v>1</v>
      </c>
      <c r="D992" s="74">
        <v>1553</v>
      </c>
      <c r="E992" s="73">
        <v>5.000000074505806E-2</v>
      </c>
      <c r="F992" s="73">
        <v>0.85000002384185791</v>
      </c>
      <c r="G992" s="73">
        <v>9.0000003576278687E-2</v>
      </c>
      <c r="H992" s="73">
        <v>4.5000001788139343E-2</v>
      </c>
      <c r="I992" s="190">
        <v>1612.692</v>
      </c>
      <c r="J992" s="134" t="str">
        <f t="shared" si="116"/>
        <v>keep</v>
      </c>
      <c r="K992" s="134" t="str">
        <f t="shared" si="117"/>
        <v>R30</v>
      </c>
      <c r="L992" s="134" t="str">
        <f t="shared" si="118"/>
        <v>R11</v>
      </c>
      <c r="M992" s="146" t="str">
        <f t="shared" si="114"/>
        <v>Better</v>
      </c>
      <c r="N992" s="146" t="str">
        <f t="shared" si="115"/>
        <v>Double</v>
      </c>
      <c r="O992" s="146" t="str">
        <f t="shared" si="119"/>
        <v>Electric FAFR30R11BetterDouble</v>
      </c>
      <c r="P992" s="134" t="str">
        <f t="shared" si="120"/>
        <v>Crawlspace</v>
      </c>
      <c r="Q992" s="134"/>
      <c r="R992" s="134"/>
      <c r="S992" s="134"/>
      <c r="T992" s="134"/>
      <c r="U992" s="134"/>
      <c r="V992" s="134"/>
      <c r="W992" s="134"/>
      <c r="X992" s="134"/>
      <c r="Y992" s="134"/>
      <c r="Z992" s="134"/>
      <c r="AA992" s="134"/>
      <c r="AB992" s="134"/>
      <c r="AC992" s="134"/>
      <c r="AD992" s="134"/>
      <c r="AE992" s="134"/>
      <c r="AF992" s="146"/>
      <c r="AG992" s="134"/>
      <c r="AH992" s="134"/>
      <c r="AI992" s="134"/>
      <c r="AJ992" s="134"/>
      <c r="AK992" s="134"/>
      <c r="AL992" s="134"/>
      <c r="AM992" s="146"/>
      <c r="AN992" s="132"/>
      <c r="AO992" s="132"/>
      <c r="AP992" s="132"/>
      <c r="AQ992" s="132"/>
      <c r="AR992" s="134"/>
      <c r="AS992" s="134"/>
      <c r="AT992" s="132"/>
      <c r="AU992" s="133"/>
      <c r="AV992" s="134"/>
    </row>
    <row r="993" spans="1:48">
      <c r="A993" s="74">
        <v>20440</v>
      </c>
      <c r="B993" s="74" t="s">
        <v>227</v>
      </c>
      <c r="C993" s="74">
        <v>1</v>
      </c>
      <c r="D993" s="74">
        <v>1452</v>
      </c>
      <c r="E993" s="73">
        <v>4.2972881821757659E-2</v>
      </c>
      <c r="F993" s="73">
        <v>0.7211469674623141</v>
      </c>
      <c r="G993" s="73">
        <v>9.0000003576278687E-2</v>
      </c>
      <c r="H993" s="73">
        <v>5.9999998658895493E-2</v>
      </c>
      <c r="I993" s="190">
        <v>1925.059</v>
      </c>
      <c r="J993" s="134" t="str">
        <f t="shared" si="116"/>
        <v>keep</v>
      </c>
      <c r="K993" s="134" t="str">
        <f t="shared" si="117"/>
        <v>R30</v>
      </c>
      <c r="L993" s="134" t="str">
        <f t="shared" si="118"/>
        <v>R11</v>
      </c>
      <c r="M993" s="146" t="str">
        <f t="shared" si="114"/>
        <v>R19</v>
      </c>
      <c r="N993" s="146" t="str">
        <f t="shared" si="115"/>
        <v>Better</v>
      </c>
      <c r="O993" s="146" t="str">
        <f t="shared" si="119"/>
        <v>Electric FAFR30R11R19Better</v>
      </c>
      <c r="P993" s="134" t="str">
        <f t="shared" si="120"/>
        <v>Crawlspace</v>
      </c>
      <c r="Q993" s="134"/>
      <c r="R993" s="134"/>
      <c r="S993" s="134"/>
      <c r="T993" s="134"/>
      <c r="U993" s="134"/>
      <c r="V993" s="134"/>
      <c r="W993" s="134"/>
      <c r="X993" s="134"/>
      <c r="Y993" s="134"/>
      <c r="Z993" s="134"/>
      <c r="AA993" s="134"/>
      <c r="AB993" s="134"/>
      <c r="AC993" s="134"/>
      <c r="AD993" s="134"/>
      <c r="AE993" s="134"/>
      <c r="AF993" s="146"/>
      <c r="AG993" s="134"/>
      <c r="AH993" s="134"/>
      <c r="AI993" s="134"/>
      <c r="AJ993" s="134"/>
      <c r="AK993" s="134"/>
      <c r="AL993" s="134"/>
      <c r="AM993" s="146"/>
      <c r="AN993" s="132"/>
      <c r="AO993" s="132"/>
      <c r="AP993" s="132"/>
      <c r="AQ993" s="132"/>
      <c r="AR993" s="134"/>
      <c r="AS993" s="134"/>
      <c r="AT993" s="132"/>
      <c r="AU993" s="133"/>
      <c r="AV993" s="134"/>
    </row>
    <row r="994" spans="1:48">
      <c r="A994" s="74">
        <v>20446</v>
      </c>
      <c r="B994" s="74" t="s">
        <v>228</v>
      </c>
      <c r="C994" s="74" t="s">
        <v>673</v>
      </c>
      <c r="D994" s="74">
        <v>818</v>
      </c>
      <c r="E994" s="73" t="e">
        <v>#VALUE!</v>
      </c>
      <c r="F994" s="73">
        <v>0.60000002384185791</v>
      </c>
      <c r="G994" s="73">
        <v>0.23400000000000001</v>
      </c>
      <c r="H994" s="73">
        <v>0</v>
      </c>
      <c r="I994" s="190">
        <v>1612.692</v>
      </c>
      <c r="J994" s="134" t="str">
        <f t="shared" si="116"/>
        <v>ignore</v>
      </c>
      <c r="K994" s="134" t="e">
        <f t="shared" si="117"/>
        <v>#VALUE!</v>
      </c>
      <c r="L994" s="134" t="str">
        <f t="shared" si="118"/>
        <v>R0</v>
      </c>
      <c r="M994" s="146" t="str">
        <f t="shared" si="114"/>
        <v>Better</v>
      </c>
      <c r="N994" s="146" t="str">
        <f t="shared" si="115"/>
        <v>Better</v>
      </c>
      <c r="O994" s="146" t="e">
        <f t="shared" si="119"/>
        <v>#VALUE!</v>
      </c>
      <c r="P994" s="134" t="str">
        <f t="shared" si="120"/>
        <v>error</v>
      </c>
      <c r="Q994" s="134"/>
      <c r="R994" s="134"/>
      <c r="S994" s="134"/>
      <c r="T994" s="134"/>
      <c r="U994" s="134"/>
      <c r="V994" s="134"/>
      <c r="W994" s="134"/>
      <c r="X994" s="134"/>
      <c r="Y994" s="134"/>
      <c r="Z994" s="134"/>
      <c r="AA994" s="134"/>
      <c r="AB994" s="134"/>
      <c r="AC994" s="134"/>
      <c r="AD994" s="134"/>
      <c r="AE994" s="134"/>
      <c r="AF994" s="146"/>
      <c r="AG994" s="134"/>
      <c r="AH994" s="134"/>
      <c r="AI994" s="134"/>
      <c r="AJ994" s="134"/>
      <c r="AK994" s="134"/>
      <c r="AL994" s="134"/>
      <c r="AM994" s="146"/>
      <c r="AN994" s="132"/>
      <c r="AO994" s="132"/>
      <c r="AP994" s="132"/>
      <c r="AQ994" s="132"/>
      <c r="AR994" s="134"/>
      <c r="AS994" s="134"/>
      <c r="AT994" s="132"/>
      <c r="AU994" s="133"/>
      <c r="AV994" s="134"/>
    </row>
    <row r="995" spans="1:48">
      <c r="A995" s="74">
        <v>20448</v>
      </c>
      <c r="B995" s="74" t="s">
        <v>227</v>
      </c>
      <c r="C995" s="74">
        <v>1</v>
      </c>
      <c r="D995" s="74">
        <v>1921</v>
      </c>
      <c r="E995" s="73">
        <v>7.5000002980232239E-2</v>
      </c>
      <c r="F995" s="73">
        <v>0.44999998807907104</v>
      </c>
      <c r="G995" s="73">
        <v>5.9999998658895493E-2</v>
      </c>
      <c r="H995" s="73">
        <v>2.9999999329447746E-2</v>
      </c>
      <c r="I995" s="190">
        <v>1612.692</v>
      </c>
      <c r="J995" s="134" t="str">
        <f t="shared" si="116"/>
        <v>keep</v>
      </c>
      <c r="K995" s="134" t="str">
        <f t="shared" si="117"/>
        <v>R19</v>
      </c>
      <c r="L995" s="134" t="str">
        <f t="shared" si="118"/>
        <v>R11</v>
      </c>
      <c r="M995" s="146" t="str">
        <f t="shared" si="114"/>
        <v>Better</v>
      </c>
      <c r="N995" s="146" t="str">
        <f t="shared" si="115"/>
        <v>Better</v>
      </c>
      <c r="O995" s="146" t="str">
        <f t="shared" si="119"/>
        <v>Electric FAFR19R11BetterBetter</v>
      </c>
      <c r="P995" s="134" t="str">
        <f t="shared" si="120"/>
        <v>Crawlspace</v>
      </c>
      <c r="Q995" s="134"/>
      <c r="R995" s="134"/>
      <c r="S995" s="134"/>
      <c r="T995" s="134"/>
      <c r="U995" s="134"/>
      <c r="V995" s="134"/>
      <c r="W995" s="134"/>
      <c r="X995" s="134"/>
      <c r="Y995" s="134"/>
      <c r="Z995" s="134"/>
      <c r="AA995" s="134"/>
      <c r="AB995" s="134"/>
      <c r="AC995" s="134"/>
      <c r="AD995" s="134"/>
      <c r="AE995" s="134"/>
      <c r="AF995" s="146"/>
      <c r="AG995" s="134"/>
      <c r="AH995" s="134"/>
      <c r="AI995" s="134"/>
      <c r="AJ995" s="134"/>
      <c r="AK995" s="134"/>
      <c r="AL995" s="134"/>
      <c r="AM995" s="146"/>
      <c r="AN995" s="132"/>
      <c r="AO995" s="132"/>
      <c r="AP995" s="132"/>
      <c r="AQ995" s="132"/>
      <c r="AR995" s="134"/>
      <c r="AS995" s="134"/>
      <c r="AT995" s="132"/>
      <c r="AU995" s="133"/>
      <c r="AV995" s="134"/>
    </row>
    <row r="996" spans="1:48">
      <c r="A996" s="74">
        <v>20458</v>
      </c>
      <c r="B996" s="74" t="s">
        <v>228</v>
      </c>
      <c r="C996" s="74">
        <v>1</v>
      </c>
      <c r="D996" s="74">
        <v>1483</v>
      </c>
      <c r="E996" s="73">
        <v>0.15000000596046448</v>
      </c>
      <c r="F996" s="73">
        <v>0.75</v>
      </c>
      <c r="G996" s="73">
        <v>0.23400000000000001</v>
      </c>
      <c r="H996" s="73">
        <v>0.11999999731779099</v>
      </c>
      <c r="I996" s="190">
        <v>3785.7640000000001</v>
      </c>
      <c r="J996" s="134" t="str">
        <f t="shared" si="116"/>
        <v>keep</v>
      </c>
      <c r="K996" s="134" t="str">
        <f t="shared" si="117"/>
        <v>R0</v>
      </c>
      <c r="L996" s="134" t="str">
        <f t="shared" si="118"/>
        <v>R0</v>
      </c>
      <c r="M996" s="146" t="str">
        <f t="shared" si="114"/>
        <v>R0</v>
      </c>
      <c r="N996" s="146" t="str">
        <f t="shared" si="115"/>
        <v>Better</v>
      </c>
      <c r="O996" s="146" t="str">
        <f t="shared" si="119"/>
        <v>Electric ZonalR0R0R0Better</v>
      </c>
      <c r="P996" s="134" t="str">
        <f t="shared" si="120"/>
        <v>Crawlspace</v>
      </c>
      <c r="Q996" s="134"/>
      <c r="R996" s="134"/>
      <c r="S996" s="134"/>
      <c r="T996" s="134"/>
      <c r="U996" s="134"/>
      <c r="V996" s="134"/>
      <c r="W996" s="134"/>
      <c r="X996" s="134"/>
      <c r="Y996" s="134"/>
      <c r="Z996" s="134"/>
      <c r="AA996" s="134"/>
      <c r="AB996" s="134"/>
      <c r="AC996" s="134"/>
      <c r="AD996" s="134"/>
      <c r="AE996" s="134"/>
      <c r="AF996" s="146"/>
      <c r="AG996" s="134"/>
      <c r="AH996" s="134"/>
      <c r="AI996" s="134"/>
      <c r="AJ996" s="134"/>
      <c r="AK996" s="134"/>
      <c r="AL996" s="134"/>
      <c r="AM996" s="146"/>
      <c r="AN996" s="132"/>
      <c r="AO996" s="132"/>
      <c r="AP996" s="132"/>
      <c r="AQ996" s="132"/>
      <c r="AR996" s="134"/>
      <c r="AS996" s="134"/>
      <c r="AT996" s="132"/>
      <c r="AU996" s="133"/>
      <c r="AV996" s="134"/>
    </row>
    <row r="997" spans="1:48">
      <c r="A997" s="74">
        <v>20469</v>
      </c>
      <c r="B997" s="74" t="s">
        <v>229</v>
      </c>
      <c r="C997" s="74">
        <v>4</v>
      </c>
      <c r="D997" s="74">
        <v>3219</v>
      </c>
      <c r="E997" s="73">
        <v>1.9999999552965164E-2</v>
      </c>
      <c r="F997" s="73">
        <v>0.55000001192092896</v>
      </c>
      <c r="G997" s="73">
        <v>5.9999998658895493E-2</v>
      </c>
      <c r="H997" s="73">
        <v>0</v>
      </c>
      <c r="I997" s="190">
        <v>1904.288</v>
      </c>
      <c r="J997" s="134" t="str">
        <f t="shared" si="116"/>
        <v>keep</v>
      </c>
      <c r="K997" s="134" t="str">
        <f t="shared" si="117"/>
        <v>R38</v>
      </c>
      <c r="L997" s="134" t="str">
        <f t="shared" si="118"/>
        <v>R11</v>
      </c>
      <c r="M997" s="146" t="str">
        <f t="shared" si="114"/>
        <v>Basement</v>
      </c>
      <c r="N997" s="146" t="str">
        <f t="shared" si="115"/>
        <v>Better</v>
      </c>
      <c r="O997" s="146" t="str">
        <f t="shared" si="119"/>
        <v>Heat PumpR38R11BasementBetter</v>
      </c>
      <c r="P997" s="134" t="str">
        <f t="shared" si="120"/>
        <v>Basement</v>
      </c>
      <c r="Q997" s="134"/>
      <c r="R997" s="134"/>
      <c r="S997" s="134"/>
      <c r="T997" s="134"/>
      <c r="U997" s="134"/>
      <c r="V997" s="134"/>
      <c r="W997" s="134"/>
      <c r="X997" s="134"/>
      <c r="Y997" s="134"/>
      <c r="Z997" s="134"/>
      <c r="AA997" s="134"/>
      <c r="AB997" s="134"/>
      <c r="AC997" s="134"/>
      <c r="AD997" s="134"/>
      <c r="AE997" s="134"/>
      <c r="AF997" s="146"/>
      <c r="AG997" s="134"/>
      <c r="AH997" s="134"/>
      <c r="AI997" s="134"/>
      <c r="AJ997" s="134"/>
      <c r="AK997" s="134"/>
      <c r="AL997" s="134"/>
      <c r="AM997" s="146"/>
      <c r="AN997" s="132"/>
      <c r="AO997" s="132"/>
      <c r="AP997" s="132"/>
      <c r="AQ997" s="132"/>
      <c r="AR997" s="134"/>
      <c r="AS997" s="134"/>
      <c r="AT997" s="132"/>
      <c r="AU997" s="133"/>
      <c r="AV997" s="134"/>
    </row>
    <row r="998" spans="1:48">
      <c r="A998" s="74">
        <v>20477</v>
      </c>
      <c r="B998" s="74" t="s">
        <v>229</v>
      </c>
      <c r="C998" s="74">
        <v>1</v>
      </c>
      <c r="D998" s="74">
        <v>1341</v>
      </c>
      <c r="E998" s="73">
        <v>2.500000037252903E-2</v>
      </c>
      <c r="F998" s="73">
        <v>0.55000001192092896</v>
      </c>
      <c r="G998" s="73">
        <v>5.9999998658895493E-2</v>
      </c>
      <c r="H998" s="73">
        <v>3.5000000149011612E-2</v>
      </c>
      <c r="I998" s="190">
        <v>1904.288</v>
      </c>
      <c r="J998" s="134" t="str">
        <f t="shared" si="116"/>
        <v>keep</v>
      </c>
      <c r="K998" s="134" t="str">
        <f t="shared" si="117"/>
        <v>R38</v>
      </c>
      <c r="L998" s="134" t="str">
        <f t="shared" si="118"/>
        <v>R11</v>
      </c>
      <c r="M998" s="146" t="str">
        <f t="shared" si="114"/>
        <v>Better</v>
      </c>
      <c r="N998" s="146" t="str">
        <f t="shared" si="115"/>
        <v>Better</v>
      </c>
      <c r="O998" s="146" t="str">
        <f t="shared" si="119"/>
        <v>Heat PumpR38R11BetterBetter</v>
      </c>
      <c r="P998" s="134" t="str">
        <f t="shared" si="120"/>
        <v>Crawlspace</v>
      </c>
      <c r="Q998" s="134"/>
      <c r="R998" s="134"/>
      <c r="S998" s="134"/>
      <c r="T998" s="134"/>
      <c r="U998" s="134"/>
      <c r="V998" s="134"/>
      <c r="W998" s="134"/>
      <c r="X998" s="134"/>
      <c r="Y998" s="134"/>
      <c r="Z998" s="134"/>
      <c r="AA998" s="134"/>
      <c r="AB998" s="134"/>
      <c r="AC998" s="134"/>
      <c r="AD998" s="134"/>
      <c r="AE998" s="134"/>
      <c r="AF998" s="146"/>
      <c r="AG998" s="134"/>
      <c r="AH998" s="134"/>
      <c r="AI998" s="134"/>
      <c r="AJ998" s="134"/>
      <c r="AK998" s="134"/>
      <c r="AL998" s="134"/>
      <c r="AM998" s="146"/>
      <c r="AN998" s="132"/>
      <c r="AO998" s="132"/>
      <c r="AP998" s="132"/>
      <c r="AQ998" s="132"/>
      <c r="AR998" s="134"/>
      <c r="AS998" s="134"/>
      <c r="AT998" s="132"/>
      <c r="AU998" s="133"/>
      <c r="AV998" s="134"/>
    </row>
    <row r="999" spans="1:48">
      <c r="A999" s="74">
        <v>20505</v>
      </c>
      <c r="B999" s="74" t="s">
        <v>229</v>
      </c>
      <c r="C999" s="74">
        <v>1</v>
      </c>
      <c r="D999" s="74">
        <v>4010</v>
      </c>
      <c r="E999" s="73">
        <v>3.5000000149011612E-2</v>
      </c>
      <c r="F999" s="73">
        <v>0.55000001192092896</v>
      </c>
      <c r="G999" s="73">
        <v>5.6962616114972907E-2</v>
      </c>
      <c r="H999" s="73">
        <v>0.23000000417232513</v>
      </c>
      <c r="I999" s="190">
        <v>1612.692</v>
      </c>
      <c r="J999" s="134" t="str">
        <f t="shared" si="116"/>
        <v>keep</v>
      </c>
      <c r="K999" s="134" t="str">
        <f t="shared" si="117"/>
        <v>R38</v>
      </c>
      <c r="L999" s="134" t="str">
        <f t="shared" si="118"/>
        <v>R11</v>
      </c>
      <c r="M999" s="146" t="str">
        <f t="shared" si="114"/>
        <v>R0</v>
      </c>
      <c r="N999" s="146" t="str">
        <f t="shared" si="115"/>
        <v>Better</v>
      </c>
      <c r="O999" s="146" t="str">
        <f t="shared" si="119"/>
        <v>Heat PumpR38R11R0Better</v>
      </c>
      <c r="P999" s="134" t="str">
        <f t="shared" si="120"/>
        <v>Crawlspace</v>
      </c>
      <c r="Q999" s="134"/>
      <c r="R999" s="134"/>
      <c r="S999" s="134"/>
      <c r="T999" s="134"/>
      <c r="U999" s="134"/>
      <c r="V999" s="134"/>
      <c r="W999" s="134"/>
      <c r="X999" s="134"/>
      <c r="Y999" s="134"/>
      <c r="Z999" s="134"/>
      <c r="AA999" s="134"/>
      <c r="AB999" s="134"/>
      <c r="AC999" s="134"/>
      <c r="AD999" s="134"/>
      <c r="AE999" s="134"/>
      <c r="AF999" s="146"/>
      <c r="AG999" s="134"/>
      <c r="AH999" s="134"/>
      <c r="AI999" s="134"/>
      <c r="AJ999" s="134"/>
      <c r="AK999" s="134"/>
      <c r="AL999" s="134"/>
      <c r="AM999" s="146"/>
      <c r="AN999" s="132"/>
      <c r="AO999" s="132"/>
      <c r="AP999" s="132"/>
      <c r="AQ999" s="132"/>
      <c r="AR999" s="134"/>
      <c r="AS999" s="134"/>
      <c r="AT999" s="132"/>
      <c r="AU999" s="133"/>
      <c r="AV999" s="134"/>
    </row>
    <row r="1000" spans="1:48">
      <c r="A1000" s="74">
        <v>20540</v>
      </c>
      <c r="B1000" s="74" t="s">
        <v>229</v>
      </c>
      <c r="C1000" s="74">
        <v>4</v>
      </c>
      <c r="D1000" s="74">
        <v>3352</v>
      </c>
      <c r="E1000" s="73">
        <v>2.500000037252903E-2</v>
      </c>
      <c r="F1000" s="73">
        <v>0.63810485865800615</v>
      </c>
      <c r="G1000" s="73">
        <v>5.9999998658895493E-2</v>
      </c>
      <c r="H1000" s="73">
        <v>0</v>
      </c>
      <c r="I1000" s="190">
        <v>1904.288</v>
      </c>
      <c r="J1000" s="134" t="str">
        <f t="shared" si="116"/>
        <v>keep</v>
      </c>
      <c r="K1000" s="134" t="str">
        <f t="shared" si="117"/>
        <v>R38</v>
      </c>
      <c r="L1000" s="134" t="str">
        <f t="shared" si="118"/>
        <v>R11</v>
      </c>
      <c r="M1000" s="146" t="str">
        <f t="shared" si="114"/>
        <v>Basement</v>
      </c>
      <c r="N1000" s="146" t="str">
        <f t="shared" si="115"/>
        <v>Better</v>
      </c>
      <c r="O1000" s="146" t="str">
        <f t="shared" si="119"/>
        <v>Heat PumpR38R11BasementBetter</v>
      </c>
      <c r="P1000" s="134" t="str">
        <f t="shared" si="120"/>
        <v>Basement</v>
      </c>
      <c r="Q1000" s="134"/>
      <c r="R1000" s="134"/>
      <c r="S1000" s="134"/>
      <c r="T1000" s="134"/>
      <c r="U1000" s="134"/>
      <c r="V1000" s="134"/>
      <c r="W1000" s="134"/>
      <c r="X1000" s="134"/>
      <c r="Y1000" s="134"/>
      <c r="Z1000" s="134"/>
      <c r="AA1000" s="134"/>
      <c r="AB1000" s="134"/>
      <c r="AC1000" s="134"/>
      <c r="AD1000" s="134"/>
      <c r="AE1000" s="134"/>
      <c r="AF1000" s="146"/>
      <c r="AG1000" s="134"/>
      <c r="AH1000" s="134"/>
      <c r="AI1000" s="134"/>
      <c r="AJ1000" s="134"/>
      <c r="AK1000" s="134"/>
      <c r="AL1000" s="134"/>
      <c r="AM1000" s="146"/>
      <c r="AN1000" s="132"/>
      <c r="AO1000" s="132"/>
      <c r="AP1000" s="132"/>
      <c r="AQ1000" s="132"/>
      <c r="AR1000" s="134"/>
      <c r="AS1000" s="134"/>
      <c r="AT1000" s="132"/>
      <c r="AU1000" s="133"/>
      <c r="AV1000" s="134"/>
    </row>
    <row r="1001" spans="1:48">
      <c r="A1001" s="74">
        <v>20547</v>
      </c>
      <c r="B1001" s="74" t="s">
        <v>228</v>
      </c>
      <c r="C1001" s="74">
        <v>4</v>
      </c>
      <c r="D1001" s="74">
        <v>2728</v>
      </c>
      <c r="E1001" s="73">
        <v>7.9999998211860657E-2</v>
      </c>
      <c r="F1001" s="73">
        <v>0.55289856333663501</v>
      </c>
      <c r="G1001" s="73">
        <v>0.10217391408008078</v>
      </c>
      <c r="H1001" s="73">
        <v>0</v>
      </c>
      <c r="I1001" s="190">
        <v>2079.9929999999999</v>
      </c>
      <c r="J1001" s="134" t="str">
        <f t="shared" si="116"/>
        <v>keep</v>
      </c>
      <c r="K1001" s="134" t="str">
        <f t="shared" si="117"/>
        <v>R19</v>
      </c>
      <c r="L1001" s="134" t="str">
        <f t="shared" si="118"/>
        <v>R11</v>
      </c>
      <c r="M1001" s="146" t="str">
        <f t="shared" si="114"/>
        <v>Basement</v>
      </c>
      <c r="N1001" s="146" t="str">
        <f t="shared" si="115"/>
        <v>Better</v>
      </c>
      <c r="O1001" s="146" t="str">
        <f t="shared" si="119"/>
        <v>Electric ZonalR19R11BasementBetter</v>
      </c>
      <c r="P1001" s="134" t="str">
        <f t="shared" si="120"/>
        <v>Basement</v>
      </c>
      <c r="Q1001" s="134"/>
      <c r="R1001" s="134"/>
      <c r="S1001" s="134"/>
      <c r="T1001" s="134"/>
      <c r="U1001" s="134"/>
      <c r="V1001" s="134"/>
      <c r="W1001" s="134"/>
      <c r="X1001" s="134"/>
      <c r="Y1001" s="134"/>
      <c r="Z1001" s="134"/>
      <c r="AA1001" s="134"/>
      <c r="AB1001" s="134"/>
      <c r="AC1001" s="134"/>
      <c r="AD1001" s="134"/>
      <c r="AE1001" s="134"/>
      <c r="AF1001" s="146"/>
      <c r="AG1001" s="134"/>
      <c r="AH1001" s="134"/>
      <c r="AI1001" s="134"/>
      <c r="AJ1001" s="134"/>
      <c r="AK1001" s="134"/>
      <c r="AL1001" s="134"/>
      <c r="AM1001" s="146"/>
      <c r="AN1001" s="132"/>
      <c r="AO1001" s="132"/>
      <c r="AP1001" s="132"/>
      <c r="AQ1001" s="132"/>
      <c r="AR1001" s="134"/>
      <c r="AS1001" s="134"/>
      <c r="AT1001" s="132"/>
      <c r="AU1001" s="133"/>
      <c r="AV1001" s="134"/>
    </row>
    <row r="1002" spans="1:48">
      <c r="A1002" s="74">
        <v>20559</v>
      </c>
      <c r="B1002" s="74" t="s">
        <v>228</v>
      </c>
      <c r="C1002" s="74">
        <v>1</v>
      </c>
      <c r="D1002" s="74">
        <v>756</v>
      </c>
      <c r="E1002" s="73">
        <v>0.14499999582767487</v>
      </c>
      <c r="F1002" s="73">
        <v>0.75</v>
      </c>
      <c r="G1002" s="73">
        <v>9.0000003576278687E-2</v>
      </c>
      <c r="H1002" s="73">
        <v>4.5000001788139343E-2</v>
      </c>
      <c r="I1002" s="190">
        <v>1192.4649999999999</v>
      </c>
      <c r="J1002" s="134" t="str">
        <f t="shared" si="116"/>
        <v>keep</v>
      </c>
      <c r="K1002" s="134" t="str">
        <f t="shared" si="117"/>
        <v>R11</v>
      </c>
      <c r="L1002" s="134" t="str">
        <f t="shared" si="118"/>
        <v>R11</v>
      </c>
      <c r="M1002" s="146" t="str">
        <f t="shared" si="114"/>
        <v>Better</v>
      </c>
      <c r="N1002" s="146" t="str">
        <f t="shared" si="115"/>
        <v>Better</v>
      </c>
      <c r="O1002" s="146" t="str">
        <f t="shared" si="119"/>
        <v>Electric ZonalR11R11BetterBetter</v>
      </c>
      <c r="P1002" s="134" t="str">
        <f t="shared" si="120"/>
        <v>Crawlspace</v>
      </c>
      <c r="Q1002" s="134"/>
      <c r="R1002" s="134"/>
      <c r="S1002" s="134"/>
      <c r="T1002" s="134"/>
      <c r="U1002" s="134"/>
      <c r="V1002" s="134"/>
      <c r="W1002" s="134"/>
      <c r="X1002" s="134"/>
      <c r="Y1002" s="134"/>
      <c r="Z1002" s="134"/>
      <c r="AA1002" s="134"/>
      <c r="AB1002" s="134"/>
      <c r="AC1002" s="134"/>
      <c r="AD1002" s="134"/>
      <c r="AE1002" s="134"/>
      <c r="AF1002" s="146"/>
      <c r="AG1002" s="134"/>
      <c r="AH1002" s="134"/>
      <c r="AI1002" s="134"/>
      <c r="AJ1002" s="134"/>
      <c r="AK1002" s="134"/>
      <c r="AL1002" s="134"/>
      <c r="AM1002" s="146"/>
      <c r="AN1002" s="132"/>
      <c r="AO1002" s="132"/>
      <c r="AP1002" s="132"/>
      <c r="AQ1002" s="132"/>
      <c r="AR1002" s="134"/>
      <c r="AS1002" s="134"/>
      <c r="AT1002" s="132"/>
      <c r="AU1002" s="133"/>
      <c r="AV1002" s="134"/>
    </row>
    <row r="1003" spans="1:48">
      <c r="A1003" s="74">
        <v>20574</v>
      </c>
      <c r="B1003" s="74" t="s">
        <v>228</v>
      </c>
      <c r="C1003" s="74">
        <v>1</v>
      </c>
      <c r="D1003" s="74">
        <v>1300</v>
      </c>
      <c r="E1003" s="73">
        <v>7.9999998211860657E-2</v>
      </c>
      <c r="F1003" s="73">
        <v>0.55000001192092896</v>
      </c>
      <c r="G1003" s="73">
        <v>7.9999998211860657E-2</v>
      </c>
      <c r="H1003" s="73">
        <v>6.4999997615814209E-2</v>
      </c>
      <c r="I1003" s="190">
        <v>2079.9929999999999</v>
      </c>
      <c r="J1003" s="134" t="str">
        <f t="shared" si="116"/>
        <v>keep</v>
      </c>
      <c r="K1003" s="134" t="str">
        <f t="shared" si="117"/>
        <v>R19</v>
      </c>
      <c r="L1003" s="134" t="str">
        <f t="shared" si="118"/>
        <v>R11</v>
      </c>
      <c r="M1003" s="146" t="str">
        <f t="shared" si="114"/>
        <v>R19</v>
      </c>
      <c r="N1003" s="146" t="str">
        <f t="shared" si="115"/>
        <v>Better</v>
      </c>
      <c r="O1003" s="146" t="str">
        <f t="shared" si="119"/>
        <v>Electric ZonalR19R11R19Better</v>
      </c>
      <c r="P1003" s="134" t="str">
        <f t="shared" si="120"/>
        <v>Crawlspace</v>
      </c>
      <c r="Q1003" s="134"/>
      <c r="R1003" s="134"/>
      <c r="S1003" s="134"/>
      <c r="T1003" s="134"/>
      <c r="U1003" s="134"/>
      <c r="V1003" s="134"/>
      <c r="W1003" s="134"/>
      <c r="X1003" s="134"/>
      <c r="Y1003" s="134"/>
      <c r="Z1003" s="134"/>
      <c r="AA1003" s="134"/>
      <c r="AB1003" s="134"/>
      <c r="AC1003" s="134"/>
      <c r="AD1003" s="134"/>
      <c r="AE1003" s="134"/>
      <c r="AF1003" s="146"/>
      <c r="AG1003" s="134"/>
      <c r="AH1003" s="134"/>
      <c r="AI1003" s="134"/>
      <c r="AJ1003" s="134"/>
      <c r="AK1003" s="134"/>
      <c r="AL1003" s="134"/>
      <c r="AM1003" s="146"/>
      <c r="AN1003" s="132"/>
      <c r="AO1003" s="132"/>
      <c r="AP1003" s="132"/>
      <c r="AQ1003" s="132"/>
      <c r="AR1003" s="134"/>
      <c r="AS1003" s="134"/>
      <c r="AT1003" s="132"/>
      <c r="AU1003" s="133"/>
      <c r="AV1003" s="134"/>
    </row>
    <row r="1004" spans="1:48">
      <c r="A1004" s="74">
        <v>20595</v>
      </c>
      <c r="B1004" s="74" t="s">
        <v>227</v>
      </c>
      <c r="C1004" s="74">
        <v>4</v>
      </c>
      <c r="D1004" s="74">
        <v>1920</v>
      </c>
      <c r="E1004" s="73">
        <v>0.25</v>
      </c>
      <c r="F1004" s="73">
        <v>0.80000001192092896</v>
      </c>
      <c r="G1004" s="73">
        <v>9.0000003576278687E-2</v>
      </c>
      <c r="H1004" s="73">
        <v>0</v>
      </c>
      <c r="I1004" s="190">
        <v>1192.4649999999999</v>
      </c>
      <c r="J1004" s="134" t="str">
        <f t="shared" si="116"/>
        <v>keep</v>
      </c>
      <c r="K1004" s="134" t="str">
        <f t="shared" si="117"/>
        <v>R0</v>
      </c>
      <c r="L1004" s="134" t="str">
        <f t="shared" si="118"/>
        <v>R11</v>
      </c>
      <c r="M1004" s="146" t="str">
        <f t="shared" si="114"/>
        <v>Basement</v>
      </c>
      <c r="N1004" s="146" t="str">
        <f t="shared" si="115"/>
        <v>Better</v>
      </c>
      <c r="O1004" s="146" t="str">
        <f t="shared" si="119"/>
        <v>Electric FAFR0R11BasementBetter</v>
      </c>
      <c r="P1004" s="134" t="str">
        <f t="shared" si="120"/>
        <v>Basement</v>
      </c>
      <c r="Q1004" s="134"/>
      <c r="R1004" s="134"/>
      <c r="S1004" s="134"/>
      <c r="T1004" s="134"/>
      <c r="U1004" s="134"/>
      <c r="V1004" s="134"/>
      <c r="W1004" s="134"/>
      <c r="X1004" s="134"/>
      <c r="Y1004" s="134"/>
      <c r="Z1004" s="134"/>
      <c r="AA1004" s="134"/>
      <c r="AB1004" s="134"/>
      <c r="AC1004" s="134"/>
      <c r="AD1004" s="134"/>
      <c r="AE1004" s="134"/>
      <c r="AF1004" s="146"/>
      <c r="AG1004" s="134"/>
      <c r="AH1004" s="134"/>
      <c r="AI1004" s="134"/>
      <c r="AJ1004" s="134"/>
      <c r="AK1004" s="134"/>
      <c r="AL1004" s="134"/>
      <c r="AM1004" s="146"/>
      <c r="AN1004" s="132"/>
      <c r="AO1004" s="132"/>
      <c r="AP1004" s="132"/>
      <c r="AQ1004" s="132"/>
      <c r="AR1004" s="134"/>
      <c r="AS1004" s="134"/>
      <c r="AT1004" s="132"/>
      <c r="AU1004" s="133"/>
      <c r="AV1004" s="134"/>
    </row>
    <row r="1005" spans="1:48">
      <c r="A1005" s="74">
        <v>20606</v>
      </c>
      <c r="B1005" s="74" t="s">
        <v>228</v>
      </c>
      <c r="C1005" s="74">
        <v>3</v>
      </c>
      <c r="D1005" s="74">
        <v>1771</v>
      </c>
      <c r="E1005" s="73">
        <v>0.25</v>
      </c>
      <c r="F1005" s="73">
        <v>0.44999998807907104</v>
      </c>
      <c r="G1005" s="73">
        <v>9.0000003576278687E-2</v>
      </c>
      <c r="H1005" s="73">
        <v>3.7545454542745244E-2</v>
      </c>
      <c r="I1005" s="190">
        <v>1612.692</v>
      </c>
      <c r="J1005" s="134" t="str">
        <f t="shared" si="116"/>
        <v>keep</v>
      </c>
      <c r="K1005" s="134" t="str">
        <f t="shared" si="117"/>
        <v>R0</v>
      </c>
      <c r="L1005" s="134" t="str">
        <f t="shared" si="118"/>
        <v>R11</v>
      </c>
      <c r="M1005" s="146" t="str">
        <f t="shared" si="114"/>
        <v>Basement</v>
      </c>
      <c r="N1005" s="146" t="str">
        <f t="shared" si="115"/>
        <v>Better</v>
      </c>
      <c r="O1005" s="146" t="str">
        <f t="shared" si="119"/>
        <v>Electric ZonalR0R11BasementBetter</v>
      </c>
      <c r="P1005" s="134" t="str">
        <f t="shared" si="120"/>
        <v>Basement</v>
      </c>
      <c r="Q1005" s="134"/>
      <c r="R1005" s="134"/>
      <c r="S1005" s="134"/>
      <c r="T1005" s="134"/>
      <c r="U1005" s="134"/>
      <c r="V1005" s="134"/>
      <c r="W1005" s="134"/>
      <c r="X1005" s="134"/>
      <c r="Y1005" s="134"/>
      <c r="Z1005" s="134"/>
      <c r="AA1005" s="134"/>
      <c r="AB1005" s="134"/>
      <c r="AC1005" s="134"/>
      <c r="AD1005" s="134"/>
      <c r="AE1005" s="134"/>
      <c r="AF1005" s="146"/>
      <c r="AG1005" s="134"/>
      <c r="AH1005" s="134"/>
      <c r="AI1005" s="134"/>
      <c r="AJ1005" s="134"/>
      <c r="AK1005" s="134"/>
      <c r="AL1005" s="134"/>
      <c r="AM1005" s="146"/>
      <c r="AN1005" s="132"/>
      <c r="AO1005" s="132"/>
      <c r="AP1005" s="132"/>
      <c r="AQ1005" s="132"/>
      <c r="AR1005" s="134"/>
      <c r="AS1005" s="134"/>
      <c r="AT1005" s="132"/>
      <c r="AU1005" s="133"/>
      <c r="AV1005" s="134"/>
    </row>
    <row r="1006" spans="1:48">
      <c r="A1006" s="74">
        <v>20619</v>
      </c>
      <c r="B1006" s="74" t="s">
        <v>229</v>
      </c>
      <c r="C1006" s="74" t="s">
        <v>673</v>
      </c>
      <c r="D1006" s="74">
        <v>2250</v>
      </c>
      <c r="E1006" s="73">
        <v>9.0000003576278687E-2</v>
      </c>
      <c r="F1006" s="73">
        <v>0.55000001192092896</v>
      </c>
      <c r="G1006" s="73">
        <v>9.0000003576278687E-2</v>
      </c>
      <c r="H1006" s="73">
        <v>0.23000000417232513</v>
      </c>
      <c r="I1006" s="190">
        <v>2079.9929999999999</v>
      </c>
      <c r="J1006" s="134" t="str">
        <f t="shared" si="116"/>
        <v>ignore</v>
      </c>
      <c r="K1006" s="134" t="str">
        <f t="shared" si="117"/>
        <v>R11</v>
      </c>
      <c r="L1006" s="134" t="str">
        <f t="shared" si="118"/>
        <v>R11</v>
      </c>
      <c r="M1006" s="146" t="str">
        <f t="shared" si="114"/>
        <v>R0</v>
      </c>
      <c r="N1006" s="146" t="str">
        <f t="shared" si="115"/>
        <v>Better</v>
      </c>
      <c r="O1006" s="146" t="str">
        <f t="shared" si="119"/>
        <v>Heat PumpR11R11R0Better</v>
      </c>
      <c r="P1006" s="134" t="str">
        <f t="shared" si="120"/>
        <v>error</v>
      </c>
      <c r="Q1006" s="134"/>
      <c r="R1006" s="134"/>
      <c r="S1006" s="134"/>
      <c r="T1006" s="134"/>
      <c r="U1006" s="134"/>
      <c r="V1006" s="134"/>
      <c r="W1006" s="134"/>
      <c r="X1006" s="134"/>
      <c r="Y1006" s="134"/>
      <c r="Z1006" s="134"/>
      <c r="AA1006" s="134"/>
      <c r="AB1006" s="134"/>
      <c r="AC1006" s="134"/>
      <c r="AD1006" s="134"/>
      <c r="AE1006" s="134"/>
      <c r="AF1006" s="146"/>
      <c r="AG1006" s="134"/>
      <c r="AH1006" s="134"/>
      <c r="AI1006" s="134"/>
      <c r="AJ1006" s="134"/>
      <c r="AK1006" s="134"/>
      <c r="AL1006" s="134"/>
      <c r="AM1006" s="146"/>
      <c r="AN1006" s="132"/>
      <c r="AO1006" s="132"/>
      <c r="AP1006" s="132"/>
      <c r="AQ1006" s="132"/>
      <c r="AR1006" s="134"/>
      <c r="AS1006" s="134"/>
      <c r="AT1006" s="132"/>
      <c r="AU1006" s="133"/>
      <c r="AV1006" s="134"/>
    </row>
    <row r="1007" spans="1:48">
      <c r="A1007" s="74">
        <v>20626</v>
      </c>
      <c r="B1007" s="74" t="s">
        <v>229</v>
      </c>
      <c r="C1007" s="74" t="s">
        <v>673</v>
      </c>
      <c r="D1007" s="74">
        <v>2650</v>
      </c>
      <c r="E1007" s="73">
        <v>2.500000037252903E-2</v>
      </c>
      <c r="F1007" s="73">
        <v>0.44999998807907104</v>
      </c>
      <c r="G1007" s="73">
        <v>5.9999998658895493E-2</v>
      </c>
      <c r="H1007" s="73">
        <v>2.9999999329447746E-2</v>
      </c>
      <c r="I1007" s="190">
        <v>1904.288</v>
      </c>
      <c r="J1007" s="134" t="str">
        <f t="shared" si="116"/>
        <v>ignore</v>
      </c>
      <c r="K1007" s="134" t="str">
        <f t="shared" si="117"/>
        <v>R38</v>
      </c>
      <c r="L1007" s="134" t="str">
        <f t="shared" si="118"/>
        <v>R11</v>
      </c>
      <c r="M1007" s="146" t="str">
        <f t="shared" si="114"/>
        <v>Better</v>
      </c>
      <c r="N1007" s="146" t="str">
        <f t="shared" si="115"/>
        <v>Better</v>
      </c>
      <c r="O1007" s="146" t="str">
        <f t="shared" si="119"/>
        <v>Heat PumpR38R11BetterBetter</v>
      </c>
      <c r="P1007" s="134" t="str">
        <f t="shared" si="120"/>
        <v>error</v>
      </c>
      <c r="Q1007" s="134"/>
      <c r="R1007" s="134"/>
      <c r="S1007" s="134"/>
      <c r="T1007" s="134"/>
      <c r="U1007" s="134"/>
      <c r="V1007" s="134"/>
      <c r="W1007" s="134"/>
      <c r="X1007" s="134"/>
      <c r="Y1007" s="134"/>
      <c r="Z1007" s="134"/>
      <c r="AA1007" s="134"/>
      <c r="AB1007" s="134"/>
      <c r="AC1007" s="134"/>
      <c r="AD1007" s="134"/>
      <c r="AE1007" s="134"/>
      <c r="AF1007" s="146"/>
      <c r="AG1007" s="134"/>
      <c r="AH1007" s="134"/>
      <c r="AI1007" s="134"/>
      <c r="AJ1007" s="134"/>
      <c r="AK1007" s="134"/>
      <c r="AL1007" s="134"/>
      <c r="AM1007" s="146"/>
      <c r="AN1007" s="132"/>
      <c r="AO1007" s="132"/>
      <c r="AP1007" s="132"/>
      <c r="AQ1007" s="132"/>
      <c r="AR1007" s="134"/>
      <c r="AS1007" s="134"/>
      <c r="AT1007" s="132"/>
      <c r="AU1007" s="133"/>
      <c r="AV1007" s="134"/>
    </row>
    <row r="1008" spans="1:48">
      <c r="A1008" s="74">
        <v>20671</v>
      </c>
      <c r="B1008" s="74" t="s">
        <v>228</v>
      </c>
      <c r="C1008" s="74">
        <v>1</v>
      </c>
      <c r="D1008" s="74">
        <v>384</v>
      </c>
      <c r="E1008" s="73">
        <v>5.000000074505806E-2</v>
      </c>
      <c r="F1008" s="73">
        <v>0.52207792734170888</v>
      </c>
      <c r="G1008" s="73">
        <v>9.0000003576278687E-2</v>
      </c>
      <c r="H1008" s="73">
        <v>5.9999998658895493E-2</v>
      </c>
      <c r="I1008" s="190">
        <v>8264.9449999999997</v>
      </c>
      <c r="J1008" s="134" t="str">
        <f t="shared" si="116"/>
        <v>keep</v>
      </c>
      <c r="K1008" s="134" t="str">
        <f t="shared" si="117"/>
        <v>R30</v>
      </c>
      <c r="L1008" s="134" t="str">
        <f t="shared" si="118"/>
        <v>R11</v>
      </c>
      <c r="M1008" s="146" t="str">
        <f t="shared" si="114"/>
        <v>R19</v>
      </c>
      <c r="N1008" s="146" t="str">
        <f t="shared" si="115"/>
        <v>Better</v>
      </c>
      <c r="O1008" s="146" t="str">
        <f t="shared" si="119"/>
        <v>Electric ZonalR30R11R19Better</v>
      </c>
      <c r="P1008" s="134" t="str">
        <f t="shared" si="120"/>
        <v>Crawlspace</v>
      </c>
      <c r="Q1008" s="134"/>
      <c r="R1008" s="134"/>
      <c r="S1008" s="134"/>
      <c r="T1008" s="134"/>
      <c r="U1008" s="134"/>
      <c r="V1008" s="134"/>
      <c r="W1008" s="134"/>
      <c r="X1008" s="134"/>
      <c r="Y1008" s="134"/>
      <c r="Z1008" s="134"/>
      <c r="AA1008" s="134"/>
      <c r="AB1008" s="134"/>
      <c r="AC1008" s="134"/>
      <c r="AD1008" s="134"/>
      <c r="AE1008" s="134"/>
      <c r="AF1008" s="146"/>
      <c r="AG1008" s="134"/>
      <c r="AH1008" s="134"/>
      <c r="AI1008" s="134"/>
      <c r="AJ1008" s="134"/>
      <c r="AK1008" s="134"/>
      <c r="AL1008" s="134"/>
      <c r="AM1008" s="146"/>
      <c r="AN1008" s="132"/>
      <c r="AO1008" s="132"/>
      <c r="AP1008" s="132"/>
      <c r="AQ1008" s="132"/>
      <c r="AR1008" s="134"/>
      <c r="AS1008" s="134"/>
      <c r="AT1008" s="132"/>
      <c r="AU1008" s="133"/>
      <c r="AV1008" s="134"/>
    </row>
    <row r="1009" spans="1:48">
      <c r="A1009" s="74">
        <v>20758</v>
      </c>
      <c r="B1009" s="74" t="s">
        <v>228</v>
      </c>
      <c r="C1009" s="74">
        <v>1</v>
      </c>
      <c r="D1009" s="74">
        <v>1591</v>
      </c>
      <c r="E1009" s="73">
        <v>5.000000074505806E-2</v>
      </c>
      <c r="F1009" s="73">
        <v>0.60000002384185791</v>
      </c>
      <c r="G1009" s="73">
        <v>9.0000003576278687E-2</v>
      </c>
      <c r="H1009" s="73">
        <v>0.23000000417232513</v>
      </c>
      <c r="I1009" s="190">
        <v>1904.288</v>
      </c>
      <c r="J1009" s="134" t="str">
        <f t="shared" si="116"/>
        <v>keep</v>
      </c>
      <c r="K1009" s="134" t="str">
        <f t="shared" si="117"/>
        <v>R30</v>
      </c>
      <c r="L1009" s="134" t="str">
        <f t="shared" si="118"/>
        <v>R11</v>
      </c>
      <c r="M1009" s="146" t="str">
        <f t="shared" si="114"/>
        <v>R0</v>
      </c>
      <c r="N1009" s="146" t="str">
        <f t="shared" si="115"/>
        <v>Better</v>
      </c>
      <c r="O1009" s="146" t="str">
        <f t="shared" si="119"/>
        <v>Electric ZonalR30R11R0Better</v>
      </c>
      <c r="P1009" s="134" t="str">
        <f t="shared" si="120"/>
        <v>Crawlspace</v>
      </c>
      <c r="Q1009" s="134"/>
      <c r="R1009" s="134"/>
      <c r="S1009" s="134"/>
      <c r="T1009" s="134"/>
      <c r="U1009" s="134"/>
      <c r="V1009" s="134"/>
      <c r="W1009" s="134"/>
      <c r="X1009" s="134"/>
      <c r="Y1009" s="134"/>
      <c r="Z1009" s="134"/>
      <c r="AA1009" s="134"/>
      <c r="AB1009" s="134"/>
      <c r="AC1009" s="134"/>
      <c r="AD1009" s="134"/>
      <c r="AE1009" s="134"/>
      <c r="AF1009" s="146"/>
      <c r="AG1009" s="134"/>
      <c r="AH1009" s="134"/>
      <c r="AI1009" s="134"/>
      <c r="AJ1009" s="134"/>
      <c r="AK1009" s="134"/>
      <c r="AL1009" s="134"/>
      <c r="AM1009" s="146"/>
      <c r="AN1009" s="132"/>
      <c r="AO1009" s="132"/>
      <c r="AP1009" s="132"/>
      <c r="AQ1009" s="132"/>
      <c r="AR1009" s="134"/>
      <c r="AS1009" s="134"/>
      <c r="AT1009" s="132"/>
      <c r="AU1009" s="133"/>
      <c r="AV1009" s="134"/>
    </row>
    <row r="1010" spans="1:48">
      <c r="A1010" s="74">
        <v>20770</v>
      </c>
      <c r="B1010" s="74" t="s">
        <v>228</v>
      </c>
      <c r="C1010" s="74">
        <v>1</v>
      </c>
      <c r="D1010" s="74">
        <v>1940</v>
      </c>
      <c r="E1010" s="73">
        <v>3.5000000149011612E-2</v>
      </c>
      <c r="F1010" s="73">
        <v>0.44999998807907104</v>
      </c>
      <c r="G1010" s="73">
        <v>7.9999998211860657E-2</v>
      </c>
      <c r="H1010" s="73">
        <v>6.4999997615814209E-2</v>
      </c>
      <c r="I1010" s="190">
        <v>2079.9929999999999</v>
      </c>
      <c r="J1010" s="134" t="str">
        <f t="shared" si="116"/>
        <v>keep</v>
      </c>
      <c r="K1010" s="134" t="str">
        <f t="shared" si="117"/>
        <v>R38</v>
      </c>
      <c r="L1010" s="134" t="str">
        <f t="shared" si="118"/>
        <v>R11</v>
      </c>
      <c r="M1010" s="146" t="str">
        <f t="shared" si="114"/>
        <v>R19</v>
      </c>
      <c r="N1010" s="146" t="str">
        <f t="shared" si="115"/>
        <v>Better</v>
      </c>
      <c r="O1010" s="146" t="str">
        <f t="shared" si="119"/>
        <v>Electric ZonalR38R11R19Better</v>
      </c>
      <c r="P1010" s="134" t="str">
        <f t="shared" si="120"/>
        <v>Crawlspace</v>
      </c>
      <c r="Q1010" s="134"/>
      <c r="R1010" s="134"/>
      <c r="S1010" s="134"/>
      <c r="T1010" s="134"/>
      <c r="U1010" s="134"/>
      <c r="V1010" s="134"/>
      <c r="W1010" s="134"/>
      <c r="X1010" s="134"/>
      <c r="Y1010" s="134"/>
      <c r="Z1010" s="134"/>
      <c r="AA1010" s="134"/>
      <c r="AB1010" s="134"/>
      <c r="AC1010" s="134"/>
      <c r="AD1010" s="134"/>
      <c r="AE1010" s="134"/>
      <c r="AF1010" s="146"/>
      <c r="AG1010" s="134"/>
      <c r="AH1010" s="134"/>
      <c r="AI1010" s="134"/>
      <c r="AJ1010" s="134"/>
      <c r="AK1010" s="134"/>
      <c r="AL1010" s="134"/>
      <c r="AM1010" s="146"/>
      <c r="AN1010" s="132"/>
      <c r="AO1010" s="132"/>
      <c r="AP1010" s="132"/>
      <c r="AQ1010" s="132"/>
      <c r="AR1010" s="134"/>
      <c r="AS1010" s="134"/>
      <c r="AT1010" s="132"/>
      <c r="AU1010" s="133"/>
      <c r="AV1010" s="134"/>
    </row>
    <row r="1011" spans="1:48">
      <c r="A1011" s="74">
        <v>20777</v>
      </c>
      <c r="B1011" s="74" t="s">
        <v>229</v>
      </c>
      <c r="C1011" s="74">
        <v>4</v>
      </c>
      <c r="D1011" s="74">
        <v>2400</v>
      </c>
      <c r="E1011" s="73">
        <v>7.9999998211860657E-2</v>
      </c>
      <c r="F1011" s="73">
        <v>0.55000001192092896</v>
      </c>
      <c r="G1011" s="73">
        <v>7.0000000298023224E-2</v>
      </c>
      <c r="H1011" s="73">
        <v>0</v>
      </c>
      <c r="I1011" s="190">
        <v>2079.9929999999999</v>
      </c>
      <c r="J1011" s="134" t="str">
        <f t="shared" si="116"/>
        <v>keep</v>
      </c>
      <c r="K1011" s="134" t="str">
        <f t="shared" si="117"/>
        <v>R19</v>
      </c>
      <c r="L1011" s="134" t="str">
        <f t="shared" si="118"/>
        <v>R11</v>
      </c>
      <c r="M1011" s="146" t="str">
        <f t="shared" ref="M1011:M1074" si="121">IF(OR(C1011=4,C1011=3),"Basement",IF(C1011=2,"Slab",IF(H1011&gt;$D$10,$C$10,IF(H1011&gt;$D$11,$C$11,"Better"))))</f>
        <v>Basement</v>
      </c>
      <c r="N1011" s="146" t="str">
        <f t="shared" ref="N1011:N1074" si="122">IF(F1011&gt;$D$13,$C$13,IF(F1011&gt;$D$14,$C$14,"Better"))</f>
        <v>Better</v>
      </c>
      <c r="O1011" s="146" t="str">
        <f t="shared" si="119"/>
        <v>Heat PumpR19R11BasementBetter</v>
      </c>
      <c r="P1011" s="134" t="str">
        <f t="shared" si="120"/>
        <v>Basement</v>
      </c>
      <c r="Q1011" s="134"/>
      <c r="R1011" s="134"/>
      <c r="S1011" s="134"/>
      <c r="T1011" s="134"/>
      <c r="U1011" s="134"/>
      <c r="V1011" s="134"/>
      <c r="W1011" s="134"/>
      <c r="X1011" s="134"/>
      <c r="Y1011" s="134"/>
      <c r="Z1011" s="134"/>
      <c r="AA1011" s="134"/>
      <c r="AB1011" s="134"/>
      <c r="AC1011" s="134"/>
      <c r="AD1011" s="134"/>
      <c r="AE1011" s="134"/>
      <c r="AF1011" s="146"/>
      <c r="AG1011" s="134"/>
      <c r="AH1011" s="134"/>
      <c r="AI1011" s="134"/>
      <c r="AJ1011" s="134"/>
      <c r="AK1011" s="134"/>
      <c r="AL1011" s="134"/>
      <c r="AM1011" s="146"/>
      <c r="AN1011" s="132"/>
      <c r="AO1011" s="132"/>
      <c r="AP1011" s="132"/>
      <c r="AQ1011" s="132"/>
      <c r="AR1011" s="134"/>
      <c r="AS1011" s="134"/>
      <c r="AT1011" s="132"/>
      <c r="AU1011" s="133"/>
      <c r="AV1011" s="134"/>
    </row>
    <row r="1012" spans="1:48">
      <c r="A1012" s="74">
        <v>20778</v>
      </c>
      <c r="B1012" s="74" t="s">
        <v>228</v>
      </c>
      <c r="C1012" s="74">
        <v>1</v>
      </c>
      <c r="D1012" s="74">
        <v>2465</v>
      </c>
      <c r="E1012" s="73">
        <v>7.9999998211860657E-2</v>
      </c>
      <c r="F1012" s="73">
        <v>0.83707664845886498</v>
      </c>
      <c r="G1012" s="73">
        <v>7.240990866445475E-2</v>
      </c>
      <c r="H1012" s="73">
        <v>0.23000000417232513</v>
      </c>
      <c r="I1012" s="190">
        <v>1144.6790000000001</v>
      </c>
      <c r="J1012" s="134" t="str">
        <f t="shared" ref="J1012:J1075" si="123">IF(OR(C1012="FLAG",ISERROR(PRODUCT(D1012:H1012))),"ignore","keep")</f>
        <v>keep</v>
      </c>
      <c r="K1012" s="134" t="str">
        <f t="shared" ref="K1012:K1075" si="124">IF(E1012&gt;$D$3,$C$3,IF(E1012&gt;$D$4,$C$4,IF(E1012&gt;$D$5,$C$5,IF(E1012&gt;$D$6,$C$6,IF(E1012&gt;$D$7,$C$7,"R38")))))</f>
        <v>R19</v>
      </c>
      <c r="L1012" s="134" t="str">
        <f t="shared" ref="L1012:L1075" si="125">IF(G1012&gt;$D$8,$C$8,"R11")</f>
        <v>R11</v>
      </c>
      <c r="M1012" s="146" t="str">
        <f t="shared" si="121"/>
        <v>R0</v>
      </c>
      <c r="N1012" s="146" t="str">
        <f t="shared" si="122"/>
        <v>Double</v>
      </c>
      <c r="O1012" s="146" t="str">
        <f t="shared" ref="O1012:O1075" si="126">B1012&amp;K1012&amp;L1012&amp;M1012&amp;N1012</f>
        <v>Electric ZonalR19R11R0Double</v>
      </c>
      <c r="P1012" s="134" t="str">
        <f t="shared" ref="P1012:P1075" si="127">IF(C1012=1,"Crawlspace",IF(C1012=2,"Slab",IF(OR(C1012=3,C1012=4),"Basement","error")))</f>
        <v>Crawlspace</v>
      </c>
      <c r="Q1012" s="134"/>
      <c r="R1012" s="134"/>
      <c r="S1012" s="134"/>
      <c r="T1012" s="134"/>
      <c r="U1012" s="134"/>
      <c r="V1012" s="134"/>
      <c r="W1012" s="134"/>
      <c r="X1012" s="134"/>
      <c r="Y1012" s="134"/>
      <c r="Z1012" s="134"/>
      <c r="AA1012" s="134"/>
      <c r="AB1012" s="134"/>
      <c r="AC1012" s="134"/>
      <c r="AD1012" s="134"/>
      <c r="AE1012" s="134"/>
      <c r="AF1012" s="146"/>
      <c r="AG1012" s="134"/>
      <c r="AH1012" s="134"/>
      <c r="AI1012" s="134"/>
      <c r="AJ1012" s="134"/>
      <c r="AK1012" s="134"/>
      <c r="AL1012" s="134"/>
      <c r="AM1012" s="146"/>
      <c r="AN1012" s="132"/>
      <c r="AO1012" s="132"/>
      <c r="AP1012" s="132"/>
      <c r="AQ1012" s="132"/>
      <c r="AR1012" s="134"/>
      <c r="AS1012" s="134"/>
      <c r="AT1012" s="132"/>
      <c r="AU1012" s="133"/>
      <c r="AV1012" s="134"/>
    </row>
    <row r="1013" spans="1:48">
      <c r="A1013" s="74">
        <v>20783</v>
      </c>
      <c r="B1013" s="74" t="s">
        <v>227</v>
      </c>
      <c r="C1013" s="74">
        <v>1</v>
      </c>
      <c r="D1013" s="74">
        <v>1380</v>
      </c>
      <c r="E1013" s="73">
        <v>0.17000000178813934</v>
      </c>
      <c r="F1013" s="73">
        <v>0.75</v>
      </c>
      <c r="G1013" s="73">
        <v>0.23000000417232516</v>
      </c>
      <c r="H1013" s="73">
        <v>0.23000000417232513</v>
      </c>
      <c r="I1013" s="190">
        <v>1144.6790000000001</v>
      </c>
      <c r="J1013" s="134" t="str">
        <f t="shared" si="123"/>
        <v>keep</v>
      </c>
      <c r="K1013" s="134" t="str">
        <f t="shared" si="124"/>
        <v>R0</v>
      </c>
      <c r="L1013" s="134" t="str">
        <f t="shared" si="125"/>
        <v>R0</v>
      </c>
      <c r="M1013" s="146" t="str">
        <f t="shared" si="121"/>
        <v>R0</v>
      </c>
      <c r="N1013" s="146" t="str">
        <f t="shared" si="122"/>
        <v>Better</v>
      </c>
      <c r="O1013" s="146" t="str">
        <f t="shared" si="126"/>
        <v>Electric FAFR0R0R0Better</v>
      </c>
      <c r="P1013" s="134" t="str">
        <f t="shared" si="127"/>
        <v>Crawlspace</v>
      </c>
      <c r="Q1013" s="134"/>
      <c r="R1013" s="134"/>
      <c r="S1013" s="134"/>
      <c r="T1013" s="134"/>
      <c r="U1013" s="134"/>
      <c r="V1013" s="134"/>
      <c r="W1013" s="134"/>
      <c r="X1013" s="134"/>
      <c r="Y1013" s="134"/>
      <c r="Z1013" s="134"/>
      <c r="AA1013" s="134"/>
      <c r="AB1013" s="134"/>
      <c r="AC1013" s="134"/>
      <c r="AD1013" s="134"/>
      <c r="AE1013" s="134"/>
      <c r="AF1013" s="146"/>
      <c r="AG1013" s="134"/>
      <c r="AH1013" s="134"/>
      <c r="AI1013" s="134"/>
      <c r="AJ1013" s="134"/>
      <c r="AK1013" s="134"/>
      <c r="AL1013" s="134"/>
      <c r="AM1013" s="146"/>
      <c r="AN1013" s="132"/>
      <c r="AO1013" s="132"/>
      <c r="AP1013" s="132"/>
      <c r="AQ1013" s="132"/>
      <c r="AR1013" s="134"/>
      <c r="AS1013" s="134"/>
      <c r="AT1013" s="132"/>
      <c r="AU1013" s="133"/>
      <c r="AV1013" s="134"/>
    </row>
    <row r="1014" spans="1:48">
      <c r="A1014" s="74">
        <v>20792</v>
      </c>
      <c r="B1014" s="74" t="s">
        <v>228</v>
      </c>
      <c r="C1014" s="74">
        <v>3</v>
      </c>
      <c r="D1014" s="74">
        <v>1222</v>
      </c>
      <c r="E1014" s="73">
        <v>7.9999998211860657E-2</v>
      </c>
      <c r="F1014" s="73">
        <v>0.75</v>
      </c>
      <c r="G1014" s="73">
        <v>9.0000003576278687E-2</v>
      </c>
      <c r="H1014" s="73">
        <v>0.10000000149011612</v>
      </c>
      <c r="I1014" s="190">
        <v>1192.4649999999999</v>
      </c>
      <c r="J1014" s="134" t="str">
        <f t="shared" si="123"/>
        <v>keep</v>
      </c>
      <c r="K1014" s="134" t="str">
        <f t="shared" si="124"/>
        <v>R19</v>
      </c>
      <c r="L1014" s="134" t="str">
        <f t="shared" si="125"/>
        <v>R11</v>
      </c>
      <c r="M1014" s="146" t="str">
        <f t="shared" si="121"/>
        <v>Basement</v>
      </c>
      <c r="N1014" s="146" t="str">
        <f t="shared" si="122"/>
        <v>Better</v>
      </c>
      <c r="O1014" s="146" t="str">
        <f t="shared" si="126"/>
        <v>Electric ZonalR19R11BasementBetter</v>
      </c>
      <c r="P1014" s="134" t="str">
        <f t="shared" si="127"/>
        <v>Basement</v>
      </c>
      <c r="Q1014" s="134"/>
      <c r="R1014" s="134"/>
      <c r="S1014" s="134"/>
      <c r="T1014" s="134"/>
      <c r="U1014" s="134"/>
      <c r="V1014" s="134"/>
      <c r="W1014" s="134"/>
      <c r="X1014" s="134"/>
      <c r="Y1014" s="134"/>
      <c r="Z1014" s="134"/>
      <c r="AA1014" s="134"/>
      <c r="AB1014" s="134"/>
      <c r="AC1014" s="134"/>
      <c r="AD1014" s="134"/>
      <c r="AE1014" s="134"/>
      <c r="AF1014" s="146"/>
      <c r="AG1014" s="134"/>
      <c r="AH1014" s="134"/>
      <c r="AI1014" s="134"/>
      <c r="AJ1014" s="134"/>
      <c r="AK1014" s="134"/>
      <c r="AL1014" s="134"/>
      <c r="AM1014" s="146"/>
      <c r="AN1014" s="132"/>
      <c r="AO1014" s="132"/>
      <c r="AP1014" s="132"/>
      <c r="AQ1014" s="132"/>
      <c r="AR1014" s="134"/>
      <c r="AS1014" s="134"/>
      <c r="AT1014" s="132"/>
      <c r="AU1014" s="133"/>
      <c r="AV1014" s="134"/>
    </row>
    <row r="1015" spans="1:48">
      <c r="A1015" s="74">
        <v>20809</v>
      </c>
      <c r="B1015" s="74" t="s">
        <v>228</v>
      </c>
      <c r="C1015" s="74">
        <v>1</v>
      </c>
      <c r="D1015" s="74">
        <v>1200</v>
      </c>
      <c r="E1015" s="73">
        <v>0.17000000178813934</v>
      </c>
      <c r="F1015" s="73">
        <v>0.85000002384185791</v>
      </c>
      <c r="G1015" s="73">
        <v>0.23400000000000004</v>
      </c>
      <c r="H1015" s="73">
        <v>0.23000000417232513</v>
      </c>
      <c r="I1015" s="190">
        <v>1192.4649999999999</v>
      </c>
      <c r="J1015" s="134" t="str">
        <f t="shared" si="123"/>
        <v>keep</v>
      </c>
      <c r="K1015" s="134" t="str">
        <f t="shared" si="124"/>
        <v>R0</v>
      </c>
      <c r="L1015" s="134" t="str">
        <f t="shared" si="125"/>
        <v>R0</v>
      </c>
      <c r="M1015" s="146" t="str">
        <f t="shared" si="121"/>
        <v>R0</v>
      </c>
      <c r="N1015" s="146" t="str">
        <f t="shared" si="122"/>
        <v>Double</v>
      </c>
      <c r="O1015" s="146" t="str">
        <f t="shared" si="126"/>
        <v>Electric ZonalR0R0R0Double</v>
      </c>
      <c r="P1015" s="134" t="str">
        <f t="shared" si="127"/>
        <v>Crawlspace</v>
      </c>
      <c r="Q1015" s="134"/>
      <c r="R1015" s="134"/>
      <c r="S1015" s="134"/>
      <c r="T1015" s="134"/>
      <c r="U1015" s="134"/>
      <c r="V1015" s="134"/>
      <c r="W1015" s="134"/>
      <c r="X1015" s="134"/>
      <c r="Y1015" s="134"/>
      <c r="Z1015" s="134"/>
      <c r="AA1015" s="134"/>
      <c r="AB1015" s="134"/>
      <c r="AC1015" s="134"/>
      <c r="AD1015" s="134"/>
      <c r="AE1015" s="134"/>
      <c r="AF1015" s="146"/>
      <c r="AG1015" s="134"/>
      <c r="AH1015" s="134"/>
      <c r="AI1015" s="134"/>
      <c r="AJ1015" s="134"/>
      <c r="AK1015" s="134"/>
      <c r="AL1015" s="134"/>
      <c r="AM1015" s="146"/>
      <c r="AN1015" s="132"/>
      <c r="AO1015" s="132"/>
      <c r="AP1015" s="132"/>
      <c r="AQ1015" s="132"/>
      <c r="AR1015" s="134"/>
      <c r="AS1015" s="134"/>
      <c r="AT1015" s="132"/>
      <c r="AU1015" s="133"/>
      <c r="AV1015" s="134"/>
    </row>
    <row r="1016" spans="1:48">
      <c r="A1016" s="74">
        <v>20814</v>
      </c>
      <c r="B1016" s="74" t="s">
        <v>228</v>
      </c>
      <c r="C1016" s="74">
        <v>1</v>
      </c>
      <c r="D1016" s="74">
        <v>1050</v>
      </c>
      <c r="E1016" s="73">
        <v>0.15000000596046448</v>
      </c>
      <c r="F1016" s="73">
        <v>0.60000002384185791</v>
      </c>
      <c r="G1016" s="73">
        <v>9.0000003576278687E-2</v>
      </c>
      <c r="H1016" s="73">
        <v>9.0000003576278687E-2</v>
      </c>
      <c r="I1016" s="190">
        <v>2079.9929999999999</v>
      </c>
      <c r="J1016" s="134" t="str">
        <f t="shared" si="123"/>
        <v>keep</v>
      </c>
      <c r="K1016" s="134" t="str">
        <f t="shared" si="124"/>
        <v>R0</v>
      </c>
      <c r="L1016" s="134" t="str">
        <f t="shared" si="125"/>
        <v>R11</v>
      </c>
      <c r="M1016" s="146" t="str">
        <f t="shared" si="121"/>
        <v>R0</v>
      </c>
      <c r="N1016" s="146" t="str">
        <f t="shared" si="122"/>
        <v>Better</v>
      </c>
      <c r="O1016" s="146" t="str">
        <f t="shared" si="126"/>
        <v>Electric ZonalR0R11R0Better</v>
      </c>
      <c r="P1016" s="134" t="str">
        <f t="shared" si="127"/>
        <v>Crawlspace</v>
      </c>
      <c r="Q1016" s="134"/>
      <c r="R1016" s="134"/>
      <c r="S1016" s="134"/>
      <c r="T1016" s="134"/>
      <c r="U1016" s="134"/>
      <c r="V1016" s="134"/>
      <c r="W1016" s="134"/>
      <c r="X1016" s="134"/>
      <c r="Y1016" s="134"/>
      <c r="Z1016" s="134"/>
      <c r="AA1016" s="134"/>
      <c r="AB1016" s="134"/>
      <c r="AC1016" s="134"/>
      <c r="AD1016" s="134"/>
      <c r="AE1016" s="134"/>
      <c r="AF1016" s="146"/>
      <c r="AG1016" s="134"/>
      <c r="AH1016" s="134"/>
      <c r="AI1016" s="134"/>
      <c r="AJ1016" s="134"/>
      <c r="AK1016" s="134"/>
      <c r="AL1016" s="134"/>
      <c r="AM1016" s="146"/>
      <c r="AN1016" s="132"/>
      <c r="AO1016" s="132"/>
      <c r="AP1016" s="132"/>
      <c r="AQ1016" s="132"/>
      <c r="AR1016" s="134"/>
      <c r="AS1016" s="134"/>
      <c r="AT1016" s="132"/>
      <c r="AU1016" s="133"/>
      <c r="AV1016" s="134"/>
    </row>
    <row r="1017" spans="1:48">
      <c r="A1017" s="74">
        <v>20853</v>
      </c>
      <c r="B1017" s="74" t="s">
        <v>229</v>
      </c>
      <c r="C1017" s="74">
        <v>1</v>
      </c>
      <c r="D1017" s="74">
        <v>2413</v>
      </c>
      <c r="E1017" s="73">
        <v>0.13660582987449518</v>
      </c>
      <c r="F1017" s="73">
        <v>0.71069868839463812</v>
      </c>
      <c r="G1017" s="73">
        <v>7.9999998211860657E-2</v>
      </c>
      <c r="H1017" s="73">
        <v>4.5000001788139343E-2</v>
      </c>
      <c r="I1017" s="190">
        <v>1612.692</v>
      </c>
      <c r="J1017" s="134" t="str">
        <f t="shared" si="123"/>
        <v>keep</v>
      </c>
      <c r="K1017" s="134" t="str">
        <f t="shared" si="124"/>
        <v>R11</v>
      </c>
      <c r="L1017" s="134" t="str">
        <f t="shared" si="125"/>
        <v>R11</v>
      </c>
      <c r="M1017" s="146" t="str">
        <f t="shared" si="121"/>
        <v>Better</v>
      </c>
      <c r="N1017" s="146" t="str">
        <f t="shared" si="122"/>
        <v>Better</v>
      </c>
      <c r="O1017" s="146" t="str">
        <f t="shared" si="126"/>
        <v>Heat PumpR11R11BetterBetter</v>
      </c>
      <c r="P1017" s="134" t="str">
        <f t="shared" si="127"/>
        <v>Crawlspace</v>
      </c>
      <c r="Q1017" s="134"/>
      <c r="R1017" s="134"/>
      <c r="S1017" s="134"/>
      <c r="T1017" s="134"/>
      <c r="U1017" s="134"/>
      <c r="V1017" s="134"/>
      <c r="W1017" s="134"/>
      <c r="X1017" s="134"/>
      <c r="Y1017" s="134"/>
      <c r="Z1017" s="134"/>
      <c r="AA1017" s="134"/>
      <c r="AB1017" s="134"/>
      <c r="AC1017" s="134"/>
      <c r="AD1017" s="134"/>
      <c r="AE1017" s="134"/>
      <c r="AF1017" s="146"/>
      <c r="AG1017" s="134"/>
      <c r="AH1017" s="134"/>
      <c r="AI1017" s="134"/>
      <c r="AJ1017" s="134"/>
      <c r="AK1017" s="134"/>
      <c r="AL1017" s="134"/>
      <c r="AM1017" s="146"/>
      <c r="AN1017" s="132"/>
      <c r="AO1017" s="132"/>
      <c r="AP1017" s="132"/>
      <c r="AQ1017" s="132"/>
      <c r="AR1017" s="134"/>
      <c r="AS1017" s="134"/>
      <c r="AT1017" s="132"/>
      <c r="AU1017" s="133"/>
      <c r="AV1017" s="134"/>
    </row>
    <row r="1018" spans="1:48">
      <c r="A1018" s="74">
        <v>20859</v>
      </c>
      <c r="B1018" s="74" t="s">
        <v>228</v>
      </c>
      <c r="C1018" s="74">
        <v>1</v>
      </c>
      <c r="D1018" s="74">
        <v>1150</v>
      </c>
      <c r="E1018" s="73">
        <v>2.500000037252903E-2</v>
      </c>
      <c r="F1018" s="73">
        <v>0.55000001192092896</v>
      </c>
      <c r="G1018" s="73">
        <v>7.9999998211860657E-2</v>
      </c>
      <c r="H1018" s="73">
        <v>2.9999999329447746E-2</v>
      </c>
      <c r="I1018" s="190">
        <v>2079.9929999999999</v>
      </c>
      <c r="J1018" s="134" t="str">
        <f t="shared" si="123"/>
        <v>keep</v>
      </c>
      <c r="K1018" s="134" t="str">
        <f t="shared" si="124"/>
        <v>R38</v>
      </c>
      <c r="L1018" s="134" t="str">
        <f t="shared" si="125"/>
        <v>R11</v>
      </c>
      <c r="M1018" s="146" t="str">
        <f t="shared" si="121"/>
        <v>Better</v>
      </c>
      <c r="N1018" s="146" t="str">
        <f t="shared" si="122"/>
        <v>Better</v>
      </c>
      <c r="O1018" s="146" t="str">
        <f t="shared" si="126"/>
        <v>Electric ZonalR38R11BetterBetter</v>
      </c>
      <c r="P1018" s="134" t="str">
        <f t="shared" si="127"/>
        <v>Crawlspace</v>
      </c>
      <c r="Q1018" s="134"/>
      <c r="R1018" s="134"/>
      <c r="S1018" s="134"/>
      <c r="T1018" s="134"/>
      <c r="U1018" s="134"/>
      <c r="V1018" s="134"/>
      <c r="W1018" s="134"/>
      <c r="X1018" s="134"/>
      <c r="Y1018" s="134"/>
      <c r="Z1018" s="134"/>
      <c r="AA1018" s="134"/>
      <c r="AB1018" s="134"/>
      <c r="AC1018" s="134"/>
      <c r="AD1018" s="134"/>
      <c r="AE1018" s="134"/>
      <c r="AF1018" s="146"/>
      <c r="AG1018" s="134"/>
      <c r="AH1018" s="134"/>
      <c r="AI1018" s="134"/>
      <c r="AJ1018" s="134"/>
      <c r="AK1018" s="134"/>
      <c r="AL1018" s="134"/>
      <c r="AM1018" s="146"/>
      <c r="AN1018" s="132"/>
      <c r="AO1018" s="132"/>
      <c r="AP1018" s="132"/>
      <c r="AQ1018" s="132"/>
      <c r="AR1018" s="134"/>
      <c r="AS1018" s="134"/>
      <c r="AT1018" s="132"/>
      <c r="AU1018" s="133"/>
      <c r="AV1018" s="134"/>
    </row>
    <row r="1019" spans="1:48">
      <c r="A1019" s="74">
        <v>20878</v>
      </c>
      <c r="B1019" s="74" t="s">
        <v>227</v>
      </c>
      <c r="C1019" s="74">
        <v>1</v>
      </c>
      <c r="D1019" s="74">
        <v>1632</v>
      </c>
      <c r="E1019" s="73">
        <v>4.5000001788139343E-2</v>
      </c>
      <c r="F1019" s="73">
        <v>0.75</v>
      </c>
      <c r="G1019" s="73">
        <v>0.11999999731779099</v>
      </c>
      <c r="H1019" s="73">
        <v>0.23000000417232513</v>
      </c>
      <c r="I1019" s="190">
        <v>1904.288</v>
      </c>
      <c r="J1019" s="134" t="str">
        <f t="shared" si="123"/>
        <v>keep</v>
      </c>
      <c r="K1019" s="134" t="str">
        <f t="shared" si="124"/>
        <v>R30</v>
      </c>
      <c r="L1019" s="134" t="str">
        <f t="shared" si="125"/>
        <v>R11</v>
      </c>
      <c r="M1019" s="146" t="str">
        <f t="shared" si="121"/>
        <v>R0</v>
      </c>
      <c r="N1019" s="146" t="str">
        <f t="shared" si="122"/>
        <v>Better</v>
      </c>
      <c r="O1019" s="146" t="str">
        <f t="shared" si="126"/>
        <v>Electric FAFR30R11R0Better</v>
      </c>
      <c r="P1019" s="134" t="str">
        <f t="shared" si="127"/>
        <v>Crawlspace</v>
      </c>
      <c r="Q1019" s="134"/>
      <c r="R1019" s="134"/>
      <c r="S1019" s="134"/>
      <c r="T1019" s="134"/>
      <c r="U1019" s="134"/>
      <c r="V1019" s="134"/>
      <c r="W1019" s="134"/>
      <c r="X1019" s="134"/>
      <c r="Y1019" s="134"/>
      <c r="Z1019" s="134"/>
      <c r="AA1019" s="134"/>
      <c r="AB1019" s="134"/>
      <c r="AC1019" s="134"/>
      <c r="AD1019" s="134"/>
      <c r="AE1019" s="134"/>
      <c r="AF1019" s="146"/>
      <c r="AG1019" s="134"/>
      <c r="AH1019" s="134"/>
      <c r="AI1019" s="134"/>
      <c r="AJ1019" s="134"/>
      <c r="AK1019" s="134"/>
      <c r="AL1019" s="134"/>
      <c r="AM1019" s="146"/>
      <c r="AN1019" s="132"/>
      <c r="AO1019" s="132"/>
      <c r="AP1019" s="132"/>
      <c r="AQ1019" s="132"/>
      <c r="AR1019" s="134"/>
      <c r="AS1019" s="134"/>
      <c r="AT1019" s="132"/>
      <c r="AU1019" s="133"/>
      <c r="AV1019" s="134"/>
    </row>
    <row r="1020" spans="1:48">
      <c r="A1020" s="74">
        <v>20894</v>
      </c>
      <c r="B1020" s="74" t="s">
        <v>228</v>
      </c>
      <c r="C1020" s="74">
        <v>1</v>
      </c>
      <c r="D1020" s="74">
        <v>735</v>
      </c>
      <c r="E1020" s="73">
        <v>5.000000074505806E-2</v>
      </c>
      <c r="F1020" s="73">
        <v>0.58888888248690852</v>
      </c>
      <c r="G1020" s="73">
        <v>0.23400000000000001</v>
      </c>
      <c r="H1020" s="73">
        <v>4.5000001788139343E-2</v>
      </c>
      <c r="I1020" s="190">
        <v>2079.9929999999999</v>
      </c>
      <c r="J1020" s="134" t="str">
        <f t="shared" si="123"/>
        <v>keep</v>
      </c>
      <c r="K1020" s="134" t="str">
        <f t="shared" si="124"/>
        <v>R30</v>
      </c>
      <c r="L1020" s="134" t="str">
        <f t="shared" si="125"/>
        <v>R0</v>
      </c>
      <c r="M1020" s="146" t="str">
        <f t="shared" si="121"/>
        <v>Better</v>
      </c>
      <c r="N1020" s="146" t="str">
        <f t="shared" si="122"/>
        <v>Better</v>
      </c>
      <c r="O1020" s="146" t="str">
        <f t="shared" si="126"/>
        <v>Electric ZonalR30R0BetterBetter</v>
      </c>
      <c r="P1020" s="134" t="str">
        <f t="shared" si="127"/>
        <v>Crawlspace</v>
      </c>
      <c r="Q1020" s="134"/>
      <c r="R1020" s="134"/>
      <c r="S1020" s="134"/>
      <c r="T1020" s="134"/>
      <c r="U1020" s="134"/>
      <c r="V1020" s="134"/>
      <c r="W1020" s="134"/>
      <c r="X1020" s="134"/>
      <c r="Y1020" s="134"/>
      <c r="Z1020" s="134"/>
      <c r="AA1020" s="134"/>
      <c r="AB1020" s="134"/>
      <c r="AC1020" s="134"/>
      <c r="AD1020" s="134"/>
      <c r="AE1020" s="134"/>
      <c r="AF1020" s="146"/>
      <c r="AG1020" s="134"/>
      <c r="AH1020" s="134"/>
      <c r="AI1020" s="134"/>
      <c r="AJ1020" s="134"/>
      <c r="AK1020" s="134"/>
      <c r="AL1020" s="134"/>
      <c r="AM1020" s="146"/>
      <c r="AN1020" s="132"/>
      <c r="AO1020" s="132"/>
      <c r="AP1020" s="132"/>
      <c r="AQ1020" s="132"/>
      <c r="AR1020" s="134"/>
      <c r="AS1020" s="134"/>
      <c r="AT1020" s="132"/>
      <c r="AU1020" s="133"/>
      <c r="AV1020" s="134"/>
    </row>
    <row r="1021" spans="1:48">
      <c r="A1021" s="74">
        <v>20895</v>
      </c>
      <c r="B1021" s="74" t="s">
        <v>228</v>
      </c>
      <c r="C1021" s="74">
        <v>1</v>
      </c>
      <c r="D1021" s="74">
        <v>1192</v>
      </c>
      <c r="E1021" s="73">
        <v>2.500000037252903E-2</v>
      </c>
      <c r="F1021" s="73">
        <v>0.60000002384185791</v>
      </c>
      <c r="G1021" s="73">
        <v>9.0000003576278687E-2</v>
      </c>
      <c r="H1021" s="73">
        <v>6.4999997615814209E-2</v>
      </c>
      <c r="I1021" s="190">
        <v>1612.692</v>
      </c>
      <c r="J1021" s="134" t="str">
        <f t="shared" si="123"/>
        <v>keep</v>
      </c>
      <c r="K1021" s="134" t="str">
        <f t="shared" si="124"/>
        <v>R38</v>
      </c>
      <c r="L1021" s="134" t="str">
        <f t="shared" si="125"/>
        <v>R11</v>
      </c>
      <c r="M1021" s="146" t="str">
        <f t="shared" si="121"/>
        <v>R19</v>
      </c>
      <c r="N1021" s="146" t="str">
        <f t="shared" si="122"/>
        <v>Better</v>
      </c>
      <c r="O1021" s="146" t="str">
        <f t="shared" si="126"/>
        <v>Electric ZonalR38R11R19Better</v>
      </c>
      <c r="P1021" s="134" t="str">
        <f t="shared" si="127"/>
        <v>Crawlspace</v>
      </c>
      <c r="Q1021" s="134"/>
      <c r="R1021" s="134"/>
      <c r="S1021" s="134"/>
      <c r="T1021" s="134"/>
      <c r="U1021" s="134"/>
      <c r="V1021" s="134"/>
      <c r="W1021" s="134"/>
      <c r="X1021" s="134"/>
      <c r="Y1021" s="134"/>
      <c r="Z1021" s="134"/>
      <c r="AA1021" s="134"/>
      <c r="AB1021" s="134"/>
      <c r="AC1021" s="134"/>
      <c r="AD1021" s="134"/>
      <c r="AE1021" s="134"/>
      <c r="AF1021" s="146"/>
      <c r="AG1021" s="134"/>
      <c r="AH1021" s="134"/>
      <c r="AI1021" s="134"/>
      <c r="AJ1021" s="134"/>
      <c r="AK1021" s="134"/>
      <c r="AL1021" s="134"/>
      <c r="AM1021" s="146"/>
      <c r="AN1021" s="132"/>
      <c r="AO1021" s="132"/>
      <c r="AP1021" s="132"/>
      <c r="AQ1021" s="132"/>
      <c r="AR1021" s="134"/>
      <c r="AS1021" s="134"/>
      <c r="AT1021" s="132"/>
      <c r="AU1021" s="133"/>
      <c r="AV1021" s="134"/>
    </row>
    <row r="1022" spans="1:48">
      <c r="A1022" s="74">
        <v>20920</v>
      </c>
      <c r="B1022" s="74" t="s">
        <v>228</v>
      </c>
      <c r="C1022" s="74">
        <v>1</v>
      </c>
      <c r="D1022" s="74">
        <v>1410</v>
      </c>
      <c r="E1022" s="73">
        <v>5.000000074505806E-2</v>
      </c>
      <c r="F1022" s="73">
        <v>0.93693182820623566</v>
      </c>
      <c r="G1022" s="73">
        <v>9.0000003576278687E-2</v>
      </c>
      <c r="H1022" s="73">
        <v>3.5000000149011612E-2</v>
      </c>
      <c r="I1022" s="190">
        <v>2079.9929999999999</v>
      </c>
      <c r="J1022" s="134" t="str">
        <f t="shared" si="123"/>
        <v>keep</v>
      </c>
      <c r="K1022" s="134" t="str">
        <f t="shared" si="124"/>
        <v>R30</v>
      </c>
      <c r="L1022" s="134" t="str">
        <f t="shared" si="125"/>
        <v>R11</v>
      </c>
      <c r="M1022" s="146" t="str">
        <f t="shared" si="121"/>
        <v>Better</v>
      </c>
      <c r="N1022" s="146" t="str">
        <f t="shared" si="122"/>
        <v>Double</v>
      </c>
      <c r="O1022" s="146" t="str">
        <f t="shared" si="126"/>
        <v>Electric ZonalR30R11BetterDouble</v>
      </c>
      <c r="P1022" s="134" t="str">
        <f t="shared" si="127"/>
        <v>Crawlspace</v>
      </c>
      <c r="Q1022" s="134"/>
      <c r="R1022" s="134"/>
      <c r="S1022" s="134"/>
      <c r="T1022" s="134"/>
      <c r="U1022" s="134"/>
      <c r="V1022" s="134"/>
      <c r="W1022" s="134"/>
      <c r="X1022" s="134"/>
      <c r="Y1022" s="134"/>
      <c r="Z1022" s="134"/>
      <c r="AA1022" s="134"/>
      <c r="AB1022" s="134"/>
      <c r="AC1022" s="134"/>
      <c r="AD1022" s="134"/>
      <c r="AE1022" s="134"/>
      <c r="AF1022" s="146"/>
      <c r="AG1022" s="134"/>
      <c r="AH1022" s="134"/>
      <c r="AI1022" s="134"/>
      <c r="AJ1022" s="134"/>
      <c r="AK1022" s="134"/>
      <c r="AL1022" s="134"/>
      <c r="AM1022" s="146"/>
      <c r="AN1022" s="132"/>
      <c r="AO1022" s="132"/>
      <c r="AP1022" s="132"/>
      <c r="AQ1022" s="132"/>
      <c r="AR1022" s="134"/>
      <c r="AS1022" s="134"/>
      <c r="AT1022" s="132"/>
      <c r="AU1022" s="133"/>
      <c r="AV1022" s="134"/>
    </row>
    <row r="1023" spans="1:48">
      <c r="A1023" s="74">
        <v>20930</v>
      </c>
      <c r="B1023" s="74" t="s">
        <v>229</v>
      </c>
      <c r="C1023" s="74" t="s">
        <v>673</v>
      </c>
      <c r="D1023" s="74">
        <v>4130</v>
      </c>
      <c r="E1023" s="73">
        <v>0.14499999582767487</v>
      </c>
      <c r="F1023" s="73">
        <v>0.56082252532372745</v>
      </c>
      <c r="G1023" s="73">
        <v>0.12999999523162842</v>
      </c>
      <c r="H1023" s="73">
        <v>0.23000000417232513</v>
      </c>
      <c r="I1023" s="190">
        <v>1904.288</v>
      </c>
      <c r="J1023" s="134" t="str">
        <f t="shared" si="123"/>
        <v>ignore</v>
      </c>
      <c r="K1023" s="134" t="str">
        <f t="shared" si="124"/>
        <v>R11</v>
      </c>
      <c r="L1023" s="134" t="str">
        <f t="shared" si="125"/>
        <v>R11</v>
      </c>
      <c r="M1023" s="146" t="str">
        <f t="shared" si="121"/>
        <v>R0</v>
      </c>
      <c r="N1023" s="146" t="str">
        <f t="shared" si="122"/>
        <v>Better</v>
      </c>
      <c r="O1023" s="146" t="str">
        <f t="shared" si="126"/>
        <v>Heat PumpR11R11R0Better</v>
      </c>
      <c r="P1023" s="134" t="str">
        <f t="shared" si="127"/>
        <v>error</v>
      </c>
      <c r="Q1023" s="134"/>
      <c r="R1023" s="134"/>
      <c r="S1023" s="134"/>
      <c r="T1023" s="134"/>
      <c r="U1023" s="134"/>
      <c r="V1023" s="134"/>
      <c r="W1023" s="134"/>
      <c r="X1023" s="134"/>
      <c r="Y1023" s="134"/>
      <c r="Z1023" s="134"/>
      <c r="AA1023" s="134"/>
      <c r="AB1023" s="134"/>
      <c r="AC1023" s="134"/>
      <c r="AD1023" s="134"/>
      <c r="AE1023" s="134"/>
      <c r="AF1023" s="146"/>
      <c r="AG1023" s="134"/>
      <c r="AH1023" s="134"/>
      <c r="AI1023" s="134"/>
      <c r="AJ1023" s="134"/>
      <c r="AK1023" s="134"/>
      <c r="AL1023" s="134"/>
      <c r="AM1023" s="146"/>
      <c r="AN1023" s="132"/>
      <c r="AO1023" s="132"/>
      <c r="AP1023" s="132"/>
      <c r="AQ1023" s="132"/>
      <c r="AR1023" s="134"/>
      <c r="AS1023" s="134"/>
      <c r="AT1023" s="132"/>
      <c r="AU1023" s="133"/>
      <c r="AV1023" s="134"/>
    </row>
    <row r="1024" spans="1:48">
      <c r="A1024" s="74">
        <v>20958</v>
      </c>
      <c r="B1024" s="74" t="s">
        <v>229</v>
      </c>
      <c r="C1024" s="74">
        <v>1</v>
      </c>
      <c r="D1024" s="74">
        <v>2400</v>
      </c>
      <c r="E1024" s="73">
        <v>5.0000001676380634E-2</v>
      </c>
      <c r="F1024" s="73">
        <v>0.44999998807907104</v>
      </c>
      <c r="G1024" s="73">
        <v>4.5000001788139343E-2</v>
      </c>
      <c r="H1024" s="73">
        <v>0.23000000417232513</v>
      </c>
      <c r="I1024" s="190">
        <v>1192.4649999999999</v>
      </c>
      <c r="J1024" s="134" t="str">
        <f t="shared" si="123"/>
        <v>keep</v>
      </c>
      <c r="K1024" s="134" t="str">
        <f t="shared" si="124"/>
        <v>R30</v>
      </c>
      <c r="L1024" s="134" t="str">
        <f t="shared" si="125"/>
        <v>R11</v>
      </c>
      <c r="M1024" s="146" t="str">
        <f t="shared" si="121"/>
        <v>R0</v>
      </c>
      <c r="N1024" s="146" t="str">
        <f t="shared" si="122"/>
        <v>Better</v>
      </c>
      <c r="O1024" s="146" t="str">
        <f t="shared" si="126"/>
        <v>Heat PumpR30R11R0Better</v>
      </c>
      <c r="P1024" s="134" t="str">
        <f t="shared" si="127"/>
        <v>Crawlspace</v>
      </c>
      <c r="Q1024" s="134"/>
      <c r="R1024" s="134"/>
      <c r="S1024" s="134"/>
      <c r="T1024" s="134"/>
      <c r="U1024" s="134"/>
      <c r="V1024" s="134"/>
      <c r="W1024" s="134"/>
      <c r="X1024" s="134"/>
      <c r="Y1024" s="134"/>
      <c r="Z1024" s="134"/>
      <c r="AA1024" s="134"/>
      <c r="AB1024" s="134"/>
      <c r="AC1024" s="134"/>
      <c r="AD1024" s="134"/>
      <c r="AE1024" s="134"/>
      <c r="AF1024" s="146"/>
      <c r="AG1024" s="134"/>
      <c r="AH1024" s="134"/>
      <c r="AI1024" s="134"/>
      <c r="AJ1024" s="134"/>
      <c r="AK1024" s="134"/>
      <c r="AL1024" s="134"/>
      <c r="AM1024" s="146"/>
      <c r="AN1024" s="132"/>
      <c r="AO1024" s="132"/>
      <c r="AP1024" s="132"/>
      <c r="AQ1024" s="132"/>
      <c r="AR1024" s="134"/>
      <c r="AS1024" s="134"/>
      <c r="AT1024" s="132"/>
      <c r="AU1024" s="133"/>
      <c r="AV1024" s="134"/>
    </row>
    <row r="1025" spans="1:48">
      <c r="A1025" s="74">
        <v>20974</v>
      </c>
      <c r="B1025" s="74" t="s">
        <v>227</v>
      </c>
      <c r="C1025" s="74">
        <v>2</v>
      </c>
      <c r="D1025" s="74">
        <v>2074</v>
      </c>
      <c r="E1025" s="73">
        <v>2.500000037252903E-2</v>
      </c>
      <c r="F1025" s="73">
        <v>0.55000001192092896</v>
      </c>
      <c r="G1025" s="73">
        <v>4.5000001788139343E-2</v>
      </c>
      <c r="H1025" s="73">
        <v>0</v>
      </c>
      <c r="I1025" s="190">
        <v>3785.7640000000001</v>
      </c>
      <c r="J1025" s="134" t="str">
        <f t="shared" si="123"/>
        <v>keep</v>
      </c>
      <c r="K1025" s="134" t="str">
        <f t="shared" si="124"/>
        <v>R38</v>
      </c>
      <c r="L1025" s="134" t="str">
        <f t="shared" si="125"/>
        <v>R11</v>
      </c>
      <c r="M1025" s="146" t="str">
        <f t="shared" si="121"/>
        <v>Slab</v>
      </c>
      <c r="N1025" s="146" t="str">
        <f t="shared" si="122"/>
        <v>Better</v>
      </c>
      <c r="O1025" s="146" t="str">
        <f t="shared" si="126"/>
        <v>Electric FAFR38R11SlabBetter</v>
      </c>
      <c r="P1025" s="134" t="str">
        <f t="shared" si="127"/>
        <v>Slab</v>
      </c>
      <c r="Q1025" s="134"/>
      <c r="R1025" s="134"/>
      <c r="S1025" s="134"/>
      <c r="T1025" s="134"/>
      <c r="U1025" s="134"/>
      <c r="V1025" s="134"/>
      <c r="W1025" s="134"/>
      <c r="X1025" s="134"/>
      <c r="Y1025" s="134"/>
      <c r="Z1025" s="134"/>
      <c r="AA1025" s="134"/>
      <c r="AB1025" s="134"/>
      <c r="AC1025" s="134"/>
      <c r="AD1025" s="134"/>
      <c r="AE1025" s="134"/>
      <c r="AF1025" s="146"/>
      <c r="AG1025" s="134"/>
      <c r="AH1025" s="134"/>
      <c r="AI1025" s="134"/>
      <c r="AJ1025" s="134"/>
      <c r="AK1025" s="134"/>
      <c r="AL1025" s="134"/>
      <c r="AM1025" s="146"/>
      <c r="AN1025" s="132"/>
      <c r="AO1025" s="132"/>
      <c r="AP1025" s="132"/>
      <c r="AQ1025" s="132"/>
      <c r="AR1025" s="134"/>
      <c r="AS1025" s="134"/>
      <c r="AT1025" s="132"/>
      <c r="AU1025" s="133"/>
      <c r="AV1025" s="134"/>
    </row>
    <row r="1026" spans="1:48">
      <c r="A1026" s="74">
        <v>20976</v>
      </c>
      <c r="B1026" s="74" t="s">
        <v>228</v>
      </c>
      <c r="C1026" s="74">
        <v>1</v>
      </c>
      <c r="D1026" s="74">
        <v>1050</v>
      </c>
      <c r="E1026" s="73">
        <v>7.5000002980232239E-2</v>
      </c>
      <c r="F1026" s="73">
        <v>0.55000001192092896</v>
      </c>
      <c r="G1026" s="73">
        <v>5.9999998658895493E-2</v>
      </c>
      <c r="H1026" s="73">
        <v>6.4999997615814209E-2</v>
      </c>
      <c r="I1026" s="190">
        <v>1192.4649999999999</v>
      </c>
      <c r="J1026" s="134" t="str">
        <f t="shared" si="123"/>
        <v>keep</v>
      </c>
      <c r="K1026" s="134" t="str">
        <f t="shared" si="124"/>
        <v>R19</v>
      </c>
      <c r="L1026" s="134" t="str">
        <f t="shared" si="125"/>
        <v>R11</v>
      </c>
      <c r="M1026" s="146" t="str">
        <f t="shared" si="121"/>
        <v>R19</v>
      </c>
      <c r="N1026" s="146" t="str">
        <f t="shared" si="122"/>
        <v>Better</v>
      </c>
      <c r="O1026" s="146" t="str">
        <f t="shared" si="126"/>
        <v>Electric ZonalR19R11R19Better</v>
      </c>
      <c r="P1026" s="134" t="str">
        <f t="shared" si="127"/>
        <v>Crawlspace</v>
      </c>
      <c r="Q1026" s="134"/>
      <c r="R1026" s="134"/>
      <c r="S1026" s="134"/>
      <c r="T1026" s="134"/>
      <c r="U1026" s="134"/>
      <c r="V1026" s="134"/>
      <c r="W1026" s="134"/>
      <c r="X1026" s="134"/>
      <c r="Y1026" s="134"/>
      <c r="Z1026" s="134"/>
      <c r="AA1026" s="134"/>
      <c r="AB1026" s="134"/>
      <c r="AC1026" s="134"/>
      <c r="AD1026" s="134"/>
      <c r="AE1026" s="134"/>
      <c r="AF1026" s="146"/>
      <c r="AG1026" s="134"/>
      <c r="AH1026" s="134"/>
      <c r="AI1026" s="134"/>
      <c r="AJ1026" s="134"/>
      <c r="AK1026" s="134"/>
      <c r="AL1026" s="134"/>
      <c r="AM1026" s="146"/>
      <c r="AN1026" s="132"/>
      <c r="AO1026" s="132"/>
      <c r="AP1026" s="132"/>
      <c r="AQ1026" s="132"/>
      <c r="AR1026" s="134"/>
      <c r="AS1026" s="134"/>
      <c r="AT1026" s="132"/>
      <c r="AU1026" s="133"/>
      <c r="AV1026" s="134"/>
    </row>
    <row r="1027" spans="1:48">
      <c r="A1027" s="74">
        <v>20995</v>
      </c>
      <c r="B1027" s="74" t="s">
        <v>228</v>
      </c>
      <c r="C1027" s="74">
        <v>1</v>
      </c>
      <c r="D1027" s="74">
        <v>784</v>
      </c>
      <c r="E1027" s="73">
        <v>9.0000003576278687E-2</v>
      </c>
      <c r="F1027" s="73">
        <v>0.91363636472008447</v>
      </c>
      <c r="G1027" s="73">
        <v>5.4999999701976776E-2</v>
      </c>
      <c r="H1027" s="73">
        <v>9.0000003576278687E-2</v>
      </c>
      <c r="I1027" s="190">
        <v>2130.886</v>
      </c>
      <c r="J1027" s="134" t="str">
        <f t="shared" si="123"/>
        <v>keep</v>
      </c>
      <c r="K1027" s="134" t="str">
        <f t="shared" si="124"/>
        <v>R11</v>
      </c>
      <c r="L1027" s="134" t="str">
        <f t="shared" si="125"/>
        <v>R11</v>
      </c>
      <c r="M1027" s="146" t="str">
        <f t="shared" si="121"/>
        <v>R0</v>
      </c>
      <c r="N1027" s="146" t="str">
        <f t="shared" si="122"/>
        <v>Double</v>
      </c>
      <c r="O1027" s="146" t="str">
        <f t="shared" si="126"/>
        <v>Electric ZonalR11R11R0Double</v>
      </c>
      <c r="P1027" s="134" t="str">
        <f t="shared" si="127"/>
        <v>Crawlspace</v>
      </c>
      <c r="Q1027" s="134"/>
      <c r="R1027" s="134"/>
      <c r="S1027" s="134"/>
      <c r="T1027" s="134"/>
      <c r="U1027" s="134"/>
      <c r="V1027" s="134"/>
      <c r="W1027" s="134"/>
      <c r="X1027" s="134"/>
      <c r="Y1027" s="134"/>
      <c r="Z1027" s="134"/>
      <c r="AA1027" s="134"/>
      <c r="AB1027" s="134"/>
      <c r="AC1027" s="134"/>
      <c r="AD1027" s="134"/>
      <c r="AE1027" s="134"/>
      <c r="AF1027" s="146"/>
      <c r="AG1027" s="134"/>
      <c r="AH1027" s="134"/>
      <c r="AI1027" s="134"/>
      <c r="AJ1027" s="134"/>
      <c r="AK1027" s="134"/>
      <c r="AL1027" s="134"/>
      <c r="AM1027" s="146"/>
      <c r="AN1027" s="132"/>
      <c r="AO1027" s="132"/>
      <c r="AP1027" s="132"/>
      <c r="AQ1027" s="132"/>
      <c r="AR1027" s="134"/>
      <c r="AS1027" s="134"/>
      <c r="AT1027" s="132"/>
      <c r="AU1027" s="133"/>
      <c r="AV1027" s="134"/>
    </row>
    <row r="1028" spans="1:48">
      <c r="A1028" s="74">
        <v>20998</v>
      </c>
      <c r="B1028" s="74" t="s">
        <v>229</v>
      </c>
      <c r="C1028" s="74" t="s">
        <v>673</v>
      </c>
      <c r="D1028" s="74">
        <v>2643</v>
      </c>
      <c r="E1028" s="73">
        <v>2.500000037252903E-2</v>
      </c>
      <c r="F1028" s="73">
        <v>0.44999998807907104</v>
      </c>
      <c r="G1028" s="73">
        <v>5.9999998658895493E-2</v>
      </c>
      <c r="H1028" s="73">
        <v>0.23000000417232513</v>
      </c>
      <c r="I1028" s="190">
        <v>3785.7640000000001</v>
      </c>
      <c r="J1028" s="134" t="str">
        <f t="shared" si="123"/>
        <v>ignore</v>
      </c>
      <c r="K1028" s="134" t="str">
        <f t="shared" si="124"/>
        <v>R38</v>
      </c>
      <c r="L1028" s="134" t="str">
        <f t="shared" si="125"/>
        <v>R11</v>
      </c>
      <c r="M1028" s="146" t="str">
        <f t="shared" si="121"/>
        <v>R0</v>
      </c>
      <c r="N1028" s="146" t="str">
        <f t="shared" si="122"/>
        <v>Better</v>
      </c>
      <c r="O1028" s="146" t="str">
        <f t="shared" si="126"/>
        <v>Heat PumpR38R11R0Better</v>
      </c>
      <c r="P1028" s="134" t="str">
        <f t="shared" si="127"/>
        <v>error</v>
      </c>
      <c r="Q1028" s="134"/>
      <c r="R1028" s="134"/>
      <c r="S1028" s="134"/>
      <c r="T1028" s="134"/>
      <c r="U1028" s="134"/>
      <c r="V1028" s="134"/>
      <c r="W1028" s="134"/>
      <c r="X1028" s="134"/>
      <c r="Y1028" s="134"/>
      <c r="Z1028" s="134"/>
      <c r="AA1028" s="134"/>
      <c r="AB1028" s="134"/>
      <c r="AC1028" s="134"/>
      <c r="AD1028" s="134"/>
      <c r="AE1028" s="134"/>
      <c r="AF1028" s="146"/>
      <c r="AG1028" s="134"/>
      <c r="AH1028" s="134"/>
      <c r="AI1028" s="134"/>
      <c r="AJ1028" s="134"/>
      <c r="AK1028" s="134"/>
      <c r="AL1028" s="134"/>
      <c r="AM1028" s="146"/>
      <c r="AN1028" s="132"/>
      <c r="AO1028" s="132"/>
      <c r="AP1028" s="132"/>
      <c r="AQ1028" s="132"/>
      <c r="AR1028" s="134"/>
      <c r="AS1028" s="134"/>
      <c r="AT1028" s="132"/>
      <c r="AU1028" s="133"/>
      <c r="AV1028" s="134"/>
    </row>
    <row r="1029" spans="1:48">
      <c r="A1029" s="74">
        <v>21026</v>
      </c>
      <c r="B1029" s="74" t="s">
        <v>228</v>
      </c>
      <c r="C1029" s="74">
        <v>2</v>
      </c>
      <c r="D1029" s="74">
        <v>720</v>
      </c>
      <c r="E1029" s="73" t="e">
        <v>#VALUE!</v>
      </c>
      <c r="F1029" s="73">
        <v>0.80000001192092896</v>
      </c>
      <c r="G1029" s="73">
        <v>0.23400000000000001</v>
      </c>
      <c r="H1029" s="73">
        <v>0</v>
      </c>
      <c r="I1029" s="190">
        <v>8264.9449999999997</v>
      </c>
      <c r="J1029" s="134" t="str">
        <f t="shared" si="123"/>
        <v>ignore</v>
      </c>
      <c r="K1029" s="134" t="e">
        <f t="shared" si="124"/>
        <v>#VALUE!</v>
      </c>
      <c r="L1029" s="134" t="str">
        <f t="shared" si="125"/>
        <v>R0</v>
      </c>
      <c r="M1029" s="146" t="str">
        <f t="shared" si="121"/>
        <v>Slab</v>
      </c>
      <c r="N1029" s="146" t="str">
        <f t="shared" si="122"/>
        <v>Better</v>
      </c>
      <c r="O1029" s="146" t="e">
        <f t="shared" si="126"/>
        <v>#VALUE!</v>
      </c>
      <c r="P1029" s="134" t="str">
        <f t="shared" si="127"/>
        <v>Slab</v>
      </c>
      <c r="Q1029" s="134"/>
      <c r="R1029" s="134"/>
      <c r="S1029" s="134"/>
      <c r="T1029" s="134"/>
      <c r="U1029" s="134"/>
      <c r="V1029" s="134"/>
      <c r="W1029" s="134"/>
      <c r="X1029" s="134"/>
      <c r="Y1029" s="134"/>
      <c r="Z1029" s="134"/>
      <c r="AA1029" s="134"/>
      <c r="AB1029" s="134"/>
      <c r="AC1029" s="134"/>
      <c r="AD1029" s="134"/>
      <c r="AE1029" s="134"/>
      <c r="AF1029" s="146"/>
      <c r="AG1029" s="134"/>
      <c r="AH1029" s="134"/>
      <c r="AI1029" s="134"/>
      <c r="AJ1029" s="134"/>
      <c r="AK1029" s="134"/>
      <c r="AL1029" s="134"/>
      <c r="AM1029" s="146"/>
      <c r="AN1029" s="132"/>
      <c r="AO1029" s="132"/>
      <c r="AP1029" s="132"/>
      <c r="AQ1029" s="132"/>
      <c r="AR1029" s="134"/>
      <c r="AS1029" s="134"/>
      <c r="AT1029" s="132"/>
      <c r="AU1029" s="133"/>
      <c r="AV1029" s="134"/>
    </row>
    <row r="1030" spans="1:48">
      <c r="A1030" s="74">
        <v>21070</v>
      </c>
      <c r="B1030" s="74" t="s">
        <v>229</v>
      </c>
      <c r="C1030" s="74">
        <v>1</v>
      </c>
      <c r="D1030" s="74">
        <v>2360</v>
      </c>
      <c r="E1030" s="73">
        <v>7.5000002980232239E-2</v>
      </c>
      <c r="F1030" s="73">
        <v>0.55000001192092896</v>
      </c>
      <c r="G1030" s="73">
        <v>5.9999998658895493E-2</v>
      </c>
      <c r="H1030" s="73">
        <v>3.5000000149011612E-2</v>
      </c>
      <c r="I1030" s="190">
        <v>1904.288</v>
      </c>
      <c r="J1030" s="134" t="str">
        <f t="shared" si="123"/>
        <v>keep</v>
      </c>
      <c r="K1030" s="134" t="str">
        <f t="shared" si="124"/>
        <v>R19</v>
      </c>
      <c r="L1030" s="134" t="str">
        <f t="shared" si="125"/>
        <v>R11</v>
      </c>
      <c r="M1030" s="146" t="str">
        <f t="shared" si="121"/>
        <v>Better</v>
      </c>
      <c r="N1030" s="146" t="str">
        <f t="shared" si="122"/>
        <v>Better</v>
      </c>
      <c r="O1030" s="146" t="str">
        <f t="shared" si="126"/>
        <v>Heat PumpR19R11BetterBetter</v>
      </c>
      <c r="P1030" s="134" t="str">
        <f t="shared" si="127"/>
        <v>Crawlspace</v>
      </c>
      <c r="Q1030" s="134"/>
      <c r="R1030" s="134"/>
      <c r="S1030" s="134"/>
      <c r="T1030" s="134"/>
      <c r="U1030" s="134"/>
      <c r="V1030" s="134"/>
      <c r="W1030" s="134"/>
      <c r="X1030" s="134"/>
      <c r="Y1030" s="134"/>
      <c r="Z1030" s="134"/>
      <c r="AA1030" s="134"/>
      <c r="AB1030" s="134"/>
      <c r="AC1030" s="134"/>
      <c r="AD1030" s="134"/>
      <c r="AE1030" s="134"/>
      <c r="AF1030" s="146"/>
      <c r="AG1030" s="134"/>
      <c r="AH1030" s="134"/>
      <c r="AI1030" s="134"/>
      <c r="AJ1030" s="134"/>
      <c r="AK1030" s="134"/>
      <c r="AL1030" s="134"/>
      <c r="AM1030" s="146"/>
      <c r="AN1030" s="132"/>
      <c r="AO1030" s="132"/>
      <c r="AP1030" s="132"/>
      <c r="AQ1030" s="132"/>
      <c r="AR1030" s="134"/>
      <c r="AS1030" s="134"/>
      <c r="AT1030" s="132"/>
      <c r="AU1030" s="133"/>
      <c r="AV1030" s="134"/>
    </row>
    <row r="1031" spans="1:48">
      <c r="A1031" s="74">
        <v>21085</v>
      </c>
      <c r="B1031" s="74" t="s">
        <v>228</v>
      </c>
      <c r="C1031" s="74">
        <v>2</v>
      </c>
      <c r="D1031" s="74">
        <v>1680</v>
      </c>
      <c r="E1031" s="73">
        <v>7.7333332101504004E-2</v>
      </c>
      <c r="F1031" s="73">
        <v>0.60000002384185791</v>
      </c>
      <c r="G1031" s="73" t="e">
        <v>#VALUE!</v>
      </c>
      <c r="H1031" s="73">
        <v>0</v>
      </c>
      <c r="I1031" s="190">
        <v>3785.7640000000001</v>
      </c>
      <c r="J1031" s="134" t="str">
        <f t="shared" si="123"/>
        <v>ignore</v>
      </c>
      <c r="K1031" s="134" t="str">
        <f t="shared" si="124"/>
        <v>R19</v>
      </c>
      <c r="L1031" s="134" t="e">
        <f t="shared" si="125"/>
        <v>#VALUE!</v>
      </c>
      <c r="M1031" s="146" t="str">
        <f t="shared" si="121"/>
        <v>Slab</v>
      </c>
      <c r="N1031" s="146" t="str">
        <f t="shared" si="122"/>
        <v>Better</v>
      </c>
      <c r="O1031" s="146" t="e">
        <f t="shared" si="126"/>
        <v>#VALUE!</v>
      </c>
      <c r="P1031" s="134" t="str">
        <f t="shared" si="127"/>
        <v>Slab</v>
      </c>
      <c r="Q1031" s="134"/>
      <c r="R1031" s="134"/>
      <c r="S1031" s="134"/>
      <c r="T1031" s="134"/>
      <c r="U1031" s="134"/>
      <c r="V1031" s="134"/>
      <c r="W1031" s="134"/>
      <c r="X1031" s="134"/>
      <c r="Y1031" s="134"/>
      <c r="Z1031" s="134"/>
      <c r="AA1031" s="134"/>
      <c r="AB1031" s="134"/>
      <c r="AC1031" s="134"/>
      <c r="AD1031" s="134"/>
      <c r="AE1031" s="134"/>
      <c r="AF1031" s="146"/>
      <c r="AG1031" s="134"/>
      <c r="AH1031" s="134"/>
      <c r="AI1031" s="134"/>
      <c r="AJ1031" s="134"/>
      <c r="AK1031" s="134"/>
      <c r="AL1031" s="134"/>
      <c r="AM1031" s="146"/>
      <c r="AN1031" s="132"/>
      <c r="AO1031" s="132"/>
      <c r="AP1031" s="132"/>
      <c r="AQ1031" s="132"/>
      <c r="AR1031" s="134"/>
      <c r="AS1031" s="134"/>
      <c r="AT1031" s="132"/>
      <c r="AU1031" s="133"/>
      <c r="AV1031" s="134"/>
    </row>
    <row r="1032" spans="1:48">
      <c r="A1032" s="74">
        <v>21103</v>
      </c>
      <c r="B1032" s="74" t="s">
        <v>228</v>
      </c>
      <c r="C1032" s="74">
        <v>1</v>
      </c>
      <c r="D1032" s="74">
        <v>1484</v>
      </c>
      <c r="E1032" s="73">
        <v>1.9999999552965164E-2</v>
      </c>
      <c r="F1032" s="73">
        <v>0.59335663143571438</v>
      </c>
      <c r="G1032" s="73">
        <v>0.23000000417232516</v>
      </c>
      <c r="H1032" s="73">
        <v>9.0000003576278687E-2</v>
      </c>
      <c r="I1032" s="190">
        <v>2079.9929999999999</v>
      </c>
      <c r="J1032" s="134" t="str">
        <f t="shared" si="123"/>
        <v>keep</v>
      </c>
      <c r="K1032" s="134" t="str">
        <f t="shared" si="124"/>
        <v>R38</v>
      </c>
      <c r="L1032" s="134" t="str">
        <f t="shared" si="125"/>
        <v>R0</v>
      </c>
      <c r="M1032" s="146" t="str">
        <f t="shared" si="121"/>
        <v>R0</v>
      </c>
      <c r="N1032" s="146" t="str">
        <f t="shared" si="122"/>
        <v>Better</v>
      </c>
      <c r="O1032" s="146" t="str">
        <f t="shared" si="126"/>
        <v>Electric ZonalR38R0R0Better</v>
      </c>
      <c r="P1032" s="134" t="str">
        <f t="shared" si="127"/>
        <v>Crawlspace</v>
      </c>
      <c r="Q1032" s="134"/>
      <c r="R1032" s="134"/>
      <c r="S1032" s="134"/>
      <c r="T1032" s="134"/>
      <c r="U1032" s="134"/>
      <c r="V1032" s="134"/>
      <c r="W1032" s="134"/>
      <c r="X1032" s="134"/>
      <c r="Y1032" s="134"/>
      <c r="Z1032" s="134"/>
      <c r="AA1032" s="134"/>
      <c r="AB1032" s="134"/>
      <c r="AC1032" s="134"/>
      <c r="AD1032" s="134"/>
      <c r="AE1032" s="134"/>
      <c r="AF1032" s="146"/>
      <c r="AG1032" s="134"/>
      <c r="AH1032" s="134"/>
      <c r="AI1032" s="134"/>
      <c r="AJ1032" s="134"/>
      <c r="AK1032" s="134"/>
      <c r="AL1032" s="134"/>
      <c r="AM1032" s="146"/>
      <c r="AN1032" s="132"/>
      <c r="AO1032" s="132"/>
      <c r="AP1032" s="132"/>
      <c r="AQ1032" s="132"/>
      <c r="AR1032" s="134"/>
      <c r="AS1032" s="134"/>
      <c r="AT1032" s="132"/>
      <c r="AU1032" s="133"/>
      <c r="AV1032" s="134"/>
    </row>
    <row r="1033" spans="1:48">
      <c r="A1033" s="74">
        <v>21109</v>
      </c>
      <c r="B1033" s="74" t="s">
        <v>229</v>
      </c>
      <c r="C1033" s="74" t="s">
        <v>673</v>
      </c>
      <c r="D1033" s="74">
        <v>1716</v>
      </c>
      <c r="E1033" s="73">
        <v>2.500000037252903E-2</v>
      </c>
      <c r="F1033" s="73">
        <v>0.55444445742501158</v>
      </c>
      <c r="G1033" s="73">
        <v>9.0000003576278687E-2</v>
      </c>
      <c r="H1033" s="73">
        <v>4.5000001788139343E-2</v>
      </c>
      <c r="I1033" s="190">
        <v>1925.059</v>
      </c>
      <c r="J1033" s="134" t="str">
        <f t="shared" si="123"/>
        <v>ignore</v>
      </c>
      <c r="K1033" s="134" t="str">
        <f t="shared" si="124"/>
        <v>R38</v>
      </c>
      <c r="L1033" s="134" t="str">
        <f t="shared" si="125"/>
        <v>R11</v>
      </c>
      <c r="M1033" s="146" t="str">
        <f t="shared" si="121"/>
        <v>Better</v>
      </c>
      <c r="N1033" s="146" t="str">
        <f t="shared" si="122"/>
        <v>Better</v>
      </c>
      <c r="O1033" s="146" t="str">
        <f t="shared" si="126"/>
        <v>Heat PumpR38R11BetterBetter</v>
      </c>
      <c r="P1033" s="134" t="str">
        <f t="shared" si="127"/>
        <v>error</v>
      </c>
      <c r="Q1033" s="134"/>
      <c r="R1033" s="134"/>
      <c r="S1033" s="134"/>
      <c r="T1033" s="134"/>
      <c r="U1033" s="134"/>
      <c r="V1033" s="134"/>
      <c r="W1033" s="134"/>
      <c r="X1033" s="134"/>
      <c r="Y1033" s="134"/>
      <c r="Z1033" s="134"/>
      <c r="AA1033" s="134"/>
      <c r="AB1033" s="134"/>
      <c r="AC1033" s="134"/>
      <c r="AD1033" s="134"/>
      <c r="AE1033" s="134"/>
      <c r="AF1033" s="146"/>
      <c r="AG1033" s="134"/>
      <c r="AH1033" s="134"/>
      <c r="AI1033" s="134"/>
      <c r="AJ1033" s="134"/>
      <c r="AK1033" s="134"/>
      <c r="AL1033" s="134"/>
      <c r="AM1033" s="146"/>
      <c r="AN1033" s="132"/>
      <c r="AO1033" s="132"/>
      <c r="AP1033" s="132"/>
      <c r="AQ1033" s="132"/>
      <c r="AR1033" s="134"/>
      <c r="AS1033" s="134"/>
      <c r="AT1033" s="132"/>
      <c r="AU1033" s="133"/>
      <c r="AV1033" s="134"/>
    </row>
    <row r="1034" spans="1:48">
      <c r="A1034" s="74">
        <v>21112</v>
      </c>
      <c r="B1034" s="74" t="s">
        <v>229</v>
      </c>
      <c r="C1034" s="74">
        <v>1</v>
      </c>
      <c r="D1034" s="74">
        <v>1615</v>
      </c>
      <c r="E1034" s="73">
        <v>9.0000003576278687E-2</v>
      </c>
      <c r="F1034" s="73">
        <v>0.74939576646712613</v>
      </c>
      <c r="G1034" s="73">
        <v>5.9999998658895493E-2</v>
      </c>
      <c r="H1034" s="73">
        <v>6.4999997615814209E-2</v>
      </c>
      <c r="I1034" s="190">
        <v>1612.692</v>
      </c>
      <c r="J1034" s="134" t="str">
        <f t="shared" si="123"/>
        <v>keep</v>
      </c>
      <c r="K1034" s="134" t="str">
        <f t="shared" si="124"/>
        <v>R11</v>
      </c>
      <c r="L1034" s="134" t="str">
        <f t="shared" si="125"/>
        <v>R11</v>
      </c>
      <c r="M1034" s="146" t="str">
        <f t="shared" si="121"/>
        <v>R19</v>
      </c>
      <c r="N1034" s="146" t="str">
        <f t="shared" si="122"/>
        <v>Better</v>
      </c>
      <c r="O1034" s="146" t="str">
        <f t="shared" si="126"/>
        <v>Heat PumpR11R11R19Better</v>
      </c>
      <c r="P1034" s="134" t="str">
        <f t="shared" si="127"/>
        <v>Crawlspace</v>
      </c>
      <c r="Q1034" s="134"/>
      <c r="R1034" s="134"/>
      <c r="S1034" s="134"/>
      <c r="T1034" s="134"/>
      <c r="U1034" s="134"/>
      <c r="V1034" s="134"/>
      <c r="W1034" s="134"/>
      <c r="X1034" s="134"/>
      <c r="Y1034" s="134"/>
      <c r="Z1034" s="134"/>
      <c r="AA1034" s="134"/>
      <c r="AB1034" s="134"/>
      <c r="AC1034" s="134"/>
      <c r="AD1034" s="134"/>
      <c r="AE1034" s="134"/>
      <c r="AF1034" s="146"/>
      <c r="AG1034" s="134"/>
      <c r="AH1034" s="134"/>
      <c r="AI1034" s="134"/>
      <c r="AJ1034" s="134"/>
      <c r="AK1034" s="134"/>
      <c r="AL1034" s="134"/>
      <c r="AM1034" s="146"/>
      <c r="AN1034" s="132"/>
      <c r="AO1034" s="132"/>
      <c r="AP1034" s="132"/>
      <c r="AQ1034" s="132"/>
      <c r="AR1034" s="134"/>
      <c r="AS1034" s="134"/>
      <c r="AT1034" s="132"/>
      <c r="AU1034" s="133"/>
      <c r="AV1034" s="134"/>
    </row>
    <row r="1035" spans="1:48">
      <c r="A1035" s="74">
        <v>21122</v>
      </c>
      <c r="B1035" s="74" t="s">
        <v>227</v>
      </c>
      <c r="C1035" s="74">
        <v>1</v>
      </c>
      <c r="D1035" s="74">
        <v>1144</v>
      </c>
      <c r="E1035" s="73">
        <v>2.500000037252903E-2</v>
      </c>
      <c r="F1035" s="73">
        <v>0.44999998807907104</v>
      </c>
      <c r="G1035" s="73">
        <v>5.9999998658895493E-2</v>
      </c>
      <c r="H1035" s="73">
        <v>3.5000000149011612E-2</v>
      </c>
      <c r="I1035" s="190">
        <v>1904.288</v>
      </c>
      <c r="J1035" s="134" t="str">
        <f t="shared" si="123"/>
        <v>keep</v>
      </c>
      <c r="K1035" s="134" t="str">
        <f t="shared" si="124"/>
        <v>R38</v>
      </c>
      <c r="L1035" s="134" t="str">
        <f t="shared" si="125"/>
        <v>R11</v>
      </c>
      <c r="M1035" s="146" t="str">
        <f t="shared" si="121"/>
        <v>Better</v>
      </c>
      <c r="N1035" s="146" t="str">
        <f t="shared" si="122"/>
        <v>Better</v>
      </c>
      <c r="O1035" s="146" t="str">
        <f t="shared" si="126"/>
        <v>Electric FAFR38R11BetterBetter</v>
      </c>
      <c r="P1035" s="134" t="str">
        <f t="shared" si="127"/>
        <v>Crawlspace</v>
      </c>
      <c r="Q1035" s="134"/>
      <c r="R1035" s="134"/>
      <c r="S1035" s="134"/>
      <c r="T1035" s="134"/>
      <c r="U1035" s="134"/>
      <c r="V1035" s="134"/>
      <c r="W1035" s="134"/>
      <c r="X1035" s="134"/>
      <c r="Y1035" s="134"/>
      <c r="Z1035" s="134"/>
      <c r="AA1035" s="134"/>
      <c r="AB1035" s="134"/>
      <c r="AC1035" s="134"/>
      <c r="AD1035" s="134"/>
      <c r="AE1035" s="134"/>
      <c r="AF1035" s="146"/>
      <c r="AG1035" s="134"/>
      <c r="AH1035" s="134"/>
      <c r="AI1035" s="134"/>
      <c r="AJ1035" s="134"/>
      <c r="AK1035" s="134"/>
      <c r="AL1035" s="134"/>
      <c r="AM1035" s="146"/>
      <c r="AN1035" s="132"/>
      <c r="AO1035" s="132"/>
      <c r="AP1035" s="132"/>
      <c r="AQ1035" s="132"/>
      <c r="AR1035" s="134"/>
      <c r="AS1035" s="134"/>
      <c r="AT1035" s="132"/>
      <c r="AU1035" s="133"/>
      <c r="AV1035" s="134"/>
    </row>
    <row r="1036" spans="1:48">
      <c r="A1036" s="74">
        <v>21137</v>
      </c>
      <c r="B1036" s="74" t="s">
        <v>228</v>
      </c>
      <c r="C1036" s="74">
        <v>4</v>
      </c>
      <c r="D1036" s="74">
        <v>2128</v>
      </c>
      <c r="E1036" s="73">
        <v>2.500000037252903E-2</v>
      </c>
      <c r="F1036" s="73">
        <v>0.81726192860376268</v>
      </c>
      <c r="G1036" s="73">
        <v>9.0000003576278687E-2</v>
      </c>
      <c r="H1036" s="73">
        <v>0</v>
      </c>
      <c r="I1036" s="190">
        <v>2130.886</v>
      </c>
      <c r="J1036" s="134" t="str">
        <f t="shared" si="123"/>
        <v>keep</v>
      </c>
      <c r="K1036" s="134" t="str">
        <f t="shared" si="124"/>
        <v>R38</v>
      </c>
      <c r="L1036" s="134" t="str">
        <f t="shared" si="125"/>
        <v>R11</v>
      </c>
      <c r="M1036" s="146" t="str">
        <f t="shared" si="121"/>
        <v>Basement</v>
      </c>
      <c r="N1036" s="146" t="str">
        <f t="shared" si="122"/>
        <v>Double</v>
      </c>
      <c r="O1036" s="146" t="str">
        <f t="shared" si="126"/>
        <v>Electric ZonalR38R11BasementDouble</v>
      </c>
      <c r="P1036" s="134" t="str">
        <f t="shared" si="127"/>
        <v>Basement</v>
      </c>
      <c r="Q1036" s="134"/>
      <c r="R1036" s="134"/>
      <c r="S1036" s="134"/>
      <c r="T1036" s="134"/>
      <c r="U1036" s="134"/>
      <c r="V1036" s="134"/>
      <c r="W1036" s="134"/>
      <c r="X1036" s="134"/>
      <c r="Y1036" s="134"/>
      <c r="Z1036" s="134"/>
      <c r="AA1036" s="134"/>
      <c r="AB1036" s="134"/>
      <c r="AC1036" s="134"/>
      <c r="AD1036" s="134"/>
      <c r="AE1036" s="134"/>
      <c r="AF1036" s="146"/>
      <c r="AG1036" s="134"/>
      <c r="AH1036" s="134"/>
      <c r="AI1036" s="134"/>
      <c r="AJ1036" s="134"/>
      <c r="AK1036" s="134"/>
      <c r="AL1036" s="134"/>
      <c r="AM1036" s="146"/>
      <c r="AN1036" s="132"/>
      <c r="AO1036" s="132"/>
      <c r="AP1036" s="132"/>
      <c r="AQ1036" s="132"/>
      <c r="AR1036" s="134"/>
      <c r="AS1036" s="134"/>
      <c r="AT1036" s="132"/>
      <c r="AU1036" s="133"/>
      <c r="AV1036" s="134"/>
    </row>
    <row r="1037" spans="1:48">
      <c r="A1037" s="74">
        <v>21143</v>
      </c>
      <c r="B1037" s="74" t="s">
        <v>229</v>
      </c>
      <c r="C1037" s="74">
        <v>1</v>
      </c>
      <c r="D1037" s="74">
        <v>1366</v>
      </c>
      <c r="E1037" s="73">
        <v>2.500000037252903E-2</v>
      </c>
      <c r="F1037" s="73">
        <v>0.93571426961329074</v>
      </c>
      <c r="G1037" s="73">
        <v>3.9999999105930328E-2</v>
      </c>
      <c r="H1037" s="73">
        <v>5.9999998658895493E-2</v>
      </c>
      <c r="I1037" s="190">
        <v>1612.692</v>
      </c>
      <c r="J1037" s="134" t="str">
        <f t="shared" si="123"/>
        <v>keep</v>
      </c>
      <c r="K1037" s="134" t="str">
        <f t="shared" si="124"/>
        <v>R38</v>
      </c>
      <c r="L1037" s="134" t="str">
        <f t="shared" si="125"/>
        <v>R11</v>
      </c>
      <c r="M1037" s="146" t="str">
        <f t="shared" si="121"/>
        <v>R19</v>
      </c>
      <c r="N1037" s="146" t="str">
        <f t="shared" si="122"/>
        <v>Double</v>
      </c>
      <c r="O1037" s="146" t="str">
        <f t="shared" si="126"/>
        <v>Heat PumpR38R11R19Double</v>
      </c>
      <c r="P1037" s="134" t="str">
        <f t="shared" si="127"/>
        <v>Crawlspace</v>
      </c>
      <c r="Q1037" s="134"/>
      <c r="R1037" s="134"/>
      <c r="S1037" s="134"/>
      <c r="T1037" s="134"/>
      <c r="U1037" s="134"/>
      <c r="V1037" s="134"/>
      <c r="W1037" s="134"/>
      <c r="X1037" s="134"/>
      <c r="Y1037" s="134"/>
      <c r="Z1037" s="134"/>
      <c r="AA1037" s="134"/>
      <c r="AB1037" s="134"/>
      <c r="AC1037" s="134"/>
      <c r="AD1037" s="134"/>
      <c r="AE1037" s="134"/>
      <c r="AF1037" s="146"/>
      <c r="AG1037" s="134"/>
      <c r="AH1037" s="134"/>
      <c r="AI1037" s="134"/>
      <c r="AJ1037" s="134"/>
      <c r="AK1037" s="134"/>
      <c r="AL1037" s="134"/>
      <c r="AM1037" s="146"/>
      <c r="AN1037" s="132"/>
      <c r="AO1037" s="132"/>
      <c r="AP1037" s="132"/>
      <c r="AQ1037" s="132"/>
      <c r="AR1037" s="134"/>
      <c r="AS1037" s="134"/>
      <c r="AT1037" s="132"/>
      <c r="AU1037" s="133"/>
      <c r="AV1037" s="134"/>
    </row>
    <row r="1038" spans="1:48">
      <c r="A1038" s="74">
        <v>21201</v>
      </c>
      <c r="B1038" s="74" t="s">
        <v>228</v>
      </c>
      <c r="C1038" s="74">
        <v>4</v>
      </c>
      <c r="D1038" s="74">
        <v>2100</v>
      </c>
      <c r="E1038" s="73">
        <v>4.5000001788139343E-2</v>
      </c>
      <c r="F1038" s="73">
        <v>0.47010133858468084</v>
      </c>
      <c r="G1038" s="73">
        <v>9.0000003576278687E-2</v>
      </c>
      <c r="H1038" s="73">
        <v>0</v>
      </c>
      <c r="I1038" s="190">
        <v>2079.9929999999999</v>
      </c>
      <c r="J1038" s="134" t="str">
        <f t="shared" si="123"/>
        <v>keep</v>
      </c>
      <c r="K1038" s="134" t="str">
        <f t="shared" si="124"/>
        <v>R30</v>
      </c>
      <c r="L1038" s="134" t="str">
        <f t="shared" si="125"/>
        <v>R11</v>
      </c>
      <c r="M1038" s="146" t="str">
        <f t="shared" si="121"/>
        <v>Basement</v>
      </c>
      <c r="N1038" s="146" t="str">
        <f t="shared" si="122"/>
        <v>Better</v>
      </c>
      <c r="O1038" s="146" t="str">
        <f t="shared" si="126"/>
        <v>Electric ZonalR30R11BasementBetter</v>
      </c>
      <c r="P1038" s="134" t="str">
        <f t="shared" si="127"/>
        <v>Basement</v>
      </c>
      <c r="Q1038" s="134"/>
      <c r="R1038" s="134"/>
      <c r="S1038" s="134"/>
      <c r="T1038" s="134"/>
      <c r="U1038" s="134"/>
      <c r="V1038" s="134"/>
      <c r="W1038" s="134"/>
      <c r="X1038" s="134"/>
      <c r="Y1038" s="134"/>
      <c r="Z1038" s="134"/>
      <c r="AA1038" s="134"/>
      <c r="AB1038" s="134"/>
      <c r="AC1038" s="134"/>
      <c r="AD1038" s="134"/>
      <c r="AE1038" s="134"/>
      <c r="AF1038" s="146"/>
      <c r="AG1038" s="134"/>
      <c r="AH1038" s="134"/>
      <c r="AI1038" s="134"/>
      <c r="AJ1038" s="134"/>
      <c r="AK1038" s="134"/>
      <c r="AL1038" s="134"/>
      <c r="AM1038" s="146"/>
      <c r="AN1038" s="132"/>
      <c r="AO1038" s="132"/>
      <c r="AP1038" s="132"/>
      <c r="AQ1038" s="132"/>
      <c r="AR1038" s="134"/>
      <c r="AS1038" s="134"/>
      <c r="AT1038" s="132"/>
      <c r="AU1038" s="133"/>
      <c r="AV1038" s="134"/>
    </row>
    <row r="1039" spans="1:48">
      <c r="A1039" s="74">
        <v>21203</v>
      </c>
      <c r="B1039" s="74" t="s">
        <v>229</v>
      </c>
      <c r="C1039" s="74">
        <v>1</v>
      </c>
      <c r="D1039" s="74">
        <v>1860</v>
      </c>
      <c r="E1039" s="73">
        <v>9.8392856085584277E-2</v>
      </c>
      <c r="F1039" s="73">
        <v>0.56390729724176669</v>
      </c>
      <c r="G1039" s="73">
        <v>0.21022076197178072</v>
      </c>
      <c r="H1039" s="73">
        <v>5.4999999701976776E-2</v>
      </c>
      <c r="I1039" s="190">
        <v>2079.9929999999999</v>
      </c>
      <c r="J1039" s="134" t="str">
        <f t="shared" si="123"/>
        <v>keep</v>
      </c>
      <c r="K1039" s="134" t="str">
        <f t="shared" si="124"/>
        <v>R11</v>
      </c>
      <c r="L1039" s="134" t="str">
        <f t="shared" si="125"/>
        <v>R0</v>
      </c>
      <c r="M1039" s="146" t="str">
        <f t="shared" si="121"/>
        <v>R19</v>
      </c>
      <c r="N1039" s="146" t="str">
        <f t="shared" si="122"/>
        <v>Better</v>
      </c>
      <c r="O1039" s="146" t="str">
        <f t="shared" si="126"/>
        <v>Heat PumpR11R0R19Better</v>
      </c>
      <c r="P1039" s="134" t="str">
        <f t="shared" si="127"/>
        <v>Crawlspace</v>
      </c>
      <c r="Q1039" s="134"/>
      <c r="R1039" s="134"/>
      <c r="S1039" s="134"/>
      <c r="T1039" s="134"/>
      <c r="U1039" s="134"/>
      <c r="V1039" s="134"/>
      <c r="W1039" s="134"/>
      <c r="X1039" s="134"/>
      <c r="Y1039" s="134"/>
      <c r="Z1039" s="134"/>
      <c r="AA1039" s="134"/>
      <c r="AB1039" s="134"/>
      <c r="AC1039" s="134"/>
      <c r="AD1039" s="134"/>
      <c r="AE1039" s="134"/>
      <c r="AF1039" s="146"/>
      <c r="AG1039" s="134"/>
      <c r="AH1039" s="134"/>
      <c r="AI1039" s="134"/>
      <c r="AJ1039" s="134"/>
      <c r="AK1039" s="134"/>
      <c r="AL1039" s="134"/>
      <c r="AM1039" s="146"/>
      <c r="AN1039" s="132"/>
      <c r="AO1039" s="132"/>
      <c r="AP1039" s="132"/>
      <c r="AQ1039" s="132"/>
      <c r="AR1039" s="134"/>
      <c r="AS1039" s="134"/>
      <c r="AT1039" s="132"/>
      <c r="AU1039" s="133"/>
      <c r="AV1039" s="134"/>
    </row>
    <row r="1040" spans="1:48">
      <c r="A1040" s="74">
        <v>21218</v>
      </c>
      <c r="B1040" s="74" t="s">
        <v>229</v>
      </c>
      <c r="C1040" s="74">
        <v>4</v>
      </c>
      <c r="D1040" s="74">
        <v>4985</v>
      </c>
      <c r="E1040" s="73">
        <v>0.1550000011920929</v>
      </c>
      <c r="F1040" s="73">
        <v>0.4956097422576532</v>
      </c>
      <c r="G1040" s="73">
        <v>5.9999998658895493E-2</v>
      </c>
      <c r="H1040" s="73">
        <v>0</v>
      </c>
      <c r="I1040" s="190">
        <v>1192.4649999999999</v>
      </c>
      <c r="J1040" s="134" t="str">
        <f t="shared" si="123"/>
        <v>keep</v>
      </c>
      <c r="K1040" s="134" t="str">
        <f t="shared" si="124"/>
        <v>R0</v>
      </c>
      <c r="L1040" s="134" t="str">
        <f t="shared" si="125"/>
        <v>R11</v>
      </c>
      <c r="M1040" s="146" t="str">
        <f t="shared" si="121"/>
        <v>Basement</v>
      </c>
      <c r="N1040" s="146" t="str">
        <f t="shared" si="122"/>
        <v>Better</v>
      </c>
      <c r="O1040" s="146" t="str">
        <f t="shared" si="126"/>
        <v>Heat PumpR0R11BasementBetter</v>
      </c>
      <c r="P1040" s="134" t="str">
        <f t="shared" si="127"/>
        <v>Basement</v>
      </c>
      <c r="Q1040" s="134"/>
      <c r="R1040" s="134"/>
      <c r="S1040" s="134"/>
      <c r="T1040" s="134"/>
      <c r="U1040" s="134"/>
      <c r="V1040" s="134"/>
      <c r="W1040" s="134"/>
      <c r="X1040" s="134"/>
      <c r="Y1040" s="134"/>
      <c r="Z1040" s="134"/>
      <c r="AA1040" s="134"/>
      <c r="AB1040" s="134"/>
      <c r="AC1040" s="134"/>
      <c r="AD1040" s="134"/>
      <c r="AE1040" s="134"/>
      <c r="AF1040" s="146"/>
      <c r="AG1040" s="134"/>
      <c r="AH1040" s="134"/>
      <c r="AI1040" s="134"/>
      <c r="AJ1040" s="134"/>
      <c r="AK1040" s="134"/>
      <c r="AL1040" s="134"/>
      <c r="AM1040" s="146"/>
      <c r="AN1040" s="132"/>
      <c r="AO1040" s="132"/>
      <c r="AP1040" s="132"/>
      <c r="AQ1040" s="132"/>
      <c r="AR1040" s="134"/>
      <c r="AS1040" s="134"/>
      <c r="AT1040" s="132"/>
      <c r="AU1040" s="133"/>
      <c r="AV1040" s="134"/>
    </row>
    <row r="1041" spans="1:48">
      <c r="A1041" s="74">
        <v>21219</v>
      </c>
      <c r="B1041" s="74" t="s">
        <v>229</v>
      </c>
      <c r="C1041" s="74">
        <v>1</v>
      </c>
      <c r="D1041" s="74">
        <v>1523</v>
      </c>
      <c r="E1041" s="73">
        <v>2.500000037252903E-2</v>
      </c>
      <c r="F1041" s="73">
        <v>0.44999998807907104</v>
      </c>
      <c r="G1041" s="73">
        <v>5.9999998658895493E-2</v>
      </c>
      <c r="H1041" s="73">
        <v>3.5000000149011612E-2</v>
      </c>
      <c r="I1041" s="190">
        <v>8559.1039999999994</v>
      </c>
      <c r="J1041" s="134" t="str">
        <f t="shared" si="123"/>
        <v>keep</v>
      </c>
      <c r="K1041" s="134" t="str">
        <f t="shared" si="124"/>
        <v>R38</v>
      </c>
      <c r="L1041" s="134" t="str">
        <f t="shared" si="125"/>
        <v>R11</v>
      </c>
      <c r="M1041" s="146" t="str">
        <f t="shared" si="121"/>
        <v>Better</v>
      </c>
      <c r="N1041" s="146" t="str">
        <f t="shared" si="122"/>
        <v>Better</v>
      </c>
      <c r="O1041" s="146" t="str">
        <f t="shared" si="126"/>
        <v>Heat PumpR38R11BetterBetter</v>
      </c>
      <c r="P1041" s="134" t="str">
        <f t="shared" si="127"/>
        <v>Crawlspace</v>
      </c>
      <c r="Q1041" s="134"/>
      <c r="R1041" s="134"/>
      <c r="S1041" s="134"/>
      <c r="T1041" s="134"/>
      <c r="U1041" s="134"/>
      <c r="V1041" s="134"/>
      <c r="W1041" s="134"/>
      <c r="X1041" s="134"/>
      <c r="Y1041" s="134"/>
      <c r="Z1041" s="134"/>
      <c r="AA1041" s="134"/>
      <c r="AB1041" s="134"/>
      <c r="AC1041" s="134"/>
      <c r="AD1041" s="134"/>
      <c r="AE1041" s="134"/>
      <c r="AF1041" s="146"/>
      <c r="AG1041" s="134"/>
      <c r="AH1041" s="134"/>
      <c r="AI1041" s="134"/>
      <c r="AJ1041" s="134"/>
      <c r="AK1041" s="134"/>
      <c r="AL1041" s="134"/>
      <c r="AM1041" s="146"/>
      <c r="AN1041" s="132"/>
      <c r="AO1041" s="132"/>
      <c r="AP1041" s="132"/>
      <c r="AQ1041" s="132"/>
      <c r="AR1041" s="134"/>
      <c r="AS1041" s="134"/>
      <c r="AT1041" s="132"/>
      <c r="AU1041" s="133"/>
      <c r="AV1041" s="134"/>
    </row>
    <row r="1042" spans="1:48">
      <c r="A1042" s="74">
        <v>21231</v>
      </c>
      <c r="B1042" s="74" t="s">
        <v>229</v>
      </c>
      <c r="C1042" s="74">
        <v>2</v>
      </c>
      <c r="D1042" s="74">
        <v>2580</v>
      </c>
      <c r="E1042" s="73">
        <v>0.1550000011920929</v>
      </c>
      <c r="F1042" s="73">
        <v>0.51565656938938176</v>
      </c>
      <c r="G1042" s="73">
        <v>9.0000003576278687E-2</v>
      </c>
      <c r="H1042" s="73">
        <v>0</v>
      </c>
      <c r="I1042" s="190">
        <v>1612.692</v>
      </c>
      <c r="J1042" s="134" t="str">
        <f t="shared" si="123"/>
        <v>keep</v>
      </c>
      <c r="K1042" s="134" t="str">
        <f t="shared" si="124"/>
        <v>R0</v>
      </c>
      <c r="L1042" s="134" t="str">
        <f t="shared" si="125"/>
        <v>R11</v>
      </c>
      <c r="M1042" s="146" t="str">
        <f t="shared" si="121"/>
        <v>Slab</v>
      </c>
      <c r="N1042" s="146" t="str">
        <f t="shared" si="122"/>
        <v>Better</v>
      </c>
      <c r="O1042" s="146" t="str">
        <f t="shared" si="126"/>
        <v>Heat PumpR0R11SlabBetter</v>
      </c>
      <c r="P1042" s="134" t="str">
        <f t="shared" si="127"/>
        <v>Slab</v>
      </c>
      <c r="Q1042" s="134"/>
      <c r="R1042" s="134"/>
      <c r="S1042" s="134"/>
      <c r="T1042" s="134"/>
      <c r="U1042" s="134"/>
      <c r="V1042" s="134"/>
      <c r="W1042" s="134"/>
      <c r="X1042" s="134"/>
      <c r="Y1042" s="134"/>
      <c r="Z1042" s="134"/>
      <c r="AA1042" s="134"/>
      <c r="AB1042" s="134"/>
      <c r="AC1042" s="134"/>
      <c r="AD1042" s="134"/>
      <c r="AE1042" s="134"/>
      <c r="AF1042" s="146"/>
      <c r="AG1042" s="134"/>
      <c r="AH1042" s="134"/>
      <c r="AI1042" s="134"/>
      <c r="AJ1042" s="134"/>
      <c r="AK1042" s="134"/>
      <c r="AL1042" s="134"/>
      <c r="AM1042" s="146"/>
      <c r="AN1042" s="132"/>
      <c r="AO1042" s="132"/>
      <c r="AP1042" s="132"/>
      <c r="AQ1042" s="132"/>
      <c r="AR1042" s="134"/>
      <c r="AS1042" s="134"/>
      <c r="AT1042" s="132"/>
      <c r="AU1042" s="133"/>
      <c r="AV1042" s="134"/>
    </row>
    <row r="1043" spans="1:48">
      <c r="A1043" s="74">
        <v>21238</v>
      </c>
      <c r="B1043" s="74" t="s">
        <v>229</v>
      </c>
      <c r="C1043" s="74">
        <v>4</v>
      </c>
      <c r="D1043" s="74">
        <v>1824</v>
      </c>
      <c r="E1043" s="73">
        <v>7.0000000298023224E-2</v>
      </c>
      <c r="F1043" s="73">
        <v>0.45979590878194693</v>
      </c>
      <c r="G1043" s="73">
        <v>9.0000003576278687E-2</v>
      </c>
      <c r="H1043" s="73">
        <v>0</v>
      </c>
      <c r="I1043" s="190">
        <v>2130.886</v>
      </c>
      <c r="J1043" s="134" t="str">
        <f t="shared" si="123"/>
        <v>keep</v>
      </c>
      <c r="K1043" s="134" t="str">
        <f t="shared" si="124"/>
        <v>R19</v>
      </c>
      <c r="L1043" s="134" t="str">
        <f t="shared" si="125"/>
        <v>R11</v>
      </c>
      <c r="M1043" s="146" t="str">
        <f t="shared" si="121"/>
        <v>Basement</v>
      </c>
      <c r="N1043" s="146" t="str">
        <f t="shared" si="122"/>
        <v>Better</v>
      </c>
      <c r="O1043" s="146" t="str">
        <f t="shared" si="126"/>
        <v>Heat PumpR19R11BasementBetter</v>
      </c>
      <c r="P1043" s="134" t="str">
        <f t="shared" si="127"/>
        <v>Basement</v>
      </c>
      <c r="Q1043" s="134"/>
      <c r="R1043" s="134"/>
      <c r="S1043" s="134"/>
      <c r="T1043" s="134"/>
      <c r="U1043" s="134"/>
      <c r="V1043" s="134"/>
      <c r="W1043" s="134"/>
      <c r="X1043" s="134"/>
      <c r="Y1043" s="134"/>
      <c r="Z1043" s="134"/>
      <c r="AA1043" s="134"/>
      <c r="AB1043" s="134"/>
      <c r="AC1043" s="134"/>
      <c r="AD1043" s="134"/>
      <c r="AE1043" s="134"/>
      <c r="AF1043" s="146"/>
      <c r="AG1043" s="134"/>
      <c r="AH1043" s="134"/>
      <c r="AI1043" s="134"/>
      <c r="AJ1043" s="134"/>
      <c r="AK1043" s="134"/>
      <c r="AL1043" s="134"/>
      <c r="AM1043" s="146"/>
      <c r="AN1043" s="132"/>
      <c r="AO1043" s="132"/>
      <c r="AP1043" s="132"/>
      <c r="AQ1043" s="132"/>
      <c r="AR1043" s="134"/>
      <c r="AS1043" s="134"/>
      <c r="AT1043" s="132"/>
      <c r="AU1043" s="133"/>
      <c r="AV1043" s="134"/>
    </row>
    <row r="1044" spans="1:48">
      <c r="A1044" s="74">
        <v>21252</v>
      </c>
      <c r="B1044" s="74" t="s">
        <v>229</v>
      </c>
      <c r="C1044" s="74">
        <v>1</v>
      </c>
      <c r="D1044" s="74">
        <v>3500</v>
      </c>
      <c r="E1044" s="73">
        <v>1.9999999552965164E-2</v>
      </c>
      <c r="F1044" s="73">
        <v>0.44999998807907104</v>
      </c>
      <c r="G1044" s="73">
        <v>4.5000001788139343E-2</v>
      </c>
      <c r="H1044" s="73">
        <v>0.23000000417232513</v>
      </c>
      <c r="I1044" s="190">
        <v>1612.692</v>
      </c>
      <c r="J1044" s="134" t="str">
        <f t="shared" si="123"/>
        <v>keep</v>
      </c>
      <c r="K1044" s="134" t="str">
        <f t="shared" si="124"/>
        <v>R38</v>
      </c>
      <c r="L1044" s="134" t="str">
        <f t="shared" si="125"/>
        <v>R11</v>
      </c>
      <c r="M1044" s="146" t="str">
        <f t="shared" si="121"/>
        <v>R0</v>
      </c>
      <c r="N1044" s="146" t="str">
        <f t="shared" si="122"/>
        <v>Better</v>
      </c>
      <c r="O1044" s="146" t="str">
        <f t="shared" si="126"/>
        <v>Heat PumpR38R11R0Better</v>
      </c>
      <c r="P1044" s="134" t="str">
        <f t="shared" si="127"/>
        <v>Crawlspace</v>
      </c>
      <c r="Q1044" s="134"/>
      <c r="R1044" s="134"/>
      <c r="S1044" s="134"/>
      <c r="T1044" s="134"/>
      <c r="U1044" s="134"/>
      <c r="V1044" s="134"/>
      <c r="W1044" s="134"/>
      <c r="X1044" s="134"/>
      <c r="Y1044" s="134"/>
      <c r="Z1044" s="134"/>
      <c r="AA1044" s="134"/>
      <c r="AB1044" s="134"/>
      <c r="AC1044" s="134"/>
      <c r="AD1044" s="134"/>
      <c r="AE1044" s="134"/>
      <c r="AF1044" s="146"/>
      <c r="AG1044" s="134"/>
      <c r="AH1044" s="134"/>
      <c r="AI1044" s="134"/>
      <c r="AJ1044" s="134"/>
      <c r="AK1044" s="134"/>
      <c r="AL1044" s="134"/>
      <c r="AM1044" s="146"/>
      <c r="AN1044" s="132"/>
      <c r="AO1044" s="132"/>
      <c r="AP1044" s="132"/>
      <c r="AQ1044" s="132"/>
      <c r="AR1044" s="134"/>
      <c r="AS1044" s="134"/>
      <c r="AT1044" s="132"/>
      <c r="AU1044" s="133"/>
      <c r="AV1044" s="134"/>
    </row>
    <row r="1045" spans="1:48">
      <c r="A1045" s="74">
        <v>21258</v>
      </c>
      <c r="B1045" s="74" t="s">
        <v>228</v>
      </c>
      <c r="C1045" s="74">
        <v>1</v>
      </c>
      <c r="D1045" s="74">
        <v>1376</v>
      </c>
      <c r="E1045" s="73">
        <v>2.500000037252903E-2</v>
      </c>
      <c r="F1045" s="73">
        <v>0.57601214625574804</v>
      </c>
      <c r="G1045" s="73">
        <v>9.0000003576278687E-2</v>
      </c>
      <c r="H1045" s="73">
        <v>9.0000003576278687E-2</v>
      </c>
      <c r="I1045" s="190">
        <v>1612.692</v>
      </c>
      <c r="J1045" s="134" t="str">
        <f t="shared" si="123"/>
        <v>keep</v>
      </c>
      <c r="K1045" s="134" t="str">
        <f t="shared" si="124"/>
        <v>R38</v>
      </c>
      <c r="L1045" s="134" t="str">
        <f t="shared" si="125"/>
        <v>R11</v>
      </c>
      <c r="M1045" s="146" t="str">
        <f t="shared" si="121"/>
        <v>R0</v>
      </c>
      <c r="N1045" s="146" t="str">
        <f t="shared" si="122"/>
        <v>Better</v>
      </c>
      <c r="O1045" s="146" t="str">
        <f t="shared" si="126"/>
        <v>Electric ZonalR38R11R0Better</v>
      </c>
      <c r="P1045" s="134" t="str">
        <f t="shared" si="127"/>
        <v>Crawlspace</v>
      </c>
      <c r="Q1045" s="134"/>
      <c r="R1045" s="134"/>
      <c r="S1045" s="134"/>
      <c r="T1045" s="134"/>
      <c r="U1045" s="134"/>
      <c r="V1045" s="134"/>
      <c r="W1045" s="134"/>
      <c r="X1045" s="134"/>
      <c r="Y1045" s="134"/>
      <c r="Z1045" s="134"/>
      <c r="AA1045" s="134"/>
      <c r="AB1045" s="134"/>
      <c r="AC1045" s="134"/>
      <c r="AD1045" s="134"/>
      <c r="AE1045" s="134"/>
      <c r="AF1045" s="146"/>
      <c r="AG1045" s="134"/>
      <c r="AH1045" s="134"/>
      <c r="AI1045" s="134"/>
      <c r="AJ1045" s="134"/>
      <c r="AK1045" s="134"/>
      <c r="AL1045" s="134"/>
      <c r="AM1045" s="146"/>
      <c r="AN1045" s="132"/>
      <c r="AO1045" s="132"/>
      <c r="AP1045" s="132"/>
      <c r="AQ1045" s="132"/>
      <c r="AR1045" s="134"/>
      <c r="AS1045" s="134"/>
      <c r="AT1045" s="132"/>
      <c r="AU1045" s="133"/>
      <c r="AV1045" s="134"/>
    </row>
    <row r="1046" spans="1:48">
      <c r="A1046" s="74">
        <v>21264</v>
      </c>
      <c r="B1046" s="74" t="s">
        <v>229</v>
      </c>
      <c r="C1046" s="74" t="s">
        <v>673</v>
      </c>
      <c r="D1046" s="74">
        <v>1963</v>
      </c>
      <c r="E1046" s="73">
        <v>3.5000000149011612E-2</v>
      </c>
      <c r="F1046" s="73">
        <v>0.55991377655802099</v>
      </c>
      <c r="G1046" s="73">
        <v>9.0000003576278687E-2</v>
      </c>
      <c r="H1046" s="73">
        <v>3.5000000149011612E-2</v>
      </c>
      <c r="I1046" s="190">
        <v>1904.288</v>
      </c>
      <c r="J1046" s="134" t="str">
        <f t="shared" si="123"/>
        <v>ignore</v>
      </c>
      <c r="K1046" s="134" t="str">
        <f t="shared" si="124"/>
        <v>R38</v>
      </c>
      <c r="L1046" s="134" t="str">
        <f t="shared" si="125"/>
        <v>R11</v>
      </c>
      <c r="M1046" s="146" t="str">
        <f t="shared" si="121"/>
        <v>Better</v>
      </c>
      <c r="N1046" s="146" t="str">
        <f t="shared" si="122"/>
        <v>Better</v>
      </c>
      <c r="O1046" s="146" t="str">
        <f t="shared" si="126"/>
        <v>Heat PumpR38R11BetterBetter</v>
      </c>
      <c r="P1046" s="134" t="str">
        <f t="shared" si="127"/>
        <v>error</v>
      </c>
      <c r="Q1046" s="134"/>
      <c r="R1046" s="134"/>
      <c r="S1046" s="134"/>
      <c r="T1046" s="134"/>
      <c r="U1046" s="134"/>
      <c r="V1046" s="134"/>
      <c r="W1046" s="134"/>
      <c r="X1046" s="134"/>
      <c r="Y1046" s="134"/>
      <c r="Z1046" s="134"/>
      <c r="AA1046" s="134"/>
      <c r="AB1046" s="134"/>
      <c r="AC1046" s="134"/>
      <c r="AD1046" s="134"/>
      <c r="AE1046" s="134"/>
      <c r="AF1046" s="146"/>
      <c r="AG1046" s="134"/>
      <c r="AH1046" s="134"/>
      <c r="AI1046" s="134"/>
      <c r="AJ1046" s="134"/>
      <c r="AK1046" s="134"/>
      <c r="AL1046" s="134"/>
      <c r="AM1046" s="146"/>
      <c r="AN1046" s="132"/>
      <c r="AO1046" s="132"/>
      <c r="AP1046" s="132"/>
      <c r="AQ1046" s="132"/>
      <c r="AR1046" s="134"/>
      <c r="AS1046" s="134"/>
      <c r="AT1046" s="132"/>
      <c r="AU1046" s="133"/>
      <c r="AV1046" s="134"/>
    </row>
    <row r="1047" spans="1:48">
      <c r="A1047" s="74">
        <v>21291</v>
      </c>
      <c r="B1047" s="74" t="s">
        <v>229</v>
      </c>
      <c r="C1047" s="74">
        <v>4</v>
      </c>
      <c r="D1047" s="74">
        <v>3618</v>
      </c>
      <c r="E1047" s="73">
        <v>0.27000001072883606</v>
      </c>
      <c r="F1047" s="73">
        <v>0.60000002384185791</v>
      </c>
      <c r="G1047" s="73">
        <v>0.11999999731779099</v>
      </c>
      <c r="H1047" s="73">
        <v>0</v>
      </c>
      <c r="I1047" s="190">
        <v>2079.9929999999999</v>
      </c>
      <c r="J1047" s="134" t="str">
        <f t="shared" si="123"/>
        <v>keep</v>
      </c>
      <c r="K1047" s="134" t="str">
        <f t="shared" si="124"/>
        <v>R0</v>
      </c>
      <c r="L1047" s="134" t="str">
        <f t="shared" si="125"/>
        <v>R11</v>
      </c>
      <c r="M1047" s="146" t="str">
        <f t="shared" si="121"/>
        <v>Basement</v>
      </c>
      <c r="N1047" s="146" t="str">
        <f t="shared" si="122"/>
        <v>Better</v>
      </c>
      <c r="O1047" s="146" t="str">
        <f t="shared" si="126"/>
        <v>Heat PumpR0R11BasementBetter</v>
      </c>
      <c r="P1047" s="134" t="str">
        <f t="shared" si="127"/>
        <v>Basement</v>
      </c>
      <c r="Q1047" s="134"/>
      <c r="R1047" s="134"/>
      <c r="S1047" s="134"/>
      <c r="T1047" s="134"/>
      <c r="U1047" s="134"/>
      <c r="V1047" s="134"/>
      <c r="W1047" s="134"/>
      <c r="X1047" s="134"/>
      <c r="Y1047" s="134"/>
      <c r="Z1047" s="134"/>
      <c r="AA1047" s="134"/>
      <c r="AB1047" s="134"/>
      <c r="AC1047" s="134"/>
      <c r="AD1047" s="134"/>
      <c r="AE1047" s="134"/>
      <c r="AF1047" s="146"/>
      <c r="AG1047" s="134"/>
      <c r="AH1047" s="134"/>
      <c r="AI1047" s="134"/>
      <c r="AJ1047" s="134"/>
      <c r="AK1047" s="134"/>
      <c r="AL1047" s="134"/>
      <c r="AM1047" s="146"/>
      <c r="AN1047" s="132"/>
      <c r="AO1047" s="132"/>
      <c r="AP1047" s="132"/>
      <c r="AQ1047" s="132"/>
      <c r="AR1047" s="134"/>
      <c r="AS1047" s="134"/>
      <c r="AT1047" s="132"/>
      <c r="AU1047" s="133"/>
      <c r="AV1047" s="134"/>
    </row>
    <row r="1048" spans="1:48">
      <c r="A1048" s="74">
        <v>21294</v>
      </c>
      <c r="B1048" s="74" t="s">
        <v>228</v>
      </c>
      <c r="C1048" s="74">
        <v>1</v>
      </c>
      <c r="D1048" s="74">
        <v>2000</v>
      </c>
      <c r="E1048" s="73">
        <v>2.500000037252903E-2</v>
      </c>
      <c r="F1048" s="73">
        <v>0.55091147047157085</v>
      </c>
      <c r="G1048" s="73">
        <v>5.9999998658895493E-2</v>
      </c>
      <c r="H1048" s="73">
        <v>3.5000000149011612E-2</v>
      </c>
      <c r="I1048" s="190">
        <v>2079.9929999999999</v>
      </c>
      <c r="J1048" s="134" t="str">
        <f t="shared" si="123"/>
        <v>keep</v>
      </c>
      <c r="K1048" s="134" t="str">
        <f t="shared" si="124"/>
        <v>R38</v>
      </c>
      <c r="L1048" s="134" t="str">
        <f t="shared" si="125"/>
        <v>R11</v>
      </c>
      <c r="M1048" s="146" t="str">
        <f t="shared" si="121"/>
        <v>Better</v>
      </c>
      <c r="N1048" s="146" t="str">
        <f t="shared" si="122"/>
        <v>Better</v>
      </c>
      <c r="O1048" s="146" t="str">
        <f t="shared" si="126"/>
        <v>Electric ZonalR38R11BetterBetter</v>
      </c>
      <c r="P1048" s="134" t="str">
        <f t="shared" si="127"/>
        <v>Crawlspace</v>
      </c>
      <c r="Q1048" s="134"/>
      <c r="R1048" s="134"/>
      <c r="S1048" s="134"/>
      <c r="T1048" s="134"/>
      <c r="U1048" s="134"/>
      <c r="V1048" s="134"/>
      <c r="W1048" s="134"/>
      <c r="X1048" s="134"/>
      <c r="Y1048" s="134"/>
      <c r="Z1048" s="134"/>
      <c r="AA1048" s="134"/>
      <c r="AB1048" s="134"/>
      <c r="AC1048" s="134"/>
      <c r="AD1048" s="134"/>
      <c r="AE1048" s="134"/>
      <c r="AF1048" s="146"/>
      <c r="AG1048" s="134"/>
      <c r="AH1048" s="134"/>
      <c r="AI1048" s="134"/>
      <c r="AJ1048" s="134"/>
      <c r="AK1048" s="134"/>
      <c r="AL1048" s="134"/>
      <c r="AM1048" s="146"/>
      <c r="AN1048" s="132"/>
      <c r="AO1048" s="132"/>
      <c r="AP1048" s="132"/>
      <c r="AQ1048" s="132"/>
      <c r="AR1048" s="134"/>
      <c r="AS1048" s="134"/>
      <c r="AT1048" s="132"/>
      <c r="AU1048" s="133"/>
      <c r="AV1048" s="134"/>
    </row>
    <row r="1049" spans="1:48">
      <c r="A1049" s="74">
        <v>21326</v>
      </c>
      <c r="B1049" s="74" t="s">
        <v>227</v>
      </c>
      <c r="C1049" s="74">
        <v>1</v>
      </c>
      <c r="D1049" s="74">
        <v>1436</v>
      </c>
      <c r="E1049" s="73">
        <v>3.5000000149011612E-2</v>
      </c>
      <c r="F1049" s="73">
        <v>0.55000001192092896</v>
      </c>
      <c r="G1049" s="73">
        <v>5.9999998658895493E-2</v>
      </c>
      <c r="H1049" s="73">
        <v>0.23000000417232513</v>
      </c>
      <c r="I1049" s="190">
        <v>1925.059</v>
      </c>
      <c r="J1049" s="134" t="str">
        <f t="shared" si="123"/>
        <v>keep</v>
      </c>
      <c r="K1049" s="134" t="str">
        <f t="shared" si="124"/>
        <v>R38</v>
      </c>
      <c r="L1049" s="134" t="str">
        <f t="shared" si="125"/>
        <v>R11</v>
      </c>
      <c r="M1049" s="146" t="str">
        <f t="shared" si="121"/>
        <v>R0</v>
      </c>
      <c r="N1049" s="146" t="str">
        <f t="shared" si="122"/>
        <v>Better</v>
      </c>
      <c r="O1049" s="146" t="str">
        <f t="shared" si="126"/>
        <v>Electric FAFR38R11R0Better</v>
      </c>
      <c r="P1049" s="134" t="str">
        <f t="shared" si="127"/>
        <v>Crawlspace</v>
      </c>
      <c r="Q1049" s="134"/>
      <c r="R1049" s="134"/>
      <c r="S1049" s="134"/>
      <c r="T1049" s="134"/>
      <c r="U1049" s="134"/>
      <c r="V1049" s="134"/>
      <c r="W1049" s="134"/>
      <c r="X1049" s="134"/>
      <c r="Y1049" s="134"/>
      <c r="Z1049" s="134"/>
      <c r="AA1049" s="134"/>
      <c r="AB1049" s="134"/>
      <c r="AC1049" s="134"/>
      <c r="AD1049" s="134"/>
      <c r="AE1049" s="134"/>
      <c r="AF1049" s="146"/>
      <c r="AG1049" s="134"/>
      <c r="AH1049" s="134"/>
      <c r="AI1049" s="134"/>
      <c r="AJ1049" s="134"/>
      <c r="AK1049" s="134"/>
      <c r="AL1049" s="134"/>
      <c r="AM1049" s="146"/>
      <c r="AN1049" s="132"/>
      <c r="AO1049" s="132"/>
      <c r="AP1049" s="132"/>
      <c r="AQ1049" s="132"/>
      <c r="AR1049" s="134"/>
      <c r="AS1049" s="134"/>
      <c r="AT1049" s="132"/>
      <c r="AU1049" s="133"/>
      <c r="AV1049" s="134"/>
    </row>
    <row r="1050" spans="1:48">
      <c r="A1050" s="74">
        <v>21345</v>
      </c>
      <c r="B1050" s="74" t="s">
        <v>228</v>
      </c>
      <c r="C1050" s="74" t="s">
        <v>673</v>
      </c>
      <c r="D1050" s="74">
        <v>680</v>
      </c>
      <c r="E1050" s="73" t="e">
        <v>#VALUE!</v>
      </c>
      <c r="F1050" s="73">
        <v>1.1000000238418579</v>
      </c>
      <c r="G1050" s="73" t="e">
        <v>#VALUE!</v>
      </c>
      <c r="H1050" s="73">
        <v>0</v>
      </c>
      <c r="I1050" s="190">
        <v>1612.692</v>
      </c>
      <c r="J1050" s="134" t="str">
        <f t="shared" si="123"/>
        <v>ignore</v>
      </c>
      <c r="K1050" s="134" t="e">
        <f t="shared" si="124"/>
        <v>#VALUE!</v>
      </c>
      <c r="L1050" s="134" t="e">
        <f t="shared" si="125"/>
        <v>#VALUE!</v>
      </c>
      <c r="M1050" s="146" t="str">
        <f t="shared" si="121"/>
        <v>Better</v>
      </c>
      <c r="N1050" s="146" t="str">
        <f t="shared" si="122"/>
        <v>Single</v>
      </c>
      <c r="O1050" s="146" t="e">
        <f t="shared" si="126"/>
        <v>#VALUE!</v>
      </c>
      <c r="P1050" s="134" t="str">
        <f t="shared" si="127"/>
        <v>error</v>
      </c>
      <c r="Q1050" s="134"/>
      <c r="R1050" s="134"/>
      <c r="S1050" s="134"/>
      <c r="T1050" s="134"/>
      <c r="U1050" s="134"/>
      <c r="V1050" s="134"/>
      <c r="W1050" s="134"/>
      <c r="X1050" s="134"/>
      <c r="Y1050" s="134"/>
      <c r="Z1050" s="134"/>
      <c r="AA1050" s="134"/>
      <c r="AB1050" s="134"/>
      <c r="AC1050" s="134"/>
      <c r="AD1050" s="134"/>
      <c r="AE1050" s="134"/>
      <c r="AF1050" s="146"/>
      <c r="AG1050" s="134"/>
      <c r="AH1050" s="134"/>
      <c r="AI1050" s="134"/>
      <c r="AJ1050" s="134"/>
      <c r="AK1050" s="134"/>
      <c r="AL1050" s="134"/>
      <c r="AM1050" s="146"/>
      <c r="AN1050" s="132"/>
      <c r="AO1050" s="132"/>
      <c r="AP1050" s="132"/>
      <c r="AQ1050" s="132"/>
      <c r="AR1050" s="134"/>
      <c r="AS1050" s="134"/>
      <c r="AT1050" s="132"/>
      <c r="AU1050" s="133"/>
      <c r="AV1050" s="134"/>
    </row>
    <row r="1051" spans="1:48">
      <c r="A1051" s="74">
        <v>21355</v>
      </c>
      <c r="B1051" s="74" t="s">
        <v>227</v>
      </c>
      <c r="C1051" s="74">
        <v>1</v>
      </c>
      <c r="D1051" s="74">
        <v>1040</v>
      </c>
      <c r="E1051" s="73">
        <v>3.5000000149011612E-2</v>
      </c>
      <c r="F1051" s="73">
        <v>1.1000000238418579</v>
      </c>
      <c r="G1051" s="73">
        <v>0.11999999731779099</v>
      </c>
      <c r="H1051" s="73">
        <v>2.9999999329447746E-2</v>
      </c>
      <c r="I1051" s="190">
        <v>8264.9449999999997</v>
      </c>
      <c r="J1051" s="134" t="str">
        <f t="shared" si="123"/>
        <v>keep</v>
      </c>
      <c r="K1051" s="134" t="str">
        <f t="shared" si="124"/>
        <v>R38</v>
      </c>
      <c r="L1051" s="134" t="str">
        <f t="shared" si="125"/>
        <v>R11</v>
      </c>
      <c r="M1051" s="146" t="str">
        <f t="shared" si="121"/>
        <v>Better</v>
      </c>
      <c r="N1051" s="146" t="str">
        <f t="shared" si="122"/>
        <v>Single</v>
      </c>
      <c r="O1051" s="146" t="str">
        <f t="shared" si="126"/>
        <v>Electric FAFR38R11BetterSingle</v>
      </c>
      <c r="P1051" s="134" t="str">
        <f t="shared" si="127"/>
        <v>Crawlspace</v>
      </c>
      <c r="Q1051" s="134"/>
      <c r="R1051" s="134"/>
      <c r="S1051" s="134"/>
      <c r="T1051" s="134"/>
      <c r="U1051" s="134"/>
      <c r="V1051" s="134"/>
      <c r="W1051" s="134"/>
      <c r="X1051" s="134"/>
      <c r="Y1051" s="134"/>
      <c r="Z1051" s="134"/>
      <c r="AA1051" s="134"/>
      <c r="AB1051" s="134"/>
      <c r="AC1051" s="134"/>
      <c r="AD1051" s="134"/>
      <c r="AE1051" s="134"/>
      <c r="AF1051" s="146"/>
      <c r="AG1051" s="134"/>
      <c r="AH1051" s="134"/>
      <c r="AI1051" s="134"/>
      <c r="AJ1051" s="134"/>
      <c r="AK1051" s="134"/>
      <c r="AL1051" s="134"/>
      <c r="AM1051" s="146"/>
      <c r="AN1051" s="132"/>
      <c r="AO1051" s="132"/>
      <c r="AP1051" s="132"/>
      <c r="AQ1051" s="132"/>
      <c r="AR1051" s="134"/>
      <c r="AS1051" s="134"/>
      <c r="AT1051" s="132"/>
      <c r="AU1051" s="133"/>
      <c r="AV1051" s="134"/>
    </row>
    <row r="1052" spans="1:48">
      <c r="A1052" s="74">
        <v>21376</v>
      </c>
      <c r="B1052" s="74" t="s">
        <v>229</v>
      </c>
      <c r="C1052" s="74" t="s">
        <v>673</v>
      </c>
      <c r="D1052" s="74">
        <v>2072</v>
      </c>
      <c r="E1052" s="73">
        <v>0.27000001072883606</v>
      </c>
      <c r="F1052" s="73">
        <v>0.85000002384185791</v>
      </c>
      <c r="G1052" s="73">
        <v>0.23400000000000001</v>
      </c>
      <c r="H1052" s="73">
        <v>0.23000000417232513</v>
      </c>
      <c r="I1052" s="190">
        <v>3785.7640000000001</v>
      </c>
      <c r="J1052" s="134" t="str">
        <f t="shared" si="123"/>
        <v>ignore</v>
      </c>
      <c r="K1052" s="134" t="str">
        <f t="shared" si="124"/>
        <v>R0</v>
      </c>
      <c r="L1052" s="134" t="str">
        <f t="shared" si="125"/>
        <v>R0</v>
      </c>
      <c r="M1052" s="146" t="str">
        <f t="shared" si="121"/>
        <v>R0</v>
      </c>
      <c r="N1052" s="146" t="str">
        <f t="shared" si="122"/>
        <v>Double</v>
      </c>
      <c r="O1052" s="146" t="str">
        <f t="shared" si="126"/>
        <v>Heat PumpR0R0R0Double</v>
      </c>
      <c r="P1052" s="134" t="str">
        <f t="shared" si="127"/>
        <v>error</v>
      </c>
      <c r="Q1052" s="134"/>
      <c r="R1052" s="134"/>
      <c r="S1052" s="134"/>
      <c r="T1052" s="134"/>
      <c r="U1052" s="134"/>
      <c r="V1052" s="134"/>
      <c r="W1052" s="134"/>
      <c r="X1052" s="134"/>
      <c r="Y1052" s="134"/>
      <c r="Z1052" s="134"/>
      <c r="AA1052" s="134"/>
      <c r="AB1052" s="134"/>
      <c r="AC1052" s="134"/>
      <c r="AD1052" s="134"/>
      <c r="AE1052" s="134"/>
      <c r="AF1052" s="146"/>
      <c r="AG1052" s="134"/>
      <c r="AH1052" s="134"/>
      <c r="AI1052" s="134"/>
      <c r="AJ1052" s="134"/>
      <c r="AK1052" s="134"/>
      <c r="AL1052" s="134"/>
      <c r="AM1052" s="146"/>
      <c r="AN1052" s="132"/>
      <c r="AO1052" s="132"/>
      <c r="AP1052" s="132"/>
      <c r="AQ1052" s="132"/>
      <c r="AR1052" s="134"/>
      <c r="AS1052" s="134"/>
      <c r="AT1052" s="132"/>
      <c r="AU1052" s="133"/>
      <c r="AV1052" s="134"/>
    </row>
    <row r="1053" spans="1:48">
      <c r="A1053" s="74">
        <v>21384</v>
      </c>
      <c r="B1053" s="74" t="s">
        <v>227</v>
      </c>
      <c r="C1053" s="74" t="s">
        <v>673</v>
      </c>
      <c r="D1053" s="74">
        <v>2707</v>
      </c>
      <c r="E1053" s="73">
        <v>2.500000037252903E-2</v>
      </c>
      <c r="F1053" s="73">
        <v>0.44999998807907104</v>
      </c>
      <c r="G1053" s="73">
        <v>9.0000003576278687E-2</v>
      </c>
      <c r="H1053" s="73">
        <v>5.9999998658895493E-2</v>
      </c>
      <c r="I1053" s="190">
        <v>1904.288</v>
      </c>
      <c r="J1053" s="134" t="str">
        <f t="shared" si="123"/>
        <v>ignore</v>
      </c>
      <c r="K1053" s="134" t="str">
        <f t="shared" si="124"/>
        <v>R38</v>
      </c>
      <c r="L1053" s="134" t="str">
        <f t="shared" si="125"/>
        <v>R11</v>
      </c>
      <c r="M1053" s="146" t="str">
        <f t="shared" si="121"/>
        <v>R19</v>
      </c>
      <c r="N1053" s="146" t="str">
        <f t="shared" si="122"/>
        <v>Better</v>
      </c>
      <c r="O1053" s="146" t="str">
        <f t="shared" si="126"/>
        <v>Electric FAFR38R11R19Better</v>
      </c>
      <c r="P1053" s="134" t="str">
        <f t="shared" si="127"/>
        <v>error</v>
      </c>
      <c r="Q1053" s="134"/>
      <c r="R1053" s="134"/>
      <c r="S1053" s="134"/>
      <c r="T1053" s="134"/>
      <c r="U1053" s="134"/>
      <c r="V1053" s="134"/>
      <c r="W1053" s="134"/>
      <c r="X1053" s="134"/>
      <c r="Y1053" s="134"/>
      <c r="Z1053" s="134"/>
      <c r="AA1053" s="134"/>
      <c r="AB1053" s="134"/>
      <c r="AC1053" s="134"/>
      <c r="AD1053" s="134"/>
      <c r="AE1053" s="134"/>
      <c r="AF1053" s="146"/>
      <c r="AG1053" s="134"/>
      <c r="AH1053" s="134"/>
      <c r="AI1053" s="134"/>
      <c r="AJ1053" s="134"/>
      <c r="AK1053" s="134"/>
      <c r="AL1053" s="134"/>
      <c r="AM1053" s="146"/>
      <c r="AN1053" s="132"/>
      <c r="AO1053" s="132"/>
      <c r="AP1053" s="132"/>
      <c r="AQ1053" s="132"/>
      <c r="AR1053" s="134"/>
      <c r="AS1053" s="134"/>
      <c r="AT1053" s="132"/>
      <c r="AU1053" s="133"/>
      <c r="AV1053" s="134"/>
    </row>
    <row r="1054" spans="1:48">
      <c r="A1054" s="74">
        <v>21405</v>
      </c>
      <c r="B1054" s="74" t="s">
        <v>229</v>
      </c>
      <c r="C1054" s="74" t="s">
        <v>673</v>
      </c>
      <c r="D1054" s="74">
        <v>2907</v>
      </c>
      <c r="E1054" s="73">
        <v>2.500000037252903E-2</v>
      </c>
      <c r="F1054" s="73">
        <v>0.71150443722716472</v>
      </c>
      <c r="G1054" s="73">
        <v>5.9999998658895493E-2</v>
      </c>
      <c r="H1054" s="73">
        <v>3.5000000149011612E-2</v>
      </c>
      <c r="I1054" s="190">
        <v>12271.31</v>
      </c>
      <c r="J1054" s="134" t="str">
        <f t="shared" si="123"/>
        <v>ignore</v>
      </c>
      <c r="K1054" s="134" t="str">
        <f t="shared" si="124"/>
        <v>R38</v>
      </c>
      <c r="L1054" s="134" t="str">
        <f t="shared" si="125"/>
        <v>R11</v>
      </c>
      <c r="M1054" s="146" t="str">
        <f t="shared" si="121"/>
        <v>Better</v>
      </c>
      <c r="N1054" s="146" t="str">
        <f t="shared" si="122"/>
        <v>Better</v>
      </c>
      <c r="O1054" s="146" t="str">
        <f t="shared" si="126"/>
        <v>Heat PumpR38R11BetterBetter</v>
      </c>
      <c r="P1054" s="134" t="str">
        <f t="shared" si="127"/>
        <v>error</v>
      </c>
      <c r="Q1054" s="134"/>
      <c r="R1054" s="134"/>
      <c r="S1054" s="134"/>
      <c r="T1054" s="134"/>
      <c r="U1054" s="134"/>
      <c r="V1054" s="134"/>
      <c r="W1054" s="134"/>
      <c r="X1054" s="134"/>
      <c r="Y1054" s="134"/>
      <c r="Z1054" s="134"/>
      <c r="AA1054" s="134"/>
      <c r="AB1054" s="134"/>
      <c r="AC1054" s="134"/>
      <c r="AD1054" s="134"/>
      <c r="AE1054" s="134"/>
      <c r="AF1054" s="146"/>
      <c r="AG1054" s="134"/>
      <c r="AH1054" s="134"/>
      <c r="AI1054" s="134"/>
      <c r="AJ1054" s="134"/>
      <c r="AK1054" s="134"/>
      <c r="AL1054" s="134"/>
      <c r="AM1054" s="146"/>
      <c r="AN1054" s="132"/>
      <c r="AO1054" s="132"/>
      <c r="AP1054" s="132"/>
      <c r="AQ1054" s="132"/>
      <c r="AR1054" s="134"/>
      <c r="AS1054" s="134"/>
      <c r="AT1054" s="132"/>
      <c r="AU1054" s="133"/>
      <c r="AV1054" s="134"/>
    </row>
    <row r="1055" spans="1:48">
      <c r="A1055" s="74">
        <v>21414</v>
      </c>
      <c r="B1055" s="74" t="s">
        <v>229</v>
      </c>
      <c r="C1055" s="74">
        <v>1</v>
      </c>
      <c r="D1055" s="74">
        <v>1369</v>
      </c>
      <c r="E1055" s="73">
        <v>7.5000002980232239E-2</v>
      </c>
      <c r="F1055" s="73">
        <v>0.55000001192092896</v>
      </c>
      <c r="G1055" s="73">
        <v>9.0000003576278687E-2</v>
      </c>
      <c r="H1055" s="73">
        <v>4.5000001788139343E-2</v>
      </c>
      <c r="I1055" s="190">
        <v>12271.31</v>
      </c>
      <c r="J1055" s="134" t="str">
        <f t="shared" si="123"/>
        <v>keep</v>
      </c>
      <c r="K1055" s="134" t="str">
        <f t="shared" si="124"/>
        <v>R19</v>
      </c>
      <c r="L1055" s="134" t="str">
        <f t="shared" si="125"/>
        <v>R11</v>
      </c>
      <c r="M1055" s="146" t="str">
        <f t="shared" si="121"/>
        <v>Better</v>
      </c>
      <c r="N1055" s="146" t="str">
        <f t="shared" si="122"/>
        <v>Better</v>
      </c>
      <c r="O1055" s="146" t="str">
        <f t="shared" si="126"/>
        <v>Heat PumpR19R11BetterBetter</v>
      </c>
      <c r="P1055" s="134" t="str">
        <f t="shared" si="127"/>
        <v>Crawlspace</v>
      </c>
      <c r="Q1055" s="134"/>
      <c r="R1055" s="134"/>
      <c r="S1055" s="134"/>
      <c r="T1055" s="134"/>
      <c r="U1055" s="134"/>
      <c r="V1055" s="134"/>
      <c r="W1055" s="134"/>
      <c r="X1055" s="134"/>
      <c r="Y1055" s="134"/>
      <c r="Z1055" s="134"/>
      <c r="AA1055" s="134"/>
      <c r="AB1055" s="134"/>
      <c r="AC1055" s="134"/>
      <c r="AD1055" s="134"/>
      <c r="AE1055" s="134"/>
      <c r="AF1055" s="146"/>
      <c r="AG1055" s="134"/>
      <c r="AH1055" s="134"/>
      <c r="AI1055" s="134"/>
      <c r="AJ1055" s="134"/>
      <c r="AK1055" s="134"/>
      <c r="AL1055" s="134"/>
      <c r="AM1055" s="146"/>
      <c r="AN1055" s="132"/>
      <c r="AO1055" s="132"/>
      <c r="AP1055" s="132"/>
      <c r="AQ1055" s="132"/>
      <c r="AR1055" s="134"/>
      <c r="AS1055" s="134"/>
      <c r="AT1055" s="132"/>
      <c r="AU1055" s="133"/>
      <c r="AV1055" s="134"/>
    </row>
    <row r="1056" spans="1:48">
      <c r="A1056" s="74">
        <v>21427</v>
      </c>
      <c r="B1056" s="74" t="s">
        <v>228</v>
      </c>
      <c r="C1056" s="74">
        <v>1</v>
      </c>
      <c r="D1056" s="74">
        <v>840</v>
      </c>
      <c r="E1056" s="73">
        <v>6.4000003039836884E-2</v>
      </c>
      <c r="F1056" s="73">
        <v>0.85000002384185791</v>
      </c>
      <c r="G1056" s="73">
        <v>9.0000003576278687E-2</v>
      </c>
      <c r="H1056" s="73">
        <v>4.5000001788139343E-2</v>
      </c>
      <c r="I1056" s="190">
        <v>1612.692</v>
      </c>
      <c r="J1056" s="134" t="str">
        <f t="shared" si="123"/>
        <v>keep</v>
      </c>
      <c r="K1056" s="134" t="str">
        <f t="shared" si="124"/>
        <v>R19</v>
      </c>
      <c r="L1056" s="134" t="str">
        <f t="shared" si="125"/>
        <v>R11</v>
      </c>
      <c r="M1056" s="146" t="str">
        <f t="shared" si="121"/>
        <v>Better</v>
      </c>
      <c r="N1056" s="146" t="str">
        <f t="shared" si="122"/>
        <v>Double</v>
      </c>
      <c r="O1056" s="146" t="str">
        <f t="shared" si="126"/>
        <v>Electric ZonalR19R11BetterDouble</v>
      </c>
      <c r="P1056" s="134" t="str">
        <f t="shared" si="127"/>
        <v>Crawlspace</v>
      </c>
      <c r="Q1056" s="134"/>
      <c r="R1056" s="134"/>
      <c r="S1056" s="134"/>
      <c r="T1056" s="134"/>
      <c r="U1056" s="134"/>
      <c r="V1056" s="134"/>
      <c r="W1056" s="134"/>
      <c r="X1056" s="134"/>
      <c r="Y1056" s="134"/>
      <c r="Z1056" s="134"/>
      <c r="AA1056" s="134"/>
      <c r="AB1056" s="134"/>
      <c r="AC1056" s="134"/>
      <c r="AD1056" s="134"/>
      <c r="AE1056" s="134"/>
      <c r="AF1056" s="146"/>
      <c r="AG1056" s="134"/>
      <c r="AH1056" s="134"/>
      <c r="AI1056" s="134"/>
      <c r="AJ1056" s="134"/>
      <c r="AK1056" s="134"/>
      <c r="AL1056" s="134"/>
      <c r="AM1056" s="146"/>
      <c r="AN1056" s="132"/>
      <c r="AO1056" s="132"/>
      <c r="AP1056" s="132"/>
      <c r="AQ1056" s="132"/>
      <c r="AR1056" s="134"/>
      <c r="AS1056" s="134"/>
      <c r="AT1056" s="132"/>
      <c r="AU1056" s="133"/>
      <c r="AV1056" s="134"/>
    </row>
    <row r="1057" spans="1:48">
      <c r="A1057" s="74">
        <v>21438</v>
      </c>
      <c r="B1057" s="74" t="s">
        <v>229</v>
      </c>
      <c r="C1057" s="74">
        <v>1</v>
      </c>
      <c r="D1057" s="74">
        <v>1635</v>
      </c>
      <c r="E1057" s="73">
        <v>3.5000000149011612E-2</v>
      </c>
      <c r="F1057" s="73">
        <v>0.64371509608609712</v>
      </c>
      <c r="G1057" s="73">
        <v>5.9999998658895493E-2</v>
      </c>
      <c r="H1057" s="73">
        <v>6.4999997615814209E-2</v>
      </c>
      <c r="I1057" s="190">
        <v>1612.692</v>
      </c>
      <c r="J1057" s="134" t="str">
        <f t="shared" si="123"/>
        <v>keep</v>
      </c>
      <c r="K1057" s="134" t="str">
        <f t="shared" si="124"/>
        <v>R38</v>
      </c>
      <c r="L1057" s="134" t="str">
        <f t="shared" si="125"/>
        <v>R11</v>
      </c>
      <c r="M1057" s="146" t="str">
        <f t="shared" si="121"/>
        <v>R19</v>
      </c>
      <c r="N1057" s="146" t="str">
        <f t="shared" si="122"/>
        <v>Better</v>
      </c>
      <c r="O1057" s="146" t="str">
        <f t="shared" si="126"/>
        <v>Heat PumpR38R11R19Better</v>
      </c>
      <c r="P1057" s="134" t="str">
        <f t="shared" si="127"/>
        <v>Crawlspace</v>
      </c>
      <c r="Q1057" s="134"/>
      <c r="R1057" s="134"/>
      <c r="S1057" s="134"/>
      <c r="T1057" s="134"/>
      <c r="U1057" s="134"/>
      <c r="V1057" s="134"/>
      <c r="W1057" s="134"/>
      <c r="X1057" s="134"/>
      <c r="Y1057" s="134"/>
      <c r="Z1057" s="134"/>
      <c r="AA1057" s="134"/>
      <c r="AB1057" s="134"/>
      <c r="AC1057" s="134"/>
      <c r="AD1057" s="134"/>
      <c r="AE1057" s="134"/>
      <c r="AF1057" s="146"/>
      <c r="AG1057" s="134"/>
      <c r="AH1057" s="134"/>
      <c r="AI1057" s="134"/>
      <c r="AJ1057" s="134"/>
      <c r="AK1057" s="134"/>
      <c r="AL1057" s="134"/>
      <c r="AM1057" s="146"/>
      <c r="AN1057" s="132"/>
      <c r="AO1057" s="132"/>
      <c r="AP1057" s="132"/>
      <c r="AQ1057" s="132"/>
      <c r="AR1057" s="134"/>
      <c r="AS1057" s="134"/>
      <c r="AT1057" s="132"/>
      <c r="AU1057" s="133"/>
      <c r="AV1057" s="134"/>
    </row>
    <row r="1058" spans="1:48">
      <c r="A1058" s="74">
        <v>21452</v>
      </c>
      <c r="B1058" s="74" t="s">
        <v>229</v>
      </c>
      <c r="C1058" s="74">
        <v>1</v>
      </c>
      <c r="D1058" s="74">
        <v>1230</v>
      </c>
      <c r="E1058" s="73">
        <v>2.500000037252903E-2</v>
      </c>
      <c r="F1058" s="73">
        <v>0.60000002384185791</v>
      </c>
      <c r="G1058" s="73">
        <v>9.0000003576278687E-2</v>
      </c>
      <c r="H1058" s="73">
        <v>4.5000001788139343E-2</v>
      </c>
      <c r="I1058" s="190">
        <v>1904.288</v>
      </c>
      <c r="J1058" s="134" t="str">
        <f t="shared" si="123"/>
        <v>keep</v>
      </c>
      <c r="K1058" s="134" t="str">
        <f t="shared" si="124"/>
        <v>R38</v>
      </c>
      <c r="L1058" s="134" t="str">
        <f t="shared" si="125"/>
        <v>R11</v>
      </c>
      <c r="M1058" s="146" t="str">
        <f t="shared" si="121"/>
        <v>Better</v>
      </c>
      <c r="N1058" s="146" t="str">
        <f t="shared" si="122"/>
        <v>Better</v>
      </c>
      <c r="O1058" s="146" t="str">
        <f t="shared" si="126"/>
        <v>Heat PumpR38R11BetterBetter</v>
      </c>
      <c r="P1058" s="134" t="str">
        <f t="shared" si="127"/>
        <v>Crawlspace</v>
      </c>
      <c r="Q1058" s="134"/>
      <c r="R1058" s="134"/>
      <c r="S1058" s="134"/>
      <c r="T1058" s="134"/>
      <c r="U1058" s="134"/>
      <c r="V1058" s="134"/>
      <c r="W1058" s="134"/>
      <c r="X1058" s="134"/>
      <c r="Y1058" s="134"/>
      <c r="Z1058" s="134"/>
      <c r="AA1058" s="134"/>
      <c r="AB1058" s="134"/>
      <c r="AC1058" s="134"/>
      <c r="AD1058" s="134"/>
      <c r="AE1058" s="134"/>
      <c r="AF1058" s="146"/>
      <c r="AG1058" s="134"/>
      <c r="AH1058" s="134"/>
      <c r="AI1058" s="134"/>
      <c r="AJ1058" s="134"/>
      <c r="AK1058" s="134"/>
      <c r="AL1058" s="134"/>
      <c r="AM1058" s="146"/>
      <c r="AN1058" s="132"/>
      <c r="AO1058" s="132"/>
      <c r="AP1058" s="132"/>
      <c r="AQ1058" s="132"/>
      <c r="AR1058" s="134"/>
      <c r="AS1058" s="134"/>
      <c r="AT1058" s="132"/>
      <c r="AU1058" s="133"/>
      <c r="AV1058" s="134"/>
    </row>
    <row r="1059" spans="1:48">
      <c r="A1059" s="74">
        <v>21456</v>
      </c>
      <c r="B1059" s="74" t="s">
        <v>228</v>
      </c>
      <c r="C1059" s="74">
        <v>1</v>
      </c>
      <c r="D1059" s="74">
        <v>672</v>
      </c>
      <c r="E1059" s="73">
        <v>0.25</v>
      </c>
      <c r="F1059" s="73">
        <v>0.55000001192092896</v>
      </c>
      <c r="G1059" s="73">
        <v>9.0000003576278687E-2</v>
      </c>
      <c r="H1059" s="73">
        <v>0.23000000417232513</v>
      </c>
      <c r="I1059" s="190">
        <v>1612.692</v>
      </c>
      <c r="J1059" s="134" t="str">
        <f t="shared" si="123"/>
        <v>keep</v>
      </c>
      <c r="K1059" s="134" t="str">
        <f t="shared" si="124"/>
        <v>R0</v>
      </c>
      <c r="L1059" s="134" t="str">
        <f t="shared" si="125"/>
        <v>R11</v>
      </c>
      <c r="M1059" s="146" t="str">
        <f t="shared" si="121"/>
        <v>R0</v>
      </c>
      <c r="N1059" s="146" t="str">
        <f t="shared" si="122"/>
        <v>Better</v>
      </c>
      <c r="O1059" s="146" t="str">
        <f t="shared" si="126"/>
        <v>Electric ZonalR0R11R0Better</v>
      </c>
      <c r="P1059" s="134" t="str">
        <f t="shared" si="127"/>
        <v>Crawlspace</v>
      </c>
      <c r="Q1059" s="134"/>
      <c r="R1059" s="134"/>
      <c r="S1059" s="134"/>
      <c r="T1059" s="134"/>
      <c r="U1059" s="134"/>
      <c r="V1059" s="134"/>
      <c r="W1059" s="134"/>
      <c r="X1059" s="134"/>
      <c r="Y1059" s="134"/>
      <c r="Z1059" s="134"/>
      <c r="AA1059" s="134"/>
      <c r="AB1059" s="134"/>
      <c r="AC1059" s="134"/>
      <c r="AD1059" s="134"/>
      <c r="AE1059" s="134"/>
      <c r="AF1059" s="146"/>
      <c r="AG1059" s="134"/>
      <c r="AH1059" s="134"/>
      <c r="AI1059" s="134"/>
      <c r="AJ1059" s="134"/>
      <c r="AK1059" s="134"/>
      <c r="AL1059" s="134"/>
      <c r="AM1059" s="146"/>
      <c r="AN1059" s="132"/>
      <c r="AO1059" s="132"/>
      <c r="AP1059" s="132"/>
      <c r="AQ1059" s="132"/>
      <c r="AR1059" s="134"/>
      <c r="AS1059" s="134"/>
      <c r="AT1059" s="132"/>
      <c r="AU1059" s="133"/>
      <c r="AV1059" s="134"/>
    </row>
    <row r="1060" spans="1:48">
      <c r="A1060" s="74">
        <v>21459</v>
      </c>
      <c r="B1060" s="74" t="s">
        <v>228</v>
      </c>
      <c r="C1060" s="74">
        <v>4</v>
      </c>
      <c r="D1060" s="74">
        <v>3050</v>
      </c>
      <c r="E1060" s="73">
        <v>5.7295084243915113E-2</v>
      </c>
      <c r="F1060" s="73">
        <v>0.44999998807907104</v>
      </c>
      <c r="G1060" s="73">
        <v>3.9999999105930328E-2</v>
      </c>
      <c r="H1060" s="73">
        <v>0</v>
      </c>
      <c r="I1060" s="190">
        <v>1144.6790000000001</v>
      </c>
      <c r="J1060" s="134" t="str">
        <f t="shared" si="123"/>
        <v>keep</v>
      </c>
      <c r="K1060" s="134" t="str">
        <f t="shared" si="124"/>
        <v>R19</v>
      </c>
      <c r="L1060" s="134" t="str">
        <f t="shared" si="125"/>
        <v>R11</v>
      </c>
      <c r="M1060" s="146" t="str">
        <f t="shared" si="121"/>
        <v>Basement</v>
      </c>
      <c r="N1060" s="146" t="str">
        <f t="shared" si="122"/>
        <v>Better</v>
      </c>
      <c r="O1060" s="146" t="str">
        <f t="shared" si="126"/>
        <v>Electric ZonalR19R11BasementBetter</v>
      </c>
      <c r="P1060" s="134" t="str">
        <f t="shared" si="127"/>
        <v>Basement</v>
      </c>
      <c r="Q1060" s="134"/>
      <c r="R1060" s="134"/>
      <c r="S1060" s="134"/>
      <c r="T1060" s="134"/>
      <c r="U1060" s="134"/>
      <c r="V1060" s="134"/>
      <c r="W1060" s="134"/>
      <c r="X1060" s="134"/>
      <c r="Y1060" s="134"/>
      <c r="Z1060" s="134"/>
      <c r="AA1060" s="134"/>
      <c r="AB1060" s="134"/>
      <c r="AC1060" s="134"/>
      <c r="AD1060" s="134"/>
      <c r="AE1060" s="134"/>
      <c r="AF1060" s="146"/>
      <c r="AG1060" s="134"/>
      <c r="AH1060" s="134"/>
      <c r="AI1060" s="134"/>
      <c r="AJ1060" s="134"/>
      <c r="AK1060" s="134"/>
      <c r="AL1060" s="134"/>
      <c r="AM1060" s="146"/>
      <c r="AN1060" s="132"/>
      <c r="AO1060" s="132"/>
      <c r="AP1060" s="132"/>
      <c r="AQ1060" s="132"/>
      <c r="AR1060" s="134"/>
      <c r="AS1060" s="134"/>
      <c r="AT1060" s="132"/>
      <c r="AU1060" s="133"/>
      <c r="AV1060" s="134"/>
    </row>
    <row r="1061" spans="1:48">
      <c r="A1061" s="74">
        <v>21464</v>
      </c>
      <c r="B1061" s="74" t="s">
        <v>228</v>
      </c>
      <c r="C1061" s="74" t="s">
        <v>673</v>
      </c>
      <c r="D1061" s="74">
        <v>1960</v>
      </c>
      <c r="E1061" s="73">
        <v>7.9999998211860657E-2</v>
      </c>
      <c r="F1061" s="73">
        <v>0.55000001192092896</v>
      </c>
      <c r="G1061" s="73">
        <v>9.0000003576278687E-2</v>
      </c>
      <c r="H1061" s="73">
        <v>9.0000003576278687E-2</v>
      </c>
      <c r="I1061" s="190">
        <v>1192.4649999999999</v>
      </c>
      <c r="J1061" s="134" t="str">
        <f t="shared" si="123"/>
        <v>ignore</v>
      </c>
      <c r="K1061" s="134" t="str">
        <f t="shared" si="124"/>
        <v>R19</v>
      </c>
      <c r="L1061" s="134" t="str">
        <f t="shared" si="125"/>
        <v>R11</v>
      </c>
      <c r="M1061" s="146" t="str">
        <f t="shared" si="121"/>
        <v>R0</v>
      </c>
      <c r="N1061" s="146" t="str">
        <f t="shared" si="122"/>
        <v>Better</v>
      </c>
      <c r="O1061" s="146" t="str">
        <f t="shared" si="126"/>
        <v>Electric ZonalR19R11R0Better</v>
      </c>
      <c r="P1061" s="134" t="str">
        <f t="shared" si="127"/>
        <v>error</v>
      </c>
      <c r="Q1061" s="134"/>
      <c r="R1061" s="134"/>
      <c r="S1061" s="134"/>
      <c r="T1061" s="134"/>
      <c r="U1061" s="134"/>
      <c r="V1061" s="134"/>
      <c r="W1061" s="134"/>
      <c r="X1061" s="134"/>
      <c r="Y1061" s="134"/>
      <c r="Z1061" s="134"/>
      <c r="AA1061" s="134"/>
      <c r="AB1061" s="134"/>
      <c r="AC1061" s="134"/>
      <c r="AD1061" s="134"/>
      <c r="AE1061" s="134"/>
      <c r="AF1061" s="146"/>
      <c r="AG1061" s="134"/>
      <c r="AH1061" s="134"/>
      <c r="AI1061" s="134"/>
      <c r="AJ1061" s="134"/>
      <c r="AK1061" s="134"/>
      <c r="AL1061" s="134"/>
      <c r="AM1061" s="146"/>
      <c r="AN1061" s="132"/>
      <c r="AO1061" s="132"/>
      <c r="AP1061" s="132"/>
      <c r="AQ1061" s="132"/>
      <c r="AR1061" s="134"/>
      <c r="AS1061" s="134"/>
      <c r="AT1061" s="132"/>
      <c r="AU1061" s="133"/>
      <c r="AV1061" s="134"/>
    </row>
    <row r="1062" spans="1:48">
      <c r="A1062" s="74">
        <v>21469</v>
      </c>
      <c r="B1062" s="74" t="s">
        <v>227</v>
      </c>
      <c r="C1062" s="74">
        <v>4</v>
      </c>
      <c r="D1062" s="74">
        <v>2200</v>
      </c>
      <c r="E1062" s="73">
        <v>4.5000001788139343E-2</v>
      </c>
      <c r="F1062" s="73">
        <v>0.85000002384185791</v>
      </c>
      <c r="G1062" s="73">
        <v>9.0000003576278687E-2</v>
      </c>
      <c r="H1062" s="73">
        <v>0</v>
      </c>
      <c r="I1062" s="190">
        <v>1904.288</v>
      </c>
      <c r="J1062" s="134" t="str">
        <f t="shared" si="123"/>
        <v>keep</v>
      </c>
      <c r="K1062" s="134" t="str">
        <f t="shared" si="124"/>
        <v>R30</v>
      </c>
      <c r="L1062" s="134" t="str">
        <f t="shared" si="125"/>
        <v>R11</v>
      </c>
      <c r="M1062" s="146" t="str">
        <f t="shared" si="121"/>
        <v>Basement</v>
      </c>
      <c r="N1062" s="146" t="str">
        <f t="shared" si="122"/>
        <v>Double</v>
      </c>
      <c r="O1062" s="146" t="str">
        <f t="shared" si="126"/>
        <v>Electric FAFR30R11BasementDouble</v>
      </c>
      <c r="P1062" s="134" t="str">
        <f t="shared" si="127"/>
        <v>Basement</v>
      </c>
      <c r="Q1062" s="134"/>
      <c r="R1062" s="134"/>
      <c r="S1062" s="134"/>
      <c r="T1062" s="134"/>
      <c r="U1062" s="134"/>
      <c r="V1062" s="134"/>
      <c r="W1062" s="134"/>
      <c r="X1062" s="134"/>
      <c r="Y1062" s="134"/>
      <c r="Z1062" s="134"/>
      <c r="AA1062" s="134"/>
      <c r="AB1062" s="134"/>
      <c r="AC1062" s="134"/>
      <c r="AD1062" s="134"/>
      <c r="AE1062" s="134"/>
      <c r="AF1062" s="146"/>
      <c r="AG1062" s="134"/>
      <c r="AH1062" s="134"/>
      <c r="AI1062" s="134"/>
      <c r="AJ1062" s="134"/>
      <c r="AK1062" s="134"/>
      <c r="AL1062" s="134"/>
      <c r="AM1062" s="146"/>
      <c r="AN1062" s="132"/>
      <c r="AO1062" s="132"/>
      <c r="AP1062" s="132"/>
      <c r="AQ1062" s="132"/>
      <c r="AR1062" s="134"/>
      <c r="AS1062" s="134"/>
      <c r="AT1062" s="132"/>
      <c r="AU1062" s="133"/>
      <c r="AV1062" s="134"/>
    </row>
    <row r="1063" spans="1:48">
      <c r="A1063" s="74">
        <v>21471</v>
      </c>
      <c r="B1063" s="74" t="s">
        <v>229</v>
      </c>
      <c r="C1063" s="74">
        <v>1</v>
      </c>
      <c r="D1063" s="74">
        <v>2521</v>
      </c>
      <c r="E1063" s="73">
        <v>0.14499999582767487</v>
      </c>
      <c r="F1063" s="73">
        <v>0.69285715721091445</v>
      </c>
      <c r="G1063" s="73">
        <v>7.9999998211860657E-2</v>
      </c>
      <c r="H1063" s="73">
        <v>9.0000003576278687E-2</v>
      </c>
      <c r="I1063" s="190">
        <v>2079.9929999999999</v>
      </c>
      <c r="J1063" s="134" t="str">
        <f t="shared" si="123"/>
        <v>keep</v>
      </c>
      <c r="K1063" s="134" t="str">
        <f t="shared" si="124"/>
        <v>R11</v>
      </c>
      <c r="L1063" s="134" t="str">
        <f t="shared" si="125"/>
        <v>R11</v>
      </c>
      <c r="M1063" s="146" t="str">
        <f t="shared" si="121"/>
        <v>R0</v>
      </c>
      <c r="N1063" s="146" t="str">
        <f t="shared" si="122"/>
        <v>Better</v>
      </c>
      <c r="O1063" s="146" t="str">
        <f t="shared" si="126"/>
        <v>Heat PumpR11R11R0Better</v>
      </c>
      <c r="P1063" s="134" t="str">
        <f t="shared" si="127"/>
        <v>Crawlspace</v>
      </c>
      <c r="Q1063" s="134"/>
      <c r="R1063" s="134"/>
      <c r="S1063" s="134"/>
      <c r="T1063" s="134"/>
      <c r="U1063" s="134"/>
      <c r="V1063" s="134"/>
      <c r="W1063" s="134"/>
      <c r="X1063" s="134"/>
      <c r="Y1063" s="134"/>
      <c r="Z1063" s="134"/>
      <c r="AA1063" s="134"/>
      <c r="AB1063" s="134"/>
      <c r="AC1063" s="134"/>
      <c r="AD1063" s="134"/>
      <c r="AE1063" s="134"/>
      <c r="AF1063" s="146"/>
      <c r="AG1063" s="134"/>
      <c r="AH1063" s="134"/>
      <c r="AI1063" s="134"/>
      <c r="AJ1063" s="134"/>
      <c r="AK1063" s="134"/>
      <c r="AL1063" s="134"/>
      <c r="AM1063" s="146"/>
      <c r="AN1063" s="132"/>
      <c r="AO1063" s="132"/>
      <c r="AP1063" s="132"/>
      <c r="AQ1063" s="132"/>
      <c r="AR1063" s="134"/>
      <c r="AS1063" s="134"/>
      <c r="AT1063" s="132"/>
      <c r="AU1063" s="133"/>
      <c r="AV1063" s="134"/>
    </row>
    <row r="1064" spans="1:48">
      <c r="A1064" s="74">
        <v>21483</v>
      </c>
      <c r="B1064" s="74" t="s">
        <v>229</v>
      </c>
      <c r="C1064" s="74">
        <v>1</v>
      </c>
      <c r="D1064" s="74">
        <v>1856</v>
      </c>
      <c r="E1064" s="73">
        <v>7.5000002980232239E-2</v>
      </c>
      <c r="F1064" s="73">
        <v>0.55000001192092896</v>
      </c>
      <c r="G1064" s="73">
        <v>5.9999998658895493E-2</v>
      </c>
      <c r="H1064" s="73">
        <v>3.5000000149011612E-2</v>
      </c>
      <c r="I1064" s="190">
        <v>1904.288</v>
      </c>
      <c r="J1064" s="134" t="str">
        <f t="shared" si="123"/>
        <v>keep</v>
      </c>
      <c r="K1064" s="134" t="str">
        <f t="shared" si="124"/>
        <v>R19</v>
      </c>
      <c r="L1064" s="134" t="str">
        <f t="shared" si="125"/>
        <v>R11</v>
      </c>
      <c r="M1064" s="146" t="str">
        <f t="shared" si="121"/>
        <v>Better</v>
      </c>
      <c r="N1064" s="146" t="str">
        <f t="shared" si="122"/>
        <v>Better</v>
      </c>
      <c r="O1064" s="146" t="str">
        <f t="shared" si="126"/>
        <v>Heat PumpR19R11BetterBetter</v>
      </c>
      <c r="P1064" s="134" t="str">
        <f t="shared" si="127"/>
        <v>Crawlspace</v>
      </c>
      <c r="Q1064" s="134"/>
      <c r="R1064" s="134"/>
      <c r="S1064" s="134"/>
      <c r="T1064" s="134"/>
      <c r="U1064" s="134"/>
      <c r="V1064" s="134"/>
      <c r="W1064" s="134"/>
      <c r="X1064" s="134"/>
      <c r="Y1064" s="134"/>
      <c r="Z1064" s="134"/>
      <c r="AA1064" s="134"/>
      <c r="AB1064" s="134"/>
      <c r="AC1064" s="134"/>
      <c r="AD1064" s="134"/>
      <c r="AE1064" s="134"/>
      <c r="AF1064" s="146"/>
      <c r="AG1064" s="134"/>
      <c r="AH1064" s="134"/>
      <c r="AI1064" s="134"/>
      <c r="AJ1064" s="134"/>
      <c r="AK1064" s="134"/>
      <c r="AL1064" s="134"/>
      <c r="AM1064" s="146"/>
      <c r="AN1064" s="132"/>
      <c r="AO1064" s="132"/>
      <c r="AP1064" s="132"/>
      <c r="AQ1064" s="132"/>
      <c r="AR1064" s="134"/>
      <c r="AS1064" s="134"/>
      <c r="AT1064" s="132"/>
      <c r="AU1064" s="133"/>
      <c r="AV1064" s="134"/>
    </row>
    <row r="1065" spans="1:48">
      <c r="A1065" s="74">
        <v>21486</v>
      </c>
      <c r="B1065" s="74" t="s">
        <v>229</v>
      </c>
      <c r="C1065" s="74">
        <v>1</v>
      </c>
      <c r="D1065" s="74">
        <v>1225</v>
      </c>
      <c r="E1065" s="73">
        <v>1.9999999552965164E-2</v>
      </c>
      <c r="F1065" s="73">
        <v>0.55000001192092896</v>
      </c>
      <c r="G1065" s="73">
        <v>9.0000003576278687E-2</v>
      </c>
      <c r="H1065" s="73">
        <v>3.5000000149011612E-2</v>
      </c>
      <c r="I1065" s="190">
        <v>1612.692</v>
      </c>
      <c r="J1065" s="134" t="str">
        <f t="shared" si="123"/>
        <v>keep</v>
      </c>
      <c r="K1065" s="134" t="str">
        <f t="shared" si="124"/>
        <v>R38</v>
      </c>
      <c r="L1065" s="134" t="str">
        <f t="shared" si="125"/>
        <v>R11</v>
      </c>
      <c r="M1065" s="146" t="str">
        <f t="shared" si="121"/>
        <v>Better</v>
      </c>
      <c r="N1065" s="146" t="str">
        <f t="shared" si="122"/>
        <v>Better</v>
      </c>
      <c r="O1065" s="146" t="str">
        <f t="shared" si="126"/>
        <v>Heat PumpR38R11BetterBetter</v>
      </c>
      <c r="P1065" s="134" t="str">
        <f t="shared" si="127"/>
        <v>Crawlspace</v>
      </c>
      <c r="Q1065" s="134"/>
      <c r="R1065" s="134"/>
      <c r="S1065" s="134"/>
      <c r="T1065" s="134"/>
      <c r="U1065" s="134"/>
      <c r="V1065" s="134"/>
      <c r="W1065" s="134"/>
      <c r="X1065" s="134"/>
      <c r="Y1065" s="134"/>
      <c r="Z1065" s="134"/>
      <c r="AA1065" s="134"/>
      <c r="AB1065" s="134"/>
      <c r="AC1065" s="134"/>
      <c r="AD1065" s="134"/>
      <c r="AE1065" s="134"/>
      <c r="AF1065" s="146"/>
      <c r="AG1065" s="134"/>
      <c r="AH1065" s="134"/>
      <c r="AI1065" s="134"/>
      <c r="AJ1065" s="134"/>
      <c r="AK1065" s="134"/>
      <c r="AL1065" s="134"/>
      <c r="AM1065" s="146"/>
      <c r="AN1065" s="132"/>
      <c r="AO1065" s="132"/>
      <c r="AP1065" s="132"/>
      <c r="AQ1065" s="132"/>
      <c r="AR1065" s="134"/>
      <c r="AS1065" s="134"/>
      <c r="AT1065" s="132"/>
      <c r="AU1065" s="133"/>
      <c r="AV1065" s="134"/>
    </row>
    <row r="1066" spans="1:48">
      <c r="A1066" s="74">
        <v>21487</v>
      </c>
      <c r="B1066" s="74" t="s">
        <v>228</v>
      </c>
      <c r="C1066" s="74">
        <v>4</v>
      </c>
      <c r="D1066" s="74">
        <v>2235</v>
      </c>
      <c r="E1066" s="73">
        <v>3.8728129422018857E-2</v>
      </c>
      <c r="F1066" s="73">
        <v>0.45394264134882173</v>
      </c>
      <c r="G1066" s="73">
        <v>7.5000002980232239E-2</v>
      </c>
      <c r="H1066" s="73">
        <v>0</v>
      </c>
      <c r="I1066" s="190">
        <v>8264.9449999999997</v>
      </c>
      <c r="J1066" s="134" t="str">
        <f t="shared" si="123"/>
        <v>keep</v>
      </c>
      <c r="K1066" s="134" t="str">
        <f t="shared" si="124"/>
        <v>R30</v>
      </c>
      <c r="L1066" s="134" t="str">
        <f t="shared" si="125"/>
        <v>R11</v>
      </c>
      <c r="M1066" s="146" t="str">
        <f t="shared" si="121"/>
        <v>Basement</v>
      </c>
      <c r="N1066" s="146" t="str">
        <f t="shared" si="122"/>
        <v>Better</v>
      </c>
      <c r="O1066" s="146" t="str">
        <f t="shared" si="126"/>
        <v>Electric ZonalR30R11BasementBetter</v>
      </c>
      <c r="P1066" s="134" t="str">
        <f t="shared" si="127"/>
        <v>Basement</v>
      </c>
      <c r="Q1066" s="134"/>
      <c r="R1066" s="134"/>
      <c r="S1066" s="134"/>
      <c r="T1066" s="134"/>
      <c r="U1066" s="134"/>
      <c r="V1066" s="134"/>
      <c r="W1066" s="134"/>
      <c r="X1066" s="134"/>
      <c r="Y1066" s="134"/>
      <c r="Z1066" s="134"/>
      <c r="AA1066" s="134"/>
      <c r="AB1066" s="134"/>
      <c r="AC1066" s="134"/>
      <c r="AD1066" s="134"/>
      <c r="AE1066" s="134"/>
      <c r="AF1066" s="146"/>
      <c r="AG1066" s="134"/>
      <c r="AH1066" s="134"/>
      <c r="AI1066" s="134"/>
      <c r="AJ1066" s="134"/>
      <c r="AK1066" s="134"/>
      <c r="AL1066" s="134"/>
      <c r="AM1066" s="146"/>
      <c r="AN1066" s="132"/>
      <c r="AO1066" s="132"/>
      <c r="AP1066" s="132"/>
      <c r="AQ1066" s="132"/>
      <c r="AR1066" s="134"/>
      <c r="AS1066" s="134"/>
      <c r="AT1066" s="132"/>
      <c r="AU1066" s="133"/>
      <c r="AV1066" s="134"/>
    </row>
    <row r="1067" spans="1:48">
      <c r="A1067" s="74">
        <v>21499</v>
      </c>
      <c r="B1067" s="74" t="s">
        <v>228</v>
      </c>
      <c r="C1067" s="74" t="s">
        <v>673</v>
      </c>
      <c r="D1067" s="74">
        <v>1264</v>
      </c>
      <c r="E1067" s="73">
        <v>0.1550000011920929</v>
      </c>
      <c r="F1067" s="73">
        <v>0.44999998807907104</v>
      </c>
      <c r="G1067" s="73">
        <v>0.23400000000000001</v>
      </c>
      <c r="H1067" s="73">
        <v>0</v>
      </c>
      <c r="I1067" s="190">
        <v>1904.288</v>
      </c>
      <c r="J1067" s="134" t="str">
        <f t="shared" si="123"/>
        <v>ignore</v>
      </c>
      <c r="K1067" s="134" t="str">
        <f t="shared" si="124"/>
        <v>R0</v>
      </c>
      <c r="L1067" s="134" t="str">
        <f t="shared" si="125"/>
        <v>R0</v>
      </c>
      <c r="M1067" s="146" t="str">
        <f t="shared" si="121"/>
        <v>Better</v>
      </c>
      <c r="N1067" s="146" t="str">
        <f t="shared" si="122"/>
        <v>Better</v>
      </c>
      <c r="O1067" s="146" t="str">
        <f t="shared" si="126"/>
        <v>Electric ZonalR0R0BetterBetter</v>
      </c>
      <c r="P1067" s="134" t="str">
        <f t="shared" si="127"/>
        <v>error</v>
      </c>
      <c r="Q1067" s="134"/>
      <c r="R1067" s="134"/>
      <c r="S1067" s="134"/>
      <c r="T1067" s="134"/>
      <c r="U1067" s="134"/>
      <c r="V1067" s="134"/>
      <c r="W1067" s="134"/>
      <c r="X1067" s="134"/>
      <c r="Y1067" s="134"/>
      <c r="Z1067" s="134"/>
      <c r="AA1067" s="134"/>
      <c r="AB1067" s="134"/>
      <c r="AC1067" s="134"/>
      <c r="AD1067" s="134"/>
      <c r="AE1067" s="134"/>
      <c r="AF1067" s="146"/>
      <c r="AG1067" s="134"/>
      <c r="AH1067" s="134"/>
      <c r="AI1067" s="134"/>
      <c r="AJ1067" s="134"/>
      <c r="AK1067" s="134"/>
      <c r="AL1067" s="134"/>
      <c r="AM1067" s="146"/>
      <c r="AN1067" s="132"/>
      <c r="AO1067" s="132"/>
      <c r="AP1067" s="132"/>
      <c r="AQ1067" s="132"/>
      <c r="AR1067" s="134"/>
      <c r="AS1067" s="134"/>
      <c r="AT1067" s="132"/>
      <c r="AU1067" s="133"/>
      <c r="AV1067" s="134"/>
    </row>
    <row r="1068" spans="1:48">
      <c r="A1068" s="74">
        <v>21504</v>
      </c>
      <c r="B1068" s="74" t="s">
        <v>227</v>
      </c>
      <c r="C1068" s="74">
        <v>4</v>
      </c>
      <c r="D1068" s="74">
        <v>1646</v>
      </c>
      <c r="E1068" s="73" t="e">
        <v>#VALUE!</v>
      </c>
      <c r="F1068" s="73">
        <v>0.44999998807907104</v>
      </c>
      <c r="G1068" s="73">
        <v>7.9999998211860657E-2</v>
      </c>
      <c r="H1068" s="73">
        <v>0</v>
      </c>
      <c r="I1068" s="190">
        <v>1144.6790000000001</v>
      </c>
      <c r="J1068" s="134" t="str">
        <f t="shared" si="123"/>
        <v>ignore</v>
      </c>
      <c r="K1068" s="134" t="e">
        <f t="shared" si="124"/>
        <v>#VALUE!</v>
      </c>
      <c r="L1068" s="134" t="str">
        <f t="shared" si="125"/>
        <v>R11</v>
      </c>
      <c r="M1068" s="146" t="str">
        <f t="shared" si="121"/>
        <v>Basement</v>
      </c>
      <c r="N1068" s="146" t="str">
        <f t="shared" si="122"/>
        <v>Better</v>
      </c>
      <c r="O1068" s="146" t="e">
        <f t="shared" si="126"/>
        <v>#VALUE!</v>
      </c>
      <c r="P1068" s="134" t="str">
        <f t="shared" si="127"/>
        <v>Basement</v>
      </c>
      <c r="Q1068" s="134"/>
      <c r="R1068" s="134"/>
      <c r="S1068" s="134"/>
      <c r="T1068" s="134"/>
      <c r="U1068" s="134"/>
      <c r="V1068" s="134"/>
      <c r="W1068" s="134"/>
      <c r="X1068" s="134"/>
      <c r="Y1068" s="134"/>
      <c r="Z1068" s="134"/>
      <c r="AA1068" s="134"/>
      <c r="AB1068" s="134"/>
      <c r="AC1068" s="134"/>
      <c r="AD1068" s="134"/>
      <c r="AE1068" s="134"/>
      <c r="AF1068" s="146"/>
      <c r="AG1068" s="134"/>
      <c r="AH1068" s="134"/>
      <c r="AI1068" s="134"/>
      <c r="AJ1068" s="134"/>
      <c r="AK1068" s="134"/>
      <c r="AL1068" s="134"/>
      <c r="AM1068" s="146"/>
      <c r="AN1068" s="132"/>
      <c r="AO1068" s="132"/>
      <c r="AP1068" s="132"/>
      <c r="AQ1068" s="132"/>
      <c r="AR1068" s="134"/>
      <c r="AS1068" s="134"/>
      <c r="AT1068" s="132"/>
      <c r="AU1068" s="133"/>
      <c r="AV1068" s="134"/>
    </row>
    <row r="1069" spans="1:48">
      <c r="A1069" s="74">
        <v>21524</v>
      </c>
      <c r="B1069" s="74" t="s">
        <v>229</v>
      </c>
      <c r="C1069" s="74">
        <v>1</v>
      </c>
      <c r="D1069" s="74">
        <v>2542</v>
      </c>
      <c r="E1069" s="73">
        <v>2.500000037252903E-2</v>
      </c>
      <c r="F1069" s="73">
        <v>0.47531249411404131</v>
      </c>
      <c r="G1069" s="73">
        <v>5.9999998658895493E-2</v>
      </c>
      <c r="H1069" s="73">
        <v>4.5000001788139343E-2</v>
      </c>
      <c r="I1069" s="190">
        <v>1904.288</v>
      </c>
      <c r="J1069" s="134" t="str">
        <f t="shared" si="123"/>
        <v>keep</v>
      </c>
      <c r="K1069" s="134" t="str">
        <f t="shared" si="124"/>
        <v>R38</v>
      </c>
      <c r="L1069" s="134" t="str">
        <f t="shared" si="125"/>
        <v>R11</v>
      </c>
      <c r="M1069" s="146" t="str">
        <f t="shared" si="121"/>
        <v>Better</v>
      </c>
      <c r="N1069" s="146" t="str">
        <f t="shared" si="122"/>
        <v>Better</v>
      </c>
      <c r="O1069" s="146" t="str">
        <f t="shared" si="126"/>
        <v>Heat PumpR38R11BetterBetter</v>
      </c>
      <c r="P1069" s="134" t="str">
        <f t="shared" si="127"/>
        <v>Crawlspace</v>
      </c>
      <c r="Q1069" s="134"/>
      <c r="R1069" s="134"/>
      <c r="S1069" s="134"/>
      <c r="T1069" s="134"/>
      <c r="U1069" s="134"/>
      <c r="V1069" s="134"/>
      <c r="W1069" s="134"/>
      <c r="X1069" s="134"/>
      <c r="Y1069" s="134"/>
      <c r="Z1069" s="134"/>
      <c r="AA1069" s="134"/>
      <c r="AB1069" s="134"/>
      <c r="AC1069" s="134"/>
      <c r="AD1069" s="134"/>
      <c r="AE1069" s="134"/>
      <c r="AF1069" s="146"/>
      <c r="AG1069" s="134"/>
      <c r="AH1069" s="134"/>
      <c r="AI1069" s="134"/>
      <c r="AJ1069" s="134"/>
      <c r="AK1069" s="134"/>
      <c r="AL1069" s="134"/>
      <c r="AM1069" s="146"/>
      <c r="AN1069" s="132"/>
      <c r="AO1069" s="132"/>
      <c r="AP1069" s="132"/>
      <c r="AQ1069" s="132"/>
      <c r="AR1069" s="134"/>
      <c r="AS1069" s="134"/>
      <c r="AT1069" s="132"/>
      <c r="AU1069" s="133"/>
      <c r="AV1069" s="134"/>
    </row>
    <row r="1070" spans="1:48">
      <c r="A1070" s="74">
        <v>21531</v>
      </c>
      <c r="B1070" s="74" t="s">
        <v>229</v>
      </c>
      <c r="C1070" s="74">
        <v>1</v>
      </c>
      <c r="D1070" s="74">
        <v>2249</v>
      </c>
      <c r="E1070" s="73">
        <v>2.500000037252903E-2</v>
      </c>
      <c r="F1070" s="73">
        <v>0.79166667908430099</v>
      </c>
      <c r="G1070" s="73">
        <v>9.0000003576278687E-2</v>
      </c>
      <c r="H1070" s="73">
        <v>4.5000001788139343E-2</v>
      </c>
      <c r="I1070" s="190">
        <v>4360.1880000000001</v>
      </c>
      <c r="J1070" s="134" t="str">
        <f t="shared" si="123"/>
        <v>keep</v>
      </c>
      <c r="K1070" s="134" t="str">
        <f t="shared" si="124"/>
        <v>R38</v>
      </c>
      <c r="L1070" s="134" t="str">
        <f t="shared" si="125"/>
        <v>R11</v>
      </c>
      <c r="M1070" s="146" t="str">
        <f t="shared" si="121"/>
        <v>Better</v>
      </c>
      <c r="N1070" s="146" t="str">
        <f t="shared" si="122"/>
        <v>Better</v>
      </c>
      <c r="O1070" s="146" t="str">
        <f t="shared" si="126"/>
        <v>Heat PumpR38R11BetterBetter</v>
      </c>
      <c r="P1070" s="134" t="str">
        <f t="shared" si="127"/>
        <v>Crawlspace</v>
      </c>
      <c r="Q1070" s="134"/>
      <c r="R1070" s="134"/>
      <c r="S1070" s="134"/>
      <c r="T1070" s="134"/>
      <c r="U1070" s="134"/>
      <c r="V1070" s="134"/>
      <c r="W1070" s="134"/>
      <c r="X1070" s="134"/>
      <c r="Y1070" s="134"/>
      <c r="Z1070" s="134"/>
      <c r="AA1070" s="134"/>
      <c r="AB1070" s="134"/>
      <c r="AC1070" s="134"/>
      <c r="AD1070" s="134"/>
      <c r="AE1070" s="134"/>
      <c r="AF1070" s="146"/>
      <c r="AG1070" s="134"/>
      <c r="AH1070" s="134"/>
      <c r="AI1070" s="134"/>
      <c r="AJ1070" s="134"/>
      <c r="AK1070" s="134"/>
      <c r="AL1070" s="134"/>
      <c r="AM1070" s="146"/>
      <c r="AN1070" s="132"/>
      <c r="AO1070" s="132"/>
      <c r="AP1070" s="132"/>
      <c r="AQ1070" s="132"/>
      <c r="AR1070" s="134"/>
      <c r="AS1070" s="134"/>
      <c r="AT1070" s="132"/>
      <c r="AU1070" s="133"/>
      <c r="AV1070" s="134"/>
    </row>
    <row r="1071" spans="1:48">
      <c r="A1071" s="74">
        <v>21532</v>
      </c>
      <c r="B1071" s="74" t="s">
        <v>229</v>
      </c>
      <c r="C1071" s="74">
        <v>1</v>
      </c>
      <c r="D1071" s="74">
        <v>2820</v>
      </c>
      <c r="E1071" s="73">
        <v>1.9999999552965164E-2</v>
      </c>
      <c r="F1071" s="73">
        <v>0.5046666677792867</v>
      </c>
      <c r="G1071" s="73">
        <v>5.9999998658895493E-2</v>
      </c>
      <c r="H1071" s="73">
        <v>3.5000000149011612E-2</v>
      </c>
      <c r="I1071" s="190">
        <v>1925.059</v>
      </c>
      <c r="J1071" s="134" t="str">
        <f t="shared" si="123"/>
        <v>keep</v>
      </c>
      <c r="K1071" s="134" t="str">
        <f t="shared" si="124"/>
        <v>R38</v>
      </c>
      <c r="L1071" s="134" t="str">
        <f t="shared" si="125"/>
        <v>R11</v>
      </c>
      <c r="M1071" s="146" t="str">
        <f t="shared" si="121"/>
        <v>Better</v>
      </c>
      <c r="N1071" s="146" t="str">
        <f t="shared" si="122"/>
        <v>Better</v>
      </c>
      <c r="O1071" s="146" t="str">
        <f t="shared" si="126"/>
        <v>Heat PumpR38R11BetterBetter</v>
      </c>
      <c r="P1071" s="134" t="str">
        <f t="shared" si="127"/>
        <v>Crawlspace</v>
      </c>
      <c r="Q1071" s="134"/>
      <c r="R1071" s="134"/>
      <c r="S1071" s="134"/>
      <c r="T1071" s="134"/>
      <c r="U1071" s="134"/>
      <c r="V1071" s="134"/>
      <c r="W1071" s="134"/>
      <c r="X1071" s="134"/>
      <c r="Y1071" s="134"/>
      <c r="Z1071" s="134"/>
      <c r="AA1071" s="134"/>
      <c r="AB1071" s="134"/>
      <c r="AC1071" s="134"/>
      <c r="AD1071" s="134"/>
      <c r="AE1071" s="134"/>
      <c r="AF1071" s="146"/>
      <c r="AG1071" s="134"/>
      <c r="AH1071" s="134"/>
      <c r="AI1071" s="134"/>
      <c r="AJ1071" s="134"/>
      <c r="AK1071" s="134"/>
      <c r="AL1071" s="134"/>
      <c r="AM1071" s="146"/>
      <c r="AN1071" s="132"/>
      <c r="AO1071" s="132"/>
      <c r="AP1071" s="132"/>
      <c r="AQ1071" s="132"/>
      <c r="AR1071" s="134"/>
      <c r="AS1071" s="134"/>
      <c r="AT1071" s="132"/>
      <c r="AU1071" s="133"/>
      <c r="AV1071" s="134"/>
    </row>
    <row r="1072" spans="1:48">
      <c r="A1072" s="74">
        <v>21537</v>
      </c>
      <c r="B1072" s="74" t="s">
        <v>228</v>
      </c>
      <c r="C1072" s="74">
        <v>2</v>
      </c>
      <c r="D1072" s="74">
        <v>1574</v>
      </c>
      <c r="E1072" s="73">
        <v>5.000000074505806E-2</v>
      </c>
      <c r="F1072" s="73">
        <v>0.55000001192092896</v>
      </c>
      <c r="G1072" s="73">
        <v>9.0000003576278687E-2</v>
      </c>
      <c r="H1072" s="73">
        <v>0</v>
      </c>
      <c r="I1072" s="190">
        <v>1612.692</v>
      </c>
      <c r="J1072" s="134" t="str">
        <f t="shared" si="123"/>
        <v>keep</v>
      </c>
      <c r="K1072" s="134" t="str">
        <f t="shared" si="124"/>
        <v>R30</v>
      </c>
      <c r="L1072" s="134" t="str">
        <f t="shared" si="125"/>
        <v>R11</v>
      </c>
      <c r="M1072" s="146" t="str">
        <f t="shared" si="121"/>
        <v>Slab</v>
      </c>
      <c r="N1072" s="146" t="str">
        <f t="shared" si="122"/>
        <v>Better</v>
      </c>
      <c r="O1072" s="146" t="str">
        <f t="shared" si="126"/>
        <v>Electric ZonalR30R11SlabBetter</v>
      </c>
      <c r="P1072" s="134" t="str">
        <f t="shared" si="127"/>
        <v>Slab</v>
      </c>
      <c r="Q1072" s="134"/>
      <c r="R1072" s="134"/>
      <c r="S1072" s="134"/>
      <c r="T1072" s="134"/>
      <c r="U1072" s="134"/>
      <c r="V1072" s="134"/>
      <c r="W1072" s="134"/>
      <c r="X1072" s="134"/>
      <c r="Y1072" s="134"/>
      <c r="Z1072" s="134"/>
      <c r="AA1072" s="134"/>
      <c r="AB1072" s="134"/>
      <c r="AC1072" s="134"/>
      <c r="AD1072" s="134"/>
      <c r="AE1072" s="134"/>
      <c r="AF1072" s="146"/>
      <c r="AG1072" s="134"/>
      <c r="AH1072" s="134"/>
      <c r="AI1072" s="134"/>
      <c r="AJ1072" s="134"/>
      <c r="AK1072" s="134"/>
      <c r="AL1072" s="134"/>
      <c r="AM1072" s="146"/>
      <c r="AN1072" s="132"/>
      <c r="AO1072" s="132"/>
      <c r="AP1072" s="132"/>
      <c r="AQ1072" s="132"/>
      <c r="AR1072" s="134"/>
      <c r="AS1072" s="134"/>
      <c r="AT1072" s="132"/>
      <c r="AU1072" s="133"/>
      <c r="AV1072" s="134"/>
    </row>
    <row r="1073" spans="1:48">
      <c r="A1073" s="74">
        <v>21578</v>
      </c>
      <c r="B1073" s="74" t="s">
        <v>227</v>
      </c>
      <c r="C1073" s="74">
        <v>1</v>
      </c>
      <c r="D1073" s="74">
        <v>3200</v>
      </c>
      <c r="E1073" s="73">
        <v>2.500000037252903E-2</v>
      </c>
      <c r="F1073" s="73">
        <v>0.63355978788888978</v>
      </c>
      <c r="G1073" s="73">
        <v>7.9999998211860657E-2</v>
      </c>
      <c r="H1073" s="73">
        <v>5.9999998658895493E-2</v>
      </c>
      <c r="I1073" s="190">
        <v>2079.9929999999999</v>
      </c>
      <c r="J1073" s="134" t="str">
        <f t="shared" si="123"/>
        <v>keep</v>
      </c>
      <c r="K1073" s="134" t="str">
        <f t="shared" si="124"/>
        <v>R38</v>
      </c>
      <c r="L1073" s="134" t="str">
        <f t="shared" si="125"/>
        <v>R11</v>
      </c>
      <c r="M1073" s="146" t="str">
        <f t="shared" si="121"/>
        <v>R19</v>
      </c>
      <c r="N1073" s="146" t="str">
        <f t="shared" si="122"/>
        <v>Better</v>
      </c>
      <c r="O1073" s="146" t="str">
        <f t="shared" si="126"/>
        <v>Electric FAFR38R11R19Better</v>
      </c>
      <c r="P1073" s="134" t="str">
        <f t="shared" si="127"/>
        <v>Crawlspace</v>
      </c>
      <c r="Q1073" s="134"/>
      <c r="R1073" s="134"/>
      <c r="S1073" s="134"/>
      <c r="T1073" s="134"/>
      <c r="U1073" s="134"/>
      <c r="V1073" s="134"/>
      <c r="W1073" s="134"/>
      <c r="X1073" s="134"/>
      <c r="Y1073" s="134"/>
      <c r="Z1073" s="134"/>
      <c r="AA1073" s="134"/>
      <c r="AB1073" s="134"/>
      <c r="AC1073" s="134"/>
      <c r="AD1073" s="134"/>
      <c r="AE1073" s="134"/>
      <c r="AF1073" s="146"/>
      <c r="AG1073" s="134"/>
      <c r="AH1073" s="134"/>
      <c r="AI1073" s="134"/>
      <c r="AJ1073" s="134"/>
      <c r="AK1073" s="134"/>
      <c r="AL1073" s="134"/>
      <c r="AM1073" s="146"/>
      <c r="AN1073" s="132"/>
      <c r="AO1073" s="132"/>
      <c r="AP1073" s="132"/>
      <c r="AQ1073" s="132"/>
      <c r="AR1073" s="134"/>
      <c r="AS1073" s="134"/>
      <c r="AT1073" s="132"/>
      <c r="AU1073" s="133"/>
      <c r="AV1073" s="134"/>
    </row>
    <row r="1074" spans="1:48">
      <c r="A1074" s="74">
        <v>21588</v>
      </c>
      <c r="B1074" s="74" t="s">
        <v>228</v>
      </c>
      <c r="C1074" s="74">
        <v>2</v>
      </c>
      <c r="D1074" s="74">
        <v>950</v>
      </c>
      <c r="E1074" s="73" t="e">
        <v>#VALUE!</v>
      </c>
      <c r="F1074" s="73">
        <v>0.60000002384185791</v>
      </c>
      <c r="G1074" s="73">
        <v>5.9999998658895493E-2</v>
      </c>
      <c r="H1074" s="73">
        <v>0</v>
      </c>
      <c r="I1074" s="190">
        <v>3785.7640000000001</v>
      </c>
      <c r="J1074" s="134" t="str">
        <f t="shared" si="123"/>
        <v>ignore</v>
      </c>
      <c r="K1074" s="134" t="e">
        <f t="shared" si="124"/>
        <v>#VALUE!</v>
      </c>
      <c r="L1074" s="134" t="str">
        <f t="shared" si="125"/>
        <v>R11</v>
      </c>
      <c r="M1074" s="146" t="str">
        <f t="shared" si="121"/>
        <v>Slab</v>
      </c>
      <c r="N1074" s="146" t="str">
        <f t="shared" si="122"/>
        <v>Better</v>
      </c>
      <c r="O1074" s="146" t="e">
        <f t="shared" si="126"/>
        <v>#VALUE!</v>
      </c>
      <c r="P1074" s="134" t="str">
        <f t="shared" si="127"/>
        <v>Slab</v>
      </c>
      <c r="Q1074" s="134"/>
      <c r="R1074" s="134"/>
      <c r="S1074" s="134"/>
      <c r="T1074" s="134"/>
      <c r="U1074" s="134"/>
      <c r="V1074" s="134"/>
      <c r="W1074" s="134"/>
      <c r="X1074" s="134"/>
      <c r="Y1074" s="134"/>
      <c r="Z1074" s="134"/>
      <c r="AA1074" s="134"/>
      <c r="AB1074" s="134"/>
      <c r="AC1074" s="134"/>
      <c r="AD1074" s="134"/>
      <c r="AE1074" s="134"/>
      <c r="AF1074" s="146"/>
      <c r="AG1074" s="134"/>
      <c r="AH1074" s="134"/>
      <c r="AI1074" s="134"/>
      <c r="AJ1074" s="134"/>
      <c r="AK1074" s="134"/>
      <c r="AL1074" s="134"/>
      <c r="AM1074" s="146"/>
      <c r="AN1074" s="132"/>
      <c r="AO1074" s="132"/>
      <c r="AP1074" s="132"/>
      <c r="AQ1074" s="132"/>
      <c r="AR1074" s="134"/>
      <c r="AS1074" s="134"/>
      <c r="AT1074" s="132"/>
      <c r="AU1074" s="133"/>
      <c r="AV1074" s="134"/>
    </row>
    <row r="1075" spans="1:48">
      <c r="A1075" s="74">
        <v>21601</v>
      </c>
      <c r="B1075" s="74" t="s">
        <v>228</v>
      </c>
      <c r="C1075" s="74">
        <v>1</v>
      </c>
      <c r="D1075" s="74">
        <v>1008</v>
      </c>
      <c r="E1075" s="73">
        <v>0.37000000476837153</v>
      </c>
      <c r="F1075" s="73">
        <v>1.1000000238418579</v>
      </c>
      <c r="G1075" s="73">
        <v>0.23400000000000001</v>
      </c>
      <c r="H1075" s="73">
        <v>0.23000000417232513</v>
      </c>
      <c r="I1075" s="190">
        <v>2079.9929999999999</v>
      </c>
      <c r="J1075" s="134" t="str">
        <f t="shared" si="123"/>
        <v>keep</v>
      </c>
      <c r="K1075" s="134" t="str">
        <f t="shared" si="124"/>
        <v>R0</v>
      </c>
      <c r="L1075" s="134" t="str">
        <f t="shared" si="125"/>
        <v>R0</v>
      </c>
      <c r="M1075" s="146" t="str">
        <f t="shared" ref="M1075:M1138" si="128">IF(OR(C1075=4,C1075=3),"Basement",IF(C1075=2,"Slab",IF(H1075&gt;$D$10,$C$10,IF(H1075&gt;$D$11,$C$11,"Better"))))</f>
        <v>R0</v>
      </c>
      <c r="N1075" s="146" t="str">
        <f t="shared" ref="N1075:N1138" si="129">IF(F1075&gt;$D$13,$C$13,IF(F1075&gt;$D$14,$C$14,"Better"))</f>
        <v>Single</v>
      </c>
      <c r="O1075" s="146" t="str">
        <f t="shared" si="126"/>
        <v>Electric ZonalR0R0R0Single</v>
      </c>
      <c r="P1075" s="134" t="str">
        <f t="shared" si="127"/>
        <v>Crawlspace</v>
      </c>
      <c r="Q1075" s="134"/>
      <c r="R1075" s="134"/>
      <c r="S1075" s="134"/>
      <c r="T1075" s="134"/>
      <c r="U1075" s="134"/>
      <c r="V1075" s="134"/>
      <c r="W1075" s="134"/>
      <c r="X1075" s="134"/>
      <c r="Y1075" s="134"/>
      <c r="Z1075" s="134"/>
      <c r="AA1075" s="134"/>
      <c r="AB1075" s="134"/>
      <c r="AC1075" s="134"/>
      <c r="AD1075" s="134"/>
      <c r="AE1075" s="134"/>
      <c r="AF1075" s="146"/>
      <c r="AG1075" s="134"/>
      <c r="AH1075" s="134"/>
      <c r="AI1075" s="134"/>
      <c r="AJ1075" s="134"/>
      <c r="AK1075" s="134"/>
      <c r="AL1075" s="134"/>
      <c r="AM1075" s="146"/>
      <c r="AN1075" s="132"/>
      <c r="AO1075" s="132"/>
      <c r="AP1075" s="132"/>
      <c r="AQ1075" s="132"/>
      <c r="AR1075" s="134"/>
      <c r="AS1075" s="134"/>
      <c r="AT1075" s="132"/>
      <c r="AU1075" s="133"/>
      <c r="AV1075" s="134"/>
    </row>
    <row r="1076" spans="1:48">
      <c r="A1076" s="74">
        <v>21623</v>
      </c>
      <c r="B1076" s="74" t="s">
        <v>229</v>
      </c>
      <c r="C1076" s="74">
        <v>4</v>
      </c>
      <c r="D1076" s="74">
        <v>3910</v>
      </c>
      <c r="E1076" s="73">
        <v>7.0000000298023224E-2</v>
      </c>
      <c r="F1076" s="73">
        <v>0.45652172876440961</v>
      </c>
      <c r="G1076" s="73">
        <v>9.0000003576278687E-2</v>
      </c>
      <c r="H1076" s="73">
        <v>0</v>
      </c>
      <c r="I1076" s="190">
        <v>2079.9929999999999</v>
      </c>
      <c r="J1076" s="134" t="str">
        <f t="shared" ref="J1076:J1139" si="130">IF(OR(C1076="FLAG",ISERROR(PRODUCT(D1076:H1076))),"ignore","keep")</f>
        <v>keep</v>
      </c>
      <c r="K1076" s="134" t="str">
        <f t="shared" ref="K1076:K1139" si="131">IF(E1076&gt;$D$3,$C$3,IF(E1076&gt;$D$4,$C$4,IF(E1076&gt;$D$5,$C$5,IF(E1076&gt;$D$6,$C$6,IF(E1076&gt;$D$7,$C$7,"R38")))))</f>
        <v>R19</v>
      </c>
      <c r="L1076" s="134" t="str">
        <f t="shared" ref="L1076:L1139" si="132">IF(G1076&gt;$D$8,$C$8,"R11")</f>
        <v>R11</v>
      </c>
      <c r="M1076" s="146" t="str">
        <f t="shared" si="128"/>
        <v>Basement</v>
      </c>
      <c r="N1076" s="146" t="str">
        <f t="shared" si="129"/>
        <v>Better</v>
      </c>
      <c r="O1076" s="146" t="str">
        <f t="shared" ref="O1076:O1139" si="133">B1076&amp;K1076&amp;L1076&amp;M1076&amp;N1076</f>
        <v>Heat PumpR19R11BasementBetter</v>
      </c>
      <c r="P1076" s="134" t="str">
        <f t="shared" ref="P1076:P1139" si="134">IF(C1076=1,"Crawlspace",IF(C1076=2,"Slab",IF(OR(C1076=3,C1076=4),"Basement","error")))</f>
        <v>Basement</v>
      </c>
      <c r="Q1076" s="134"/>
      <c r="R1076" s="134"/>
      <c r="S1076" s="134"/>
      <c r="T1076" s="134"/>
      <c r="U1076" s="134"/>
      <c r="V1076" s="134"/>
      <c r="W1076" s="134"/>
      <c r="X1076" s="134"/>
      <c r="Y1076" s="134"/>
      <c r="Z1076" s="134"/>
      <c r="AA1076" s="134"/>
      <c r="AB1076" s="134"/>
      <c r="AC1076" s="134"/>
      <c r="AD1076" s="134"/>
      <c r="AE1076" s="134"/>
      <c r="AF1076" s="146"/>
      <c r="AG1076" s="134"/>
      <c r="AH1076" s="134"/>
      <c r="AI1076" s="134"/>
      <c r="AJ1076" s="134"/>
      <c r="AK1076" s="134"/>
      <c r="AL1076" s="134"/>
      <c r="AM1076" s="146"/>
      <c r="AN1076" s="132"/>
      <c r="AO1076" s="132"/>
      <c r="AP1076" s="132"/>
      <c r="AQ1076" s="132"/>
      <c r="AR1076" s="134"/>
      <c r="AS1076" s="134"/>
      <c r="AT1076" s="132"/>
      <c r="AU1076" s="133"/>
      <c r="AV1076" s="134"/>
    </row>
    <row r="1077" spans="1:48">
      <c r="A1077" s="74">
        <v>21672</v>
      </c>
      <c r="B1077" s="74" t="s">
        <v>227</v>
      </c>
      <c r="C1077" s="74" t="s">
        <v>673</v>
      </c>
      <c r="D1077" s="74">
        <v>3331</v>
      </c>
      <c r="E1077" s="73">
        <v>7.2850242473077087E-2</v>
      </c>
      <c r="F1077" s="73">
        <v>0.4794117527849534</v>
      </c>
      <c r="G1077" s="73">
        <v>0.14233566362916172</v>
      </c>
      <c r="H1077" s="73">
        <v>0</v>
      </c>
      <c r="I1077" s="190">
        <v>1144.6790000000001</v>
      </c>
      <c r="J1077" s="134" t="str">
        <f t="shared" si="130"/>
        <v>ignore</v>
      </c>
      <c r="K1077" s="134" t="str">
        <f t="shared" si="131"/>
        <v>R19</v>
      </c>
      <c r="L1077" s="134" t="str">
        <f t="shared" si="132"/>
        <v>R11</v>
      </c>
      <c r="M1077" s="146" t="str">
        <f t="shared" si="128"/>
        <v>Better</v>
      </c>
      <c r="N1077" s="146" t="str">
        <f t="shared" si="129"/>
        <v>Better</v>
      </c>
      <c r="O1077" s="146" t="str">
        <f t="shared" si="133"/>
        <v>Electric FAFR19R11BetterBetter</v>
      </c>
      <c r="P1077" s="134" t="str">
        <f t="shared" si="134"/>
        <v>error</v>
      </c>
      <c r="Q1077" s="134"/>
      <c r="R1077" s="134"/>
      <c r="S1077" s="134"/>
      <c r="T1077" s="134"/>
      <c r="U1077" s="134"/>
      <c r="V1077" s="134"/>
      <c r="W1077" s="134"/>
      <c r="X1077" s="134"/>
      <c r="Y1077" s="134"/>
      <c r="Z1077" s="134"/>
      <c r="AA1077" s="134"/>
      <c r="AB1077" s="134"/>
      <c r="AC1077" s="134"/>
      <c r="AD1077" s="134"/>
      <c r="AE1077" s="134"/>
      <c r="AF1077" s="146"/>
      <c r="AG1077" s="134"/>
      <c r="AH1077" s="134"/>
      <c r="AI1077" s="134"/>
      <c r="AJ1077" s="134"/>
      <c r="AK1077" s="134"/>
      <c r="AL1077" s="134"/>
      <c r="AM1077" s="146"/>
      <c r="AN1077" s="132"/>
      <c r="AO1077" s="132"/>
      <c r="AP1077" s="132"/>
      <c r="AQ1077" s="132"/>
      <c r="AR1077" s="134"/>
      <c r="AS1077" s="134"/>
      <c r="AT1077" s="132"/>
      <c r="AU1077" s="133"/>
      <c r="AV1077" s="134"/>
    </row>
    <row r="1078" spans="1:48">
      <c r="A1078" s="74">
        <v>21684</v>
      </c>
      <c r="B1078" s="74" t="s">
        <v>229</v>
      </c>
      <c r="C1078" s="74">
        <v>1</v>
      </c>
      <c r="D1078" s="74">
        <v>2211</v>
      </c>
      <c r="E1078" s="73">
        <v>7.9999998211860657E-2</v>
      </c>
      <c r="F1078" s="73">
        <v>0.45568180761554022</v>
      </c>
      <c r="G1078" s="73">
        <v>0.23400000000000001</v>
      </c>
      <c r="H1078" s="73">
        <v>4.5000001788139343E-2</v>
      </c>
      <c r="I1078" s="190">
        <v>8264.9449999999997</v>
      </c>
      <c r="J1078" s="134" t="str">
        <f t="shared" si="130"/>
        <v>keep</v>
      </c>
      <c r="K1078" s="134" t="str">
        <f t="shared" si="131"/>
        <v>R19</v>
      </c>
      <c r="L1078" s="134" t="str">
        <f t="shared" si="132"/>
        <v>R0</v>
      </c>
      <c r="M1078" s="146" t="str">
        <f t="shared" si="128"/>
        <v>Better</v>
      </c>
      <c r="N1078" s="146" t="str">
        <f t="shared" si="129"/>
        <v>Better</v>
      </c>
      <c r="O1078" s="146" t="str">
        <f t="shared" si="133"/>
        <v>Heat PumpR19R0BetterBetter</v>
      </c>
      <c r="P1078" s="134" t="str">
        <f t="shared" si="134"/>
        <v>Crawlspace</v>
      </c>
      <c r="Q1078" s="134"/>
      <c r="R1078" s="134"/>
      <c r="S1078" s="134"/>
      <c r="T1078" s="134"/>
      <c r="U1078" s="134"/>
      <c r="V1078" s="134"/>
      <c r="W1078" s="134"/>
      <c r="X1078" s="134"/>
      <c r="Y1078" s="134"/>
      <c r="Z1078" s="134"/>
      <c r="AA1078" s="134"/>
      <c r="AB1078" s="134"/>
      <c r="AC1078" s="134"/>
      <c r="AD1078" s="134"/>
      <c r="AE1078" s="134"/>
      <c r="AF1078" s="146"/>
      <c r="AG1078" s="134"/>
      <c r="AH1078" s="134"/>
      <c r="AI1078" s="134"/>
      <c r="AJ1078" s="134"/>
      <c r="AK1078" s="134"/>
      <c r="AL1078" s="134"/>
      <c r="AM1078" s="146"/>
      <c r="AN1078" s="132"/>
      <c r="AO1078" s="132"/>
      <c r="AP1078" s="132"/>
      <c r="AQ1078" s="132"/>
      <c r="AR1078" s="134"/>
      <c r="AS1078" s="134"/>
      <c r="AT1078" s="132"/>
      <c r="AU1078" s="133"/>
      <c r="AV1078" s="134"/>
    </row>
    <row r="1079" spans="1:48">
      <c r="A1079" s="74">
        <v>21703</v>
      </c>
      <c r="B1079" s="74" t="s">
        <v>227</v>
      </c>
      <c r="C1079" s="74">
        <v>1</v>
      </c>
      <c r="D1079" s="74">
        <v>1308</v>
      </c>
      <c r="E1079" s="73">
        <v>0.10999999940395355</v>
      </c>
      <c r="F1079" s="73">
        <v>0.55000001192092896</v>
      </c>
      <c r="G1079" s="73">
        <v>0.23400000000000001</v>
      </c>
      <c r="H1079" s="73">
        <v>4.5000001788139343E-2</v>
      </c>
      <c r="I1079" s="190">
        <v>1904.288</v>
      </c>
      <c r="J1079" s="134" t="str">
        <f t="shared" si="130"/>
        <v>keep</v>
      </c>
      <c r="K1079" s="134" t="str">
        <f t="shared" si="131"/>
        <v>R11</v>
      </c>
      <c r="L1079" s="134" t="str">
        <f t="shared" si="132"/>
        <v>R0</v>
      </c>
      <c r="M1079" s="146" t="str">
        <f t="shared" si="128"/>
        <v>Better</v>
      </c>
      <c r="N1079" s="146" t="str">
        <f t="shared" si="129"/>
        <v>Better</v>
      </c>
      <c r="O1079" s="146" t="str">
        <f t="shared" si="133"/>
        <v>Electric FAFR11R0BetterBetter</v>
      </c>
      <c r="P1079" s="134" t="str">
        <f t="shared" si="134"/>
        <v>Crawlspace</v>
      </c>
      <c r="Q1079" s="134"/>
      <c r="R1079" s="134"/>
      <c r="S1079" s="134"/>
      <c r="T1079" s="134"/>
      <c r="U1079" s="134"/>
      <c r="V1079" s="134"/>
      <c r="W1079" s="134"/>
      <c r="X1079" s="134"/>
      <c r="Y1079" s="134"/>
      <c r="Z1079" s="134"/>
      <c r="AA1079" s="134"/>
      <c r="AB1079" s="134"/>
      <c r="AC1079" s="134"/>
      <c r="AD1079" s="134"/>
      <c r="AE1079" s="134"/>
      <c r="AF1079" s="146"/>
      <c r="AG1079" s="134"/>
      <c r="AH1079" s="134"/>
      <c r="AI1079" s="134"/>
      <c r="AJ1079" s="134"/>
      <c r="AK1079" s="134"/>
      <c r="AL1079" s="134"/>
      <c r="AM1079" s="146"/>
      <c r="AN1079" s="132"/>
      <c r="AO1079" s="132"/>
      <c r="AP1079" s="132"/>
      <c r="AQ1079" s="132"/>
      <c r="AR1079" s="134"/>
      <c r="AS1079" s="134"/>
      <c r="AT1079" s="132"/>
      <c r="AU1079" s="133"/>
      <c r="AV1079" s="134"/>
    </row>
    <row r="1080" spans="1:48">
      <c r="A1080" s="74">
        <v>21720</v>
      </c>
      <c r="B1080" s="74" t="s">
        <v>228</v>
      </c>
      <c r="C1080" s="74">
        <v>1</v>
      </c>
      <c r="D1080" s="74">
        <v>1200</v>
      </c>
      <c r="E1080" s="73">
        <v>0.14499999582767487</v>
      </c>
      <c r="F1080" s="73">
        <v>0.85000002384185791</v>
      </c>
      <c r="G1080" s="73">
        <v>9.0000003576278687E-2</v>
      </c>
      <c r="H1080" s="73">
        <v>4.5000001788139343E-2</v>
      </c>
      <c r="I1080" s="190">
        <v>3785.7640000000001</v>
      </c>
      <c r="J1080" s="134" t="str">
        <f t="shared" si="130"/>
        <v>keep</v>
      </c>
      <c r="K1080" s="134" t="str">
        <f t="shared" si="131"/>
        <v>R11</v>
      </c>
      <c r="L1080" s="134" t="str">
        <f t="shared" si="132"/>
        <v>R11</v>
      </c>
      <c r="M1080" s="146" t="str">
        <f t="shared" si="128"/>
        <v>Better</v>
      </c>
      <c r="N1080" s="146" t="str">
        <f t="shared" si="129"/>
        <v>Double</v>
      </c>
      <c r="O1080" s="146" t="str">
        <f t="shared" si="133"/>
        <v>Electric ZonalR11R11BetterDouble</v>
      </c>
      <c r="P1080" s="134" t="str">
        <f t="shared" si="134"/>
        <v>Crawlspace</v>
      </c>
      <c r="Q1080" s="134"/>
      <c r="R1080" s="134"/>
      <c r="S1080" s="134"/>
      <c r="T1080" s="134"/>
      <c r="U1080" s="134"/>
      <c r="V1080" s="134"/>
      <c r="W1080" s="134"/>
      <c r="X1080" s="134"/>
      <c r="Y1080" s="134"/>
      <c r="Z1080" s="134"/>
      <c r="AA1080" s="134"/>
      <c r="AB1080" s="134"/>
      <c r="AC1080" s="134"/>
      <c r="AD1080" s="134"/>
      <c r="AE1080" s="134"/>
      <c r="AF1080" s="146"/>
      <c r="AG1080" s="134"/>
      <c r="AH1080" s="134"/>
      <c r="AI1080" s="134"/>
      <c r="AJ1080" s="134"/>
      <c r="AK1080" s="134"/>
      <c r="AL1080" s="134"/>
      <c r="AM1080" s="146"/>
      <c r="AN1080" s="132"/>
      <c r="AO1080" s="132"/>
      <c r="AP1080" s="132"/>
      <c r="AQ1080" s="132"/>
      <c r="AR1080" s="134"/>
      <c r="AS1080" s="134"/>
      <c r="AT1080" s="132"/>
      <c r="AU1080" s="133"/>
      <c r="AV1080" s="134"/>
    </row>
    <row r="1081" spans="1:48">
      <c r="A1081" s="74">
        <v>21777</v>
      </c>
      <c r="B1081" s="74" t="s">
        <v>228</v>
      </c>
      <c r="C1081" s="74">
        <v>4</v>
      </c>
      <c r="D1081" s="74">
        <v>2634</v>
      </c>
      <c r="E1081" s="73">
        <v>3.5000000149011612E-2</v>
      </c>
      <c r="F1081" s="73">
        <v>0.60000002384185791</v>
      </c>
      <c r="G1081" s="73">
        <v>5.4621847518602343E-2</v>
      </c>
      <c r="H1081" s="73">
        <v>0</v>
      </c>
      <c r="I1081" s="190">
        <v>2130.886</v>
      </c>
      <c r="J1081" s="134" t="str">
        <f t="shared" si="130"/>
        <v>keep</v>
      </c>
      <c r="K1081" s="134" t="str">
        <f t="shared" si="131"/>
        <v>R38</v>
      </c>
      <c r="L1081" s="134" t="str">
        <f t="shared" si="132"/>
        <v>R11</v>
      </c>
      <c r="M1081" s="146" t="str">
        <f t="shared" si="128"/>
        <v>Basement</v>
      </c>
      <c r="N1081" s="146" t="str">
        <f t="shared" si="129"/>
        <v>Better</v>
      </c>
      <c r="O1081" s="146" t="str">
        <f t="shared" si="133"/>
        <v>Electric ZonalR38R11BasementBetter</v>
      </c>
      <c r="P1081" s="134" t="str">
        <f t="shared" si="134"/>
        <v>Basement</v>
      </c>
      <c r="Q1081" s="134"/>
      <c r="R1081" s="134"/>
      <c r="S1081" s="134"/>
      <c r="T1081" s="134"/>
      <c r="U1081" s="134"/>
      <c r="V1081" s="134"/>
      <c r="W1081" s="134"/>
      <c r="X1081" s="134"/>
      <c r="Y1081" s="134"/>
      <c r="Z1081" s="134"/>
      <c r="AA1081" s="134"/>
      <c r="AB1081" s="134"/>
      <c r="AC1081" s="134"/>
      <c r="AD1081" s="134"/>
      <c r="AE1081" s="134"/>
      <c r="AF1081" s="146"/>
      <c r="AG1081" s="134"/>
      <c r="AH1081" s="134"/>
      <c r="AI1081" s="134"/>
      <c r="AJ1081" s="134"/>
      <c r="AK1081" s="134"/>
      <c r="AL1081" s="134"/>
      <c r="AM1081" s="146"/>
      <c r="AN1081" s="132"/>
      <c r="AO1081" s="132"/>
      <c r="AP1081" s="132"/>
      <c r="AQ1081" s="132"/>
      <c r="AR1081" s="134"/>
      <c r="AS1081" s="134"/>
      <c r="AT1081" s="132"/>
      <c r="AU1081" s="133"/>
      <c r="AV1081" s="134"/>
    </row>
    <row r="1082" spans="1:48">
      <c r="A1082" s="74">
        <v>21781</v>
      </c>
      <c r="B1082" s="74" t="s">
        <v>229</v>
      </c>
      <c r="C1082" s="74">
        <v>4</v>
      </c>
      <c r="D1082" s="74">
        <v>2756</v>
      </c>
      <c r="E1082" s="73">
        <v>3.5000000149011612E-2</v>
      </c>
      <c r="F1082" s="73">
        <v>0.74531250074505806</v>
      </c>
      <c r="G1082" s="73">
        <v>9.0000003576278687E-2</v>
      </c>
      <c r="H1082" s="73">
        <v>0</v>
      </c>
      <c r="I1082" s="190">
        <v>1612.692</v>
      </c>
      <c r="J1082" s="134" t="str">
        <f t="shared" si="130"/>
        <v>keep</v>
      </c>
      <c r="K1082" s="134" t="str">
        <f t="shared" si="131"/>
        <v>R38</v>
      </c>
      <c r="L1082" s="134" t="str">
        <f t="shared" si="132"/>
        <v>R11</v>
      </c>
      <c r="M1082" s="146" t="str">
        <f t="shared" si="128"/>
        <v>Basement</v>
      </c>
      <c r="N1082" s="146" t="str">
        <f t="shared" si="129"/>
        <v>Better</v>
      </c>
      <c r="O1082" s="146" t="str">
        <f t="shared" si="133"/>
        <v>Heat PumpR38R11BasementBetter</v>
      </c>
      <c r="P1082" s="134" t="str">
        <f t="shared" si="134"/>
        <v>Basement</v>
      </c>
      <c r="Q1082" s="134"/>
      <c r="R1082" s="134"/>
      <c r="S1082" s="134"/>
      <c r="T1082" s="134"/>
      <c r="U1082" s="134"/>
      <c r="V1082" s="134"/>
      <c r="W1082" s="134"/>
      <c r="X1082" s="134"/>
      <c r="Y1082" s="134"/>
      <c r="Z1082" s="134"/>
      <c r="AA1082" s="134"/>
      <c r="AB1082" s="134"/>
      <c r="AC1082" s="134"/>
      <c r="AD1082" s="134"/>
      <c r="AE1082" s="134"/>
      <c r="AF1082" s="146"/>
      <c r="AG1082" s="134"/>
      <c r="AH1082" s="134"/>
      <c r="AI1082" s="134"/>
      <c r="AJ1082" s="134"/>
      <c r="AK1082" s="134"/>
      <c r="AL1082" s="134"/>
      <c r="AM1082" s="146"/>
      <c r="AN1082" s="132"/>
      <c r="AO1082" s="132"/>
      <c r="AP1082" s="132"/>
      <c r="AQ1082" s="132"/>
      <c r="AR1082" s="134"/>
      <c r="AS1082" s="134"/>
      <c r="AT1082" s="132"/>
      <c r="AU1082" s="133"/>
      <c r="AV1082" s="134"/>
    </row>
    <row r="1083" spans="1:48">
      <c r="A1083" s="74">
        <v>21787</v>
      </c>
      <c r="B1083" s="74" t="s">
        <v>229</v>
      </c>
      <c r="C1083" s="74">
        <v>1</v>
      </c>
      <c r="D1083" s="74">
        <v>1952</v>
      </c>
      <c r="E1083" s="73">
        <v>5.2257250247506749E-2</v>
      </c>
      <c r="F1083" s="73">
        <v>0.4679300215084421</v>
      </c>
      <c r="G1083" s="73">
        <v>0.11131797140465904</v>
      </c>
      <c r="H1083" s="73">
        <v>4.5000001788139343E-2</v>
      </c>
      <c r="I1083" s="190">
        <v>4360.1880000000001</v>
      </c>
      <c r="J1083" s="134" t="str">
        <f t="shared" si="130"/>
        <v>keep</v>
      </c>
      <c r="K1083" s="134" t="str">
        <f t="shared" si="131"/>
        <v>R30</v>
      </c>
      <c r="L1083" s="134" t="str">
        <f t="shared" si="132"/>
        <v>R11</v>
      </c>
      <c r="M1083" s="146" t="str">
        <f t="shared" si="128"/>
        <v>Better</v>
      </c>
      <c r="N1083" s="146" t="str">
        <f t="shared" si="129"/>
        <v>Better</v>
      </c>
      <c r="O1083" s="146" t="str">
        <f t="shared" si="133"/>
        <v>Heat PumpR30R11BetterBetter</v>
      </c>
      <c r="P1083" s="134" t="str">
        <f t="shared" si="134"/>
        <v>Crawlspace</v>
      </c>
      <c r="Q1083" s="134"/>
      <c r="R1083" s="134"/>
      <c r="S1083" s="134"/>
      <c r="T1083" s="134"/>
      <c r="U1083" s="134"/>
      <c r="V1083" s="134"/>
      <c r="W1083" s="134"/>
      <c r="X1083" s="134"/>
      <c r="Y1083" s="134"/>
      <c r="Z1083" s="134"/>
      <c r="AA1083" s="134"/>
      <c r="AB1083" s="134"/>
      <c r="AC1083" s="134"/>
      <c r="AD1083" s="134"/>
      <c r="AE1083" s="134"/>
      <c r="AF1083" s="146"/>
      <c r="AG1083" s="134"/>
      <c r="AH1083" s="134"/>
      <c r="AI1083" s="134"/>
      <c r="AJ1083" s="134"/>
      <c r="AK1083" s="134"/>
      <c r="AL1083" s="134"/>
      <c r="AM1083" s="146"/>
      <c r="AN1083" s="132"/>
      <c r="AO1083" s="132"/>
      <c r="AP1083" s="132"/>
      <c r="AQ1083" s="132"/>
      <c r="AR1083" s="134"/>
      <c r="AS1083" s="134"/>
      <c r="AT1083" s="132"/>
      <c r="AU1083" s="133"/>
      <c r="AV1083" s="134"/>
    </row>
    <row r="1084" spans="1:48">
      <c r="A1084" s="74">
        <v>21791</v>
      </c>
      <c r="B1084" s="74" t="s">
        <v>227</v>
      </c>
      <c r="C1084" s="74">
        <v>1</v>
      </c>
      <c r="D1084" s="74">
        <v>1344</v>
      </c>
      <c r="E1084" s="73">
        <v>7.5000002980232239E-2</v>
      </c>
      <c r="F1084" s="73">
        <v>0.55000001192092896</v>
      </c>
      <c r="G1084" s="73">
        <v>9.0000003576278687E-2</v>
      </c>
      <c r="H1084" s="73">
        <v>7.9999998211860657E-2</v>
      </c>
      <c r="I1084" s="190">
        <v>1612.692</v>
      </c>
      <c r="J1084" s="134" t="str">
        <f t="shared" si="130"/>
        <v>keep</v>
      </c>
      <c r="K1084" s="134" t="str">
        <f t="shared" si="131"/>
        <v>R19</v>
      </c>
      <c r="L1084" s="134" t="str">
        <f t="shared" si="132"/>
        <v>R11</v>
      </c>
      <c r="M1084" s="146" t="str">
        <f t="shared" si="128"/>
        <v>R0</v>
      </c>
      <c r="N1084" s="146" t="str">
        <f t="shared" si="129"/>
        <v>Better</v>
      </c>
      <c r="O1084" s="146" t="str">
        <f t="shared" si="133"/>
        <v>Electric FAFR19R11R0Better</v>
      </c>
      <c r="P1084" s="134" t="str">
        <f t="shared" si="134"/>
        <v>Crawlspace</v>
      </c>
      <c r="Q1084" s="134"/>
      <c r="R1084" s="134"/>
      <c r="S1084" s="134"/>
      <c r="T1084" s="134"/>
      <c r="U1084" s="134"/>
      <c r="V1084" s="134"/>
      <c r="W1084" s="134"/>
      <c r="X1084" s="134"/>
      <c r="Y1084" s="134"/>
      <c r="Z1084" s="134"/>
      <c r="AA1084" s="134"/>
      <c r="AB1084" s="134"/>
      <c r="AC1084" s="134"/>
      <c r="AD1084" s="134"/>
      <c r="AE1084" s="134"/>
      <c r="AF1084" s="146"/>
      <c r="AG1084" s="134"/>
      <c r="AH1084" s="134"/>
      <c r="AI1084" s="134"/>
      <c r="AJ1084" s="134"/>
      <c r="AK1084" s="134"/>
      <c r="AL1084" s="134"/>
      <c r="AM1084" s="146"/>
      <c r="AN1084" s="132"/>
      <c r="AO1084" s="132"/>
      <c r="AP1084" s="132"/>
      <c r="AQ1084" s="132"/>
      <c r="AR1084" s="134"/>
      <c r="AS1084" s="134"/>
      <c r="AT1084" s="132"/>
      <c r="AU1084" s="133"/>
      <c r="AV1084" s="134"/>
    </row>
    <row r="1085" spans="1:48">
      <c r="A1085" s="74">
        <v>21796</v>
      </c>
      <c r="B1085" s="74" t="s">
        <v>228</v>
      </c>
      <c r="C1085" s="74">
        <v>4</v>
      </c>
      <c r="D1085" s="74">
        <v>8530</v>
      </c>
      <c r="E1085" s="73">
        <v>0.14499999582767487</v>
      </c>
      <c r="F1085" s="73">
        <v>0.55000001192092896</v>
      </c>
      <c r="G1085" s="73">
        <v>5.4999999701976776E-2</v>
      </c>
      <c r="H1085" s="73">
        <v>0</v>
      </c>
      <c r="I1085" s="190">
        <v>1192.4649999999999</v>
      </c>
      <c r="J1085" s="134" t="str">
        <f t="shared" si="130"/>
        <v>keep</v>
      </c>
      <c r="K1085" s="134" t="str">
        <f t="shared" si="131"/>
        <v>R11</v>
      </c>
      <c r="L1085" s="134" t="str">
        <f t="shared" si="132"/>
        <v>R11</v>
      </c>
      <c r="M1085" s="146" t="str">
        <f t="shared" si="128"/>
        <v>Basement</v>
      </c>
      <c r="N1085" s="146" t="str">
        <f t="shared" si="129"/>
        <v>Better</v>
      </c>
      <c r="O1085" s="146" t="str">
        <f t="shared" si="133"/>
        <v>Electric ZonalR11R11BasementBetter</v>
      </c>
      <c r="P1085" s="134" t="str">
        <f t="shared" si="134"/>
        <v>Basement</v>
      </c>
      <c r="Q1085" s="134"/>
      <c r="R1085" s="134"/>
      <c r="S1085" s="134"/>
      <c r="T1085" s="134"/>
      <c r="U1085" s="134"/>
      <c r="V1085" s="134"/>
      <c r="W1085" s="134"/>
      <c r="X1085" s="134"/>
      <c r="Y1085" s="134"/>
      <c r="Z1085" s="134"/>
      <c r="AA1085" s="134"/>
      <c r="AB1085" s="134"/>
      <c r="AC1085" s="134"/>
      <c r="AD1085" s="134"/>
      <c r="AE1085" s="134"/>
      <c r="AF1085" s="146"/>
      <c r="AG1085" s="134"/>
      <c r="AH1085" s="134"/>
      <c r="AI1085" s="134"/>
      <c r="AJ1085" s="134"/>
      <c r="AK1085" s="134"/>
      <c r="AL1085" s="134"/>
      <c r="AM1085" s="146"/>
      <c r="AN1085" s="132"/>
      <c r="AO1085" s="132"/>
      <c r="AP1085" s="132"/>
      <c r="AQ1085" s="132"/>
      <c r="AR1085" s="134"/>
      <c r="AS1085" s="134"/>
      <c r="AT1085" s="132"/>
      <c r="AU1085" s="133"/>
      <c r="AV1085" s="134"/>
    </row>
    <row r="1086" spans="1:48">
      <c r="A1086" s="74">
        <v>21799</v>
      </c>
      <c r="B1086" s="74" t="s">
        <v>229</v>
      </c>
      <c r="C1086" s="74">
        <v>4</v>
      </c>
      <c r="D1086" s="74">
        <v>1927</v>
      </c>
      <c r="E1086" s="73">
        <v>1.9999999552965164E-2</v>
      </c>
      <c r="F1086" s="73">
        <v>0.44999998807907104</v>
      </c>
      <c r="G1086" s="73">
        <v>5.9999998658895493E-2</v>
      </c>
      <c r="H1086" s="73">
        <v>0</v>
      </c>
      <c r="I1086" s="190">
        <v>1904.288</v>
      </c>
      <c r="J1086" s="134" t="str">
        <f t="shared" si="130"/>
        <v>keep</v>
      </c>
      <c r="K1086" s="134" t="str">
        <f t="shared" si="131"/>
        <v>R38</v>
      </c>
      <c r="L1086" s="134" t="str">
        <f t="shared" si="132"/>
        <v>R11</v>
      </c>
      <c r="M1086" s="146" t="str">
        <f t="shared" si="128"/>
        <v>Basement</v>
      </c>
      <c r="N1086" s="146" t="str">
        <f t="shared" si="129"/>
        <v>Better</v>
      </c>
      <c r="O1086" s="146" t="str">
        <f t="shared" si="133"/>
        <v>Heat PumpR38R11BasementBetter</v>
      </c>
      <c r="P1086" s="134" t="str">
        <f t="shared" si="134"/>
        <v>Basement</v>
      </c>
      <c r="Q1086" s="134"/>
      <c r="R1086" s="134"/>
      <c r="S1086" s="134"/>
      <c r="T1086" s="134"/>
      <c r="U1086" s="134"/>
      <c r="V1086" s="134"/>
      <c r="W1086" s="134"/>
      <c r="X1086" s="134"/>
      <c r="Y1086" s="134"/>
      <c r="Z1086" s="134"/>
      <c r="AA1086" s="134"/>
      <c r="AB1086" s="134"/>
      <c r="AC1086" s="134"/>
      <c r="AD1086" s="134"/>
      <c r="AE1086" s="134"/>
      <c r="AF1086" s="146"/>
      <c r="AG1086" s="134"/>
      <c r="AH1086" s="134"/>
      <c r="AI1086" s="134"/>
      <c r="AJ1086" s="134"/>
      <c r="AK1086" s="134"/>
      <c r="AL1086" s="134"/>
      <c r="AM1086" s="146"/>
      <c r="AN1086" s="132"/>
      <c r="AO1086" s="132"/>
      <c r="AP1086" s="132"/>
      <c r="AQ1086" s="132"/>
      <c r="AR1086" s="134"/>
      <c r="AS1086" s="134"/>
      <c r="AT1086" s="132"/>
      <c r="AU1086" s="133"/>
      <c r="AV1086" s="134"/>
    </row>
    <row r="1087" spans="1:48">
      <c r="A1087" s="74">
        <v>21862</v>
      </c>
      <c r="B1087" s="74" t="s">
        <v>229</v>
      </c>
      <c r="C1087" s="74" t="s">
        <v>673</v>
      </c>
      <c r="D1087" s="74">
        <v>4253</v>
      </c>
      <c r="E1087" s="73">
        <v>2.500000037252903E-2</v>
      </c>
      <c r="F1087" s="73">
        <v>0.55000001192092896</v>
      </c>
      <c r="G1087" s="73">
        <v>5.9999998658895493E-2</v>
      </c>
      <c r="H1087" s="73">
        <v>2.9999999329447746E-2</v>
      </c>
      <c r="I1087" s="190">
        <v>1192.4649999999999</v>
      </c>
      <c r="J1087" s="134" t="str">
        <f t="shared" si="130"/>
        <v>ignore</v>
      </c>
      <c r="K1087" s="134" t="str">
        <f t="shared" si="131"/>
        <v>R38</v>
      </c>
      <c r="L1087" s="134" t="str">
        <f t="shared" si="132"/>
        <v>R11</v>
      </c>
      <c r="M1087" s="146" t="str">
        <f t="shared" si="128"/>
        <v>Better</v>
      </c>
      <c r="N1087" s="146" t="str">
        <f t="shared" si="129"/>
        <v>Better</v>
      </c>
      <c r="O1087" s="146" t="str">
        <f t="shared" si="133"/>
        <v>Heat PumpR38R11BetterBetter</v>
      </c>
      <c r="P1087" s="134" t="str">
        <f t="shared" si="134"/>
        <v>error</v>
      </c>
      <c r="Q1087" s="134"/>
      <c r="R1087" s="134"/>
      <c r="S1087" s="134"/>
      <c r="T1087" s="134"/>
      <c r="U1087" s="134"/>
      <c r="V1087" s="134"/>
      <c r="W1087" s="134"/>
      <c r="X1087" s="134"/>
      <c r="Y1087" s="134"/>
      <c r="Z1087" s="134"/>
      <c r="AA1087" s="134"/>
      <c r="AB1087" s="134"/>
      <c r="AC1087" s="134"/>
      <c r="AD1087" s="134"/>
      <c r="AE1087" s="134"/>
      <c r="AF1087" s="146"/>
      <c r="AG1087" s="134"/>
      <c r="AH1087" s="134"/>
      <c r="AI1087" s="134"/>
      <c r="AJ1087" s="134"/>
      <c r="AK1087" s="134"/>
      <c r="AL1087" s="134"/>
      <c r="AM1087" s="146"/>
      <c r="AN1087" s="132"/>
      <c r="AO1087" s="132"/>
      <c r="AP1087" s="132"/>
      <c r="AQ1087" s="132"/>
      <c r="AR1087" s="134"/>
      <c r="AS1087" s="134"/>
      <c r="AT1087" s="132"/>
      <c r="AU1087" s="133"/>
      <c r="AV1087" s="134"/>
    </row>
    <row r="1088" spans="1:48">
      <c r="A1088" s="74">
        <v>21877</v>
      </c>
      <c r="B1088" s="74" t="s">
        <v>228</v>
      </c>
      <c r="C1088" s="74">
        <v>2</v>
      </c>
      <c r="D1088" s="74">
        <v>1800</v>
      </c>
      <c r="E1088" s="73">
        <v>2.1666666492819786E-2</v>
      </c>
      <c r="F1088" s="73">
        <v>0.53658008240002053</v>
      </c>
      <c r="G1088" s="73">
        <v>7.5000002980232239E-2</v>
      </c>
      <c r="H1088" s="73">
        <v>0</v>
      </c>
      <c r="I1088" s="190">
        <v>1904.288</v>
      </c>
      <c r="J1088" s="134" t="str">
        <f t="shared" si="130"/>
        <v>keep</v>
      </c>
      <c r="K1088" s="134" t="str">
        <f t="shared" si="131"/>
        <v>R38</v>
      </c>
      <c r="L1088" s="134" t="str">
        <f t="shared" si="132"/>
        <v>R11</v>
      </c>
      <c r="M1088" s="146" t="str">
        <f t="shared" si="128"/>
        <v>Slab</v>
      </c>
      <c r="N1088" s="146" t="str">
        <f t="shared" si="129"/>
        <v>Better</v>
      </c>
      <c r="O1088" s="146" t="str">
        <f t="shared" si="133"/>
        <v>Electric ZonalR38R11SlabBetter</v>
      </c>
      <c r="P1088" s="134" t="str">
        <f t="shared" si="134"/>
        <v>Slab</v>
      </c>
      <c r="Q1088" s="134"/>
      <c r="R1088" s="134"/>
      <c r="S1088" s="134"/>
      <c r="T1088" s="134"/>
      <c r="U1088" s="134"/>
      <c r="V1088" s="134"/>
      <c r="W1088" s="134"/>
      <c r="X1088" s="134"/>
      <c r="Y1088" s="134"/>
      <c r="Z1088" s="134"/>
      <c r="AA1088" s="134"/>
      <c r="AB1088" s="134"/>
      <c r="AC1088" s="134"/>
      <c r="AD1088" s="134"/>
      <c r="AE1088" s="134"/>
      <c r="AF1088" s="146"/>
      <c r="AG1088" s="134"/>
      <c r="AH1088" s="134"/>
      <c r="AI1088" s="134"/>
      <c r="AJ1088" s="134"/>
      <c r="AK1088" s="134"/>
      <c r="AL1088" s="134"/>
      <c r="AM1088" s="146"/>
      <c r="AN1088" s="132"/>
      <c r="AO1088" s="132"/>
      <c r="AP1088" s="132"/>
      <c r="AQ1088" s="132"/>
      <c r="AR1088" s="134"/>
      <c r="AS1088" s="134"/>
      <c r="AT1088" s="132"/>
      <c r="AU1088" s="133"/>
      <c r="AV1088" s="134"/>
    </row>
    <row r="1089" spans="1:48">
      <c r="A1089" s="74">
        <v>21881</v>
      </c>
      <c r="B1089" s="74" t="s">
        <v>227</v>
      </c>
      <c r="C1089" s="74">
        <v>4</v>
      </c>
      <c r="D1089" s="74">
        <v>2008</v>
      </c>
      <c r="E1089" s="73">
        <v>9.4999998807907104E-2</v>
      </c>
      <c r="F1089" s="73">
        <v>0.57880436661450763</v>
      </c>
      <c r="G1089" s="73">
        <v>5.9999998658895493E-2</v>
      </c>
      <c r="H1089" s="73">
        <v>0</v>
      </c>
      <c r="I1089" s="190">
        <v>1192.4649999999999</v>
      </c>
      <c r="J1089" s="134" t="str">
        <f t="shared" si="130"/>
        <v>keep</v>
      </c>
      <c r="K1089" s="134" t="str">
        <f t="shared" si="131"/>
        <v>R11</v>
      </c>
      <c r="L1089" s="134" t="str">
        <f t="shared" si="132"/>
        <v>R11</v>
      </c>
      <c r="M1089" s="146" t="str">
        <f t="shared" si="128"/>
        <v>Basement</v>
      </c>
      <c r="N1089" s="146" t="str">
        <f t="shared" si="129"/>
        <v>Better</v>
      </c>
      <c r="O1089" s="146" t="str">
        <f t="shared" si="133"/>
        <v>Electric FAFR11R11BasementBetter</v>
      </c>
      <c r="P1089" s="134" t="str">
        <f t="shared" si="134"/>
        <v>Basement</v>
      </c>
      <c r="Q1089" s="134"/>
      <c r="R1089" s="134"/>
      <c r="S1089" s="134"/>
      <c r="T1089" s="134"/>
      <c r="U1089" s="134"/>
      <c r="V1089" s="134"/>
      <c r="W1089" s="134"/>
      <c r="X1089" s="134"/>
      <c r="Y1089" s="134"/>
      <c r="Z1089" s="134"/>
      <c r="AA1089" s="134"/>
      <c r="AB1089" s="134"/>
      <c r="AC1089" s="134"/>
      <c r="AD1089" s="134"/>
      <c r="AE1089" s="134"/>
      <c r="AF1089" s="146"/>
      <c r="AG1089" s="134"/>
      <c r="AH1089" s="134"/>
      <c r="AI1089" s="134"/>
      <c r="AJ1089" s="134"/>
      <c r="AK1089" s="134"/>
      <c r="AL1089" s="134"/>
      <c r="AM1089" s="146"/>
      <c r="AN1089" s="132"/>
      <c r="AO1089" s="132"/>
      <c r="AP1089" s="132"/>
      <c r="AQ1089" s="132"/>
      <c r="AR1089" s="134"/>
      <c r="AS1089" s="134"/>
      <c r="AT1089" s="132"/>
      <c r="AU1089" s="133"/>
      <c r="AV1089" s="134"/>
    </row>
    <row r="1090" spans="1:48">
      <c r="A1090" s="74">
        <v>21889</v>
      </c>
      <c r="B1090" s="74" t="s">
        <v>229</v>
      </c>
      <c r="C1090" s="74">
        <v>1</v>
      </c>
      <c r="D1090" s="74">
        <v>2813</v>
      </c>
      <c r="E1090" s="73">
        <v>2.500000037252903E-2</v>
      </c>
      <c r="F1090" s="73">
        <v>0.69866530080105982</v>
      </c>
      <c r="G1090" s="73">
        <v>9.0000003576278687E-2</v>
      </c>
      <c r="H1090" s="73">
        <v>0.23000000417232513</v>
      </c>
      <c r="I1090" s="190">
        <v>1925.059</v>
      </c>
      <c r="J1090" s="134" t="str">
        <f t="shared" si="130"/>
        <v>keep</v>
      </c>
      <c r="K1090" s="134" t="str">
        <f t="shared" si="131"/>
        <v>R38</v>
      </c>
      <c r="L1090" s="134" t="str">
        <f t="shared" si="132"/>
        <v>R11</v>
      </c>
      <c r="M1090" s="146" t="str">
        <f t="shared" si="128"/>
        <v>R0</v>
      </c>
      <c r="N1090" s="146" t="str">
        <f t="shared" si="129"/>
        <v>Better</v>
      </c>
      <c r="O1090" s="146" t="str">
        <f t="shared" si="133"/>
        <v>Heat PumpR38R11R0Better</v>
      </c>
      <c r="P1090" s="134" t="str">
        <f t="shared" si="134"/>
        <v>Crawlspace</v>
      </c>
      <c r="Q1090" s="134"/>
      <c r="R1090" s="134"/>
      <c r="S1090" s="134"/>
      <c r="T1090" s="134"/>
      <c r="U1090" s="134"/>
      <c r="V1090" s="134"/>
      <c r="W1090" s="134"/>
      <c r="X1090" s="134"/>
      <c r="Y1090" s="134"/>
      <c r="Z1090" s="134"/>
      <c r="AA1090" s="134"/>
      <c r="AB1090" s="134"/>
      <c r="AC1090" s="134"/>
      <c r="AD1090" s="134"/>
      <c r="AE1090" s="134"/>
      <c r="AF1090" s="146"/>
      <c r="AG1090" s="134"/>
      <c r="AH1090" s="134"/>
      <c r="AI1090" s="134"/>
      <c r="AJ1090" s="134"/>
      <c r="AK1090" s="134"/>
      <c r="AL1090" s="134"/>
      <c r="AM1090" s="146"/>
      <c r="AN1090" s="132"/>
      <c r="AO1090" s="132"/>
      <c r="AP1090" s="132"/>
      <c r="AQ1090" s="132"/>
      <c r="AR1090" s="134"/>
      <c r="AS1090" s="134"/>
      <c r="AT1090" s="132"/>
      <c r="AU1090" s="133"/>
      <c r="AV1090" s="134"/>
    </row>
    <row r="1091" spans="1:48">
      <c r="A1091" s="74">
        <v>21914</v>
      </c>
      <c r="B1091" s="74" t="s">
        <v>229</v>
      </c>
      <c r="C1091" s="74">
        <v>1</v>
      </c>
      <c r="D1091" s="74">
        <v>4190</v>
      </c>
      <c r="E1091" s="73">
        <v>4.5000001788139343E-2</v>
      </c>
      <c r="F1091" s="73">
        <v>0.44999998807907104</v>
      </c>
      <c r="G1091" s="73">
        <v>5.9999998658895493E-2</v>
      </c>
      <c r="H1091" s="73">
        <v>4.5000001788139343E-2</v>
      </c>
      <c r="I1091" s="190">
        <v>1612.692</v>
      </c>
      <c r="J1091" s="134" t="str">
        <f t="shared" si="130"/>
        <v>keep</v>
      </c>
      <c r="K1091" s="134" t="str">
        <f t="shared" si="131"/>
        <v>R30</v>
      </c>
      <c r="L1091" s="134" t="str">
        <f t="shared" si="132"/>
        <v>R11</v>
      </c>
      <c r="M1091" s="146" t="str">
        <f t="shared" si="128"/>
        <v>Better</v>
      </c>
      <c r="N1091" s="146" t="str">
        <f t="shared" si="129"/>
        <v>Better</v>
      </c>
      <c r="O1091" s="146" t="str">
        <f t="shared" si="133"/>
        <v>Heat PumpR30R11BetterBetter</v>
      </c>
      <c r="P1091" s="134" t="str">
        <f t="shared" si="134"/>
        <v>Crawlspace</v>
      </c>
      <c r="Q1091" s="134"/>
      <c r="R1091" s="134"/>
      <c r="S1091" s="134"/>
      <c r="T1091" s="134"/>
      <c r="U1091" s="134"/>
      <c r="V1091" s="134"/>
      <c r="W1091" s="134"/>
      <c r="X1091" s="134"/>
      <c r="Y1091" s="134"/>
      <c r="Z1091" s="134"/>
      <c r="AA1091" s="134"/>
      <c r="AB1091" s="134"/>
      <c r="AC1091" s="134"/>
      <c r="AD1091" s="134"/>
      <c r="AE1091" s="134"/>
      <c r="AF1091" s="146"/>
      <c r="AG1091" s="134"/>
      <c r="AH1091" s="134"/>
      <c r="AI1091" s="134"/>
      <c r="AJ1091" s="134"/>
      <c r="AK1091" s="134"/>
      <c r="AL1091" s="134"/>
      <c r="AM1091" s="146"/>
      <c r="AN1091" s="132"/>
      <c r="AO1091" s="132"/>
      <c r="AP1091" s="132"/>
      <c r="AQ1091" s="132"/>
      <c r="AR1091" s="134"/>
      <c r="AS1091" s="134"/>
      <c r="AT1091" s="132"/>
      <c r="AU1091" s="133"/>
      <c r="AV1091" s="134"/>
    </row>
    <row r="1092" spans="1:48">
      <c r="A1092" s="74">
        <v>21934</v>
      </c>
      <c r="B1092" s="74" t="s">
        <v>228</v>
      </c>
      <c r="C1092" s="74">
        <v>2</v>
      </c>
      <c r="D1092" s="74">
        <v>966</v>
      </c>
      <c r="E1092" s="73">
        <v>5.000000074505806E-2</v>
      </c>
      <c r="F1092" s="73">
        <v>0.85000002384185791</v>
      </c>
      <c r="G1092" s="73">
        <v>9.0000003576278687E-2</v>
      </c>
      <c r="H1092" s="73">
        <v>0</v>
      </c>
      <c r="I1092" s="190">
        <v>3785.7640000000001</v>
      </c>
      <c r="J1092" s="134" t="str">
        <f t="shared" si="130"/>
        <v>keep</v>
      </c>
      <c r="K1092" s="134" t="str">
        <f t="shared" si="131"/>
        <v>R30</v>
      </c>
      <c r="L1092" s="134" t="str">
        <f t="shared" si="132"/>
        <v>R11</v>
      </c>
      <c r="M1092" s="146" t="str">
        <f t="shared" si="128"/>
        <v>Slab</v>
      </c>
      <c r="N1092" s="146" t="str">
        <f t="shared" si="129"/>
        <v>Double</v>
      </c>
      <c r="O1092" s="146" t="str">
        <f t="shared" si="133"/>
        <v>Electric ZonalR30R11SlabDouble</v>
      </c>
      <c r="P1092" s="134" t="str">
        <f t="shared" si="134"/>
        <v>Slab</v>
      </c>
      <c r="Q1092" s="134"/>
      <c r="R1092" s="134"/>
      <c r="S1092" s="134"/>
      <c r="T1092" s="134"/>
      <c r="U1092" s="134"/>
      <c r="V1092" s="134"/>
      <c r="W1092" s="134"/>
      <c r="X1092" s="134"/>
      <c r="Y1092" s="134"/>
      <c r="Z1092" s="134"/>
      <c r="AA1092" s="134"/>
      <c r="AB1092" s="134"/>
      <c r="AC1092" s="134"/>
      <c r="AD1092" s="134"/>
      <c r="AE1092" s="134"/>
      <c r="AF1092" s="146"/>
      <c r="AG1092" s="134"/>
      <c r="AH1092" s="134"/>
      <c r="AI1092" s="134"/>
      <c r="AJ1092" s="134"/>
      <c r="AK1092" s="134"/>
      <c r="AL1092" s="134"/>
      <c r="AM1092" s="146"/>
      <c r="AN1092" s="132"/>
      <c r="AO1092" s="132"/>
      <c r="AP1092" s="132"/>
      <c r="AQ1092" s="132"/>
      <c r="AR1092" s="134"/>
      <c r="AS1092" s="134"/>
      <c r="AT1092" s="132"/>
      <c r="AU1092" s="133"/>
      <c r="AV1092" s="134"/>
    </row>
    <row r="1093" spans="1:48">
      <c r="A1093" s="74">
        <v>21936</v>
      </c>
      <c r="B1093" s="74" t="s">
        <v>228</v>
      </c>
      <c r="C1093" s="74">
        <v>2</v>
      </c>
      <c r="D1093" s="74">
        <v>750</v>
      </c>
      <c r="E1093" s="73">
        <v>0.14499999582767487</v>
      </c>
      <c r="F1093" s="73">
        <v>0.94999998807907104</v>
      </c>
      <c r="G1093" s="73">
        <v>7.9999998211860657E-2</v>
      </c>
      <c r="H1093" s="73">
        <v>0</v>
      </c>
      <c r="I1093" s="190">
        <v>2130.886</v>
      </c>
      <c r="J1093" s="134" t="str">
        <f t="shared" si="130"/>
        <v>keep</v>
      </c>
      <c r="K1093" s="134" t="str">
        <f t="shared" si="131"/>
        <v>R11</v>
      </c>
      <c r="L1093" s="134" t="str">
        <f t="shared" si="132"/>
        <v>R11</v>
      </c>
      <c r="M1093" s="146" t="str">
        <f t="shared" si="128"/>
        <v>Slab</v>
      </c>
      <c r="N1093" s="146" t="str">
        <f t="shared" si="129"/>
        <v>Double</v>
      </c>
      <c r="O1093" s="146" t="str">
        <f t="shared" si="133"/>
        <v>Electric ZonalR11R11SlabDouble</v>
      </c>
      <c r="P1093" s="134" t="str">
        <f t="shared" si="134"/>
        <v>Slab</v>
      </c>
      <c r="Q1093" s="134"/>
      <c r="R1093" s="134"/>
      <c r="S1093" s="134"/>
      <c r="T1093" s="134"/>
      <c r="U1093" s="134"/>
      <c r="V1093" s="134"/>
      <c r="W1093" s="134"/>
      <c r="X1093" s="134"/>
      <c r="Y1093" s="134"/>
      <c r="Z1093" s="134"/>
      <c r="AA1093" s="134"/>
      <c r="AB1093" s="134"/>
      <c r="AC1093" s="134"/>
      <c r="AD1093" s="134"/>
      <c r="AE1093" s="134"/>
      <c r="AF1093" s="146"/>
      <c r="AG1093" s="134"/>
      <c r="AH1093" s="134"/>
      <c r="AI1093" s="134"/>
      <c r="AJ1093" s="134"/>
      <c r="AK1093" s="134"/>
      <c r="AL1093" s="134"/>
      <c r="AM1093" s="146"/>
      <c r="AN1093" s="132"/>
      <c r="AO1093" s="132"/>
      <c r="AP1093" s="132"/>
      <c r="AQ1093" s="132"/>
      <c r="AR1093" s="134"/>
      <c r="AS1093" s="134"/>
      <c r="AT1093" s="132"/>
      <c r="AU1093" s="133"/>
      <c r="AV1093" s="134"/>
    </row>
    <row r="1094" spans="1:48">
      <c r="A1094" s="74">
        <v>21961</v>
      </c>
      <c r="B1094" s="74" t="s">
        <v>227</v>
      </c>
      <c r="C1094" s="74">
        <v>4</v>
      </c>
      <c r="D1094" s="74">
        <v>2575</v>
      </c>
      <c r="E1094" s="73">
        <v>7.5000002980232239E-2</v>
      </c>
      <c r="F1094" s="73">
        <v>0.5900523441000135</v>
      </c>
      <c r="G1094" s="73">
        <v>9.0000003576278687E-2</v>
      </c>
      <c r="H1094" s="73">
        <v>0</v>
      </c>
      <c r="I1094" s="190">
        <v>2079.9929999999999</v>
      </c>
      <c r="J1094" s="134" t="str">
        <f t="shared" si="130"/>
        <v>keep</v>
      </c>
      <c r="K1094" s="134" t="str">
        <f t="shared" si="131"/>
        <v>R19</v>
      </c>
      <c r="L1094" s="134" t="str">
        <f t="shared" si="132"/>
        <v>R11</v>
      </c>
      <c r="M1094" s="146" t="str">
        <f t="shared" si="128"/>
        <v>Basement</v>
      </c>
      <c r="N1094" s="146" t="str">
        <f t="shared" si="129"/>
        <v>Better</v>
      </c>
      <c r="O1094" s="146" t="str">
        <f t="shared" si="133"/>
        <v>Electric FAFR19R11BasementBetter</v>
      </c>
      <c r="P1094" s="134" t="str">
        <f t="shared" si="134"/>
        <v>Basement</v>
      </c>
      <c r="Q1094" s="134"/>
      <c r="R1094" s="134"/>
      <c r="S1094" s="134"/>
      <c r="T1094" s="134"/>
      <c r="U1094" s="134"/>
      <c r="V1094" s="134"/>
      <c r="W1094" s="134"/>
      <c r="X1094" s="134"/>
      <c r="Y1094" s="134"/>
      <c r="Z1094" s="134"/>
      <c r="AA1094" s="134"/>
      <c r="AB1094" s="134"/>
      <c r="AC1094" s="134"/>
      <c r="AD1094" s="134"/>
      <c r="AE1094" s="134"/>
      <c r="AF1094" s="146"/>
      <c r="AG1094" s="134"/>
      <c r="AH1094" s="134"/>
      <c r="AI1094" s="134"/>
      <c r="AJ1094" s="134"/>
      <c r="AK1094" s="134"/>
      <c r="AL1094" s="134"/>
      <c r="AM1094" s="146"/>
      <c r="AN1094" s="132"/>
      <c r="AO1094" s="132"/>
      <c r="AP1094" s="132"/>
      <c r="AQ1094" s="132"/>
      <c r="AR1094" s="134"/>
      <c r="AS1094" s="134"/>
      <c r="AT1094" s="132"/>
      <c r="AU1094" s="133"/>
      <c r="AV1094" s="134"/>
    </row>
    <row r="1095" spans="1:48">
      <c r="A1095" s="74">
        <v>21967</v>
      </c>
      <c r="B1095" s="74" t="s">
        <v>229</v>
      </c>
      <c r="C1095" s="74" t="s">
        <v>673</v>
      </c>
      <c r="D1095" s="74">
        <v>4067</v>
      </c>
      <c r="E1095" s="73">
        <v>2.500000037252903E-2</v>
      </c>
      <c r="F1095" s="73">
        <v>0.5127692162073576</v>
      </c>
      <c r="G1095" s="73">
        <v>5.9999998658895493E-2</v>
      </c>
      <c r="H1095" s="73">
        <v>2.9999999329447746E-2</v>
      </c>
      <c r="I1095" s="190">
        <v>1904.288</v>
      </c>
      <c r="J1095" s="134" t="str">
        <f t="shared" si="130"/>
        <v>ignore</v>
      </c>
      <c r="K1095" s="134" t="str">
        <f t="shared" si="131"/>
        <v>R38</v>
      </c>
      <c r="L1095" s="134" t="str">
        <f t="shared" si="132"/>
        <v>R11</v>
      </c>
      <c r="M1095" s="146" t="str">
        <f t="shared" si="128"/>
        <v>Better</v>
      </c>
      <c r="N1095" s="146" t="str">
        <f t="shared" si="129"/>
        <v>Better</v>
      </c>
      <c r="O1095" s="146" t="str">
        <f t="shared" si="133"/>
        <v>Heat PumpR38R11BetterBetter</v>
      </c>
      <c r="P1095" s="134" t="str">
        <f t="shared" si="134"/>
        <v>error</v>
      </c>
      <c r="Q1095" s="134"/>
      <c r="R1095" s="134"/>
      <c r="S1095" s="134"/>
      <c r="T1095" s="134"/>
      <c r="U1095" s="134"/>
      <c r="V1095" s="134"/>
      <c r="W1095" s="134"/>
      <c r="X1095" s="134"/>
      <c r="Y1095" s="134"/>
      <c r="Z1095" s="134"/>
      <c r="AA1095" s="134"/>
      <c r="AB1095" s="134"/>
      <c r="AC1095" s="134"/>
      <c r="AD1095" s="134"/>
      <c r="AE1095" s="134"/>
      <c r="AF1095" s="146"/>
      <c r="AG1095" s="134"/>
      <c r="AH1095" s="134"/>
      <c r="AI1095" s="134"/>
      <c r="AJ1095" s="134"/>
      <c r="AK1095" s="134"/>
      <c r="AL1095" s="134"/>
      <c r="AM1095" s="146"/>
      <c r="AN1095" s="132"/>
      <c r="AO1095" s="132"/>
      <c r="AP1095" s="132"/>
      <c r="AQ1095" s="132"/>
      <c r="AR1095" s="134"/>
      <c r="AS1095" s="134"/>
      <c r="AT1095" s="132"/>
      <c r="AU1095" s="133"/>
      <c r="AV1095" s="134"/>
    </row>
    <row r="1096" spans="1:48">
      <c r="A1096" s="74">
        <v>21974</v>
      </c>
      <c r="B1096" s="74" t="s">
        <v>228</v>
      </c>
      <c r="C1096" s="74">
        <v>1</v>
      </c>
      <c r="D1096" s="74">
        <v>1358</v>
      </c>
      <c r="E1096" s="73">
        <v>9.4999998807907104E-2</v>
      </c>
      <c r="F1096" s="73">
        <v>1.1000000238418579</v>
      </c>
      <c r="G1096" s="73" t="e">
        <v>#VALUE!</v>
      </c>
      <c r="H1096" s="73">
        <v>0.23000000417232513</v>
      </c>
      <c r="I1096" s="190">
        <v>3785.7640000000001</v>
      </c>
      <c r="J1096" s="134" t="str">
        <f t="shared" si="130"/>
        <v>ignore</v>
      </c>
      <c r="K1096" s="134" t="str">
        <f t="shared" si="131"/>
        <v>R11</v>
      </c>
      <c r="L1096" s="134" t="e">
        <f t="shared" si="132"/>
        <v>#VALUE!</v>
      </c>
      <c r="M1096" s="146" t="str">
        <f t="shared" si="128"/>
        <v>R0</v>
      </c>
      <c r="N1096" s="146" t="str">
        <f t="shared" si="129"/>
        <v>Single</v>
      </c>
      <c r="O1096" s="146" t="e">
        <f t="shared" si="133"/>
        <v>#VALUE!</v>
      </c>
      <c r="P1096" s="134" t="str">
        <f t="shared" si="134"/>
        <v>Crawlspace</v>
      </c>
      <c r="Q1096" s="134"/>
      <c r="R1096" s="134"/>
      <c r="S1096" s="134"/>
      <c r="T1096" s="134"/>
      <c r="U1096" s="134"/>
      <c r="V1096" s="134"/>
      <c r="W1096" s="134"/>
      <c r="X1096" s="134"/>
      <c r="Y1096" s="134"/>
      <c r="Z1096" s="134"/>
      <c r="AA1096" s="134"/>
      <c r="AB1096" s="134"/>
      <c r="AC1096" s="134"/>
      <c r="AD1096" s="134"/>
      <c r="AE1096" s="134"/>
      <c r="AF1096" s="146"/>
      <c r="AG1096" s="134"/>
      <c r="AH1096" s="134"/>
      <c r="AI1096" s="134"/>
      <c r="AJ1096" s="134"/>
      <c r="AK1096" s="134"/>
      <c r="AL1096" s="134"/>
      <c r="AM1096" s="146"/>
      <c r="AN1096" s="132"/>
      <c r="AO1096" s="132"/>
      <c r="AP1096" s="132"/>
      <c r="AQ1096" s="132"/>
      <c r="AR1096" s="134"/>
      <c r="AS1096" s="134"/>
      <c r="AT1096" s="132"/>
      <c r="AU1096" s="133"/>
      <c r="AV1096" s="134"/>
    </row>
    <row r="1097" spans="1:48">
      <c r="A1097" s="74">
        <v>21978</v>
      </c>
      <c r="B1097" s="74" t="s">
        <v>229</v>
      </c>
      <c r="C1097" s="74">
        <v>4</v>
      </c>
      <c r="D1097" s="74">
        <v>2632</v>
      </c>
      <c r="E1097" s="73">
        <v>3.5000000149011612E-2</v>
      </c>
      <c r="F1097" s="73">
        <v>0.60000002384185791</v>
      </c>
      <c r="G1097" s="73">
        <v>9.0000003576278687E-2</v>
      </c>
      <c r="H1097" s="73">
        <v>0</v>
      </c>
      <c r="I1097" s="190">
        <v>1904.288</v>
      </c>
      <c r="J1097" s="134" t="str">
        <f t="shared" si="130"/>
        <v>keep</v>
      </c>
      <c r="K1097" s="134" t="str">
        <f t="shared" si="131"/>
        <v>R38</v>
      </c>
      <c r="L1097" s="134" t="str">
        <f t="shared" si="132"/>
        <v>R11</v>
      </c>
      <c r="M1097" s="146" t="str">
        <f t="shared" si="128"/>
        <v>Basement</v>
      </c>
      <c r="N1097" s="146" t="str">
        <f t="shared" si="129"/>
        <v>Better</v>
      </c>
      <c r="O1097" s="146" t="str">
        <f t="shared" si="133"/>
        <v>Heat PumpR38R11BasementBetter</v>
      </c>
      <c r="P1097" s="134" t="str">
        <f t="shared" si="134"/>
        <v>Basement</v>
      </c>
      <c r="Q1097" s="134"/>
      <c r="R1097" s="134"/>
      <c r="S1097" s="134"/>
      <c r="T1097" s="134"/>
      <c r="U1097" s="134"/>
      <c r="V1097" s="134"/>
      <c r="W1097" s="134"/>
      <c r="X1097" s="134"/>
      <c r="Y1097" s="134"/>
      <c r="Z1097" s="134"/>
      <c r="AA1097" s="134"/>
      <c r="AB1097" s="134"/>
      <c r="AC1097" s="134"/>
      <c r="AD1097" s="134"/>
      <c r="AE1097" s="134"/>
      <c r="AF1097" s="146"/>
      <c r="AG1097" s="134"/>
      <c r="AH1097" s="134"/>
      <c r="AI1097" s="134"/>
      <c r="AJ1097" s="134"/>
      <c r="AK1097" s="134"/>
      <c r="AL1097" s="134"/>
      <c r="AM1097" s="146"/>
      <c r="AN1097" s="132"/>
      <c r="AO1097" s="132"/>
      <c r="AP1097" s="132"/>
      <c r="AQ1097" s="132"/>
      <c r="AR1097" s="134"/>
      <c r="AS1097" s="134"/>
      <c r="AT1097" s="132"/>
      <c r="AU1097" s="133"/>
      <c r="AV1097" s="134"/>
    </row>
    <row r="1098" spans="1:48">
      <c r="A1098" s="74">
        <v>21979</v>
      </c>
      <c r="B1098" s="74" t="s">
        <v>227</v>
      </c>
      <c r="C1098" s="74">
        <v>1</v>
      </c>
      <c r="D1098" s="74">
        <v>2275</v>
      </c>
      <c r="E1098" s="73">
        <v>0.17000000178813934</v>
      </c>
      <c r="F1098" s="73">
        <v>0.44999998807907104</v>
      </c>
      <c r="G1098" s="73">
        <v>9.0000003576278687E-2</v>
      </c>
      <c r="H1098" s="73">
        <v>6.4999997615814209E-2</v>
      </c>
      <c r="I1098" s="190">
        <v>1612.692</v>
      </c>
      <c r="J1098" s="134" t="str">
        <f t="shared" si="130"/>
        <v>keep</v>
      </c>
      <c r="K1098" s="134" t="str">
        <f t="shared" si="131"/>
        <v>R0</v>
      </c>
      <c r="L1098" s="134" t="str">
        <f t="shared" si="132"/>
        <v>R11</v>
      </c>
      <c r="M1098" s="146" t="str">
        <f t="shared" si="128"/>
        <v>R19</v>
      </c>
      <c r="N1098" s="146" t="str">
        <f t="shared" si="129"/>
        <v>Better</v>
      </c>
      <c r="O1098" s="146" t="str">
        <f t="shared" si="133"/>
        <v>Electric FAFR0R11R19Better</v>
      </c>
      <c r="P1098" s="134" t="str">
        <f t="shared" si="134"/>
        <v>Crawlspace</v>
      </c>
      <c r="Q1098" s="134"/>
      <c r="R1098" s="134"/>
      <c r="S1098" s="134"/>
      <c r="T1098" s="134"/>
      <c r="U1098" s="134"/>
      <c r="V1098" s="134"/>
      <c r="W1098" s="134"/>
      <c r="X1098" s="134"/>
      <c r="Y1098" s="134"/>
      <c r="Z1098" s="134"/>
      <c r="AA1098" s="134"/>
      <c r="AB1098" s="134"/>
      <c r="AC1098" s="134"/>
      <c r="AD1098" s="134"/>
      <c r="AE1098" s="134"/>
      <c r="AF1098" s="146"/>
      <c r="AG1098" s="134"/>
      <c r="AH1098" s="134"/>
      <c r="AI1098" s="134"/>
      <c r="AJ1098" s="134"/>
      <c r="AK1098" s="134"/>
      <c r="AL1098" s="134"/>
      <c r="AM1098" s="146"/>
      <c r="AN1098" s="132"/>
      <c r="AO1098" s="132"/>
      <c r="AP1098" s="132"/>
      <c r="AQ1098" s="132"/>
      <c r="AR1098" s="134"/>
      <c r="AS1098" s="134"/>
      <c r="AT1098" s="132"/>
      <c r="AU1098" s="133"/>
      <c r="AV1098" s="134"/>
    </row>
    <row r="1099" spans="1:48">
      <c r="A1099" s="74">
        <v>21981</v>
      </c>
      <c r="B1099" s="74" t="s">
        <v>228</v>
      </c>
      <c r="C1099" s="74">
        <v>1</v>
      </c>
      <c r="D1099" s="74">
        <v>990</v>
      </c>
      <c r="E1099" s="73">
        <v>4.5000001788139343E-2</v>
      </c>
      <c r="F1099" s="73">
        <v>0.49736842042521429</v>
      </c>
      <c r="G1099" s="73">
        <v>5.000000074505806E-2</v>
      </c>
      <c r="H1099" s="73">
        <v>2.9999999329447746E-2</v>
      </c>
      <c r="I1099" s="190">
        <v>2079.9929999999999</v>
      </c>
      <c r="J1099" s="134" t="str">
        <f t="shared" si="130"/>
        <v>keep</v>
      </c>
      <c r="K1099" s="134" t="str">
        <f t="shared" si="131"/>
        <v>R30</v>
      </c>
      <c r="L1099" s="134" t="str">
        <f t="shared" si="132"/>
        <v>R11</v>
      </c>
      <c r="M1099" s="146" t="str">
        <f t="shared" si="128"/>
        <v>Better</v>
      </c>
      <c r="N1099" s="146" t="str">
        <f t="shared" si="129"/>
        <v>Better</v>
      </c>
      <c r="O1099" s="146" t="str">
        <f t="shared" si="133"/>
        <v>Electric ZonalR30R11BetterBetter</v>
      </c>
      <c r="P1099" s="134" t="str">
        <f t="shared" si="134"/>
        <v>Crawlspace</v>
      </c>
      <c r="Q1099" s="134"/>
      <c r="R1099" s="134"/>
      <c r="S1099" s="134"/>
      <c r="T1099" s="134"/>
      <c r="U1099" s="134"/>
      <c r="V1099" s="134"/>
      <c r="W1099" s="134"/>
      <c r="X1099" s="134"/>
      <c r="Y1099" s="134"/>
      <c r="Z1099" s="134"/>
      <c r="AA1099" s="134"/>
      <c r="AB1099" s="134"/>
      <c r="AC1099" s="134"/>
      <c r="AD1099" s="134"/>
      <c r="AE1099" s="134"/>
      <c r="AF1099" s="146"/>
      <c r="AG1099" s="134"/>
      <c r="AH1099" s="134"/>
      <c r="AI1099" s="134"/>
      <c r="AJ1099" s="134"/>
      <c r="AK1099" s="134"/>
      <c r="AL1099" s="134"/>
      <c r="AM1099" s="146"/>
      <c r="AN1099" s="132"/>
      <c r="AO1099" s="132"/>
      <c r="AP1099" s="132"/>
      <c r="AQ1099" s="132"/>
      <c r="AR1099" s="134"/>
      <c r="AS1099" s="134"/>
      <c r="AT1099" s="132"/>
      <c r="AU1099" s="133"/>
      <c r="AV1099" s="134"/>
    </row>
    <row r="1100" spans="1:48">
      <c r="A1100" s="74">
        <v>22019</v>
      </c>
      <c r="B1100" s="74" t="s">
        <v>227</v>
      </c>
      <c r="C1100" s="74">
        <v>4</v>
      </c>
      <c r="D1100" s="74">
        <v>1968</v>
      </c>
      <c r="E1100" s="73">
        <v>2.500000037252903E-2</v>
      </c>
      <c r="F1100" s="73">
        <v>0.60000002384185791</v>
      </c>
      <c r="G1100" s="73">
        <v>9.0000003576278687E-2</v>
      </c>
      <c r="H1100" s="73">
        <v>0</v>
      </c>
      <c r="I1100" s="190">
        <v>1904.288</v>
      </c>
      <c r="J1100" s="134" t="str">
        <f t="shared" si="130"/>
        <v>keep</v>
      </c>
      <c r="K1100" s="134" t="str">
        <f t="shared" si="131"/>
        <v>R38</v>
      </c>
      <c r="L1100" s="134" t="str">
        <f t="shared" si="132"/>
        <v>R11</v>
      </c>
      <c r="M1100" s="146" t="str">
        <f t="shared" si="128"/>
        <v>Basement</v>
      </c>
      <c r="N1100" s="146" t="str">
        <f t="shared" si="129"/>
        <v>Better</v>
      </c>
      <c r="O1100" s="146" t="str">
        <f t="shared" si="133"/>
        <v>Electric FAFR38R11BasementBetter</v>
      </c>
      <c r="P1100" s="134" t="str">
        <f t="shared" si="134"/>
        <v>Basement</v>
      </c>
      <c r="Q1100" s="134"/>
      <c r="R1100" s="134"/>
      <c r="S1100" s="134"/>
      <c r="T1100" s="134"/>
      <c r="U1100" s="134"/>
      <c r="V1100" s="134"/>
      <c r="W1100" s="134"/>
      <c r="X1100" s="134"/>
      <c r="Y1100" s="134"/>
      <c r="Z1100" s="134"/>
      <c r="AA1100" s="134"/>
      <c r="AB1100" s="134"/>
      <c r="AC1100" s="134"/>
      <c r="AD1100" s="134"/>
      <c r="AE1100" s="134"/>
      <c r="AF1100" s="146"/>
      <c r="AG1100" s="134"/>
      <c r="AH1100" s="134"/>
      <c r="AI1100" s="134"/>
      <c r="AJ1100" s="134"/>
      <c r="AK1100" s="134"/>
      <c r="AL1100" s="134"/>
      <c r="AM1100" s="146"/>
      <c r="AN1100" s="132"/>
      <c r="AO1100" s="132"/>
      <c r="AP1100" s="132"/>
      <c r="AQ1100" s="132"/>
      <c r="AR1100" s="134"/>
      <c r="AS1100" s="134"/>
      <c r="AT1100" s="132"/>
      <c r="AU1100" s="133"/>
      <c r="AV1100" s="134"/>
    </row>
    <row r="1101" spans="1:48">
      <c r="A1101" s="74">
        <v>22024</v>
      </c>
      <c r="B1101" s="74" t="s">
        <v>228</v>
      </c>
      <c r="C1101" s="74">
        <v>4</v>
      </c>
      <c r="D1101" s="74">
        <v>3080</v>
      </c>
      <c r="E1101" s="73">
        <v>7.5000002980232239E-2</v>
      </c>
      <c r="F1101" s="73">
        <v>0.55000001192092896</v>
      </c>
      <c r="G1101" s="73">
        <v>9.0000003576278687E-2</v>
      </c>
      <c r="H1101" s="73">
        <v>0</v>
      </c>
      <c r="I1101" s="190">
        <v>1192.4649999999999</v>
      </c>
      <c r="J1101" s="134" t="str">
        <f t="shared" si="130"/>
        <v>keep</v>
      </c>
      <c r="K1101" s="134" t="str">
        <f t="shared" si="131"/>
        <v>R19</v>
      </c>
      <c r="L1101" s="134" t="str">
        <f t="shared" si="132"/>
        <v>R11</v>
      </c>
      <c r="M1101" s="146" t="str">
        <f t="shared" si="128"/>
        <v>Basement</v>
      </c>
      <c r="N1101" s="146" t="str">
        <f t="shared" si="129"/>
        <v>Better</v>
      </c>
      <c r="O1101" s="146" t="str">
        <f t="shared" si="133"/>
        <v>Electric ZonalR19R11BasementBetter</v>
      </c>
      <c r="P1101" s="134" t="str">
        <f t="shared" si="134"/>
        <v>Basement</v>
      </c>
      <c r="Q1101" s="134"/>
      <c r="R1101" s="134"/>
      <c r="S1101" s="134"/>
      <c r="T1101" s="134"/>
      <c r="U1101" s="134"/>
      <c r="V1101" s="134"/>
      <c r="W1101" s="134"/>
      <c r="X1101" s="134"/>
      <c r="Y1101" s="134"/>
      <c r="Z1101" s="134"/>
      <c r="AA1101" s="134"/>
      <c r="AB1101" s="134"/>
      <c r="AC1101" s="134"/>
      <c r="AD1101" s="134"/>
      <c r="AE1101" s="134"/>
      <c r="AF1101" s="146"/>
      <c r="AG1101" s="134"/>
      <c r="AH1101" s="134"/>
      <c r="AI1101" s="134"/>
      <c r="AJ1101" s="134"/>
      <c r="AK1101" s="134"/>
      <c r="AL1101" s="134"/>
      <c r="AM1101" s="146"/>
      <c r="AN1101" s="132"/>
      <c r="AO1101" s="132"/>
      <c r="AP1101" s="132"/>
      <c r="AQ1101" s="132"/>
      <c r="AR1101" s="134"/>
      <c r="AS1101" s="134"/>
      <c r="AT1101" s="132"/>
      <c r="AU1101" s="133"/>
      <c r="AV1101" s="134"/>
    </row>
    <row r="1102" spans="1:48">
      <c r="A1102" s="74">
        <v>22047</v>
      </c>
      <c r="B1102" s="74" t="s">
        <v>228</v>
      </c>
      <c r="C1102" s="74">
        <v>4</v>
      </c>
      <c r="D1102" s="74">
        <v>1824</v>
      </c>
      <c r="E1102" s="73">
        <v>2.500000037252903E-2</v>
      </c>
      <c r="F1102" s="73">
        <v>0.55000001192092896</v>
      </c>
      <c r="G1102" s="73">
        <v>2.7000000700354576E-2</v>
      </c>
      <c r="H1102" s="73">
        <v>0</v>
      </c>
      <c r="I1102" s="190">
        <v>3785.7640000000001</v>
      </c>
      <c r="J1102" s="134" t="str">
        <f t="shared" si="130"/>
        <v>keep</v>
      </c>
      <c r="K1102" s="134" t="str">
        <f t="shared" si="131"/>
        <v>R38</v>
      </c>
      <c r="L1102" s="134" t="str">
        <f t="shared" si="132"/>
        <v>R11</v>
      </c>
      <c r="M1102" s="146" t="str">
        <f t="shared" si="128"/>
        <v>Basement</v>
      </c>
      <c r="N1102" s="146" t="str">
        <f t="shared" si="129"/>
        <v>Better</v>
      </c>
      <c r="O1102" s="146" t="str">
        <f t="shared" si="133"/>
        <v>Electric ZonalR38R11BasementBetter</v>
      </c>
      <c r="P1102" s="134" t="str">
        <f t="shared" si="134"/>
        <v>Basement</v>
      </c>
      <c r="Q1102" s="134"/>
      <c r="R1102" s="134"/>
      <c r="S1102" s="134"/>
      <c r="T1102" s="134"/>
      <c r="U1102" s="134"/>
      <c r="V1102" s="134"/>
      <c r="W1102" s="134"/>
      <c r="X1102" s="134"/>
      <c r="Y1102" s="134"/>
      <c r="Z1102" s="134"/>
      <c r="AA1102" s="134"/>
      <c r="AB1102" s="134"/>
      <c r="AC1102" s="134"/>
      <c r="AD1102" s="134"/>
      <c r="AE1102" s="134"/>
      <c r="AF1102" s="146"/>
      <c r="AG1102" s="134"/>
      <c r="AH1102" s="134"/>
      <c r="AI1102" s="134"/>
      <c r="AJ1102" s="134"/>
      <c r="AK1102" s="134"/>
      <c r="AL1102" s="134"/>
      <c r="AM1102" s="146"/>
      <c r="AN1102" s="132"/>
      <c r="AO1102" s="132"/>
      <c r="AP1102" s="132"/>
      <c r="AQ1102" s="132"/>
      <c r="AR1102" s="134"/>
      <c r="AS1102" s="134"/>
      <c r="AT1102" s="132"/>
      <c r="AU1102" s="133"/>
      <c r="AV1102" s="134"/>
    </row>
    <row r="1103" spans="1:48">
      <c r="A1103" s="74">
        <v>22052</v>
      </c>
      <c r="B1103" s="74" t="s">
        <v>229</v>
      </c>
      <c r="C1103" s="74">
        <v>1</v>
      </c>
      <c r="D1103" s="74">
        <v>1495</v>
      </c>
      <c r="E1103" s="73">
        <v>2.500000037252903E-2</v>
      </c>
      <c r="F1103" s="73">
        <v>0.44999998807907104</v>
      </c>
      <c r="G1103" s="73">
        <v>7.9999998211860657E-2</v>
      </c>
      <c r="H1103" s="73">
        <v>4.5000001788139343E-2</v>
      </c>
      <c r="I1103" s="190">
        <v>1904.288</v>
      </c>
      <c r="J1103" s="134" t="str">
        <f t="shared" si="130"/>
        <v>keep</v>
      </c>
      <c r="K1103" s="134" t="str">
        <f t="shared" si="131"/>
        <v>R38</v>
      </c>
      <c r="L1103" s="134" t="str">
        <f t="shared" si="132"/>
        <v>R11</v>
      </c>
      <c r="M1103" s="146" t="str">
        <f t="shared" si="128"/>
        <v>Better</v>
      </c>
      <c r="N1103" s="146" t="str">
        <f t="shared" si="129"/>
        <v>Better</v>
      </c>
      <c r="O1103" s="146" t="str">
        <f t="shared" si="133"/>
        <v>Heat PumpR38R11BetterBetter</v>
      </c>
      <c r="P1103" s="134" t="str">
        <f t="shared" si="134"/>
        <v>Crawlspace</v>
      </c>
      <c r="Q1103" s="134"/>
      <c r="R1103" s="134"/>
      <c r="S1103" s="134"/>
      <c r="T1103" s="134"/>
      <c r="U1103" s="134"/>
      <c r="V1103" s="134"/>
      <c r="W1103" s="134"/>
      <c r="X1103" s="134"/>
      <c r="Y1103" s="134"/>
      <c r="Z1103" s="134"/>
      <c r="AA1103" s="134"/>
      <c r="AB1103" s="134"/>
      <c r="AC1103" s="134"/>
      <c r="AD1103" s="134"/>
      <c r="AE1103" s="134"/>
      <c r="AF1103" s="146"/>
      <c r="AG1103" s="134"/>
      <c r="AH1103" s="134"/>
      <c r="AI1103" s="134"/>
      <c r="AJ1103" s="134"/>
      <c r="AK1103" s="134"/>
      <c r="AL1103" s="134"/>
      <c r="AM1103" s="146"/>
      <c r="AN1103" s="132"/>
      <c r="AO1103" s="132"/>
      <c r="AP1103" s="132"/>
      <c r="AQ1103" s="132"/>
      <c r="AR1103" s="134"/>
      <c r="AS1103" s="134"/>
      <c r="AT1103" s="132"/>
      <c r="AU1103" s="133"/>
      <c r="AV1103" s="134"/>
    </row>
    <row r="1104" spans="1:48">
      <c r="A1104" s="74">
        <v>22053</v>
      </c>
      <c r="B1104" s="74" t="s">
        <v>227</v>
      </c>
      <c r="C1104" s="74">
        <v>1</v>
      </c>
      <c r="D1104" s="74">
        <v>1850</v>
      </c>
      <c r="E1104" s="73">
        <v>9.0000003576278687E-2</v>
      </c>
      <c r="F1104" s="73">
        <v>0.60000002384185791</v>
      </c>
      <c r="G1104" s="73">
        <v>9.0000003576278687E-2</v>
      </c>
      <c r="H1104" s="73">
        <v>5.9999998658895493E-2</v>
      </c>
      <c r="I1104" s="190">
        <v>2079.9929999999999</v>
      </c>
      <c r="J1104" s="134" t="str">
        <f t="shared" si="130"/>
        <v>keep</v>
      </c>
      <c r="K1104" s="134" t="str">
        <f t="shared" si="131"/>
        <v>R11</v>
      </c>
      <c r="L1104" s="134" t="str">
        <f t="shared" si="132"/>
        <v>R11</v>
      </c>
      <c r="M1104" s="146" t="str">
        <f t="shared" si="128"/>
        <v>R19</v>
      </c>
      <c r="N1104" s="146" t="str">
        <f t="shared" si="129"/>
        <v>Better</v>
      </c>
      <c r="O1104" s="146" t="str">
        <f t="shared" si="133"/>
        <v>Electric FAFR11R11R19Better</v>
      </c>
      <c r="P1104" s="134" t="str">
        <f t="shared" si="134"/>
        <v>Crawlspace</v>
      </c>
      <c r="Q1104" s="134"/>
      <c r="R1104" s="134"/>
      <c r="S1104" s="134"/>
      <c r="T1104" s="134"/>
      <c r="U1104" s="134"/>
      <c r="V1104" s="134"/>
      <c r="W1104" s="134"/>
      <c r="X1104" s="134"/>
      <c r="Y1104" s="134"/>
      <c r="Z1104" s="134"/>
      <c r="AA1104" s="134"/>
      <c r="AB1104" s="134"/>
      <c r="AC1104" s="134"/>
      <c r="AD1104" s="134"/>
      <c r="AE1104" s="134"/>
      <c r="AF1104" s="146"/>
      <c r="AG1104" s="134"/>
      <c r="AH1104" s="134"/>
      <c r="AI1104" s="134"/>
      <c r="AJ1104" s="134"/>
      <c r="AK1104" s="134"/>
      <c r="AL1104" s="134"/>
      <c r="AM1104" s="146"/>
      <c r="AN1104" s="132"/>
      <c r="AO1104" s="132"/>
      <c r="AP1104" s="132"/>
      <c r="AQ1104" s="132"/>
      <c r="AR1104" s="134"/>
      <c r="AS1104" s="134"/>
      <c r="AT1104" s="132"/>
      <c r="AU1104" s="133"/>
      <c r="AV1104" s="134"/>
    </row>
    <row r="1105" spans="1:48">
      <c r="A1105" s="74">
        <v>22059</v>
      </c>
      <c r="B1105" s="74" t="s">
        <v>229</v>
      </c>
      <c r="C1105" s="74">
        <v>1</v>
      </c>
      <c r="D1105" s="74">
        <v>1208</v>
      </c>
      <c r="E1105" s="73">
        <v>3.5000000149011612E-2</v>
      </c>
      <c r="F1105" s="73">
        <v>0.52748345026117283</v>
      </c>
      <c r="G1105" s="73">
        <v>9.0000003576278687E-2</v>
      </c>
      <c r="H1105" s="73">
        <v>2.9999999329447746E-2</v>
      </c>
      <c r="I1105" s="190">
        <v>1904.288</v>
      </c>
      <c r="J1105" s="134" t="str">
        <f t="shared" si="130"/>
        <v>keep</v>
      </c>
      <c r="K1105" s="134" t="str">
        <f t="shared" si="131"/>
        <v>R38</v>
      </c>
      <c r="L1105" s="134" t="str">
        <f t="shared" si="132"/>
        <v>R11</v>
      </c>
      <c r="M1105" s="146" t="str">
        <f t="shared" si="128"/>
        <v>Better</v>
      </c>
      <c r="N1105" s="146" t="str">
        <f t="shared" si="129"/>
        <v>Better</v>
      </c>
      <c r="O1105" s="146" t="str">
        <f t="shared" si="133"/>
        <v>Heat PumpR38R11BetterBetter</v>
      </c>
      <c r="P1105" s="134" t="str">
        <f t="shared" si="134"/>
        <v>Crawlspace</v>
      </c>
      <c r="Q1105" s="134"/>
      <c r="R1105" s="134"/>
      <c r="S1105" s="134"/>
      <c r="T1105" s="134"/>
      <c r="U1105" s="134"/>
      <c r="V1105" s="134"/>
      <c r="W1105" s="134"/>
      <c r="X1105" s="134"/>
      <c r="Y1105" s="134"/>
      <c r="Z1105" s="134"/>
      <c r="AA1105" s="134"/>
      <c r="AB1105" s="134"/>
      <c r="AC1105" s="134"/>
      <c r="AD1105" s="134"/>
      <c r="AE1105" s="134"/>
      <c r="AF1105" s="146"/>
      <c r="AG1105" s="134"/>
      <c r="AH1105" s="134"/>
      <c r="AI1105" s="134"/>
      <c r="AJ1105" s="134"/>
      <c r="AK1105" s="134"/>
      <c r="AL1105" s="134"/>
      <c r="AM1105" s="146"/>
      <c r="AN1105" s="132"/>
      <c r="AO1105" s="132"/>
      <c r="AP1105" s="132"/>
      <c r="AQ1105" s="132"/>
      <c r="AR1105" s="134"/>
      <c r="AS1105" s="134"/>
      <c r="AT1105" s="132"/>
      <c r="AU1105" s="133"/>
      <c r="AV1105" s="134"/>
    </row>
    <row r="1106" spans="1:48">
      <c r="A1106" s="74">
        <v>22061</v>
      </c>
      <c r="B1106" s="74" t="s">
        <v>229</v>
      </c>
      <c r="C1106" s="74" t="s">
        <v>673</v>
      </c>
      <c r="D1106" s="74">
        <v>3020</v>
      </c>
      <c r="E1106" s="73">
        <v>2.500000037252903E-2</v>
      </c>
      <c r="F1106" s="73">
        <v>0.51363635740496894</v>
      </c>
      <c r="G1106" s="73">
        <v>0.17320481880852978</v>
      </c>
      <c r="H1106" s="73">
        <v>0.23000000417232513</v>
      </c>
      <c r="I1106" s="190">
        <v>1904.288</v>
      </c>
      <c r="J1106" s="134" t="str">
        <f t="shared" si="130"/>
        <v>ignore</v>
      </c>
      <c r="K1106" s="134" t="str">
        <f t="shared" si="131"/>
        <v>R38</v>
      </c>
      <c r="L1106" s="134" t="str">
        <f t="shared" si="132"/>
        <v>R11</v>
      </c>
      <c r="M1106" s="146" t="str">
        <f t="shared" si="128"/>
        <v>R0</v>
      </c>
      <c r="N1106" s="146" t="str">
        <f t="shared" si="129"/>
        <v>Better</v>
      </c>
      <c r="O1106" s="146" t="str">
        <f t="shared" si="133"/>
        <v>Heat PumpR38R11R0Better</v>
      </c>
      <c r="P1106" s="134" t="str">
        <f t="shared" si="134"/>
        <v>error</v>
      </c>
      <c r="Q1106" s="134"/>
      <c r="R1106" s="134"/>
      <c r="S1106" s="134"/>
      <c r="T1106" s="134"/>
      <c r="U1106" s="134"/>
      <c r="V1106" s="134"/>
      <c r="W1106" s="134"/>
      <c r="X1106" s="134"/>
      <c r="Y1106" s="134"/>
      <c r="Z1106" s="134"/>
      <c r="AA1106" s="134"/>
      <c r="AB1106" s="134"/>
      <c r="AC1106" s="134"/>
      <c r="AD1106" s="134"/>
      <c r="AE1106" s="134"/>
      <c r="AF1106" s="146"/>
      <c r="AG1106" s="134"/>
      <c r="AH1106" s="134"/>
      <c r="AI1106" s="134"/>
      <c r="AJ1106" s="134"/>
      <c r="AK1106" s="134"/>
      <c r="AL1106" s="134"/>
      <c r="AM1106" s="146"/>
      <c r="AN1106" s="132"/>
      <c r="AO1106" s="132"/>
      <c r="AP1106" s="132"/>
      <c r="AQ1106" s="132"/>
      <c r="AR1106" s="134"/>
      <c r="AS1106" s="134"/>
      <c r="AT1106" s="132"/>
      <c r="AU1106" s="133"/>
      <c r="AV1106" s="134"/>
    </row>
    <row r="1107" spans="1:48">
      <c r="A1107" s="74">
        <v>22077</v>
      </c>
      <c r="B1107" s="74" t="s">
        <v>228</v>
      </c>
      <c r="C1107" s="74" t="s">
        <v>673</v>
      </c>
      <c r="D1107" s="74">
        <v>1008</v>
      </c>
      <c r="E1107" s="73">
        <v>9.0000003576278687E-2</v>
      </c>
      <c r="F1107" s="73">
        <v>0.94999998807907104</v>
      </c>
      <c r="G1107" s="73">
        <v>0.23400000000000001</v>
      </c>
      <c r="H1107" s="73">
        <v>0.23000000417232513</v>
      </c>
      <c r="I1107" s="190">
        <v>3785.7640000000001</v>
      </c>
      <c r="J1107" s="134" t="str">
        <f t="shared" si="130"/>
        <v>ignore</v>
      </c>
      <c r="K1107" s="134" t="str">
        <f t="shared" si="131"/>
        <v>R11</v>
      </c>
      <c r="L1107" s="134" t="str">
        <f t="shared" si="132"/>
        <v>R0</v>
      </c>
      <c r="M1107" s="146" t="str">
        <f t="shared" si="128"/>
        <v>R0</v>
      </c>
      <c r="N1107" s="146" t="str">
        <f t="shared" si="129"/>
        <v>Double</v>
      </c>
      <c r="O1107" s="146" t="str">
        <f t="shared" si="133"/>
        <v>Electric ZonalR11R0R0Double</v>
      </c>
      <c r="P1107" s="134" t="str">
        <f t="shared" si="134"/>
        <v>error</v>
      </c>
      <c r="Q1107" s="134"/>
      <c r="R1107" s="134"/>
      <c r="S1107" s="134"/>
      <c r="T1107" s="134"/>
      <c r="U1107" s="134"/>
      <c r="V1107" s="134"/>
      <c r="W1107" s="134"/>
      <c r="X1107" s="134"/>
      <c r="Y1107" s="134"/>
      <c r="Z1107" s="134"/>
      <c r="AA1107" s="134"/>
      <c r="AB1107" s="134"/>
      <c r="AC1107" s="134"/>
      <c r="AD1107" s="134"/>
      <c r="AE1107" s="134"/>
      <c r="AF1107" s="146"/>
      <c r="AG1107" s="134"/>
      <c r="AH1107" s="134"/>
      <c r="AI1107" s="134"/>
      <c r="AJ1107" s="134"/>
      <c r="AK1107" s="134"/>
      <c r="AL1107" s="134"/>
      <c r="AM1107" s="146"/>
      <c r="AN1107" s="132"/>
      <c r="AO1107" s="132"/>
      <c r="AP1107" s="132"/>
      <c r="AQ1107" s="132"/>
      <c r="AR1107" s="134"/>
      <c r="AS1107" s="134"/>
      <c r="AT1107" s="132"/>
      <c r="AU1107" s="133"/>
      <c r="AV1107" s="134"/>
    </row>
    <row r="1108" spans="1:48">
      <c r="A1108" s="74">
        <v>22087</v>
      </c>
      <c r="B1108" s="74" t="s">
        <v>228</v>
      </c>
      <c r="C1108" s="74">
        <v>1</v>
      </c>
      <c r="D1108" s="74">
        <v>2020</v>
      </c>
      <c r="E1108" s="73">
        <v>8.1850919234775249E-2</v>
      </c>
      <c r="F1108" s="73">
        <v>0.44999998807907104</v>
      </c>
      <c r="G1108" s="73">
        <v>7.6875001424923539E-2</v>
      </c>
      <c r="H1108" s="73">
        <v>0.23000000417232513</v>
      </c>
      <c r="I1108" s="190">
        <v>1612.692</v>
      </c>
      <c r="J1108" s="134" t="str">
        <f t="shared" si="130"/>
        <v>keep</v>
      </c>
      <c r="K1108" s="134" t="str">
        <f t="shared" si="131"/>
        <v>R19</v>
      </c>
      <c r="L1108" s="134" t="str">
        <f t="shared" si="132"/>
        <v>R11</v>
      </c>
      <c r="M1108" s="146" t="str">
        <f t="shared" si="128"/>
        <v>R0</v>
      </c>
      <c r="N1108" s="146" t="str">
        <f t="shared" si="129"/>
        <v>Better</v>
      </c>
      <c r="O1108" s="146" t="str">
        <f t="shared" si="133"/>
        <v>Electric ZonalR19R11R0Better</v>
      </c>
      <c r="P1108" s="134" t="str">
        <f t="shared" si="134"/>
        <v>Crawlspace</v>
      </c>
      <c r="Q1108" s="134"/>
      <c r="R1108" s="134"/>
      <c r="S1108" s="134"/>
      <c r="T1108" s="134"/>
      <c r="U1108" s="134"/>
      <c r="V1108" s="134"/>
      <c r="W1108" s="134"/>
      <c r="X1108" s="134"/>
      <c r="Y1108" s="134"/>
      <c r="Z1108" s="134"/>
      <c r="AA1108" s="134"/>
      <c r="AB1108" s="134"/>
      <c r="AC1108" s="134"/>
      <c r="AD1108" s="134"/>
      <c r="AE1108" s="134"/>
      <c r="AF1108" s="146"/>
      <c r="AG1108" s="134"/>
      <c r="AH1108" s="134"/>
      <c r="AI1108" s="134"/>
      <c r="AJ1108" s="134"/>
      <c r="AK1108" s="134"/>
      <c r="AL1108" s="134"/>
      <c r="AM1108" s="146"/>
      <c r="AN1108" s="132"/>
      <c r="AO1108" s="132"/>
      <c r="AP1108" s="132"/>
      <c r="AQ1108" s="132"/>
      <c r="AR1108" s="134"/>
      <c r="AS1108" s="134"/>
      <c r="AT1108" s="132"/>
      <c r="AU1108" s="133"/>
      <c r="AV1108" s="134"/>
    </row>
    <row r="1109" spans="1:48">
      <c r="A1109" s="74">
        <v>22096</v>
      </c>
      <c r="B1109" s="74" t="s">
        <v>228</v>
      </c>
      <c r="C1109" s="74">
        <v>1</v>
      </c>
      <c r="D1109" s="74">
        <v>2328</v>
      </c>
      <c r="E1109" s="73">
        <v>0.15333333549400169</v>
      </c>
      <c r="F1109" s="73">
        <v>0.55000001192092896</v>
      </c>
      <c r="G1109" s="73">
        <v>5.000000074505806E-2</v>
      </c>
      <c r="H1109" s="73">
        <v>9.0000003576278687E-2</v>
      </c>
      <c r="I1109" s="190">
        <v>3785.7640000000001</v>
      </c>
      <c r="J1109" s="134" t="str">
        <f t="shared" si="130"/>
        <v>keep</v>
      </c>
      <c r="K1109" s="134" t="str">
        <f t="shared" si="131"/>
        <v>R0</v>
      </c>
      <c r="L1109" s="134" t="str">
        <f t="shared" si="132"/>
        <v>R11</v>
      </c>
      <c r="M1109" s="146" t="str">
        <f t="shared" si="128"/>
        <v>R0</v>
      </c>
      <c r="N1109" s="146" t="str">
        <f t="shared" si="129"/>
        <v>Better</v>
      </c>
      <c r="O1109" s="146" t="str">
        <f t="shared" si="133"/>
        <v>Electric ZonalR0R11R0Better</v>
      </c>
      <c r="P1109" s="134" t="str">
        <f t="shared" si="134"/>
        <v>Crawlspace</v>
      </c>
      <c r="Q1109" s="134"/>
      <c r="R1109" s="134"/>
      <c r="S1109" s="134"/>
      <c r="T1109" s="134"/>
      <c r="U1109" s="134"/>
      <c r="V1109" s="134"/>
      <c r="W1109" s="134"/>
      <c r="X1109" s="134"/>
      <c r="Y1109" s="134"/>
      <c r="Z1109" s="134"/>
      <c r="AA1109" s="134"/>
      <c r="AB1109" s="134"/>
      <c r="AC1109" s="134"/>
      <c r="AD1109" s="134"/>
      <c r="AE1109" s="134"/>
      <c r="AF1109" s="146"/>
      <c r="AG1109" s="134"/>
      <c r="AH1109" s="134"/>
      <c r="AI1109" s="134"/>
      <c r="AJ1109" s="134"/>
      <c r="AK1109" s="134"/>
      <c r="AL1109" s="134"/>
      <c r="AM1109" s="146"/>
      <c r="AN1109" s="132"/>
      <c r="AO1109" s="132"/>
      <c r="AP1109" s="132"/>
      <c r="AQ1109" s="132"/>
      <c r="AR1109" s="134"/>
      <c r="AS1109" s="134"/>
      <c r="AT1109" s="132"/>
      <c r="AU1109" s="133"/>
      <c r="AV1109" s="134"/>
    </row>
    <row r="1110" spans="1:48">
      <c r="A1110" s="74">
        <v>22108</v>
      </c>
      <c r="B1110" s="74" t="s">
        <v>229</v>
      </c>
      <c r="C1110" s="74">
        <v>1</v>
      </c>
      <c r="D1110" s="74">
        <v>2531</v>
      </c>
      <c r="E1110" s="73">
        <v>4.8060046306727389E-2</v>
      </c>
      <c r="F1110" s="73">
        <v>0.63549297359627732</v>
      </c>
      <c r="G1110" s="73">
        <v>8.4035733244558888E-2</v>
      </c>
      <c r="H1110" s="73">
        <v>3.5000000149011612E-2</v>
      </c>
      <c r="I1110" s="190">
        <v>1612.692</v>
      </c>
      <c r="J1110" s="134" t="str">
        <f t="shared" si="130"/>
        <v>keep</v>
      </c>
      <c r="K1110" s="134" t="str">
        <f t="shared" si="131"/>
        <v>R30</v>
      </c>
      <c r="L1110" s="134" t="str">
        <f t="shared" si="132"/>
        <v>R11</v>
      </c>
      <c r="M1110" s="146" t="str">
        <f t="shared" si="128"/>
        <v>Better</v>
      </c>
      <c r="N1110" s="146" t="str">
        <f t="shared" si="129"/>
        <v>Better</v>
      </c>
      <c r="O1110" s="146" t="str">
        <f t="shared" si="133"/>
        <v>Heat PumpR30R11BetterBetter</v>
      </c>
      <c r="P1110" s="134" t="str">
        <f t="shared" si="134"/>
        <v>Crawlspace</v>
      </c>
      <c r="Q1110" s="134"/>
      <c r="R1110" s="134"/>
      <c r="S1110" s="134"/>
      <c r="T1110" s="134"/>
      <c r="U1110" s="134"/>
      <c r="V1110" s="134"/>
      <c r="W1110" s="134"/>
      <c r="X1110" s="134"/>
      <c r="Y1110" s="134"/>
      <c r="Z1110" s="134"/>
      <c r="AA1110" s="134"/>
      <c r="AB1110" s="134"/>
      <c r="AC1110" s="134"/>
      <c r="AD1110" s="134"/>
      <c r="AE1110" s="134"/>
      <c r="AF1110" s="146"/>
      <c r="AG1110" s="134"/>
      <c r="AH1110" s="134"/>
      <c r="AI1110" s="134"/>
      <c r="AJ1110" s="134"/>
      <c r="AK1110" s="134"/>
      <c r="AL1110" s="134"/>
      <c r="AM1110" s="146"/>
      <c r="AN1110" s="132"/>
      <c r="AO1110" s="132"/>
      <c r="AP1110" s="132"/>
      <c r="AQ1110" s="132"/>
      <c r="AR1110" s="134"/>
      <c r="AS1110" s="134"/>
      <c r="AT1110" s="132"/>
      <c r="AU1110" s="133"/>
      <c r="AV1110" s="134"/>
    </row>
    <row r="1111" spans="1:48">
      <c r="A1111" s="74">
        <v>22109</v>
      </c>
      <c r="B1111" s="74" t="s">
        <v>229</v>
      </c>
      <c r="C1111" s="74">
        <v>1</v>
      </c>
      <c r="D1111" s="74">
        <v>3018</v>
      </c>
      <c r="E1111" s="73">
        <v>2.500000037252903E-2</v>
      </c>
      <c r="F1111" s="73">
        <v>0.5564000134468079</v>
      </c>
      <c r="G1111" s="73">
        <v>5.9999998658895493E-2</v>
      </c>
      <c r="H1111" s="73">
        <v>3.5000000149011612E-2</v>
      </c>
      <c r="I1111" s="190">
        <v>1904.288</v>
      </c>
      <c r="J1111" s="134" t="str">
        <f t="shared" si="130"/>
        <v>keep</v>
      </c>
      <c r="K1111" s="134" t="str">
        <f t="shared" si="131"/>
        <v>R38</v>
      </c>
      <c r="L1111" s="134" t="str">
        <f t="shared" si="132"/>
        <v>R11</v>
      </c>
      <c r="M1111" s="146" t="str">
        <f t="shared" si="128"/>
        <v>Better</v>
      </c>
      <c r="N1111" s="146" t="str">
        <f t="shared" si="129"/>
        <v>Better</v>
      </c>
      <c r="O1111" s="146" t="str">
        <f t="shared" si="133"/>
        <v>Heat PumpR38R11BetterBetter</v>
      </c>
      <c r="P1111" s="134" t="str">
        <f t="shared" si="134"/>
        <v>Crawlspace</v>
      </c>
      <c r="Q1111" s="134"/>
      <c r="R1111" s="134"/>
      <c r="S1111" s="134"/>
      <c r="T1111" s="134"/>
      <c r="U1111" s="134"/>
      <c r="V1111" s="134"/>
      <c r="W1111" s="134"/>
      <c r="X1111" s="134"/>
      <c r="Y1111" s="134"/>
      <c r="Z1111" s="134"/>
      <c r="AA1111" s="134"/>
      <c r="AB1111" s="134"/>
      <c r="AC1111" s="134"/>
      <c r="AD1111" s="134"/>
      <c r="AE1111" s="134"/>
      <c r="AF1111" s="146"/>
      <c r="AG1111" s="134"/>
      <c r="AH1111" s="134"/>
      <c r="AI1111" s="134"/>
      <c r="AJ1111" s="134"/>
      <c r="AK1111" s="134"/>
      <c r="AL1111" s="134"/>
      <c r="AM1111" s="146"/>
      <c r="AN1111" s="132"/>
      <c r="AO1111" s="132"/>
      <c r="AP1111" s="132"/>
      <c r="AQ1111" s="132"/>
      <c r="AR1111" s="134"/>
      <c r="AS1111" s="134"/>
      <c r="AT1111" s="132"/>
      <c r="AU1111" s="133"/>
      <c r="AV1111" s="134"/>
    </row>
    <row r="1112" spans="1:48">
      <c r="A1112" s="74">
        <v>22125</v>
      </c>
      <c r="B1112" s="74" t="s">
        <v>229</v>
      </c>
      <c r="C1112" s="74">
        <v>1</v>
      </c>
      <c r="D1112" s="74">
        <v>1400</v>
      </c>
      <c r="E1112" s="73">
        <v>0.37000000476837153</v>
      </c>
      <c r="F1112" s="73">
        <v>0.85000002384185791</v>
      </c>
      <c r="G1112" s="73">
        <v>8.6086954597545687E-2</v>
      </c>
      <c r="H1112" s="73">
        <v>4.5000001788139343E-2</v>
      </c>
      <c r="I1112" s="190">
        <v>2079.9929999999999</v>
      </c>
      <c r="J1112" s="134" t="str">
        <f t="shared" si="130"/>
        <v>keep</v>
      </c>
      <c r="K1112" s="134" t="str">
        <f t="shared" si="131"/>
        <v>R0</v>
      </c>
      <c r="L1112" s="134" t="str">
        <f t="shared" si="132"/>
        <v>R11</v>
      </c>
      <c r="M1112" s="146" t="str">
        <f t="shared" si="128"/>
        <v>Better</v>
      </c>
      <c r="N1112" s="146" t="str">
        <f t="shared" si="129"/>
        <v>Double</v>
      </c>
      <c r="O1112" s="146" t="str">
        <f t="shared" si="133"/>
        <v>Heat PumpR0R11BetterDouble</v>
      </c>
      <c r="P1112" s="134" t="str">
        <f t="shared" si="134"/>
        <v>Crawlspace</v>
      </c>
      <c r="Q1112" s="134"/>
      <c r="R1112" s="134"/>
      <c r="S1112" s="134"/>
      <c r="T1112" s="134"/>
      <c r="U1112" s="134"/>
      <c r="V1112" s="134"/>
      <c r="W1112" s="134"/>
      <c r="X1112" s="134"/>
      <c r="Y1112" s="134"/>
      <c r="Z1112" s="134"/>
      <c r="AA1112" s="134"/>
      <c r="AB1112" s="134"/>
      <c r="AC1112" s="134"/>
      <c r="AD1112" s="134"/>
      <c r="AE1112" s="134"/>
      <c r="AF1112" s="146"/>
      <c r="AG1112" s="134"/>
      <c r="AH1112" s="134"/>
      <c r="AI1112" s="134"/>
      <c r="AJ1112" s="134"/>
      <c r="AK1112" s="134"/>
      <c r="AL1112" s="134"/>
      <c r="AM1112" s="146"/>
      <c r="AN1112" s="132"/>
      <c r="AO1112" s="132"/>
      <c r="AP1112" s="132"/>
      <c r="AQ1112" s="132"/>
      <c r="AR1112" s="134"/>
      <c r="AS1112" s="134"/>
      <c r="AT1112" s="132"/>
      <c r="AU1112" s="133"/>
      <c r="AV1112" s="134"/>
    </row>
    <row r="1113" spans="1:48">
      <c r="A1113" s="74">
        <v>22127</v>
      </c>
      <c r="B1113" s="74" t="s">
        <v>229</v>
      </c>
      <c r="C1113" s="74">
        <v>2</v>
      </c>
      <c r="D1113" s="74">
        <v>1757</v>
      </c>
      <c r="E1113" s="73">
        <v>7.3801453023114638E-2</v>
      </c>
      <c r="F1113" s="73">
        <v>0.99393303798332377</v>
      </c>
      <c r="G1113" s="73">
        <v>9.0000003576278687E-2</v>
      </c>
      <c r="H1113" s="73">
        <v>0.23000000417232513</v>
      </c>
      <c r="I1113" s="190">
        <v>3785.7640000000001</v>
      </c>
      <c r="J1113" s="134" t="str">
        <f t="shared" si="130"/>
        <v>keep</v>
      </c>
      <c r="K1113" s="134" t="str">
        <f t="shared" si="131"/>
        <v>R19</v>
      </c>
      <c r="L1113" s="134" t="str">
        <f t="shared" si="132"/>
        <v>R11</v>
      </c>
      <c r="M1113" s="146" t="str">
        <f t="shared" si="128"/>
        <v>Slab</v>
      </c>
      <c r="N1113" s="146" t="str">
        <f t="shared" si="129"/>
        <v>Double</v>
      </c>
      <c r="O1113" s="146" t="str">
        <f t="shared" si="133"/>
        <v>Heat PumpR19R11SlabDouble</v>
      </c>
      <c r="P1113" s="134" t="str">
        <f t="shared" si="134"/>
        <v>Slab</v>
      </c>
      <c r="Q1113" s="134"/>
      <c r="R1113" s="134"/>
      <c r="S1113" s="134"/>
      <c r="T1113" s="134"/>
      <c r="U1113" s="134"/>
      <c r="V1113" s="134"/>
      <c r="W1113" s="134"/>
      <c r="X1113" s="134"/>
      <c r="Y1113" s="134"/>
      <c r="Z1113" s="134"/>
      <c r="AA1113" s="134"/>
      <c r="AB1113" s="134"/>
      <c r="AC1113" s="134"/>
      <c r="AD1113" s="134"/>
      <c r="AE1113" s="134"/>
      <c r="AF1113" s="146"/>
      <c r="AG1113" s="134"/>
      <c r="AH1113" s="134"/>
      <c r="AI1113" s="134"/>
      <c r="AJ1113" s="134"/>
      <c r="AK1113" s="134"/>
      <c r="AL1113" s="134"/>
      <c r="AM1113" s="146"/>
      <c r="AN1113" s="132"/>
      <c r="AO1113" s="132"/>
      <c r="AP1113" s="132"/>
      <c r="AQ1113" s="132"/>
      <c r="AR1113" s="134"/>
      <c r="AS1113" s="134"/>
      <c r="AT1113" s="132"/>
      <c r="AU1113" s="133"/>
      <c r="AV1113" s="134"/>
    </row>
    <row r="1114" spans="1:48">
      <c r="A1114" s="74">
        <v>22131</v>
      </c>
      <c r="B1114" s="74" t="s">
        <v>229</v>
      </c>
      <c r="C1114" s="74">
        <v>1</v>
      </c>
      <c r="D1114" s="74">
        <v>1004</v>
      </c>
      <c r="E1114" s="73">
        <v>1.9999999552965164E-2</v>
      </c>
      <c r="F1114" s="73">
        <v>0.44999998807907104</v>
      </c>
      <c r="G1114" s="73">
        <v>5.9999998658895493E-2</v>
      </c>
      <c r="H1114" s="73">
        <v>2.9999999329447746E-2</v>
      </c>
      <c r="I1114" s="190">
        <v>8264.9449999999997</v>
      </c>
      <c r="J1114" s="134" t="str">
        <f t="shared" si="130"/>
        <v>keep</v>
      </c>
      <c r="K1114" s="134" t="str">
        <f t="shared" si="131"/>
        <v>R38</v>
      </c>
      <c r="L1114" s="134" t="str">
        <f t="shared" si="132"/>
        <v>R11</v>
      </c>
      <c r="M1114" s="146" t="str">
        <f t="shared" si="128"/>
        <v>Better</v>
      </c>
      <c r="N1114" s="146" t="str">
        <f t="shared" si="129"/>
        <v>Better</v>
      </c>
      <c r="O1114" s="146" t="str">
        <f t="shared" si="133"/>
        <v>Heat PumpR38R11BetterBetter</v>
      </c>
      <c r="P1114" s="134" t="str">
        <f t="shared" si="134"/>
        <v>Crawlspace</v>
      </c>
      <c r="Q1114" s="134"/>
      <c r="R1114" s="134"/>
      <c r="S1114" s="134"/>
      <c r="T1114" s="134"/>
      <c r="U1114" s="134"/>
      <c r="V1114" s="134"/>
      <c r="W1114" s="134"/>
      <c r="X1114" s="134"/>
      <c r="Y1114" s="134"/>
      <c r="Z1114" s="134"/>
      <c r="AA1114" s="134"/>
      <c r="AB1114" s="134"/>
      <c r="AC1114" s="134"/>
      <c r="AD1114" s="134"/>
      <c r="AE1114" s="134"/>
      <c r="AF1114" s="146"/>
      <c r="AG1114" s="134"/>
      <c r="AH1114" s="134"/>
      <c r="AI1114" s="134"/>
      <c r="AJ1114" s="134"/>
      <c r="AK1114" s="134"/>
      <c r="AL1114" s="134"/>
      <c r="AM1114" s="146"/>
      <c r="AN1114" s="132"/>
      <c r="AO1114" s="132"/>
      <c r="AP1114" s="132"/>
      <c r="AQ1114" s="132"/>
      <c r="AR1114" s="134"/>
      <c r="AS1114" s="134"/>
      <c r="AT1114" s="132"/>
      <c r="AU1114" s="133"/>
      <c r="AV1114" s="134"/>
    </row>
    <row r="1115" spans="1:48">
      <c r="A1115" s="74">
        <v>22138</v>
      </c>
      <c r="B1115" s="74" t="s">
        <v>227</v>
      </c>
      <c r="C1115" s="74">
        <v>1</v>
      </c>
      <c r="D1115" s="74">
        <v>2544</v>
      </c>
      <c r="E1115" s="73">
        <v>2.500000037252903E-2</v>
      </c>
      <c r="F1115" s="73">
        <v>0.60000002384185791</v>
      </c>
      <c r="G1115" s="73">
        <v>9.0000003576278687E-2</v>
      </c>
      <c r="H1115" s="73">
        <v>0.23000000417232513</v>
      </c>
      <c r="I1115" s="190">
        <v>3785.7640000000001</v>
      </c>
      <c r="J1115" s="134" t="str">
        <f t="shared" si="130"/>
        <v>keep</v>
      </c>
      <c r="K1115" s="134" t="str">
        <f t="shared" si="131"/>
        <v>R38</v>
      </c>
      <c r="L1115" s="134" t="str">
        <f t="shared" si="132"/>
        <v>R11</v>
      </c>
      <c r="M1115" s="146" t="str">
        <f t="shared" si="128"/>
        <v>R0</v>
      </c>
      <c r="N1115" s="146" t="str">
        <f t="shared" si="129"/>
        <v>Better</v>
      </c>
      <c r="O1115" s="146" t="str">
        <f t="shared" si="133"/>
        <v>Electric FAFR38R11R0Better</v>
      </c>
      <c r="P1115" s="134" t="str">
        <f t="shared" si="134"/>
        <v>Crawlspace</v>
      </c>
      <c r="Q1115" s="134"/>
      <c r="R1115" s="134"/>
      <c r="S1115" s="134"/>
      <c r="T1115" s="134"/>
      <c r="U1115" s="134"/>
      <c r="V1115" s="134"/>
      <c r="W1115" s="134"/>
      <c r="X1115" s="134"/>
      <c r="Y1115" s="134"/>
      <c r="Z1115" s="134"/>
      <c r="AA1115" s="134"/>
      <c r="AB1115" s="134"/>
      <c r="AC1115" s="134"/>
      <c r="AD1115" s="134"/>
      <c r="AE1115" s="134"/>
      <c r="AF1115" s="146"/>
      <c r="AG1115" s="134"/>
      <c r="AH1115" s="134"/>
      <c r="AI1115" s="134"/>
      <c r="AJ1115" s="134"/>
      <c r="AK1115" s="134"/>
      <c r="AL1115" s="134"/>
      <c r="AM1115" s="146"/>
      <c r="AN1115" s="132"/>
      <c r="AO1115" s="132"/>
      <c r="AP1115" s="132"/>
      <c r="AQ1115" s="132"/>
      <c r="AR1115" s="134"/>
      <c r="AS1115" s="134"/>
      <c r="AT1115" s="132"/>
      <c r="AU1115" s="133"/>
      <c r="AV1115" s="134"/>
    </row>
    <row r="1116" spans="1:48">
      <c r="A1116" s="74">
        <v>22153</v>
      </c>
      <c r="B1116" s="74" t="s">
        <v>229</v>
      </c>
      <c r="C1116" s="74">
        <v>4</v>
      </c>
      <c r="D1116" s="74">
        <v>3072</v>
      </c>
      <c r="E1116" s="73">
        <v>2.500000037252903E-2</v>
      </c>
      <c r="F1116" s="73">
        <v>0.55000001192092896</v>
      </c>
      <c r="G1116" s="73">
        <v>5.9999998658895493E-2</v>
      </c>
      <c r="H1116" s="73">
        <v>0</v>
      </c>
      <c r="I1116" s="190">
        <v>1192.4649999999999</v>
      </c>
      <c r="J1116" s="134" t="str">
        <f t="shared" si="130"/>
        <v>keep</v>
      </c>
      <c r="K1116" s="134" t="str">
        <f t="shared" si="131"/>
        <v>R38</v>
      </c>
      <c r="L1116" s="134" t="str">
        <f t="shared" si="132"/>
        <v>R11</v>
      </c>
      <c r="M1116" s="146" t="str">
        <f t="shared" si="128"/>
        <v>Basement</v>
      </c>
      <c r="N1116" s="146" t="str">
        <f t="shared" si="129"/>
        <v>Better</v>
      </c>
      <c r="O1116" s="146" t="str">
        <f t="shared" si="133"/>
        <v>Heat PumpR38R11BasementBetter</v>
      </c>
      <c r="P1116" s="134" t="str">
        <f t="shared" si="134"/>
        <v>Basement</v>
      </c>
      <c r="Q1116" s="134"/>
      <c r="R1116" s="134"/>
      <c r="S1116" s="134"/>
      <c r="T1116" s="134"/>
      <c r="U1116" s="134"/>
      <c r="V1116" s="134"/>
      <c r="W1116" s="134"/>
      <c r="X1116" s="134"/>
      <c r="Y1116" s="134"/>
      <c r="Z1116" s="134"/>
      <c r="AA1116" s="134"/>
      <c r="AB1116" s="134"/>
      <c r="AC1116" s="134"/>
      <c r="AD1116" s="134"/>
      <c r="AE1116" s="134"/>
      <c r="AF1116" s="146"/>
      <c r="AG1116" s="134"/>
      <c r="AH1116" s="134"/>
      <c r="AI1116" s="134"/>
      <c r="AJ1116" s="134"/>
      <c r="AK1116" s="134"/>
      <c r="AL1116" s="134"/>
      <c r="AM1116" s="146"/>
      <c r="AN1116" s="132"/>
      <c r="AO1116" s="132"/>
      <c r="AP1116" s="132"/>
      <c r="AQ1116" s="132"/>
      <c r="AR1116" s="134"/>
      <c r="AS1116" s="134"/>
      <c r="AT1116" s="132"/>
      <c r="AU1116" s="133"/>
      <c r="AV1116" s="134"/>
    </row>
    <row r="1117" spans="1:48">
      <c r="A1117" s="74">
        <v>22175</v>
      </c>
      <c r="B1117" s="74" t="s">
        <v>227</v>
      </c>
      <c r="C1117" s="74">
        <v>1</v>
      </c>
      <c r="D1117" s="74">
        <v>1945</v>
      </c>
      <c r="E1117" s="73">
        <v>3.5000000149011612E-2</v>
      </c>
      <c r="F1117" s="73">
        <v>0.44999998807907104</v>
      </c>
      <c r="G1117" s="73">
        <v>5.9999998658895493E-2</v>
      </c>
      <c r="H1117" s="73">
        <v>0.23000000417232513</v>
      </c>
      <c r="I1117" s="190">
        <v>2079.9929999999999</v>
      </c>
      <c r="J1117" s="134" t="str">
        <f t="shared" si="130"/>
        <v>keep</v>
      </c>
      <c r="K1117" s="134" t="str">
        <f t="shared" si="131"/>
        <v>R38</v>
      </c>
      <c r="L1117" s="134" t="str">
        <f t="shared" si="132"/>
        <v>R11</v>
      </c>
      <c r="M1117" s="146" t="str">
        <f t="shared" si="128"/>
        <v>R0</v>
      </c>
      <c r="N1117" s="146" t="str">
        <f t="shared" si="129"/>
        <v>Better</v>
      </c>
      <c r="O1117" s="146" t="str">
        <f t="shared" si="133"/>
        <v>Electric FAFR38R11R0Better</v>
      </c>
      <c r="P1117" s="134" t="str">
        <f t="shared" si="134"/>
        <v>Crawlspace</v>
      </c>
      <c r="Q1117" s="134"/>
      <c r="R1117" s="134"/>
      <c r="S1117" s="134"/>
      <c r="T1117" s="134"/>
      <c r="U1117" s="134"/>
      <c r="V1117" s="134"/>
      <c r="W1117" s="134"/>
      <c r="X1117" s="134"/>
      <c r="Y1117" s="134"/>
      <c r="Z1117" s="134"/>
      <c r="AA1117" s="134"/>
      <c r="AB1117" s="134"/>
      <c r="AC1117" s="134"/>
      <c r="AD1117" s="134"/>
      <c r="AE1117" s="134"/>
      <c r="AF1117" s="146"/>
      <c r="AG1117" s="134"/>
      <c r="AH1117" s="134"/>
      <c r="AI1117" s="134"/>
      <c r="AJ1117" s="134"/>
      <c r="AK1117" s="134"/>
      <c r="AL1117" s="134"/>
      <c r="AM1117" s="146"/>
      <c r="AN1117" s="132"/>
      <c r="AO1117" s="132"/>
      <c r="AP1117" s="132"/>
      <c r="AQ1117" s="132"/>
      <c r="AR1117" s="134"/>
      <c r="AS1117" s="134"/>
      <c r="AT1117" s="132"/>
      <c r="AU1117" s="133"/>
      <c r="AV1117" s="134"/>
    </row>
    <row r="1118" spans="1:48">
      <c r="A1118" s="74">
        <v>22177</v>
      </c>
      <c r="B1118" s="74" t="s">
        <v>229</v>
      </c>
      <c r="C1118" s="74" t="s">
        <v>673</v>
      </c>
      <c r="D1118" s="74">
        <v>4779</v>
      </c>
      <c r="E1118" s="73">
        <v>7.7461005457268584E-2</v>
      </c>
      <c r="F1118" s="73">
        <v>0.46974595121643559</v>
      </c>
      <c r="G1118" s="73">
        <v>6.5396573147523757E-2</v>
      </c>
      <c r="H1118" s="73">
        <v>3.4310344863554526E-2</v>
      </c>
      <c r="I1118" s="190">
        <v>1612.692</v>
      </c>
      <c r="J1118" s="134" t="str">
        <f t="shared" si="130"/>
        <v>ignore</v>
      </c>
      <c r="K1118" s="134" t="str">
        <f t="shared" si="131"/>
        <v>R19</v>
      </c>
      <c r="L1118" s="134" t="str">
        <f t="shared" si="132"/>
        <v>R11</v>
      </c>
      <c r="M1118" s="146" t="str">
        <f t="shared" si="128"/>
        <v>Better</v>
      </c>
      <c r="N1118" s="146" t="str">
        <f t="shared" si="129"/>
        <v>Better</v>
      </c>
      <c r="O1118" s="146" t="str">
        <f t="shared" si="133"/>
        <v>Heat PumpR19R11BetterBetter</v>
      </c>
      <c r="P1118" s="134" t="str">
        <f t="shared" si="134"/>
        <v>error</v>
      </c>
      <c r="Q1118" s="134"/>
      <c r="R1118" s="134"/>
      <c r="S1118" s="134"/>
      <c r="T1118" s="134"/>
      <c r="U1118" s="134"/>
      <c r="V1118" s="134"/>
      <c r="W1118" s="134"/>
      <c r="X1118" s="134"/>
      <c r="Y1118" s="134"/>
      <c r="Z1118" s="134"/>
      <c r="AA1118" s="134"/>
      <c r="AB1118" s="134"/>
      <c r="AC1118" s="134"/>
      <c r="AD1118" s="134"/>
      <c r="AE1118" s="134"/>
      <c r="AF1118" s="146"/>
      <c r="AG1118" s="134"/>
      <c r="AH1118" s="134"/>
      <c r="AI1118" s="134"/>
      <c r="AJ1118" s="134"/>
      <c r="AK1118" s="134"/>
      <c r="AL1118" s="134"/>
      <c r="AM1118" s="146"/>
      <c r="AN1118" s="132"/>
      <c r="AO1118" s="132"/>
      <c r="AP1118" s="132"/>
      <c r="AQ1118" s="132"/>
      <c r="AR1118" s="134"/>
      <c r="AS1118" s="134"/>
      <c r="AT1118" s="132"/>
      <c r="AU1118" s="133"/>
      <c r="AV1118" s="134"/>
    </row>
    <row r="1119" spans="1:48">
      <c r="A1119" s="74">
        <v>22180</v>
      </c>
      <c r="B1119" s="74" t="s">
        <v>229</v>
      </c>
      <c r="C1119" s="74" t="s">
        <v>673</v>
      </c>
      <c r="D1119" s="74">
        <v>1536</v>
      </c>
      <c r="E1119" s="73">
        <v>0.14000000059604645</v>
      </c>
      <c r="F1119" s="73">
        <v>0.2199999988079071</v>
      </c>
      <c r="G1119" s="73">
        <v>9.0000003576278687E-2</v>
      </c>
      <c r="H1119" s="73">
        <v>6.4999997615814209E-2</v>
      </c>
      <c r="I1119" s="190">
        <v>2079.9929999999999</v>
      </c>
      <c r="J1119" s="134" t="str">
        <f t="shared" si="130"/>
        <v>ignore</v>
      </c>
      <c r="K1119" s="134" t="str">
        <f t="shared" si="131"/>
        <v>R11</v>
      </c>
      <c r="L1119" s="134" t="str">
        <f t="shared" si="132"/>
        <v>R11</v>
      </c>
      <c r="M1119" s="146" t="str">
        <f t="shared" si="128"/>
        <v>R19</v>
      </c>
      <c r="N1119" s="146" t="str">
        <f t="shared" si="129"/>
        <v>Better</v>
      </c>
      <c r="O1119" s="146" t="str">
        <f t="shared" si="133"/>
        <v>Heat PumpR11R11R19Better</v>
      </c>
      <c r="P1119" s="134" t="str">
        <f t="shared" si="134"/>
        <v>error</v>
      </c>
      <c r="Q1119" s="134"/>
      <c r="R1119" s="134"/>
      <c r="S1119" s="134"/>
      <c r="T1119" s="134"/>
      <c r="U1119" s="134"/>
      <c r="V1119" s="134"/>
      <c r="W1119" s="134"/>
      <c r="X1119" s="134"/>
      <c r="Y1119" s="134"/>
      <c r="Z1119" s="134"/>
      <c r="AA1119" s="134"/>
      <c r="AB1119" s="134"/>
      <c r="AC1119" s="134"/>
      <c r="AD1119" s="134"/>
      <c r="AE1119" s="134"/>
      <c r="AF1119" s="146"/>
      <c r="AG1119" s="134"/>
      <c r="AH1119" s="134"/>
      <c r="AI1119" s="134"/>
      <c r="AJ1119" s="134"/>
      <c r="AK1119" s="134"/>
      <c r="AL1119" s="134"/>
      <c r="AM1119" s="146"/>
      <c r="AN1119" s="132"/>
      <c r="AO1119" s="132"/>
      <c r="AP1119" s="132"/>
      <c r="AQ1119" s="132"/>
      <c r="AR1119" s="134"/>
      <c r="AS1119" s="134"/>
      <c r="AT1119" s="132"/>
      <c r="AU1119" s="133"/>
      <c r="AV1119" s="134"/>
    </row>
    <row r="1120" spans="1:48">
      <c r="A1120" s="74">
        <v>22187</v>
      </c>
      <c r="B1120" s="74" t="s">
        <v>229</v>
      </c>
      <c r="C1120" s="74">
        <v>1</v>
      </c>
      <c r="D1120" s="74">
        <v>1574</v>
      </c>
      <c r="E1120" s="73">
        <v>4.5000001788139343E-2</v>
      </c>
      <c r="F1120" s="73" t="s">
        <v>673</v>
      </c>
      <c r="G1120" s="73">
        <v>9.0000003576278687E-2</v>
      </c>
      <c r="H1120" s="73">
        <v>5.9999998658895493E-2</v>
      </c>
      <c r="I1120" s="190">
        <v>1612.692</v>
      </c>
      <c r="J1120" s="134" t="str">
        <f t="shared" si="130"/>
        <v>keep</v>
      </c>
      <c r="K1120" s="134" t="str">
        <f t="shared" si="131"/>
        <v>R30</v>
      </c>
      <c r="L1120" s="134" t="str">
        <f t="shared" si="132"/>
        <v>R11</v>
      </c>
      <c r="M1120" s="146" t="str">
        <f t="shared" si="128"/>
        <v>R19</v>
      </c>
      <c r="N1120" s="146" t="str">
        <f t="shared" si="129"/>
        <v>Single</v>
      </c>
      <c r="O1120" s="146" t="str">
        <f t="shared" si="133"/>
        <v>Heat PumpR30R11R19Single</v>
      </c>
      <c r="P1120" s="134" t="str">
        <f t="shared" si="134"/>
        <v>Crawlspace</v>
      </c>
      <c r="Q1120" s="134"/>
      <c r="R1120" s="134"/>
      <c r="S1120" s="134"/>
      <c r="T1120" s="134"/>
      <c r="U1120" s="134"/>
      <c r="V1120" s="134"/>
      <c r="W1120" s="134"/>
      <c r="X1120" s="134"/>
      <c r="Y1120" s="134"/>
      <c r="Z1120" s="134"/>
      <c r="AA1120" s="134"/>
      <c r="AB1120" s="134"/>
      <c r="AC1120" s="134"/>
      <c r="AD1120" s="134"/>
      <c r="AE1120" s="134"/>
      <c r="AF1120" s="146"/>
      <c r="AG1120" s="134"/>
      <c r="AH1120" s="134"/>
      <c r="AI1120" s="134"/>
      <c r="AJ1120" s="134"/>
      <c r="AK1120" s="134"/>
      <c r="AL1120" s="134"/>
      <c r="AM1120" s="146"/>
      <c r="AN1120" s="132"/>
      <c r="AO1120" s="132"/>
      <c r="AP1120" s="132"/>
      <c r="AQ1120" s="132"/>
      <c r="AR1120" s="134"/>
      <c r="AS1120" s="134"/>
      <c r="AT1120" s="132"/>
      <c r="AU1120" s="133"/>
      <c r="AV1120" s="134"/>
    </row>
    <row r="1121" spans="1:48">
      <c r="A1121" s="74">
        <v>22191</v>
      </c>
      <c r="B1121" s="74" t="s">
        <v>228</v>
      </c>
      <c r="C1121" s="74">
        <v>1</v>
      </c>
      <c r="D1121" s="74">
        <v>884</v>
      </c>
      <c r="E1121" s="73" t="e">
        <v>#VALUE!</v>
      </c>
      <c r="F1121" s="73">
        <v>0.44999998807907104</v>
      </c>
      <c r="G1121" s="73">
        <v>5.9999998658895493E-2</v>
      </c>
      <c r="H1121" s="73">
        <v>3.5000000149011612E-2</v>
      </c>
      <c r="I1121" s="190">
        <v>8559.1039999999994</v>
      </c>
      <c r="J1121" s="134" t="str">
        <f t="shared" si="130"/>
        <v>ignore</v>
      </c>
      <c r="K1121" s="134" t="e">
        <f t="shared" si="131"/>
        <v>#VALUE!</v>
      </c>
      <c r="L1121" s="134" t="str">
        <f t="shared" si="132"/>
        <v>R11</v>
      </c>
      <c r="M1121" s="146" t="str">
        <f t="shared" si="128"/>
        <v>Better</v>
      </c>
      <c r="N1121" s="146" t="str">
        <f t="shared" si="129"/>
        <v>Better</v>
      </c>
      <c r="O1121" s="146" t="e">
        <f t="shared" si="133"/>
        <v>#VALUE!</v>
      </c>
      <c r="P1121" s="134" t="str">
        <f t="shared" si="134"/>
        <v>Crawlspace</v>
      </c>
      <c r="Q1121" s="134"/>
      <c r="R1121" s="134"/>
      <c r="S1121" s="134"/>
      <c r="T1121" s="134"/>
      <c r="U1121" s="134"/>
      <c r="V1121" s="134"/>
      <c r="W1121" s="134"/>
      <c r="X1121" s="134"/>
      <c r="Y1121" s="134"/>
      <c r="Z1121" s="134"/>
      <c r="AA1121" s="134"/>
      <c r="AB1121" s="134"/>
      <c r="AC1121" s="134"/>
      <c r="AD1121" s="134"/>
      <c r="AE1121" s="134"/>
      <c r="AF1121" s="146"/>
      <c r="AG1121" s="134"/>
      <c r="AH1121" s="134"/>
      <c r="AI1121" s="134"/>
      <c r="AJ1121" s="134"/>
      <c r="AK1121" s="134"/>
      <c r="AL1121" s="134"/>
      <c r="AM1121" s="146"/>
      <c r="AN1121" s="132"/>
      <c r="AO1121" s="132"/>
      <c r="AP1121" s="132"/>
      <c r="AQ1121" s="132"/>
      <c r="AR1121" s="134"/>
      <c r="AS1121" s="134"/>
      <c r="AT1121" s="132"/>
      <c r="AU1121" s="133"/>
      <c r="AV1121" s="134"/>
    </row>
    <row r="1122" spans="1:48">
      <c r="A1122" s="74">
        <v>22200</v>
      </c>
      <c r="B1122" s="74" t="s">
        <v>228</v>
      </c>
      <c r="C1122" s="74" t="s">
        <v>673</v>
      </c>
      <c r="D1122" s="74">
        <v>1568</v>
      </c>
      <c r="E1122" s="73">
        <v>7.0000000298023224E-2</v>
      </c>
      <c r="F1122" s="73">
        <v>0.73749999701976776</v>
      </c>
      <c r="G1122" s="73">
        <v>9.0000003576278687E-2</v>
      </c>
      <c r="H1122" s="73">
        <v>4.068181841549548E-2</v>
      </c>
      <c r="I1122" s="190">
        <v>1192.4649999999999</v>
      </c>
      <c r="J1122" s="134" t="str">
        <f t="shared" si="130"/>
        <v>ignore</v>
      </c>
      <c r="K1122" s="134" t="str">
        <f t="shared" si="131"/>
        <v>R19</v>
      </c>
      <c r="L1122" s="134" t="str">
        <f t="shared" si="132"/>
        <v>R11</v>
      </c>
      <c r="M1122" s="146" t="str">
        <f t="shared" si="128"/>
        <v>Better</v>
      </c>
      <c r="N1122" s="146" t="str">
        <f t="shared" si="129"/>
        <v>Better</v>
      </c>
      <c r="O1122" s="146" t="str">
        <f t="shared" si="133"/>
        <v>Electric ZonalR19R11BetterBetter</v>
      </c>
      <c r="P1122" s="134" t="str">
        <f t="shared" si="134"/>
        <v>error</v>
      </c>
      <c r="Q1122" s="134"/>
      <c r="R1122" s="134"/>
      <c r="S1122" s="134"/>
      <c r="T1122" s="134"/>
      <c r="U1122" s="134"/>
      <c r="V1122" s="134"/>
      <c r="W1122" s="134"/>
      <c r="X1122" s="134"/>
      <c r="Y1122" s="134"/>
      <c r="Z1122" s="134"/>
      <c r="AA1122" s="134"/>
      <c r="AB1122" s="134"/>
      <c r="AC1122" s="134"/>
      <c r="AD1122" s="134"/>
      <c r="AE1122" s="134"/>
      <c r="AF1122" s="146"/>
      <c r="AG1122" s="134"/>
      <c r="AH1122" s="134"/>
      <c r="AI1122" s="134"/>
      <c r="AJ1122" s="134"/>
      <c r="AK1122" s="134"/>
      <c r="AL1122" s="134"/>
      <c r="AM1122" s="146"/>
      <c r="AN1122" s="132"/>
      <c r="AO1122" s="132"/>
      <c r="AP1122" s="132"/>
      <c r="AQ1122" s="132"/>
      <c r="AR1122" s="134"/>
      <c r="AS1122" s="134"/>
      <c r="AT1122" s="132"/>
      <c r="AU1122" s="133"/>
      <c r="AV1122" s="134"/>
    </row>
    <row r="1123" spans="1:48">
      <c r="A1123" s="74">
        <v>22205</v>
      </c>
      <c r="B1123" s="74" t="s">
        <v>227</v>
      </c>
      <c r="C1123" s="74" t="s">
        <v>673</v>
      </c>
      <c r="D1123" s="74">
        <v>2336</v>
      </c>
      <c r="E1123" s="73">
        <v>3.5000000149011612E-2</v>
      </c>
      <c r="F1123" s="73">
        <v>0.55000001192092896</v>
      </c>
      <c r="G1123" s="73">
        <v>9.0000003576278687E-2</v>
      </c>
      <c r="H1123" s="73">
        <v>0</v>
      </c>
      <c r="I1123" s="190">
        <v>1904.288</v>
      </c>
      <c r="J1123" s="134" t="str">
        <f t="shared" si="130"/>
        <v>ignore</v>
      </c>
      <c r="K1123" s="134" t="str">
        <f t="shared" si="131"/>
        <v>R38</v>
      </c>
      <c r="L1123" s="134" t="str">
        <f t="shared" si="132"/>
        <v>R11</v>
      </c>
      <c r="M1123" s="146" t="str">
        <f t="shared" si="128"/>
        <v>Better</v>
      </c>
      <c r="N1123" s="146" t="str">
        <f t="shared" si="129"/>
        <v>Better</v>
      </c>
      <c r="O1123" s="146" t="str">
        <f t="shared" si="133"/>
        <v>Electric FAFR38R11BetterBetter</v>
      </c>
      <c r="P1123" s="134" t="str">
        <f t="shared" si="134"/>
        <v>error</v>
      </c>
      <c r="Q1123" s="134"/>
      <c r="R1123" s="134"/>
      <c r="S1123" s="134"/>
      <c r="T1123" s="134"/>
      <c r="U1123" s="134"/>
      <c r="V1123" s="134"/>
      <c r="W1123" s="134"/>
      <c r="X1123" s="134"/>
      <c r="Y1123" s="134"/>
      <c r="Z1123" s="134"/>
      <c r="AA1123" s="134"/>
      <c r="AB1123" s="134"/>
      <c r="AC1123" s="134"/>
      <c r="AD1123" s="134"/>
      <c r="AE1123" s="134"/>
      <c r="AF1123" s="146"/>
      <c r="AG1123" s="134"/>
      <c r="AH1123" s="134"/>
      <c r="AI1123" s="134"/>
      <c r="AJ1123" s="134"/>
      <c r="AK1123" s="134"/>
      <c r="AL1123" s="134"/>
      <c r="AM1123" s="146"/>
      <c r="AN1123" s="132"/>
      <c r="AO1123" s="132"/>
      <c r="AP1123" s="132"/>
      <c r="AQ1123" s="132"/>
      <c r="AR1123" s="134"/>
      <c r="AS1123" s="134"/>
      <c r="AT1123" s="132"/>
      <c r="AU1123" s="133"/>
      <c r="AV1123" s="134"/>
    </row>
    <row r="1124" spans="1:48">
      <c r="A1124" s="74">
        <v>22225</v>
      </c>
      <c r="B1124" s="74" t="s">
        <v>229</v>
      </c>
      <c r="C1124" s="74">
        <v>1</v>
      </c>
      <c r="D1124" s="74">
        <v>1100</v>
      </c>
      <c r="E1124" s="73">
        <v>0.14499999582767487</v>
      </c>
      <c r="F1124" s="73">
        <v>0.85000002384185791</v>
      </c>
      <c r="G1124" s="73">
        <v>9.0000003576278687E-2</v>
      </c>
      <c r="H1124" s="73">
        <v>4.5000001788139343E-2</v>
      </c>
      <c r="I1124" s="190">
        <v>1925.059</v>
      </c>
      <c r="J1124" s="134" t="str">
        <f t="shared" si="130"/>
        <v>keep</v>
      </c>
      <c r="K1124" s="134" t="str">
        <f t="shared" si="131"/>
        <v>R11</v>
      </c>
      <c r="L1124" s="134" t="str">
        <f t="shared" si="132"/>
        <v>R11</v>
      </c>
      <c r="M1124" s="146" t="str">
        <f t="shared" si="128"/>
        <v>Better</v>
      </c>
      <c r="N1124" s="146" t="str">
        <f t="shared" si="129"/>
        <v>Double</v>
      </c>
      <c r="O1124" s="146" t="str">
        <f t="shared" si="133"/>
        <v>Heat PumpR11R11BetterDouble</v>
      </c>
      <c r="P1124" s="134" t="str">
        <f t="shared" si="134"/>
        <v>Crawlspace</v>
      </c>
      <c r="Q1124" s="134"/>
      <c r="R1124" s="134"/>
      <c r="S1124" s="134"/>
      <c r="T1124" s="134"/>
      <c r="U1124" s="134"/>
      <c r="V1124" s="134"/>
      <c r="W1124" s="134"/>
      <c r="X1124" s="134"/>
      <c r="Y1124" s="134"/>
      <c r="Z1124" s="134"/>
      <c r="AA1124" s="134"/>
      <c r="AB1124" s="134"/>
      <c r="AC1124" s="134"/>
      <c r="AD1124" s="134"/>
      <c r="AE1124" s="134"/>
      <c r="AF1124" s="146"/>
      <c r="AG1124" s="134"/>
      <c r="AH1124" s="134"/>
      <c r="AI1124" s="134"/>
      <c r="AJ1124" s="134"/>
      <c r="AK1124" s="134"/>
      <c r="AL1124" s="134"/>
      <c r="AM1124" s="146"/>
      <c r="AN1124" s="132"/>
      <c r="AO1124" s="132"/>
      <c r="AP1124" s="132"/>
      <c r="AQ1124" s="132"/>
      <c r="AR1124" s="134"/>
      <c r="AS1124" s="134"/>
      <c r="AT1124" s="132"/>
      <c r="AU1124" s="133"/>
      <c r="AV1124" s="134"/>
    </row>
    <row r="1125" spans="1:48">
      <c r="A1125" s="74">
        <v>22232</v>
      </c>
      <c r="B1125" s="74" t="s">
        <v>229</v>
      </c>
      <c r="C1125" s="74">
        <v>4</v>
      </c>
      <c r="D1125" s="74">
        <v>2600</v>
      </c>
      <c r="E1125" s="73">
        <v>0.15000000596046448</v>
      </c>
      <c r="F1125" s="73">
        <v>0.44999998807907104</v>
      </c>
      <c r="G1125" s="73">
        <v>9.0000003576278687E-2</v>
      </c>
      <c r="H1125" s="73">
        <v>0</v>
      </c>
      <c r="I1125" s="190">
        <v>1904.288</v>
      </c>
      <c r="J1125" s="134" t="str">
        <f t="shared" si="130"/>
        <v>keep</v>
      </c>
      <c r="K1125" s="134" t="str">
        <f t="shared" si="131"/>
        <v>R0</v>
      </c>
      <c r="L1125" s="134" t="str">
        <f t="shared" si="132"/>
        <v>R11</v>
      </c>
      <c r="M1125" s="146" t="str">
        <f t="shared" si="128"/>
        <v>Basement</v>
      </c>
      <c r="N1125" s="146" t="str">
        <f t="shared" si="129"/>
        <v>Better</v>
      </c>
      <c r="O1125" s="146" t="str">
        <f t="shared" si="133"/>
        <v>Heat PumpR0R11BasementBetter</v>
      </c>
      <c r="P1125" s="134" t="str">
        <f t="shared" si="134"/>
        <v>Basement</v>
      </c>
      <c r="Q1125" s="134"/>
      <c r="R1125" s="134"/>
      <c r="S1125" s="134"/>
      <c r="T1125" s="134"/>
      <c r="U1125" s="134"/>
      <c r="V1125" s="134"/>
      <c r="W1125" s="134"/>
      <c r="X1125" s="134"/>
      <c r="Y1125" s="134"/>
      <c r="Z1125" s="134"/>
      <c r="AA1125" s="134"/>
      <c r="AB1125" s="134"/>
      <c r="AC1125" s="134"/>
      <c r="AD1125" s="134"/>
      <c r="AE1125" s="134"/>
      <c r="AF1125" s="146"/>
      <c r="AG1125" s="134"/>
      <c r="AH1125" s="134"/>
      <c r="AI1125" s="134"/>
      <c r="AJ1125" s="134"/>
      <c r="AK1125" s="134"/>
      <c r="AL1125" s="134"/>
      <c r="AM1125" s="146"/>
      <c r="AN1125" s="132"/>
      <c r="AO1125" s="132"/>
      <c r="AP1125" s="132"/>
      <c r="AQ1125" s="132"/>
      <c r="AR1125" s="134"/>
      <c r="AS1125" s="134"/>
      <c r="AT1125" s="132"/>
      <c r="AU1125" s="133"/>
      <c r="AV1125" s="134"/>
    </row>
    <row r="1126" spans="1:48">
      <c r="A1126" s="74">
        <v>22245</v>
      </c>
      <c r="B1126" s="74" t="s">
        <v>228</v>
      </c>
      <c r="C1126" s="74">
        <v>2</v>
      </c>
      <c r="D1126" s="74">
        <v>886</v>
      </c>
      <c r="E1126" s="73">
        <v>2.500000037252903E-2</v>
      </c>
      <c r="F1126" s="73">
        <v>0.55000001192092896</v>
      </c>
      <c r="G1126" s="73">
        <v>9.0000003576278687E-2</v>
      </c>
      <c r="H1126" s="73">
        <v>0</v>
      </c>
      <c r="I1126" s="190">
        <v>12271.31</v>
      </c>
      <c r="J1126" s="134" t="str">
        <f t="shared" si="130"/>
        <v>keep</v>
      </c>
      <c r="K1126" s="134" t="str">
        <f t="shared" si="131"/>
        <v>R38</v>
      </c>
      <c r="L1126" s="134" t="str">
        <f t="shared" si="132"/>
        <v>R11</v>
      </c>
      <c r="M1126" s="146" t="str">
        <f t="shared" si="128"/>
        <v>Slab</v>
      </c>
      <c r="N1126" s="146" t="str">
        <f t="shared" si="129"/>
        <v>Better</v>
      </c>
      <c r="O1126" s="146" t="str">
        <f t="shared" si="133"/>
        <v>Electric ZonalR38R11SlabBetter</v>
      </c>
      <c r="P1126" s="134" t="str">
        <f t="shared" si="134"/>
        <v>Slab</v>
      </c>
      <c r="Q1126" s="134"/>
      <c r="R1126" s="134"/>
      <c r="S1126" s="134"/>
      <c r="T1126" s="134"/>
      <c r="U1126" s="134"/>
      <c r="V1126" s="134"/>
      <c r="W1126" s="134"/>
      <c r="X1126" s="134"/>
      <c r="Y1126" s="134"/>
      <c r="Z1126" s="134"/>
      <c r="AA1126" s="134"/>
      <c r="AB1126" s="134"/>
      <c r="AC1126" s="134"/>
      <c r="AD1126" s="134"/>
      <c r="AE1126" s="134"/>
      <c r="AF1126" s="146"/>
      <c r="AG1126" s="134"/>
      <c r="AH1126" s="134"/>
      <c r="AI1126" s="134"/>
      <c r="AJ1126" s="134"/>
      <c r="AK1126" s="134"/>
      <c r="AL1126" s="134"/>
      <c r="AM1126" s="146"/>
      <c r="AN1126" s="132"/>
      <c r="AO1126" s="132"/>
      <c r="AP1126" s="132"/>
      <c r="AQ1126" s="132"/>
      <c r="AR1126" s="134"/>
      <c r="AS1126" s="134"/>
      <c r="AT1126" s="132"/>
      <c r="AU1126" s="133"/>
      <c r="AV1126" s="134"/>
    </row>
    <row r="1127" spans="1:48">
      <c r="A1127" s="74">
        <v>22246</v>
      </c>
      <c r="B1127" s="74" t="s">
        <v>227</v>
      </c>
      <c r="C1127" s="74">
        <v>1</v>
      </c>
      <c r="D1127" s="74">
        <v>1674</v>
      </c>
      <c r="E1127" s="73">
        <v>3.0888768181107296E-2</v>
      </c>
      <c r="F1127" s="73">
        <v>0.6850574831852968</v>
      </c>
      <c r="G1127" s="73">
        <v>9.0000003576278687E-2</v>
      </c>
      <c r="H1127" s="73">
        <v>4.5000001788139343E-2</v>
      </c>
      <c r="I1127" s="190">
        <v>1925.059</v>
      </c>
      <c r="J1127" s="134" t="str">
        <f t="shared" si="130"/>
        <v>keep</v>
      </c>
      <c r="K1127" s="134" t="str">
        <f t="shared" si="131"/>
        <v>R38</v>
      </c>
      <c r="L1127" s="134" t="str">
        <f t="shared" si="132"/>
        <v>R11</v>
      </c>
      <c r="M1127" s="146" t="str">
        <f t="shared" si="128"/>
        <v>Better</v>
      </c>
      <c r="N1127" s="146" t="str">
        <f t="shared" si="129"/>
        <v>Better</v>
      </c>
      <c r="O1127" s="146" t="str">
        <f t="shared" si="133"/>
        <v>Electric FAFR38R11BetterBetter</v>
      </c>
      <c r="P1127" s="134" t="str">
        <f t="shared" si="134"/>
        <v>Crawlspace</v>
      </c>
      <c r="Q1127" s="134"/>
      <c r="R1127" s="134"/>
      <c r="S1127" s="134"/>
      <c r="T1127" s="134"/>
      <c r="U1127" s="134"/>
      <c r="V1127" s="134"/>
      <c r="W1127" s="134"/>
      <c r="X1127" s="134"/>
      <c r="Y1127" s="134"/>
      <c r="Z1127" s="134"/>
      <c r="AA1127" s="134"/>
      <c r="AB1127" s="134"/>
      <c r="AC1127" s="134"/>
      <c r="AD1127" s="134"/>
      <c r="AE1127" s="134"/>
      <c r="AF1127" s="146"/>
      <c r="AG1127" s="134"/>
      <c r="AH1127" s="134"/>
      <c r="AI1127" s="134"/>
      <c r="AJ1127" s="134"/>
      <c r="AK1127" s="134"/>
      <c r="AL1127" s="134"/>
      <c r="AM1127" s="146"/>
      <c r="AN1127" s="132"/>
      <c r="AO1127" s="132"/>
      <c r="AP1127" s="132"/>
      <c r="AQ1127" s="132"/>
      <c r="AR1127" s="134"/>
      <c r="AS1127" s="134"/>
      <c r="AT1127" s="132"/>
      <c r="AU1127" s="133"/>
      <c r="AV1127" s="134"/>
    </row>
    <row r="1128" spans="1:48">
      <c r="A1128" s="74">
        <v>22273</v>
      </c>
      <c r="B1128" s="74" t="s">
        <v>227</v>
      </c>
      <c r="C1128" s="74">
        <v>2</v>
      </c>
      <c r="D1128" s="74">
        <v>1039</v>
      </c>
      <c r="E1128" s="73">
        <v>7.9999998211860657E-2</v>
      </c>
      <c r="F1128" s="73">
        <v>0.80000001192092896</v>
      </c>
      <c r="G1128" s="73">
        <v>3.9999999105930328E-2</v>
      </c>
      <c r="H1128" s="73">
        <v>0</v>
      </c>
      <c r="I1128" s="190">
        <v>1904.288</v>
      </c>
      <c r="J1128" s="134" t="str">
        <f t="shared" si="130"/>
        <v>keep</v>
      </c>
      <c r="K1128" s="134" t="str">
        <f t="shared" si="131"/>
        <v>R19</v>
      </c>
      <c r="L1128" s="134" t="str">
        <f t="shared" si="132"/>
        <v>R11</v>
      </c>
      <c r="M1128" s="146" t="str">
        <f t="shared" si="128"/>
        <v>Slab</v>
      </c>
      <c r="N1128" s="146" t="str">
        <f t="shared" si="129"/>
        <v>Better</v>
      </c>
      <c r="O1128" s="146" t="str">
        <f t="shared" si="133"/>
        <v>Electric FAFR19R11SlabBetter</v>
      </c>
      <c r="P1128" s="134" t="str">
        <f t="shared" si="134"/>
        <v>Slab</v>
      </c>
      <c r="Q1128" s="134"/>
      <c r="R1128" s="134"/>
      <c r="S1128" s="134"/>
      <c r="T1128" s="134"/>
      <c r="U1128" s="134"/>
      <c r="V1128" s="134"/>
      <c r="W1128" s="134"/>
      <c r="X1128" s="134"/>
      <c r="Y1128" s="134"/>
      <c r="Z1128" s="134"/>
      <c r="AA1128" s="134"/>
      <c r="AB1128" s="134"/>
      <c r="AC1128" s="134"/>
      <c r="AD1128" s="134"/>
      <c r="AE1128" s="134"/>
      <c r="AF1128" s="146"/>
      <c r="AG1128" s="134"/>
      <c r="AH1128" s="134"/>
      <c r="AI1128" s="134"/>
      <c r="AJ1128" s="134"/>
      <c r="AK1128" s="134"/>
      <c r="AL1128" s="134"/>
      <c r="AM1128" s="146"/>
      <c r="AN1128" s="132"/>
      <c r="AO1128" s="132"/>
      <c r="AP1128" s="132"/>
      <c r="AQ1128" s="132"/>
      <c r="AR1128" s="134"/>
      <c r="AS1128" s="134"/>
      <c r="AT1128" s="132"/>
      <c r="AU1128" s="133"/>
      <c r="AV1128" s="134"/>
    </row>
    <row r="1129" spans="1:48">
      <c r="A1129" s="74">
        <v>22319</v>
      </c>
      <c r="B1129" s="74" t="s">
        <v>228</v>
      </c>
      <c r="C1129" s="74">
        <v>4</v>
      </c>
      <c r="D1129" s="74">
        <v>2300</v>
      </c>
      <c r="E1129" s="73">
        <v>3.5000000149011612E-2</v>
      </c>
      <c r="F1129" s="73">
        <v>0.58108109423706122</v>
      </c>
      <c r="G1129" s="73">
        <v>4.5000001788139343E-2</v>
      </c>
      <c r="H1129" s="73">
        <v>0</v>
      </c>
      <c r="I1129" s="190">
        <v>3785.7640000000001</v>
      </c>
      <c r="J1129" s="134" t="str">
        <f t="shared" si="130"/>
        <v>keep</v>
      </c>
      <c r="K1129" s="134" t="str">
        <f t="shared" si="131"/>
        <v>R38</v>
      </c>
      <c r="L1129" s="134" t="str">
        <f t="shared" si="132"/>
        <v>R11</v>
      </c>
      <c r="M1129" s="146" t="str">
        <f t="shared" si="128"/>
        <v>Basement</v>
      </c>
      <c r="N1129" s="146" t="str">
        <f t="shared" si="129"/>
        <v>Better</v>
      </c>
      <c r="O1129" s="146" t="str">
        <f t="shared" si="133"/>
        <v>Electric ZonalR38R11BasementBetter</v>
      </c>
      <c r="P1129" s="134" t="str">
        <f t="shared" si="134"/>
        <v>Basement</v>
      </c>
      <c r="Q1129" s="134"/>
      <c r="R1129" s="134"/>
      <c r="S1129" s="134"/>
      <c r="T1129" s="134"/>
      <c r="U1129" s="134"/>
      <c r="V1129" s="134"/>
      <c r="W1129" s="134"/>
      <c r="X1129" s="134"/>
      <c r="Y1129" s="134"/>
      <c r="Z1129" s="134"/>
      <c r="AA1129" s="134"/>
      <c r="AB1129" s="134"/>
      <c r="AC1129" s="134"/>
      <c r="AD1129" s="134"/>
      <c r="AE1129" s="134"/>
      <c r="AF1129" s="146"/>
      <c r="AG1129" s="134"/>
      <c r="AH1129" s="134"/>
      <c r="AI1129" s="134"/>
      <c r="AJ1129" s="134"/>
      <c r="AK1129" s="134"/>
      <c r="AL1129" s="134"/>
      <c r="AM1129" s="146"/>
      <c r="AN1129" s="132"/>
      <c r="AO1129" s="132"/>
      <c r="AP1129" s="132"/>
      <c r="AQ1129" s="132"/>
      <c r="AR1129" s="134"/>
      <c r="AS1129" s="134"/>
      <c r="AT1129" s="132"/>
      <c r="AU1129" s="133"/>
      <c r="AV1129" s="134"/>
    </row>
    <row r="1130" spans="1:48">
      <c r="A1130" s="74">
        <v>22375</v>
      </c>
      <c r="B1130" s="74" t="s">
        <v>229</v>
      </c>
      <c r="C1130" s="74">
        <v>1</v>
      </c>
      <c r="D1130" s="74">
        <v>2030</v>
      </c>
      <c r="E1130" s="73">
        <v>2.500000037252903E-2</v>
      </c>
      <c r="F1130" s="73">
        <v>0.70988698328955702</v>
      </c>
      <c r="G1130" s="73">
        <v>9.0000003576278687E-2</v>
      </c>
      <c r="H1130" s="73">
        <v>3.5000000149011612E-2</v>
      </c>
      <c r="I1130" s="190">
        <v>1612.692</v>
      </c>
      <c r="J1130" s="134" t="str">
        <f t="shared" si="130"/>
        <v>keep</v>
      </c>
      <c r="K1130" s="134" t="str">
        <f t="shared" si="131"/>
        <v>R38</v>
      </c>
      <c r="L1130" s="134" t="str">
        <f t="shared" si="132"/>
        <v>R11</v>
      </c>
      <c r="M1130" s="146" t="str">
        <f t="shared" si="128"/>
        <v>Better</v>
      </c>
      <c r="N1130" s="146" t="str">
        <f t="shared" si="129"/>
        <v>Better</v>
      </c>
      <c r="O1130" s="146" t="str">
        <f t="shared" si="133"/>
        <v>Heat PumpR38R11BetterBetter</v>
      </c>
      <c r="P1130" s="134" t="str">
        <f t="shared" si="134"/>
        <v>Crawlspace</v>
      </c>
      <c r="Q1130" s="134"/>
      <c r="R1130" s="134"/>
      <c r="S1130" s="134"/>
      <c r="T1130" s="134"/>
      <c r="U1130" s="134"/>
      <c r="V1130" s="134"/>
      <c r="W1130" s="134"/>
      <c r="X1130" s="134"/>
      <c r="Y1130" s="134"/>
      <c r="Z1130" s="134"/>
      <c r="AA1130" s="134"/>
      <c r="AB1130" s="134"/>
      <c r="AC1130" s="134"/>
      <c r="AD1130" s="134"/>
      <c r="AE1130" s="134"/>
      <c r="AF1130" s="146"/>
      <c r="AG1130" s="134"/>
      <c r="AH1130" s="134"/>
      <c r="AI1130" s="134"/>
      <c r="AJ1130" s="134"/>
      <c r="AK1130" s="134"/>
      <c r="AL1130" s="134"/>
      <c r="AM1130" s="146"/>
      <c r="AN1130" s="132"/>
      <c r="AO1130" s="132"/>
      <c r="AP1130" s="132"/>
      <c r="AQ1130" s="132"/>
      <c r="AR1130" s="134"/>
      <c r="AS1130" s="134"/>
      <c r="AT1130" s="132"/>
      <c r="AU1130" s="133"/>
      <c r="AV1130" s="134"/>
    </row>
    <row r="1131" spans="1:48">
      <c r="A1131" s="74">
        <v>22398</v>
      </c>
      <c r="B1131" s="74" t="s">
        <v>229</v>
      </c>
      <c r="C1131" s="74">
        <v>1</v>
      </c>
      <c r="D1131" s="74">
        <v>1518</v>
      </c>
      <c r="E1131" s="73">
        <v>3.9999999105930328E-2</v>
      </c>
      <c r="F1131" s="73">
        <v>0.60000002384185791</v>
      </c>
      <c r="G1131" s="73">
        <v>7.9999998211860657E-2</v>
      </c>
      <c r="H1131" s="73">
        <v>0.23000000417232513</v>
      </c>
      <c r="I1131" s="190">
        <v>1144.6790000000001</v>
      </c>
      <c r="J1131" s="134" t="str">
        <f t="shared" si="130"/>
        <v>keep</v>
      </c>
      <c r="K1131" s="134" t="str">
        <f t="shared" si="131"/>
        <v>R30</v>
      </c>
      <c r="L1131" s="134" t="str">
        <f t="shared" si="132"/>
        <v>R11</v>
      </c>
      <c r="M1131" s="146" t="str">
        <f t="shared" si="128"/>
        <v>R0</v>
      </c>
      <c r="N1131" s="146" t="str">
        <f t="shared" si="129"/>
        <v>Better</v>
      </c>
      <c r="O1131" s="146" t="str">
        <f t="shared" si="133"/>
        <v>Heat PumpR30R11R0Better</v>
      </c>
      <c r="P1131" s="134" t="str">
        <f t="shared" si="134"/>
        <v>Crawlspace</v>
      </c>
      <c r="Q1131" s="134"/>
      <c r="R1131" s="134"/>
      <c r="S1131" s="134"/>
      <c r="T1131" s="134"/>
      <c r="U1131" s="134"/>
      <c r="V1131" s="134"/>
      <c r="W1131" s="134"/>
      <c r="X1131" s="134"/>
      <c r="Y1131" s="134"/>
      <c r="Z1131" s="134"/>
      <c r="AA1131" s="134"/>
      <c r="AB1131" s="134"/>
      <c r="AC1131" s="134"/>
      <c r="AD1131" s="134"/>
      <c r="AE1131" s="134"/>
      <c r="AF1131" s="146"/>
      <c r="AG1131" s="134"/>
      <c r="AH1131" s="134"/>
      <c r="AI1131" s="134"/>
      <c r="AJ1131" s="134"/>
      <c r="AK1131" s="134"/>
      <c r="AL1131" s="134"/>
      <c r="AM1131" s="146"/>
      <c r="AN1131" s="132"/>
      <c r="AO1131" s="132"/>
      <c r="AP1131" s="132"/>
      <c r="AQ1131" s="132"/>
      <c r="AR1131" s="134"/>
      <c r="AS1131" s="134"/>
      <c r="AT1131" s="132"/>
      <c r="AU1131" s="133"/>
      <c r="AV1131" s="134"/>
    </row>
    <row r="1132" spans="1:48">
      <c r="A1132" s="74">
        <v>22404</v>
      </c>
      <c r="B1132" s="74" t="s">
        <v>229</v>
      </c>
      <c r="C1132" s="74">
        <v>1</v>
      </c>
      <c r="D1132" s="74">
        <v>1200</v>
      </c>
      <c r="E1132" s="73">
        <v>3.5000000149011612E-2</v>
      </c>
      <c r="F1132" s="73">
        <v>0.55000001192092896</v>
      </c>
      <c r="G1132" s="73">
        <v>7.9999998211860657E-2</v>
      </c>
      <c r="H1132" s="73">
        <v>6.4999997615814209E-2</v>
      </c>
      <c r="I1132" s="190">
        <v>2079.9929999999999</v>
      </c>
      <c r="J1132" s="134" t="str">
        <f t="shared" si="130"/>
        <v>keep</v>
      </c>
      <c r="K1132" s="134" t="str">
        <f t="shared" si="131"/>
        <v>R38</v>
      </c>
      <c r="L1132" s="134" t="str">
        <f t="shared" si="132"/>
        <v>R11</v>
      </c>
      <c r="M1132" s="146" t="str">
        <f t="shared" si="128"/>
        <v>R19</v>
      </c>
      <c r="N1132" s="146" t="str">
        <f t="shared" si="129"/>
        <v>Better</v>
      </c>
      <c r="O1132" s="146" t="str">
        <f t="shared" si="133"/>
        <v>Heat PumpR38R11R19Better</v>
      </c>
      <c r="P1132" s="134" t="str">
        <f t="shared" si="134"/>
        <v>Crawlspace</v>
      </c>
      <c r="Q1132" s="134"/>
      <c r="R1132" s="134"/>
      <c r="S1132" s="134"/>
      <c r="T1132" s="134"/>
      <c r="U1132" s="134"/>
      <c r="V1132" s="134"/>
      <c r="W1132" s="134"/>
      <c r="X1132" s="134"/>
      <c r="Y1132" s="134"/>
      <c r="Z1132" s="134"/>
      <c r="AA1132" s="134"/>
      <c r="AB1132" s="134"/>
      <c r="AC1132" s="134"/>
      <c r="AD1132" s="134"/>
      <c r="AE1132" s="134"/>
      <c r="AF1132" s="146"/>
      <c r="AG1132" s="134"/>
      <c r="AH1132" s="134"/>
      <c r="AI1132" s="134"/>
      <c r="AJ1132" s="134"/>
      <c r="AK1132" s="134"/>
      <c r="AL1132" s="134"/>
      <c r="AM1132" s="146"/>
      <c r="AN1132" s="132"/>
      <c r="AO1132" s="132"/>
      <c r="AP1132" s="132"/>
      <c r="AQ1132" s="132"/>
      <c r="AR1132" s="134"/>
      <c r="AS1132" s="134"/>
      <c r="AT1132" s="132"/>
      <c r="AU1132" s="133"/>
      <c r="AV1132" s="134"/>
    </row>
    <row r="1133" spans="1:48">
      <c r="A1133" s="74">
        <v>22425</v>
      </c>
      <c r="B1133" s="74" t="s">
        <v>227</v>
      </c>
      <c r="C1133" s="74">
        <v>1</v>
      </c>
      <c r="D1133" s="74">
        <v>1296</v>
      </c>
      <c r="E1133" s="73">
        <v>0.25</v>
      </c>
      <c r="F1133" s="73">
        <v>0.75</v>
      </c>
      <c r="G1133" s="73">
        <v>9.0000003576278687E-2</v>
      </c>
      <c r="H1133" s="73">
        <v>0.23000000417232513</v>
      </c>
      <c r="I1133" s="190">
        <v>3785.7640000000001</v>
      </c>
      <c r="J1133" s="134" t="str">
        <f t="shared" si="130"/>
        <v>keep</v>
      </c>
      <c r="K1133" s="134" t="str">
        <f t="shared" si="131"/>
        <v>R0</v>
      </c>
      <c r="L1133" s="134" t="str">
        <f t="shared" si="132"/>
        <v>R11</v>
      </c>
      <c r="M1133" s="146" t="str">
        <f t="shared" si="128"/>
        <v>R0</v>
      </c>
      <c r="N1133" s="146" t="str">
        <f t="shared" si="129"/>
        <v>Better</v>
      </c>
      <c r="O1133" s="146" t="str">
        <f t="shared" si="133"/>
        <v>Electric FAFR0R11R0Better</v>
      </c>
      <c r="P1133" s="134" t="str">
        <f t="shared" si="134"/>
        <v>Crawlspace</v>
      </c>
      <c r="Q1133" s="134"/>
      <c r="R1133" s="134"/>
      <c r="S1133" s="134"/>
      <c r="T1133" s="134"/>
      <c r="U1133" s="134"/>
      <c r="V1133" s="134"/>
      <c r="W1133" s="134"/>
      <c r="X1133" s="134"/>
      <c r="Y1133" s="134"/>
      <c r="Z1133" s="134"/>
      <c r="AA1133" s="134"/>
      <c r="AB1133" s="134"/>
      <c r="AC1133" s="134"/>
      <c r="AD1133" s="134"/>
      <c r="AE1133" s="134"/>
      <c r="AF1133" s="146"/>
      <c r="AG1133" s="134"/>
      <c r="AH1133" s="134"/>
      <c r="AI1133" s="134"/>
      <c r="AJ1133" s="134"/>
      <c r="AK1133" s="134"/>
      <c r="AL1133" s="134"/>
      <c r="AM1133" s="146"/>
      <c r="AN1133" s="132"/>
      <c r="AO1133" s="132"/>
      <c r="AP1133" s="132"/>
      <c r="AQ1133" s="132"/>
      <c r="AR1133" s="134"/>
      <c r="AS1133" s="134"/>
      <c r="AT1133" s="132"/>
      <c r="AU1133" s="133"/>
      <c r="AV1133" s="134"/>
    </row>
    <row r="1134" spans="1:48">
      <c r="A1134" s="74">
        <v>22432</v>
      </c>
      <c r="B1134" s="74" t="s">
        <v>229</v>
      </c>
      <c r="C1134" s="74" t="s">
        <v>673</v>
      </c>
      <c r="D1134" s="74">
        <v>2833</v>
      </c>
      <c r="E1134" s="73">
        <v>5.000000074505806E-2</v>
      </c>
      <c r="F1134" s="73">
        <v>0.44999998807907104</v>
      </c>
      <c r="G1134" s="73">
        <v>5.9999998658895493E-2</v>
      </c>
      <c r="H1134" s="73">
        <v>2.9999999329447746E-2</v>
      </c>
      <c r="I1134" s="190">
        <v>1925.059</v>
      </c>
      <c r="J1134" s="134" t="str">
        <f t="shared" si="130"/>
        <v>ignore</v>
      </c>
      <c r="K1134" s="134" t="str">
        <f t="shared" si="131"/>
        <v>R30</v>
      </c>
      <c r="L1134" s="134" t="str">
        <f t="shared" si="132"/>
        <v>R11</v>
      </c>
      <c r="M1134" s="146" t="str">
        <f t="shared" si="128"/>
        <v>Better</v>
      </c>
      <c r="N1134" s="146" t="str">
        <f t="shared" si="129"/>
        <v>Better</v>
      </c>
      <c r="O1134" s="146" t="str">
        <f t="shared" si="133"/>
        <v>Heat PumpR30R11BetterBetter</v>
      </c>
      <c r="P1134" s="134" t="str">
        <f t="shared" si="134"/>
        <v>error</v>
      </c>
      <c r="Q1134" s="134"/>
      <c r="R1134" s="134"/>
      <c r="S1134" s="134"/>
      <c r="T1134" s="134"/>
      <c r="U1134" s="134"/>
      <c r="V1134" s="134"/>
      <c r="W1134" s="134"/>
      <c r="X1134" s="134"/>
      <c r="Y1134" s="134"/>
      <c r="Z1134" s="134"/>
      <c r="AA1134" s="134"/>
      <c r="AB1134" s="134"/>
      <c r="AC1134" s="134"/>
      <c r="AD1134" s="134"/>
      <c r="AE1134" s="134"/>
      <c r="AF1134" s="146"/>
      <c r="AG1134" s="134"/>
      <c r="AH1134" s="134"/>
      <c r="AI1134" s="134"/>
      <c r="AJ1134" s="134"/>
      <c r="AK1134" s="134"/>
      <c r="AL1134" s="134"/>
      <c r="AM1134" s="146"/>
      <c r="AN1134" s="132"/>
      <c r="AO1134" s="132"/>
      <c r="AP1134" s="132"/>
      <c r="AQ1134" s="132"/>
      <c r="AR1134" s="134"/>
      <c r="AS1134" s="134"/>
      <c r="AT1134" s="132"/>
      <c r="AU1134" s="133"/>
      <c r="AV1134" s="134"/>
    </row>
    <row r="1135" spans="1:48">
      <c r="A1135" s="74">
        <v>22439</v>
      </c>
      <c r="B1135" s="74" t="s">
        <v>228</v>
      </c>
      <c r="C1135" s="74">
        <v>1</v>
      </c>
      <c r="D1135" s="74">
        <v>1280</v>
      </c>
      <c r="E1135" s="73">
        <v>7.9999998211860657E-2</v>
      </c>
      <c r="F1135" s="73">
        <v>0.55000001192092896</v>
      </c>
      <c r="G1135" s="73">
        <v>9.0000003576278687E-2</v>
      </c>
      <c r="H1135" s="73">
        <v>0.14000000059604645</v>
      </c>
      <c r="I1135" s="190">
        <v>2079.9929999999999</v>
      </c>
      <c r="J1135" s="134" t="str">
        <f t="shared" si="130"/>
        <v>keep</v>
      </c>
      <c r="K1135" s="134" t="str">
        <f t="shared" si="131"/>
        <v>R19</v>
      </c>
      <c r="L1135" s="134" t="str">
        <f t="shared" si="132"/>
        <v>R11</v>
      </c>
      <c r="M1135" s="146" t="str">
        <f t="shared" si="128"/>
        <v>R0</v>
      </c>
      <c r="N1135" s="146" t="str">
        <f t="shared" si="129"/>
        <v>Better</v>
      </c>
      <c r="O1135" s="146" t="str">
        <f t="shared" si="133"/>
        <v>Electric ZonalR19R11R0Better</v>
      </c>
      <c r="P1135" s="134" t="str">
        <f t="shared" si="134"/>
        <v>Crawlspace</v>
      </c>
      <c r="Q1135" s="134"/>
      <c r="R1135" s="134"/>
      <c r="S1135" s="134"/>
      <c r="T1135" s="134"/>
      <c r="U1135" s="134"/>
      <c r="V1135" s="134"/>
      <c r="W1135" s="134"/>
      <c r="X1135" s="134"/>
      <c r="Y1135" s="134"/>
      <c r="Z1135" s="134"/>
      <c r="AA1135" s="134"/>
      <c r="AB1135" s="134"/>
      <c r="AC1135" s="134"/>
      <c r="AD1135" s="134"/>
      <c r="AE1135" s="134"/>
      <c r="AF1135" s="146"/>
      <c r="AG1135" s="134"/>
      <c r="AH1135" s="134"/>
      <c r="AI1135" s="134"/>
      <c r="AJ1135" s="134"/>
      <c r="AK1135" s="134"/>
      <c r="AL1135" s="134"/>
      <c r="AM1135" s="146"/>
      <c r="AN1135" s="132"/>
      <c r="AO1135" s="132"/>
      <c r="AP1135" s="132"/>
      <c r="AQ1135" s="132"/>
      <c r="AR1135" s="134"/>
      <c r="AS1135" s="134"/>
      <c r="AT1135" s="132"/>
      <c r="AU1135" s="133"/>
      <c r="AV1135" s="134"/>
    </row>
    <row r="1136" spans="1:48">
      <c r="A1136" s="74">
        <v>22474</v>
      </c>
      <c r="B1136" s="74" t="s">
        <v>229</v>
      </c>
      <c r="C1136" s="74">
        <v>2</v>
      </c>
      <c r="D1136" s="74">
        <v>2053</v>
      </c>
      <c r="E1136" s="73">
        <v>2.500000037252903E-2</v>
      </c>
      <c r="F1136" s="73">
        <v>0.60000002384185791</v>
      </c>
      <c r="G1136" s="73">
        <v>5.9999998658895493E-2</v>
      </c>
      <c r="H1136" s="73">
        <v>0</v>
      </c>
      <c r="I1136" s="190">
        <v>1904.288</v>
      </c>
      <c r="J1136" s="134" t="str">
        <f t="shared" si="130"/>
        <v>keep</v>
      </c>
      <c r="K1136" s="134" t="str">
        <f t="shared" si="131"/>
        <v>R38</v>
      </c>
      <c r="L1136" s="134" t="str">
        <f t="shared" si="132"/>
        <v>R11</v>
      </c>
      <c r="M1136" s="146" t="str">
        <f t="shared" si="128"/>
        <v>Slab</v>
      </c>
      <c r="N1136" s="146" t="str">
        <f t="shared" si="129"/>
        <v>Better</v>
      </c>
      <c r="O1136" s="146" t="str">
        <f t="shared" si="133"/>
        <v>Heat PumpR38R11SlabBetter</v>
      </c>
      <c r="P1136" s="134" t="str">
        <f t="shared" si="134"/>
        <v>Slab</v>
      </c>
      <c r="Q1136" s="134"/>
      <c r="R1136" s="134"/>
      <c r="S1136" s="134"/>
      <c r="T1136" s="134"/>
      <c r="U1136" s="134"/>
      <c r="V1136" s="134"/>
      <c r="W1136" s="134"/>
      <c r="X1136" s="134"/>
      <c r="Y1136" s="134"/>
      <c r="Z1136" s="134"/>
      <c r="AA1136" s="134"/>
      <c r="AB1136" s="134"/>
      <c r="AC1136" s="134"/>
      <c r="AD1136" s="134"/>
      <c r="AE1136" s="134"/>
      <c r="AF1136" s="146"/>
      <c r="AG1136" s="134"/>
      <c r="AH1136" s="134"/>
      <c r="AI1136" s="134"/>
      <c r="AJ1136" s="134"/>
      <c r="AK1136" s="134"/>
      <c r="AL1136" s="134"/>
      <c r="AM1136" s="146"/>
      <c r="AN1136" s="132"/>
      <c r="AO1136" s="132"/>
      <c r="AP1136" s="132"/>
      <c r="AQ1136" s="132"/>
      <c r="AR1136" s="134"/>
      <c r="AS1136" s="134"/>
      <c r="AT1136" s="132"/>
      <c r="AU1136" s="133"/>
      <c r="AV1136" s="134"/>
    </row>
    <row r="1137" spans="1:48">
      <c r="A1137" s="74">
        <v>22479</v>
      </c>
      <c r="B1137" s="74" t="s">
        <v>229</v>
      </c>
      <c r="C1137" s="74" t="s">
        <v>673</v>
      </c>
      <c r="D1137" s="74">
        <v>3664</v>
      </c>
      <c r="E1137" s="73">
        <v>2.500000037252903E-2</v>
      </c>
      <c r="F1137" s="73">
        <v>0.49885145455005525</v>
      </c>
      <c r="G1137" s="73">
        <v>7.9999998211860657E-2</v>
      </c>
      <c r="H1137" s="73">
        <v>4.5000001788139343E-2</v>
      </c>
      <c r="I1137" s="190">
        <v>1904.288</v>
      </c>
      <c r="J1137" s="134" t="str">
        <f t="shared" si="130"/>
        <v>ignore</v>
      </c>
      <c r="K1137" s="134" t="str">
        <f t="shared" si="131"/>
        <v>R38</v>
      </c>
      <c r="L1137" s="134" t="str">
        <f t="shared" si="132"/>
        <v>R11</v>
      </c>
      <c r="M1137" s="146" t="str">
        <f t="shared" si="128"/>
        <v>Better</v>
      </c>
      <c r="N1137" s="146" t="str">
        <f t="shared" si="129"/>
        <v>Better</v>
      </c>
      <c r="O1137" s="146" t="str">
        <f t="shared" si="133"/>
        <v>Heat PumpR38R11BetterBetter</v>
      </c>
      <c r="P1137" s="134" t="str">
        <f t="shared" si="134"/>
        <v>error</v>
      </c>
      <c r="Q1137" s="134"/>
      <c r="R1137" s="134"/>
      <c r="S1137" s="134"/>
      <c r="T1137" s="134"/>
      <c r="U1137" s="134"/>
      <c r="V1137" s="134"/>
      <c r="W1137" s="134"/>
      <c r="X1137" s="134"/>
      <c r="Y1137" s="134"/>
      <c r="Z1137" s="134"/>
      <c r="AA1137" s="134"/>
      <c r="AB1137" s="134"/>
      <c r="AC1137" s="134"/>
      <c r="AD1137" s="134"/>
      <c r="AE1137" s="134"/>
      <c r="AF1137" s="146"/>
      <c r="AG1137" s="134"/>
      <c r="AH1137" s="134"/>
      <c r="AI1137" s="134"/>
      <c r="AJ1137" s="134"/>
      <c r="AK1137" s="134"/>
      <c r="AL1137" s="134"/>
      <c r="AM1137" s="146"/>
      <c r="AN1137" s="132"/>
      <c r="AO1137" s="132"/>
      <c r="AP1137" s="132"/>
      <c r="AQ1137" s="132"/>
      <c r="AR1137" s="134"/>
      <c r="AS1137" s="134"/>
      <c r="AT1137" s="132"/>
      <c r="AU1137" s="133"/>
      <c r="AV1137" s="134"/>
    </row>
    <row r="1138" spans="1:48">
      <c r="A1138" s="74">
        <v>22509</v>
      </c>
      <c r="B1138" s="74" t="s">
        <v>228</v>
      </c>
      <c r="C1138" s="74" t="s">
        <v>673</v>
      </c>
      <c r="D1138" s="74">
        <v>1494</v>
      </c>
      <c r="E1138" s="73">
        <v>0.10999999940395355</v>
      </c>
      <c r="F1138" s="73">
        <v>0.57162160970069265</v>
      </c>
      <c r="G1138" s="73">
        <v>0.11999999731779099</v>
      </c>
      <c r="H1138" s="73">
        <v>0.14000000059604645</v>
      </c>
      <c r="I1138" s="190">
        <v>2079.9929999999999</v>
      </c>
      <c r="J1138" s="134" t="str">
        <f t="shared" si="130"/>
        <v>ignore</v>
      </c>
      <c r="K1138" s="134" t="str">
        <f t="shared" si="131"/>
        <v>R11</v>
      </c>
      <c r="L1138" s="134" t="str">
        <f t="shared" si="132"/>
        <v>R11</v>
      </c>
      <c r="M1138" s="146" t="str">
        <f t="shared" si="128"/>
        <v>R0</v>
      </c>
      <c r="N1138" s="146" t="str">
        <f t="shared" si="129"/>
        <v>Better</v>
      </c>
      <c r="O1138" s="146" t="str">
        <f t="shared" si="133"/>
        <v>Electric ZonalR11R11R0Better</v>
      </c>
      <c r="P1138" s="134" t="str">
        <f t="shared" si="134"/>
        <v>error</v>
      </c>
      <c r="Q1138" s="134"/>
      <c r="R1138" s="134"/>
      <c r="S1138" s="134"/>
      <c r="T1138" s="134"/>
      <c r="U1138" s="134"/>
      <c r="V1138" s="134"/>
      <c r="W1138" s="134"/>
      <c r="X1138" s="134"/>
      <c r="Y1138" s="134"/>
      <c r="Z1138" s="134"/>
      <c r="AA1138" s="134"/>
      <c r="AB1138" s="134"/>
      <c r="AC1138" s="134"/>
      <c r="AD1138" s="134"/>
      <c r="AE1138" s="134"/>
      <c r="AF1138" s="146"/>
      <c r="AG1138" s="134"/>
      <c r="AH1138" s="134"/>
      <c r="AI1138" s="134"/>
      <c r="AJ1138" s="134"/>
      <c r="AK1138" s="134"/>
      <c r="AL1138" s="134"/>
      <c r="AM1138" s="146"/>
      <c r="AN1138" s="132"/>
      <c r="AO1138" s="132"/>
      <c r="AP1138" s="132"/>
      <c r="AQ1138" s="132"/>
      <c r="AR1138" s="134"/>
      <c r="AS1138" s="134"/>
      <c r="AT1138" s="132"/>
      <c r="AU1138" s="133"/>
      <c r="AV1138" s="134"/>
    </row>
    <row r="1139" spans="1:48">
      <c r="A1139" s="74">
        <v>22515</v>
      </c>
      <c r="B1139" s="74" t="s">
        <v>228</v>
      </c>
      <c r="C1139" s="74">
        <v>1</v>
      </c>
      <c r="D1139" s="74">
        <v>1488</v>
      </c>
      <c r="E1139" s="73">
        <v>8.8007970635159555E-2</v>
      </c>
      <c r="F1139" s="73">
        <v>0.83976610571320298</v>
      </c>
      <c r="G1139" s="73">
        <v>9.0000003576278687E-2</v>
      </c>
      <c r="H1139" s="73">
        <v>0.23000000417232513</v>
      </c>
      <c r="I1139" s="190">
        <v>2079.9929999999999</v>
      </c>
      <c r="J1139" s="134" t="str">
        <f t="shared" si="130"/>
        <v>keep</v>
      </c>
      <c r="K1139" s="134" t="str">
        <f t="shared" si="131"/>
        <v>R11</v>
      </c>
      <c r="L1139" s="134" t="str">
        <f t="shared" si="132"/>
        <v>R11</v>
      </c>
      <c r="M1139" s="146" t="str">
        <f t="shared" ref="M1139:M1202" si="135">IF(OR(C1139=4,C1139=3),"Basement",IF(C1139=2,"Slab",IF(H1139&gt;$D$10,$C$10,IF(H1139&gt;$D$11,$C$11,"Better"))))</f>
        <v>R0</v>
      </c>
      <c r="N1139" s="146" t="str">
        <f t="shared" ref="N1139:N1202" si="136">IF(F1139&gt;$D$13,$C$13,IF(F1139&gt;$D$14,$C$14,"Better"))</f>
        <v>Double</v>
      </c>
      <c r="O1139" s="146" t="str">
        <f t="shared" si="133"/>
        <v>Electric ZonalR11R11R0Double</v>
      </c>
      <c r="P1139" s="134" t="str">
        <f t="shared" si="134"/>
        <v>Crawlspace</v>
      </c>
      <c r="Q1139" s="134"/>
      <c r="R1139" s="134"/>
      <c r="S1139" s="134"/>
      <c r="T1139" s="134"/>
      <c r="U1139" s="134"/>
      <c r="V1139" s="134"/>
      <c r="W1139" s="134"/>
      <c r="X1139" s="134"/>
      <c r="Y1139" s="134"/>
      <c r="Z1139" s="134"/>
      <c r="AA1139" s="134"/>
      <c r="AB1139" s="134"/>
      <c r="AC1139" s="134"/>
      <c r="AD1139" s="134"/>
      <c r="AE1139" s="134"/>
      <c r="AF1139" s="146"/>
      <c r="AG1139" s="134"/>
      <c r="AH1139" s="134"/>
      <c r="AI1139" s="134"/>
      <c r="AJ1139" s="134"/>
      <c r="AK1139" s="134"/>
      <c r="AL1139" s="134"/>
      <c r="AM1139" s="146"/>
      <c r="AN1139" s="132"/>
      <c r="AO1139" s="132"/>
      <c r="AP1139" s="132"/>
      <c r="AQ1139" s="132"/>
      <c r="AR1139" s="134"/>
      <c r="AS1139" s="134"/>
      <c r="AT1139" s="132"/>
      <c r="AU1139" s="133"/>
      <c r="AV1139" s="134"/>
    </row>
    <row r="1140" spans="1:48">
      <c r="A1140" s="74">
        <v>22519</v>
      </c>
      <c r="B1140" s="74" t="s">
        <v>228</v>
      </c>
      <c r="C1140" s="74" t="s">
        <v>673</v>
      </c>
      <c r="D1140" s="74">
        <v>1080</v>
      </c>
      <c r="E1140" s="73" t="e">
        <v>#VALUE!</v>
      </c>
      <c r="F1140" s="73">
        <v>0.44999998807907104</v>
      </c>
      <c r="G1140" s="73" t="e">
        <v>#VALUE!</v>
      </c>
      <c r="H1140" s="73">
        <v>0</v>
      </c>
      <c r="I1140" s="190">
        <v>2130.886</v>
      </c>
      <c r="J1140" s="134" t="str">
        <f t="shared" ref="J1140:J1203" si="137">IF(OR(C1140="FLAG",ISERROR(PRODUCT(D1140:H1140))),"ignore","keep")</f>
        <v>ignore</v>
      </c>
      <c r="K1140" s="134" t="e">
        <f t="shared" ref="K1140:K1203" si="138">IF(E1140&gt;$D$3,$C$3,IF(E1140&gt;$D$4,$C$4,IF(E1140&gt;$D$5,$C$5,IF(E1140&gt;$D$6,$C$6,IF(E1140&gt;$D$7,$C$7,"R38")))))</f>
        <v>#VALUE!</v>
      </c>
      <c r="L1140" s="134" t="e">
        <f t="shared" ref="L1140:L1203" si="139">IF(G1140&gt;$D$8,$C$8,"R11")</f>
        <v>#VALUE!</v>
      </c>
      <c r="M1140" s="146" t="str">
        <f t="shared" si="135"/>
        <v>Better</v>
      </c>
      <c r="N1140" s="146" t="str">
        <f t="shared" si="136"/>
        <v>Better</v>
      </c>
      <c r="O1140" s="146" t="e">
        <f t="shared" ref="O1140:O1203" si="140">B1140&amp;K1140&amp;L1140&amp;M1140&amp;N1140</f>
        <v>#VALUE!</v>
      </c>
      <c r="P1140" s="134" t="str">
        <f t="shared" ref="P1140:P1203" si="141">IF(C1140=1,"Crawlspace",IF(C1140=2,"Slab",IF(OR(C1140=3,C1140=4),"Basement","error")))</f>
        <v>error</v>
      </c>
      <c r="Q1140" s="134"/>
      <c r="R1140" s="134"/>
      <c r="S1140" s="134"/>
      <c r="T1140" s="134"/>
      <c r="U1140" s="134"/>
      <c r="V1140" s="134"/>
      <c r="W1140" s="134"/>
      <c r="X1140" s="134"/>
      <c r="Y1140" s="134"/>
      <c r="Z1140" s="134"/>
      <c r="AA1140" s="134"/>
      <c r="AB1140" s="134"/>
      <c r="AC1140" s="134"/>
      <c r="AD1140" s="134"/>
      <c r="AE1140" s="134"/>
      <c r="AF1140" s="146"/>
      <c r="AG1140" s="134"/>
      <c r="AH1140" s="134"/>
      <c r="AI1140" s="134"/>
      <c r="AJ1140" s="134"/>
      <c r="AK1140" s="134"/>
      <c r="AL1140" s="134"/>
      <c r="AM1140" s="146"/>
      <c r="AN1140" s="132"/>
      <c r="AO1140" s="132"/>
      <c r="AP1140" s="132"/>
      <c r="AQ1140" s="132"/>
      <c r="AR1140" s="134"/>
      <c r="AS1140" s="134"/>
      <c r="AT1140" s="132"/>
      <c r="AU1140" s="133"/>
      <c r="AV1140" s="134"/>
    </row>
    <row r="1141" spans="1:48">
      <c r="A1141" s="74">
        <v>22521</v>
      </c>
      <c r="B1141" s="74" t="s">
        <v>227</v>
      </c>
      <c r="C1141" s="74">
        <v>1</v>
      </c>
      <c r="D1141" s="74">
        <v>1306</v>
      </c>
      <c r="E1141" s="73">
        <v>2.500000037252903E-2</v>
      </c>
      <c r="F1141" s="73">
        <v>0.46690140055938506</v>
      </c>
      <c r="G1141" s="73">
        <v>8.0149255692958832E-2</v>
      </c>
      <c r="H1141" s="73">
        <v>6.4999997615814209E-2</v>
      </c>
      <c r="I1141" s="190">
        <v>1612.692</v>
      </c>
      <c r="J1141" s="134" t="str">
        <f t="shared" si="137"/>
        <v>keep</v>
      </c>
      <c r="K1141" s="134" t="str">
        <f t="shared" si="138"/>
        <v>R38</v>
      </c>
      <c r="L1141" s="134" t="str">
        <f t="shared" si="139"/>
        <v>R11</v>
      </c>
      <c r="M1141" s="146" t="str">
        <f t="shared" si="135"/>
        <v>R19</v>
      </c>
      <c r="N1141" s="146" t="str">
        <f t="shared" si="136"/>
        <v>Better</v>
      </c>
      <c r="O1141" s="146" t="str">
        <f t="shared" si="140"/>
        <v>Electric FAFR38R11R19Better</v>
      </c>
      <c r="P1141" s="134" t="str">
        <f t="shared" si="141"/>
        <v>Crawlspace</v>
      </c>
      <c r="Q1141" s="134"/>
      <c r="R1141" s="134"/>
      <c r="S1141" s="134"/>
      <c r="T1141" s="134"/>
      <c r="U1141" s="134"/>
      <c r="V1141" s="134"/>
      <c r="W1141" s="134"/>
      <c r="X1141" s="134"/>
      <c r="Y1141" s="134"/>
      <c r="Z1141" s="134"/>
      <c r="AA1141" s="134"/>
      <c r="AB1141" s="134"/>
      <c r="AC1141" s="134"/>
      <c r="AD1141" s="134"/>
      <c r="AE1141" s="134"/>
      <c r="AF1141" s="146"/>
      <c r="AG1141" s="134"/>
      <c r="AH1141" s="134"/>
      <c r="AI1141" s="134"/>
      <c r="AJ1141" s="134"/>
      <c r="AK1141" s="134"/>
      <c r="AL1141" s="134"/>
      <c r="AM1141" s="146"/>
      <c r="AN1141" s="132"/>
      <c r="AO1141" s="132"/>
      <c r="AP1141" s="132"/>
      <c r="AQ1141" s="132"/>
      <c r="AR1141" s="134"/>
      <c r="AS1141" s="134"/>
      <c r="AT1141" s="132"/>
      <c r="AU1141" s="133"/>
      <c r="AV1141" s="134"/>
    </row>
    <row r="1142" spans="1:48">
      <c r="A1142" s="74">
        <v>22533</v>
      </c>
      <c r="B1142" s="74" t="s">
        <v>229</v>
      </c>
      <c r="C1142" s="74" t="s">
        <v>673</v>
      </c>
      <c r="D1142" s="74">
        <v>1391</v>
      </c>
      <c r="E1142" s="73">
        <v>1.9999999552965164E-2</v>
      </c>
      <c r="F1142" s="73">
        <v>0.44999998807907104</v>
      </c>
      <c r="G1142" s="73">
        <v>5.000000074505806E-2</v>
      </c>
      <c r="H1142" s="73">
        <v>3.5000000149011612E-2</v>
      </c>
      <c r="I1142" s="190">
        <v>1144.6790000000001</v>
      </c>
      <c r="J1142" s="134" t="str">
        <f t="shared" si="137"/>
        <v>ignore</v>
      </c>
      <c r="K1142" s="134" t="str">
        <f t="shared" si="138"/>
        <v>R38</v>
      </c>
      <c r="L1142" s="134" t="str">
        <f t="shared" si="139"/>
        <v>R11</v>
      </c>
      <c r="M1142" s="146" t="str">
        <f t="shared" si="135"/>
        <v>Better</v>
      </c>
      <c r="N1142" s="146" t="str">
        <f t="shared" si="136"/>
        <v>Better</v>
      </c>
      <c r="O1142" s="146" t="str">
        <f t="shared" si="140"/>
        <v>Heat PumpR38R11BetterBetter</v>
      </c>
      <c r="P1142" s="134" t="str">
        <f t="shared" si="141"/>
        <v>error</v>
      </c>
      <c r="Q1142" s="134"/>
      <c r="R1142" s="134"/>
      <c r="S1142" s="134"/>
      <c r="T1142" s="134"/>
      <c r="U1142" s="134"/>
      <c r="V1142" s="134"/>
      <c r="W1142" s="134"/>
      <c r="X1142" s="134"/>
      <c r="Y1142" s="134"/>
      <c r="Z1142" s="134"/>
      <c r="AA1142" s="134"/>
      <c r="AB1142" s="134"/>
      <c r="AC1142" s="134"/>
      <c r="AD1142" s="134"/>
      <c r="AE1142" s="134"/>
      <c r="AF1142" s="146"/>
      <c r="AG1142" s="134"/>
      <c r="AH1142" s="134"/>
      <c r="AI1142" s="134"/>
      <c r="AJ1142" s="134"/>
      <c r="AK1142" s="134"/>
      <c r="AL1142" s="134"/>
      <c r="AM1142" s="146"/>
      <c r="AN1142" s="132"/>
      <c r="AO1142" s="132"/>
      <c r="AP1142" s="132"/>
      <c r="AQ1142" s="132"/>
      <c r="AR1142" s="134"/>
      <c r="AS1142" s="134"/>
      <c r="AT1142" s="132"/>
      <c r="AU1142" s="133"/>
      <c r="AV1142" s="134"/>
    </row>
    <row r="1143" spans="1:48">
      <c r="A1143" s="74">
        <v>22546</v>
      </c>
      <c r="B1143" s="74" t="s">
        <v>228</v>
      </c>
      <c r="C1143" s="74" t="s">
        <v>673</v>
      </c>
      <c r="D1143" s="74">
        <v>905</v>
      </c>
      <c r="E1143" s="73">
        <v>0.17000000178813934</v>
      </c>
      <c r="F1143" s="73">
        <v>0.40000000596046448</v>
      </c>
      <c r="G1143" s="73">
        <v>9.0000003576278687E-2</v>
      </c>
      <c r="H1143" s="73">
        <v>0</v>
      </c>
      <c r="I1143" s="190">
        <v>2079.9929999999999</v>
      </c>
      <c r="J1143" s="134" t="str">
        <f t="shared" si="137"/>
        <v>ignore</v>
      </c>
      <c r="K1143" s="134" t="str">
        <f t="shared" si="138"/>
        <v>R0</v>
      </c>
      <c r="L1143" s="134" t="str">
        <f t="shared" si="139"/>
        <v>R11</v>
      </c>
      <c r="M1143" s="146" t="str">
        <f t="shared" si="135"/>
        <v>Better</v>
      </c>
      <c r="N1143" s="146" t="str">
        <f t="shared" si="136"/>
        <v>Better</v>
      </c>
      <c r="O1143" s="146" t="str">
        <f t="shared" si="140"/>
        <v>Electric ZonalR0R11BetterBetter</v>
      </c>
      <c r="P1143" s="134" t="str">
        <f t="shared" si="141"/>
        <v>error</v>
      </c>
      <c r="Q1143" s="134"/>
      <c r="R1143" s="134"/>
      <c r="S1143" s="134"/>
      <c r="T1143" s="134"/>
      <c r="U1143" s="134"/>
      <c r="V1143" s="134"/>
      <c r="W1143" s="134"/>
      <c r="X1143" s="134"/>
      <c r="Y1143" s="134"/>
      <c r="Z1143" s="134"/>
      <c r="AA1143" s="134"/>
      <c r="AB1143" s="134"/>
      <c r="AC1143" s="134"/>
      <c r="AD1143" s="134"/>
      <c r="AE1143" s="134"/>
      <c r="AF1143" s="146"/>
      <c r="AG1143" s="134"/>
      <c r="AH1143" s="134"/>
      <c r="AI1143" s="134"/>
      <c r="AJ1143" s="134"/>
      <c r="AK1143" s="134"/>
      <c r="AL1143" s="134"/>
      <c r="AM1143" s="146"/>
      <c r="AN1143" s="132"/>
      <c r="AO1143" s="132"/>
      <c r="AP1143" s="132"/>
      <c r="AQ1143" s="132"/>
      <c r="AR1143" s="134"/>
      <c r="AS1143" s="134"/>
      <c r="AT1143" s="132"/>
      <c r="AU1143" s="133"/>
      <c r="AV1143" s="134"/>
    </row>
    <row r="1144" spans="1:48">
      <c r="A1144" s="74">
        <v>22571</v>
      </c>
      <c r="B1144" s="74" t="s">
        <v>228</v>
      </c>
      <c r="C1144" s="74">
        <v>2</v>
      </c>
      <c r="D1144" s="74">
        <v>1974</v>
      </c>
      <c r="E1144" s="73">
        <v>9.0000003576278687E-2</v>
      </c>
      <c r="F1144" s="73">
        <v>0.55000001192092896</v>
      </c>
      <c r="G1144" s="73">
        <v>9.0000003576278687E-2</v>
      </c>
      <c r="H1144" s="73">
        <v>0</v>
      </c>
      <c r="I1144" s="190">
        <v>3785.7640000000001</v>
      </c>
      <c r="J1144" s="134" t="str">
        <f t="shared" si="137"/>
        <v>keep</v>
      </c>
      <c r="K1144" s="134" t="str">
        <f t="shared" si="138"/>
        <v>R11</v>
      </c>
      <c r="L1144" s="134" t="str">
        <f t="shared" si="139"/>
        <v>R11</v>
      </c>
      <c r="M1144" s="146" t="str">
        <f t="shared" si="135"/>
        <v>Slab</v>
      </c>
      <c r="N1144" s="146" t="str">
        <f t="shared" si="136"/>
        <v>Better</v>
      </c>
      <c r="O1144" s="146" t="str">
        <f t="shared" si="140"/>
        <v>Electric ZonalR11R11SlabBetter</v>
      </c>
      <c r="P1144" s="134" t="str">
        <f t="shared" si="141"/>
        <v>Slab</v>
      </c>
      <c r="Q1144" s="134"/>
      <c r="R1144" s="134"/>
      <c r="S1144" s="134"/>
      <c r="T1144" s="134"/>
      <c r="U1144" s="134"/>
      <c r="V1144" s="134"/>
      <c r="W1144" s="134"/>
      <c r="X1144" s="134"/>
      <c r="Y1144" s="134"/>
      <c r="Z1144" s="134"/>
      <c r="AA1144" s="134"/>
      <c r="AB1144" s="134"/>
      <c r="AC1144" s="134"/>
      <c r="AD1144" s="134"/>
      <c r="AE1144" s="134"/>
      <c r="AF1144" s="146"/>
      <c r="AG1144" s="134"/>
      <c r="AH1144" s="134"/>
      <c r="AI1144" s="134"/>
      <c r="AJ1144" s="134"/>
      <c r="AK1144" s="134"/>
      <c r="AL1144" s="134"/>
      <c r="AM1144" s="146"/>
      <c r="AN1144" s="132"/>
      <c r="AO1144" s="132"/>
      <c r="AP1144" s="132"/>
      <c r="AQ1144" s="132"/>
      <c r="AR1144" s="134"/>
      <c r="AS1144" s="134"/>
      <c r="AT1144" s="132"/>
      <c r="AU1144" s="133"/>
      <c r="AV1144" s="134"/>
    </row>
    <row r="1145" spans="1:48">
      <c r="A1145" s="74">
        <v>22577</v>
      </c>
      <c r="B1145" s="74" t="s">
        <v>229</v>
      </c>
      <c r="C1145" s="74">
        <v>1</v>
      </c>
      <c r="D1145" s="74">
        <v>1056</v>
      </c>
      <c r="E1145" s="73">
        <v>2.7310924651492544E-2</v>
      </c>
      <c r="F1145" s="73">
        <v>0.46090907996351066</v>
      </c>
      <c r="G1145" s="73">
        <v>9.0000003576278687E-2</v>
      </c>
      <c r="H1145" s="73">
        <v>7.9999998211860657E-2</v>
      </c>
      <c r="I1145" s="190">
        <v>1925.059</v>
      </c>
      <c r="J1145" s="134" t="str">
        <f t="shared" si="137"/>
        <v>keep</v>
      </c>
      <c r="K1145" s="134" t="str">
        <f t="shared" si="138"/>
        <v>R38</v>
      </c>
      <c r="L1145" s="134" t="str">
        <f t="shared" si="139"/>
        <v>R11</v>
      </c>
      <c r="M1145" s="146" t="str">
        <f t="shared" si="135"/>
        <v>R0</v>
      </c>
      <c r="N1145" s="146" t="str">
        <f t="shared" si="136"/>
        <v>Better</v>
      </c>
      <c r="O1145" s="146" t="str">
        <f t="shared" si="140"/>
        <v>Heat PumpR38R11R0Better</v>
      </c>
      <c r="P1145" s="134" t="str">
        <f t="shared" si="141"/>
        <v>Crawlspace</v>
      </c>
      <c r="Q1145" s="134"/>
      <c r="R1145" s="134"/>
      <c r="S1145" s="134"/>
      <c r="T1145" s="134"/>
      <c r="U1145" s="134"/>
      <c r="V1145" s="134"/>
      <c r="W1145" s="134"/>
      <c r="X1145" s="134"/>
      <c r="Y1145" s="134"/>
      <c r="Z1145" s="134"/>
      <c r="AA1145" s="134"/>
      <c r="AB1145" s="134"/>
      <c r="AC1145" s="134"/>
      <c r="AD1145" s="134"/>
      <c r="AE1145" s="134"/>
      <c r="AF1145" s="146"/>
      <c r="AG1145" s="134"/>
      <c r="AH1145" s="134"/>
      <c r="AI1145" s="134"/>
      <c r="AJ1145" s="134"/>
      <c r="AK1145" s="134"/>
      <c r="AL1145" s="134"/>
      <c r="AM1145" s="146"/>
      <c r="AN1145" s="132"/>
      <c r="AO1145" s="132"/>
      <c r="AP1145" s="132"/>
      <c r="AQ1145" s="132"/>
      <c r="AR1145" s="134"/>
      <c r="AS1145" s="134"/>
      <c r="AT1145" s="132"/>
      <c r="AU1145" s="133"/>
      <c r="AV1145" s="134"/>
    </row>
    <row r="1146" spans="1:48">
      <c r="A1146" s="74">
        <v>22590</v>
      </c>
      <c r="B1146" s="74" t="s">
        <v>228</v>
      </c>
      <c r="C1146" s="74">
        <v>4</v>
      </c>
      <c r="D1146" s="74">
        <v>3576</v>
      </c>
      <c r="E1146" s="73">
        <v>4.5000001788139343E-2</v>
      </c>
      <c r="F1146" s="73">
        <v>0.55000001192092896</v>
      </c>
      <c r="G1146" s="73">
        <v>9.0000003576278687E-2</v>
      </c>
      <c r="H1146" s="73">
        <v>0</v>
      </c>
      <c r="I1146" s="190">
        <v>1192.4649999999999</v>
      </c>
      <c r="J1146" s="134" t="str">
        <f t="shared" si="137"/>
        <v>keep</v>
      </c>
      <c r="K1146" s="134" t="str">
        <f t="shared" si="138"/>
        <v>R30</v>
      </c>
      <c r="L1146" s="134" t="str">
        <f t="shared" si="139"/>
        <v>R11</v>
      </c>
      <c r="M1146" s="146" t="str">
        <f t="shared" si="135"/>
        <v>Basement</v>
      </c>
      <c r="N1146" s="146" t="str">
        <f t="shared" si="136"/>
        <v>Better</v>
      </c>
      <c r="O1146" s="146" t="str">
        <f t="shared" si="140"/>
        <v>Electric ZonalR30R11BasementBetter</v>
      </c>
      <c r="P1146" s="134" t="str">
        <f t="shared" si="141"/>
        <v>Basement</v>
      </c>
      <c r="Q1146" s="134"/>
      <c r="R1146" s="134"/>
      <c r="S1146" s="134"/>
      <c r="T1146" s="134"/>
      <c r="U1146" s="134"/>
      <c r="V1146" s="134"/>
      <c r="W1146" s="134"/>
      <c r="X1146" s="134"/>
      <c r="Y1146" s="134"/>
      <c r="Z1146" s="134"/>
      <c r="AA1146" s="134"/>
      <c r="AB1146" s="134"/>
      <c r="AC1146" s="134"/>
      <c r="AD1146" s="134"/>
      <c r="AE1146" s="134"/>
      <c r="AF1146" s="146"/>
      <c r="AG1146" s="134"/>
      <c r="AH1146" s="134"/>
      <c r="AI1146" s="134"/>
      <c r="AJ1146" s="134"/>
      <c r="AK1146" s="134"/>
      <c r="AL1146" s="134"/>
      <c r="AM1146" s="146"/>
      <c r="AN1146" s="132"/>
      <c r="AO1146" s="132"/>
      <c r="AP1146" s="132"/>
      <c r="AQ1146" s="132"/>
      <c r="AR1146" s="134"/>
      <c r="AS1146" s="134"/>
      <c r="AT1146" s="132"/>
      <c r="AU1146" s="133"/>
      <c r="AV1146" s="134"/>
    </row>
    <row r="1147" spans="1:48">
      <c r="A1147" s="74">
        <v>22597</v>
      </c>
      <c r="B1147" s="74" t="s">
        <v>227</v>
      </c>
      <c r="C1147" s="74">
        <v>1</v>
      </c>
      <c r="D1147" s="74">
        <v>1012</v>
      </c>
      <c r="E1147" s="73">
        <v>7.0000000298023224E-2</v>
      </c>
      <c r="F1147" s="73">
        <v>0.85000002384185791</v>
      </c>
      <c r="G1147" s="73">
        <v>9.0000003576278687E-2</v>
      </c>
      <c r="H1147" s="73">
        <v>9.0000003576278687E-2</v>
      </c>
      <c r="I1147" s="190">
        <v>8264.9449999999997</v>
      </c>
      <c r="J1147" s="134" t="str">
        <f t="shared" si="137"/>
        <v>keep</v>
      </c>
      <c r="K1147" s="134" t="str">
        <f t="shared" si="138"/>
        <v>R19</v>
      </c>
      <c r="L1147" s="134" t="str">
        <f t="shared" si="139"/>
        <v>R11</v>
      </c>
      <c r="M1147" s="146" t="str">
        <f t="shared" si="135"/>
        <v>R0</v>
      </c>
      <c r="N1147" s="146" t="str">
        <f t="shared" si="136"/>
        <v>Double</v>
      </c>
      <c r="O1147" s="146" t="str">
        <f t="shared" si="140"/>
        <v>Electric FAFR19R11R0Double</v>
      </c>
      <c r="P1147" s="134" t="str">
        <f t="shared" si="141"/>
        <v>Crawlspace</v>
      </c>
      <c r="Q1147" s="134"/>
      <c r="R1147" s="134"/>
      <c r="S1147" s="134"/>
      <c r="T1147" s="134"/>
      <c r="U1147" s="134"/>
      <c r="V1147" s="134"/>
      <c r="W1147" s="134"/>
      <c r="X1147" s="134"/>
      <c r="Y1147" s="134"/>
      <c r="Z1147" s="134"/>
      <c r="AA1147" s="134"/>
      <c r="AB1147" s="134"/>
      <c r="AC1147" s="134"/>
      <c r="AD1147" s="134"/>
      <c r="AE1147" s="134"/>
      <c r="AF1147" s="146"/>
      <c r="AG1147" s="134"/>
      <c r="AH1147" s="134"/>
      <c r="AI1147" s="134"/>
      <c r="AJ1147" s="134"/>
      <c r="AK1147" s="134"/>
      <c r="AL1147" s="134"/>
      <c r="AM1147" s="146"/>
      <c r="AN1147" s="132"/>
      <c r="AO1147" s="132"/>
      <c r="AP1147" s="132"/>
      <c r="AQ1147" s="132"/>
      <c r="AR1147" s="134"/>
      <c r="AS1147" s="134"/>
      <c r="AT1147" s="132"/>
      <c r="AU1147" s="133"/>
      <c r="AV1147" s="134"/>
    </row>
    <row r="1148" spans="1:48">
      <c r="A1148" s="74">
        <v>22602</v>
      </c>
      <c r="B1148" s="74" t="s">
        <v>229</v>
      </c>
      <c r="C1148" s="74">
        <v>4</v>
      </c>
      <c r="D1148" s="74">
        <v>3238</v>
      </c>
      <c r="E1148" s="73">
        <v>2.500000037252903E-2</v>
      </c>
      <c r="F1148" s="73">
        <v>0.57161384305624174</v>
      </c>
      <c r="G1148" s="73">
        <v>5.9999998658895493E-2</v>
      </c>
      <c r="H1148" s="73">
        <v>0</v>
      </c>
      <c r="I1148" s="190">
        <v>1904.288</v>
      </c>
      <c r="J1148" s="134" t="str">
        <f t="shared" si="137"/>
        <v>keep</v>
      </c>
      <c r="K1148" s="134" t="str">
        <f t="shared" si="138"/>
        <v>R38</v>
      </c>
      <c r="L1148" s="134" t="str">
        <f t="shared" si="139"/>
        <v>R11</v>
      </c>
      <c r="M1148" s="146" t="str">
        <f t="shared" si="135"/>
        <v>Basement</v>
      </c>
      <c r="N1148" s="146" t="str">
        <f t="shared" si="136"/>
        <v>Better</v>
      </c>
      <c r="O1148" s="146" t="str">
        <f t="shared" si="140"/>
        <v>Heat PumpR38R11BasementBetter</v>
      </c>
      <c r="P1148" s="134" t="str">
        <f t="shared" si="141"/>
        <v>Basement</v>
      </c>
      <c r="Q1148" s="134"/>
      <c r="R1148" s="134"/>
      <c r="S1148" s="134"/>
      <c r="T1148" s="134"/>
      <c r="U1148" s="134"/>
      <c r="V1148" s="134"/>
      <c r="W1148" s="134"/>
      <c r="X1148" s="134"/>
      <c r="Y1148" s="134"/>
      <c r="Z1148" s="134"/>
      <c r="AA1148" s="134"/>
      <c r="AB1148" s="134"/>
      <c r="AC1148" s="134"/>
      <c r="AD1148" s="134"/>
      <c r="AE1148" s="134"/>
      <c r="AF1148" s="146"/>
      <c r="AG1148" s="134"/>
      <c r="AH1148" s="134"/>
      <c r="AI1148" s="134"/>
      <c r="AJ1148" s="134"/>
      <c r="AK1148" s="134"/>
      <c r="AL1148" s="134"/>
      <c r="AM1148" s="146"/>
      <c r="AN1148" s="132"/>
      <c r="AO1148" s="132"/>
      <c r="AP1148" s="132"/>
      <c r="AQ1148" s="132"/>
      <c r="AR1148" s="134"/>
      <c r="AS1148" s="134"/>
      <c r="AT1148" s="132"/>
      <c r="AU1148" s="133"/>
      <c r="AV1148" s="134"/>
    </row>
    <row r="1149" spans="1:48">
      <c r="A1149" s="74">
        <v>22612</v>
      </c>
      <c r="B1149" s="74" t="s">
        <v>228</v>
      </c>
      <c r="C1149" s="74">
        <v>1</v>
      </c>
      <c r="D1149" s="74">
        <v>1857</v>
      </c>
      <c r="E1149" s="73">
        <v>7.5000002980232239E-2</v>
      </c>
      <c r="F1149" s="73">
        <v>0.55000001192092896</v>
      </c>
      <c r="G1149" s="73">
        <v>5.9999998658895493E-2</v>
      </c>
      <c r="H1149" s="73">
        <v>6.4999997615814209E-2</v>
      </c>
      <c r="I1149" s="190">
        <v>3785.7640000000001</v>
      </c>
      <c r="J1149" s="134" t="str">
        <f t="shared" si="137"/>
        <v>keep</v>
      </c>
      <c r="K1149" s="134" t="str">
        <f t="shared" si="138"/>
        <v>R19</v>
      </c>
      <c r="L1149" s="134" t="str">
        <f t="shared" si="139"/>
        <v>R11</v>
      </c>
      <c r="M1149" s="146" t="str">
        <f t="shared" si="135"/>
        <v>R19</v>
      </c>
      <c r="N1149" s="146" t="str">
        <f t="shared" si="136"/>
        <v>Better</v>
      </c>
      <c r="O1149" s="146" t="str">
        <f t="shared" si="140"/>
        <v>Electric ZonalR19R11R19Better</v>
      </c>
      <c r="P1149" s="134" t="str">
        <f t="shared" si="141"/>
        <v>Crawlspace</v>
      </c>
      <c r="Q1149" s="134"/>
      <c r="R1149" s="134"/>
      <c r="S1149" s="134"/>
      <c r="T1149" s="134"/>
      <c r="U1149" s="134"/>
      <c r="V1149" s="134"/>
      <c r="W1149" s="134"/>
      <c r="X1149" s="134"/>
      <c r="Y1149" s="134"/>
      <c r="Z1149" s="134"/>
      <c r="AA1149" s="134"/>
      <c r="AB1149" s="134"/>
      <c r="AC1149" s="134"/>
      <c r="AD1149" s="134"/>
      <c r="AE1149" s="134"/>
      <c r="AF1149" s="146"/>
      <c r="AG1149" s="134"/>
      <c r="AH1149" s="134"/>
      <c r="AI1149" s="134"/>
      <c r="AJ1149" s="134"/>
      <c r="AK1149" s="134"/>
      <c r="AL1149" s="134"/>
      <c r="AM1149" s="146"/>
      <c r="AN1149" s="132"/>
      <c r="AO1149" s="132"/>
      <c r="AP1149" s="132"/>
      <c r="AQ1149" s="132"/>
      <c r="AR1149" s="134"/>
      <c r="AS1149" s="134"/>
      <c r="AT1149" s="132"/>
      <c r="AU1149" s="133"/>
      <c r="AV1149" s="134"/>
    </row>
    <row r="1150" spans="1:48">
      <c r="A1150" s="74">
        <v>22620</v>
      </c>
      <c r="B1150" s="74" t="s">
        <v>229</v>
      </c>
      <c r="C1150" s="74">
        <v>2</v>
      </c>
      <c r="D1150" s="74">
        <v>3486</v>
      </c>
      <c r="E1150" s="73">
        <v>0.10999999940395355</v>
      </c>
      <c r="F1150" s="73">
        <v>0.44999998807907104</v>
      </c>
      <c r="G1150" s="73">
        <v>4.5000001788139343E-2</v>
      </c>
      <c r="H1150" s="73">
        <v>0</v>
      </c>
      <c r="I1150" s="190">
        <v>2079.9929999999999</v>
      </c>
      <c r="J1150" s="134" t="str">
        <f t="shared" si="137"/>
        <v>keep</v>
      </c>
      <c r="K1150" s="134" t="str">
        <f t="shared" si="138"/>
        <v>R11</v>
      </c>
      <c r="L1150" s="134" t="str">
        <f t="shared" si="139"/>
        <v>R11</v>
      </c>
      <c r="M1150" s="146" t="str">
        <f t="shared" si="135"/>
        <v>Slab</v>
      </c>
      <c r="N1150" s="146" t="str">
        <f t="shared" si="136"/>
        <v>Better</v>
      </c>
      <c r="O1150" s="146" t="str">
        <f t="shared" si="140"/>
        <v>Heat PumpR11R11SlabBetter</v>
      </c>
      <c r="P1150" s="134" t="str">
        <f t="shared" si="141"/>
        <v>Slab</v>
      </c>
      <c r="Q1150" s="134"/>
      <c r="R1150" s="134"/>
      <c r="S1150" s="134"/>
      <c r="T1150" s="134"/>
      <c r="U1150" s="134"/>
      <c r="V1150" s="134"/>
      <c r="W1150" s="134"/>
      <c r="X1150" s="134"/>
      <c r="Y1150" s="134"/>
      <c r="Z1150" s="134"/>
      <c r="AA1150" s="134"/>
      <c r="AB1150" s="134"/>
      <c r="AC1150" s="134"/>
      <c r="AD1150" s="134"/>
      <c r="AE1150" s="134"/>
      <c r="AF1150" s="146"/>
      <c r="AG1150" s="134"/>
      <c r="AH1150" s="134"/>
      <c r="AI1150" s="134"/>
      <c r="AJ1150" s="134"/>
      <c r="AK1150" s="134"/>
      <c r="AL1150" s="134"/>
      <c r="AM1150" s="146"/>
      <c r="AN1150" s="132"/>
      <c r="AO1150" s="132"/>
      <c r="AP1150" s="132"/>
      <c r="AQ1150" s="132"/>
      <c r="AR1150" s="134"/>
      <c r="AS1150" s="134"/>
      <c r="AT1150" s="132"/>
      <c r="AU1150" s="133"/>
      <c r="AV1150" s="134"/>
    </row>
    <row r="1151" spans="1:48">
      <c r="A1151" s="74">
        <v>22632</v>
      </c>
      <c r="B1151" s="74" t="s">
        <v>228</v>
      </c>
      <c r="C1151" s="74">
        <v>1</v>
      </c>
      <c r="D1151" s="74">
        <v>856</v>
      </c>
      <c r="E1151" s="73">
        <v>7.9999998211860657E-2</v>
      </c>
      <c r="F1151" s="73">
        <v>0.44999998807907104</v>
      </c>
      <c r="G1151" s="73">
        <v>5.4999999701976776E-2</v>
      </c>
      <c r="H1151" s="73">
        <v>0.23000000417232513</v>
      </c>
      <c r="I1151" s="190">
        <v>1144.6790000000001</v>
      </c>
      <c r="J1151" s="134" t="str">
        <f t="shared" si="137"/>
        <v>keep</v>
      </c>
      <c r="K1151" s="134" t="str">
        <f t="shared" si="138"/>
        <v>R19</v>
      </c>
      <c r="L1151" s="134" t="str">
        <f t="shared" si="139"/>
        <v>R11</v>
      </c>
      <c r="M1151" s="146" t="str">
        <f t="shared" si="135"/>
        <v>R0</v>
      </c>
      <c r="N1151" s="146" t="str">
        <f t="shared" si="136"/>
        <v>Better</v>
      </c>
      <c r="O1151" s="146" t="str">
        <f t="shared" si="140"/>
        <v>Electric ZonalR19R11R0Better</v>
      </c>
      <c r="P1151" s="134" t="str">
        <f t="shared" si="141"/>
        <v>Crawlspace</v>
      </c>
      <c r="Q1151" s="134"/>
      <c r="R1151" s="134"/>
      <c r="S1151" s="134"/>
      <c r="T1151" s="134"/>
      <c r="U1151" s="134"/>
      <c r="V1151" s="134"/>
      <c r="W1151" s="134"/>
      <c r="X1151" s="134"/>
      <c r="Y1151" s="134"/>
      <c r="Z1151" s="134"/>
      <c r="AA1151" s="134"/>
      <c r="AB1151" s="134"/>
      <c r="AC1151" s="134"/>
      <c r="AD1151" s="134"/>
      <c r="AE1151" s="134"/>
      <c r="AF1151" s="146"/>
      <c r="AG1151" s="134"/>
      <c r="AH1151" s="134"/>
      <c r="AI1151" s="134"/>
      <c r="AJ1151" s="134"/>
      <c r="AK1151" s="134"/>
      <c r="AL1151" s="134"/>
      <c r="AM1151" s="146"/>
      <c r="AN1151" s="132"/>
      <c r="AO1151" s="132"/>
      <c r="AP1151" s="132"/>
      <c r="AQ1151" s="132"/>
      <c r="AR1151" s="134"/>
      <c r="AS1151" s="134"/>
      <c r="AT1151" s="132"/>
      <c r="AU1151" s="133"/>
      <c r="AV1151" s="134"/>
    </row>
    <row r="1152" spans="1:48">
      <c r="A1152" s="74">
        <v>22641</v>
      </c>
      <c r="B1152" s="74" t="s">
        <v>229</v>
      </c>
      <c r="C1152" s="74">
        <v>4</v>
      </c>
      <c r="D1152" s="74">
        <v>6414</v>
      </c>
      <c r="E1152" s="73">
        <v>1.9999999552965164E-2</v>
      </c>
      <c r="F1152" s="73">
        <v>0.2199999988079071</v>
      </c>
      <c r="G1152" s="73">
        <v>5.9999998658895493E-2</v>
      </c>
      <c r="H1152" s="73">
        <v>0</v>
      </c>
      <c r="I1152" s="190">
        <v>1144.6790000000001</v>
      </c>
      <c r="J1152" s="134" t="str">
        <f t="shared" si="137"/>
        <v>keep</v>
      </c>
      <c r="K1152" s="134" t="str">
        <f t="shared" si="138"/>
        <v>R38</v>
      </c>
      <c r="L1152" s="134" t="str">
        <f t="shared" si="139"/>
        <v>R11</v>
      </c>
      <c r="M1152" s="146" t="str">
        <f t="shared" si="135"/>
        <v>Basement</v>
      </c>
      <c r="N1152" s="146" t="str">
        <f t="shared" si="136"/>
        <v>Better</v>
      </c>
      <c r="O1152" s="146" t="str">
        <f t="shared" si="140"/>
        <v>Heat PumpR38R11BasementBetter</v>
      </c>
      <c r="P1152" s="134" t="str">
        <f t="shared" si="141"/>
        <v>Basement</v>
      </c>
      <c r="Q1152" s="134"/>
      <c r="R1152" s="134"/>
      <c r="S1152" s="134"/>
      <c r="T1152" s="134"/>
      <c r="U1152" s="134"/>
      <c r="V1152" s="134"/>
      <c r="W1152" s="134"/>
      <c r="X1152" s="134"/>
      <c r="Y1152" s="134"/>
      <c r="Z1152" s="134"/>
      <c r="AA1152" s="134"/>
      <c r="AB1152" s="134"/>
      <c r="AC1152" s="134"/>
      <c r="AD1152" s="134"/>
      <c r="AE1152" s="134"/>
      <c r="AF1152" s="146"/>
      <c r="AG1152" s="134"/>
      <c r="AH1152" s="134"/>
      <c r="AI1152" s="134"/>
      <c r="AJ1152" s="134"/>
      <c r="AK1152" s="134"/>
      <c r="AL1152" s="134"/>
      <c r="AM1152" s="146"/>
      <c r="AN1152" s="132"/>
      <c r="AO1152" s="132"/>
      <c r="AP1152" s="132"/>
      <c r="AQ1152" s="132"/>
      <c r="AR1152" s="134"/>
      <c r="AS1152" s="134"/>
      <c r="AT1152" s="132"/>
      <c r="AU1152" s="133"/>
      <c r="AV1152" s="134"/>
    </row>
    <row r="1153" spans="1:48">
      <c r="A1153" s="74">
        <v>22649</v>
      </c>
      <c r="B1153" s="74" t="s">
        <v>229</v>
      </c>
      <c r="C1153" s="74">
        <v>1</v>
      </c>
      <c r="D1153" s="74">
        <v>2092</v>
      </c>
      <c r="E1153" s="73">
        <v>2.500000037252903E-2</v>
      </c>
      <c r="F1153" s="73">
        <v>0.5386310996976087</v>
      </c>
      <c r="G1153" s="73">
        <v>5.9999998658895493E-2</v>
      </c>
      <c r="H1153" s="73">
        <v>7.7304013401098964E-2</v>
      </c>
      <c r="I1153" s="190">
        <v>1925.059</v>
      </c>
      <c r="J1153" s="134" t="str">
        <f t="shared" si="137"/>
        <v>keep</v>
      </c>
      <c r="K1153" s="134" t="str">
        <f t="shared" si="138"/>
        <v>R38</v>
      </c>
      <c r="L1153" s="134" t="str">
        <f t="shared" si="139"/>
        <v>R11</v>
      </c>
      <c r="M1153" s="146" t="str">
        <f t="shared" si="135"/>
        <v>R0</v>
      </c>
      <c r="N1153" s="146" t="str">
        <f t="shared" si="136"/>
        <v>Better</v>
      </c>
      <c r="O1153" s="146" t="str">
        <f t="shared" si="140"/>
        <v>Heat PumpR38R11R0Better</v>
      </c>
      <c r="P1153" s="134" t="str">
        <f t="shared" si="141"/>
        <v>Crawlspace</v>
      </c>
      <c r="Q1153" s="134"/>
      <c r="R1153" s="134"/>
      <c r="S1153" s="134"/>
      <c r="T1153" s="134"/>
      <c r="U1153" s="134"/>
      <c r="V1153" s="134"/>
      <c r="W1153" s="134"/>
      <c r="X1153" s="134"/>
      <c r="Y1153" s="134"/>
      <c r="Z1153" s="134"/>
      <c r="AA1153" s="134"/>
      <c r="AB1153" s="134"/>
      <c r="AC1153" s="134"/>
      <c r="AD1153" s="134"/>
      <c r="AE1153" s="134"/>
      <c r="AF1153" s="146"/>
      <c r="AG1153" s="134"/>
      <c r="AH1153" s="134"/>
      <c r="AI1153" s="134"/>
      <c r="AJ1153" s="134"/>
      <c r="AK1153" s="134"/>
      <c r="AL1153" s="134"/>
      <c r="AM1153" s="146"/>
      <c r="AN1153" s="132"/>
      <c r="AO1153" s="132"/>
      <c r="AP1153" s="132"/>
      <c r="AQ1153" s="132"/>
      <c r="AR1153" s="134"/>
      <c r="AS1153" s="134"/>
      <c r="AT1153" s="132"/>
      <c r="AU1153" s="133"/>
      <c r="AV1153" s="134"/>
    </row>
    <row r="1154" spans="1:48">
      <c r="A1154" s="74">
        <v>22652</v>
      </c>
      <c r="B1154" s="74" t="s">
        <v>229</v>
      </c>
      <c r="C1154" s="74">
        <v>1</v>
      </c>
      <c r="D1154" s="74">
        <v>2680</v>
      </c>
      <c r="E1154" s="73">
        <v>2.500000037252903E-2</v>
      </c>
      <c r="F1154" s="73">
        <v>0.55000001192092896</v>
      </c>
      <c r="G1154" s="73">
        <v>4.5000001788139343E-2</v>
      </c>
      <c r="H1154" s="73">
        <v>4.5000001788139343E-2</v>
      </c>
      <c r="I1154" s="190">
        <v>2079.9929999999999</v>
      </c>
      <c r="J1154" s="134" t="str">
        <f t="shared" si="137"/>
        <v>keep</v>
      </c>
      <c r="K1154" s="134" t="str">
        <f t="shared" si="138"/>
        <v>R38</v>
      </c>
      <c r="L1154" s="134" t="str">
        <f t="shared" si="139"/>
        <v>R11</v>
      </c>
      <c r="M1154" s="146" t="str">
        <f t="shared" si="135"/>
        <v>Better</v>
      </c>
      <c r="N1154" s="146" t="str">
        <f t="shared" si="136"/>
        <v>Better</v>
      </c>
      <c r="O1154" s="146" t="str">
        <f t="shared" si="140"/>
        <v>Heat PumpR38R11BetterBetter</v>
      </c>
      <c r="P1154" s="134" t="str">
        <f t="shared" si="141"/>
        <v>Crawlspace</v>
      </c>
      <c r="Q1154" s="134"/>
      <c r="R1154" s="134"/>
      <c r="S1154" s="134"/>
      <c r="T1154" s="134"/>
      <c r="U1154" s="134"/>
      <c r="V1154" s="134"/>
      <c r="W1154" s="134"/>
      <c r="X1154" s="134"/>
      <c r="Y1154" s="134"/>
      <c r="Z1154" s="134"/>
      <c r="AA1154" s="134"/>
      <c r="AB1154" s="134"/>
      <c r="AC1154" s="134"/>
      <c r="AD1154" s="134"/>
      <c r="AE1154" s="134"/>
      <c r="AF1154" s="146"/>
      <c r="AG1154" s="134"/>
      <c r="AH1154" s="134"/>
      <c r="AI1154" s="134"/>
      <c r="AJ1154" s="134"/>
      <c r="AK1154" s="134"/>
      <c r="AL1154" s="134"/>
      <c r="AM1154" s="146"/>
      <c r="AN1154" s="132"/>
      <c r="AO1154" s="132"/>
      <c r="AP1154" s="132"/>
      <c r="AQ1154" s="132"/>
      <c r="AR1154" s="134"/>
      <c r="AS1154" s="134"/>
      <c r="AT1154" s="132"/>
      <c r="AU1154" s="133"/>
      <c r="AV1154" s="134"/>
    </row>
    <row r="1155" spans="1:48">
      <c r="A1155" s="74">
        <v>22663</v>
      </c>
      <c r="B1155" s="74" t="s">
        <v>228</v>
      </c>
      <c r="C1155" s="74">
        <v>4</v>
      </c>
      <c r="D1155" s="74">
        <v>2222</v>
      </c>
      <c r="E1155" s="73">
        <v>0.17000000178813934</v>
      </c>
      <c r="F1155" s="73">
        <v>0.55000001192092896</v>
      </c>
      <c r="G1155" s="73">
        <v>0.23400000000000004</v>
      </c>
      <c r="H1155" s="73">
        <v>0</v>
      </c>
      <c r="I1155" s="190">
        <v>1904.288</v>
      </c>
      <c r="J1155" s="134" t="str">
        <f t="shared" si="137"/>
        <v>keep</v>
      </c>
      <c r="K1155" s="134" t="str">
        <f t="shared" si="138"/>
        <v>R0</v>
      </c>
      <c r="L1155" s="134" t="str">
        <f t="shared" si="139"/>
        <v>R0</v>
      </c>
      <c r="M1155" s="146" t="str">
        <f t="shared" si="135"/>
        <v>Basement</v>
      </c>
      <c r="N1155" s="146" t="str">
        <f t="shared" si="136"/>
        <v>Better</v>
      </c>
      <c r="O1155" s="146" t="str">
        <f t="shared" si="140"/>
        <v>Electric ZonalR0R0BasementBetter</v>
      </c>
      <c r="P1155" s="134" t="str">
        <f t="shared" si="141"/>
        <v>Basement</v>
      </c>
      <c r="Q1155" s="134"/>
      <c r="R1155" s="134"/>
      <c r="S1155" s="134"/>
      <c r="T1155" s="134"/>
      <c r="U1155" s="134"/>
      <c r="V1155" s="134"/>
      <c r="W1155" s="134"/>
      <c r="X1155" s="134"/>
      <c r="Y1155" s="134"/>
      <c r="Z1155" s="134"/>
      <c r="AA1155" s="134"/>
      <c r="AB1155" s="134"/>
      <c r="AC1155" s="134"/>
      <c r="AD1155" s="134"/>
      <c r="AE1155" s="134"/>
      <c r="AF1155" s="146"/>
      <c r="AG1155" s="134"/>
      <c r="AH1155" s="134"/>
      <c r="AI1155" s="134"/>
      <c r="AJ1155" s="134"/>
      <c r="AK1155" s="134"/>
      <c r="AL1155" s="134"/>
      <c r="AM1155" s="146"/>
      <c r="AN1155" s="132"/>
      <c r="AO1155" s="132"/>
      <c r="AP1155" s="132"/>
      <c r="AQ1155" s="132"/>
      <c r="AR1155" s="134"/>
      <c r="AS1155" s="134"/>
      <c r="AT1155" s="132"/>
      <c r="AU1155" s="133"/>
      <c r="AV1155" s="134"/>
    </row>
    <row r="1156" spans="1:48">
      <c r="A1156" s="74">
        <v>22671</v>
      </c>
      <c r="B1156" s="74" t="s">
        <v>228</v>
      </c>
      <c r="C1156" s="74">
        <v>1</v>
      </c>
      <c r="D1156" s="74">
        <v>1267</v>
      </c>
      <c r="E1156" s="73">
        <v>5.000000074505806E-2</v>
      </c>
      <c r="F1156" s="73">
        <v>1.1000000238418579</v>
      </c>
      <c r="G1156" s="73">
        <v>9.0000003576278687E-2</v>
      </c>
      <c r="H1156" s="73">
        <v>5.9999998658895493E-2</v>
      </c>
      <c r="I1156" s="190">
        <v>1612.692</v>
      </c>
      <c r="J1156" s="134" t="str">
        <f t="shared" si="137"/>
        <v>keep</v>
      </c>
      <c r="K1156" s="134" t="str">
        <f t="shared" si="138"/>
        <v>R30</v>
      </c>
      <c r="L1156" s="134" t="str">
        <f t="shared" si="139"/>
        <v>R11</v>
      </c>
      <c r="M1156" s="146" t="str">
        <f t="shared" si="135"/>
        <v>R19</v>
      </c>
      <c r="N1156" s="146" t="str">
        <f t="shared" si="136"/>
        <v>Single</v>
      </c>
      <c r="O1156" s="146" t="str">
        <f t="shared" si="140"/>
        <v>Electric ZonalR30R11R19Single</v>
      </c>
      <c r="P1156" s="134" t="str">
        <f t="shared" si="141"/>
        <v>Crawlspace</v>
      </c>
      <c r="Q1156" s="134"/>
      <c r="R1156" s="134"/>
      <c r="S1156" s="134"/>
      <c r="T1156" s="134"/>
      <c r="U1156" s="134"/>
      <c r="V1156" s="134"/>
      <c r="W1156" s="134"/>
      <c r="X1156" s="134"/>
      <c r="Y1156" s="134"/>
      <c r="Z1156" s="134"/>
      <c r="AA1156" s="134"/>
      <c r="AB1156" s="134"/>
      <c r="AC1156" s="134"/>
      <c r="AD1156" s="134"/>
      <c r="AE1156" s="134"/>
      <c r="AF1156" s="146"/>
      <c r="AG1156" s="134"/>
      <c r="AH1156" s="134"/>
      <c r="AI1156" s="134"/>
      <c r="AJ1156" s="134"/>
      <c r="AK1156" s="134"/>
      <c r="AL1156" s="134"/>
      <c r="AM1156" s="146"/>
      <c r="AN1156" s="132"/>
      <c r="AO1156" s="132"/>
      <c r="AP1156" s="132"/>
      <c r="AQ1156" s="132"/>
      <c r="AR1156" s="134"/>
      <c r="AS1156" s="134"/>
      <c r="AT1156" s="132"/>
      <c r="AU1156" s="133"/>
      <c r="AV1156" s="134"/>
    </row>
    <row r="1157" spans="1:48">
      <c r="A1157" s="74">
        <v>22683</v>
      </c>
      <c r="B1157" s="74" t="s">
        <v>228</v>
      </c>
      <c r="C1157" s="74">
        <v>2</v>
      </c>
      <c r="D1157" s="74">
        <v>858</v>
      </c>
      <c r="E1157" s="73">
        <v>7.9999998211860657E-2</v>
      </c>
      <c r="F1157" s="73">
        <v>0.55000001192092896</v>
      </c>
      <c r="G1157" s="73">
        <v>0.23400000000000001</v>
      </c>
      <c r="H1157" s="73">
        <v>0</v>
      </c>
      <c r="I1157" s="190">
        <v>2079.9929999999999</v>
      </c>
      <c r="J1157" s="134" t="str">
        <f t="shared" si="137"/>
        <v>keep</v>
      </c>
      <c r="K1157" s="134" t="str">
        <f t="shared" si="138"/>
        <v>R19</v>
      </c>
      <c r="L1157" s="134" t="str">
        <f t="shared" si="139"/>
        <v>R0</v>
      </c>
      <c r="M1157" s="146" t="str">
        <f t="shared" si="135"/>
        <v>Slab</v>
      </c>
      <c r="N1157" s="146" t="str">
        <f t="shared" si="136"/>
        <v>Better</v>
      </c>
      <c r="O1157" s="146" t="str">
        <f t="shared" si="140"/>
        <v>Electric ZonalR19R0SlabBetter</v>
      </c>
      <c r="P1157" s="134" t="str">
        <f t="shared" si="141"/>
        <v>Slab</v>
      </c>
      <c r="Q1157" s="134"/>
      <c r="R1157" s="134"/>
      <c r="S1157" s="134"/>
      <c r="T1157" s="134"/>
      <c r="U1157" s="134"/>
      <c r="V1157" s="134"/>
      <c r="W1157" s="134"/>
      <c r="X1157" s="134"/>
      <c r="Y1157" s="134"/>
      <c r="Z1157" s="134"/>
      <c r="AA1157" s="134"/>
      <c r="AB1157" s="134"/>
      <c r="AC1157" s="134"/>
      <c r="AD1157" s="134"/>
      <c r="AE1157" s="134"/>
      <c r="AF1157" s="146"/>
      <c r="AG1157" s="134"/>
      <c r="AH1157" s="134"/>
      <c r="AI1157" s="134"/>
      <c r="AJ1157" s="134"/>
      <c r="AK1157" s="134"/>
      <c r="AL1157" s="134"/>
      <c r="AM1157" s="146"/>
      <c r="AN1157" s="132"/>
      <c r="AO1157" s="132"/>
      <c r="AP1157" s="132"/>
      <c r="AQ1157" s="132"/>
      <c r="AR1157" s="134"/>
      <c r="AS1157" s="134"/>
      <c r="AT1157" s="132"/>
      <c r="AU1157" s="133"/>
      <c r="AV1157" s="134"/>
    </row>
    <row r="1158" spans="1:48">
      <c r="A1158" s="74">
        <v>22694</v>
      </c>
      <c r="B1158" s="74" t="s">
        <v>227</v>
      </c>
      <c r="C1158" s="74">
        <v>1</v>
      </c>
      <c r="D1158" s="74">
        <v>1600</v>
      </c>
      <c r="E1158" s="73">
        <v>3.5000000149011612E-2</v>
      </c>
      <c r="F1158" s="73">
        <v>1.1000000238418579</v>
      </c>
      <c r="G1158" s="73">
        <v>0.11999999731779099</v>
      </c>
      <c r="H1158" s="73">
        <v>0.14000000059604645</v>
      </c>
      <c r="I1158" s="190">
        <v>2079.9929999999999</v>
      </c>
      <c r="J1158" s="134" t="str">
        <f t="shared" si="137"/>
        <v>keep</v>
      </c>
      <c r="K1158" s="134" t="str">
        <f t="shared" si="138"/>
        <v>R38</v>
      </c>
      <c r="L1158" s="134" t="str">
        <f t="shared" si="139"/>
        <v>R11</v>
      </c>
      <c r="M1158" s="146" t="str">
        <f t="shared" si="135"/>
        <v>R0</v>
      </c>
      <c r="N1158" s="146" t="str">
        <f t="shared" si="136"/>
        <v>Single</v>
      </c>
      <c r="O1158" s="146" t="str">
        <f t="shared" si="140"/>
        <v>Electric FAFR38R11R0Single</v>
      </c>
      <c r="P1158" s="134" t="str">
        <f t="shared" si="141"/>
        <v>Crawlspace</v>
      </c>
      <c r="Q1158" s="134"/>
      <c r="R1158" s="134"/>
      <c r="S1158" s="134"/>
      <c r="T1158" s="134"/>
      <c r="U1158" s="134"/>
      <c r="V1158" s="134"/>
      <c r="W1158" s="134"/>
      <c r="X1158" s="134"/>
      <c r="Y1158" s="134"/>
      <c r="Z1158" s="134"/>
      <c r="AA1158" s="134"/>
      <c r="AB1158" s="134"/>
      <c r="AC1158" s="134"/>
      <c r="AD1158" s="134"/>
      <c r="AE1158" s="134"/>
      <c r="AF1158" s="146"/>
      <c r="AG1158" s="134"/>
      <c r="AH1158" s="134"/>
      <c r="AI1158" s="134"/>
      <c r="AJ1158" s="134"/>
      <c r="AK1158" s="134"/>
      <c r="AL1158" s="134"/>
      <c r="AM1158" s="146"/>
      <c r="AN1158" s="132"/>
      <c r="AO1158" s="132"/>
      <c r="AP1158" s="132"/>
      <c r="AQ1158" s="132"/>
      <c r="AR1158" s="134"/>
      <c r="AS1158" s="134"/>
      <c r="AT1158" s="132"/>
      <c r="AU1158" s="133"/>
      <c r="AV1158" s="134"/>
    </row>
    <row r="1159" spans="1:48">
      <c r="A1159" s="74">
        <v>22699</v>
      </c>
      <c r="B1159" s="74" t="s">
        <v>229</v>
      </c>
      <c r="C1159" s="74">
        <v>1</v>
      </c>
      <c r="D1159" s="74">
        <v>1760</v>
      </c>
      <c r="E1159" s="73">
        <v>4.2007721068776253E-2</v>
      </c>
      <c r="F1159" s="73">
        <v>0.56948053217553474</v>
      </c>
      <c r="G1159" s="73">
        <v>9.0000003576278687E-2</v>
      </c>
      <c r="H1159" s="73">
        <v>0.14000000059604645</v>
      </c>
      <c r="I1159" s="190">
        <v>1612.692</v>
      </c>
      <c r="J1159" s="134" t="str">
        <f t="shared" si="137"/>
        <v>keep</v>
      </c>
      <c r="K1159" s="134" t="str">
        <f t="shared" si="138"/>
        <v>R30</v>
      </c>
      <c r="L1159" s="134" t="str">
        <f t="shared" si="139"/>
        <v>R11</v>
      </c>
      <c r="M1159" s="146" t="str">
        <f t="shared" si="135"/>
        <v>R0</v>
      </c>
      <c r="N1159" s="146" t="str">
        <f t="shared" si="136"/>
        <v>Better</v>
      </c>
      <c r="O1159" s="146" t="str">
        <f t="shared" si="140"/>
        <v>Heat PumpR30R11R0Better</v>
      </c>
      <c r="P1159" s="134" t="str">
        <f t="shared" si="141"/>
        <v>Crawlspace</v>
      </c>
      <c r="Q1159" s="134"/>
      <c r="R1159" s="134"/>
      <c r="S1159" s="134"/>
      <c r="T1159" s="134"/>
      <c r="U1159" s="134"/>
      <c r="V1159" s="134"/>
      <c r="W1159" s="134"/>
      <c r="X1159" s="134"/>
      <c r="Y1159" s="134"/>
      <c r="Z1159" s="134"/>
      <c r="AA1159" s="134"/>
      <c r="AB1159" s="134"/>
      <c r="AC1159" s="134"/>
      <c r="AD1159" s="134"/>
      <c r="AE1159" s="134"/>
      <c r="AF1159" s="146"/>
      <c r="AG1159" s="134"/>
      <c r="AH1159" s="134"/>
      <c r="AI1159" s="134"/>
      <c r="AJ1159" s="134"/>
      <c r="AK1159" s="134"/>
      <c r="AL1159" s="134"/>
      <c r="AM1159" s="146"/>
      <c r="AN1159" s="132"/>
      <c r="AO1159" s="132"/>
      <c r="AP1159" s="132"/>
      <c r="AQ1159" s="132"/>
      <c r="AR1159" s="134"/>
      <c r="AS1159" s="134"/>
      <c r="AT1159" s="132"/>
      <c r="AU1159" s="133"/>
      <c r="AV1159" s="134"/>
    </row>
    <row r="1160" spans="1:48">
      <c r="A1160" s="74">
        <v>22701</v>
      </c>
      <c r="B1160" s="74" t="s">
        <v>229</v>
      </c>
      <c r="C1160" s="74">
        <v>4</v>
      </c>
      <c r="D1160" s="74">
        <v>2368</v>
      </c>
      <c r="E1160" s="73">
        <v>0.37000000476837153</v>
      </c>
      <c r="F1160" s="73">
        <v>0.94999998807907104</v>
      </c>
      <c r="G1160" s="73">
        <v>0.23000000417232516</v>
      </c>
      <c r="H1160" s="73">
        <v>0</v>
      </c>
      <c r="I1160" s="190">
        <v>1925.059</v>
      </c>
      <c r="J1160" s="134" t="str">
        <f t="shared" si="137"/>
        <v>keep</v>
      </c>
      <c r="K1160" s="134" t="str">
        <f t="shared" si="138"/>
        <v>R0</v>
      </c>
      <c r="L1160" s="134" t="str">
        <f t="shared" si="139"/>
        <v>R0</v>
      </c>
      <c r="M1160" s="146" t="str">
        <f t="shared" si="135"/>
        <v>Basement</v>
      </c>
      <c r="N1160" s="146" t="str">
        <f t="shared" si="136"/>
        <v>Double</v>
      </c>
      <c r="O1160" s="146" t="str">
        <f t="shared" si="140"/>
        <v>Heat PumpR0R0BasementDouble</v>
      </c>
      <c r="P1160" s="134" t="str">
        <f t="shared" si="141"/>
        <v>Basement</v>
      </c>
      <c r="Q1160" s="134"/>
      <c r="R1160" s="134"/>
      <c r="S1160" s="134"/>
      <c r="T1160" s="134"/>
      <c r="U1160" s="134"/>
      <c r="V1160" s="134"/>
      <c r="W1160" s="134"/>
      <c r="X1160" s="134"/>
      <c r="Y1160" s="134"/>
      <c r="Z1160" s="134"/>
      <c r="AA1160" s="134"/>
      <c r="AB1160" s="134"/>
      <c r="AC1160" s="134"/>
      <c r="AD1160" s="134"/>
      <c r="AE1160" s="134"/>
      <c r="AF1160" s="146"/>
      <c r="AG1160" s="134"/>
      <c r="AH1160" s="134"/>
      <c r="AI1160" s="134"/>
      <c r="AJ1160" s="134"/>
      <c r="AK1160" s="134"/>
      <c r="AL1160" s="134"/>
      <c r="AM1160" s="146"/>
      <c r="AN1160" s="132"/>
      <c r="AO1160" s="132"/>
      <c r="AP1160" s="132"/>
      <c r="AQ1160" s="132"/>
      <c r="AR1160" s="134"/>
      <c r="AS1160" s="134"/>
      <c r="AT1160" s="132"/>
      <c r="AU1160" s="133"/>
      <c r="AV1160" s="134"/>
    </row>
    <row r="1161" spans="1:48">
      <c r="A1161" s="74">
        <v>22702</v>
      </c>
      <c r="B1161" s="74" t="s">
        <v>229</v>
      </c>
      <c r="C1161" s="74">
        <v>1</v>
      </c>
      <c r="D1161" s="74">
        <v>3565</v>
      </c>
      <c r="E1161" s="73">
        <v>2.500000037252903E-2</v>
      </c>
      <c r="F1161" s="73">
        <v>0.55457185626202987</v>
      </c>
      <c r="G1161" s="73">
        <v>5.9999998658895493E-2</v>
      </c>
      <c r="H1161" s="73">
        <v>4.5000001788139343E-2</v>
      </c>
      <c r="I1161" s="190">
        <v>4360.1880000000001</v>
      </c>
      <c r="J1161" s="134" t="str">
        <f t="shared" si="137"/>
        <v>keep</v>
      </c>
      <c r="K1161" s="134" t="str">
        <f t="shared" si="138"/>
        <v>R38</v>
      </c>
      <c r="L1161" s="134" t="str">
        <f t="shared" si="139"/>
        <v>R11</v>
      </c>
      <c r="M1161" s="146" t="str">
        <f t="shared" si="135"/>
        <v>Better</v>
      </c>
      <c r="N1161" s="146" t="str">
        <f t="shared" si="136"/>
        <v>Better</v>
      </c>
      <c r="O1161" s="146" t="str">
        <f t="shared" si="140"/>
        <v>Heat PumpR38R11BetterBetter</v>
      </c>
      <c r="P1161" s="134" t="str">
        <f t="shared" si="141"/>
        <v>Crawlspace</v>
      </c>
      <c r="Q1161" s="134"/>
      <c r="R1161" s="134"/>
      <c r="S1161" s="134"/>
      <c r="T1161" s="134"/>
      <c r="U1161" s="134"/>
      <c r="V1161" s="134"/>
      <c r="W1161" s="134"/>
      <c r="X1161" s="134"/>
      <c r="Y1161" s="134"/>
      <c r="Z1161" s="134"/>
      <c r="AA1161" s="134"/>
      <c r="AB1161" s="134"/>
      <c r="AC1161" s="134"/>
      <c r="AD1161" s="134"/>
      <c r="AE1161" s="134"/>
      <c r="AF1161" s="146"/>
      <c r="AG1161" s="134"/>
      <c r="AH1161" s="134"/>
      <c r="AI1161" s="134"/>
      <c r="AJ1161" s="134"/>
      <c r="AK1161" s="134"/>
      <c r="AL1161" s="134"/>
      <c r="AM1161" s="146"/>
      <c r="AN1161" s="132"/>
      <c r="AO1161" s="132"/>
      <c r="AP1161" s="132"/>
      <c r="AQ1161" s="132"/>
      <c r="AR1161" s="134"/>
      <c r="AS1161" s="134"/>
      <c r="AT1161" s="132"/>
      <c r="AU1161" s="133"/>
      <c r="AV1161" s="134"/>
    </row>
    <row r="1162" spans="1:48">
      <c r="A1162" s="74">
        <v>22724</v>
      </c>
      <c r="B1162" s="74" t="s">
        <v>228</v>
      </c>
      <c r="C1162" s="74">
        <v>2</v>
      </c>
      <c r="D1162" s="74">
        <v>641</v>
      </c>
      <c r="E1162" s="73">
        <v>2.500000037252903E-2</v>
      </c>
      <c r="F1162" s="73">
        <v>0.60000002384185791</v>
      </c>
      <c r="G1162" s="73">
        <v>5.9999998658895493E-2</v>
      </c>
      <c r="H1162" s="73">
        <v>0</v>
      </c>
      <c r="I1162" s="190">
        <v>3785.7640000000001</v>
      </c>
      <c r="J1162" s="134" t="str">
        <f t="shared" si="137"/>
        <v>keep</v>
      </c>
      <c r="K1162" s="134" t="str">
        <f t="shared" si="138"/>
        <v>R38</v>
      </c>
      <c r="L1162" s="134" t="str">
        <f t="shared" si="139"/>
        <v>R11</v>
      </c>
      <c r="M1162" s="146" t="str">
        <f t="shared" si="135"/>
        <v>Slab</v>
      </c>
      <c r="N1162" s="146" t="str">
        <f t="shared" si="136"/>
        <v>Better</v>
      </c>
      <c r="O1162" s="146" t="str">
        <f t="shared" si="140"/>
        <v>Electric ZonalR38R11SlabBetter</v>
      </c>
      <c r="P1162" s="134" t="str">
        <f t="shared" si="141"/>
        <v>Slab</v>
      </c>
      <c r="Q1162" s="134"/>
      <c r="R1162" s="134"/>
      <c r="S1162" s="134"/>
      <c r="T1162" s="134"/>
      <c r="U1162" s="134"/>
      <c r="V1162" s="134"/>
      <c r="W1162" s="134"/>
      <c r="X1162" s="134"/>
      <c r="Y1162" s="134"/>
      <c r="Z1162" s="134"/>
      <c r="AA1162" s="134"/>
      <c r="AB1162" s="134"/>
      <c r="AC1162" s="134"/>
      <c r="AD1162" s="134"/>
      <c r="AE1162" s="134"/>
      <c r="AF1162" s="146"/>
      <c r="AG1162" s="134"/>
      <c r="AH1162" s="134"/>
      <c r="AI1162" s="134"/>
      <c r="AJ1162" s="134"/>
      <c r="AK1162" s="134"/>
      <c r="AL1162" s="134"/>
      <c r="AM1162" s="146"/>
      <c r="AN1162" s="132"/>
      <c r="AO1162" s="132"/>
      <c r="AP1162" s="132"/>
      <c r="AQ1162" s="132"/>
      <c r="AR1162" s="134"/>
      <c r="AS1162" s="134"/>
      <c r="AT1162" s="132"/>
      <c r="AU1162" s="133"/>
      <c r="AV1162" s="134"/>
    </row>
    <row r="1163" spans="1:48">
      <c r="A1163" s="74">
        <v>22739</v>
      </c>
      <c r="B1163" s="74" t="s">
        <v>227</v>
      </c>
      <c r="C1163" s="74">
        <v>4</v>
      </c>
      <c r="D1163" s="74">
        <v>2280</v>
      </c>
      <c r="E1163" s="73">
        <v>2.500000037252903E-2</v>
      </c>
      <c r="F1163" s="73">
        <v>0.60000002384185791</v>
      </c>
      <c r="G1163" s="73">
        <v>9.0000003576278687E-2</v>
      </c>
      <c r="H1163" s="73">
        <v>0</v>
      </c>
      <c r="I1163" s="190">
        <v>1192.4649999999999</v>
      </c>
      <c r="J1163" s="134" t="str">
        <f t="shared" si="137"/>
        <v>keep</v>
      </c>
      <c r="K1163" s="134" t="str">
        <f t="shared" si="138"/>
        <v>R38</v>
      </c>
      <c r="L1163" s="134" t="str">
        <f t="shared" si="139"/>
        <v>R11</v>
      </c>
      <c r="M1163" s="146" t="str">
        <f t="shared" si="135"/>
        <v>Basement</v>
      </c>
      <c r="N1163" s="146" t="str">
        <f t="shared" si="136"/>
        <v>Better</v>
      </c>
      <c r="O1163" s="146" t="str">
        <f t="shared" si="140"/>
        <v>Electric FAFR38R11BasementBetter</v>
      </c>
      <c r="P1163" s="134" t="str">
        <f t="shared" si="141"/>
        <v>Basement</v>
      </c>
      <c r="Q1163" s="134"/>
      <c r="R1163" s="134"/>
      <c r="S1163" s="134"/>
      <c r="T1163" s="134"/>
      <c r="U1163" s="134"/>
      <c r="V1163" s="134"/>
      <c r="W1163" s="134"/>
      <c r="X1163" s="134"/>
      <c r="Y1163" s="134"/>
      <c r="Z1163" s="134"/>
      <c r="AA1163" s="134"/>
      <c r="AB1163" s="134"/>
      <c r="AC1163" s="134"/>
      <c r="AD1163" s="134"/>
      <c r="AE1163" s="134"/>
      <c r="AF1163" s="146"/>
      <c r="AG1163" s="134"/>
      <c r="AH1163" s="134"/>
      <c r="AI1163" s="134"/>
      <c r="AJ1163" s="134"/>
      <c r="AK1163" s="134"/>
      <c r="AL1163" s="134"/>
      <c r="AM1163" s="146"/>
      <c r="AN1163" s="132"/>
      <c r="AO1163" s="132"/>
      <c r="AP1163" s="132"/>
      <c r="AQ1163" s="132"/>
      <c r="AR1163" s="134"/>
      <c r="AS1163" s="134"/>
      <c r="AT1163" s="132"/>
      <c r="AU1163" s="133"/>
      <c r="AV1163" s="134"/>
    </row>
    <row r="1164" spans="1:48">
      <c r="A1164" s="74">
        <v>22767</v>
      </c>
      <c r="B1164" s="74" t="s">
        <v>229</v>
      </c>
      <c r="C1164" s="74">
        <v>1</v>
      </c>
      <c r="D1164" s="74">
        <v>2431</v>
      </c>
      <c r="E1164" s="73">
        <v>9.4999998807907104E-2</v>
      </c>
      <c r="F1164" s="73">
        <v>0.55000001192092896</v>
      </c>
      <c r="G1164" s="73">
        <v>0.23400000000000001</v>
      </c>
      <c r="H1164" s="73">
        <v>0.10000000149011612</v>
      </c>
      <c r="I1164" s="190">
        <v>2079.9929999999999</v>
      </c>
      <c r="J1164" s="134" t="str">
        <f t="shared" si="137"/>
        <v>keep</v>
      </c>
      <c r="K1164" s="134" t="str">
        <f t="shared" si="138"/>
        <v>R11</v>
      </c>
      <c r="L1164" s="134" t="str">
        <f t="shared" si="139"/>
        <v>R0</v>
      </c>
      <c r="M1164" s="146" t="str">
        <f t="shared" si="135"/>
        <v>R0</v>
      </c>
      <c r="N1164" s="146" t="str">
        <f t="shared" si="136"/>
        <v>Better</v>
      </c>
      <c r="O1164" s="146" t="str">
        <f t="shared" si="140"/>
        <v>Heat PumpR11R0R0Better</v>
      </c>
      <c r="P1164" s="134" t="str">
        <f t="shared" si="141"/>
        <v>Crawlspace</v>
      </c>
      <c r="Q1164" s="134"/>
      <c r="R1164" s="134"/>
      <c r="S1164" s="134"/>
      <c r="T1164" s="134"/>
      <c r="U1164" s="134"/>
      <c r="V1164" s="134"/>
      <c r="W1164" s="134"/>
      <c r="X1164" s="134"/>
      <c r="Y1164" s="134"/>
      <c r="Z1164" s="134"/>
      <c r="AA1164" s="134"/>
      <c r="AB1164" s="134"/>
      <c r="AC1164" s="134"/>
      <c r="AD1164" s="134"/>
      <c r="AE1164" s="134"/>
      <c r="AF1164" s="146"/>
      <c r="AG1164" s="134"/>
      <c r="AH1164" s="134"/>
      <c r="AI1164" s="134"/>
      <c r="AJ1164" s="134"/>
      <c r="AK1164" s="134"/>
      <c r="AL1164" s="134"/>
      <c r="AM1164" s="146"/>
      <c r="AN1164" s="132"/>
      <c r="AO1164" s="132"/>
      <c r="AP1164" s="132"/>
      <c r="AQ1164" s="132"/>
      <c r="AR1164" s="134"/>
      <c r="AS1164" s="134"/>
      <c r="AT1164" s="132"/>
      <c r="AU1164" s="133"/>
      <c r="AV1164" s="134"/>
    </row>
    <row r="1165" spans="1:48">
      <c r="A1165" s="74">
        <v>22785</v>
      </c>
      <c r="B1165" s="74" t="s">
        <v>228</v>
      </c>
      <c r="C1165" s="74">
        <v>1</v>
      </c>
      <c r="D1165" s="74">
        <v>930</v>
      </c>
      <c r="E1165" s="73">
        <v>0.37000000476837153</v>
      </c>
      <c r="F1165" s="73">
        <v>0.85000002384185791</v>
      </c>
      <c r="G1165" s="73">
        <v>0.16310769406832185</v>
      </c>
      <c r="H1165" s="73">
        <v>0.23000000417232513</v>
      </c>
      <c r="I1165" s="190">
        <v>2079.9929999999999</v>
      </c>
      <c r="J1165" s="134" t="str">
        <f t="shared" si="137"/>
        <v>keep</v>
      </c>
      <c r="K1165" s="134" t="str">
        <f t="shared" si="138"/>
        <v>R0</v>
      </c>
      <c r="L1165" s="134" t="str">
        <f t="shared" si="139"/>
        <v>R11</v>
      </c>
      <c r="M1165" s="146" t="str">
        <f t="shared" si="135"/>
        <v>R0</v>
      </c>
      <c r="N1165" s="146" t="str">
        <f t="shared" si="136"/>
        <v>Double</v>
      </c>
      <c r="O1165" s="146" t="str">
        <f t="shared" si="140"/>
        <v>Electric ZonalR0R11R0Double</v>
      </c>
      <c r="P1165" s="134" t="str">
        <f t="shared" si="141"/>
        <v>Crawlspace</v>
      </c>
      <c r="Q1165" s="134"/>
      <c r="R1165" s="134"/>
      <c r="S1165" s="134"/>
      <c r="T1165" s="134"/>
      <c r="U1165" s="134"/>
      <c r="V1165" s="134"/>
      <c r="W1165" s="134"/>
      <c r="X1165" s="134"/>
      <c r="Y1165" s="134"/>
      <c r="Z1165" s="134"/>
      <c r="AA1165" s="134"/>
      <c r="AB1165" s="134"/>
      <c r="AC1165" s="134"/>
      <c r="AD1165" s="134"/>
      <c r="AE1165" s="134"/>
      <c r="AF1165" s="146"/>
      <c r="AG1165" s="134"/>
      <c r="AH1165" s="134"/>
      <c r="AI1165" s="134"/>
      <c r="AJ1165" s="134"/>
      <c r="AK1165" s="134"/>
      <c r="AL1165" s="134"/>
      <c r="AM1165" s="146"/>
      <c r="AN1165" s="132"/>
      <c r="AO1165" s="132"/>
      <c r="AP1165" s="132"/>
      <c r="AQ1165" s="132"/>
      <c r="AR1165" s="134"/>
      <c r="AS1165" s="134"/>
      <c r="AT1165" s="132"/>
      <c r="AU1165" s="133"/>
      <c r="AV1165" s="134"/>
    </row>
    <row r="1166" spans="1:48">
      <c r="A1166" s="74">
        <v>22822</v>
      </c>
      <c r="B1166" s="74" t="s">
        <v>228</v>
      </c>
      <c r="C1166" s="74">
        <v>3</v>
      </c>
      <c r="D1166" s="74">
        <v>689</v>
      </c>
      <c r="E1166" s="73" t="e">
        <v>#VALUE!</v>
      </c>
      <c r="F1166" s="73">
        <v>0.85000002384185791</v>
      </c>
      <c r="G1166" s="73">
        <v>9.0000003576278687E-2</v>
      </c>
      <c r="H1166" s="73">
        <v>8.5000000894069672E-2</v>
      </c>
      <c r="I1166" s="190">
        <v>1904.288</v>
      </c>
      <c r="J1166" s="134" t="str">
        <f t="shared" si="137"/>
        <v>ignore</v>
      </c>
      <c r="K1166" s="134" t="e">
        <f t="shared" si="138"/>
        <v>#VALUE!</v>
      </c>
      <c r="L1166" s="134" t="str">
        <f t="shared" si="139"/>
        <v>R11</v>
      </c>
      <c r="M1166" s="146" t="str">
        <f t="shared" si="135"/>
        <v>Basement</v>
      </c>
      <c r="N1166" s="146" t="str">
        <f t="shared" si="136"/>
        <v>Double</v>
      </c>
      <c r="O1166" s="146" t="e">
        <f t="shared" si="140"/>
        <v>#VALUE!</v>
      </c>
      <c r="P1166" s="134" t="str">
        <f t="shared" si="141"/>
        <v>Basement</v>
      </c>
      <c r="Q1166" s="134"/>
      <c r="R1166" s="134"/>
      <c r="S1166" s="134"/>
      <c r="T1166" s="134"/>
      <c r="U1166" s="134"/>
      <c r="V1166" s="134"/>
      <c r="W1166" s="134"/>
      <c r="X1166" s="134"/>
      <c r="Y1166" s="134"/>
      <c r="Z1166" s="134"/>
      <c r="AA1166" s="134"/>
      <c r="AB1166" s="134"/>
      <c r="AC1166" s="134"/>
      <c r="AD1166" s="134"/>
      <c r="AE1166" s="134"/>
      <c r="AF1166" s="146"/>
      <c r="AG1166" s="134"/>
      <c r="AH1166" s="134"/>
      <c r="AI1166" s="134"/>
      <c r="AJ1166" s="134"/>
      <c r="AK1166" s="134"/>
      <c r="AL1166" s="134"/>
      <c r="AM1166" s="146"/>
      <c r="AN1166" s="132"/>
      <c r="AO1166" s="132"/>
      <c r="AP1166" s="132"/>
      <c r="AQ1166" s="132"/>
      <c r="AR1166" s="134"/>
      <c r="AS1166" s="134"/>
      <c r="AT1166" s="132"/>
      <c r="AU1166" s="133"/>
      <c r="AV1166" s="134"/>
    </row>
    <row r="1167" spans="1:48">
      <c r="A1167" s="74">
        <v>22832</v>
      </c>
      <c r="B1167" s="74" t="s">
        <v>229</v>
      </c>
      <c r="C1167" s="74" t="s">
        <v>673</v>
      </c>
      <c r="D1167" s="74">
        <v>1286</v>
      </c>
      <c r="E1167" s="73">
        <v>6.0478026074635219E-2</v>
      </c>
      <c r="F1167" s="73">
        <v>0.56717173318670255</v>
      </c>
      <c r="G1167" s="73">
        <v>9.0000003576278687E-2</v>
      </c>
      <c r="H1167" s="73">
        <v>6.4999997615814209E-2</v>
      </c>
      <c r="I1167" s="190">
        <v>1612.692</v>
      </c>
      <c r="J1167" s="134" t="str">
        <f t="shared" si="137"/>
        <v>ignore</v>
      </c>
      <c r="K1167" s="134" t="str">
        <f t="shared" si="138"/>
        <v>R19</v>
      </c>
      <c r="L1167" s="134" t="str">
        <f t="shared" si="139"/>
        <v>R11</v>
      </c>
      <c r="M1167" s="146" t="str">
        <f t="shared" si="135"/>
        <v>R19</v>
      </c>
      <c r="N1167" s="146" t="str">
        <f t="shared" si="136"/>
        <v>Better</v>
      </c>
      <c r="O1167" s="146" t="str">
        <f t="shared" si="140"/>
        <v>Heat PumpR19R11R19Better</v>
      </c>
      <c r="P1167" s="134" t="str">
        <f t="shared" si="141"/>
        <v>error</v>
      </c>
      <c r="Q1167" s="134"/>
      <c r="R1167" s="134"/>
      <c r="S1167" s="134"/>
      <c r="T1167" s="134"/>
      <c r="U1167" s="134"/>
      <c r="V1167" s="134"/>
      <c r="W1167" s="134"/>
      <c r="X1167" s="134"/>
      <c r="Y1167" s="134"/>
      <c r="Z1167" s="134"/>
      <c r="AA1167" s="134"/>
      <c r="AB1167" s="134"/>
      <c r="AC1167" s="134"/>
      <c r="AD1167" s="134"/>
      <c r="AE1167" s="134"/>
      <c r="AF1167" s="146"/>
      <c r="AG1167" s="134"/>
      <c r="AH1167" s="134"/>
      <c r="AI1167" s="134"/>
      <c r="AJ1167" s="134"/>
      <c r="AK1167" s="134"/>
      <c r="AL1167" s="134"/>
      <c r="AM1167" s="146"/>
      <c r="AN1167" s="132"/>
      <c r="AO1167" s="132"/>
      <c r="AP1167" s="132"/>
      <c r="AQ1167" s="132"/>
      <c r="AR1167" s="134"/>
      <c r="AS1167" s="134"/>
      <c r="AT1167" s="132"/>
      <c r="AU1167" s="133"/>
      <c r="AV1167" s="134"/>
    </row>
    <row r="1168" spans="1:48">
      <c r="A1168" s="74">
        <v>22855</v>
      </c>
      <c r="B1168" s="74" t="s">
        <v>228</v>
      </c>
      <c r="C1168" s="74" t="s">
        <v>673</v>
      </c>
      <c r="D1168" s="74">
        <v>2087</v>
      </c>
      <c r="E1168" s="73">
        <v>2.500000037252903E-2</v>
      </c>
      <c r="F1168" s="73">
        <v>0.60000002384185791</v>
      </c>
      <c r="G1168" s="73">
        <v>5.9999998658895493E-2</v>
      </c>
      <c r="H1168" s="73">
        <v>0</v>
      </c>
      <c r="I1168" s="190">
        <v>2079.9929999999999</v>
      </c>
      <c r="J1168" s="134" t="str">
        <f t="shared" si="137"/>
        <v>ignore</v>
      </c>
      <c r="K1168" s="134" t="str">
        <f t="shared" si="138"/>
        <v>R38</v>
      </c>
      <c r="L1168" s="134" t="str">
        <f t="shared" si="139"/>
        <v>R11</v>
      </c>
      <c r="M1168" s="146" t="str">
        <f t="shared" si="135"/>
        <v>Better</v>
      </c>
      <c r="N1168" s="146" t="str">
        <f t="shared" si="136"/>
        <v>Better</v>
      </c>
      <c r="O1168" s="146" t="str">
        <f t="shared" si="140"/>
        <v>Electric ZonalR38R11BetterBetter</v>
      </c>
      <c r="P1168" s="134" t="str">
        <f t="shared" si="141"/>
        <v>error</v>
      </c>
      <c r="Q1168" s="134"/>
      <c r="R1168" s="134"/>
      <c r="S1168" s="134"/>
      <c r="T1168" s="134"/>
      <c r="U1168" s="134"/>
      <c r="V1168" s="134"/>
      <c r="W1168" s="134"/>
      <c r="X1168" s="134"/>
      <c r="Y1168" s="134"/>
      <c r="Z1168" s="134"/>
      <c r="AA1168" s="134"/>
      <c r="AB1168" s="134"/>
      <c r="AC1168" s="134"/>
      <c r="AD1168" s="134"/>
      <c r="AE1168" s="134"/>
      <c r="AF1168" s="146"/>
      <c r="AG1168" s="134"/>
      <c r="AH1168" s="134"/>
      <c r="AI1168" s="134"/>
      <c r="AJ1168" s="134"/>
      <c r="AK1168" s="134"/>
      <c r="AL1168" s="134"/>
      <c r="AM1168" s="146"/>
      <c r="AN1168" s="132"/>
      <c r="AO1168" s="132"/>
      <c r="AP1168" s="132"/>
      <c r="AQ1168" s="132"/>
      <c r="AR1168" s="134"/>
      <c r="AS1168" s="134"/>
      <c r="AT1168" s="132"/>
      <c r="AU1168" s="133"/>
      <c r="AV1168" s="134"/>
    </row>
    <row r="1169" spans="1:48">
      <c r="A1169" s="74">
        <v>22890</v>
      </c>
      <c r="B1169" s="74" t="s">
        <v>227</v>
      </c>
      <c r="C1169" s="74" t="s">
        <v>673</v>
      </c>
      <c r="D1169" s="74">
        <v>1995</v>
      </c>
      <c r="E1169" s="73">
        <v>4.5000001788139343E-2</v>
      </c>
      <c r="F1169" s="73">
        <v>0.55000001192092896</v>
      </c>
      <c r="G1169" s="73">
        <v>4.5000001788139343E-2</v>
      </c>
      <c r="H1169" s="73">
        <v>3.5000000149011612E-2</v>
      </c>
      <c r="I1169" s="190">
        <v>1904.288</v>
      </c>
      <c r="J1169" s="134" t="str">
        <f t="shared" si="137"/>
        <v>ignore</v>
      </c>
      <c r="K1169" s="134" t="str">
        <f t="shared" si="138"/>
        <v>R30</v>
      </c>
      <c r="L1169" s="134" t="str">
        <f t="shared" si="139"/>
        <v>R11</v>
      </c>
      <c r="M1169" s="146" t="str">
        <f t="shared" si="135"/>
        <v>Better</v>
      </c>
      <c r="N1169" s="146" t="str">
        <f t="shared" si="136"/>
        <v>Better</v>
      </c>
      <c r="O1169" s="146" t="str">
        <f t="shared" si="140"/>
        <v>Electric FAFR30R11BetterBetter</v>
      </c>
      <c r="P1169" s="134" t="str">
        <f t="shared" si="141"/>
        <v>error</v>
      </c>
      <c r="Q1169" s="134"/>
      <c r="R1169" s="134"/>
      <c r="S1169" s="134"/>
      <c r="T1169" s="134"/>
      <c r="U1169" s="134"/>
      <c r="V1169" s="134"/>
      <c r="W1169" s="134"/>
      <c r="X1169" s="134"/>
      <c r="Y1169" s="134"/>
      <c r="Z1169" s="134"/>
      <c r="AA1169" s="134"/>
      <c r="AB1169" s="134"/>
      <c r="AC1169" s="134"/>
      <c r="AD1169" s="134"/>
      <c r="AE1169" s="134"/>
      <c r="AF1169" s="146"/>
      <c r="AG1169" s="134"/>
      <c r="AH1169" s="134"/>
      <c r="AI1169" s="134"/>
      <c r="AJ1169" s="134"/>
      <c r="AK1169" s="134"/>
      <c r="AL1169" s="134"/>
      <c r="AM1169" s="146"/>
      <c r="AN1169" s="132"/>
      <c r="AO1169" s="132"/>
      <c r="AP1169" s="132"/>
      <c r="AQ1169" s="132"/>
      <c r="AR1169" s="134"/>
      <c r="AS1169" s="134"/>
      <c r="AT1169" s="132"/>
      <c r="AU1169" s="133"/>
      <c r="AV1169" s="134"/>
    </row>
    <row r="1170" spans="1:48">
      <c r="A1170" s="74">
        <v>22897</v>
      </c>
      <c r="B1170" s="74" t="s">
        <v>229</v>
      </c>
      <c r="C1170" s="74">
        <v>1</v>
      </c>
      <c r="D1170" s="74">
        <v>1293</v>
      </c>
      <c r="E1170" s="73">
        <v>3.5000000149011612E-2</v>
      </c>
      <c r="F1170" s="73">
        <v>0.55000001192092896</v>
      </c>
      <c r="G1170" s="73">
        <v>5.9999998658895493E-2</v>
      </c>
      <c r="H1170" s="73">
        <v>0.23000000417232513</v>
      </c>
      <c r="I1170" s="190">
        <v>2079.9929999999999</v>
      </c>
      <c r="J1170" s="134" t="str">
        <f t="shared" si="137"/>
        <v>keep</v>
      </c>
      <c r="K1170" s="134" t="str">
        <f t="shared" si="138"/>
        <v>R38</v>
      </c>
      <c r="L1170" s="134" t="str">
        <f t="shared" si="139"/>
        <v>R11</v>
      </c>
      <c r="M1170" s="146" t="str">
        <f t="shared" si="135"/>
        <v>R0</v>
      </c>
      <c r="N1170" s="146" t="str">
        <f t="shared" si="136"/>
        <v>Better</v>
      </c>
      <c r="O1170" s="146" t="str">
        <f t="shared" si="140"/>
        <v>Heat PumpR38R11R0Better</v>
      </c>
      <c r="P1170" s="134" t="str">
        <f t="shared" si="141"/>
        <v>Crawlspace</v>
      </c>
      <c r="Q1170" s="134"/>
      <c r="R1170" s="134"/>
      <c r="S1170" s="134"/>
      <c r="T1170" s="134"/>
      <c r="U1170" s="134"/>
      <c r="V1170" s="134"/>
      <c r="W1170" s="134"/>
      <c r="X1170" s="134"/>
      <c r="Y1170" s="134"/>
      <c r="Z1170" s="134"/>
      <c r="AA1170" s="134"/>
      <c r="AB1170" s="134"/>
      <c r="AC1170" s="134"/>
      <c r="AD1170" s="134"/>
      <c r="AE1170" s="134"/>
      <c r="AF1170" s="146"/>
      <c r="AG1170" s="134"/>
      <c r="AH1170" s="134"/>
      <c r="AI1170" s="134"/>
      <c r="AJ1170" s="134"/>
      <c r="AK1170" s="134"/>
      <c r="AL1170" s="134"/>
      <c r="AM1170" s="146"/>
      <c r="AN1170" s="132"/>
      <c r="AO1170" s="132"/>
      <c r="AP1170" s="132"/>
      <c r="AQ1170" s="132"/>
      <c r="AR1170" s="134"/>
      <c r="AS1170" s="134"/>
      <c r="AT1170" s="132"/>
      <c r="AU1170" s="133"/>
      <c r="AV1170" s="134"/>
    </row>
    <row r="1171" spans="1:48">
      <c r="A1171" s="74">
        <v>22903</v>
      </c>
      <c r="B1171" s="74" t="s">
        <v>229</v>
      </c>
      <c r="C1171" s="74">
        <v>1</v>
      </c>
      <c r="D1171" s="74">
        <v>2378</v>
      </c>
      <c r="E1171" s="73">
        <v>2.500000037252903E-2</v>
      </c>
      <c r="F1171" s="73">
        <v>0.44999998807907104</v>
      </c>
      <c r="G1171" s="73">
        <v>5.9999998658895493E-2</v>
      </c>
      <c r="H1171" s="73">
        <v>2.9999999329447746E-2</v>
      </c>
      <c r="I1171" s="190">
        <v>1904.288</v>
      </c>
      <c r="J1171" s="134" t="str">
        <f t="shared" si="137"/>
        <v>keep</v>
      </c>
      <c r="K1171" s="134" t="str">
        <f t="shared" si="138"/>
        <v>R38</v>
      </c>
      <c r="L1171" s="134" t="str">
        <f t="shared" si="139"/>
        <v>R11</v>
      </c>
      <c r="M1171" s="146" t="str">
        <f t="shared" si="135"/>
        <v>Better</v>
      </c>
      <c r="N1171" s="146" t="str">
        <f t="shared" si="136"/>
        <v>Better</v>
      </c>
      <c r="O1171" s="146" t="str">
        <f t="shared" si="140"/>
        <v>Heat PumpR38R11BetterBetter</v>
      </c>
      <c r="P1171" s="134" t="str">
        <f t="shared" si="141"/>
        <v>Crawlspace</v>
      </c>
      <c r="Q1171" s="134"/>
      <c r="R1171" s="134"/>
      <c r="S1171" s="134"/>
      <c r="T1171" s="134"/>
      <c r="U1171" s="134"/>
      <c r="V1171" s="134"/>
      <c r="W1171" s="134"/>
      <c r="X1171" s="134"/>
      <c r="Y1171" s="134"/>
      <c r="Z1171" s="134"/>
      <c r="AA1171" s="134"/>
      <c r="AB1171" s="134"/>
      <c r="AC1171" s="134"/>
      <c r="AD1171" s="134"/>
      <c r="AE1171" s="134"/>
      <c r="AF1171" s="146"/>
      <c r="AG1171" s="134"/>
      <c r="AH1171" s="134"/>
      <c r="AI1171" s="134"/>
      <c r="AJ1171" s="134"/>
      <c r="AK1171" s="134"/>
      <c r="AL1171" s="134"/>
      <c r="AM1171" s="146"/>
      <c r="AN1171" s="132"/>
      <c r="AO1171" s="132"/>
      <c r="AP1171" s="132"/>
      <c r="AQ1171" s="132"/>
      <c r="AR1171" s="134"/>
      <c r="AS1171" s="134"/>
      <c r="AT1171" s="132"/>
      <c r="AU1171" s="133"/>
      <c r="AV1171" s="134"/>
    </row>
    <row r="1172" spans="1:48">
      <c r="A1172" s="74">
        <v>22904</v>
      </c>
      <c r="B1172" s="74" t="s">
        <v>228</v>
      </c>
      <c r="C1172" s="74">
        <v>1</v>
      </c>
      <c r="D1172" s="74">
        <v>1886</v>
      </c>
      <c r="E1172" s="73">
        <v>2.500000037252903E-2</v>
      </c>
      <c r="F1172" s="73">
        <v>0.49074702665639852</v>
      </c>
      <c r="G1172" s="73">
        <v>5.9999998658895493E-2</v>
      </c>
      <c r="H1172" s="73">
        <v>5.9999998658895493E-2</v>
      </c>
      <c r="I1172" s="190">
        <v>1612.692</v>
      </c>
      <c r="J1172" s="134" t="str">
        <f t="shared" si="137"/>
        <v>keep</v>
      </c>
      <c r="K1172" s="134" t="str">
        <f t="shared" si="138"/>
        <v>R38</v>
      </c>
      <c r="L1172" s="134" t="str">
        <f t="shared" si="139"/>
        <v>R11</v>
      </c>
      <c r="M1172" s="146" t="str">
        <f t="shared" si="135"/>
        <v>R19</v>
      </c>
      <c r="N1172" s="146" t="str">
        <f t="shared" si="136"/>
        <v>Better</v>
      </c>
      <c r="O1172" s="146" t="str">
        <f t="shared" si="140"/>
        <v>Electric ZonalR38R11R19Better</v>
      </c>
      <c r="P1172" s="134" t="str">
        <f t="shared" si="141"/>
        <v>Crawlspace</v>
      </c>
      <c r="Q1172" s="134"/>
      <c r="R1172" s="134"/>
      <c r="S1172" s="134"/>
      <c r="T1172" s="134"/>
      <c r="U1172" s="134"/>
      <c r="V1172" s="134"/>
      <c r="W1172" s="134"/>
      <c r="X1172" s="134"/>
      <c r="Y1172" s="134"/>
      <c r="Z1172" s="134"/>
      <c r="AA1172" s="134"/>
      <c r="AB1172" s="134"/>
      <c r="AC1172" s="134"/>
      <c r="AD1172" s="134"/>
      <c r="AE1172" s="134"/>
      <c r="AF1172" s="146"/>
      <c r="AG1172" s="134"/>
      <c r="AH1172" s="134"/>
      <c r="AI1172" s="134"/>
      <c r="AJ1172" s="134"/>
      <c r="AK1172" s="134"/>
      <c r="AL1172" s="134"/>
      <c r="AM1172" s="146"/>
      <c r="AN1172" s="132"/>
      <c r="AO1172" s="132"/>
      <c r="AP1172" s="132"/>
      <c r="AQ1172" s="132"/>
      <c r="AR1172" s="134"/>
      <c r="AS1172" s="134"/>
      <c r="AT1172" s="132"/>
      <c r="AU1172" s="133"/>
      <c r="AV1172" s="134"/>
    </row>
    <row r="1173" spans="1:48">
      <c r="A1173" s="74">
        <v>22935</v>
      </c>
      <c r="B1173" s="74" t="s">
        <v>229</v>
      </c>
      <c r="C1173" s="74">
        <v>4</v>
      </c>
      <c r="D1173" s="74">
        <v>4365</v>
      </c>
      <c r="E1173" s="73">
        <v>7.0000000298023224E-2</v>
      </c>
      <c r="F1173" s="73">
        <v>0.7601515126950813</v>
      </c>
      <c r="G1173" s="73">
        <v>5.9999998658895493E-2</v>
      </c>
      <c r="H1173" s="73">
        <v>0</v>
      </c>
      <c r="I1173" s="190">
        <v>1192.4649999999999</v>
      </c>
      <c r="J1173" s="134" t="str">
        <f t="shared" si="137"/>
        <v>keep</v>
      </c>
      <c r="K1173" s="134" t="str">
        <f t="shared" si="138"/>
        <v>R19</v>
      </c>
      <c r="L1173" s="134" t="str">
        <f t="shared" si="139"/>
        <v>R11</v>
      </c>
      <c r="M1173" s="146" t="str">
        <f t="shared" si="135"/>
        <v>Basement</v>
      </c>
      <c r="N1173" s="146" t="str">
        <f t="shared" si="136"/>
        <v>Better</v>
      </c>
      <c r="O1173" s="146" t="str">
        <f t="shared" si="140"/>
        <v>Heat PumpR19R11BasementBetter</v>
      </c>
      <c r="P1173" s="134" t="str">
        <f t="shared" si="141"/>
        <v>Basement</v>
      </c>
      <c r="Q1173" s="134"/>
      <c r="R1173" s="134"/>
      <c r="S1173" s="134"/>
      <c r="T1173" s="134"/>
      <c r="U1173" s="134"/>
      <c r="V1173" s="134"/>
      <c r="W1173" s="134"/>
      <c r="X1173" s="134"/>
      <c r="Y1173" s="134"/>
      <c r="Z1173" s="134"/>
      <c r="AA1173" s="134"/>
      <c r="AB1173" s="134"/>
      <c r="AC1173" s="134"/>
      <c r="AD1173" s="134"/>
      <c r="AE1173" s="134"/>
      <c r="AF1173" s="146"/>
      <c r="AG1173" s="134"/>
      <c r="AH1173" s="134"/>
      <c r="AI1173" s="134"/>
      <c r="AJ1173" s="134"/>
      <c r="AK1173" s="134"/>
      <c r="AL1173" s="134"/>
      <c r="AM1173" s="146"/>
      <c r="AN1173" s="132"/>
      <c r="AO1173" s="132"/>
      <c r="AP1173" s="132"/>
      <c r="AQ1173" s="132"/>
      <c r="AR1173" s="134"/>
      <c r="AS1173" s="134"/>
      <c r="AT1173" s="132"/>
      <c r="AU1173" s="133"/>
      <c r="AV1173" s="134"/>
    </row>
    <row r="1174" spans="1:48">
      <c r="A1174" s="74">
        <v>22938</v>
      </c>
      <c r="B1174" s="74" t="s">
        <v>227</v>
      </c>
      <c r="C1174" s="74">
        <v>4</v>
      </c>
      <c r="D1174" s="74">
        <v>1875</v>
      </c>
      <c r="E1174" s="73">
        <v>3.5000000149011612E-2</v>
      </c>
      <c r="F1174" s="73">
        <v>0.85000002384185791</v>
      </c>
      <c r="G1174" s="73">
        <v>9.0000003576278687E-2</v>
      </c>
      <c r="H1174" s="73">
        <v>0</v>
      </c>
      <c r="I1174" s="190">
        <v>12271.31</v>
      </c>
      <c r="J1174" s="134" t="str">
        <f t="shared" si="137"/>
        <v>keep</v>
      </c>
      <c r="K1174" s="134" t="str">
        <f t="shared" si="138"/>
        <v>R38</v>
      </c>
      <c r="L1174" s="134" t="str">
        <f t="shared" si="139"/>
        <v>R11</v>
      </c>
      <c r="M1174" s="146" t="str">
        <f t="shared" si="135"/>
        <v>Basement</v>
      </c>
      <c r="N1174" s="146" t="str">
        <f t="shared" si="136"/>
        <v>Double</v>
      </c>
      <c r="O1174" s="146" t="str">
        <f t="shared" si="140"/>
        <v>Electric FAFR38R11BasementDouble</v>
      </c>
      <c r="P1174" s="134" t="str">
        <f t="shared" si="141"/>
        <v>Basement</v>
      </c>
      <c r="Q1174" s="134"/>
      <c r="R1174" s="134"/>
      <c r="S1174" s="134"/>
      <c r="T1174" s="134"/>
      <c r="U1174" s="134"/>
      <c r="V1174" s="134"/>
      <c r="W1174" s="134"/>
      <c r="X1174" s="134"/>
      <c r="Y1174" s="134"/>
      <c r="Z1174" s="134"/>
      <c r="AA1174" s="134"/>
      <c r="AB1174" s="134"/>
      <c r="AC1174" s="134"/>
      <c r="AD1174" s="134"/>
      <c r="AE1174" s="134"/>
      <c r="AF1174" s="146"/>
      <c r="AG1174" s="134"/>
      <c r="AH1174" s="134"/>
      <c r="AI1174" s="134"/>
      <c r="AJ1174" s="134"/>
      <c r="AK1174" s="134"/>
      <c r="AL1174" s="134"/>
      <c r="AM1174" s="146"/>
      <c r="AN1174" s="132"/>
      <c r="AO1174" s="132"/>
      <c r="AP1174" s="132"/>
      <c r="AQ1174" s="132"/>
      <c r="AR1174" s="134"/>
      <c r="AS1174" s="134"/>
      <c r="AT1174" s="132"/>
      <c r="AU1174" s="133"/>
      <c r="AV1174" s="134"/>
    </row>
    <row r="1175" spans="1:48">
      <c r="A1175" s="74">
        <v>22944</v>
      </c>
      <c r="B1175" s="74" t="s">
        <v>229</v>
      </c>
      <c r="C1175" s="74">
        <v>1</v>
      </c>
      <c r="D1175" s="74">
        <v>1090</v>
      </c>
      <c r="E1175" s="73">
        <v>2.500000037252903E-2</v>
      </c>
      <c r="F1175" s="73">
        <v>0.75</v>
      </c>
      <c r="G1175" s="73">
        <v>0.11999999731779099</v>
      </c>
      <c r="H1175" s="73">
        <v>0.23000000417232513</v>
      </c>
      <c r="I1175" s="190">
        <v>2079.9929999999999</v>
      </c>
      <c r="J1175" s="134" t="str">
        <f t="shared" si="137"/>
        <v>keep</v>
      </c>
      <c r="K1175" s="134" t="str">
        <f t="shared" si="138"/>
        <v>R38</v>
      </c>
      <c r="L1175" s="134" t="str">
        <f t="shared" si="139"/>
        <v>R11</v>
      </c>
      <c r="M1175" s="146" t="str">
        <f t="shared" si="135"/>
        <v>R0</v>
      </c>
      <c r="N1175" s="146" t="str">
        <f t="shared" si="136"/>
        <v>Better</v>
      </c>
      <c r="O1175" s="146" t="str">
        <f t="shared" si="140"/>
        <v>Heat PumpR38R11R0Better</v>
      </c>
      <c r="P1175" s="134" t="str">
        <f t="shared" si="141"/>
        <v>Crawlspace</v>
      </c>
      <c r="Q1175" s="134"/>
      <c r="R1175" s="134"/>
      <c r="S1175" s="134"/>
      <c r="T1175" s="134"/>
      <c r="U1175" s="134"/>
      <c r="V1175" s="134"/>
      <c r="W1175" s="134"/>
      <c r="X1175" s="134"/>
      <c r="Y1175" s="134"/>
      <c r="Z1175" s="134"/>
      <c r="AA1175" s="134"/>
      <c r="AB1175" s="134"/>
      <c r="AC1175" s="134"/>
      <c r="AD1175" s="134"/>
      <c r="AE1175" s="134"/>
      <c r="AF1175" s="146"/>
      <c r="AG1175" s="134"/>
      <c r="AH1175" s="134"/>
      <c r="AI1175" s="134"/>
      <c r="AJ1175" s="134"/>
      <c r="AK1175" s="134"/>
      <c r="AL1175" s="134"/>
      <c r="AM1175" s="146"/>
      <c r="AN1175" s="132"/>
      <c r="AO1175" s="132"/>
      <c r="AP1175" s="132"/>
      <c r="AQ1175" s="132"/>
      <c r="AR1175" s="134"/>
      <c r="AS1175" s="134"/>
      <c r="AT1175" s="132"/>
      <c r="AU1175" s="133"/>
      <c r="AV1175" s="134"/>
    </row>
    <row r="1176" spans="1:48">
      <c r="A1176" s="74">
        <v>22982</v>
      </c>
      <c r="B1176" s="74" t="s">
        <v>229</v>
      </c>
      <c r="C1176" s="74" t="s">
        <v>673</v>
      </c>
      <c r="D1176" s="74">
        <v>2863</v>
      </c>
      <c r="E1176" s="73">
        <v>4.5000001788139343E-2</v>
      </c>
      <c r="F1176" s="73">
        <v>0.44999998807907104</v>
      </c>
      <c r="G1176" s="73">
        <v>5.9999998658895493E-2</v>
      </c>
      <c r="H1176" s="73">
        <v>4.5000001788139343E-2</v>
      </c>
      <c r="I1176" s="190">
        <v>2079.9929999999999</v>
      </c>
      <c r="J1176" s="134" t="str">
        <f t="shared" si="137"/>
        <v>ignore</v>
      </c>
      <c r="K1176" s="134" t="str">
        <f t="shared" si="138"/>
        <v>R30</v>
      </c>
      <c r="L1176" s="134" t="str">
        <f t="shared" si="139"/>
        <v>R11</v>
      </c>
      <c r="M1176" s="146" t="str">
        <f t="shared" si="135"/>
        <v>Better</v>
      </c>
      <c r="N1176" s="146" t="str">
        <f t="shared" si="136"/>
        <v>Better</v>
      </c>
      <c r="O1176" s="146" t="str">
        <f t="shared" si="140"/>
        <v>Heat PumpR30R11BetterBetter</v>
      </c>
      <c r="P1176" s="134" t="str">
        <f t="shared" si="141"/>
        <v>error</v>
      </c>
      <c r="Q1176" s="134"/>
      <c r="R1176" s="134"/>
      <c r="S1176" s="134"/>
      <c r="T1176" s="134"/>
      <c r="U1176" s="134"/>
      <c r="V1176" s="134"/>
      <c r="W1176" s="134"/>
      <c r="X1176" s="134"/>
      <c r="Y1176" s="134"/>
      <c r="Z1176" s="134"/>
      <c r="AA1176" s="134"/>
      <c r="AB1176" s="134"/>
      <c r="AC1176" s="134"/>
      <c r="AD1176" s="134"/>
      <c r="AE1176" s="134"/>
      <c r="AF1176" s="146"/>
      <c r="AG1176" s="134"/>
      <c r="AH1176" s="134"/>
      <c r="AI1176" s="134"/>
      <c r="AJ1176" s="134"/>
      <c r="AK1176" s="134"/>
      <c r="AL1176" s="134"/>
      <c r="AM1176" s="146"/>
      <c r="AN1176" s="132"/>
      <c r="AO1176" s="132"/>
      <c r="AP1176" s="132"/>
      <c r="AQ1176" s="132"/>
      <c r="AR1176" s="134"/>
      <c r="AS1176" s="134"/>
      <c r="AT1176" s="132"/>
      <c r="AU1176" s="133"/>
      <c r="AV1176" s="134"/>
    </row>
    <row r="1177" spans="1:48">
      <c r="A1177" s="74">
        <v>22993</v>
      </c>
      <c r="B1177" s="74" t="s">
        <v>229</v>
      </c>
      <c r="C1177" s="74">
        <v>2</v>
      </c>
      <c r="D1177" s="74">
        <v>1576</v>
      </c>
      <c r="E1177" s="73">
        <v>3.5000000149011612E-2</v>
      </c>
      <c r="F1177" s="73">
        <v>0.80000001192092896</v>
      </c>
      <c r="G1177" s="73">
        <v>5.9999998658895493E-2</v>
      </c>
      <c r="H1177" s="73">
        <v>0</v>
      </c>
      <c r="I1177" s="190">
        <v>8264.9449999999997</v>
      </c>
      <c r="J1177" s="134" t="str">
        <f t="shared" si="137"/>
        <v>keep</v>
      </c>
      <c r="K1177" s="134" t="str">
        <f t="shared" si="138"/>
        <v>R38</v>
      </c>
      <c r="L1177" s="134" t="str">
        <f t="shared" si="139"/>
        <v>R11</v>
      </c>
      <c r="M1177" s="146" t="str">
        <f t="shared" si="135"/>
        <v>Slab</v>
      </c>
      <c r="N1177" s="146" t="str">
        <f t="shared" si="136"/>
        <v>Better</v>
      </c>
      <c r="O1177" s="146" t="str">
        <f t="shared" si="140"/>
        <v>Heat PumpR38R11SlabBetter</v>
      </c>
      <c r="P1177" s="134" t="str">
        <f t="shared" si="141"/>
        <v>Slab</v>
      </c>
      <c r="Q1177" s="134"/>
      <c r="R1177" s="134"/>
      <c r="S1177" s="134"/>
      <c r="T1177" s="134"/>
      <c r="U1177" s="134"/>
      <c r="V1177" s="134"/>
      <c r="W1177" s="134"/>
      <c r="X1177" s="134"/>
      <c r="Y1177" s="134"/>
      <c r="Z1177" s="134"/>
      <c r="AA1177" s="134"/>
      <c r="AB1177" s="134"/>
      <c r="AC1177" s="134"/>
      <c r="AD1177" s="134"/>
      <c r="AE1177" s="134"/>
      <c r="AF1177" s="146"/>
      <c r="AG1177" s="134"/>
      <c r="AH1177" s="134"/>
      <c r="AI1177" s="134"/>
      <c r="AJ1177" s="134"/>
      <c r="AK1177" s="134"/>
      <c r="AL1177" s="134"/>
      <c r="AM1177" s="146"/>
      <c r="AN1177" s="132"/>
      <c r="AO1177" s="132"/>
      <c r="AP1177" s="132"/>
      <c r="AQ1177" s="132"/>
      <c r="AR1177" s="134"/>
      <c r="AS1177" s="134"/>
      <c r="AT1177" s="132"/>
      <c r="AU1177" s="133"/>
      <c r="AV1177" s="134"/>
    </row>
    <row r="1178" spans="1:48">
      <c r="A1178" s="74">
        <v>22994</v>
      </c>
      <c r="B1178" s="74" t="s">
        <v>229</v>
      </c>
      <c r="C1178" s="74">
        <v>1</v>
      </c>
      <c r="D1178" s="74">
        <v>1528</v>
      </c>
      <c r="E1178" s="73">
        <v>3.5000000149011612E-2</v>
      </c>
      <c r="F1178" s="73">
        <v>0.64515670140584314</v>
      </c>
      <c r="G1178" s="73">
        <v>5.9999998658895493E-2</v>
      </c>
      <c r="H1178" s="73">
        <v>2.9999999329447746E-2</v>
      </c>
      <c r="I1178" s="190">
        <v>1612.692</v>
      </c>
      <c r="J1178" s="134" t="str">
        <f t="shared" si="137"/>
        <v>keep</v>
      </c>
      <c r="K1178" s="134" t="str">
        <f t="shared" si="138"/>
        <v>R38</v>
      </c>
      <c r="L1178" s="134" t="str">
        <f t="shared" si="139"/>
        <v>R11</v>
      </c>
      <c r="M1178" s="146" t="str">
        <f t="shared" si="135"/>
        <v>Better</v>
      </c>
      <c r="N1178" s="146" t="str">
        <f t="shared" si="136"/>
        <v>Better</v>
      </c>
      <c r="O1178" s="146" t="str">
        <f t="shared" si="140"/>
        <v>Heat PumpR38R11BetterBetter</v>
      </c>
      <c r="P1178" s="134" t="str">
        <f t="shared" si="141"/>
        <v>Crawlspace</v>
      </c>
      <c r="Q1178" s="134"/>
      <c r="R1178" s="134"/>
      <c r="S1178" s="134"/>
      <c r="T1178" s="134"/>
      <c r="U1178" s="134"/>
      <c r="V1178" s="134"/>
      <c r="W1178" s="134"/>
      <c r="X1178" s="134"/>
      <c r="Y1178" s="134"/>
      <c r="Z1178" s="134"/>
      <c r="AA1178" s="134"/>
      <c r="AB1178" s="134"/>
      <c r="AC1178" s="134"/>
      <c r="AD1178" s="134"/>
      <c r="AE1178" s="134"/>
      <c r="AF1178" s="146"/>
      <c r="AG1178" s="134"/>
      <c r="AH1178" s="134"/>
      <c r="AI1178" s="134"/>
      <c r="AJ1178" s="134"/>
      <c r="AK1178" s="134"/>
      <c r="AL1178" s="134"/>
      <c r="AM1178" s="146"/>
      <c r="AN1178" s="132"/>
      <c r="AO1178" s="132"/>
      <c r="AP1178" s="132"/>
      <c r="AQ1178" s="132"/>
      <c r="AR1178" s="134"/>
      <c r="AS1178" s="134"/>
      <c r="AT1178" s="132"/>
      <c r="AU1178" s="133"/>
      <c r="AV1178" s="134"/>
    </row>
    <row r="1179" spans="1:48">
      <c r="A1179" s="74">
        <v>23017</v>
      </c>
      <c r="B1179" s="74" t="s">
        <v>228</v>
      </c>
      <c r="C1179" s="74" t="s">
        <v>673</v>
      </c>
      <c r="D1179" s="74">
        <v>3664</v>
      </c>
      <c r="E1179" s="73">
        <v>2.500000037252903E-2</v>
      </c>
      <c r="F1179" s="73">
        <v>0.44999998807907104</v>
      </c>
      <c r="G1179" s="73">
        <v>4.5000001788139343E-2</v>
      </c>
      <c r="H1179" s="73">
        <v>0</v>
      </c>
      <c r="I1179" s="190">
        <v>3785.7640000000001</v>
      </c>
      <c r="J1179" s="134" t="str">
        <f t="shared" si="137"/>
        <v>ignore</v>
      </c>
      <c r="K1179" s="134" t="str">
        <f t="shared" si="138"/>
        <v>R38</v>
      </c>
      <c r="L1179" s="134" t="str">
        <f t="shared" si="139"/>
        <v>R11</v>
      </c>
      <c r="M1179" s="146" t="str">
        <f t="shared" si="135"/>
        <v>Better</v>
      </c>
      <c r="N1179" s="146" t="str">
        <f t="shared" si="136"/>
        <v>Better</v>
      </c>
      <c r="O1179" s="146" t="str">
        <f t="shared" si="140"/>
        <v>Electric ZonalR38R11BetterBetter</v>
      </c>
      <c r="P1179" s="134" t="str">
        <f t="shared" si="141"/>
        <v>error</v>
      </c>
      <c r="Q1179" s="134"/>
      <c r="R1179" s="134"/>
      <c r="S1179" s="134"/>
      <c r="T1179" s="134"/>
      <c r="U1179" s="134"/>
      <c r="V1179" s="134"/>
      <c r="W1179" s="134"/>
      <c r="X1179" s="134"/>
      <c r="Y1179" s="134"/>
      <c r="Z1179" s="134"/>
      <c r="AA1179" s="134"/>
      <c r="AB1179" s="134"/>
      <c r="AC1179" s="134"/>
      <c r="AD1179" s="134"/>
      <c r="AE1179" s="134"/>
      <c r="AF1179" s="146"/>
      <c r="AG1179" s="134"/>
      <c r="AH1179" s="134"/>
      <c r="AI1179" s="134"/>
      <c r="AJ1179" s="134"/>
      <c r="AK1179" s="134"/>
      <c r="AL1179" s="134"/>
      <c r="AM1179" s="146"/>
      <c r="AN1179" s="132"/>
      <c r="AO1179" s="132"/>
      <c r="AP1179" s="132"/>
      <c r="AQ1179" s="132"/>
      <c r="AR1179" s="134"/>
      <c r="AS1179" s="134"/>
      <c r="AT1179" s="132"/>
      <c r="AU1179" s="133"/>
      <c r="AV1179" s="134"/>
    </row>
    <row r="1180" spans="1:48">
      <c r="A1180" s="74">
        <v>23028</v>
      </c>
      <c r="B1180" s="74" t="s">
        <v>229</v>
      </c>
      <c r="C1180" s="74">
        <v>4</v>
      </c>
      <c r="D1180" s="74">
        <v>3020</v>
      </c>
      <c r="E1180" s="73">
        <v>2.500000037252903E-2</v>
      </c>
      <c r="F1180" s="73">
        <v>0.67154697785719986</v>
      </c>
      <c r="G1180" s="73">
        <v>5.9999998658895493E-2</v>
      </c>
      <c r="H1180" s="73">
        <v>0</v>
      </c>
      <c r="I1180" s="190">
        <v>12271.31</v>
      </c>
      <c r="J1180" s="134" t="str">
        <f t="shared" si="137"/>
        <v>keep</v>
      </c>
      <c r="K1180" s="134" t="str">
        <f t="shared" si="138"/>
        <v>R38</v>
      </c>
      <c r="L1180" s="134" t="str">
        <f t="shared" si="139"/>
        <v>R11</v>
      </c>
      <c r="M1180" s="146" t="str">
        <f t="shared" si="135"/>
        <v>Basement</v>
      </c>
      <c r="N1180" s="146" t="str">
        <f t="shared" si="136"/>
        <v>Better</v>
      </c>
      <c r="O1180" s="146" t="str">
        <f t="shared" si="140"/>
        <v>Heat PumpR38R11BasementBetter</v>
      </c>
      <c r="P1180" s="134" t="str">
        <f t="shared" si="141"/>
        <v>Basement</v>
      </c>
      <c r="Q1180" s="134"/>
      <c r="R1180" s="134"/>
      <c r="S1180" s="134"/>
      <c r="T1180" s="134"/>
      <c r="U1180" s="134"/>
      <c r="V1180" s="134"/>
      <c r="W1180" s="134"/>
      <c r="X1180" s="134"/>
      <c r="Y1180" s="134"/>
      <c r="Z1180" s="134"/>
      <c r="AA1180" s="134"/>
      <c r="AB1180" s="134"/>
      <c r="AC1180" s="134"/>
      <c r="AD1180" s="134"/>
      <c r="AE1180" s="134"/>
      <c r="AF1180" s="146"/>
      <c r="AG1180" s="134"/>
      <c r="AH1180" s="134"/>
      <c r="AI1180" s="134"/>
      <c r="AJ1180" s="134"/>
      <c r="AK1180" s="134"/>
      <c r="AL1180" s="134"/>
      <c r="AM1180" s="146"/>
      <c r="AN1180" s="132"/>
      <c r="AO1180" s="132"/>
      <c r="AP1180" s="132"/>
      <c r="AQ1180" s="132"/>
      <c r="AR1180" s="134"/>
      <c r="AS1180" s="134"/>
      <c r="AT1180" s="132"/>
      <c r="AU1180" s="133"/>
      <c r="AV1180" s="134"/>
    </row>
    <row r="1181" spans="1:48">
      <c r="A1181" s="74">
        <v>23029</v>
      </c>
      <c r="B1181" s="74" t="s">
        <v>229</v>
      </c>
      <c r="C1181" s="74" t="s">
        <v>673</v>
      </c>
      <c r="D1181" s="74">
        <v>3010</v>
      </c>
      <c r="E1181" s="73">
        <v>4.5000001788139343E-2</v>
      </c>
      <c r="F1181" s="73">
        <v>0.51346153277077822</v>
      </c>
      <c r="G1181" s="73">
        <v>9.0000003576278687E-2</v>
      </c>
      <c r="H1181" s="73">
        <v>5.9999998658895493E-2</v>
      </c>
      <c r="I1181" s="190">
        <v>1612.692</v>
      </c>
      <c r="J1181" s="134" t="str">
        <f t="shared" si="137"/>
        <v>ignore</v>
      </c>
      <c r="K1181" s="134" t="str">
        <f t="shared" si="138"/>
        <v>R30</v>
      </c>
      <c r="L1181" s="134" t="str">
        <f t="shared" si="139"/>
        <v>R11</v>
      </c>
      <c r="M1181" s="146" t="str">
        <f t="shared" si="135"/>
        <v>R19</v>
      </c>
      <c r="N1181" s="146" t="str">
        <f t="shared" si="136"/>
        <v>Better</v>
      </c>
      <c r="O1181" s="146" t="str">
        <f t="shared" si="140"/>
        <v>Heat PumpR30R11R19Better</v>
      </c>
      <c r="P1181" s="134" t="str">
        <f t="shared" si="141"/>
        <v>error</v>
      </c>
      <c r="Q1181" s="134"/>
      <c r="R1181" s="134"/>
      <c r="S1181" s="134"/>
      <c r="T1181" s="134"/>
      <c r="U1181" s="134"/>
      <c r="V1181" s="134"/>
      <c r="W1181" s="134"/>
      <c r="X1181" s="134"/>
      <c r="Y1181" s="134"/>
      <c r="Z1181" s="134"/>
      <c r="AA1181" s="134"/>
      <c r="AB1181" s="134"/>
      <c r="AC1181" s="134"/>
      <c r="AD1181" s="134"/>
      <c r="AE1181" s="134"/>
      <c r="AF1181" s="146"/>
      <c r="AG1181" s="134"/>
      <c r="AH1181" s="134"/>
      <c r="AI1181" s="134"/>
      <c r="AJ1181" s="134"/>
      <c r="AK1181" s="134"/>
      <c r="AL1181" s="134"/>
      <c r="AM1181" s="146"/>
      <c r="AN1181" s="132"/>
      <c r="AO1181" s="132"/>
      <c r="AP1181" s="132"/>
      <c r="AQ1181" s="132"/>
      <c r="AR1181" s="134"/>
      <c r="AS1181" s="134"/>
      <c r="AT1181" s="132"/>
      <c r="AU1181" s="133"/>
      <c r="AV1181" s="134"/>
    </row>
    <row r="1182" spans="1:48">
      <c r="A1182" s="74">
        <v>23034</v>
      </c>
      <c r="B1182" s="74" t="s">
        <v>229</v>
      </c>
      <c r="C1182" s="74" t="s">
        <v>673</v>
      </c>
      <c r="D1182" s="74">
        <v>2940</v>
      </c>
      <c r="E1182" s="73">
        <v>2.500000037252903E-2</v>
      </c>
      <c r="F1182" s="73">
        <v>0.44999998807907104</v>
      </c>
      <c r="G1182" s="73">
        <v>5.9999998658895493E-2</v>
      </c>
      <c r="H1182" s="73">
        <v>0.23000000417232513</v>
      </c>
      <c r="I1182" s="190">
        <v>1192.4649999999999</v>
      </c>
      <c r="J1182" s="134" t="str">
        <f t="shared" si="137"/>
        <v>ignore</v>
      </c>
      <c r="K1182" s="134" t="str">
        <f t="shared" si="138"/>
        <v>R38</v>
      </c>
      <c r="L1182" s="134" t="str">
        <f t="shared" si="139"/>
        <v>R11</v>
      </c>
      <c r="M1182" s="146" t="str">
        <f t="shared" si="135"/>
        <v>R0</v>
      </c>
      <c r="N1182" s="146" t="str">
        <f t="shared" si="136"/>
        <v>Better</v>
      </c>
      <c r="O1182" s="146" t="str">
        <f t="shared" si="140"/>
        <v>Heat PumpR38R11R0Better</v>
      </c>
      <c r="P1182" s="134" t="str">
        <f t="shared" si="141"/>
        <v>error</v>
      </c>
      <c r="Q1182" s="134"/>
      <c r="R1182" s="134"/>
      <c r="S1182" s="134"/>
      <c r="T1182" s="134"/>
      <c r="U1182" s="134"/>
      <c r="V1182" s="134"/>
      <c r="W1182" s="134"/>
      <c r="X1182" s="134"/>
      <c r="Y1182" s="134"/>
      <c r="Z1182" s="134"/>
      <c r="AA1182" s="134"/>
      <c r="AB1182" s="134"/>
      <c r="AC1182" s="134"/>
      <c r="AD1182" s="134"/>
      <c r="AE1182" s="134"/>
      <c r="AF1182" s="146"/>
      <c r="AG1182" s="134"/>
      <c r="AH1182" s="134"/>
      <c r="AI1182" s="134"/>
      <c r="AJ1182" s="134"/>
      <c r="AK1182" s="134"/>
      <c r="AL1182" s="134"/>
      <c r="AM1182" s="146"/>
      <c r="AN1182" s="132"/>
      <c r="AO1182" s="132"/>
      <c r="AP1182" s="132"/>
      <c r="AQ1182" s="132"/>
      <c r="AR1182" s="134"/>
      <c r="AS1182" s="134"/>
      <c r="AT1182" s="132"/>
      <c r="AU1182" s="133"/>
      <c r="AV1182" s="134"/>
    </row>
    <row r="1183" spans="1:48">
      <c r="A1183" s="74">
        <v>23084</v>
      </c>
      <c r="B1183" s="74" t="s">
        <v>229</v>
      </c>
      <c r="C1183" s="74">
        <v>1</v>
      </c>
      <c r="D1183" s="74">
        <v>2625</v>
      </c>
      <c r="E1183" s="73">
        <v>3.5000000149011612E-2</v>
      </c>
      <c r="F1183" s="73">
        <v>0.58484089124941552</v>
      </c>
      <c r="G1183" s="73">
        <v>6.7218044954807238E-2</v>
      </c>
      <c r="H1183" s="73">
        <v>4.5000001788139343E-2</v>
      </c>
      <c r="I1183" s="190">
        <v>2079.9929999999999</v>
      </c>
      <c r="J1183" s="134" t="str">
        <f t="shared" si="137"/>
        <v>keep</v>
      </c>
      <c r="K1183" s="134" t="str">
        <f t="shared" si="138"/>
        <v>R38</v>
      </c>
      <c r="L1183" s="134" t="str">
        <f t="shared" si="139"/>
        <v>R11</v>
      </c>
      <c r="M1183" s="146" t="str">
        <f t="shared" si="135"/>
        <v>Better</v>
      </c>
      <c r="N1183" s="146" t="str">
        <f t="shared" si="136"/>
        <v>Better</v>
      </c>
      <c r="O1183" s="146" t="str">
        <f t="shared" si="140"/>
        <v>Heat PumpR38R11BetterBetter</v>
      </c>
      <c r="P1183" s="134" t="str">
        <f t="shared" si="141"/>
        <v>Crawlspace</v>
      </c>
      <c r="Q1183" s="134"/>
      <c r="R1183" s="134"/>
      <c r="S1183" s="134"/>
      <c r="T1183" s="134"/>
      <c r="U1183" s="134"/>
      <c r="V1183" s="134"/>
      <c r="W1183" s="134"/>
      <c r="X1183" s="134"/>
      <c r="Y1183" s="134"/>
      <c r="Z1183" s="134"/>
      <c r="AA1183" s="134"/>
      <c r="AB1183" s="134"/>
      <c r="AC1183" s="134"/>
      <c r="AD1183" s="134"/>
      <c r="AE1183" s="134"/>
      <c r="AF1183" s="146"/>
      <c r="AG1183" s="134"/>
      <c r="AH1183" s="134"/>
      <c r="AI1183" s="134"/>
      <c r="AJ1183" s="134"/>
      <c r="AK1183" s="134"/>
      <c r="AL1183" s="134"/>
      <c r="AM1183" s="146"/>
      <c r="AN1183" s="132"/>
      <c r="AO1183" s="132"/>
      <c r="AP1183" s="132"/>
      <c r="AQ1183" s="132"/>
      <c r="AR1183" s="134"/>
      <c r="AS1183" s="134"/>
      <c r="AT1183" s="132"/>
      <c r="AU1183" s="133"/>
      <c r="AV1183" s="134"/>
    </row>
    <row r="1184" spans="1:48">
      <c r="A1184" s="74">
        <v>23110</v>
      </c>
      <c r="B1184" s="74" t="s">
        <v>228</v>
      </c>
      <c r="C1184" s="74" t="s">
        <v>673</v>
      </c>
      <c r="D1184" s="74">
        <v>1000</v>
      </c>
      <c r="E1184" s="73">
        <v>9.4999998807907104E-2</v>
      </c>
      <c r="F1184" s="73">
        <v>0.85000002384185791</v>
      </c>
      <c r="G1184" s="73">
        <v>5.9999998658895493E-2</v>
      </c>
      <c r="H1184" s="73">
        <v>0</v>
      </c>
      <c r="I1184" s="190">
        <v>3785.7640000000001</v>
      </c>
      <c r="J1184" s="134" t="str">
        <f t="shared" si="137"/>
        <v>ignore</v>
      </c>
      <c r="K1184" s="134" t="str">
        <f t="shared" si="138"/>
        <v>R11</v>
      </c>
      <c r="L1184" s="134" t="str">
        <f t="shared" si="139"/>
        <v>R11</v>
      </c>
      <c r="M1184" s="146" t="str">
        <f t="shared" si="135"/>
        <v>Better</v>
      </c>
      <c r="N1184" s="146" t="str">
        <f t="shared" si="136"/>
        <v>Double</v>
      </c>
      <c r="O1184" s="146" t="str">
        <f t="shared" si="140"/>
        <v>Electric ZonalR11R11BetterDouble</v>
      </c>
      <c r="P1184" s="134" t="str">
        <f t="shared" si="141"/>
        <v>error</v>
      </c>
      <c r="Q1184" s="134"/>
      <c r="R1184" s="134"/>
      <c r="S1184" s="134"/>
      <c r="T1184" s="134"/>
      <c r="U1184" s="134"/>
      <c r="V1184" s="134"/>
      <c r="W1184" s="134"/>
      <c r="X1184" s="134"/>
      <c r="Y1184" s="134"/>
      <c r="Z1184" s="134"/>
      <c r="AA1184" s="134"/>
      <c r="AB1184" s="134"/>
      <c r="AC1184" s="134"/>
      <c r="AD1184" s="134"/>
      <c r="AE1184" s="134"/>
      <c r="AF1184" s="146"/>
      <c r="AG1184" s="134"/>
      <c r="AH1184" s="134"/>
      <c r="AI1184" s="134"/>
      <c r="AJ1184" s="134"/>
      <c r="AK1184" s="134"/>
      <c r="AL1184" s="134"/>
      <c r="AM1184" s="146"/>
      <c r="AN1184" s="132"/>
      <c r="AO1184" s="132"/>
      <c r="AP1184" s="132"/>
      <c r="AQ1184" s="132"/>
      <c r="AR1184" s="134"/>
      <c r="AS1184" s="134"/>
      <c r="AT1184" s="132"/>
      <c r="AU1184" s="133"/>
      <c r="AV1184" s="134"/>
    </row>
    <row r="1185" spans="1:48">
      <c r="A1185" s="74">
        <v>23112</v>
      </c>
      <c r="B1185" s="74" t="s">
        <v>228</v>
      </c>
      <c r="C1185" s="74">
        <v>2</v>
      </c>
      <c r="D1185" s="74">
        <v>2822</v>
      </c>
      <c r="E1185" s="73">
        <v>2.500000037252903E-2</v>
      </c>
      <c r="F1185" s="73">
        <v>0.44999998807907104</v>
      </c>
      <c r="G1185" s="73">
        <v>5.9999998658895493E-2</v>
      </c>
      <c r="H1185" s="73">
        <v>0</v>
      </c>
      <c r="I1185" s="190">
        <v>1904.288</v>
      </c>
      <c r="J1185" s="134" t="str">
        <f t="shared" si="137"/>
        <v>keep</v>
      </c>
      <c r="K1185" s="134" t="str">
        <f t="shared" si="138"/>
        <v>R38</v>
      </c>
      <c r="L1185" s="134" t="str">
        <f t="shared" si="139"/>
        <v>R11</v>
      </c>
      <c r="M1185" s="146" t="str">
        <f t="shared" si="135"/>
        <v>Slab</v>
      </c>
      <c r="N1185" s="146" t="str">
        <f t="shared" si="136"/>
        <v>Better</v>
      </c>
      <c r="O1185" s="146" t="str">
        <f t="shared" si="140"/>
        <v>Electric ZonalR38R11SlabBetter</v>
      </c>
      <c r="P1185" s="134" t="str">
        <f t="shared" si="141"/>
        <v>Slab</v>
      </c>
      <c r="Q1185" s="134"/>
      <c r="R1185" s="134"/>
      <c r="S1185" s="134"/>
      <c r="T1185" s="134"/>
      <c r="U1185" s="134"/>
      <c r="V1185" s="134"/>
      <c r="W1185" s="134"/>
      <c r="X1185" s="134"/>
      <c r="Y1185" s="134"/>
      <c r="Z1185" s="134"/>
      <c r="AA1185" s="134"/>
      <c r="AB1185" s="134"/>
      <c r="AC1185" s="134"/>
      <c r="AD1185" s="134"/>
      <c r="AE1185" s="134"/>
      <c r="AF1185" s="146"/>
      <c r="AG1185" s="134"/>
      <c r="AH1185" s="134"/>
      <c r="AI1185" s="134"/>
      <c r="AJ1185" s="134"/>
      <c r="AK1185" s="134"/>
      <c r="AL1185" s="134"/>
      <c r="AM1185" s="146"/>
      <c r="AN1185" s="132"/>
      <c r="AO1185" s="132"/>
      <c r="AP1185" s="132"/>
      <c r="AQ1185" s="132"/>
      <c r="AR1185" s="134"/>
      <c r="AS1185" s="134"/>
      <c r="AT1185" s="132"/>
      <c r="AU1185" s="133"/>
      <c r="AV1185" s="134"/>
    </row>
    <row r="1186" spans="1:48">
      <c r="A1186" s="74">
        <v>23119</v>
      </c>
      <c r="B1186" s="74" t="s">
        <v>229</v>
      </c>
      <c r="C1186" s="74">
        <v>4</v>
      </c>
      <c r="D1186" s="74">
        <v>3312</v>
      </c>
      <c r="E1186" s="73">
        <v>8.2999998175849521E-2</v>
      </c>
      <c r="F1186" s="73">
        <v>0.46842104510257121</v>
      </c>
      <c r="G1186" s="73">
        <v>5.9999998658895493E-2</v>
      </c>
      <c r="H1186" s="73">
        <v>0</v>
      </c>
      <c r="I1186" s="190">
        <v>1612.692</v>
      </c>
      <c r="J1186" s="134" t="str">
        <f t="shared" si="137"/>
        <v>keep</v>
      </c>
      <c r="K1186" s="134" t="str">
        <f t="shared" si="138"/>
        <v>R19</v>
      </c>
      <c r="L1186" s="134" t="str">
        <f t="shared" si="139"/>
        <v>R11</v>
      </c>
      <c r="M1186" s="146" t="str">
        <f t="shared" si="135"/>
        <v>Basement</v>
      </c>
      <c r="N1186" s="146" t="str">
        <f t="shared" si="136"/>
        <v>Better</v>
      </c>
      <c r="O1186" s="146" t="str">
        <f t="shared" si="140"/>
        <v>Heat PumpR19R11BasementBetter</v>
      </c>
      <c r="P1186" s="134" t="str">
        <f t="shared" si="141"/>
        <v>Basement</v>
      </c>
      <c r="Q1186" s="134"/>
      <c r="R1186" s="134"/>
      <c r="S1186" s="134"/>
      <c r="T1186" s="134"/>
      <c r="U1186" s="134"/>
      <c r="V1186" s="134"/>
      <c r="W1186" s="134"/>
      <c r="X1186" s="134"/>
      <c r="Y1186" s="134"/>
      <c r="Z1186" s="134"/>
      <c r="AA1186" s="134"/>
      <c r="AB1186" s="134"/>
      <c r="AC1186" s="134"/>
      <c r="AD1186" s="134"/>
      <c r="AE1186" s="134"/>
      <c r="AF1186" s="146"/>
      <c r="AG1186" s="134"/>
      <c r="AH1186" s="134"/>
      <c r="AI1186" s="134"/>
      <c r="AJ1186" s="134"/>
      <c r="AK1186" s="134"/>
      <c r="AL1186" s="134"/>
      <c r="AM1186" s="146"/>
      <c r="AN1186" s="132"/>
      <c r="AO1186" s="132"/>
      <c r="AP1186" s="132"/>
      <c r="AQ1186" s="132"/>
      <c r="AR1186" s="134"/>
      <c r="AS1186" s="134"/>
      <c r="AT1186" s="132"/>
      <c r="AU1186" s="133"/>
      <c r="AV1186" s="134"/>
    </row>
    <row r="1187" spans="1:48">
      <c r="A1187" s="74">
        <v>23155</v>
      </c>
      <c r="B1187" s="74" t="s">
        <v>228</v>
      </c>
      <c r="C1187" s="74">
        <v>1</v>
      </c>
      <c r="D1187" s="74">
        <v>1825</v>
      </c>
      <c r="E1187" s="73">
        <v>5.000000074505806E-2</v>
      </c>
      <c r="F1187" s="73">
        <v>0.85000002384185791</v>
      </c>
      <c r="G1187" s="73">
        <v>7.9999998211860657E-2</v>
      </c>
      <c r="H1187" s="73">
        <v>0.23000000417232513</v>
      </c>
      <c r="I1187" s="190">
        <v>2079.9929999999999</v>
      </c>
      <c r="J1187" s="134" t="str">
        <f t="shared" si="137"/>
        <v>keep</v>
      </c>
      <c r="K1187" s="134" t="str">
        <f t="shared" si="138"/>
        <v>R30</v>
      </c>
      <c r="L1187" s="134" t="str">
        <f t="shared" si="139"/>
        <v>R11</v>
      </c>
      <c r="M1187" s="146" t="str">
        <f t="shared" si="135"/>
        <v>R0</v>
      </c>
      <c r="N1187" s="146" t="str">
        <f t="shared" si="136"/>
        <v>Double</v>
      </c>
      <c r="O1187" s="146" t="str">
        <f t="shared" si="140"/>
        <v>Electric ZonalR30R11R0Double</v>
      </c>
      <c r="P1187" s="134" t="str">
        <f t="shared" si="141"/>
        <v>Crawlspace</v>
      </c>
      <c r="Q1187" s="134"/>
      <c r="R1187" s="134"/>
      <c r="S1187" s="134"/>
      <c r="T1187" s="134"/>
      <c r="U1187" s="134"/>
      <c r="V1187" s="134"/>
      <c r="W1187" s="134"/>
      <c r="X1187" s="134"/>
      <c r="Y1187" s="134"/>
      <c r="Z1187" s="134"/>
      <c r="AA1187" s="134"/>
      <c r="AB1187" s="134"/>
      <c r="AC1187" s="134"/>
      <c r="AD1187" s="134"/>
      <c r="AE1187" s="134"/>
      <c r="AF1187" s="146"/>
      <c r="AG1187" s="134"/>
      <c r="AH1187" s="134"/>
      <c r="AI1187" s="134"/>
      <c r="AJ1187" s="134"/>
      <c r="AK1187" s="134"/>
      <c r="AL1187" s="134"/>
      <c r="AM1187" s="146"/>
      <c r="AN1187" s="132"/>
      <c r="AO1187" s="132"/>
      <c r="AP1187" s="132"/>
      <c r="AQ1187" s="132"/>
      <c r="AR1187" s="134"/>
      <c r="AS1187" s="134"/>
      <c r="AT1187" s="132"/>
      <c r="AU1187" s="133"/>
      <c r="AV1187" s="134"/>
    </row>
    <row r="1188" spans="1:48">
      <c r="A1188" s="74">
        <v>23185</v>
      </c>
      <c r="B1188" s="74" t="s">
        <v>229</v>
      </c>
      <c r="C1188" s="74">
        <v>4</v>
      </c>
      <c r="D1188" s="74">
        <v>3558</v>
      </c>
      <c r="E1188" s="73">
        <v>1.9999999552965164E-2</v>
      </c>
      <c r="F1188" s="73">
        <v>0.44999998807907104</v>
      </c>
      <c r="G1188" s="73">
        <v>4.0566250508902162E-2</v>
      </c>
      <c r="H1188" s="73">
        <v>0</v>
      </c>
      <c r="I1188" s="190">
        <v>1144.6790000000001</v>
      </c>
      <c r="J1188" s="134" t="str">
        <f t="shared" si="137"/>
        <v>keep</v>
      </c>
      <c r="K1188" s="134" t="str">
        <f t="shared" si="138"/>
        <v>R38</v>
      </c>
      <c r="L1188" s="134" t="str">
        <f t="shared" si="139"/>
        <v>R11</v>
      </c>
      <c r="M1188" s="146" t="str">
        <f t="shared" si="135"/>
        <v>Basement</v>
      </c>
      <c r="N1188" s="146" t="str">
        <f t="shared" si="136"/>
        <v>Better</v>
      </c>
      <c r="O1188" s="146" t="str">
        <f t="shared" si="140"/>
        <v>Heat PumpR38R11BasementBetter</v>
      </c>
      <c r="P1188" s="134" t="str">
        <f t="shared" si="141"/>
        <v>Basement</v>
      </c>
      <c r="Q1188" s="134"/>
      <c r="R1188" s="134"/>
      <c r="S1188" s="134"/>
      <c r="T1188" s="134"/>
      <c r="U1188" s="134"/>
      <c r="V1188" s="134"/>
      <c r="W1188" s="134"/>
      <c r="X1188" s="134"/>
      <c r="Y1188" s="134"/>
      <c r="Z1188" s="134"/>
      <c r="AA1188" s="134"/>
      <c r="AB1188" s="134"/>
      <c r="AC1188" s="134"/>
      <c r="AD1188" s="134"/>
      <c r="AE1188" s="134"/>
      <c r="AF1188" s="146"/>
      <c r="AG1188" s="134"/>
      <c r="AH1188" s="134"/>
      <c r="AI1188" s="134"/>
      <c r="AJ1188" s="134"/>
      <c r="AK1188" s="134"/>
      <c r="AL1188" s="134"/>
      <c r="AM1188" s="146"/>
      <c r="AN1188" s="132"/>
      <c r="AO1188" s="132"/>
      <c r="AP1188" s="132"/>
      <c r="AQ1188" s="132"/>
      <c r="AR1188" s="134"/>
      <c r="AS1188" s="134"/>
      <c r="AT1188" s="132"/>
      <c r="AU1188" s="133"/>
      <c r="AV1188" s="134"/>
    </row>
    <row r="1189" spans="1:48">
      <c r="A1189" s="74">
        <v>23233</v>
      </c>
      <c r="B1189" s="74" t="s">
        <v>229</v>
      </c>
      <c r="C1189" s="74">
        <v>2</v>
      </c>
      <c r="D1189" s="74">
        <v>2320</v>
      </c>
      <c r="E1189" s="73">
        <v>6.6850596782711852E-2</v>
      </c>
      <c r="F1189" s="73">
        <v>0.60000002384185791</v>
      </c>
      <c r="G1189" s="73">
        <v>5.3787528823278238E-2</v>
      </c>
      <c r="H1189" s="73">
        <v>0</v>
      </c>
      <c r="I1189" s="190">
        <v>1904.288</v>
      </c>
      <c r="J1189" s="134" t="str">
        <f t="shared" si="137"/>
        <v>keep</v>
      </c>
      <c r="K1189" s="134" t="str">
        <f t="shared" si="138"/>
        <v>R19</v>
      </c>
      <c r="L1189" s="134" t="str">
        <f t="shared" si="139"/>
        <v>R11</v>
      </c>
      <c r="M1189" s="146" t="str">
        <f t="shared" si="135"/>
        <v>Slab</v>
      </c>
      <c r="N1189" s="146" t="str">
        <f t="shared" si="136"/>
        <v>Better</v>
      </c>
      <c r="O1189" s="146" t="str">
        <f t="shared" si="140"/>
        <v>Heat PumpR19R11SlabBetter</v>
      </c>
      <c r="P1189" s="134" t="str">
        <f t="shared" si="141"/>
        <v>Slab</v>
      </c>
      <c r="Q1189" s="134"/>
      <c r="R1189" s="134"/>
      <c r="S1189" s="134"/>
      <c r="T1189" s="134"/>
      <c r="U1189" s="134"/>
      <c r="V1189" s="134"/>
      <c r="W1189" s="134"/>
      <c r="X1189" s="134"/>
      <c r="Y1189" s="134"/>
      <c r="Z1189" s="134"/>
      <c r="AA1189" s="134"/>
      <c r="AB1189" s="134"/>
      <c r="AC1189" s="134"/>
      <c r="AD1189" s="134"/>
      <c r="AE1189" s="134"/>
      <c r="AF1189" s="146"/>
      <c r="AG1189" s="134"/>
      <c r="AH1189" s="134"/>
      <c r="AI1189" s="134"/>
      <c r="AJ1189" s="134"/>
      <c r="AK1189" s="134"/>
      <c r="AL1189" s="134"/>
      <c r="AM1189" s="146"/>
      <c r="AN1189" s="132"/>
      <c r="AO1189" s="132"/>
      <c r="AP1189" s="132"/>
      <c r="AQ1189" s="132"/>
      <c r="AR1189" s="134"/>
      <c r="AS1189" s="134"/>
      <c r="AT1189" s="132"/>
      <c r="AU1189" s="133"/>
      <c r="AV1189" s="134"/>
    </row>
    <row r="1190" spans="1:48">
      <c r="A1190" s="74">
        <v>23241</v>
      </c>
      <c r="B1190" s="74" t="s">
        <v>229</v>
      </c>
      <c r="C1190" s="74">
        <v>1</v>
      </c>
      <c r="D1190" s="74">
        <v>1800</v>
      </c>
      <c r="E1190" s="73">
        <v>7.9999998211860657E-2</v>
      </c>
      <c r="F1190" s="73">
        <v>0.60000002384185791</v>
      </c>
      <c r="G1190" s="73">
        <v>0.11999999731779099</v>
      </c>
      <c r="H1190" s="73">
        <v>3.5000000149011612E-2</v>
      </c>
      <c r="I1190" s="190">
        <v>2079.9929999999999</v>
      </c>
      <c r="J1190" s="134" t="str">
        <f t="shared" si="137"/>
        <v>keep</v>
      </c>
      <c r="K1190" s="134" t="str">
        <f t="shared" si="138"/>
        <v>R19</v>
      </c>
      <c r="L1190" s="134" t="str">
        <f t="shared" si="139"/>
        <v>R11</v>
      </c>
      <c r="M1190" s="146" t="str">
        <f t="shared" si="135"/>
        <v>Better</v>
      </c>
      <c r="N1190" s="146" t="str">
        <f t="shared" si="136"/>
        <v>Better</v>
      </c>
      <c r="O1190" s="146" t="str">
        <f t="shared" si="140"/>
        <v>Heat PumpR19R11BetterBetter</v>
      </c>
      <c r="P1190" s="134" t="str">
        <f t="shared" si="141"/>
        <v>Crawlspace</v>
      </c>
      <c r="Q1190" s="134"/>
      <c r="R1190" s="134"/>
      <c r="S1190" s="134"/>
      <c r="T1190" s="134"/>
      <c r="U1190" s="134"/>
      <c r="V1190" s="134"/>
      <c r="W1190" s="134"/>
      <c r="X1190" s="134"/>
      <c r="Y1190" s="134"/>
      <c r="Z1190" s="134"/>
      <c r="AA1190" s="134"/>
      <c r="AB1190" s="134"/>
      <c r="AC1190" s="134"/>
      <c r="AD1190" s="134"/>
      <c r="AE1190" s="134"/>
      <c r="AF1190" s="146"/>
      <c r="AG1190" s="134"/>
      <c r="AH1190" s="134"/>
      <c r="AI1190" s="134"/>
      <c r="AJ1190" s="134"/>
      <c r="AK1190" s="134"/>
      <c r="AL1190" s="134"/>
      <c r="AM1190" s="146"/>
      <c r="AN1190" s="132"/>
      <c r="AO1190" s="132"/>
      <c r="AP1190" s="132"/>
      <c r="AQ1190" s="132"/>
      <c r="AR1190" s="134"/>
      <c r="AS1190" s="134"/>
      <c r="AT1190" s="132"/>
      <c r="AU1190" s="133"/>
      <c r="AV1190" s="134"/>
    </row>
    <row r="1191" spans="1:48">
      <c r="A1191" s="74">
        <v>23282</v>
      </c>
      <c r="B1191" s="74" t="s">
        <v>229</v>
      </c>
      <c r="C1191" s="74">
        <v>4</v>
      </c>
      <c r="D1191" s="74">
        <v>3068</v>
      </c>
      <c r="E1191" s="73">
        <v>0.15000000596046448</v>
      </c>
      <c r="F1191" s="73">
        <v>0.75</v>
      </c>
      <c r="G1191" s="73">
        <v>5.9999998658895493E-2</v>
      </c>
      <c r="H1191" s="73">
        <v>0</v>
      </c>
      <c r="I1191" s="190">
        <v>3785.7640000000001</v>
      </c>
      <c r="J1191" s="134" t="str">
        <f t="shared" si="137"/>
        <v>keep</v>
      </c>
      <c r="K1191" s="134" t="str">
        <f t="shared" si="138"/>
        <v>R0</v>
      </c>
      <c r="L1191" s="134" t="str">
        <f t="shared" si="139"/>
        <v>R11</v>
      </c>
      <c r="M1191" s="146" t="str">
        <f t="shared" si="135"/>
        <v>Basement</v>
      </c>
      <c r="N1191" s="146" t="str">
        <f t="shared" si="136"/>
        <v>Better</v>
      </c>
      <c r="O1191" s="146" t="str">
        <f t="shared" si="140"/>
        <v>Heat PumpR0R11BasementBetter</v>
      </c>
      <c r="P1191" s="134" t="str">
        <f t="shared" si="141"/>
        <v>Basement</v>
      </c>
      <c r="Q1191" s="134"/>
      <c r="R1191" s="134"/>
      <c r="S1191" s="134"/>
      <c r="T1191" s="134"/>
      <c r="U1191" s="134"/>
      <c r="V1191" s="134"/>
      <c r="W1191" s="134"/>
      <c r="X1191" s="134"/>
      <c r="Y1191" s="134"/>
      <c r="Z1191" s="134"/>
      <c r="AA1191" s="134"/>
      <c r="AB1191" s="134"/>
      <c r="AC1191" s="134"/>
      <c r="AD1191" s="134"/>
      <c r="AE1191" s="134"/>
      <c r="AF1191" s="146"/>
      <c r="AG1191" s="134"/>
      <c r="AH1191" s="134"/>
      <c r="AI1191" s="134"/>
      <c r="AJ1191" s="134"/>
      <c r="AK1191" s="134"/>
      <c r="AL1191" s="134"/>
      <c r="AM1191" s="146"/>
      <c r="AN1191" s="132"/>
      <c r="AO1191" s="132"/>
      <c r="AP1191" s="132"/>
      <c r="AQ1191" s="132"/>
      <c r="AR1191" s="134"/>
      <c r="AS1191" s="134"/>
      <c r="AT1191" s="132"/>
      <c r="AU1191" s="133"/>
      <c r="AV1191" s="134"/>
    </row>
    <row r="1192" spans="1:48">
      <c r="A1192" s="74">
        <v>23287</v>
      </c>
      <c r="B1192" s="74" t="s">
        <v>229</v>
      </c>
      <c r="C1192" s="74">
        <v>1</v>
      </c>
      <c r="D1192" s="74">
        <v>1637</v>
      </c>
      <c r="E1192" s="73">
        <v>2.500000037252903E-2</v>
      </c>
      <c r="F1192" s="73">
        <v>0.46524724446155213</v>
      </c>
      <c r="G1192" s="73">
        <v>5.9999998658895493E-2</v>
      </c>
      <c r="H1192" s="73">
        <v>3.5000000149011612E-2</v>
      </c>
      <c r="I1192" s="190">
        <v>1612.692</v>
      </c>
      <c r="J1192" s="134" t="str">
        <f t="shared" si="137"/>
        <v>keep</v>
      </c>
      <c r="K1192" s="134" t="str">
        <f t="shared" si="138"/>
        <v>R38</v>
      </c>
      <c r="L1192" s="134" t="str">
        <f t="shared" si="139"/>
        <v>R11</v>
      </c>
      <c r="M1192" s="146" t="str">
        <f t="shared" si="135"/>
        <v>Better</v>
      </c>
      <c r="N1192" s="146" t="str">
        <f t="shared" si="136"/>
        <v>Better</v>
      </c>
      <c r="O1192" s="146" t="str">
        <f t="shared" si="140"/>
        <v>Heat PumpR38R11BetterBetter</v>
      </c>
      <c r="P1192" s="134" t="str">
        <f t="shared" si="141"/>
        <v>Crawlspace</v>
      </c>
      <c r="Q1192" s="134"/>
      <c r="R1192" s="134"/>
      <c r="S1192" s="134"/>
      <c r="T1192" s="134"/>
      <c r="U1192" s="134"/>
      <c r="V1192" s="134"/>
      <c r="W1192" s="134"/>
      <c r="X1192" s="134"/>
      <c r="Y1192" s="134"/>
      <c r="Z1192" s="134"/>
      <c r="AA1192" s="134"/>
      <c r="AB1192" s="134"/>
      <c r="AC1192" s="134"/>
      <c r="AD1192" s="134"/>
      <c r="AE1192" s="134"/>
      <c r="AF1192" s="146"/>
      <c r="AG1192" s="134"/>
      <c r="AH1192" s="134"/>
      <c r="AI1192" s="134"/>
      <c r="AJ1192" s="134"/>
      <c r="AK1192" s="134"/>
      <c r="AL1192" s="134"/>
      <c r="AM1192" s="146"/>
      <c r="AN1192" s="132"/>
      <c r="AO1192" s="132"/>
      <c r="AP1192" s="132"/>
      <c r="AQ1192" s="132"/>
      <c r="AR1192" s="134"/>
      <c r="AS1192" s="134"/>
      <c r="AT1192" s="132"/>
      <c r="AU1192" s="133"/>
      <c r="AV1192" s="134"/>
    </row>
    <row r="1193" spans="1:48">
      <c r="A1193" s="74">
        <v>23294</v>
      </c>
      <c r="B1193" s="74" t="s">
        <v>229</v>
      </c>
      <c r="C1193" s="74">
        <v>4</v>
      </c>
      <c r="D1193" s="74">
        <v>4736</v>
      </c>
      <c r="E1193" s="73">
        <v>2.500000037252903E-2</v>
      </c>
      <c r="F1193" s="73">
        <v>0.55000001192092896</v>
      </c>
      <c r="G1193" s="73">
        <v>4.5000001788139343E-2</v>
      </c>
      <c r="H1193" s="73">
        <v>2.9999999329447746E-2</v>
      </c>
      <c r="I1193" s="190">
        <v>1904.288</v>
      </c>
      <c r="J1193" s="134" t="str">
        <f t="shared" si="137"/>
        <v>keep</v>
      </c>
      <c r="K1193" s="134" t="str">
        <f t="shared" si="138"/>
        <v>R38</v>
      </c>
      <c r="L1193" s="134" t="str">
        <f t="shared" si="139"/>
        <v>R11</v>
      </c>
      <c r="M1193" s="146" t="str">
        <f t="shared" si="135"/>
        <v>Basement</v>
      </c>
      <c r="N1193" s="146" t="str">
        <f t="shared" si="136"/>
        <v>Better</v>
      </c>
      <c r="O1193" s="146" t="str">
        <f t="shared" si="140"/>
        <v>Heat PumpR38R11BasementBetter</v>
      </c>
      <c r="P1193" s="134" t="str">
        <f t="shared" si="141"/>
        <v>Basement</v>
      </c>
      <c r="Q1193" s="134"/>
      <c r="R1193" s="134"/>
      <c r="S1193" s="134"/>
      <c r="T1193" s="134"/>
      <c r="U1193" s="134"/>
      <c r="V1193" s="134"/>
      <c r="W1193" s="134"/>
      <c r="X1193" s="134"/>
      <c r="Y1193" s="134"/>
      <c r="Z1193" s="134"/>
      <c r="AA1193" s="134"/>
      <c r="AB1193" s="134"/>
      <c r="AC1193" s="134"/>
      <c r="AD1193" s="134"/>
      <c r="AE1193" s="134"/>
      <c r="AF1193" s="146"/>
      <c r="AG1193" s="134"/>
      <c r="AH1193" s="134"/>
      <c r="AI1193" s="134"/>
      <c r="AJ1193" s="134"/>
      <c r="AK1193" s="134"/>
      <c r="AL1193" s="134"/>
      <c r="AM1193" s="146"/>
      <c r="AN1193" s="132"/>
      <c r="AO1193" s="132"/>
      <c r="AP1193" s="132"/>
      <c r="AQ1193" s="132"/>
      <c r="AR1193" s="134"/>
      <c r="AS1193" s="134"/>
      <c r="AT1193" s="132"/>
      <c r="AU1193" s="133"/>
      <c r="AV1193" s="134"/>
    </row>
    <row r="1194" spans="1:48">
      <c r="A1194" s="74">
        <v>23300</v>
      </c>
      <c r="B1194" s="74" t="s">
        <v>229</v>
      </c>
      <c r="C1194" s="74">
        <v>1</v>
      </c>
      <c r="D1194" s="74">
        <v>1339</v>
      </c>
      <c r="E1194" s="73">
        <v>0.10999999940395355</v>
      </c>
      <c r="F1194" s="73">
        <v>0.44999998807907104</v>
      </c>
      <c r="G1194" s="73">
        <v>0.23400000000000001</v>
      </c>
      <c r="H1194" s="73">
        <v>6.4999997615814209E-2</v>
      </c>
      <c r="I1194" s="190">
        <v>1925.059</v>
      </c>
      <c r="J1194" s="134" t="str">
        <f t="shared" si="137"/>
        <v>keep</v>
      </c>
      <c r="K1194" s="134" t="str">
        <f t="shared" si="138"/>
        <v>R11</v>
      </c>
      <c r="L1194" s="134" t="str">
        <f t="shared" si="139"/>
        <v>R0</v>
      </c>
      <c r="M1194" s="146" t="str">
        <f t="shared" si="135"/>
        <v>R19</v>
      </c>
      <c r="N1194" s="146" t="str">
        <f t="shared" si="136"/>
        <v>Better</v>
      </c>
      <c r="O1194" s="146" t="str">
        <f t="shared" si="140"/>
        <v>Heat PumpR11R0R19Better</v>
      </c>
      <c r="P1194" s="134" t="str">
        <f t="shared" si="141"/>
        <v>Crawlspace</v>
      </c>
      <c r="Q1194" s="134"/>
      <c r="R1194" s="134"/>
      <c r="S1194" s="134"/>
      <c r="T1194" s="134"/>
      <c r="U1194" s="134"/>
      <c r="V1194" s="134"/>
      <c r="W1194" s="134"/>
      <c r="X1194" s="134"/>
      <c r="Y1194" s="134"/>
      <c r="Z1194" s="134"/>
      <c r="AA1194" s="134"/>
      <c r="AB1194" s="134"/>
      <c r="AC1194" s="134"/>
      <c r="AD1194" s="134"/>
      <c r="AE1194" s="134"/>
      <c r="AF1194" s="146"/>
      <c r="AG1194" s="134"/>
      <c r="AH1194" s="134"/>
      <c r="AI1194" s="134"/>
      <c r="AJ1194" s="134"/>
      <c r="AK1194" s="134"/>
      <c r="AL1194" s="134"/>
      <c r="AM1194" s="146"/>
      <c r="AN1194" s="132"/>
      <c r="AO1194" s="132"/>
      <c r="AP1194" s="132"/>
      <c r="AQ1194" s="132"/>
      <c r="AR1194" s="134"/>
      <c r="AS1194" s="134"/>
      <c r="AT1194" s="132"/>
      <c r="AU1194" s="133"/>
      <c r="AV1194" s="134"/>
    </row>
    <row r="1195" spans="1:48">
      <c r="A1195" s="74">
        <v>23345</v>
      </c>
      <c r="B1195" s="74" t="s">
        <v>229</v>
      </c>
      <c r="C1195" s="74">
        <v>1</v>
      </c>
      <c r="D1195" s="74">
        <v>2698</v>
      </c>
      <c r="E1195" s="73">
        <v>9.0000003576278687E-2</v>
      </c>
      <c r="F1195" s="73">
        <v>0.58481622998903526</v>
      </c>
      <c r="G1195" s="73">
        <v>5.9999998658895493E-2</v>
      </c>
      <c r="H1195" s="73">
        <v>3.5000000149011612E-2</v>
      </c>
      <c r="I1195" s="190">
        <v>2079.9929999999999</v>
      </c>
      <c r="J1195" s="134" t="str">
        <f t="shared" si="137"/>
        <v>keep</v>
      </c>
      <c r="K1195" s="134" t="str">
        <f t="shared" si="138"/>
        <v>R11</v>
      </c>
      <c r="L1195" s="134" t="str">
        <f t="shared" si="139"/>
        <v>R11</v>
      </c>
      <c r="M1195" s="146" t="str">
        <f t="shared" si="135"/>
        <v>Better</v>
      </c>
      <c r="N1195" s="146" t="str">
        <f t="shared" si="136"/>
        <v>Better</v>
      </c>
      <c r="O1195" s="146" t="str">
        <f t="shared" si="140"/>
        <v>Heat PumpR11R11BetterBetter</v>
      </c>
      <c r="P1195" s="134" t="str">
        <f t="shared" si="141"/>
        <v>Crawlspace</v>
      </c>
      <c r="Q1195" s="134"/>
      <c r="R1195" s="134"/>
      <c r="S1195" s="134"/>
      <c r="T1195" s="134"/>
      <c r="U1195" s="134"/>
      <c r="V1195" s="134"/>
      <c r="W1195" s="134"/>
      <c r="X1195" s="134"/>
      <c r="Y1195" s="134"/>
      <c r="Z1195" s="134"/>
      <c r="AA1195" s="134"/>
      <c r="AB1195" s="134"/>
      <c r="AC1195" s="134"/>
      <c r="AD1195" s="134"/>
      <c r="AE1195" s="134"/>
      <c r="AF1195" s="146"/>
      <c r="AG1195" s="134"/>
      <c r="AH1195" s="134"/>
      <c r="AI1195" s="134"/>
      <c r="AJ1195" s="134"/>
      <c r="AK1195" s="134"/>
      <c r="AL1195" s="134"/>
      <c r="AM1195" s="146"/>
      <c r="AN1195" s="132"/>
      <c r="AO1195" s="132"/>
      <c r="AP1195" s="132"/>
      <c r="AQ1195" s="132"/>
      <c r="AR1195" s="134"/>
      <c r="AS1195" s="134"/>
      <c r="AT1195" s="132"/>
      <c r="AU1195" s="133"/>
      <c r="AV1195" s="134"/>
    </row>
    <row r="1196" spans="1:48">
      <c r="A1196" s="74">
        <v>23355</v>
      </c>
      <c r="B1196" s="74" t="s">
        <v>228</v>
      </c>
      <c r="C1196" s="74">
        <v>2</v>
      </c>
      <c r="D1196" s="74">
        <v>2064</v>
      </c>
      <c r="E1196" s="73">
        <v>7.5000002980232239E-2</v>
      </c>
      <c r="F1196" s="73">
        <v>0.55000001192092896</v>
      </c>
      <c r="G1196" s="73">
        <v>7.0000000298023224E-2</v>
      </c>
      <c r="H1196" s="73">
        <v>0</v>
      </c>
      <c r="I1196" s="190">
        <v>1192.4649999999999</v>
      </c>
      <c r="J1196" s="134" t="str">
        <f t="shared" si="137"/>
        <v>keep</v>
      </c>
      <c r="K1196" s="134" t="str">
        <f t="shared" si="138"/>
        <v>R19</v>
      </c>
      <c r="L1196" s="134" t="str">
        <f t="shared" si="139"/>
        <v>R11</v>
      </c>
      <c r="M1196" s="146" t="str">
        <f t="shared" si="135"/>
        <v>Slab</v>
      </c>
      <c r="N1196" s="146" t="str">
        <f t="shared" si="136"/>
        <v>Better</v>
      </c>
      <c r="O1196" s="146" t="str">
        <f t="shared" si="140"/>
        <v>Electric ZonalR19R11SlabBetter</v>
      </c>
      <c r="P1196" s="134" t="str">
        <f t="shared" si="141"/>
        <v>Slab</v>
      </c>
      <c r="Q1196" s="134"/>
      <c r="R1196" s="134"/>
      <c r="S1196" s="134"/>
      <c r="T1196" s="134"/>
      <c r="U1196" s="134"/>
      <c r="V1196" s="134"/>
      <c r="W1196" s="134"/>
      <c r="X1196" s="134"/>
      <c r="Y1196" s="134"/>
      <c r="Z1196" s="134"/>
      <c r="AA1196" s="134"/>
      <c r="AB1196" s="134"/>
      <c r="AC1196" s="134"/>
      <c r="AD1196" s="134"/>
      <c r="AE1196" s="134"/>
      <c r="AF1196" s="146"/>
      <c r="AG1196" s="134"/>
      <c r="AH1196" s="134"/>
      <c r="AI1196" s="134"/>
      <c r="AJ1196" s="134"/>
      <c r="AK1196" s="134"/>
      <c r="AL1196" s="134"/>
      <c r="AM1196" s="146"/>
      <c r="AN1196" s="132"/>
      <c r="AO1196" s="132"/>
      <c r="AP1196" s="132"/>
      <c r="AQ1196" s="132"/>
      <c r="AR1196" s="134"/>
      <c r="AS1196" s="134"/>
      <c r="AT1196" s="132"/>
      <c r="AU1196" s="133"/>
      <c r="AV1196" s="134"/>
    </row>
    <row r="1197" spans="1:48">
      <c r="A1197" s="74">
        <v>23379</v>
      </c>
      <c r="B1197" s="74" t="s">
        <v>229</v>
      </c>
      <c r="C1197" s="74">
        <v>4</v>
      </c>
      <c r="D1197" s="74">
        <v>2867</v>
      </c>
      <c r="E1197" s="73">
        <v>5.000000074505806E-2</v>
      </c>
      <c r="F1197" s="73">
        <v>0.80000001192092896</v>
      </c>
      <c r="G1197" s="73">
        <v>7.5000002980232239E-2</v>
      </c>
      <c r="H1197" s="73">
        <v>0</v>
      </c>
      <c r="I1197" s="190">
        <v>12271.31</v>
      </c>
      <c r="J1197" s="134" t="str">
        <f t="shared" si="137"/>
        <v>keep</v>
      </c>
      <c r="K1197" s="134" t="str">
        <f t="shared" si="138"/>
        <v>R30</v>
      </c>
      <c r="L1197" s="134" t="str">
        <f t="shared" si="139"/>
        <v>R11</v>
      </c>
      <c r="M1197" s="146" t="str">
        <f t="shared" si="135"/>
        <v>Basement</v>
      </c>
      <c r="N1197" s="146" t="str">
        <f t="shared" si="136"/>
        <v>Better</v>
      </c>
      <c r="O1197" s="146" t="str">
        <f t="shared" si="140"/>
        <v>Heat PumpR30R11BasementBetter</v>
      </c>
      <c r="P1197" s="134" t="str">
        <f t="shared" si="141"/>
        <v>Basement</v>
      </c>
      <c r="Q1197" s="134"/>
      <c r="R1197" s="134"/>
      <c r="S1197" s="134"/>
      <c r="T1197" s="134"/>
      <c r="U1197" s="134"/>
      <c r="V1197" s="134"/>
      <c r="W1197" s="134"/>
      <c r="X1197" s="134"/>
      <c r="Y1197" s="134"/>
      <c r="Z1197" s="134"/>
      <c r="AA1197" s="134"/>
      <c r="AB1197" s="134"/>
      <c r="AC1197" s="134"/>
      <c r="AD1197" s="134"/>
      <c r="AE1197" s="134"/>
      <c r="AF1197" s="146"/>
      <c r="AG1197" s="134"/>
      <c r="AH1197" s="134"/>
      <c r="AI1197" s="134"/>
      <c r="AJ1197" s="134"/>
      <c r="AK1197" s="134"/>
      <c r="AL1197" s="134"/>
      <c r="AM1197" s="146"/>
      <c r="AN1197" s="132"/>
      <c r="AO1197" s="132"/>
      <c r="AP1197" s="132"/>
      <c r="AQ1197" s="132"/>
      <c r="AR1197" s="134"/>
      <c r="AS1197" s="134"/>
      <c r="AT1197" s="132"/>
      <c r="AU1197" s="133"/>
      <c r="AV1197" s="134"/>
    </row>
    <row r="1198" spans="1:48">
      <c r="A1198" s="74">
        <v>23384</v>
      </c>
      <c r="B1198" s="74" t="s">
        <v>228</v>
      </c>
      <c r="C1198" s="74" t="s">
        <v>673</v>
      </c>
      <c r="D1198" s="74">
        <v>867</v>
      </c>
      <c r="E1198" s="73">
        <v>0.20229527331897271</v>
      </c>
      <c r="F1198" s="73">
        <v>0.45292396468725821</v>
      </c>
      <c r="G1198" s="73">
        <v>0.23400000000000001</v>
      </c>
      <c r="H1198" s="73">
        <v>0.23000000417232513</v>
      </c>
      <c r="I1198" s="190">
        <v>8264.9449999999997</v>
      </c>
      <c r="J1198" s="134" t="str">
        <f t="shared" si="137"/>
        <v>ignore</v>
      </c>
      <c r="K1198" s="134" t="str">
        <f t="shared" si="138"/>
        <v>R0</v>
      </c>
      <c r="L1198" s="134" t="str">
        <f t="shared" si="139"/>
        <v>R0</v>
      </c>
      <c r="M1198" s="146" t="str">
        <f t="shared" si="135"/>
        <v>R0</v>
      </c>
      <c r="N1198" s="146" t="str">
        <f t="shared" si="136"/>
        <v>Better</v>
      </c>
      <c r="O1198" s="146" t="str">
        <f t="shared" si="140"/>
        <v>Electric ZonalR0R0R0Better</v>
      </c>
      <c r="P1198" s="134" t="str">
        <f t="shared" si="141"/>
        <v>error</v>
      </c>
      <c r="Q1198" s="134"/>
      <c r="R1198" s="134"/>
      <c r="S1198" s="134"/>
      <c r="T1198" s="134"/>
      <c r="U1198" s="134"/>
      <c r="V1198" s="134"/>
      <c r="W1198" s="134"/>
      <c r="X1198" s="134"/>
      <c r="Y1198" s="134"/>
      <c r="Z1198" s="134"/>
      <c r="AA1198" s="134"/>
      <c r="AB1198" s="134"/>
      <c r="AC1198" s="134"/>
      <c r="AD1198" s="134"/>
      <c r="AE1198" s="134"/>
      <c r="AF1198" s="146"/>
      <c r="AG1198" s="134"/>
      <c r="AH1198" s="134"/>
      <c r="AI1198" s="134"/>
      <c r="AJ1198" s="134"/>
      <c r="AK1198" s="134"/>
      <c r="AL1198" s="134"/>
      <c r="AM1198" s="146"/>
      <c r="AN1198" s="132"/>
      <c r="AO1198" s="132"/>
      <c r="AP1198" s="132"/>
      <c r="AQ1198" s="132"/>
      <c r="AR1198" s="134"/>
      <c r="AS1198" s="134"/>
      <c r="AT1198" s="132"/>
      <c r="AU1198" s="133"/>
      <c r="AV1198" s="134"/>
    </row>
    <row r="1199" spans="1:48">
      <c r="A1199" s="74">
        <v>23391</v>
      </c>
      <c r="B1199" s="74" t="s">
        <v>229</v>
      </c>
      <c r="C1199" s="74">
        <v>1</v>
      </c>
      <c r="D1199" s="74">
        <v>1512</v>
      </c>
      <c r="E1199" s="73">
        <v>1.9999999552965164E-2</v>
      </c>
      <c r="F1199" s="73">
        <v>0.44999998807907104</v>
      </c>
      <c r="G1199" s="73">
        <v>5.9999998658895493E-2</v>
      </c>
      <c r="H1199" s="73">
        <v>3.5000000149011612E-2</v>
      </c>
      <c r="I1199" s="190">
        <v>1612.692</v>
      </c>
      <c r="J1199" s="134" t="str">
        <f t="shared" si="137"/>
        <v>keep</v>
      </c>
      <c r="K1199" s="134" t="str">
        <f t="shared" si="138"/>
        <v>R38</v>
      </c>
      <c r="L1199" s="134" t="str">
        <f t="shared" si="139"/>
        <v>R11</v>
      </c>
      <c r="M1199" s="146" t="str">
        <f t="shared" si="135"/>
        <v>Better</v>
      </c>
      <c r="N1199" s="146" t="str">
        <f t="shared" si="136"/>
        <v>Better</v>
      </c>
      <c r="O1199" s="146" t="str">
        <f t="shared" si="140"/>
        <v>Heat PumpR38R11BetterBetter</v>
      </c>
      <c r="P1199" s="134" t="str">
        <f t="shared" si="141"/>
        <v>Crawlspace</v>
      </c>
      <c r="Q1199" s="134"/>
      <c r="R1199" s="134"/>
      <c r="S1199" s="134"/>
      <c r="T1199" s="134"/>
      <c r="U1199" s="134"/>
      <c r="V1199" s="134"/>
      <c r="W1199" s="134"/>
      <c r="X1199" s="134"/>
      <c r="Y1199" s="134"/>
      <c r="Z1199" s="134"/>
      <c r="AA1199" s="134"/>
      <c r="AB1199" s="134"/>
      <c r="AC1199" s="134"/>
      <c r="AD1199" s="134"/>
      <c r="AE1199" s="134"/>
      <c r="AF1199" s="146"/>
      <c r="AG1199" s="134"/>
      <c r="AH1199" s="134"/>
      <c r="AI1199" s="134"/>
      <c r="AJ1199" s="134"/>
      <c r="AK1199" s="134"/>
      <c r="AL1199" s="134"/>
      <c r="AM1199" s="146"/>
      <c r="AN1199" s="132"/>
      <c r="AO1199" s="132"/>
      <c r="AP1199" s="132"/>
      <c r="AQ1199" s="132"/>
      <c r="AR1199" s="134"/>
      <c r="AS1199" s="134"/>
      <c r="AT1199" s="132"/>
      <c r="AU1199" s="133"/>
      <c r="AV1199" s="134"/>
    </row>
    <row r="1200" spans="1:48">
      <c r="A1200" s="74">
        <v>23403</v>
      </c>
      <c r="B1200" s="74" t="s">
        <v>229</v>
      </c>
      <c r="C1200" s="74" t="s">
        <v>673</v>
      </c>
      <c r="D1200" s="74">
        <v>1852</v>
      </c>
      <c r="E1200" s="73">
        <v>1.9999999552965164E-2</v>
      </c>
      <c r="F1200" s="73">
        <v>0.44999998807907104</v>
      </c>
      <c r="G1200" s="73">
        <v>0.12999999523162842</v>
      </c>
      <c r="H1200" s="73">
        <v>0.23000000417232513</v>
      </c>
      <c r="I1200" s="190">
        <v>3785.7640000000001</v>
      </c>
      <c r="J1200" s="134" t="str">
        <f t="shared" si="137"/>
        <v>ignore</v>
      </c>
      <c r="K1200" s="134" t="str">
        <f t="shared" si="138"/>
        <v>R38</v>
      </c>
      <c r="L1200" s="134" t="str">
        <f t="shared" si="139"/>
        <v>R11</v>
      </c>
      <c r="M1200" s="146" t="str">
        <f t="shared" si="135"/>
        <v>R0</v>
      </c>
      <c r="N1200" s="146" t="str">
        <f t="shared" si="136"/>
        <v>Better</v>
      </c>
      <c r="O1200" s="146" t="str">
        <f t="shared" si="140"/>
        <v>Heat PumpR38R11R0Better</v>
      </c>
      <c r="P1200" s="134" t="str">
        <f t="shared" si="141"/>
        <v>error</v>
      </c>
      <c r="Q1200" s="134"/>
      <c r="R1200" s="134"/>
      <c r="S1200" s="134"/>
      <c r="T1200" s="134"/>
      <c r="U1200" s="134"/>
      <c r="V1200" s="134"/>
      <c r="W1200" s="134"/>
      <c r="X1200" s="134"/>
      <c r="Y1200" s="134"/>
      <c r="Z1200" s="134"/>
      <c r="AA1200" s="134"/>
      <c r="AB1200" s="134"/>
      <c r="AC1200" s="134"/>
      <c r="AD1200" s="134"/>
      <c r="AE1200" s="134"/>
      <c r="AF1200" s="146"/>
      <c r="AG1200" s="134"/>
      <c r="AH1200" s="134"/>
      <c r="AI1200" s="134"/>
      <c r="AJ1200" s="134"/>
      <c r="AK1200" s="134"/>
      <c r="AL1200" s="134"/>
      <c r="AM1200" s="146"/>
      <c r="AN1200" s="132"/>
      <c r="AO1200" s="132"/>
      <c r="AP1200" s="132"/>
      <c r="AQ1200" s="132"/>
      <c r="AR1200" s="134"/>
      <c r="AS1200" s="134"/>
      <c r="AT1200" s="132"/>
      <c r="AU1200" s="133"/>
      <c r="AV1200" s="134"/>
    </row>
    <row r="1201" spans="1:48">
      <c r="A1201" s="74">
        <v>23424</v>
      </c>
      <c r="B1201" s="74" t="s">
        <v>228</v>
      </c>
      <c r="C1201" s="74">
        <v>2</v>
      </c>
      <c r="D1201" s="74">
        <v>2908</v>
      </c>
      <c r="E1201" s="73">
        <v>1.9999999552965164E-2</v>
      </c>
      <c r="F1201" s="73">
        <v>0.67951542270341103</v>
      </c>
      <c r="G1201" s="73" t="e">
        <v>#VALUE!</v>
      </c>
      <c r="H1201" s="73">
        <v>0</v>
      </c>
      <c r="I1201" s="190">
        <v>3785.7640000000001</v>
      </c>
      <c r="J1201" s="134" t="str">
        <f t="shared" si="137"/>
        <v>ignore</v>
      </c>
      <c r="K1201" s="134" t="str">
        <f t="shared" si="138"/>
        <v>R38</v>
      </c>
      <c r="L1201" s="134" t="e">
        <f t="shared" si="139"/>
        <v>#VALUE!</v>
      </c>
      <c r="M1201" s="146" t="str">
        <f t="shared" si="135"/>
        <v>Slab</v>
      </c>
      <c r="N1201" s="146" t="str">
        <f t="shared" si="136"/>
        <v>Better</v>
      </c>
      <c r="O1201" s="146" t="e">
        <f t="shared" si="140"/>
        <v>#VALUE!</v>
      </c>
      <c r="P1201" s="134" t="str">
        <f t="shared" si="141"/>
        <v>Slab</v>
      </c>
      <c r="Q1201" s="134"/>
      <c r="R1201" s="134"/>
      <c r="S1201" s="134"/>
      <c r="T1201" s="134"/>
      <c r="U1201" s="134"/>
      <c r="V1201" s="134"/>
      <c r="W1201" s="134"/>
      <c r="X1201" s="134"/>
      <c r="Y1201" s="134"/>
      <c r="Z1201" s="134"/>
      <c r="AA1201" s="134"/>
      <c r="AB1201" s="134"/>
      <c r="AC1201" s="134"/>
      <c r="AD1201" s="134"/>
      <c r="AE1201" s="134"/>
      <c r="AF1201" s="146"/>
      <c r="AG1201" s="134"/>
      <c r="AH1201" s="134"/>
      <c r="AI1201" s="134"/>
      <c r="AJ1201" s="134"/>
      <c r="AK1201" s="134"/>
      <c r="AL1201" s="134"/>
      <c r="AM1201" s="146"/>
      <c r="AN1201" s="132"/>
      <c r="AO1201" s="132"/>
      <c r="AP1201" s="132"/>
      <c r="AQ1201" s="132"/>
      <c r="AR1201" s="134"/>
      <c r="AS1201" s="134"/>
      <c r="AT1201" s="132"/>
      <c r="AU1201" s="133"/>
      <c r="AV1201" s="134"/>
    </row>
    <row r="1202" spans="1:48">
      <c r="A1202" s="74">
        <v>23449</v>
      </c>
      <c r="B1202" s="74" t="s">
        <v>228</v>
      </c>
      <c r="C1202" s="74">
        <v>1</v>
      </c>
      <c r="D1202" s="74">
        <v>1444</v>
      </c>
      <c r="E1202" s="73">
        <v>3.6174864551469767E-2</v>
      </c>
      <c r="F1202" s="73">
        <v>0.55000001192092896</v>
      </c>
      <c r="G1202" s="73">
        <v>5.9999998658895493E-2</v>
      </c>
      <c r="H1202" s="73">
        <v>4.5000001788139343E-2</v>
      </c>
      <c r="I1202" s="190">
        <v>8264.9449999999997</v>
      </c>
      <c r="J1202" s="134" t="str">
        <f t="shared" si="137"/>
        <v>keep</v>
      </c>
      <c r="K1202" s="134" t="str">
        <f t="shared" si="138"/>
        <v>R38</v>
      </c>
      <c r="L1202" s="134" t="str">
        <f t="shared" si="139"/>
        <v>R11</v>
      </c>
      <c r="M1202" s="146" t="str">
        <f t="shared" si="135"/>
        <v>Better</v>
      </c>
      <c r="N1202" s="146" t="str">
        <f t="shared" si="136"/>
        <v>Better</v>
      </c>
      <c r="O1202" s="146" t="str">
        <f t="shared" si="140"/>
        <v>Electric ZonalR38R11BetterBetter</v>
      </c>
      <c r="P1202" s="134" t="str">
        <f t="shared" si="141"/>
        <v>Crawlspace</v>
      </c>
      <c r="Q1202" s="134"/>
      <c r="R1202" s="134"/>
      <c r="S1202" s="134"/>
      <c r="T1202" s="134"/>
      <c r="U1202" s="134"/>
      <c r="V1202" s="134"/>
      <c r="W1202" s="134"/>
      <c r="X1202" s="134"/>
      <c r="Y1202" s="134"/>
      <c r="Z1202" s="134"/>
      <c r="AA1202" s="134"/>
      <c r="AB1202" s="134"/>
      <c r="AC1202" s="134"/>
      <c r="AD1202" s="134"/>
      <c r="AE1202" s="134"/>
      <c r="AF1202" s="146"/>
      <c r="AG1202" s="134"/>
      <c r="AH1202" s="134"/>
      <c r="AI1202" s="134"/>
      <c r="AJ1202" s="134"/>
      <c r="AK1202" s="134"/>
      <c r="AL1202" s="134"/>
      <c r="AM1202" s="146"/>
      <c r="AN1202" s="132"/>
      <c r="AO1202" s="132"/>
      <c r="AP1202" s="132"/>
      <c r="AQ1202" s="132"/>
      <c r="AR1202" s="134"/>
      <c r="AS1202" s="134"/>
      <c r="AT1202" s="132"/>
      <c r="AU1202" s="133"/>
      <c r="AV1202" s="134"/>
    </row>
    <row r="1203" spans="1:48">
      <c r="A1203" s="74">
        <v>23465</v>
      </c>
      <c r="B1203" s="74" t="s">
        <v>229</v>
      </c>
      <c r="C1203" s="74">
        <v>1</v>
      </c>
      <c r="D1203" s="74">
        <v>1856</v>
      </c>
      <c r="E1203" s="73">
        <v>2.1159638297261602E-2</v>
      </c>
      <c r="F1203" s="73">
        <v>0.44999998807907104</v>
      </c>
      <c r="G1203" s="73">
        <v>5.9999998658895493E-2</v>
      </c>
      <c r="H1203" s="73">
        <v>3.5000000149011612E-2</v>
      </c>
      <c r="I1203" s="190">
        <v>1925.059</v>
      </c>
      <c r="J1203" s="134" t="str">
        <f t="shared" si="137"/>
        <v>keep</v>
      </c>
      <c r="K1203" s="134" t="str">
        <f t="shared" si="138"/>
        <v>R38</v>
      </c>
      <c r="L1203" s="134" t="str">
        <f t="shared" si="139"/>
        <v>R11</v>
      </c>
      <c r="M1203" s="146" t="str">
        <f t="shared" ref="M1203:M1266" si="142">IF(OR(C1203=4,C1203=3),"Basement",IF(C1203=2,"Slab",IF(H1203&gt;$D$10,$C$10,IF(H1203&gt;$D$11,$C$11,"Better"))))</f>
        <v>Better</v>
      </c>
      <c r="N1203" s="146" t="str">
        <f t="shared" ref="N1203:N1266" si="143">IF(F1203&gt;$D$13,$C$13,IF(F1203&gt;$D$14,$C$14,"Better"))</f>
        <v>Better</v>
      </c>
      <c r="O1203" s="146" t="str">
        <f t="shared" si="140"/>
        <v>Heat PumpR38R11BetterBetter</v>
      </c>
      <c r="P1203" s="134" t="str">
        <f t="shared" si="141"/>
        <v>Crawlspace</v>
      </c>
      <c r="Q1203" s="134"/>
      <c r="R1203" s="134"/>
      <c r="S1203" s="134"/>
      <c r="T1203" s="134"/>
      <c r="U1203" s="134"/>
      <c r="V1203" s="134"/>
      <c r="W1203" s="134"/>
      <c r="X1203" s="134"/>
      <c r="Y1203" s="134"/>
      <c r="Z1203" s="134"/>
      <c r="AA1203" s="134"/>
      <c r="AB1203" s="134"/>
      <c r="AC1203" s="134"/>
      <c r="AD1203" s="134"/>
      <c r="AE1203" s="134"/>
      <c r="AF1203" s="146"/>
      <c r="AG1203" s="134"/>
      <c r="AH1203" s="134"/>
      <c r="AI1203" s="134"/>
      <c r="AJ1203" s="134"/>
      <c r="AK1203" s="134"/>
      <c r="AL1203" s="134"/>
      <c r="AM1203" s="146"/>
      <c r="AN1203" s="132"/>
      <c r="AO1203" s="132"/>
      <c r="AP1203" s="132"/>
      <c r="AQ1203" s="132"/>
      <c r="AR1203" s="134"/>
      <c r="AS1203" s="134"/>
      <c r="AT1203" s="132"/>
      <c r="AU1203" s="133"/>
      <c r="AV1203" s="134"/>
    </row>
    <row r="1204" spans="1:48">
      <c r="A1204" s="74">
        <v>23480</v>
      </c>
      <c r="B1204" s="74" t="s">
        <v>229</v>
      </c>
      <c r="C1204" s="74">
        <v>1</v>
      </c>
      <c r="D1204" s="74">
        <v>1096</v>
      </c>
      <c r="E1204" s="73">
        <v>5.000000074505806E-2</v>
      </c>
      <c r="F1204" s="73">
        <v>0.44999998807907104</v>
      </c>
      <c r="G1204" s="73">
        <v>5.9999998658895493E-2</v>
      </c>
      <c r="H1204" s="73">
        <v>4.5000001788139343E-2</v>
      </c>
      <c r="I1204" s="190">
        <v>1612.692</v>
      </c>
      <c r="J1204" s="134" t="str">
        <f t="shared" ref="J1204:J1267" si="144">IF(OR(C1204="FLAG",ISERROR(PRODUCT(D1204:H1204))),"ignore","keep")</f>
        <v>keep</v>
      </c>
      <c r="K1204" s="134" t="str">
        <f t="shared" ref="K1204:K1267" si="145">IF(E1204&gt;$D$3,$C$3,IF(E1204&gt;$D$4,$C$4,IF(E1204&gt;$D$5,$C$5,IF(E1204&gt;$D$6,$C$6,IF(E1204&gt;$D$7,$C$7,"R38")))))</f>
        <v>R30</v>
      </c>
      <c r="L1204" s="134" t="str">
        <f t="shared" ref="L1204:L1267" si="146">IF(G1204&gt;$D$8,$C$8,"R11")</f>
        <v>R11</v>
      </c>
      <c r="M1204" s="146" t="str">
        <f t="shared" si="142"/>
        <v>Better</v>
      </c>
      <c r="N1204" s="146" t="str">
        <f t="shared" si="143"/>
        <v>Better</v>
      </c>
      <c r="O1204" s="146" t="str">
        <f t="shared" ref="O1204:O1267" si="147">B1204&amp;K1204&amp;L1204&amp;M1204&amp;N1204</f>
        <v>Heat PumpR30R11BetterBetter</v>
      </c>
      <c r="P1204" s="134" t="str">
        <f t="shared" ref="P1204:P1267" si="148">IF(C1204=1,"Crawlspace",IF(C1204=2,"Slab",IF(OR(C1204=3,C1204=4),"Basement","error")))</f>
        <v>Crawlspace</v>
      </c>
      <c r="Q1204" s="134"/>
      <c r="R1204" s="134"/>
      <c r="S1204" s="134"/>
      <c r="T1204" s="134"/>
      <c r="U1204" s="134"/>
      <c r="V1204" s="134"/>
      <c r="W1204" s="134"/>
      <c r="X1204" s="134"/>
      <c r="Y1204" s="134"/>
      <c r="Z1204" s="134"/>
      <c r="AA1204" s="134"/>
      <c r="AB1204" s="134"/>
      <c r="AC1204" s="134"/>
      <c r="AD1204" s="134"/>
      <c r="AE1204" s="134"/>
      <c r="AF1204" s="146"/>
      <c r="AG1204" s="134"/>
      <c r="AH1204" s="134"/>
      <c r="AI1204" s="134"/>
      <c r="AJ1204" s="134"/>
      <c r="AK1204" s="134"/>
      <c r="AL1204" s="134"/>
      <c r="AM1204" s="146"/>
      <c r="AN1204" s="132"/>
      <c r="AO1204" s="132"/>
      <c r="AP1204" s="132"/>
      <c r="AQ1204" s="132"/>
      <c r="AR1204" s="134"/>
      <c r="AS1204" s="134"/>
      <c r="AT1204" s="132"/>
      <c r="AU1204" s="133"/>
      <c r="AV1204" s="134"/>
    </row>
    <row r="1205" spans="1:48">
      <c r="A1205" s="74">
        <v>23486</v>
      </c>
      <c r="B1205" s="74" t="s">
        <v>228</v>
      </c>
      <c r="C1205" s="74">
        <v>1</v>
      </c>
      <c r="D1205" s="74">
        <v>1377</v>
      </c>
      <c r="E1205" s="73">
        <v>0.37000000476837153</v>
      </c>
      <c r="F1205" s="73">
        <v>0.44999998807907104</v>
      </c>
      <c r="G1205" s="73">
        <v>0.23400000000000001</v>
      </c>
      <c r="H1205" s="73">
        <v>0.23000000417232513</v>
      </c>
      <c r="I1205" s="190">
        <v>1612.692</v>
      </c>
      <c r="J1205" s="134" t="str">
        <f t="shared" si="144"/>
        <v>keep</v>
      </c>
      <c r="K1205" s="134" t="str">
        <f t="shared" si="145"/>
        <v>R0</v>
      </c>
      <c r="L1205" s="134" t="str">
        <f t="shared" si="146"/>
        <v>R0</v>
      </c>
      <c r="M1205" s="146" t="str">
        <f t="shared" si="142"/>
        <v>R0</v>
      </c>
      <c r="N1205" s="146" t="str">
        <f t="shared" si="143"/>
        <v>Better</v>
      </c>
      <c r="O1205" s="146" t="str">
        <f t="shared" si="147"/>
        <v>Electric ZonalR0R0R0Better</v>
      </c>
      <c r="P1205" s="134" t="str">
        <f t="shared" si="148"/>
        <v>Crawlspace</v>
      </c>
      <c r="Q1205" s="134"/>
      <c r="R1205" s="134"/>
      <c r="S1205" s="134"/>
      <c r="T1205" s="134"/>
      <c r="U1205" s="134"/>
      <c r="V1205" s="134"/>
      <c r="W1205" s="134"/>
      <c r="X1205" s="134"/>
      <c r="Y1205" s="134"/>
      <c r="Z1205" s="134"/>
      <c r="AA1205" s="134"/>
      <c r="AB1205" s="134"/>
      <c r="AC1205" s="134"/>
      <c r="AD1205" s="134"/>
      <c r="AE1205" s="134"/>
      <c r="AF1205" s="146"/>
      <c r="AG1205" s="134"/>
      <c r="AH1205" s="134"/>
      <c r="AI1205" s="134"/>
      <c r="AJ1205" s="134"/>
      <c r="AK1205" s="134"/>
      <c r="AL1205" s="134"/>
      <c r="AM1205" s="146"/>
      <c r="AN1205" s="132"/>
      <c r="AO1205" s="132"/>
      <c r="AP1205" s="132"/>
      <c r="AQ1205" s="132"/>
      <c r="AR1205" s="134"/>
      <c r="AS1205" s="134"/>
      <c r="AT1205" s="132"/>
      <c r="AU1205" s="133"/>
      <c r="AV1205" s="134"/>
    </row>
    <row r="1206" spans="1:48">
      <c r="A1206" s="74">
        <v>23501</v>
      </c>
      <c r="B1206" s="74" t="s">
        <v>227</v>
      </c>
      <c r="C1206" s="74" t="s">
        <v>673</v>
      </c>
      <c r="D1206" s="74">
        <v>1100</v>
      </c>
      <c r="E1206" s="73">
        <v>0.14499999582767487</v>
      </c>
      <c r="F1206" s="73">
        <v>0.48433475202756893</v>
      </c>
      <c r="G1206" s="73" t="e">
        <v>#VALUE!</v>
      </c>
      <c r="H1206" s="73">
        <v>7.5106035802531598E-2</v>
      </c>
      <c r="I1206" s="190">
        <v>2079.9929999999999</v>
      </c>
      <c r="J1206" s="134" t="str">
        <f t="shared" si="144"/>
        <v>ignore</v>
      </c>
      <c r="K1206" s="134" t="str">
        <f t="shared" si="145"/>
        <v>R11</v>
      </c>
      <c r="L1206" s="134" t="e">
        <f t="shared" si="146"/>
        <v>#VALUE!</v>
      </c>
      <c r="M1206" s="146" t="str">
        <f t="shared" si="142"/>
        <v>R0</v>
      </c>
      <c r="N1206" s="146" t="str">
        <f t="shared" si="143"/>
        <v>Better</v>
      </c>
      <c r="O1206" s="146" t="e">
        <f t="shared" si="147"/>
        <v>#VALUE!</v>
      </c>
      <c r="P1206" s="134" t="str">
        <f t="shared" si="148"/>
        <v>error</v>
      </c>
      <c r="Q1206" s="134"/>
      <c r="R1206" s="134"/>
      <c r="S1206" s="134"/>
      <c r="T1206" s="134"/>
      <c r="U1206" s="134"/>
      <c r="V1206" s="134"/>
      <c r="W1206" s="134"/>
      <c r="X1206" s="134"/>
      <c r="Y1206" s="134"/>
      <c r="Z1206" s="134"/>
      <c r="AA1206" s="134"/>
      <c r="AB1206" s="134"/>
      <c r="AC1206" s="134"/>
      <c r="AD1206" s="134"/>
      <c r="AE1206" s="134"/>
      <c r="AF1206" s="146"/>
      <c r="AG1206" s="134"/>
      <c r="AH1206" s="134"/>
      <c r="AI1206" s="134"/>
      <c r="AJ1206" s="134"/>
      <c r="AK1206" s="134"/>
      <c r="AL1206" s="134"/>
      <c r="AM1206" s="146"/>
      <c r="AN1206" s="132"/>
      <c r="AO1206" s="132"/>
      <c r="AP1206" s="132"/>
      <c r="AQ1206" s="132"/>
      <c r="AR1206" s="134"/>
      <c r="AS1206" s="134"/>
      <c r="AT1206" s="132"/>
      <c r="AU1206" s="133"/>
      <c r="AV1206" s="134"/>
    </row>
    <row r="1207" spans="1:48">
      <c r="A1207" s="74">
        <v>23504</v>
      </c>
      <c r="B1207" s="74" t="s">
        <v>229</v>
      </c>
      <c r="C1207" s="74">
        <v>1</v>
      </c>
      <c r="D1207" s="74">
        <v>1176</v>
      </c>
      <c r="E1207" s="73">
        <v>2.500000037252903E-2</v>
      </c>
      <c r="F1207" s="73">
        <v>0.44999998807907104</v>
      </c>
      <c r="G1207" s="73">
        <v>9.0000003576278687E-2</v>
      </c>
      <c r="H1207" s="73">
        <v>5.9999998658895493E-2</v>
      </c>
      <c r="I1207" s="190">
        <v>1612.692</v>
      </c>
      <c r="J1207" s="134" t="str">
        <f t="shared" si="144"/>
        <v>keep</v>
      </c>
      <c r="K1207" s="134" t="str">
        <f t="shared" si="145"/>
        <v>R38</v>
      </c>
      <c r="L1207" s="134" t="str">
        <f t="shared" si="146"/>
        <v>R11</v>
      </c>
      <c r="M1207" s="146" t="str">
        <f t="shared" si="142"/>
        <v>R19</v>
      </c>
      <c r="N1207" s="146" t="str">
        <f t="shared" si="143"/>
        <v>Better</v>
      </c>
      <c r="O1207" s="146" t="str">
        <f t="shared" si="147"/>
        <v>Heat PumpR38R11R19Better</v>
      </c>
      <c r="P1207" s="134" t="str">
        <f t="shared" si="148"/>
        <v>Crawlspace</v>
      </c>
      <c r="Q1207" s="134"/>
      <c r="R1207" s="134"/>
      <c r="S1207" s="134"/>
      <c r="T1207" s="134"/>
      <c r="U1207" s="134"/>
      <c r="V1207" s="134"/>
      <c r="W1207" s="134"/>
      <c r="X1207" s="134"/>
      <c r="Y1207" s="134"/>
      <c r="Z1207" s="134"/>
      <c r="AA1207" s="134"/>
      <c r="AB1207" s="134"/>
      <c r="AC1207" s="134"/>
      <c r="AD1207" s="134"/>
      <c r="AE1207" s="134"/>
      <c r="AF1207" s="146"/>
      <c r="AG1207" s="134"/>
      <c r="AH1207" s="134"/>
      <c r="AI1207" s="134"/>
      <c r="AJ1207" s="134"/>
      <c r="AK1207" s="134"/>
      <c r="AL1207" s="134"/>
      <c r="AM1207" s="146"/>
      <c r="AN1207" s="132"/>
      <c r="AO1207" s="132"/>
      <c r="AP1207" s="132"/>
      <c r="AQ1207" s="132"/>
      <c r="AR1207" s="134"/>
      <c r="AS1207" s="134"/>
      <c r="AT1207" s="132"/>
      <c r="AU1207" s="133"/>
      <c r="AV1207" s="134"/>
    </row>
    <row r="1208" spans="1:48">
      <c r="A1208" s="74">
        <v>23511</v>
      </c>
      <c r="B1208" s="74" t="s">
        <v>228</v>
      </c>
      <c r="C1208" s="74">
        <v>2</v>
      </c>
      <c r="D1208" s="74">
        <v>1120</v>
      </c>
      <c r="E1208" s="73">
        <v>9.0000003576278687E-2</v>
      </c>
      <c r="F1208" s="73">
        <v>0.44999998807907104</v>
      </c>
      <c r="G1208" s="73">
        <v>9.0000003576278687E-2</v>
      </c>
      <c r="H1208" s="73">
        <v>0</v>
      </c>
      <c r="I1208" s="190">
        <v>3785.7640000000001</v>
      </c>
      <c r="J1208" s="134" t="str">
        <f t="shared" si="144"/>
        <v>keep</v>
      </c>
      <c r="K1208" s="134" t="str">
        <f t="shared" si="145"/>
        <v>R11</v>
      </c>
      <c r="L1208" s="134" t="str">
        <f t="shared" si="146"/>
        <v>R11</v>
      </c>
      <c r="M1208" s="146" t="str">
        <f t="shared" si="142"/>
        <v>Slab</v>
      </c>
      <c r="N1208" s="146" t="str">
        <f t="shared" si="143"/>
        <v>Better</v>
      </c>
      <c r="O1208" s="146" t="str">
        <f t="shared" si="147"/>
        <v>Electric ZonalR11R11SlabBetter</v>
      </c>
      <c r="P1208" s="134" t="str">
        <f t="shared" si="148"/>
        <v>Slab</v>
      </c>
      <c r="Q1208" s="134"/>
      <c r="R1208" s="134"/>
      <c r="S1208" s="134"/>
      <c r="T1208" s="134"/>
      <c r="U1208" s="134"/>
      <c r="V1208" s="134"/>
      <c r="W1208" s="134"/>
      <c r="X1208" s="134"/>
      <c r="Y1208" s="134"/>
      <c r="Z1208" s="134"/>
      <c r="AA1208" s="134"/>
      <c r="AB1208" s="134"/>
      <c r="AC1208" s="134"/>
      <c r="AD1208" s="134"/>
      <c r="AE1208" s="134"/>
      <c r="AF1208" s="146"/>
      <c r="AG1208" s="134"/>
      <c r="AH1208" s="134"/>
      <c r="AI1208" s="134"/>
      <c r="AJ1208" s="134"/>
      <c r="AK1208" s="134"/>
      <c r="AL1208" s="134"/>
      <c r="AM1208" s="146"/>
      <c r="AN1208" s="132"/>
      <c r="AO1208" s="132"/>
      <c r="AP1208" s="132"/>
      <c r="AQ1208" s="132"/>
      <c r="AR1208" s="134"/>
      <c r="AS1208" s="134"/>
      <c r="AT1208" s="132"/>
      <c r="AU1208" s="133"/>
      <c r="AV1208" s="134"/>
    </row>
    <row r="1209" spans="1:48">
      <c r="A1209" s="74">
        <v>23539</v>
      </c>
      <c r="B1209" s="74" t="s">
        <v>228</v>
      </c>
      <c r="C1209" s="74">
        <v>1</v>
      </c>
      <c r="D1209" s="74">
        <v>1218</v>
      </c>
      <c r="E1209" s="73">
        <v>0.10999999940395355</v>
      </c>
      <c r="F1209" s="73">
        <v>0.75</v>
      </c>
      <c r="G1209" s="73">
        <v>0.11999999731779099</v>
      </c>
      <c r="H1209" s="73">
        <v>0.10000000149011612</v>
      </c>
      <c r="I1209" s="190">
        <v>2079.9929999999999</v>
      </c>
      <c r="J1209" s="134" t="str">
        <f t="shared" si="144"/>
        <v>keep</v>
      </c>
      <c r="K1209" s="134" t="str">
        <f t="shared" si="145"/>
        <v>R11</v>
      </c>
      <c r="L1209" s="134" t="str">
        <f t="shared" si="146"/>
        <v>R11</v>
      </c>
      <c r="M1209" s="146" t="str">
        <f t="shared" si="142"/>
        <v>R0</v>
      </c>
      <c r="N1209" s="146" t="str">
        <f t="shared" si="143"/>
        <v>Better</v>
      </c>
      <c r="O1209" s="146" t="str">
        <f t="shared" si="147"/>
        <v>Electric ZonalR11R11R0Better</v>
      </c>
      <c r="P1209" s="134" t="str">
        <f t="shared" si="148"/>
        <v>Crawlspace</v>
      </c>
      <c r="Q1209" s="134"/>
      <c r="R1209" s="134"/>
      <c r="S1209" s="134"/>
      <c r="T1209" s="134"/>
      <c r="U1209" s="134"/>
      <c r="V1209" s="134"/>
      <c r="W1209" s="134"/>
      <c r="X1209" s="134"/>
      <c r="Y1209" s="134"/>
      <c r="Z1209" s="134"/>
      <c r="AA1209" s="134"/>
      <c r="AB1209" s="134"/>
      <c r="AC1209" s="134"/>
      <c r="AD1209" s="134"/>
      <c r="AE1209" s="134"/>
      <c r="AF1209" s="146"/>
      <c r="AG1209" s="134"/>
      <c r="AH1209" s="134"/>
      <c r="AI1209" s="134"/>
      <c r="AJ1209" s="134"/>
      <c r="AK1209" s="134"/>
      <c r="AL1209" s="134"/>
      <c r="AM1209" s="146"/>
      <c r="AN1209" s="132"/>
      <c r="AO1209" s="132"/>
      <c r="AP1209" s="132"/>
      <c r="AQ1209" s="132"/>
      <c r="AR1209" s="134"/>
      <c r="AS1209" s="134"/>
      <c r="AT1209" s="132"/>
      <c r="AU1209" s="133"/>
      <c r="AV1209" s="134"/>
    </row>
    <row r="1210" spans="1:48">
      <c r="A1210" s="74">
        <v>23545</v>
      </c>
      <c r="B1210" s="74" t="s">
        <v>228</v>
      </c>
      <c r="C1210" s="74">
        <v>1</v>
      </c>
      <c r="D1210" s="74">
        <v>1675</v>
      </c>
      <c r="E1210" s="73">
        <v>1.9999999552965164E-2</v>
      </c>
      <c r="F1210" s="73">
        <v>0.66636361533945254</v>
      </c>
      <c r="G1210" s="73">
        <v>5.9999998658895493E-2</v>
      </c>
      <c r="H1210" s="73">
        <v>6.4999997615814209E-2</v>
      </c>
      <c r="I1210" s="190">
        <v>1612.692</v>
      </c>
      <c r="J1210" s="134" t="str">
        <f t="shared" si="144"/>
        <v>keep</v>
      </c>
      <c r="K1210" s="134" t="str">
        <f t="shared" si="145"/>
        <v>R38</v>
      </c>
      <c r="L1210" s="134" t="str">
        <f t="shared" si="146"/>
        <v>R11</v>
      </c>
      <c r="M1210" s="146" t="str">
        <f t="shared" si="142"/>
        <v>R19</v>
      </c>
      <c r="N1210" s="146" t="str">
        <f t="shared" si="143"/>
        <v>Better</v>
      </c>
      <c r="O1210" s="146" t="str">
        <f t="shared" si="147"/>
        <v>Electric ZonalR38R11R19Better</v>
      </c>
      <c r="P1210" s="134" t="str">
        <f t="shared" si="148"/>
        <v>Crawlspace</v>
      </c>
      <c r="Q1210" s="134"/>
      <c r="R1210" s="134"/>
      <c r="S1210" s="134"/>
      <c r="T1210" s="134"/>
      <c r="U1210" s="134"/>
      <c r="V1210" s="134"/>
      <c r="W1210" s="134"/>
      <c r="X1210" s="134"/>
      <c r="Y1210" s="134"/>
      <c r="Z1210" s="134"/>
      <c r="AA1210" s="134"/>
      <c r="AB1210" s="134"/>
      <c r="AC1210" s="134"/>
      <c r="AD1210" s="134"/>
      <c r="AE1210" s="134"/>
      <c r="AF1210" s="146"/>
      <c r="AG1210" s="134"/>
      <c r="AH1210" s="134"/>
      <c r="AI1210" s="134"/>
      <c r="AJ1210" s="134"/>
      <c r="AK1210" s="134"/>
      <c r="AL1210" s="134"/>
      <c r="AM1210" s="146"/>
      <c r="AN1210" s="132"/>
      <c r="AO1210" s="132"/>
      <c r="AP1210" s="132"/>
      <c r="AQ1210" s="132"/>
      <c r="AR1210" s="134"/>
      <c r="AS1210" s="134"/>
      <c r="AT1210" s="132"/>
      <c r="AU1210" s="133"/>
      <c r="AV1210" s="134"/>
    </row>
    <row r="1211" spans="1:48">
      <c r="A1211" s="74">
        <v>23554</v>
      </c>
      <c r="B1211" s="74" t="s">
        <v>229</v>
      </c>
      <c r="C1211" s="74">
        <v>1</v>
      </c>
      <c r="D1211" s="74">
        <v>2156</v>
      </c>
      <c r="E1211" s="73">
        <v>2.500000037252903E-2</v>
      </c>
      <c r="F1211" s="73">
        <v>0.44999998807907104</v>
      </c>
      <c r="G1211" s="73">
        <v>3.9999999105930328E-2</v>
      </c>
      <c r="H1211" s="73">
        <v>2.9999999329447746E-2</v>
      </c>
      <c r="I1211" s="190">
        <v>1192.4649999999999</v>
      </c>
      <c r="J1211" s="134" t="str">
        <f t="shared" si="144"/>
        <v>keep</v>
      </c>
      <c r="K1211" s="134" t="str">
        <f t="shared" si="145"/>
        <v>R38</v>
      </c>
      <c r="L1211" s="134" t="str">
        <f t="shared" si="146"/>
        <v>R11</v>
      </c>
      <c r="M1211" s="146" t="str">
        <f t="shared" si="142"/>
        <v>Better</v>
      </c>
      <c r="N1211" s="146" t="str">
        <f t="shared" si="143"/>
        <v>Better</v>
      </c>
      <c r="O1211" s="146" t="str">
        <f t="shared" si="147"/>
        <v>Heat PumpR38R11BetterBetter</v>
      </c>
      <c r="P1211" s="134" t="str">
        <f t="shared" si="148"/>
        <v>Crawlspace</v>
      </c>
      <c r="Q1211" s="134"/>
      <c r="R1211" s="134"/>
      <c r="S1211" s="134"/>
      <c r="T1211" s="134"/>
      <c r="U1211" s="134"/>
      <c r="V1211" s="134"/>
      <c r="W1211" s="134"/>
      <c r="X1211" s="134"/>
      <c r="Y1211" s="134"/>
      <c r="Z1211" s="134"/>
      <c r="AA1211" s="134"/>
      <c r="AB1211" s="134"/>
      <c r="AC1211" s="134"/>
      <c r="AD1211" s="134"/>
      <c r="AE1211" s="134"/>
      <c r="AF1211" s="146"/>
      <c r="AG1211" s="134"/>
      <c r="AH1211" s="134"/>
      <c r="AI1211" s="134"/>
      <c r="AJ1211" s="134"/>
      <c r="AK1211" s="134"/>
      <c r="AL1211" s="134"/>
      <c r="AM1211" s="146"/>
      <c r="AN1211" s="132"/>
      <c r="AO1211" s="132"/>
      <c r="AP1211" s="132"/>
      <c r="AQ1211" s="132"/>
      <c r="AR1211" s="134"/>
      <c r="AS1211" s="134"/>
      <c r="AT1211" s="132"/>
      <c r="AU1211" s="133"/>
      <c r="AV1211" s="134"/>
    </row>
    <row r="1212" spans="1:48">
      <c r="A1212" s="74">
        <v>23581</v>
      </c>
      <c r="B1212" s="74" t="s">
        <v>227</v>
      </c>
      <c r="C1212" s="74">
        <v>1</v>
      </c>
      <c r="D1212" s="74">
        <v>1866</v>
      </c>
      <c r="E1212" s="73">
        <v>7.0000000298023224E-2</v>
      </c>
      <c r="F1212" s="73">
        <v>1.0907407645825986</v>
      </c>
      <c r="G1212" s="73">
        <v>9.0000003576278687E-2</v>
      </c>
      <c r="H1212" s="73">
        <v>5.9999998658895493E-2</v>
      </c>
      <c r="I1212" s="190">
        <v>1612.692</v>
      </c>
      <c r="J1212" s="134" t="str">
        <f t="shared" si="144"/>
        <v>keep</v>
      </c>
      <c r="K1212" s="134" t="str">
        <f t="shared" si="145"/>
        <v>R19</v>
      </c>
      <c r="L1212" s="134" t="str">
        <f t="shared" si="146"/>
        <v>R11</v>
      </c>
      <c r="M1212" s="146" t="str">
        <f t="shared" si="142"/>
        <v>R19</v>
      </c>
      <c r="N1212" s="146" t="str">
        <f t="shared" si="143"/>
        <v>Double</v>
      </c>
      <c r="O1212" s="146" t="str">
        <f t="shared" si="147"/>
        <v>Electric FAFR19R11R19Double</v>
      </c>
      <c r="P1212" s="134" t="str">
        <f t="shared" si="148"/>
        <v>Crawlspace</v>
      </c>
      <c r="Q1212" s="134"/>
      <c r="R1212" s="134"/>
      <c r="S1212" s="134"/>
      <c r="T1212" s="134"/>
      <c r="U1212" s="134"/>
      <c r="V1212" s="134"/>
      <c r="W1212" s="134"/>
      <c r="X1212" s="134"/>
      <c r="Y1212" s="134"/>
      <c r="Z1212" s="134"/>
      <c r="AA1212" s="134"/>
      <c r="AB1212" s="134"/>
      <c r="AC1212" s="134"/>
      <c r="AD1212" s="134"/>
      <c r="AE1212" s="134"/>
      <c r="AF1212" s="146"/>
      <c r="AG1212" s="134"/>
      <c r="AH1212" s="134"/>
      <c r="AI1212" s="134"/>
      <c r="AJ1212" s="134"/>
      <c r="AK1212" s="134"/>
      <c r="AL1212" s="134"/>
      <c r="AM1212" s="146"/>
      <c r="AN1212" s="132"/>
      <c r="AO1212" s="132"/>
      <c r="AP1212" s="132"/>
      <c r="AQ1212" s="132"/>
      <c r="AR1212" s="134"/>
      <c r="AS1212" s="134"/>
      <c r="AT1212" s="132"/>
      <c r="AU1212" s="133"/>
      <c r="AV1212" s="134"/>
    </row>
    <row r="1213" spans="1:48">
      <c r="A1213" s="74">
        <v>23618</v>
      </c>
      <c r="B1213" s="74" t="s">
        <v>228</v>
      </c>
      <c r="C1213" s="74">
        <v>1</v>
      </c>
      <c r="D1213" s="74">
        <v>1196</v>
      </c>
      <c r="E1213" s="73">
        <v>1.9999999552965164E-2</v>
      </c>
      <c r="F1213" s="73">
        <v>0.55000001192092896</v>
      </c>
      <c r="G1213" s="73">
        <v>9.0000003576278687E-2</v>
      </c>
      <c r="H1213" s="73">
        <v>3.5000000149011612E-2</v>
      </c>
      <c r="I1213" s="190">
        <v>3785.7640000000001</v>
      </c>
      <c r="J1213" s="134" t="str">
        <f t="shared" si="144"/>
        <v>keep</v>
      </c>
      <c r="K1213" s="134" t="str">
        <f t="shared" si="145"/>
        <v>R38</v>
      </c>
      <c r="L1213" s="134" t="str">
        <f t="shared" si="146"/>
        <v>R11</v>
      </c>
      <c r="M1213" s="146" t="str">
        <f t="shared" si="142"/>
        <v>Better</v>
      </c>
      <c r="N1213" s="146" t="str">
        <f t="shared" si="143"/>
        <v>Better</v>
      </c>
      <c r="O1213" s="146" t="str">
        <f t="shared" si="147"/>
        <v>Electric ZonalR38R11BetterBetter</v>
      </c>
      <c r="P1213" s="134" t="str">
        <f t="shared" si="148"/>
        <v>Crawlspace</v>
      </c>
      <c r="Q1213" s="134"/>
      <c r="R1213" s="134"/>
      <c r="S1213" s="134"/>
      <c r="T1213" s="134"/>
      <c r="U1213" s="134"/>
      <c r="V1213" s="134"/>
      <c r="W1213" s="134"/>
      <c r="X1213" s="134"/>
      <c r="Y1213" s="134"/>
      <c r="Z1213" s="134"/>
      <c r="AA1213" s="134"/>
      <c r="AB1213" s="134"/>
      <c r="AC1213" s="134"/>
      <c r="AD1213" s="134"/>
      <c r="AE1213" s="134"/>
      <c r="AF1213" s="146"/>
      <c r="AG1213" s="134"/>
      <c r="AH1213" s="134"/>
      <c r="AI1213" s="134"/>
      <c r="AJ1213" s="134"/>
      <c r="AK1213" s="134"/>
      <c r="AL1213" s="134"/>
      <c r="AM1213" s="146"/>
      <c r="AN1213" s="132"/>
      <c r="AO1213" s="132"/>
      <c r="AP1213" s="132"/>
      <c r="AQ1213" s="132"/>
      <c r="AR1213" s="134"/>
      <c r="AS1213" s="134"/>
      <c r="AT1213" s="132"/>
      <c r="AU1213" s="133"/>
      <c r="AV1213" s="134"/>
    </row>
    <row r="1214" spans="1:48">
      <c r="A1214" s="74">
        <v>23621</v>
      </c>
      <c r="B1214" s="74" t="s">
        <v>229</v>
      </c>
      <c r="C1214" s="74" t="s">
        <v>673</v>
      </c>
      <c r="D1214" s="74">
        <v>2342</v>
      </c>
      <c r="E1214" s="73">
        <v>6.4786507025119289E-2</v>
      </c>
      <c r="F1214" s="73">
        <v>0.44999998807907104</v>
      </c>
      <c r="G1214" s="73">
        <v>9.0000003576278687E-2</v>
      </c>
      <c r="H1214" s="73">
        <v>0.23000000417232513</v>
      </c>
      <c r="I1214" s="190">
        <v>2130.886</v>
      </c>
      <c r="J1214" s="134" t="str">
        <f t="shared" si="144"/>
        <v>ignore</v>
      </c>
      <c r="K1214" s="134" t="str">
        <f t="shared" si="145"/>
        <v>R19</v>
      </c>
      <c r="L1214" s="134" t="str">
        <f t="shared" si="146"/>
        <v>R11</v>
      </c>
      <c r="M1214" s="146" t="str">
        <f t="shared" si="142"/>
        <v>R0</v>
      </c>
      <c r="N1214" s="146" t="str">
        <f t="shared" si="143"/>
        <v>Better</v>
      </c>
      <c r="O1214" s="146" t="str">
        <f t="shared" si="147"/>
        <v>Heat PumpR19R11R0Better</v>
      </c>
      <c r="P1214" s="134" t="str">
        <f t="shared" si="148"/>
        <v>error</v>
      </c>
      <c r="Q1214" s="134"/>
      <c r="R1214" s="134"/>
      <c r="S1214" s="134"/>
      <c r="T1214" s="134"/>
      <c r="U1214" s="134"/>
      <c r="V1214" s="134"/>
      <c r="W1214" s="134"/>
      <c r="X1214" s="134"/>
      <c r="Y1214" s="134"/>
      <c r="Z1214" s="134"/>
      <c r="AA1214" s="134"/>
      <c r="AB1214" s="134"/>
      <c r="AC1214" s="134"/>
      <c r="AD1214" s="134"/>
      <c r="AE1214" s="134"/>
      <c r="AF1214" s="146"/>
      <c r="AG1214" s="134"/>
      <c r="AH1214" s="134"/>
      <c r="AI1214" s="134"/>
      <c r="AJ1214" s="134"/>
      <c r="AK1214" s="134"/>
      <c r="AL1214" s="134"/>
      <c r="AM1214" s="146"/>
      <c r="AN1214" s="132"/>
      <c r="AO1214" s="132"/>
      <c r="AP1214" s="132"/>
      <c r="AQ1214" s="132"/>
      <c r="AR1214" s="134"/>
      <c r="AS1214" s="134"/>
      <c r="AT1214" s="132"/>
      <c r="AU1214" s="133"/>
      <c r="AV1214" s="134"/>
    </row>
    <row r="1215" spans="1:48">
      <c r="A1215" s="74">
        <v>23645</v>
      </c>
      <c r="B1215" s="74" t="s">
        <v>228</v>
      </c>
      <c r="C1215" s="74">
        <v>1</v>
      </c>
      <c r="D1215" s="74">
        <v>962</v>
      </c>
      <c r="E1215" s="73">
        <v>9.0000003576278687E-2</v>
      </c>
      <c r="F1215" s="73">
        <v>0.77820514562802434</v>
      </c>
      <c r="G1215" s="73">
        <v>0.23400000000000001</v>
      </c>
      <c r="H1215" s="73">
        <v>0.23000000417232513</v>
      </c>
      <c r="I1215" s="190">
        <v>1612.692</v>
      </c>
      <c r="J1215" s="134" t="str">
        <f t="shared" si="144"/>
        <v>keep</v>
      </c>
      <c r="K1215" s="134" t="str">
        <f t="shared" si="145"/>
        <v>R11</v>
      </c>
      <c r="L1215" s="134" t="str">
        <f t="shared" si="146"/>
        <v>R0</v>
      </c>
      <c r="M1215" s="146" t="str">
        <f t="shared" si="142"/>
        <v>R0</v>
      </c>
      <c r="N1215" s="146" t="str">
        <f t="shared" si="143"/>
        <v>Better</v>
      </c>
      <c r="O1215" s="146" t="str">
        <f t="shared" si="147"/>
        <v>Electric ZonalR11R0R0Better</v>
      </c>
      <c r="P1215" s="134" t="str">
        <f t="shared" si="148"/>
        <v>Crawlspace</v>
      </c>
      <c r="Q1215" s="134"/>
      <c r="R1215" s="134"/>
      <c r="S1215" s="134"/>
      <c r="T1215" s="134"/>
      <c r="U1215" s="134"/>
      <c r="V1215" s="134"/>
      <c r="W1215" s="134"/>
      <c r="X1215" s="134"/>
      <c r="Y1215" s="134"/>
      <c r="Z1215" s="134"/>
      <c r="AA1215" s="134"/>
      <c r="AB1215" s="134"/>
      <c r="AC1215" s="134"/>
      <c r="AD1215" s="134"/>
      <c r="AE1215" s="134"/>
      <c r="AF1215" s="146"/>
      <c r="AG1215" s="134"/>
      <c r="AH1215" s="134"/>
      <c r="AI1215" s="134"/>
      <c r="AJ1215" s="134"/>
      <c r="AK1215" s="134"/>
      <c r="AL1215" s="134"/>
      <c r="AM1215" s="146"/>
      <c r="AN1215" s="132"/>
      <c r="AO1215" s="132"/>
      <c r="AP1215" s="132"/>
      <c r="AQ1215" s="132"/>
      <c r="AR1215" s="134"/>
      <c r="AS1215" s="134"/>
      <c r="AT1215" s="132"/>
      <c r="AU1215" s="133"/>
      <c r="AV1215" s="134"/>
    </row>
    <row r="1216" spans="1:48">
      <c r="A1216" s="74">
        <v>23666</v>
      </c>
      <c r="B1216" s="74" t="s">
        <v>227</v>
      </c>
      <c r="C1216" s="74" t="s">
        <v>673</v>
      </c>
      <c r="D1216" s="74">
        <v>2890</v>
      </c>
      <c r="E1216" s="73">
        <v>2.500000037252903E-2</v>
      </c>
      <c r="F1216" s="73">
        <v>0.55000001192092896</v>
      </c>
      <c r="G1216" s="73">
        <v>5.9999998658895493E-2</v>
      </c>
      <c r="H1216" s="73">
        <v>0</v>
      </c>
      <c r="I1216" s="190">
        <v>1904.288</v>
      </c>
      <c r="J1216" s="134" t="str">
        <f t="shared" si="144"/>
        <v>ignore</v>
      </c>
      <c r="K1216" s="134" t="str">
        <f t="shared" si="145"/>
        <v>R38</v>
      </c>
      <c r="L1216" s="134" t="str">
        <f t="shared" si="146"/>
        <v>R11</v>
      </c>
      <c r="M1216" s="146" t="str">
        <f t="shared" si="142"/>
        <v>Better</v>
      </c>
      <c r="N1216" s="146" t="str">
        <f t="shared" si="143"/>
        <v>Better</v>
      </c>
      <c r="O1216" s="146" t="str">
        <f t="shared" si="147"/>
        <v>Electric FAFR38R11BetterBetter</v>
      </c>
      <c r="P1216" s="134" t="str">
        <f t="shared" si="148"/>
        <v>error</v>
      </c>
      <c r="Q1216" s="134"/>
      <c r="R1216" s="134"/>
      <c r="S1216" s="134"/>
      <c r="T1216" s="134"/>
      <c r="U1216" s="134"/>
      <c r="V1216" s="134"/>
      <c r="W1216" s="134"/>
      <c r="X1216" s="134"/>
      <c r="Y1216" s="134"/>
      <c r="Z1216" s="134"/>
      <c r="AA1216" s="134"/>
      <c r="AB1216" s="134"/>
      <c r="AC1216" s="134"/>
      <c r="AD1216" s="134"/>
      <c r="AE1216" s="134"/>
      <c r="AF1216" s="146"/>
      <c r="AG1216" s="134"/>
      <c r="AH1216" s="134"/>
      <c r="AI1216" s="134"/>
      <c r="AJ1216" s="134"/>
      <c r="AK1216" s="134"/>
      <c r="AL1216" s="134"/>
      <c r="AM1216" s="146"/>
      <c r="AN1216" s="132"/>
      <c r="AO1216" s="132"/>
      <c r="AP1216" s="132"/>
      <c r="AQ1216" s="132"/>
      <c r="AR1216" s="134"/>
      <c r="AS1216" s="134"/>
      <c r="AT1216" s="132"/>
      <c r="AU1216" s="133"/>
      <c r="AV1216" s="134"/>
    </row>
    <row r="1217" spans="1:48">
      <c r="A1217" s="74">
        <v>23667</v>
      </c>
      <c r="B1217" s="74" t="s">
        <v>229</v>
      </c>
      <c r="C1217" s="74">
        <v>1</v>
      </c>
      <c r="D1217" s="74">
        <v>1624</v>
      </c>
      <c r="E1217" s="73">
        <v>7.0000000298023224E-2</v>
      </c>
      <c r="F1217" s="73">
        <v>0.55000001192092896</v>
      </c>
      <c r="G1217" s="73">
        <v>5.9999998658895493E-2</v>
      </c>
      <c r="H1217" s="73">
        <v>3.5000000149011612E-2</v>
      </c>
      <c r="I1217" s="190">
        <v>8264.9449999999997</v>
      </c>
      <c r="J1217" s="134" t="str">
        <f t="shared" si="144"/>
        <v>keep</v>
      </c>
      <c r="K1217" s="134" t="str">
        <f t="shared" si="145"/>
        <v>R19</v>
      </c>
      <c r="L1217" s="134" t="str">
        <f t="shared" si="146"/>
        <v>R11</v>
      </c>
      <c r="M1217" s="146" t="str">
        <f t="shared" si="142"/>
        <v>Better</v>
      </c>
      <c r="N1217" s="146" t="str">
        <f t="shared" si="143"/>
        <v>Better</v>
      </c>
      <c r="O1217" s="146" t="str">
        <f t="shared" si="147"/>
        <v>Heat PumpR19R11BetterBetter</v>
      </c>
      <c r="P1217" s="134" t="str">
        <f t="shared" si="148"/>
        <v>Crawlspace</v>
      </c>
      <c r="Q1217" s="134"/>
      <c r="R1217" s="134"/>
      <c r="S1217" s="134"/>
      <c r="T1217" s="134"/>
      <c r="U1217" s="134"/>
      <c r="V1217" s="134"/>
      <c r="W1217" s="134"/>
      <c r="X1217" s="134"/>
      <c r="Y1217" s="134"/>
      <c r="Z1217" s="134"/>
      <c r="AA1217" s="134"/>
      <c r="AB1217" s="134"/>
      <c r="AC1217" s="134"/>
      <c r="AD1217" s="134"/>
      <c r="AE1217" s="134"/>
      <c r="AF1217" s="146"/>
      <c r="AG1217" s="134"/>
      <c r="AH1217" s="134"/>
      <c r="AI1217" s="134"/>
      <c r="AJ1217" s="134"/>
      <c r="AK1217" s="134"/>
      <c r="AL1217" s="134"/>
      <c r="AM1217" s="146"/>
      <c r="AN1217" s="132"/>
      <c r="AO1217" s="132"/>
      <c r="AP1217" s="132"/>
      <c r="AQ1217" s="132"/>
      <c r="AR1217" s="134"/>
      <c r="AS1217" s="134"/>
      <c r="AT1217" s="132"/>
      <c r="AU1217" s="133"/>
      <c r="AV1217" s="134"/>
    </row>
    <row r="1218" spans="1:48">
      <c r="A1218" s="74">
        <v>23676</v>
      </c>
      <c r="B1218" s="74" t="s">
        <v>228</v>
      </c>
      <c r="C1218" s="74">
        <v>1</v>
      </c>
      <c r="D1218" s="74">
        <v>1350</v>
      </c>
      <c r="E1218" s="73">
        <v>0.37000000476837153</v>
      </c>
      <c r="F1218" s="73">
        <v>0.55000001192092896</v>
      </c>
      <c r="G1218" s="73">
        <v>9.0000003576278687E-2</v>
      </c>
      <c r="H1218" s="73">
        <v>0.23000000417232513</v>
      </c>
      <c r="I1218" s="190">
        <v>2079.9929999999999</v>
      </c>
      <c r="J1218" s="134" t="str">
        <f t="shared" si="144"/>
        <v>keep</v>
      </c>
      <c r="K1218" s="134" t="str">
        <f t="shared" si="145"/>
        <v>R0</v>
      </c>
      <c r="L1218" s="134" t="str">
        <f t="shared" si="146"/>
        <v>R11</v>
      </c>
      <c r="M1218" s="146" t="str">
        <f t="shared" si="142"/>
        <v>R0</v>
      </c>
      <c r="N1218" s="146" t="str">
        <f t="shared" si="143"/>
        <v>Better</v>
      </c>
      <c r="O1218" s="146" t="str">
        <f t="shared" si="147"/>
        <v>Electric ZonalR0R11R0Better</v>
      </c>
      <c r="P1218" s="134" t="str">
        <f t="shared" si="148"/>
        <v>Crawlspace</v>
      </c>
      <c r="Q1218" s="134"/>
      <c r="R1218" s="134"/>
      <c r="S1218" s="134"/>
      <c r="T1218" s="134"/>
      <c r="U1218" s="134"/>
      <c r="V1218" s="134"/>
      <c r="W1218" s="134"/>
      <c r="X1218" s="134"/>
      <c r="Y1218" s="134"/>
      <c r="Z1218" s="134"/>
      <c r="AA1218" s="134"/>
      <c r="AB1218" s="134"/>
      <c r="AC1218" s="134"/>
      <c r="AD1218" s="134"/>
      <c r="AE1218" s="134"/>
      <c r="AF1218" s="146"/>
      <c r="AG1218" s="134"/>
      <c r="AH1218" s="134"/>
      <c r="AI1218" s="134"/>
      <c r="AJ1218" s="134"/>
      <c r="AK1218" s="134"/>
      <c r="AL1218" s="134"/>
      <c r="AM1218" s="146"/>
      <c r="AN1218" s="132"/>
      <c r="AO1218" s="132"/>
      <c r="AP1218" s="132"/>
      <c r="AQ1218" s="132"/>
      <c r="AR1218" s="134"/>
      <c r="AS1218" s="134"/>
      <c r="AT1218" s="132"/>
      <c r="AU1218" s="133"/>
      <c r="AV1218" s="134"/>
    </row>
    <row r="1219" spans="1:48">
      <c r="A1219" s="74">
        <v>23710</v>
      </c>
      <c r="B1219" s="74" t="s">
        <v>229</v>
      </c>
      <c r="C1219" s="74">
        <v>1</v>
      </c>
      <c r="D1219" s="74">
        <v>3078</v>
      </c>
      <c r="E1219" s="73">
        <v>0.14499999582767487</v>
      </c>
      <c r="F1219" s="73">
        <v>0.55000001192092896</v>
      </c>
      <c r="G1219" s="73">
        <v>0.23000000417232516</v>
      </c>
      <c r="H1219" s="73">
        <v>9.0000003576278687E-2</v>
      </c>
      <c r="I1219" s="190">
        <v>2079.9929999999999</v>
      </c>
      <c r="J1219" s="134" t="str">
        <f t="shared" si="144"/>
        <v>keep</v>
      </c>
      <c r="K1219" s="134" t="str">
        <f t="shared" si="145"/>
        <v>R11</v>
      </c>
      <c r="L1219" s="134" t="str">
        <f t="shared" si="146"/>
        <v>R0</v>
      </c>
      <c r="M1219" s="146" t="str">
        <f t="shared" si="142"/>
        <v>R0</v>
      </c>
      <c r="N1219" s="146" t="str">
        <f t="shared" si="143"/>
        <v>Better</v>
      </c>
      <c r="O1219" s="146" t="str">
        <f t="shared" si="147"/>
        <v>Heat PumpR11R0R0Better</v>
      </c>
      <c r="P1219" s="134" t="str">
        <f t="shared" si="148"/>
        <v>Crawlspace</v>
      </c>
      <c r="Q1219" s="134"/>
      <c r="R1219" s="134"/>
      <c r="S1219" s="134"/>
      <c r="T1219" s="134"/>
      <c r="U1219" s="134"/>
      <c r="V1219" s="134"/>
      <c r="W1219" s="134"/>
      <c r="X1219" s="134"/>
      <c r="Y1219" s="134"/>
      <c r="Z1219" s="134"/>
      <c r="AA1219" s="134"/>
      <c r="AB1219" s="134"/>
      <c r="AC1219" s="134"/>
      <c r="AD1219" s="134"/>
      <c r="AE1219" s="134"/>
      <c r="AF1219" s="146"/>
      <c r="AG1219" s="134"/>
      <c r="AH1219" s="134"/>
      <c r="AI1219" s="134"/>
      <c r="AJ1219" s="134"/>
      <c r="AK1219" s="134"/>
      <c r="AL1219" s="134"/>
      <c r="AM1219" s="146"/>
      <c r="AN1219" s="132"/>
      <c r="AO1219" s="132"/>
      <c r="AP1219" s="132"/>
      <c r="AQ1219" s="132"/>
      <c r="AR1219" s="134"/>
      <c r="AS1219" s="134"/>
      <c r="AT1219" s="132"/>
      <c r="AU1219" s="133"/>
      <c r="AV1219" s="134"/>
    </row>
    <row r="1220" spans="1:48">
      <c r="A1220" s="74">
        <v>23720</v>
      </c>
      <c r="B1220" s="74" t="s">
        <v>227</v>
      </c>
      <c r="C1220" s="74">
        <v>2</v>
      </c>
      <c r="D1220" s="74">
        <v>2200</v>
      </c>
      <c r="E1220" s="73">
        <v>5.000000074505806E-2</v>
      </c>
      <c r="F1220" s="73">
        <v>0.97952302957051673</v>
      </c>
      <c r="G1220" s="73">
        <v>7.5000002980232239E-2</v>
      </c>
      <c r="H1220" s="73">
        <v>0</v>
      </c>
      <c r="I1220" s="190">
        <v>1904.288</v>
      </c>
      <c r="J1220" s="134" t="str">
        <f t="shared" si="144"/>
        <v>keep</v>
      </c>
      <c r="K1220" s="134" t="str">
        <f t="shared" si="145"/>
        <v>R30</v>
      </c>
      <c r="L1220" s="134" t="str">
        <f t="shared" si="146"/>
        <v>R11</v>
      </c>
      <c r="M1220" s="146" t="str">
        <f t="shared" si="142"/>
        <v>Slab</v>
      </c>
      <c r="N1220" s="146" t="str">
        <f t="shared" si="143"/>
        <v>Double</v>
      </c>
      <c r="O1220" s="146" t="str">
        <f t="shared" si="147"/>
        <v>Electric FAFR30R11SlabDouble</v>
      </c>
      <c r="P1220" s="134" t="str">
        <f t="shared" si="148"/>
        <v>Slab</v>
      </c>
      <c r="Q1220" s="134"/>
      <c r="R1220" s="134"/>
      <c r="S1220" s="134"/>
      <c r="T1220" s="134"/>
      <c r="U1220" s="134"/>
      <c r="V1220" s="134"/>
      <c r="W1220" s="134"/>
      <c r="X1220" s="134"/>
      <c r="Y1220" s="134"/>
      <c r="Z1220" s="134"/>
      <c r="AA1220" s="134"/>
      <c r="AB1220" s="134"/>
      <c r="AC1220" s="134"/>
      <c r="AD1220" s="134"/>
      <c r="AE1220" s="134"/>
      <c r="AF1220" s="146"/>
      <c r="AG1220" s="134"/>
      <c r="AH1220" s="134"/>
      <c r="AI1220" s="134"/>
      <c r="AJ1220" s="134"/>
      <c r="AK1220" s="134"/>
      <c r="AL1220" s="134"/>
      <c r="AM1220" s="146"/>
      <c r="AN1220" s="132"/>
      <c r="AO1220" s="132"/>
      <c r="AP1220" s="132"/>
      <c r="AQ1220" s="132"/>
      <c r="AR1220" s="134"/>
      <c r="AS1220" s="134"/>
      <c r="AT1220" s="132"/>
      <c r="AU1220" s="133"/>
      <c r="AV1220" s="134"/>
    </row>
    <row r="1221" spans="1:48">
      <c r="A1221" s="74">
        <v>23724</v>
      </c>
      <c r="B1221" s="74" t="s">
        <v>228</v>
      </c>
      <c r="C1221" s="74">
        <v>1</v>
      </c>
      <c r="D1221" s="74">
        <v>1100</v>
      </c>
      <c r="E1221" s="73">
        <v>5.000000074505806E-2</v>
      </c>
      <c r="F1221" s="73">
        <v>0.55000001192092896</v>
      </c>
      <c r="G1221" s="73">
        <v>0.23400000000000001</v>
      </c>
      <c r="H1221" s="73">
        <v>3.5000000149011612E-2</v>
      </c>
      <c r="I1221" s="190">
        <v>1612.692</v>
      </c>
      <c r="J1221" s="134" t="str">
        <f t="shared" si="144"/>
        <v>keep</v>
      </c>
      <c r="K1221" s="134" t="str">
        <f t="shared" si="145"/>
        <v>R30</v>
      </c>
      <c r="L1221" s="134" t="str">
        <f t="shared" si="146"/>
        <v>R0</v>
      </c>
      <c r="M1221" s="146" t="str">
        <f t="shared" si="142"/>
        <v>Better</v>
      </c>
      <c r="N1221" s="146" t="str">
        <f t="shared" si="143"/>
        <v>Better</v>
      </c>
      <c r="O1221" s="146" t="str">
        <f t="shared" si="147"/>
        <v>Electric ZonalR30R0BetterBetter</v>
      </c>
      <c r="P1221" s="134" t="str">
        <f t="shared" si="148"/>
        <v>Crawlspace</v>
      </c>
      <c r="Q1221" s="134"/>
      <c r="R1221" s="134"/>
      <c r="S1221" s="134"/>
      <c r="T1221" s="134"/>
      <c r="U1221" s="134"/>
      <c r="V1221" s="134"/>
      <c r="W1221" s="134"/>
      <c r="X1221" s="134"/>
      <c r="Y1221" s="134"/>
      <c r="Z1221" s="134"/>
      <c r="AA1221" s="134"/>
      <c r="AB1221" s="134"/>
      <c r="AC1221" s="134"/>
      <c r="AD1221" s="134"/>
      <c r="AE1221" s="134"/>
      <c r="AF1221" s="146"/>
      <c r="AG1221" s="134"/>
      <c r="AH1221" s="134"/>
      <c r="AI1221" s="134"/>
      <c r="AJ1221" s="134"/>
      <c r="AK1221" s="134"/>
      <c r="AL1221" s="134"/>
      <c r="AM1221" s="146"/>
      <c r="AN1221" s="132"/>
      <c r="AO1221" s="132"/>
      <c r="AP1221" s="132"/>
      <c r="AQ1221" s="132"/>
      <c r="AR1221" s="134"/>
      <c r="AS1221" s="134"/>
      <c r="AT1221" s="132"/>
      <c r="AU1221" s="133"/>
      <c r="AV1221" s="134"/>
    </row>
    <row r="1222" spans="1:48">
      <c r="A1222" s="74">
        <v>23734</v>
      </c>
      <c r="B1222" s="74" t="s">
        <v>228</v>
      </c>
      <c r="C1222" s="74">
        <v>2</v>
      </c>
      <c r="D1222" s="74">
        <v>1060</v>
      </c>
      <c r="E1222" s="73">
        <v>7.9999998211860657E-2</v>
      </c>
      <c r="F1222" s="73">
        <v>0.85000002384185791</v>
      </c>
      <c r="G1222" s="73">
        <v>9.0000003576278687E-2</v>
      </c>
      <c r="H1222" s="73">
        <v>0</v>
      </c>
      <c r="I1222" s="190">
        <v>2079.9929999999999</v>
      </c>
      <c r="J1222" s="134" t="str">
        <f t="shared" si="144"/>
        <v>keep</v>
      </c>
      <c r="K1222" s="134" t="str">
        <f t="shared" si="145"/>
        <v>R19</v>
      </c>
      <c r="L1222" s="134" t="str">
        <f t="shared" si="146"/>
        <v>R11</v>
      </c>
      <c r="M1222" s="146" t="str">
        <f t="shared" si="142"/>
        <v>Slab</v>
      </c>
      <c r="N1222" s="146" t="str">
        <f t="shared" si="143"/>
        <v>Double</v>
      </c>
      <c r="O1222" s="146" t="str">
        <f t="shared" si="147"/>
        <v>Electric ZonalR19R11SlabDouble</v>
      </c>
      <c r="P1222" s="134" t="str">
        <f t="shared" si="148"/>
        <v>Slab</v>
      </c>
      <c r="Q1222" s="134"/>
      <c r="R1222" s="134"/>
      <c r="S1222" s="134"/>
      <c r="T1222" s="134"/>
      <c r="U1222" s="134"/>
      <c r="V1222" s="134"/>
      <c r="W1222" s="134"/>
      <c r="X1222" s="134"/>
      <c r="Y1222" s="134"/>
      <c r="Z1222" s="134"/>
      <c r="AA1222" s="134"/>
      <c r="AB1222" s="134"/>
      <c r="AC1222" s="134"/>
      <c r="AD1222" s="134"/>
      <c r="AE1222" s="134"/>
      <c r="AF1222" s="146"/>
      <c r="AG1222" s="134"/>
      <c r="AH1222" s="134"/>
      <c r="AI1222" s="134"/>
      <c r="AJ1222" s="134"/>
      <c r="AK1222" s="134"/>
      <c r="AL1222" s="134"/>
      <c r="AM1222" s="146"/>
      <c r="AN1222" s="132"/>
      <c r="AO1222" s="132"/>
      <c r="AP1222" s="132"/>
      <c r="AQ1222" s="132"/>
      <c r="AR1222" s="134"/>
      <c r="AS1222" s="134"/>
      <c r="AT1222" s="132"/>
      <c r="AU1222" s="133"/>
      <c r="AV1222" s="134"/>
    </row>
    <row r="1223" spans="1:48">
      <c r="A1223" s="74">
        <v>23744</v>
      </c>
      <c r="B1223" s="74" t="s">
        <v>227</v>
      </c>
      <c r="C1223" s="74">
        <v>4</v>
      </c>
      <c r="D1223" s="74">
        <v>2576</v>
      </c>
      <c r="E1223" s="73">
        <v>2.500000037252903E-2</v>
      </c>
      <c r="F1223" s="73">
        <v>0.56409775964299536</v>
      </c>
      <c r="G1223" s="73">
        <v>5.9999998658895493E-2</v>
      </c>
      <c r="H1223" s="73">
        <v>0</v>
      </c>
      <c r="I1223" s="190">
        <v>1904.288</v>
      </c>
      <c r="J1223" s="134" t="str">
        <f t="shared" si="144"/>
        <v>keep</v>
      </c>
      <c r="K1223" s="134" t="str">
        <f t="shared" si="145"/>
        <v>R38</v>
      </c>
      <c r="L1223" s="134" t="str">
        <f t="shared" si="146"/>
        <v>R11</v>
      </c>
      <c r="M1223" s="146" t="str">
        <f t="shared" si="142"/>
        <v>Basement</v>
      </c>
      <c r="N1223" s="146" t="str">
        <f t="shared" si="143"/>
        <v>Better</v>
      </c>
      <c r="O1223" s="146" t="str">
        <f t="shared" si="147"/>
        <v>Electric FAFR38R11BasementBetter</v>
      </c>
      <c r="P1223" s="134" t="str">
        <f t="shared" si="148"/>
        <v>Basement</v>
      </c>
      <c r="Q1223" s="134"/>
      <c r="R1223" s="134"/>
      <c r="S1223" s="134"/>
      <c r="T1223" s="134"/>
      <c r="U1223" s="134"/>
      <c r="V1223" s="134"/>
      <c r="W1223" s="134"/>
      <c r="X1223" s="134"/>
      <c r="Y1223" s="134"/>
      <c r="Z1223" s="134"/>
      <c r="AA1223" s="134"/>
      <c r="AB1223" s="134"/>
      <c r="AC1223" s="134"/>
      <c r="AD1223" s="134"/>
      <c r="AE1223" s="134"/>
      <c r="AF1223" s="146"/>
      <c r="AG1223" s="134"/>
      <c r="AH1223" s="134"/>
      <c r="AI1223" s="134"/>
      <c r="AJ1223" s="134"/>
      <c r="AK1223" s="134"/>
      <c r="AL1223" s="134"/>
      <c r="AM1223" s="146"/>
      <c r="AN1223" s="132"/>
      <c r="AO1223" s="132"/>
      <c r="AP1223" s="132"/>
      <c r="AQ1223" s="132"/>
      <c r="AR1223" s="134"/>
      <c r="AS1223" s="134"/>
      <c r="AT1223" s="132"/>
      <c r="AU1223" s="133"/>
      <c r="AV1223" s="134"/>
    </row>
    <row r="1224" spans="1:48">
      <c r="A1224" s="74">
        <v>23746</v>
      </c>
      <c r="B1224" s="74" t="s">
        <v>229</v>
      </c>
      <c r="C1224" s="74" t="s">
        <v>673</v>
      </c>
      <c r="D1224" s="74">
        <v>1289</v>
      </c>
      <c r="E1224" s="73">
        <v>5.000000074505806E-2</v>
      </c>
      <c r="F1224" s="73">
        <v>0.55000001192092896</v>
      </c>
      <c r="G1224" s="73">
        <v>9.0000003576278687E-2</v>
      </c>
      <c r="H1224" s="73">
        <v>0.23000000417232513</v>
      </c>
      <c r="I1224" s="190">
        <v>8559.1039999999994</v>
      </c>
      <c r="J1224" s="134" t="str">
        <f t="shared" si="144"/>
        <v>ignore</v>
      </c>
      <c r="K1224" s="134" t="str">
        <f t="shared" si="145"/>
        <v>R30</v>
      </c>
      <c r="L1224" s="134" t="str">
        <f t="shared" si="146"/>
        <v>R11</v>
      </c>
      <c r="M1224" s="146" t="str">
        <f t="shared" si="142"/>
        <v>R0</v>
      </c>
      <c r="N1224" s="146" t="str">
        <f t="shared" si="143"/>
        <v>Better</v>
      </c>
      <c r="O1224" s="146" t="str">
        <f t="shared" si="147"/>
        <v>Heat PumpR30R11R0Better</v>
      </c>
      <c r="P1224" s="134" t="str">
        <f t="shared" si="148"/>
        <v>error</v>
      </c>
      <c r="Q1224" s="134"/>
      <c r="R1224" s="134"/>
      <c r="S1224" s="134"/>
      <c r="T1224" s="134"/>
      <c r="U1224" s="134"/>
      <c r="V1224" s="134"/>
      <c r="W1224" s="134"/>
      <c r="X1224" s="134"/>
      <c r="Y1224" s="134"/>
      <c r="Z1224" s="134"/>
      <c r="AA1224" s="134"/>
      <c r="AB1224" s="134"/>
      <c r="AC1224" s="134"/>
      <c r="AD1224" s="134"/>
      <c r="AE1224" s="134"/>
      <c r="AF1224" s="146"/>
      <c r="AG1224" s="134"/>
      <c r="AH1224" s="134"/>
      <c r="AI1224" s="134"/>
      <c r="AJ1224" s="134"/>
      <c r="AK1224" s="134"/>
      <c r="AL1224" s="134"/>
      <c r="AM1224" s="146"/>
      <c r="AN1224" s="132"/>
      <c r="AO1224" s="132"/>
      <c r="AP1224" s="132"/>
      <c r="AQ1224" s="132"/>
      <c r="AR1224" s="134"/>
      <c r="AS1224" s="134"/>
      <c r="AT1224" s="132"/>
      <c r="AU1224" s="133"/>
      <c r="AV1224" s="134"/>
    </row>
    <row r="1225" spans="1:48">
      <c r="A1225" s="74">
        <v>23756</v>
      </c>
      <c r="B1225" s="74" t="s">
        <v>229</v>
      </c>
      <c r="C1225" s="74" t="s">
        <v>673</v>
      </c>
      <c r="D1225" s="74">
        <v>1680</v>
      </c>
      <c r="E1225" s="73">
        <v>2.500000037252903E-2</v>
      </c>
      <c r="F1225" s="73">
        <v>0.80000001192092896</v>
      </c>
      <c r="G1225" s="73">
        <v>9.0000003576278687E-2</v>
      </c>
      <c r="H1225" s="73">
        <v>0.23000000417232513</v>
      </c>
      <c r="I1225" s="190">
        <v>1904.288</v>
      </c>
      <c r="J1225" s="134" t="str">
        <f t="shared" si="144"/>
        <v>ignore</v>
      </c>
      <c r="K1225" s="134" t="str">
        <f t="shared" si="145"/>
        <v>R38</v>
      </c>
      <c r="L1225" s="134" t="str">
        <f t="shared" si="146"/>
        <v>R11</v>
      </c>
      <c r="M1225" s="146" t="str">
        <f t="shared" si="142"/>
        <v>R0</v>
      </c>
      <c r="N1225" s="146" t="str">
        <f t="shared" si="143"/>
        <v>Better</v>
      </c>
      <c r="O1225" s="146" t="str">
        <f t="shared" si="147"/>
        <v>Heat PumpR38R11R0Better</v>
      </c>
      <c r="P1225" s="134" t="str">
        <f t="shared" si="148"/>
        <v>error</v>
      </c>
      <c r="Q1225" s="134"/>
      <c r="R1225" s="134"/>
      <c r="S1225" s="134"/>
      <c r="T1225" s="134"/>
      <c r="U1225" s="134"/>
      <c r="V1225" s="134"/>
      <c r="W1225" s="134"/>
      <c r="X1225" s="134"/>
      <c r="Y1225" s="134"/>
      <c r="Z1225" s="134"/>
      <c r="AA1225" s="134"/>
      <c r="AB1225" s="134"/>
      <c r="AC1225" s="134"/>
      <c r="AD1225" s="134"/>
      <c r="AE1225" s="134"/>
      <c r="AF1225" s="146"/>
      <c r="AG1225" s="134"/>
      <c r="AH1225" s="134"/>
      <c r="AI1225" s="134"/>
      <c r="AJ1225" s="134"/>
      <c r="AK1225" s="134"/>
      <c r="AL1225" s="134"/>
      <c r="AM1225" s="146"/>
      <c r="AN1225" s="132"/>
      <c r="AO1225" s="132"/>
      <c r="AP1225" s="132"/>
      <c r="AQ1225" s="132"/>
      <c r="AR1225" s="134"/>
      <c r="AS1225" s="134"/>
      <c r="AT1225" s="132"/>
      <c r="AU1225" s="133"/>
      <c r="AV1225" s="134"/>
    </row>
    <row r="1226" spans="1:48">
      <c r="A1226" s="74">
        <v>23762</v>
      </c>
      <c r="B1226" s="74" t="s">
        <v>229</v>
      </c>
      <c r="C1226" s="74">
        <v>1</v>
      </c>
      <c r="D1226" s="74">
        <v>1024</v>
      </c>
      <c r="E1226" s="73">
        <v>7.0000000298023224E-2</v>
      </c>
      <c r="F1226" s="73">
        <v>0.45905171437510128</v>
      </c>
      <c r="G1226" s="73">
        <v>9.0000003576278687E-2</v>
      </c>
      <c r="H1226" s="73">
        <v>0.23000000417232513</v>
      </c>
      <c r="I1226" s="190">
        <v>8264.9449999999997</v>
      </c>
      <c r="J1226" s="134" t="str">
        <f t="shared" si="144"/>
        <v>keep</v>
      </c>
      <c r="K1226" s="134" t="str">
        <f t="shared" si="145"/>
        <v>R19</v>
      </c>
      <c r="L1226" s="134" t="str">
        <f t="shared" si="146"/>
        <v>R11</v>
      </c>
      <c r="M1226" s="146" t="str">
        <f t="shared" si="142"/>
        <v>R0</v>
      </c>
      <c r="N1226" s="146" t="str">
        <f t="shared" si="143"/>
        <v>Better</v>
      </c>
      <c r="O1226" s="146" t="str">
        <f t="shared" si="147"/>
        <v>Heat PumpR19R11R0Better</v>
      </c>
      <c r="P1226" s="134" t="str">
        <f t="shared" si="148"/>
        <v>Crawlspace</v>
      </c>
      <c r="Q1226" s="134"/>
      <c r="R1226" s="134"/>
      <c r="S1226" s="134"/>
      <c r="T1226" s="134"/>
      <c r="U1226" s="134"/>
      <c r="V1226" s="134"/>
      <c r="W1226" s="134"/>
      <c r="X1226" s="134"/>
      <c r="Y1226" s="134"/>
      <c r="Z1226" s="134"/>
      <c r="AA1226" s="134"/>
      <c r="AB1226" s="134"/>
      <c r="AC1226" s="134"/>
      <c r="AD1226" s="134"/>
      <c r="AE1226" s="134"/>
      <c r="AF1226" s="146"/>
      <c r="AG1226" s="134"/>
      <c r="AH1226" s="134"/>
      <c r="AI1226" s="134"/>
      <c r="AJ1226" s="134"/>
      <c r="AK1226" s="134"/>
      <c r="AL1226" s="134"/>
      <c r="AM1226" s="146"/>
      <c r="AN1226" s="132"/>
      <c r="AO1226" s="132"/>
      <c r="AP1226" s="132"/>
      <c r="AQ1226" s="132"/>
      <c r="AR1226" s="134"/>
      <c r="AS1226" s="134"/>
      <c r="AT1226" s="132"/>
      <c r="AU1226" s="133"/>
      <c r="AV1226" s="134"/>
    </row>
    <row r="1227" spans="1:48">
      <c r="A1227" s="74">
        <v>23791</v>
      </c>
      <c r="B1227" s="74" t="s">
        <v>229</v>
      </c>
      <c r="C1227" s="74">
        <v>1</v>
      </c>
      <c r="D1227" s="74">
        <v>2106</v>
      </c>
      <c r="E1227" s="73">
        <v>1.9999999552965164E-2</v>
      </c>
      <c r="F1227" s="73">
        <v>0.46819671372898292</v>
      </c>
      <c r="G1227" s="73">
        <v>6.6720978191877334E-2</v>
      </c>
      <c r="H1227" s="73">
        <v>4.5000001788139343E-2</v>
      </c>
      <c r="I1227" s="190">
        <v>1904.288</v>
      </c>
      <c r="J1227" s="134" t="str">
        <f t="shared" si="144"/>
        <v>keep</v>
      </c>
      <c r="K1227" s="134" t="str">
        <f t="shared" si="145"/>
        <v>R38</v>
      </c>
      <c r="L1227" s="134" t="str">
        <f t="shared" si="146"/>
        <v>R11</v>
      </c>
      <c r="M1227" s="146" t="str">
        <f t="shared" si="142"/>
        <v>Better</v>
      </c>
      <c r="N1227" s="146" t="str">
        <f t="shared" si="143"/>
        <v>Better</v>
      </c>
      <c r="O1227" s="146" t="str">
        <f t="shared" si="147"/>
        <v>Heat PumpR38R11BetterBetter</v>
      </c>
      <c r="P1227" s="134" t="str">
        <f t="shared" si="148"/>
        <v>Crawlspace</v>
      </c>
      <c r="Q1227" s="134"/>
      <c r="R1227" s="134"/>
      <c r="S1227" s="134"/>
      <c r="T1227" s="134"/>
      <c r="U1227" s="134"/>
      <c r="V1227" s="134"/>
      <c r="W1227" s="134"/>
      <c r="X1227" s="134"/>
      <c r="Y1227" s="134"/>
      <c r="Z1227" s="134"/>
      <c r="AA1227" s="134"/>
      <c r="AB1227" s="134"/>
      <c r="AC1227" s="134"/>
      <c r="AD1227" s="134"/>
      <c r="AE1227" s="134"/>
      <c r="AF1227" s="146"/>
      <c r="AG1227" s="134"/>
      <c r="AH1227" s="134"/>
      <c r="AI1227" s="134"/>
      <c r="AJ1227" s="134"/>
      <c r="AK1227" s="134"/>
      <c r="AL1227" s="134"/>
      <c r="AM1227" s="146"/>
      <c r="AN1227" s="132"/>
      <c r="AO1227" s="132"/>
      <c r="AP1227" s="132"/>
      <c r="AQ1227" s="132"/>
      <c r="AR1227" s="134"/>
      <c r="AS1227" s="134"/>
      <c r="AT1227" s="132"/>
      <c r="AU1227" s="133"/>
      <c r="AV1227" s="134"/>
    </row>
    <row r="1228" spans="1:48">
      <c r="A1228" s="74">
        <v>23830</v>
      </c>
      <c r="B1228" s="74" t="s">
        <v>227</v>
      </c>
      <c r="C1228" s="74">
        <v>1</v>
      </c>
      <c r="D1228" s="74">
        <v>1968</v>
      </c>
      <c r="E1228" s="73">
        <v>7.5000002980232239E-2</v>
      </c>
      <c r="F1228" s="73">
        <v>0.44999998807907104</v>
      </c>
      <c r="G1228" s="73">
        <v>9.0000003576278687E-2</v>
      </c>
      <c r="H1228" s="73">
        <v>4.5000001788139343E-2</v>
      </c>
      <c r="I1228" s="190">
        <v>1612.692</v>
      </c>
      <c r="J1228" s="134" t="str">
        <f t="shared" si="144"/>
        <v>keep</v>
      </c>
      <c r="K1228" s="134" t="str">
        <f t="shared" si="145"/>
        <v>R19</v>
      </c>
      <c r="L1228" s="134" t="str">
        <f t="shared" si="146"/>
        <v>R11</v>
      </c>
      <c r="M1228" s="146" t="str">
        <f t="shared" si="142"/>
        <v>Better</v>
      </c>
      <c r="N1228" s="146" t="str">
        <f t="shared" si="143"/>
        <v>Better</v>
      </c>
      <c r="O1228" s="146" t="str">
        <f t="shared" si="147"/>
        <v>Electric FAFR19R11BetterBetter</v>
      </c>
      <c r="P1228" s="134" t="str">
        <f t="shared" si="148"/>
        <v>Crawlspace</v>
      </c>
      <c r="Q1228" s="134"/>
      <c r="R1228" s="134"/>
      <c r="S1228" s="134"/>
      <c r="T1228" s="134"/>
      <c r="U1228" s="134"/>
      <c r="V1228" s="134"/>
      <c r="W1228" s="134"/>
      <c r="X1228" s="134"/>
      <c r="Y1228" s="134"/>
      <c r="Z1228" s="134"/>
      <c r="AA1228" s="134"/>
      <c r="AB1228" s="134"/>
      <c r="AC1228" s="134"/>
      <c r="AD1228" s="134"/>
      <c r="AE1228" s="134"/>
      <c r="AF1228" s="146"/>
      <c r="AG1228" s="134"/>
      <c r="AH1228" s="134"/>
      <c r="AI1228" s="134"/>
      <c r="AJ1228" s="134"/>
      <c r="AK1228" s="134"/>
      <c r="AL1228" s="134"/>
      <c r="AM1228" s="146"/>
      <c r="AN1228" s="132"/>
      <c r="AO1228" s="132"/>
      <c r="AP1228" s="132"/>
      <c r="AQ1228" s="132"/>
      <c r="AR1228" s="134"/>
      <c r="AS1228" s="134"/>
      <c r="AT1228" s="132"/>
      <c r="AU1228" s="133"/>
      <c r="AV1228" s="134"/>
    </row>
    <row r="1229" spans="1:48">
      <c r="A1229" s="74">
        <v>23846</v>
      </c>
      <c r="B1229" s="74" t="s">
        <v>228</v>
      </c>
      <c r="C1229" s="74">
        <v>1</v>
      </c>
      <c r="D1229" s="74">
        <v>996</v>
      </c>
      <c r="E1229" s="73">
        <v>2.500000037252903E-2</v>
      </c>
      <c r="F1229" s="73">
        <v>0.5</v>
      </c>
      <c r="G1229" s="73">
        <v>5.9999998658895493E-2</v>
      </c>
      <c r="H1229" s="73">
        <v>0.23000000417232513</v>
      </c>
      <c r="I1229" s="190">
        <v>1144.6790000000001</v>
      </c>
      <c r="J1229" s="134" t="str">
        <f t="shared" si="144"/>
        <v>keep</v>
      </c>
      <c r="K1229" s="134" t="str">
        <f t="shared" si="145"/>
        <v>R38</v>
      </c>
      <c r="L1229" s="134" t="str">
        <f t="shared" si="146"/>
        <v>R11</v>
      </c>
      <c r="M1229" s="146" t="str">
        <f t="shared" si="142"/>
        <v>R0</v>
      </c>
      <c r="N1229" s="146" t="str">
        <f t="shared" si="143"/>
        <v>Better</v>
      </c>
      <c r="O1229" s="146" t="str">
        <f t="shared" si="147"/>
        <v>Electric ZonalR38R11R0Better</v>
      </c>
      <c r="P1229" s="134" t="str">
        <f t="shared" si="148"/>
        <v>Crawlspace</v>
      </c>
      <c r="Q1229" s="134"/>
      <c r="R1229" s="134"/>
      <c r="S1229" s="134"/>
      <c r="T1229" s="134"/>
      <c r="U1229" s="134"/>
      <c r="V1229" s="134"/>
      <c r="W1229" s="134"/>
      <c r="X1229" s="134"/>
      <c r="Y1229" s="134"/>
      <c r="Z1229" s="134"/>
      <c r="AA1229" s="134"/>
      <c r="AB1229" s="134"/>
      <c r="AC1229" s="134"/>
      <c r="AD1229" s="134"/>
      <c r="AE1229" s="134"/>
      <c r="AF1229" s="146"/>
      <c r="AG1229" s="134"/>
      <c r="AH1229" s="134"/>
      <c r="AI1229" s="134"/>
      <c r="AJ1229" s="134"/>
      <c r="AK1229" s="134"/>
      <c r="AL1229" s="134"/>
      <c r="AM1229" s="146"/>
      <c r="AN1229" s="132"/>
      <c r="AO1229" s="132"/>
      <c r="AP1229" s="132"/>
      <c r="AQ1229" s="132"/>
      <c r="AR1229" s="134"/>
      <c r="AS1229" s="134"/>
      <c r="AT1229" s="132"/>
      <c r="AU1229" s="133"/>
      <c r="AV1229" s="134"/>
    </row>
    <row r="1230" spans="1:48">
      <c r="A1230" s="74">
        <v>23847</v>
      </c>
      <c r="B1230" s="74" t="s">
        <v>227</v>
      </c>
      <c r="C1230" s="74">
        <v>1</v>
      </c>
      <c r="D1230" s="74">
        <v>1770</v>
      </c>
      <c r="E1230" s="73">
        <v>4.5000001788139343E-2</v>
      </c>
      <c r="F1230" s="73">
        <v>0.55000001192092896</v>
      </c>
      <c r="G1230" s="73">
        <v>5.9999998658895493E-2</v>
      </c>
      <c r="H1230" s="73">
        <v>4.5000001788139343E-2</v>
      </c>
      <c r="I1230" s="190">
        <v>2079.9929999999999</v>
      </c>
      <c r="J1230" s="134" t="str">
        <f t="shared" si="144"/>
        <v>keep</v>
      </c>
      <c r="K1230" s="134" t="str">
        <f t="shared" si="145"/>
        <v>R30</v>
      </c>
      <c r="L1230" s="134" t="str">
        <f t="shared" si="146"/>
        <v>R11</v>
      </c>
      <c r="M1230" s="146" t="str">
        <f t="shared" si="142"/>
        <v>Better</v>
      </c>
      <c r="N1230" s="146" t="str">
        <f t="shared" si="143"/>
        <v>Better</v>
      </c>
      <c r="O1230" s="146" t="str">
        <f t="shared" si="147"/>
        <v>Electric FAFR30R11BetterBetter</v>
      </c>
      <c r="P1230" s="134" t="str">
        <f t="shared" si="148"/>
        <v>Crawlspace</v>
      </c>
      <c r="Q1230" s="134"/>
      <c r="R1230" s="134"/>
      <c r="S1230" s="134"/>
      <c r="T1230" s="134"/>
      <c r="U1230" s="134"/>
      <c r="V1230" s="134"/>
      <c r="W1230" s="134"/>
      <c r="X1230" s="134"/>
      <c r="Y1230" s="134"/>
      <c r="Z1230" s="134"/>
      <c r="AA1230" s="134"/>
      <c r="AB1230" s="134"/>
      <c r="AC1230" s="134"/>
      <c r="AD1230" s="134"/>
      <c r="AE1230" s="134"/>
      <c r="AF1230" s="146"/>
      <c r="AG1230" s="134"/>
      <c r="AH1230" s="134"/>
      <c r="AI1230" s="134"/>
      <c r="AJ1230" s="134"/>
      <c r="AK1230" s="134"/>
      <c r="AL1230" s="134"/>
      <c r="AM1230" s="146"/>
      <c r="AN1230" s="132"/>
      <c r="AO1230" s="132"/>
      <c r="AP1230" s="132"/>
      <c r="AQ1230" s="132"/>
      <c r="AR1230" s="134"/>
      <c r="AS1230" s="134"/>
      <c r="AT1230" s="132"/>
      <c r="AU1230" s="133"/>
      <c r="AV1230" s="134"/>
    </row>
    <row r="1231" spans="1:48">
      <c r="A1231" s="74">
        <v>23860</v>
      </c>
      <c r="B1231" s="74" t="s">
        <v>229</v>
      </c>
      <c r="C1231" s="74" t="s">
        <v>673</v>
      </c>
      <c r="D1231" s="74">
        <v>3230</v>
      </c>
      <c r="E1231" s="73">
        <v>2.500000037252903E-2</v>
      </c>
      <c r="F1231" s="73">
        <v>0.55324520500233543</v>
      </c>
      <c r="G1231" s="73">
        <v>5.9999998658895493E-2</v>
      </c>
      <c r="H1231" s="73">
        <v>2.9999999329447746E-2</v>
      </c>
      <c r="I1231" s="190">
        <v>1925.059</v>
      </c>
      <c r="J1231" s="134" t="str">
        <f t="shared" si="144"/>
        <v>ignore</v>
      </c>
      <c r="K1231" s="134" t="str">
        <f t="shared" si="145"/>
        <v>R38</v>
      </c>
      <c r="L1231" s="134" t="str">
        <f t="shared" si="146"/>
        <v>R11</v>
      </c>
      <c r="M1231" s="146" t="str">
        <f t="shared" si="142"/>
        <v>Better</v>
      </c>
      <c r="N1231" s="146" t="str">
        <f t="shared" si="143"/>
        <v>Better</v>
      </c>
      <c r="O1231" s="146" t="str">
        <f t="shared" si="147"/>
        <v>Heat PumpR38R11BetterBetter</v>
      </c>
      <c r="P1231" s="134" t="str">
        <f t="shared" si="148"/>
        <v>error</v>
      </c>
      <c r="Q1231" s="134"/>
      <c r="R1231" s="134"/>
      <c r="S1231" s="134"/>
      <c r="T1231" s="134"/>
      <c r="U1231" s="134"/>
      <c r="V1231" s="134"/>
      <c r="W1231" s="134"/>
      <c r="X1231" s="134"/>
      <c r="Y1231" s="134"/>
      <c r="Z1231" s="134"/>
      <c r="AA1231" s="134"/>
      <c r="AB1231" s="134"/>
      <c r="AC1231" s="134"/>
      <c r="AD1231" s="134"/>
      <c r="AE1231" s="134"/>
      <c r="AF1231" s="146"/>
      <c r="AG1231" s="134"/>
      <c r="AH1231" s="134"/>
      <c r="AI1231" s="134"/>
      <c r="AJ1231" s="134"/>
      <c r="AK1231" s="134"/>
      <c r="AL1231" s="134"/>
      <c r="AM1231" s="146"/>
      <c r="AN1231" s="132"/>
      <c r="AO1231" s="132"/>
      <c r="AP1231" s="132"/>
      <c r="AQ1231" s="132"/>
      <c r="AR1231" s="134"/>
      <c r="AS1231" s="134"/>
      <c r="AT1231" s="132"/>
      <c r="AU1231" s="133"/>
      <c r="AV1231" s="134"/>
    </row>
    <row r="1232" spans="1:48">
      <c r="A1232" s="74">
        <v>23889</v>
      </c>
      <c r="B1232" s="74" t="s">
        <v>229</v>
      </c>
      <c r="C1232" s="74">
        <v>1</v>
      </c>
      <c r="D1232" s="74">
        <v>1992</v>
      </c>
      <c r="E1232" s="73">
        <v>3.5000000149011612E-2</v>
      </c>
      <c r="F1232" s="73">
        <v>0.44999998807907104</v>
      </c>
      <c r="G1232" s="73">
        <v>5.9999998658895493E-2</v>
      </c>
      <c r="H1232" s="73">
        <v>2.9999999329447746E-2</v>
      </c>
      <c r="I1232" s="190">
        <v>1612.692</v>
      </c>
      <c r="J1232" s="134" t="str">
        <f t="shared" si="144"/>
        <v>keep</v>
      </c>
      <c r="K1232" s="134" t="str">
        <f t="shared" si="145"/>
        <v>R38</v>
      </c>
      <c r="L1232" s="134" t="str">
        <f t="shared" si="146"/>
        <v>R11</v>
      </c>
      <c r="M1232" s="146" t="str">
        <f t="shared" si="142"/>
        <v>Better</v>
      </c>
      <c r="N1232" s="146" t="str">
        <f t="shared" si="143"/>
        <v>Better</v>
      </c>
      <c r="O1232" s="146" t="str">
        <f t="shared" si="147"/>
        <v>Heat PumpR38R11BetterBetter</v>
      </c>
      <c r="P1232" s="134" t="str">
        <f t="shared" si="148"/>
        <v>Crawlspace</v>
      </c>
      <c r="Q1232" s="134"/>
      <c r="R1232" s="134"/>
      <c r="S1232" s="134"/>
      <c r="T1232" s="134"/>
      <c r="U1232" s="134"/>
      <c r="V1232" s="134"/>
      <c r="W1232" s="134"/>
      <c r="X1232" s="134"/>
      <c r="Y1232" s="134"/>
      <c r="Z1232" s="134"/>
      <c r="AA1232" s="134"/>
      <c r="AB1232" s="134"/>
      <c r="AC1232" s="134"/>
      <c r="AD1232" s="134"/>
      <c r="AE1232" s="134"/>
      <c r="AF1232" s="146"/>
      <c r="AG1232" s="134"/>
      <c r="AH1232" s="134"/>
      <c r="AI1232" s="134"/>
      <c r="AJ1232" s="134"/>
      <c r="AK1232" s="134"/>
      <c r="AL1232" s="134"/>
      <c r="AM1232" s="146"/>
      <c r="AN1232" s="132"/>
      <c r="AO1232" s="132"/>
      <c r="AP1232" s="132"/>
      <c r="AQ1232" s="132"/>
      <c r="AR1232" s="134"/>
      <c r="AS1232" s="134"/>
      <c r="AT1232" s="132"/>
      <c r="AU1232" s="133"/>
      <c r="AV1232" s="134"/>
    </row>
    <row r="1233" spans="1:48">
      <c r="A1233" s="74">
        <v>23905</v>
      </c>
      <c r="B1233" s="74" t="s">
        <v>227</v>
      </c>
      <c r="C1233" s="74">
        <v>1</v>
      </c>
      <c r="D1233" s="74">
        <v>1654</v>
      </c>
      <c r="E1233" s="73">
        <v>0.37000000476837153</v>
      </c>
      <c r="F1233" s="73">
        <v>0.44999998807907104</v>
      </c>
      <c r="G1233" s="73">
        <v>7.5000002980232239E-2</v>
      </c>
      <c r="H1233" s="73">
        <v>5.9999998658895493E-2</v>
      </c>
      <c r="I1233" s="190">
        <v>2079.9929999999999</v>
      </c>
      <c r="J1233" s="134" t="str">
        <f t="shared" si="144"/>
        <v>keep</v>
      </c>
      <c r="K1233" s="134" t="str">
        <f t="shared" si="145"/>
        <v>R0</v>
      </c>
      <c r="L1233" s="134" t="str">
        <f t="shared" si="146"/>
        <v>R11</v>
      </c>
      <c r="M1233" s="146" t="str">
        <f t="shared" si="142"/>
        <v>R19</v>
      </c>
      <c r="N1233" s="146" t="str">
        <f t="shared" si="143"/>
        <v>Better</v>
      </c>
      <c r="O1233" s="146" t="str">
        <f t="shared" si="147"/>
        <v>Electric FAFR0R11R19Better</v>
      </c>
      <c r="P1233" s="134" t="str">
        <f t="shared" si="148"/>
        <v>Crawlspace</v>
      </c>
      <c r="Q1233" s="134"/>
      <c r="R1233" s="134"/>
      <c r="S1233" s="134"/>
      <c r="T1233" s="134"/>
      <c r="U1233" s="134"/>
      <c r="V1233" s="134"/>
      <c r="W1233" s="134"/>
      <c r="X1233" s="134"/>
      <c r="Y1233" s="134"/>
      <c r="Z1233" s="134"/>
      <c r="AA1233" s="134"/>
      <c r="AB1233" s="134"/>
      <c r="AC1233" s="134"/>
      <c r="AD1233" s="134"/>
      <c r="AE1233" s="134"/>
      <c r="AF1233" s="146"/>
      <c r="AG1233" s="134"/>
      <c r="AH1233" s="134"/>
      <c r="AI1233" s="134"/>
      <c r="AJ1233" s="134"/>
      <c r="AK1233" s="134"/>
      <c r="AL1233" s="134"/>
      <c r="AM1233" s="146"/>
      <c r="AN1233" s="132"/>
      <c r="AO1233" s="132"/>
      <c r="AP1233" s="132"/>
      <c r="AQ1233" s="132"/>
      <c r="AR1233" s="134"/>
      <c r="AS1233" s="134"/>
      <c r="AT1233" s="132"/>
      <c r="AU1233" s="133"/>
      <c r="AV1233" s="134"/>
    </row>
    <row r="1234" spans="1:48">
      <c r="A1234" s="74">
        <v>23914</v>
      </c>
      <c r="B1234" s="74" t="s">
        <v>228</v>
      </c>
      <c r="C1234" s="74" t="s">
        <v>673</v>
      </c>
      <c r="D1234" s="74">
        <v>2370</v>
      </c>
      <c r="E1234" s="73">
        <v>1.9999999552965164E-2</v>
      </c>
      <c r="F1234" s="73">
        <v>0.44999998807907104</v>
      </c>
      <c r="G1234" s="73">
        <v>2.3000000044703484E-2</v>
      </c>
      <c r="H1234" s="73">
        <v>0</v>
      </c>
      <c r="I1234" s="190">
        <v>1144.6790000000001</v>
      </c>
      <c r="J1234" s="134" t="str">
        <f t="shared" si="144"/>
        <v>ignore</v>
      </c>
      <c r="K1234" s="134" t="str">
        <f t="shared" si="145"/>
        <v>R38</v>
      </c>
      <c r="L1234" s="134" t="str">
        <f t="shared" si="146"/>
        <v>R11</v>
      </c>
      <c r="M1234" s="146" t="str">
        <f t="shared" si="142"/>
        <v>Better</v>
      </c>
      <c r="N1234" s="146" t="str">
        <f t="shared" si="143"/>
        <v>Better</v>
      </c>
      <c r="O1234" s="146" t="str">
        <f t="shared" si="147"/>
        <v>Electric ZonalR38R11BetterBetter</v>
      </c>
      <c r="P1234" s="134" t="str">
        <f t="shared" si="148"/>
        <v>error</v>
      </c>
      <c r="Q1234" s="134"/>
      <c r="R1234" s="134"/>
      <c r="S1234" s="134"/>
      <c r="T1234" s="134"/>
      <c r="U1234" s="134"/>
      <c r="V1234" s="134"/>
      <c r="W1234" s="134"/>
      <c r="X1234" s="134"/>
      <c r="Y1234" s="134"/>
      <c r="Z1234" s="134"/>
      <c r="AA1234" s="134"/>
      <c r="AB1234" s="134"/>
      <c r="AC1234" s="134"/>
      <c r="AD1234" s="134"/>
      <c r="AE1234" s="134"/>
      <c r="AF1234" s="146"/>
      <c r="AG1234" s="134"/>
      <c r="AH1234" s="134"/>
      <c r="AI1234" s="134"/>
      <c r="AJ1234" s="134"/>
      <c r="AK1234" s="134"/>
      <c r="AL1234" s="134"/>
      <c r="AM1234" s="146"/>
      <c r="AN1234" s="132"/>
      <c r="AO1234" s="132"/>
      <c r="AP1234" s="132"/>
      <c r="AQ1234" s="132"/>
      <c r="AR1234" s="134"/>
      <c r="AS1234" s="134"/>
      <c r="AT1234" s="132"/>
      <c r="AU1234" s="133"/>
      <c r="AV1234" s="134"/>
    </row>
    <row r="1235" spans="1:48">
      <c r="A1235" s="74">
        <v>23936</v>
      </c>
      <c r="B1235" s="74" t="s">
        <v>228</v>
      </c>
      <c r="C1235" s="74">
        <v>4</v>
      </c>
      <c r="D1235" s="74">
        <v>2490</v>
      </c>
      <c r="E1235" s="73">
        <v>7.9999998211860657E-2</v>
      </c>
      <c r="F1235" s="73">
        <v>0.67837839540060574</v>
      </c>
      <c r="G1235" s="73">
        <v>9.0000003576278687E-2</v>
      </c>
      <c r="H1235" s="73">
        <v>0</v>
      </c>
      <c r="I1235" s="190">
        <v>3785.7640000000001</v>
      </c>
      <c r="J1235" s="134" t="str">
        <f t="shared" si="144"/>
        <v>keep</v>
      </c>
      <c r="K1235" s="134" t="str">
        <f t="shared" si="145"/>
        <v>R19</v>
      </c>
      <c r="L1235" s="134" t="str">
        <f t="shared" si="146"/>
        <v>R11</v>
      </c>
      <c r="M1235" s="146" t="str">
        <f t="shared" si="142"/>
        <v>Basement</v>
      </c>
      <c r="N1235" s="146" t="str">
        <f t="shared" si="143"/>
        <v>Better</v>
      </c>
      <c r="O1235" s="146" t="str">
        <f t="shared" si="147"/>
        <v>Electric ZonalR19R11BasementBetter</v>
      </c>
      <c r="P1235" s="134" t="str">
        <f t="shared" si="148"/>
        <v>Basement</v>
      </c>
      <c r="Q1235" s="134"/>
      <c r="R1235" s="134"/>
      <c r="S1235" s="134"/>
      <c r="T1235" s="134"/>
      <c r="U1235" s="134"/>
      <c r="V1235" s="134"/>
      <c r="W1235" s="134"/>
      <c r="X1235" s="134"/>
      <c r="Y1235" s="134"/>
      <c r="Z1235" s="134"/>
      <c r="AA1235" s="134"/>
      <c r="AB1235" s="134"/>
      <c r="AC1235" s="134"/>
      <c r="AD1235" s="134"/>
      <c r="AE1235" s="134"/>
      <c r="AF1235" s="146"/>
      <c r="AG1235" s="134"/>
      <c r="AH1235" s="134"/>
      <c r="AI1235" s="134"/>
      <c r="AJ1235" s="134"/>
      <c r="AK1235" s="134"/>
      <c r="AL1235" s="134"/>
      <c r="AM1235" s="146"/>
      <c r="AN1235" s="132"/>
      <c r="AO1235" s="132"/>
      <c r="AP1235" s="132"/>
      <c r="AQ1235" s="132"/>
      <c r="AR1235" s="134"/>
      <c r="AS1235" s="134"/>
      <c r="AT1235" s="132"/>
      <c r="AU1235" s="133"/>
      <c r="AV1235" s="134"/>
    </row>
    <row r="1236" spans="1:48">
      <c r="A1236" s="74">
        <v>23946</v>
      </c>
      <c r="B1236" s="74" t="s">
        <v>228</v>
      </c>
      <c r="C1236" s="74">
        <v>1</v>
      </c>
      <c r="D1236" s="74">
        <v>1536</v>
      </c>
      <c r="E1236" s="73">
        <v>7.5000002980232239E-2</v>
      </c>
      <c r="F1236" s="73">
        <v>0.55000001192092896</v>
      </c>
      <c r="G1236" s="73">
        <v>5.9999998658895493E-2</v>
      </c>
      <c r="H1236" s="73">
        <v>5.9999998658895493E-2</v>
      </c>
      <c r="I1236" s="190">
        <v>2079.9929999999999</v>
      </c>
      <c r="J1236" s="134" t="str">
        <f t="shared" si="144"/>
        <v>keep</v>
      </c>
      <c r="K1236" s="134" t="str">
        <f t="shared" si="145"/>
        <v>R19</v>
      </c>
      <c r="L1236" s="134" t="str">
        <f t="shared" si="146"/>
        <v>R11</v>
      </c>
      <c r="M1236" s="146" t="str">
        <f t="shared" si="142"/>
        <v>R19</v>
      </c>
      <c r="N1236" s="146" t="str">
        <f t="shared" si="143"/>
        <v>Better</v>
      </c>
      <c r="O1236" s="146" t="str">
        <f t="shared" si="147"/>
        <v>Electric ZonalR19R11R19Better</v>
      </c>
      <c r="P1236" s="134" t="str">
        <f t="shared" si="148"/>
        <v>Crawlspace</v>
      </c>
      <c r="Q1236" s="134"/>
      <c r="R1236" s="134"/>
      <c r="S1236" s="134"/>
      <c r="T1236" s="134"/>
      <c r="U1236" s="134"/>
      <c r="V1236" s="134"/>
      <c r="W1236" s="134"/>
      <c r="X1236" s="134"/>
      <c r="Y1236" s="134"/>
      <c r="Z1236" s="134"/>
      <c r="AA1236" s="134"/>
      <c r="AB1236" s="134"/>
      <c r="AC1236" s="134"/>
      <c r="AD1236" s="134"/>
      <c r="AE1236" s="134"/>
      <c r="AF1236" s="146"/>
      <c r="AG1236" s="134"/>
      <c r="AH1236" s="134"/>
      <c r="AI1236" s="134"/>
      <c r="AJ1236" s="134"/>
      <c r="AK1236" s="134"/>
      <c r="AL1236" s="134"/>
      <c r="AM1236" s="146"/>
      <c r="AN1236" s="132"/>
      <c r="AO1236" s="132"/>
      <c r="AP1236" s="132"/>
      <c r="AQ1236" s="132"/>
      <c r="AR1236" s="134"/>
      <c r="AS1236" s="134"/>
      <c r="AT1236" s="132"/>
      <c r="AU1236" s="133"/>
      <c r="AV1236" s="134"/>
    </row>
    <row r="1237" spans="1:48">
      <c r="A1237" s="74">
        <v>23952</v>
      </c>
      <c r="B1237" s="74" t="s">
        <v>229</v>
      </c>
      <c r="C1237" s="74" t="s">
        <v>673</v>
      </c>
      <c r="D1237" s="74">
        <v>2168</v>
      </c>
      <c r="E1237" s="73">
        <v>0.14499999582767487</v>
      </c>
      <c r="F1237" s="73">
        <v>0.45244298540419786</v>
      </c>
      <c r="G1237" s="73">
        <v>9.0000003576278687E-2</v>
      </c>
      <c r="H1237" s="73">
        <v>0.10000000149011612</v>
      </c>
      <c r="I1237" s="190">
        <v>1612.692</v>
      </c>
      <c r="J1237" s="134" t="str">
        <f t="shared" si="144"/>
        <v>ignore</v>
      </c>
      <c r="K1237" s="134" t="str">
        <f t="shared" si="145"/>
        <v>R11</v>
      </c>
      <c r="L1237" s="134" t="str">
        <f t="shared" si="146"/>
        <v>R11</v>
      </c>
      <c r="M1237" s="146" t="str">
        <f t="shared" si="142"/>
        <v>R0</v>
      </c>
      <c r="N1237" s="146" t="str">
        <f t="shared" si="143"/>
        <v>Better</v>
      </c>
      <c r="O1237" s="146" t="str">
        <f t="shared" si="147"/>
        <v>Heat PumpR11R11R0Better</v>
      </c>
      <c r="P1237" s="134" t="str">
        <f t="shared" si="148"/>
        <v>error</v>
      </c>
      <c r="Q1237" s="134"/>
      <c r="R1237" s="134"/>
      <c r="S1237" s="134"/>
      <c r="T1237" s="134"/>
      <c r="U1237" s="134"/>
      <c r="V1237" s="134"/>
      <c r="W1237" s="134"/>
      <c r="X1237" s="134"/>
      <c r="Y1237" s="134"/>
      <c r="Z1237" s="134"/>
      <c r="AA1237" s="134"/>
      <c r="AB1237" s="134"/>
      <c r="AC1237" s="134"/>
      <c r="AD1237" s="134"/>
      <c r="AE1237" s="134"/>
      <c r="AF1237" s="146"/>
      <c r="AG1237" s="134"/>
      <c r="AH1237" s="134"/>
      <c r="AI1237" s="134"/>
      <c r="AJ1237" s="134"/>
      <c r="AK1237" s="134"/>
      <c r="AL1237" s="134"/>
      <c r="AM1237" s="146"/>
      <c r="AN1237" s="132"/>
      <c r="AO1237" s="132"/>
      <c r="AP1237" s="132"/>
      <c r="AQ1237" s="132"/>
      <c r="AR1237" s="134"/>
      <c r="AS1237" s="134"/>
      <c r="AT1237" s="132"/>
      <c r="AU1237" s="133"/>
      <c r="AV1237" s="134"/>
    </row>
    <row r="1238" spans="1:48">
      <c r="A1238" s="74">
        <v>23960</v>
      </c>
      <c r="B1238" s="74" t="s">
        <v>229</v>
      </c>
      <c r="C1238" s="74">
        <v>2</v>
      </c>
      <c r="D1238" s="74">
        <v>2272</v>
      </c>
      <c r="E1238" s="73">
        <v>7.9999998211860657E-2</v>
      </c>
      <c r="F1238" s="73">
        <v>0.40000000596046448</v>
      </c>
      <c r="G1238" s="73">
        <v>4.6666668107112251E-2</v>
      </c>
      <c r="H1238" s="73">
        <v>0</v>
      </c>
      <c r="I1238" s="190">
        <v>1192.4649999999999</v>
      </c>
      <c r="J1238" s="134" t="str">
        <f t="shared" si="144"/>
        <v>keep</v>
      </c>
      <c r="K1238" s="134" t="str">
        <f t="shared" si="145"/>
        <v>R19</v>
      </c>
      <c r="L1238" s="134" t="str">
        <f t="shared" si="146"/>
        <v>R11</v>
      </c>
      <c r="M1238" s="146" t="str">
        <f t="shared" si="142"/>
        <v>Slab</v>
      </c>
      <c r="N1238" s="146" t="str">
        <f t="shared" si="143"/>
        <v>Better</v>
      </c>
      <c r="O1238" s="146" t="str">
        <f t="shared" si="147"/>
        <v>Heat PumpR19R11SlabBetter</v>
      </c>
      <c r="P1238" s="134" t="str">
        <f t="shared" si="148"/>
        <v>Slab</v>
      </c>
      <c r="Q1238" s="134"/>
      <c r="R1238" s="134"/>
      <c r="S1238" s="134"/>
      <c r="T1238" s="134"/>
      <c r="U1238" s="134"/>
      <c r="V1238" s="134"/>
      <c r="W1238" s="134"/>
      <c r="X1238" s="134"/>
      <c r="Y1238" s="134"/>
      <c r="Z1238" s="134"/>
      <c r="AA1238" s="134"/>
      <c r="AB1238" s="134"/>
      <c r="AC1238" s="134"/>
      <c r="AD1238" s="134"/>
      <c r="AE1238" s="134"/>
      <c r="AF1238" s="146"/>
      <c r="AG1238" s="134"/>
      <c r="AH1238" s="134"/>
      <c r="AI1238" s="134"/>
      <c r="AJ1238" s="134"/>
      <c r="AK1238" s="134"/>
      <c r="AL1238" s="134"/>
      <c r="AM1238" s="146"/>
      <c r="AN1238" s="132"/>
      <c r="AO1238" s="132"/>
      <c r="AP1238" s="132"/>
      <c r="AQ1238" s="132"/>
      <c r="AR1238" s="134"/>
      <c r="AS1238" s="134"/>
      <c r="AT1238" s="132"/>
      <c r="AU1238" s="133"/>
      <c r="AV1238" s="134"/>
    </row>
    <row r="1239" spans="1:48">
      <c r="A1239" s="74">
        <v>23965</v>
      </c>
      <c r="B1239" s="74" t="s">
        <v>229</v>
      </c>
      <c r="C1239" s="74">
        <v>4</v>
      </c>
      <c r="D1239" s="74">
        <v>2927</v>
      </c>
      <c r="E1239" s="73">
        <v>1.9999999552965164E-2</v>
      </c>
      <c r="F1239" s="73">
        <v>0.46580976048594575</v>
      </c>
      <c r="G1239" s="73">
        <v>5.9999998658895493E-2</v>
      </c>
      <c r="H1239" s="73">
        <v>0</v>
      </c>
      <c r="I1239" s="190">
        <v>1904.288</v>
      </c>
      <c r="J1239" s="134" t="str">
        <f t="shared" si="144"/>
        <v>keep</v>
      </c>
      <c r="K1239" s="134" t="str">
        <f t="shared" si="145"/>
        <v>R38</v>
      </c>
      <c r="L1239" s="134" t="str">
        <f t="shared" si="146"/>
        <v>R11</v>
      </c>
      <c r="M1239" s="146" t="str">
        <f t="shared" si="142"/>
        <v>Basement</v>
      </c>
      <c r="N1239" s="146" t="str">
        <f t="shared" si="143"/>
        <v>Better</v>
      </c>
      <c r="O1239" s="146" t="str">
        <f t="shared" si="147"/>
        <v>Heat PumpR38R11BasementBetter</v>
      </c>
      <c r="P1239" s="134" t="str">
        <f t="shared" si="148"/>
        <v>Basement</v>
      </c>
      <c r="Q1239" s="134"/>
      <c r="R1239" s="134"/>
      <c r="S1239" s="134"/>
      <c r="T1239" s="134"/>
      <c r="U1239" s="134"/>
      <c r="V1239" s="134"/>
      <c r="W1239" s="134"/>
      <c r="X1239" s="134"/>
      <c r="Y1239" s="134"/>
      <c r="Z1239" s="134"/>
      <c r="AA1239" s="134"/>
      <c r="AB1239" s="134"/>
      <c r="AC1239" s="134"/>
      <c r="AD1239" s="134"/>
      <c r="AE1239" s="134"/>
      <c r="AF1239" s="146"/>
      <c r="AG1239" s="134"/>
      <c r="AH1239" s="134"/>
      <c r="AI1239" s="134"/>
      <c r="AJ1239" s="134"/>
      <c r="AK1239" s="134"/>
      <c r="AL1239" s="134"/>
      <c r="AM1239" s="146"/>
      <c r="AN1239" s="132"/>
      <c r="AO1239" s="132"/>
      <c r="AP1239" s="132"/>
      <c r="AQ1239" s="132"/>
      <c r="AR1239" s="134"/>
      <c r="AS1239" s="134"/>
      <c r="AT1239" s="132"/>
      <c r="AU1239" s="133"/>
      <c r="AV1239" s="134"/>
    </row>
    <row r="1240" spans="1:48">
      <c r="A1240" s="74">
        <v>23966</v>
      </c>
      <c r="B1240" s="74" t="s">
        <v>228</v>
      </c>
      <c r="C1240" s="74">
        <v>1</v>
      </c>
      <c r="D1240" s="74">
        <v>901</v>
      </c>
      <c r="E1240" s="73" t="e">
        <v>#VALUE!</v>
      </c>
      <c r="F1240" s="73">
        <v>0.60000002384185791</v>
      </c>
      <c r="G1240" s="73">
        <v>9.0000003576278687E-2</v>
      </c>
      <c r="H1240" s="73">
        <v>5.4999999701976776E-2</v>
      </c>
      <c r="I1240" s="190">
        <v>3785.7640000000001</v>
      </c>
      <c r="J1240" s="134" t="str">
        <f t="shared" si="144"/>
        <v>ignore</v>
      </c>
      <c r="K1240" s="134" t="e">
        <f t="shared" si="145"/>
        <v>#VALUE!</v>
      </c>
      <c r="L1240" s="134" t="str">
        <f t="shared" si="146"/>
        <v>R11</v>
      </c>
      <c r="M1240" s="146" t="str">
        <f t="shared" si="142"/>
        <v>R19</v>
      </c>
      <c r="N1240" s="146" t="str">
        <f t="shared" si="143"/>
        <v>Better</v>
      </c>
      <c r="O1240" s="146" t="e">
        <f t="shared" si="147"/>
        <v>#VALUE!</v>
      </c>
      <c r="P1240" s="134" t="str">
        <f t="shared" si="148"/>
        <v>Crawlspace</v>
      </c>
      <c r="Q1240" s="134"/>
      <c r="R1240" s="134"/>
      <c r="S1240" s="134"/>
      <c r="T1240" s="134"/>
      <c r="U1240" s="134"/>
      <c r="V1240" s="134"/>
      <c r="W1240" s="134"/>
      <c r="X1240" s="134"/>
      <c r="Y1240" s="134"/>
      <c r="Z1240" s="134"/>
      <c r="AA1240" s="134"/>
      <c r="AB1240" s="134"/>
      <c r="AC1240" s="134"/>
      <c r="AD1240" s="134"/>
      <c r="AE1240" s="134"/>
      <c r="AF1240" s="146"/>
      <c r="AG1240" s="134"/>
      <c r="AH1240" s="134"/>
      <c r="AI1240" s="134"/>
      <c r="AJ1240" s="134"/>
      <c r="AK1240" s="134"/>
      <c r="AL1240" s="134"/>
      <c r="AM1240" s="146"/>
      <c r="AN1240" s="132"/>
      <c r="AO1240" s="132"/>
      <c r="AP1240" s="132"/>
      <c r="AQ1240" s="132"/>
      <c r="AR1240" s="134"/>
      <c r="AS1240" s="134"/>
      <c r="AT1240" s="132"/>
      <c r="AU1240" s="133"/>
      <c r="AV1240" s="134"/>
    </row>
    <row r="1241" spans="1:48">
      <c r="A1241" s="74">
        <v>24083</v>
      </c>
      <c r="B1241" s="74" t="s">
        <v>228</v>
      </c>
      <c r="C1241" s="74">
        <v>2</v>
      </c>
      <c r="D1241" s="74">
        <v>1284</v>
      </c>
      <c r="E1241" s="73">
        <v>7.0000000298023224E-2</v>
      </c>
      <c r="F1241" s="73">
        <v>0.60000002384185791</v>
      </c>
      <c r="G1241" s="73">
        <v>0.23400000000000001</v>
      </c>
      <c r="H1241" s="73">
        <v>0</v>
      </c>
      <c r="I1241" s="190">
        <v>1904.288</v>
      </c>
      <c r="J1241" s="134" t="str">
        <f t="shared" si="144"/>
        <v>keep</v>
      </c>
      <c r="K1241" s="134" t="str">
        <f t="shared" si="145"/>
        <v>R19</v>
      </c>
      <c r="L1241" s="134" t="str">
        <f t="shared" si="146"/>
        <v>R0</v>
      </c>
      <c r="M1241" s="146" t="str">
        <f t="shared" si="142"/>
        <v>Slab</v>
      </c>
      <c r="N1241" s="146" t="str">
        <f t="shared" si="143"/>
        <v>Better</v>
      </c>
      <c r="O1241" s="146" t="str">
        <f t="shared" si="147"/>
        <v>Electric ZonalR19R0SlabBetter</v>
      </c>
      <c r="P1241" s="134" t="str">
        <f t="shared" si="148"/>
        <v>Slab</v>
      </c>
      <c r="Q1241" s="134"/>
      <c r="R1241" s="134"/>
      <c r="S1241" s="134"/>
      <c r="T1241" s="134"/>
      <c r="U1241" s="134"/>
      <c r="V1241" s="134"/>
      <c r="W1241" s="134"/>
      <c r="X1241" s="134"/>
      <c r="Y1241" s="134"/>
      <c r="Z1241" s="134"/>
      <c r="AA1241" s="134"/>
      <c r="AB1241" s="134"/>
      <c r="AC1241" s="134"/>
      <c r="AD1241" s="134"/>
      <c r="AE1241" s="134"/>
      <c r="AF1241" s="146"/>
      <c r="AG1241" s="134"/>
      <c r="AH1241" s="134"/>
      <c r="AI1241" s="134"/>
      <c r="AJ1241" s="134"/>
      <c r="AK1241" s="134"/>
      <c r="AL1241" s="134"/>
      <c r="AM1241" s="146"/>
      <c r="AN1241" s="132"/>
      <c r="AO1241" s="132"/>
      <c r="AP1241" s="132"/>
      <c r="AQ1241" s="132"/>
      <c r="AR1241" s="134"/>
      <c r="AS1241" s="134"/>
      <c r="AT1241" s="132"/>
      <c r="AU1241" s="133"/>
      <c r="AV1241" s="134"/>
    </row>
    <row r="1242" spans="1:48">
      <c r="A1242" s="74">
        <v>24119</v>
      </c>
      <c r="B1242" s="74" t="s">
        <v>228</v>
      </c>
      <c r="C1242" s="74">
        <v>1</v>
      </c>
      <c r="D1242" s="74">
        <v>1410</v>
      </c>
      <c r="E1242" s="73">
        <v>7.9999998211860657E-2</v>
      </c>
      <c r="F1242" s="73">
        <v>0.4568181715228341</v>
      </c>
      <c r="G1242" s="73">
        <v>9.0000003576278687E-2</v>
      </c>
      <c r="H1242" s="73">
        <v>6.4999997615814209E-2</v>
      </c>
      <c r="I1242" s="190">
        <v>2079.9929999999999</v>
      </c>
      <c r="J1242" s="134" t="str">
        <f t="shared" si="144"/>
        <v>keep</v>
      </c>
      <c r="K1242" s="134" t="str">
        <f t="shared" si="145"/>
        <v>R19</v>
      </c>
      <c r="L1242" s="134" t="str">
        <f t="shared" si="146"/>
        <v>R11</v>
      </c>
      <c r="M1242" s="146" t="str">
        <f t="shared" si="142"/>
        <v>R19</v>
      </c>
      <c r="N1242" s="146" t="str">
        <f t="shared" si="143"/>
        <v>Better</v>
      </c>
      <c r="O1242" s="146" t="str">
        <f t="shared" si="147"/>
        <v>Electric ZonalR19R11R19Better</v>
      </c>
      <c r="P1242" s="134" t="str">
        <f t="shared" si="148"/>
        <v>Crawlspace</v>
      </c>
      <c r="Q1242" s="134"/>
      <c r="R1242" s="134"/>
      <c r="S1242" s="134"/>
      <c r="T1242" s="134"/>
      <c r="U1242" s="134"/>
      <c r="V1242" s="134"/>
      <c r="W1242" s="134"/>
      <c r="X1242" s="134"/>
      <c r="Y1242" s="134"/>
      <c r="Z1242" s="134"/>
      <c r="AA1242" s="134"/>
      <c r="AB1242" s="134"/>
      <c r="AC1242" s="134"/>
      <c r="AD1242" s="134"/>
      <c r="AE1242" s="134"/>
      <c r="AF1242" s="146"/>
      <c r="AG1242" s="134"/>
      <c r="AH1242" s="134"/>
      <c r="AI1242" s="134"/>
      <c r="AJ1242" s="134"/>
      <c r="AK1242" s="134"/>
      <c r="AL1242" s="134"/>
      <c r="AM1242" s="146"/>
      <c r="AN1242" s="132"/>
      <c r="AO1242" s="132"/>
      <c r="AP1242" s="132"/>
      <c r="AQ1242" s="132"/>
      <c r="AR1242" s="134"/>
      <c r="AS1242" s="134"/>
      <c r="AT1242" s="132"/>
      <c r="AU1242" s="133"/>
      <c r="AV1242" s="134"/>
    </row>
    <row r="1243" spans="1:48">
      <c r="A1243" s="74">
        <v>24171</v>
      </c>
      <c r="B1243" s="74" t="s">
        <v>228</v>
      </c>
      <c r="C1243" s="74">
        <v>1</v>
      </c>
      <c r="D1243" s="74">
        <v>1560</v>
      </c>
      <c r="E1243" s="73">
        <v>9.0000003576278687E-2</v>
      </c>
      <c r="F1243" s="73">
        <v>0.60000002384185791</v>
      </c>
      <c r="G1243" s="73">
        <v>9.0000003576278687E-2</v>
      </c>
      <c r="H1243" s="73">
        <v>5.9999998658895493E-2</v>
      </c>
      <c r="I1243" s="190">
        <v>2079.9929999999999</v>
      </c>
      <c r="J1243" s="134" t="str">
        <f t="shared" si="144"/>
        <v>keep</v>
      </c>
      <c r="K1243" s="134" t="str">
        <f t="shared" si="145"/>
        <v>R11</v>
      </c>
      <c r="L1243" s="134" t="str">
        <f t="shared" si="146"/>
        <v>R11</v>
      </c>
      <c r="M1243" s="146" t="str">
        <f t="shared" si="142"/>
        <v>R19</v>
      </c>
      <c r="N1243" s="146" t="str">
        <f t="shared" si="143"/>
        <v>Better</v>
      </c>
      <c r="O1243" s="146" t="str">
        <f t="shared" si="147"/>
        <v>Electric ZonalR11R11R19Better</v>
      </c>
      <c r="P1243" s="134" t="str">
        <f t="shared" si="148"/>
        <v>Crawlspace</v>
      </c>
      <c r="Q1243" s="134"/>
      <c r="R1243" s="134"/>
      <c r="S1243" s="134"/>
      <c r="T1243" s="134"/>
      <c r="U1243" s="134"/>
      <c r="V1243" s="134"/>
      <c r="W1243" s="134"/>
      <c r="X1243" s="134"/>
      <c r="Y1243" s="134"/>
      <c r="Z1243" s="134"/>
      <c r="AA1243" s="134"/>
      <c r="AB1243" s="134"/>
      <c r="AC1243" s="134"/>
      <c r="AD1243" s="134"/>
      <c r="AE1243" s="134"/>
      <c r="AF1243" s="146"/>
      <c r="AG1243" s="134"/>
      <c r="AH1243" s="134"/>
      <c r="AI1243" s="134"/>
      <c r="AJ1243" s="134"/>
      <c r="AK1243" s="134"/>
      <c r="AL1243" s="134"/>
      <c r="AM1243" s="146"/>
      <c r="AN1243" s="132"/>
      <c r="AO1243" s="132"/>
      <c r="AP1243" s="132"/>
      <c r="AQ1243" s="132"/>
      <c r="AR1243" s="134"/>
      <c r="AS1243" s="134"/>
      <c r="AT1243" s="132"/>
      <c r="AU1243" s="133"/>
      <c r="AV1243" s="134"/>
    </row>
    <row r="1244" spans="1:48">
      <c r="A1244" s="74">
        <v>24184</v>
      </c>
      <c r="B1244" s="74" t="s">
        <v>227</v>
      </c>
      <c r="C1244" s="74">
        <v>4</v>
      </c>
      <c r="D1244" s="74">
        <v>2925</v>
      </c>
      <c r="E1244" s="73">
        <v>2.5706638428492263E-2</v>
      </c>
      <c r="F1244" s="73">
        <v>0.60000002384185791</v>
      </c>
      <c r="G1244" s="73">
        <v>9.3502539101288404E-2</v>
      </c>
      <c r="H1244" s="73">
        <v>0</v>
      </c>
      <c r="I1244" s="190">
        <v>4360.1880000000001</v>
      </c>
      <c r="J1244" s="134" t="str">
        <f t="shared" si="144"/>
        <v>keep</v>
      </c>
      <c r="K1244" s="134" t="str">
        <f t="shared" si="145"/>
        <v>R38</v>
      </c>
      <c r="L1244" s="134" t="str">
        <f t="shared" si="146"/>
        <v>R11</v>
      </c>
      <c r="M1244" s="146" t="str">
        <f t="shared" si="142"/>
        <v>Basement</v>
      </c>
      <c r="N1244" s="146" t="str">
        <f t="shared" si="143"/>
        <v>Better</v>
      </c>
      <c r="O1244" s="146" t="str">
        <f t="shared" si="147"/>
        <v>Electric FAFR38R11BasementBetter</v>
      </c>
      <c r="P1244" s="134" t="str">
        <f t="shared" si="148"/>
        <v>Basement</v>
      </c>
      <c r="Q1244" s="134"/>
      <c r="R1244" s="134"/>
      <c r="S1244" s="134"/>
      <c r="T1244" s="134"/>
      <c r="U1244" s="134"/>
      <c r="V1244" s="134"/>
      <c r="W1244" s="134"/>
      <c r="X1244" s="134"/>
      <c r="Y1244" s="134"/>
      <c r="Z1244" s="134"/>
      <c r="AA1244" s="134"/>
      <c r="AB1244" s="134"/>
      <c r="AC1244" s="134"/>
      <c r="AD1244" s="134"/>
      <c r="AE1244" s="134"/>
      <c r="AF1244" s="146"/>
      <c r="AG1244" s="134"/>
      <c r="AH1244" s="134"/>
      <c r="AI1244" s="134"/>
      <c r="AJ1244" s="134"/>
      <c r="AK1244" s="134"/>
      <c r="AL1244" s="134"/>
      <c r="AM1244" s="146"/>
      <c r="AN1244" s="132"/>
      <c r="AO1244" s="132"/>
      <c r="AP1244" s="132"/>
      <c r="AQ1244" s="132"/>
      <c r="AR1244" s="134"/>
      <c r="AS1244" s="134"/>
      <c r="AT1244" s="132"/>
      <c r="AU1244" s="133"/>
      <c r="AV1244" s="134"/>
    </row>
    <row r="1245" spans="1:48">
      <c r="A1245" s="74">
        <v>24203</v>
      </c>
      <c r="B1245" s="74" t="s">
        <v>229</v>
      </c>
      <c r="C1245" s="74">
        <v>1</v>
      </c>
      <c r="D1245" s="74">
        <v>2016</v>
      </c>
      <c r="E1245" s="73">
        <v>2.500000037252903E-2</v>
      </c>
      <c r="F1245" s="73">
        <v>0.44999998807907104</v>
      </c>
      <c r="G1245" s="73">
        <v>5.9999998658895493E-2</v>
      </c>
      <c r="H1245" s="73">
        <v>2.9999999329447746E-2</v>
      </c>
      <c r="I1245" s="190">
        <v>1904.288</v>
      </c>
      <c r="J1245" s="134" t="str">
        <f t="shared" si="144"/>
        <v>keep</v>
      </c>
      <c r="K1245" s="134" t="str">
        <f t="shared" si="145"/>
        <v>R38</v>
      </c>
      <c r="L1245" s="134" t="str">
        <f t="shared" si="146"/>
        <v>R11</v>
      </c>
      <c r="M1245" s="146" t="str">
        <f t="shared" si="142"/>
        <v>Better</v>
      </c>
      <c r="N1245" s="146" t="str">
        <f t="shared" si="143"/>
        <v>Better</v>
      </c>
      <c r="O1245" s="146" t="str">
        <f t="shared" si="147"/>
        <v>Heat PumpR38R11BetterBetter</v>
      </c>
      <c r="P1245" s="134" t="str">
        <f t="shared" si="148"/>
        <v>Crawlspace</v>
      </c>
      <c r="Q1245" s="134"/>
      <c r="R1245" s="134"/>
      <c r="S1245" s="134"/>
      <c r="T1245" s="134"/>
      <c r="U1245" s="134"/>
      <c r="V1245" s="134"/>
      <c r="W1245" s="134"/>
      <c r="X1245" s="134"/>
      <c r="Y1245" s="134"/>
      <c r="Z1245" s="134"/>
      <c r="AA1245" s="134"/>
      <c r="AB1245" s="134"/>
      <c r="AC1245" s="134"/>
      <c r="AD1245" s="134"/>
      <c r="AE1245" s="134"/>
      <c r="AF1245" s="146"/>
      <c r="AG1245" s="134"/>
      <c r="AH1245" s="134"/>
      <c r="AI1245" s="134"/>
      <c r="AJ1245" s="134"/>
      <c r="AK1245" s="134"/>
      <c r="AL1245" s="134"/>
      <c r="AM1245" s="146"/>
      <c r="AN1245" s="132"/>
      <c r="AO1245" s="132"/>
      <c r="AP1245" s="132"/>
      <c r="AQ1245" s="132"/>
      <c r="AR1245" s="134"/>
      <c r="AS1245" s="134"/>
      <c r="AT1245" s="132"/>
      <c r="AU1245" s="133"/>
      <c r="AV1245" s="134"/>
    </row>
    <row r="1246" spans="1:48">
      <c r="A1246" s="74">
        <v>24205</v>
      </c>
      <c r="B1246" s="74" t="s">
        <v>229</v>
      </c>
      <c r="C1246" s="74">
        <v>4</v>
      </c>
      <c r="D1246" s="74">
        <v>3218</v>
      </c>
      <c r="E1246" s="73">
        <v>2.500000037252903E-2</v>
      </c>
      <c r="F1246" s="73">
        <v>0.5571315485966376</v>
      </c>
      <c r="G1246" s="73">
        <v>4.5000001788139343E-2</v>
      </c>
      <c r="H1246" s="73">
        <v>0</v>
      </c>
      <c r="I1246" s="190">
        <v>1192.4649999999999</v>
      </c>
      <c r="J1246" s="134" t="str">
        <f t="shared" si="144"/>
        <v>keep</v>
      </c>
      <c r="K1246" s="134" t="str">
        <f t="shared" si="145"/>
        <v>R38</v>
      </c>
      <c r="L1246" s="134" t="str">
        <f t="shared" si="146"/>
        <v>R11</v>
      </c>
      <c r="M1246" s="146" t="str">
        <f t="shared" si="142"/>
        <v>Basement</v>
      </c>
      <c r="N1246" s="146" t="str">
        <f t="shared" si="143"/>
        <v>Better</v>
      </c>
      <c r="O1246" s="146" t="str">
        <f t="shared" si="147"/>
        <v>Heat PumpR38R11BasementBetter</v>
      </c>
      <c r="P1246" s="134" t="str">
        <f t="shared" si="148"/>
        <v>Basement</v>
      </c>
      <c r="Q1246" s="134"/>
      <c r="R1246" s="134"/>
      <c r="S1246" s="134"/>
      <c r="T1246" s="134"/>
      <c r="U1246" s="134"/>
      <c r="V1246" s="134"/>
      <c r="W1246" s="134"/>
      <c r="X1246" s="134"/>
      <c r="Y1246" s="134"/>
      <c r="Z1246" s="134"/>
      <c r="AA1246" s="134"/>
      <c r="AB1246" s="134"/>
      <c r="AC1246" s="134"/>
      <c r="AD1246" s="134"/>
      <c r="AE1246" s="134"/>
      <c r="AF1246" s="146"/>
      <c r="AG1246" s="134"/>
      <c r="AH1246" s="134"/>
      <c r="AI1246" s="134"/>
      <c r="AJ1246" s="134"/>
      <c r="AK1246" s="134"/>
      <c r="AL1246" s="134"/>
      <c r="AM1246" s="146"/>
      <c r="AN1246" s="132"/>
      <c r="AO1246" s="132"/>
      <c r="AP1246" s="132"/>
      <c r="AQ1246" s="132"/>
      <c r="AR1246" s="134"/>
      <c r="AS1246" s="134"/>
      <c r="AT1246" s="132"/>
      <c r="AU1246" s="133"/>
      <c r="AV1246" s="134"/>
    </row>
    <row r="1247" spans="1:48">
      <c r="A1247" s="74">
        <v>24207</v>
      </c>
      <c r="B1247" s="74" t="s">
        <v>228</v>
      </c>
      <c r="C1247" s="74">
        <v>1</v>
      </c>
      <c r="D1247" s="74">
        <v>910</v>
      </c>
      <c r="E1247" s="73">
        <v>2.500000037252903E-2</v>
      </c>
      <c r="F1247" s="73">
        <v>0.44999998807907104</v>
      </c>
      <c r="G1247" s="73">
        <v>7.9999998211860657E-2</v>
      </c>
      <c r="H1247" s="73">
        <v>0.23000000417232513</v>
      </c>
      <c r="I1247" s="190">
        <v>1925.059</v>
      </c>
      <c r="J1247" s="134" t="str">
        <f t="shared" si="144"/>
        <v>keep</v>
      </c>
      <c r="K1247" s="134" t="str">
        <f t="shared" si="145"/>
        <v>R38</v>
      </c>
      <c r="L1247" s="134" t="str">
        <f t="shared" si="146"/>
        <v>R11</v>
      </c>
      <c r="M1247" s="146" t="str">
        <f t="shared" si="142"/>
        <v>R0</v>
      </c>
      <c r="N1247" s="146" t="str">
        <f t="shared" si="143"/>
        <v>Better</v>
      </c>
      <c r="O1247" s="146" t="str">
        <f t="shared" si="147"/>
        <v>Electric ZonalR38R11R0Better</v>
      </c>
      <c r="P1247" s="134" t="str">
        <f t="shared" si="148"/>
        <v>Crawlspace</v>
      </c>
      <c r="Q1247" s="134"/>
      <c r="R1247" s="134"/>
      <c r="S1247" s="134"/>
      <c r="T1247" s="134"/>
      <c r="U1247" s="134"/>
      <c r="V1247" s="134"/>
      <c r="W1247" s="134"/>
      <c r="X1247" s="134"/>
      <c r="Y1247" s="134"/>
      <c r="Z1247" s="134"/>
      <c r="AA1247" s="134"/>
      <c r="AB1247" s="134"/>
      <c r="AC1247" s="134"/>
      <c r="AD1247" s="134"/>
      <c r="AE1247" s="134"/>
      <c r="AF1247" s="146"/>
      <c r="AG1247" s="134"/>
      <c r="AH1247" s="134"/>
      <c r="AI1247" s="134"/>
      <c r="AJ1247" s="134"/>
      <c r="AK1247" s="134"/>
      <c r="AL1247" s="134"/>
      <c r="AM1247" s="146"/>
      <c r="AN1247" s="132"/>
      <c r="AO1247" s="132"/>
      <c r="AP1247" s="132"/>
      <c r="AQ1247" s="132"/>
      <c r="AR1247" s="134"/>
      <c r="AS1247" s="134"/>
      <c r="AT1247" s="132"/>
      <c r="AU1247" s="133"/>
      <c r="AV1247" s="134"/>
    </row>
    <row r="1248" spans="1:48">
      <c r="A1248" s="74">
        <v>24209</v>
      </c>
      <c r="B1248" s="74" t="s">
        <v>227</v>
      </c>
      <c r="C1248" s="74">
        <v>2</v>
      </c>
      <c r="D1248" s="74">
        <v>2350</v>
      </c>
      <c r="E1248" s="73">
        <v>2.500000037252903E-2</v>
      </c>
      <c r="F1248" s="73">
        <v>0.60000002384185791</v>
      </c>
      <c r="G1248" s="73">
        <v>9.0000003576278687E-2</v>
      </c>
      <c r="H1248" s="73">
        <v>0</v>
      </c>
      <c r="I1248" s="190">
        <v>1904.288</v>
      </c>
      <c r="J1248" s="134" t="str">
        <f t="shared" si="144"/>
        <v>keep</v>
      </c>
      <c r="K1248" s="134" t="str">
        <f t="shared" si="145"/>
        <v>R38</v>
      </c>
      <c r="L1248" s="134" t="str">
        <f t="shared" si="146"/>
        <v>R11</v>
      </c>
      <c r="M1248" s="146" t="str">
        <f t="shared" si="142"/>
        <v>Slab</v>
      </c>
      <c r="N1248" s="146" t="str">
        <f t="shared" si="143"/>
        <v>Better</v>
      </c>
      <c r="O1248" s="146" t="str">
        <f t="shared" si="147"/>
        <v>Electric FAFR38R11SlabBetter</v>
      </c>
      <c r="P1248" s="134" t="str">
        <f t="shared" si="148"/>
        <v>Slab</v>
      </c>
      <c r="Q1248" s="134"/>
      <c r="R1248" s="134"/>
      <c r="S1248" s="134"/>
      <c r="T1248" s="134"/>
      <c r="U1248" s="134"/>
      <c r="V1248" s="134"/>
      <c r="W1248" s="134"/>
      <c r="X1248" s="134"/>
      <c r="Y1248" s="134"/>
      <c r="Z1248" s="134"/>
      <c r="AA1248" s="134"/>
      <c r="AB1248" s="134"/>
      <c r="AC1248" s="134"/>
      <c r="AD1248" s="134"/>
      <c r="AE1248" s="134"/>
      <c r="AF1248" s="146"/>
      <c r="AG1248" s="134"/>
      <c r="AH1248" s="134"/>
      <c r="AI1248" s="134"/>
      <c r="AJ1248" s="134"/>
      <c r="AK1248" s="134"/>
      <c r="AL1248" s="134"/>
      <c r="AM1248" s="146"/>
      <c r="AN1248" s="132"/>
      <c r="AO1248" s="132"/>
      <c r="AP1248" s="132"/>
      <c r="AQ1248" s="132"/>
      <c r="AR1248" s="134"/>
      <c r="AS1248" s="134"/>
      <c r="AT1248" s="132"/>
      <c r="AU1248" s="133"/>
      <c r="AV1248" s="134"/>
    </row>
    <row r="1249" spans="1:48">
      <c r="A1249" s="74">
        <v>24242</v>
      </c>
      <c r="B1249" s="74" t="s">
        <v>228</v>
      </c>
      <c r="C1249" s="74">
        <v>1</v>
      </c>
      <c r="D1249" s="74">
        <v>756</v>
      </c>
      <c r="E1249" s="73">
        <v>5.000000074505806E-2</v>
      </c>
      <c r="F1249" s="73">
        <v>0.55000001192092896</v>
      </c>
      <c r="G1249" s="73">
        <v>9.0000003576278687E-2</v>
      </c>
      <c r="H1249" s="73">
        <v>6.4999997615814209E-2</v>
      </c>
      <c r="I1249" s="190">
        <v>2130.886</v>
      </c>
      <c r="J1249" s="134" t="str">
        <f t="shared" si="144"/>
        <v>keep</v>
      </c>
      <c r="K1249" s="134" t="str">
        <f t="shared" si="145"/>
        <v>R30</v>
      </c>
      <c r="L1249" s="134" t="str">
        <f t="shared" si="146"/>
        <v>R11</v>
      </c>
      <c r="M1249" s="146" t="str">
        <f t="shared" si="142"/>
        <v>R19</v>
      </c>
      <c r="N1249" s="146" t="str">
        <f t="shared" si="143"/>
        <v>Better</v>
      </c>
      <c r="O1249" s="146" t="str">
        <f t="shared" si="147"/>
        <v>Electric ZonalR30R11R19Better</v>
      </c>
      <c r="P1249" s="134" t="str">
        <f t="shared" si="148"/>
        <v>Crawlspace</v>
      </c>
      <c r="Q1249" s="134"/>
      <c r="R1249" s="134"/>
      <c r="S1249" s="134"/>
      <c r="T1249" s="134"/>
      <c r="U1249" s="134"/>
      <c r="V1249" s="134"/>
      <c r="W1249" s="134"/>
      <c r="X1249" s="134"/>
      <c r="Y1249" s="134"/>
      <c r="Z1249" s="134"/>
      <c r="AA1249" s="134"/>
      <c r="AB1249" s="134"/>
      <c r="AC1249" s="134"/>
      <c r="AD1249" s="134"/>
      <c r="AE1249" s="134"/>
      <c r="AF1249" s="146"/>
      <c r="AG1249" s="134"/>
      <c r="AH1249" s="134"/>
      <c r="AI1249" s="134"/>
      <c r="AJ1249" s="134"/>
      <c r="AK1249" s="134"/>
      <c r="AL1249" s="134"/>
      <c r="AM1249" s="146"/>
      <c r="AN1249" s="132"/>
      <c r="AO1249" s="132"/>
      <c r="AP1249" s="132"/>
      <c r="AQ1249" s="132"/>
      <c r="AR1249" s="134"/>
      <c r="AS1249" s="134"/>
      <c r="AT1249" s="132"/>
      <c r="AU1249" s="133"/>
      <c r="AV1249" s="134"/>
    </row>
    <row r="1250" spans="1:48">
      <c r="A1250" s="74">
        <v>24245</v>
      </c>
      <c r="B1250" s="74" t="s">
        <v>227</v>
      </c>
      <c r="C1250" s="74">
        <v>1</v>
      </c>
      <c r="D1250" s="74">
        <v>1728</v>
      </c>
      <c r="E1250" s="73">
        <v>7.5000002980232239E-2</v>
      </c>
      <c r="F1250" s="73">
        <v>0.55000001192092896</v>
      </c>
      <c r="G1250" s="73">
        <v>9.0000003576278687E-2</v>
      </c>
      <c r="H1250" s="73">
        <v>6.4999997615814209E-2</v>
      </c>
      <c r="I1250" s="190">
        <v>1612.692</v>
      </c>
      <c r="J1250" s="134" t="str">
        <f t="shared" si="144"/>
        <v>keep</v>
      </c>
      <c r="K1250" s="134" t="str">
        <f t="shared" si="145"/>
        <v>R19</v>
      </c>
      <c r="L1250" s="134" t="str">
        <f t="shared" si="146"/>
        <v>R11</v>
      </c>
      <c r="M1250" s="146" t="str">
        <f t="shared" si="142"/>
        <v>R19</v>
      </c>
      <c r="N1250" s="146" t="str">
        <f t="shared" si="143"/>
        <v>Better</v>
      </c>
      <c r="O1250" s="146" t="str">
        <f t="shared" si="147"/>
        <v>Electric FAFR19R11R19Better</v>
      </c>
      <c r="P1250" s="134" t="str">
        <f t="shared" si="148"/>
        <v>Crawlspace</v>
      </c>
      <c r="Q1250" s="134"/>
      <c r="R1250" s="134"/>
      <c r="S1250" s="134"/>
      <c r="T1250" s="134"/>
      <c r="U1250" s="134"/>
      <c r="V1250" s="134"/>
      <c r="W1250" s="134"/>
      <c r="X1250" s="134"/>
      <c r="Y1250" s="134"/>
      <c r="Z1250" s="134"/>
      <c r="AA1250" s="134"/>
      <c r="AB1250" s="134"/>
      <c r="AC1250" s="134"/>
      <c r="AD1250" s="134"/>
      <c r="AE1250" s="134"/>
      <c r="AF1250" s="146"/>
      <c r="AG1250" s="134"/>
      <c r="AH1250" s="134"/>
      <c r="AI1250" s="134"/>
      <c r="AJ1250" s="134"/>
      <c r="AK1250" s="134"/>
      <c r="AL1250" s="134"/>
      <c r="AM1250" s="146"/>
      <c r="AN1250" s="132"/>
      <c r="AO1250" s="132"/>
      <c r="AP1250" s="132"/>
      <c r="AQ1250" s="132"/>
      <c r="AR1250" s="134"/>
      <c r="AS1250" s="134"/>
      <c r="AT1250" s="132"/>
      <c r="AU1250" s="133"/>
      <c r="AV1250" s="134"/>
    </row>
    <row r="1251" spans="1:48">
      <c r="A1251" s="74">
        <v>24247</v>
      </c>
      <c r="B1251" s="74" t="s">
        <v>229</v>
      </c>
      <c r="C1251" s="74">
        <v>1</v>
      </c>
      <c r="D1251" s="74">
        <v>1748</v>
      </c>
      <c r="E1251" s="73">
        <v>0.10999999940395355</v>
      </c>
      <c r="F1251" s="73">
        <v>0.55000001192092896</v>
      </c>
      <c r="G1251" s="73">
        <v>9.0000003576278687E-2</v>
      </c>
      <c r="H1251" s="73">
        <v>6.4999997615814209E-2</v>
      </c>
      <c r="I1251" s="190">
        <v>1612.692</v>
      </c>
      <c r="J1251" s="134" t="str">
        <f t="shared" si="144"/>
        <v>keep</v>
      </c>
      <c r="K1251" s="134" t="str">
        <f t="shared" si="145"/>
        <v>R11</v>
      </c>
      <c r="L1251" s="134" t="str">
        <f t="shared" si="146"/>
        <v>R11</v>
      </c>
      <c r="M1251" s="146" t="str">
        <f t="shared" si="142"/>
        <v>R19</v>
      </c>
      <c r="N1251" s="146" t="str">
        <f t="shared" si="143"/>
        <v>Better</v>
      </c>
      <c r="O1251" s="146" t="str">
        <f t="shared" si="147"/>
        <v>Heat PumpR11R11R19Better</v>
      </c>
      <c r="P1251" s="134" t="str">
        <f t="shared" si="148"/>
        <v>Crawlspace</v>
      </c>
      <c r="Q1251" s="134"/>
      <c r="R1251" s="134"/>
      <c r="S1251" s="134"/>
      <c r="T1251" s="134"/>
      <c r="U1251" s="134"/>
      <c r="V1251" s="134"/>
      <c r="W1251" s="134"/>
      <c r="X1251" s="134"/>
      <c r="Y1251" s="134"/>
      <c r="Z1251" s="134"/>
      <c r="AA1251" s="134"/>
      <c r="AB1251" s="134"/>
      <c r="AC1251" s="134"/>
      <c r="AD1251" s="134"/>
      <c r="AE1251" s="134"/>
      <c r="AF1251" s="146"/>
      <c r="AG1251" s="134"/>
      <c r="AH1251" s="134"/>
      <c r="AI1251" s="134"/>
      <c r="AJ1251" s="134"/>
      <c r="AK1251" s="134"/>
      <c r="AL1251" s="134"/>
      <c r="AM1251" s="146"/>
      <c r="AN1251" s="132"/>
      <c r="AO1251" s="132"/>
      <c r="AP1251" s="132"/>
      <c r="AQ1251" s="132"/>
      <c r="AR1251" s="134"/>
      <c r="AS1251" s="134"/>
      <c r="AT1251" s="132"/>
      <c r="AU1251" s="133"/>
      <c r="AV1251" s="134"/>
    </row>
    <row r="1252" spans="1:48">
      <c r="A1252" s="74">
        <v>24249</v>
      </c>
      <c r="B1252" s="74" t="s">
        <v>229</v>
      </c>
      <c r="C1252" s="74">
        <v>4</v>
      </c>
      <c r="D1252" s="74">
        <v>2842</v>
      </c>
      <c r="E1252" s="73">
        <v>2.500000037252903E-2</v>
      </c>
      <c r="F1252" s="73">
        <v>0.44999998807907104</v>
      </c>
      <c r="G1252" s="73">
        <v>7.5000002980232239E-2</v>
      </c>
      <c r="H1252" s="73">
        <v>0</v>
      </c>
      <c r="I1252" s="190">
        <v>1904.288</v>
      </c>
      <c r="J1252" s="134" t="str">
        <f t="shared" si="144"/>
        <v>keep</v>
      </c>
      <c r="K1252" s="134" t="str">
        <f t="shared" si="145"/>
        <v>R38</v>
      </c>
      <c r="L1252" s="134" t="str">
        <f t="shared" si="146"/>
        <v>R11</v>
      </c>
      <c r="M1252" s="146" t="str">
        <f t="shared" si="142"/>
        <v>Basement</v>
      </c>
      <c r="N1252" s="146" t="str">
        <f t="shared" si="143"/>
        <v>Better</v>
      </c>
      <c r="O1252" s="146" t="str">
        <f t="shared" si="147"/>
        <v>Heat PumpR38R11BasementBetter</v>
      </c>
      <c r="P1252" s="134" t="str">
        <f t="shared" si="148"/>
        <v>Basement</v>
      </c>
      <c r="Q1252" s="134"/>
      <c r="R1252" s="134"/>
      <c r="S1252" s="134"/>
      <c r="T1252" s="134"/>
      <c r="U1252" s="134"/>
      <c r="V1252" s="134"/>
      <c r="W1252" s="134"/>
      <c r="X1252" s="134"/>
      <c r="Y1252" s="134"/>
      <c r="Z1252" s="134"/>
      <c r="AA1252" s="134"/>
      <c r="AB1252" s="134"/>
      <c r="AC1252" s="134"/>
      <c r="AD1252" s="134"/>
      <c r="AE1252" s="134"/>
      <c r="AF1252" s="146"/>
      <c r="AG1252" s="134"/>
      <c r="AH1252" s="134"/>
      <c r="AI1252" s="134"/>
      <c r="AJ1252" s="134"/>
      <c r="AK1252" s="134"/>
      <c r="AL1252" s="134"/>
      <c r="AM1252" s="146"/>
      <c r="AN1252" s="132"/>
      <c r="AO1252" s="132"/>
      <c r="AP1252" s="132"/>
      <c r="AQ1252" s="132"/>
      <c r="AR1252" s="134"/>
      <c r="AS1252" s="134"/>
      <c r="AT1252" s="132"/>
      <c r="AU1252" s="133"/>
      <c r="AV1252" s="134"/>
    </row>
    <row r="1253" spans="1:48">
      <c r="A1253" s="74">
        <v>24310</v>
      </c>
      <c r="B1253" s="74" t="s">
        <v>229</v>
      </c>
      <c r="C1253" s="74">
        <v>1</v>
      </c>
      <c r="D1253" s="74">
        <v>1442</v>
      </c>
      <c r="E1253" s="73">
        <v>2.500000037252903E-2</v>
      </c>
      <c r="F1253" s="73">
        <v>0.55000001192092896</v>
      </c>
      <c r="G1253" s="73">
        <v>5.9999998658895493E-2</v>
      </c>
      <c r="H1253" s="73">
        <v>3.5000000149011612E-2</v>
      </c>
      <c r="I1253" s="190">
        <v>1904.288</v>
      </c>
      <c r="J1253" s="134" t="str">
        <f t="shared" si="144"/>
        <v>keep</v>
      </c>
      <c r="K1253" s="134" t="str">
        <f t="shared" si="145"/>
        <v>R38</v>
      </c>
      <c r="L1253" s="134" t="str">
        <f t="shared" si="146"/>
        <v>R11</v>
      </c>
      <c r="M1253" s="146" t="str">
        <f t="shared" si="142"/>
        <v>Better</v>
      </c>
      <c r="N1253" s="146" t="str">
        <f t="shared" si="143"/>
        <v>Better</v>
      </c>
      <c r="O1253" s="146" t="str">
        <f t="shared" si="147"/>
        <v>Heat PumpR38R11BetterBetter</v>
      </c>
      <c r="P1253" s="134" t="str">
        <f t="shared" si="148"/>
        <v>Crawlspace</v>
      </c>
      <c r="Q1253" s="134"/>
      <c r="R1253" s="134"/>
      <c r="S1253" s="134"/>
      <c r="T1253" s="134"/>
      <c r="U1253" s="134"/>
      <c r="V1253" s="134"/>
      <c r="W1253" s="134"/>
      <c r="X1253" s="134"/>
      <c r="Y1253" s="134"/>
      <c r="Z1253" s="134"/>
      <c r="AA1253" s="134"/>
      <c r="AB1253" s="134"/>
      <c r="AC1253" s="134"/>
      <c r="AD1253" s="134"/>
      <c r="AE1253" s="134"/>
      <c r="AF1253" s="146"/>
      <c r="AG1253" s="134"/>
      <c r="AH1253" s="134"/>
      <c r="AI1253" s="134"/>
      <c r="AJ1253" s="134"/>
      <c r="AK1253" s="134"/>
      <c r="AL1253" s="134"/>
      <c r="AM1253" s="146"/>
      <c r="AN1253" s="132"/>
      <c r="AO1253" s="132"/>
      <c r="AP1253" s="132"/>
      <c r="AQ1253" s="132"/>
      <c r="AR1253" s="134"/>
      <c r="AS1253" s="134"/>
      <c r="AT1253" s="132"/>
      <c r="AU1253" s="133"/>
      <c r="AV1253" s="134"/>
    </row>
    <row r="1254" spans="1:48">
      <c r="A1254" s="74">
        <v>24311</v>
      </c>
      <c r="B1254" s="74" t="s">
        <v>229</v>
      </c>
      <c r="C1254" s="74">
        <v>1</v>
      </c>
      <c r="D1254" s="74">
        <v>1576</v>
      </c>
      <c r="E1254" s="73">
        <v>9.0000003576278687E-2</v>
      </c>
      <c r="F1254" s="73">
        <v>0.55388602321012037</v>
      </c>
      <c r="G1254" s="73">
        <v>9.0000003576278687E-2</v>
      </c>
      <c r="H1254" s="73">
        <v>5.9999998658895493E-2</v>
      </c>
      <c r="I1254" s="190">
        <v>8264.9449999999997</v>
      </c>
      <c r="J1254" s="134" t="str">
        <f t="shared" si="144"/>
        <v>keep</v>
      </c>
      <c r="K1254" s="134" t="str">
        <f t="shared" si="145"/>
        <v>R11</v>
      </c>
      <c r="L1254" s="134" t="str">
        <f t="shared" si="146"/>
        <v>R11</v>
      </c>
      <c r="M1254" s="146" t="str">
        <f t="shared" si="142"/>
        <v>R19</v>
      </c>
      <c r="N1254" s="146" t="str">
        <f t="shared" si="143"/>
        <v>Better</v>
      </c>
      <c r="O1254" s="146" t="str">
        <f t="shared" si="147"/>
        <v>Heat PumpR11R11R19Better</v>
      </c>
      <c r="P1254" s="134" t="str">
        <f t="shared" si="148"/>
        <v>Crawlspace</v>
      </c>
      <c r="Q1254" s="134"/>
      <c r="R1254" s="134"/>
      <c r="S1254" s="134"/>
      <c r="T1254" s="134"/>
      <c r="U1254" s="134"/>
      <c r="V1254" s="134"/>
      <c r="W1254" s="134"/>
      <c r="X1254" s="134"/>
      <c r="Y1254" s="134"/>
      <c r="Z1254" s="134"/>
      <c r="AA1254" s="134"/>
      <c r="AB1254" s="134"/>
      <c r="AC1254" s="134"/>
      <c r="AD1254" s="134"/>
      <c r="AE1254" s="134"/>
      <c r="AF1254" s="146"/>
      <c r="AG1254" s="134"/>
      <c r="AH1254" s="134"/>
      <c r="AI1254" s="134"/>
      <c r="AJ1254" s="134"/>
      <c r="AK1254" s="134"/>
      <c r="AL1254" s="134"/>
      <c r="AM1254" s="146"/>
      <c r="AN1254" s="132"/>
      <c r="AO1254" s="132"/>
      <c r="AP1254" s="132"/>
      <c r="AQ1254" s="132"/>
      <c r="AR1254" s="134"/>
      <c r="AS1254" s="134"/>
      <c r="AT1254" s="132"/>
      <c r="AU1254" s="133"/>
      <c r="AV1254" s="134"/>
    </row>
    <row r="1255" spans="1:48">
      <c r="A1255" s="74">
        <v>24317</v>
      </c>
      <c r="B1255" s="74" t="s">
        <v>229</v>
      </c>
      <c r="C1255" s="74">
        <v>4</v>
      </c>
      <c r="D1255" s="74">
        <v>3360</v>
      </c>
      <c r="E1255" s="73">
        <v>1.9999999552965164E-2</v>
      </c>
      <c r="F1255" s="73">
        <v>0.2199999988079071</v>
      </c>
      <c r="G1255" s="73">
        <v>5.9999998658895493E-2</v>
      </c>
      <c r="H1255" s="73">
        <v>0</v>
      </c>
      <c r="I1255" s="190">
        <v>1144.6790000000001</v>
      </c>
      <c r="J1255" s="134" t="str">
        <f t="shared" si="144"/>
        <v>keep</v>
      </c>
      <c r="K1255" s="134" t="str">
        <f t="shared" si="145"/>
        <v>R38</v>
      </c>
      <c r="L1255" s="134" t="str">
        <f t="shared" si="146"/>
        <v>R11</v>
      </c>
      <c r="M1255" s="146" t="str">
        <f t="shared" si="142"/>
        <v>Basement</v>
      </c>
      <c r="N1255" s="146" t="str">
        <f t="shared" si="143"/>
        <v>Better</v>
      </c>
      <c r="O1255" s="146" t="str">
        <f t="shared" si="147"/>
        <v>Heat PumpR38R11BasementBetter</v>
      </c>
      <c r="P1255" s="134" t="str">
        <f t="shared" si="148"/>
        <v>Basement</v>
      </c>
      <c r="Q1255" s="134"/>
      <c r="R1255" s="134"/>
      <c r="S1255" s="134"/>
      <c r="T1255" s="134"/>
      <c r="U1255" s="134"/>
      <c r="V1255" s="134"/>
      <c r="W1255" s="134"/>
      <c r="X1255" s="134"/>
      <c r="Y1255" s="134"/>
      <c r="Z1255" s="134"/>
      <c r="AA1255" s="134"/>
      <c r="AB1255" s="134"/>
      <c r="AC1255" s="134"/>
      <c r="AD1255" s="134"/>
      <c r="AE1255" s="134"/>
      <c r="AF1255" s="146"/>
      <c r="AG1255" s="134"/>
      <c r="AH1255" s="134"/>
      <c r="AI1255" s="134"/>
      <c r="AJ1255" s="134"/>
      <c r="AK1255" s="134"/>
      <c r="AL1255" s="134"/>
      <c r="AM1255" s="146"/>
      <c r="AN1255" s="132"/>
      <c r="AO1255" s="132"/>
      <c r="AP1255" s="132"/>
      <c r="AQ1255" s="132"/>
      <c r="AR1255" s="134"/>
      <c r="AS1255" s="134"/>
      <c r="AT1255" s="132"/>
      <c r="AU1255" s="133"/>
      <c r="AV1255" s="134"/>
    </row>
    <row r="1256" spans="1:48">
      <c r="A1256" s="74">
        <v>24342</v>
      </c>
      <c r="B1256" s="74" t="s">
        <v>228</v>
      </c>
      <c r="C1256" s="74" t="s">
        <v>673</v>
      </c>
      <c r="D1256" s="74">
        <v>1275</v>
      </c>
      <c r="E1256" s="73">
        <v>3.5000000149011612E-2</v>
      </c>
      <c r="F1256" s="73">
        <v>0.60000002384185791</v>
      </c>
      <c r="G1256" s="73">
        <v>0.23400000000000001</v>
      </c>
      <c r="H1256" s="73">
        <v>0.23000000417232513</v>
      </c>
      <c r="I1256" s="190">
        <v>2130.886</v>
      </c>
      <c r="J1256" s="134" t="str">
        <f t="shared" si="144"/>
        <v>ignore</v>
      </c>
      <c r="K1256" s="134" t="str">
        <f t="shared" si="145"/>
        <v>R38</v>
      </c>
      <c r="L1256" s="134" t="str">
        <f t="shared" si="146"/>
        <v>R0</v>
      </c>
      <c r="M1256" s="146" t="str">
        <f t="shared" si="142"/>
        <v>R0</v>
      </c>
      <c r="N1256" s="146" t="str">
        <f t="shared" si="143"/>
        <v>Better</v>
      </c>
      <c r="O1256" s="146" t="str">
        <f t="shared" si="147"/>
        <v>Electric ZonalR38R0R0Better</v>
      </c>
      <c r="P1256" s="134" t="str">
        <f t="shared" si="148"/>
        <v>error</v>
      </c>
      <c r="Q1256" s="134"/>
      <c r="R1256" s="134"/>
      <c r="S1256" s="134"/>
      <c r="T1256" s="134"/>
      <c r="U1256" s="134"/>
      <c r="V1256" s="134"/>
      <c r="W1256" s="134"/>
      <c r="X1256" s="134"/>
      <c r="Y1256" s="134"/>
      <c r="Z1256" s="134"/>
      <c r="AA1256" s="134"/>
      <c r="AB1256" s="134"/>
      <c r="AC1256" s="134"/>
      <c r="AD1256" s="134"/>
      <c r="AE1256" s="134"/>
      <c r="AF1256" s="146"/>
      <c r="AG1256" s="134"/>
      <c r="AH1256" s="134"/>
      <c r="AI1256" s="134"/>
      <c r="AJ1256" s="134"/>
      <c r="AK1256" s="134"/>
      <c r="AL1256" s="134"/>
      <c r="AM1256" s="146"/>
      <c r="AN1256" s="132"/>
      <c r="AO1256" s="132"/>
      <c r="AP1256" s="132"/>
      <c r="AQ1256" s="132"/>
      <c r="AR1256" s="134"/>
      <c r="AS1256" s="134"/>
      <c r="AT1256" s="132"/>
      <c r="AU1256" s="133"/>
      <c r="AV1256" s="134"/>
    </row>
    <row r="1257" spans="1:48">
      <c r="A1257" s="74">
        <v>24347</v>
      </c>
      <c r="B1257" s="74" t="s">
        <v>227</v>
      </c>
      <c r="C1257" s="74">
        <v>1</v>
      </c>
      <c r="D1257" s="74">
        <v>1891</v>
      </c>
      <c r="E1257" s="73">
        <v>2.500000037252903E-2</v>
      </c>
      <c r="F1257" s="73">
        <v>0.60000002384185791</v>
      </c>
      <c r="G1257" s="73">
        <v>5.9999998658895493E-2</v>
      </c>
      <c r="H1257" s="73">
        <v>3.5000000149011612E-2</v>
      </c>
      <c r="I1257" s="190">
        <v>1904.288</v>
      </c>
      <c r="J1257" s="134" t="str">
        <f t="shared" si="144"/>
        <v>keep</v>
      </c>
      <c r="K1257" s="134" t="str">
        <f t="shared" si="145"/>
        <v>R38</v>
      </c>
      <c r="L1257" s="134" t="str">
        <f t="shared" si="146"/>
        <v>R11</v>
      </c>
      <c r="M1257" s="146" t="str">
        <f t="shared" si="142"/>
        <v>Better</v>
      </c>
      <c r="N1257" s="146" t="str">
        <f t="shared" si="143"/>
        <v>Better</v>
      </c>
      <c r="O1257" s="146" t="str">
        <f t="shared" si="147"/>
        <v>Electric FAFR38R11BetterBetter</v>
      </c>
      <c r="P1257" s="134" t="str">
        <f t="shared" si="148"/>
        <v>Crawlspace</v>
      </c>
      <c r="Q1257" s="134"/>
      <c r="R1257" s="134"/>
      <c r="S1257" s="134"/>
      <c r="T1257" s="134"/>
      <c r="U1257" s="134"/>
      <c r="V1257" s="134"/>
      <c r="W1257" s="134"/>
      <c r="X1257" s="134"/>
      <c r="Y1257" s="134"/>
      <c r="Z1257" s="134"/>
      <c r="AA1257" s="134"/>
      <c r="AB1257" s="134"/>
      <c r="AC1257" s="134"/>
      <c r="AD1257" s="134"/>
      <c r="AE1257" s="134"/>
      <c r="AF1257" s="146"/>
      <c r="AG1257" s="134"/>
      <c r="AH1257" s="134"/>
      <c r="AI1257" s="134"/>
      <c r="AJ1257" s="134"/>
      <c r="AK1257" s="134"/>
      <c r="AL1257" s="134"/>
      <c r="AM1257" s="146"/>
      <c r="AN1257" s="132"/>
      <c r="AO1257" s="132"/>
      <c r="AP1257" s="132"/>
      <c r="AQ1257" s="132"/>
      <c r="AR1257" s="134"/>
      <c r="AS1257" s="134"/>
      <c r="AT1257" s="132"/>
      <c r="AU1257" s="133"/>
      <c r="AV1257" s="134"/>
    </row>
    <row r="1258" spans="1:48">
      <c r="A1258" s="74">
        <v>24351</v>
      </c>
      <c r="B1258" s="74" t="s">
        <v>227</v>
      </c>
      <c r="C1258" s="74">
        <v>4</v>
      </c>
      <c r="D1258" s="74">
        <v>1623</v>
      </c>
      <c r="E1258" s="73">
        <v>5.000000074505806E-2</v>
      </c>
      <c r="F1258" s="73">
        <v>0.44999998807907104</v>
      </c>
      <c r="G1258" s="73">
        <v>7.9999998211860657E-2</v>
      </c>
      <c r="H1258" s="73">
        <v>0</v>
      </c>
      <c r="I1258" s="190">
        <v>1144.6790000000001</v>
      </c>
      <c r="J1258" s="134" t="str">
        <f t="shared" si="144"/>
        <v>keep</v>
      </c>
      <c r="K1258" s="134" t="str">
        <f t="shared" si="145"/>
        <v>R30</v>
      </c>
      <c r="L1258" s="134" t="str">
        <f t="shared" si="146"/>
        <v>R11</v>
      </c>
      <c r="M1258" s="146" t="str">
        <f t="shared" si="142"/>
        <v>Basement</v>
      </c>
      <c r="N1258" s="146" t="str">
        <f t="shared" si="143"/>
        <v>Better</v>
      </c>
      <c r="O1258" s="146" t="str">
        <f t="shared" si="147"/>
        <v>Electric FAFR30R11BasementBetter</v>
      </c>
      <c r="P1258" s="134" t="str">
        <f t="shared" si="148"/>
        <v>Basement</v>
      </c>
      <c r="Q1258" s="134"/>
      <c r="R1258" s="134"/>
      <c r="S1258" s="134"/>
      <c r="T1258" s="134"/>
      <c r="U1258" s="134"/>
      <c r="V1258" s="134"/>
      <c r="W1258" s="134"/>
      <c r="X1258" s="134"/>
      <c r="Y1258" s="134"/>
      <c r="Z1258" s="134"/>
      <c r="AA1258" s="134"/>
      <c r="AB1258" s="134"/>
      <c r="AC1258" s="134"/>
      <c r="AD1258" s="134"/>
      <c r="AE1258" s="134"/>
      <c r="AF1258" s="146"/>
      <c r="AG1258" s="134"/>
      <c r="AH1258" s="134"/>
      <c r="AI1258" s="134"/>
      <c r="AJ1258" s="134"/>
      <c r="AK1258" s="134"/>
      <c r="AL1258" s="134"/>
      <c r="AM1258" s="146"/>
      <c r="AN1258" s="132"/>
      <c r="AO1258" s="132"/>
      <c r="AP1258" s="132"/>
      <c r="AQ1258" s="132"/>
      <c r="AR1258" s="134"/>
      <c r="AS1258" s="134"/>
      <c r="AT1258" s="132"/>
      <c r="AU1258" s="133"/>
      <c r="AV1258" s="134"/>
    </row>
    <row r="1259" spans="1:48">
      <c r="A1259" s="74">
        <v>24375</v>
      </c>
      <c r="B1259" s="74" t="s">
        <v>227</v>
      </c>
      <c r="C1259" s="74">
        <v>2</v>
      </c>
      <c r="D1259" s="74">
        <v>1401</v>
      </c>
      <c r="E1259" s="73">
        <v>1.9999999552965164E-2</v>
      </c>
      <c r="F1259" s="73">
        <v>0.44999998807907104</v>
      </c>
      <c r="G1259" s="73">
        <v>5.9999998658895493E-2</v>
      </c>
      <c r="H1259" s="73">
        <v>0</v>
      </c>
      <c r="I1259" s="190">
        <v>1612.692</v>
      </c>
      <c r="J1259" s="134" t="str">
        <f t="shared" si="144"/>
        <v>keep</v>
      </c>
      <c r="K1259" s="134" t="str">
        <f t="shared" si="145"/>
        <v>R38</v>
      </c>
      <c r="L1259" s="134" t="str">
        <f t="shared" si="146"/>
        <v>R11</v>
      </c>
      <c r="M1259" s="146" t="str">
        <f t="shared" si="142"/>
        <v>Slab</v>
      </c>
      <c r="N1259" s="146" t="str">
        <f t="shared" si="143"/>
        <v>Better</v>
      </c>
      <c r="O1259" s="146" t="str">
        <f t="shared" si="147"/>
        <v>Electric FAFR38R11SlabBetter</v>
      </c>
      <c r="P1259" s="134" t="str">
        <f t="shared" si="148"/>
        <v>Slab</v>
      </c>
      <c r="Q1259" s="134"/>
      <c r="R1259" s="134"/>
      <c r="S1259" s="134"/>
      <c r="T1259" s="134"/>
      <c r="U1259" s="134"/>
      <c r="V1259" s="134"/>
      <c r="W1259" s="134"/>
      <c r="X1259" s="134"/>
      <c r="Y1259" s="134"/>
      <c r="Z1259" s="134"/>
      <c r="AA1259" s="134"/>
      <c r="AB1259" s="134"/>
      <c r="AC1259" s="134"/>
      <c r="AD1259" s="134"/>
      <c r="AE1259" s="134"/>
      <c r="AF1259" s="146"/>
      <c r="AG1259" s="134"/>
      <c r="AH1259" s="134"/>
      <c r="AI1259" s="134"/>
      <c r="AJ1259" s="134"/>
      <c r="AK1259" s="134"/>
      <c r="AL1259" s="134"/>
      <c r="AM1259" s="146"/>
      <c r="AN1259" s="132"/>
      <c r="AO1259" s="132"/>
      <c r="AP1259" s="132"/>
      <c r="AQ1259" s="132"/>
      <c r="AR1259" s="134"/>
      <c r="AS1259" s="134"/>
      <c r="AT1259" s="132"/>
      <c r="AU1259" s="133"/>
      <c r="AV1259" s="134"/>
    </row>
    <row r="1260" spans="1:48">
      <c r="A1260" s="74">
        <v>24400</v>
      </c>
      <c r="B1260" s="74" t="s">
        <v>229</v>
      </c>
      <c r="C1260" s="74">
        <v>4</v>
      </c>
      <c r="D1260" s="74">
        <v>2208</v>
      </c>
      <c r="E1260" s="73">
        <v>9.3612333554528346E-2</v>
      </c>
      <c r="F1260" s="73">
        <v>0.85889832751225614</v>
      </c>
      <c r="G1260" s="73">
        <v>9.0000003576278687E-2</v>
      </c>
      <c r="H1260" s="73">
        <v>0</v>
      </c>
      <c r="I1260" s="190">
        <v>1612.692</v>
      </c>
      <c r="J1260" s="134" t="str">
        <f t="shared" si="144"/>
        <v>keep</v>
      </c>
      <c r="K1260" s="134" t="str">
        <f t="shared" si="145"/>
        <v>R11</v>
      </c>
      <c r="L1260" s="134" t="str">
        <f t="shared" si="146"/>
        <v>R11</v>
      </c>
      <c r="M1260" s="146" t="str">
        <f t="shared" si="142"/>
        <v>Basement</v>
      </c>
      <c r="N1260" s="146" t="str">
        <f t="shared" si="143"/>
        <v>Double</v>
      </c>
      <c r="O1260" s="146" t="str">
        <f t="shared" si="147"/>
        <v>Heat PumpR11R11BasementDouble</v>
      </c>
      <c r="P1260" s="134" t="str">
        <f t="shared" si="148"/>
        <v>Basement</v>
      </c>
      <c r="Q1260" s="134"/>
      <c r="R1260" s="134"/>
      <c r="S1260" s="134"/>
      <c r="T1260" s="134"/>
      <c r="U1260" s="134"/>
      <c r="V1260" s="134"/>
      <c r="W1260" s="134"/>
      <c r="X1260" s="134"/>
      <c r="Y1260" s="134"/>
      <c r="Z1260" s="134"/>
      <c r="AA1260" s="134"/>
      <c r="AB1260" s="134"/>
      <c r="AC1260" s="134"/>
      <c r="AD1260" s="134"/>
      <c r="AE1260" s="134"/>
      <c r="AF1260" s="146"/>
      <c r="AG1260" s="134"/>
      <c r="AH1260" s="134"/>
      <c r="AI1260" s="134"/>
      <c r="AJ1260" s="134"/>
      <c r="AK1260" s="134"/>
      <c r="AL1260" s="134"/>
      <c r="AM1260" s="146"/>
      <c r="AN1260" s="132"/>
      <c r="AO1260" s="132"/>
      <c r="AP1260" s="132"/>
      <c r="AQ1260" s="132"/>
      <c r="AR1260" s="134"/>
      <c r="AS1260" s="134"/>
      <c r="AT1260" s="132"/>
      <c r="AU1260" s="133"/>
      <c r="AV1260" s="134"/>
    </row>
    <row r="1261" spans="1:48">
      <c r="A1261" s="74">
        <v>24408</v>
      </c>
      <c r="B1261" s="74" t="s">
        <v>228</v>
      </c>
      <c r="C1261" s="74">
        <v>1</v>
      </c>
      <c r="D1261" s="74">
        <v>2339</v>
      </c>
      <c r="E1261" s="73">
        <v>0.11049560571517071</v>
      </c>
      <c r="F1261" s="73">
        <v>0.80000001192092896</v>
      </c>
      <c r="G1261" s="73">
        <v>8.3297630633756961E-2</v>
      </c>
      <c r="H1261" s="73">
        <v>0.23000000417232513</v>
      </c>
      <c r="I1261" s="190">
        <v>1612.692</v>
      </c>
      <c r="J1261" s="134" t="str">
        <f t="shared" si="144"/>
        <v>keep</v>
      </c>
      <c r="K1261" s="134" t="str">
        <f t="shared" si="145"/>
        <v>R11</v>
      </c>
      <c r="L1261" s="134" t="str">
        <f t="shared" si="146"/>
        <v>R11</v>
      </c>
      <c r="M1261" s="146" t="str">
        <f t="shared" si="142"/>
        <v>R0</v>
      </c>
      <c r="N1261" s="146" t="str">
        <f t="shared" si="143"/>
        <v>Better</v>
      </c>
      <c r="O1261" s="146" t="str">
        <f t="shared" si="147"/>
        <v>Electric ZonalR11R11R0Better</v>
      </c>
      <c r="P1261" s="134" t="str">
        <f t="shared" si="148"/>
        <v>Crawlspace</v>
      </c>
      <c r="Q1261" s="134"/>
      <c r="R1261" s="134"/>
      <c r="S1261" s="134"/>
      <c r="T1261" s="134"/>
      <c r="U1261" s="134"/>
      <c r="V1261" s="134"/>
      <c r="W1261" s="134"/>
      <c r="X1261" s="134"/>
      <c r="Y1261" s="134"/>
      <c r="Z1261" s="134"/>
      <c r="AA1261" s="134"/>
      <c r="AB1261" s="134"/>
      <c r="AC1261" s="134"/>
      <c r="AD1261" s="134"/>
      <c r="AE1261" s="134"/>
      <c r="AF1261" s="146"/>
      <c r="AG1261" s="134"/>
      <c r="AH1261" s="134"/>
      <c r="AI1261" s="134"/>
      <c r="AJ1261" s="134"/>
      <c r="AK1261" s="134"/>
      <c r="AL1261" s="134"/>
      <c r="AM1261" s="146"/>
      <c r="AN1261" s="132"/>
      <c r="AO1261" s="132"/>
      <c r="AP1261" s="132"/>
      <c r="AQ1261" s="132"/>
      <c r="AR1261" s="134"/>
      <c r="AS1261" s="134"/>
      <c r="AT1261" s="132"/>
      <c r="AU1261" s="133"/>
      <c r="AV1261" s="134"/>
    </row>
    <row r="1262" spans="1:48">
      <c r="A1262" s="74">
        <v>24410</v>
      </c>
      <c r="B1262" s="74" t="s">
        <v>227</v>
      </c>
      <c r="C1262" s="74">
        <v>4</v>
      </c>
      <c r="D1262" s="74">
        <v>3846</v>
      </c>
      <c r="E1262" s="73">
        <v>5.000000074505806E-2</v>
      </c>
      <c r="F1262" s="73">
        <v>0.56322956456284579</v>
      </c>
      <c r="G1262" s="73">
        <v>9.0000003576278687E-2</v>
      </c>
      <c r="H1262" s="73">
        <v>0</v>
      </c>
      <c r="I1262" s="190">
        <v>1144.6790000000001</v>
      </c>
      <c r="J1262" s="134" t="str">
        <f t="shared" si="144"/>
        <v>keep</v>
      </c>
      <c r="K1262" s="134" t="str">
        <f t="shared" si="145"/>
        <v>R30</v>
      </c>
      <c r="L1262" s="134" t="str">
        <f t="shared" si="146"/>
        <v>R11</v>
      </c>
      <c r="M1262" s="146" t="str">
        <f t="shared" si="142"/>
        <v>Basement</v>
      </c>
      <c r="N1262" s="146" t="str">
        <f t="shared" si="143"/>
        <v>Better</v>
      </c>
      <c r="O1262" s="146" t="str">
        <f t="shared" si="147"/>
        <v>Electric FAFR30R11BasementBetter</v>
      </c>
      <c r="P1262" s="134" t="str">
        <f t="shared" si="148"/>
        <v>Basement</v>
      </c>
      <c r="Q1262" s="134"/>
      <c r="R1262" s="134"/>
      <c r="S1262" s="134"/>
      <c r="T1262" s="134"/>
      <c r="U1262" s="134"/>
      <c r="V1262" s="134"/>
      <c r="W1262" s="134"/>
      <c r="X1262" s="134"/>
      <c r="Y1262" s="134"/>
      <c r="Z1262" s="134"/>
      <c r="AA1262" s="134"/>
      <c r="AB1262" s="134"/>
      <c r="AC1262" s="134"/>
      <c r="AD1262" s="134"/>
      <c r="AE1262" s="134"/>
      <c r="AF1262" s="146"/>
      <c r="AG1262" s="134"/>
      <c r="AH1262" s="134"/>
      <c r="AI1262" s="134"/>
      <c r="AJ1262" s="134"/>
      <c r="AK1262" s="134"/>
      <c r="AL1262" s="134"/>
      <c r="AM1262" s="146"/>
      <c r="AN1262" s="132"/>
      <c r="AO1262" s="132"/>
      <c r="AP1262" s="132"/>
      <c r="AQ1262" s="132"/>
      <c r="AR1262" s="134"/>
      <c r="AS1262" s="134"/>
      <c r="AT1262" s="132"/>
      <c r="AU1262" s="133"/>
      <c r="AV1262" s="134"/>
    </row>
    <row r="1263" spans="1:48">
      <c r="A1263" s="74">
        <v>24419</v>
      </c>
      <c r="B1263" s="74" t="s">
        <v>229</v>
      </c>
      <c r="C1263" s="74">
        <v>1</v>
      </c>
      <c r="D1263" s="74">
        <v>1500</v>
      </c>
      <c r="E1263" s="73">
        <v>7.0000000298023224E-2</v>
      </c>
      <c r="F1263" s="73">
        <v>0.55000001192092896</v>
      </c>
      <c r="G1263" s="73">
        <v>7.9999998211860657E-2</v>
      </c>
      <c r="H1263" s="73">
        <v>0.23000000417232513</v>
      </c>
      <c r="I1263" s="190">
        <v>1612.692</v>
      </c>
      <c r="J1263" s="134" t="str">
        <f t="shared" si="144"/>
        <v>keep</v>
      </c>
      <c r="K1263" s="134" t="str">
        <f t="shared" si="145"/>
        <v>R19</v>
      </c>
      <c r="L1263" s="134" t="str">
        <f t="shared" si="146"/>
        <v>R11</v>
      </c>
      <c r="M1263" s="146" t="str">
        <f t="shared" si="142"/>
        <v>R0</v>
      </c>
      <c r="N1263" s="146" t="str">
        <f t="shared" si="143"/>
        <v>Better</v>
      </c>
      <c r="O1263" s="146" t="str">
        <f t="shared" si="147"/>
        <v>Heat PumpR19R11R0Better</v>
      </c>
      <c r="P1263" s="134" t="str">
        <f t="shared" si="148"/>
        <v>Crawlspace</v>
      </c>
      <c r="Q1263" s="134"/>
      <c r="R1263" s="134"/>
      <c r="S1263" s="134"/>
      <c r="T1263" s="134"/>
      <c r="U1263" s="134"/>
      <c r="V1263" s="134"/>
      <c r="W1263" s="134"/>
      <c r="X1263" s="134"/>
      <c r="Y1263" s="134"/>
      <c r="Z1263" s="134"/>
      <c r="AA1263" s="134"/>
      <c r="AB1263" s="134"/>
      <c r="AC1263" s="134"/>
      <c r="AD1263" s="134"/>
      <c r="AE1263" s="134"/>
      <c r="AF1263" s="146"/>
      <c r="AG1263" s="134"/>
      <c r="AH1263" s="134"/>
      <c r="AI1263" s="134"/>
      <c r="AJ1263" s="134"/>
      <c r="AK1263" s="134"/>
      <c r="AL1263" s="134"/>
      <c r="AM1263" s="146"/>
      <c r="AN1263" s="132"/>
      <c r="AO1263" s="132"/>
      <c r="AP1263" s="132"/>
      <c r="AQ1263" s="132"/>
      <c r="AR1263" s="134"/>
      <c r="AS1263" s="134"/>
      <c r="AT1263" s="132"/>
      <c r="AU1263" s="133"/>
      <c r="AV1263" s="134"/>
    </row>
    <row r="1264" spans="1:48">
      <c r="A1264" s="74">
        <v>24436</v>
      </c>
      <c r="B1264" s="74" t="s">
        <v>229</v>
      </c>
      <c r="C1264" s="74">
        <v>1</v>
      </c>
      <c r="D1264" s="74">
        <v>1700</v>
      </c>
      <c r="E1264" s="73">
        <v>2.500000037252903E-2</v>
      </c>
      <c r="F1264" s="73">
        <v>0.68820376818045859</v>
      </c>
      <c r="G1264" s="73">
        <v>5.9999998658895493E-2</v>
      </c>
      <c r="H1264" s="73">
        <v>3.5000000149011612E-2</v>
      </c>
      <c r="I1264" s="190">
        <v>2079.9929999999999</v>
      </c>
      <c r="J1264" s="134" t="str">
        <f t="shared" si="144"/>
        <v>keep</v>
      </c>
      <c r="K1264" s="134" t="str">
        <f t="shared" si="145"/>
        <v>R38</v>
      </c>
      <c r="L1264" s="134" t="str">
        <f t="shared" si="146"/>
        <v>R11</v>
      </c>
      <c r="M1264" s="146" t="str">
        <f t="shared" si="142"/>
        <v>Better</v>
      </c>
      <c r="N1264" s="146" t="str">
        <f t="shared" si="143"/>
        <v>Better</v>
      </c>
      <c r="O1264" s="146" t="str">
        <f t="shared" si="147"/>
        <v>Heat PumpR38R11BetterBetter</v>
      </c>
      <c r="P1264" s="134" t="str">
        <f t="shared" si="148"/>
        <v>Crawlspace</v>
      </c>
      <c r="Q1264" s="134"/>
      <c r="R1264" s="134"/>
      <c r="S1264" s="134"/>
      <c r="T1264" s="134"/>
      <c r="U1264" s="134"/>
      <c r="V1264" s="134"/>
      <c r="W1264" s="134"/>
      <c r="X1264" s="134"/>
      <c r="Y1264" s="134"/>
      <c r="Z1264" s="134"/>
      <c r="AA1264" s="134"/>
      <c r="AB1264" s="134"/>
      <c r="AC1264" s="134"/>
      <c r="AD1264" s="134"/>
      <c r="AE1264" s="134"/>
      <c r="AF1264" s="146"/>
      <c r="AG1264" s="134"/>
      <c r="AH1264" s="134"/>
      <c r="AI1264" s="134"/>
      <c r="AJ1264" s="134"/>
      <c r="AK1264" s="134"/>
      <c r="AL1264" s="134"/>
      <c r="AM1264" s="146"/>
      <c r="AN1264" s="132"/>
      <c r="AO1264" s="132"/>
      <c r="AP1264" s="132"/>
      <c r="AQ1264" s="132"/>
      <c r="AR1264" s="134"/>
      <c r="AS1264" s="134"/>
      <c r="AT1264" s="132"/>
      <c r="AU1264" s="133"/>
      <c r="AV1264" s="134"/>
    </row>
    <row r="1265" spans="1:48">
      <c r="A1265" s="74">
        <v>24445</v>
      </c>
      <c r="B1265" s="74" t="s">
        <v>227</v>
      </c>
      <c r="C1265" s="74">
        <v>4</v>
      </c>
      <c r="D1265" s="74">
        <v>2160</v>
      </c>
      <c r="E1265" s="73">
        <v>4.5000001788139343E-2</v>
      </c>
      <c r="F1265" s="73">
        <v>0.85000002384185791</v>
      </c>
      <c r="G1265" s="73">
        <v>9.0000003576278687E-2</v>
      </c>
      <c r="H1265" s="73">
        <v>0</v>
      </c>
      <c r="I1265" s="190">
        <v>1904.288</v>
      </c>
      <c r="J1265" s="134" t="str">
        <f t="shared" si="144"/>
        <v>keep</v>
      </c>
      <c r="K1265" s="134" t="str">
        <f t="shared" si="145"/>
        <v>R30</v>
      </c>
      <c r="L1265" s="134" t="str">
        <f t="shared" si="146"/>
        <v>R11</v>
      </c>
      <c r="M1265" s="146" t="str">
        <f t="shared" si="142"/>
        <v>Basement</v>
      </c>
      <c r="N1265" s="146" t="str">
        <f t="shared" si="143"/>
        <v>Double</v>
      </c>
      <c r="O1265" s="146" t="str">
        <f t="shared" si="147"/>
        <v>Electric FAFR30R11BasementDouble</v>
      </c>
      <c r="P1265" s="134" t="str">
        <f t="shared" si="148"/>
        <v>Basement</v>
      </c>
      <c r="Q1265" s="134"/>
      <c r="R1265" s="134"/>
      <c r="S1265" s="134"/>
      <c r="T1265" s="134"/>
      <c r="U1265" s="134"/>
      <c r="V1265" s="134"/>
      <c r="W1265" s="134"/>
      <c r="X1265" s="134"/>
      <c r="Y1265" s="134"/>
      <c r="Z1265" s="134"/>
      <c r="AA1265" s="134"/>
      <c r="AB1265" s="134"/>
      <c r="AC1265" s="134"/>
      <c r="AD1265" s="134"/>
      <c r="AE1265" s="134"/>
      <c r="AF1265" s="146"/>
      <c r="AG1265" s="134"/>
      <c r="AH1265" s="134"/>
      <c r="AI1265" s="134"/>
      <c r="AJ1265" s="134"/>
      <c r="AK1265" s="134"/>
      <c r="AL1265" s="134"/>
      <c r="AM1265" s="146"/>
      <c r="AN1265" s="132"/>
      <c r="AO1265" s="132"/>
      <c r="AP1265" s="132"/>
      <c r="AQ1265" s="132"/>
      <c r="AR1265" s="134"/>
      <c r="AS1265" s="134"/>
      <c r="AT1265" s="132"/>
      <c r="AU1265" s="133"/>
      <c r="AV1265" s="134"/>
    </row>
    <row r="1266" spans="1:48">
      <c r="A1266" s="74">
        <v>24451</v>
      </c>
      <c r="B1266" s="74" t="s">
        <v>229</v>
      </c>
      <c r="C1266" s="74">
        <v>1</v>
      </c>
      <c r="D1266" s="74">
        <v>1220</v>
      </c>
      <c r="E1266" s="73">
        <v>9.4999998807907104E-2</v>
      </c>
      <c r="F1266" s="73">
        <v>0.85000002384185791</v>
      </c>
      <c r="G1266" s="73">
        <v>7.9999998211860657E-2</v>
      </c>
      <c r="H1266" s="73">
        <v>0.23000000417232513</v>
      </c>
      <c r="I1266" s="190">
        <v>2079.9929999999999</v>
      </c>
      <c r="J1266" s="134" t="str">
        <f t="shared" si="144"/>
        <v>keep</v>
      </c>
      <c r="K1266" s="134" t="str">
        <f t="shared" si="145"/>
        <v>R11</v>
      </c>
      <c r="L1266" s="134" t="str">
        <f t="shared" si="146"/>
        <v>R11</v>
      </c>
      <c r="M1266" s="146" t="str">
        <f t="shared" si="142"/>
        <v>R0</v>
      </c>
      <c r="N1266" s="146" t="str">
        <f t="shared" si="143"/>
        <v>Double</v>
      </c>
      <c r="O1266" s="146" t="str">
        <f t="shared" si="147"/>
        <v>Heat PumpR11R11R0Double</v>
      </c>
      <c r="P1266" s="134" t="str">
        <f t="shared" si="148"/>
        <v>Crawlspace</v>
      </c>
      <c r="Q1266" s="134"/>
      <c r="R1266" s="134"/>
      <c r="S1266" s="134"/>
      <c r="T1266" s="134"/>
      <c r="U1266" s="134"/>
      <c r="V1266" s="134"/>
      <c r="W1266" s="134"/>
      <c r="X1266" s="134"/>
      <c r="Y1266" s="134"/>
      <c r="Z1266" s="134"/>
      <c r="AA1266" s="134"/>
      <c r="AB1266" s="134"/>
      <c r="AC1266" s="134"/>
      <c r="AD1266" s="134"/>
      <c r="AE1266" s="134"/>
      <c r="AF1266" s="146"/>
      <c r="AG1266" s="134"/>
      <c r="AH1266" s="134"/>
      <c r="AI1266" s="134"/>
      <c r="AJ1266" s="134"/>
      <c r="AK1266" s="134"/>
      <c r="AL1266" s="134"/>
      <c r="AM1266" s="146"/>
      <c r="AN1266" s="132"/>
      <c r="AO1266" s="132"/>
      <c r="AP1266" s="132"/>
      <c r="AQ1266" s="132"/>
      <c r="AR1266" s="134"/>
      <c r="AS1266" s="134"/>
      <c r="AT1266" s="132"/>
      <c r="AU1266" s="133"/>
      <c r="AV1266" s="134"/>
    </row>
    <row r="1267" spans="1:48">
      <c r="A1267" s="74">
        <v>24479</v>
      </c>
      <c r="B1267" s="74" t="s">
        <v>227</v>
      </c>
      <c r="C1267" s="74">
        <v>1</v>
      </c>
      <c r="D1267" s="74">
        <v>1255</v>
      </c>
      <c r="E1267" s="73">
        <v>0.1550000011920929</v>
      </c>
      <c r="F1267" s="73">
        <v>0.44999998807907104</v>
      </c>
      <c r="G1267" s="73">
        <v>9.0000003576278687E-2</v>
      </c>
      <c r="H1267" s="73">
        <v>0.23000000417232513</v>
      </c>
      <c r="I1267" s="190">
        <v>8264.9449999999997</v>
      </c>
      <c r="J1267" s="134" t="str">
        <f t="shared" si="144"/>
        <v>keep</v>
      </c>
      <c r="K1267" s="134" t="str">
        <f t="shared" si="145"/>
        <v>R0</v>
      </c>
      <c r="L1267" s="134" t="str">
        <f t="shared" si="146"/>
        <v>R11</v>
      </c>
      <c r="M1267" s="146" t="str">
        <f t="shared" ref="M1267:M1283" si="149">IF(OR(C1267=4,C1267=3),"Basement",IF(C1267=2,"Slab",IF(H1267&gt;$D$10,$C$10,IF(H1267&gt;$D$11,$C$11,"Better"))))</f>
        <v>R0</v>
      </c>
      <c r="N1267" s="146" t="str">
        <f t="shared" ref="N1267:N1283" si="150">IF(F1267&gt;$D$13,$C$13,IF(F1267&gt;$D$14,$C$14,"Better"))</f>
        <v>Better</v>
      </c>
      <c r="O1267" s="146" t="str">
        <f t="shared" si="147"/>
        <v>Electric FAFR0R11R0Better</v>
      </c>
      <c r="P1267" s="134" t="str">
        <f t="shared" si="148"/>
        <v>Crawlspace</v>
      </c>
      <c r="Q1267" s="134"/>
      <c r="R1267" s="134"/>
      <c r="S1267" s="134"/>
      <c r="T1267" s="134"/>
      <c r="U1267" s="134"/>
      <c r="V1267" s="134"/>
      <c r="W1267" s="134"/>
      <c r="X1267" s="134"/>
      <c r="Y1267" s="134"/>
      <c r="Z1267" s="134"/>
      <c r="AA1267" s="134"/>
      <c r="AB1267" s="134"/>
      <c r="AC1267" s="134"/>
      <c r="AD1267" s="134"/>
      <c r="AE1267" s="134"/>
      <c r="AF1267" s="146"/>
      <c r="AG1267" s="134"/>
      <c r="AH1267" s="134"/>
      <c r="AI1267" s="134"/>
      <c r="AJ1267" s="134"/>
      <c r="AK1267" s="134"/>
      <c r="AL1267" s="134"/>
      <c r="AM1267" s="146"/>
      <c r="AN1267" s="132"/>
      <c r="AO1267" s="132"/>
      <c r="AP1267" s="132"/>
      <c r="AQ1267" s="132"/>
      <c r="AR1267" s="134"/>
      <c r="AS1267" s="134"/>
      <c r="AT1267" s="132"/>
      <c r="AU1267" s="133"/>
      <c r="AV1267" s="134"/>
    </row>
    <row r="1268" spans="1:48">
      <c r="A1268" s="74">
        <v>24488</v>
      </c>
      <c r="B1268" s="74" t="s">
        <v>229</v>
      </c>
      <c r="C1268" s="74">
        <v>1</v>
      </c>
      <c r="D1268" s="74">
        <v>4160</v>
      </c>
      <c r="E1268" s="73">
        <v>2.500000037252903E-2</v>
      </c>
      <c r="F1268" s="73">
        <v>0.55507727582459943</v>
      </c>
      <c r="G1268" s="73">
        <v>5.9999998658895493E-2</v>
      </c>
      <c r="H1268" s="73">
        <v>3.5000000149011612E-2</v>
      </c>
      <c r="I1268" s="190">
        <v>2079.9929999999999</v>
      </c>
      <c r="J1268" s="134" t="str">
        <f t="shared" ref="J1268:J1283" si="151">IF(OR(C1268="FLAG",ISERROR(PRODUCT(D1268:H1268))),"ignore","keep")</f>
        <v>keep</v>
      </c>
      <c r="K1268" s="134" t="str">
        <f t="shared" ref="K1268:K1283" si="152">IF(E1268&gt;$D$3,$C$3,IF(E1268&gt;$D$4,$C$4,IF(E1268&gt;$D$5,$C$5,IF(E1268&gt;$D$6,$C$6,IF(E1268&gt;$D$7,$C$7,"R38")))))</f>
        <v>R38</v>
      </c>
      <c r="L1268" s="134" t="str">
        <f t="shared" ref="L1268:L1283" si="153">IF(G1268&gt;$D$8,$C$8,"R11")</f>
        <v>R11</v>
      </c>
      <c r="M1268" s="146" t="str">
        <f t="shared" si="149"/>
        <v>Better</v>
      </c>
      <c r="N1268" s="146" t="str">
        <f t="shared" si="150"/>
        <v>Better</v>
      </c>
      <c r="O1268" s="146" t="str">
        <f t="shared" ref="O1268:O1283" si="154">B1268&amp;K1268&amp;L1268&amp;M1268&amp;N1268</f>
        <v>Heat PumpR38R11BetterBetter</v>
      </c>
      <c r="P1268" s="134" t="str">
        <f t="shared" ref="P1268:P1283" si="155">IF(C1268=1,"Crawlspace",IF(C1268=2,"Slab",IF(OR(C1268=3,C1268=4),"Basement","error")))</f>
        <v>Crawlspace</v>
      </c>
      <c r="Q1268" s="134"/>
      <c r="R1268" s="134"/>
      <c r="S1268" s="134"/>
      <c r="T1268" s="134"/>
      <c r="U1268" s="134"/>
      <c r="V1268" s="134"/>
      <c r="W1268" s="134"/>
      <c r="X1268" s="134"/>
      <c r="Y1268" s="134"/>
      <c r="Z1268" s="134"/>
      <c r="AA1268" s="134"/>
      <c r="AB1268" s="134"/>
      <c r="AC1268" s="134"/>
      <c r="AD1268" s="134"/>
      <c r="AE1268" s="134"/>
      <c r="AF1268" s="146"/>
      <c r="AG1268" s="134"/>
      <c r="AH1268" s="134"/>
      <c r="AI1268" s="134"/>
      <c r="AJ1268" s="134"/>
      <c r="AK1268" s="134"/>
      <c r="AL1268" s="134"/>
      <c r="AM1268" s="146"/>
      <c r="AN1268" s="132"/>
      <c r="AO1268" s="132"/>
      <c r="AP1268" s="132"/>
      <c r="AQ1268" s="132"/>
      <c r="AR1268" s="134"/>
      <c r="AS1268" s="134"/>
      <c r="AT1268" s="132"/>
      <c r="AU1268" s="133"/>
      <c r="AV1268" s="134"/>
    </row>
    <row r="1269" spans="1:48">
      <c r="A1269" s="74">
        <v>24495</v>
      </c>
      <c r="B1269" s="74" t="s">
        <v>229</v>
      </c>
      <c r="C1269" s="74">
        <v>1</v>
      </c>
      <c r="D1269" s="74">
        <v>2395</v>
      </c>
      <c r="E1269" s="73">
        <v>7.9999998211860657E-2</v>
      </c>
      <c r="F1269" s="73">
        <v>0.55000001192092896</v>
      </c>
      <c r="G1269" s="73">
        <v>0.11999999731779099</v>
      </c>
      <c r="H1269" s="73">
        <v>6.4999997615814209E-2</v>
      </c>
      <c r="I1269" s="190">
        <v>4360.1880000000001</v>
      </c>
      <c r="J1269" s="134" t="str">
        <f t="shared" si="151"/>
        <v>keep</v>
      </c>
      <c r="K1269" s="134" t="str">
        <f t="shared" si="152"/>
        <v>R19</v>
      </c>
      <c r="L1269" s="134" t="str">
        <f t="shared" si="153"/>
        <v>R11</v>
      </c>
      <c r="M1269" s="146" t="str">
        <f t="shared" si="149"/>
        <v>R19</v>
      </c>
      <c r="N1269" s="146" t="str">
        <f t="shared" si="150"/>
        <v>Better</v>
      </c>
      <c r="O1269" s="146" t="str">
        <f t="shared" si="154"/>
        <v>Heat PumpR19R11R19Better</v>
      </c>
      <c r="P1269" s="134" t="str">
        <f t="shared" si="155"/>
        <v>Crawlspace</v>
      </c>
      <c r="Q1269" s="134"/>
      <c r="R1269" s="134"/>
      <c r="S1269" s="134"/>
      <c r="T1269" s="134"/>
      <c r="U1269" s="134"/>
      <c r="V1269" s="134"/>
      <c r="W1269" s="134"/>
      <c r="X1269" s="134"/>
      <c r="Y1269" s="134"/>
      <c r="Z1269" s="134"/>
      <c r="AA1269" s="134"/>
      <c r="AB1269" s="134"/>
      <c r="AC1269" s="134"/>
      <c r="AD1269" s="134"/>
      <c r="AE1269" s="134"/>
      <c r="AF1269" s="146"/>
      <c r="AG1269" s="134"/>
      <c r="AH1269" s="134"/>
      <c r="AI1269" s="134"/>
      <c r="AJ1269" s="134"/>
      <c r="AK1269" s="134"/>
      <c r="AL1269" s="134"/>
      <c r="AM1269" s="146"/>
      <c r="AN1269" s="132"/>
      <c r="AO1269" s="132"/>
      <c r="AP1269" s="132"/>
      <c r="AQ1269" s="132"/>
      <c r="AR1269" s="134"/>
      <c r="AS1269" s="134"/>
      <c r="AT1269" s="132"/>
      <c r="AU1269" s="133"/>
      <c r="AV1269" s="134"/>
    </row>
    <row r="1270" spans="1:48">
      <c r="A1270" s="74">
        <v>24540</v>
      </c>
      <c r="B1270" s="74" t="s">
        <v>228</v>
      </c>
      <c r="C1270" s="74" t="s">
        <v>673</v>
      </c>
      <c r="D1270" s="74">
        <v>1286</v>
      </c>
      <c r="E1270" s="73">
        <v>3.5000000149011612E-2</v>
      </c>
      <c r="F1270" s="73">
        <v>0.55220884778892176</v>
      </c>
      <c r="G1270" s="73">
        <v>5.9999998658895493E-2</v>
      </c>
      <c r="H1270" s="73">
        <v>0</v>
      </c>
      <c r="I1270" s="190">
        <v>1612.692</v>
      </c>
      <c r="J1270" s="134" t="str">
        <f t="shared" si="151"/>
        <v>ignore</v>
      </c>
      <c r="K1270" s="134" t="str">
        <f t="shared" si="152"/>
        <v>R38</v>
      </c>
      <c r="L1270" s="134" t="str">
        <f t="shared" si="153"/>
        <v>R11</v>
      </c>
      <c r="M1270" s="146" t="str">
        <f t="shared" si="149"/>
        <v>Better</v>
      </c>
      <c r="N1270" s="146" t="str">
        <f t="shared" si="150"/>
        <v>Better</v>
      </c>
      <c r="O1270" s="146" t="str">
        <f t="shared" si="154"/>
        <v>Electric ZonalR38R11BetterBetter</v>
      </c>
      <c r="P1270" s="134" t="str">
        <f t="shared" si="155"/>
        <v>error</v>
      </c>
      <c r="Q1270" s="134"/>
      <c r="R1270" s="134"/>
      <c r="S1270" s="134"/>
      <c r="T1270" s="134"/>
      <c r="U1270" s="134"/>
      <c r="V1270" s="134"/>
      <c r="W1270" s="134"/>
      <c r="X1270" s="134"/>
      <c r="Y1270" s="134"/>
      <c r="Z1270" s="134"/>
      <c r="AA1270" s="134"/>
      <c r="AB1270" s="134"/>
      <c r="AC1270" s="134"/>
      <c r="AD1270" s="134"/>
      <c r="AE1270" s="134"/>
      <c r="AF1270" s="146"/>
      <c r="AG1270" s="134"/>
      <c r="AH1270" s="134"/>
      <c r="AI1270" s="134"/>
      <c r="AJ1270" s="134"/>
      <c r="AK1270" s="134"/>
      <c r="AL1270" s="134"/>
      <c r="AM1270" s="146"/>
      <c r="AN1270" s="132"/>
      <c r="AO1270" s="132"/>
      <c r="AP1270" s="132"/>
      <c r="AQ1270" s="132"/>
      <c r="AR1270" s="134"/>
      <c r="AS1270" s="134"/>
      <c r="AT1270" s="132"/>
      <c r="AU1270" s="133"/>
      <c r="AV1270" s="134"/>
    </row>
    <row r="1271" spans="1:48">
      <c r="A1271" s="74">
        <v>24594</v>
      </c>
      <c r="B1271" s="74" t="s">
        <v>229</v>
      </c>
      <c r="C1271" s="74" t="s">
        <v>673</v>
      </c>
      <c r="D1271" s="74">
        <v>2100</v>
      </c>
      <c r="E1271" s="73">
        <v>0.37000000476837153</v>
      </c>
      <c r="F1271" s="73">
        <v>0.81142133035635589</v>
      </c>
      <c r="G1271" s="73">
        <v>9.0000003576278687E-2</v>
      </c>
      <c r="H1271" s="73">
        <v>0.23000000417232513</v>
      </c>
      <c r="I1271" s="190">
        <v>1612.692</v>
      </c>
      <c r="J1271" s="134" t="str">
        <f t="shared" si="151"/>
        <v>ignore</v>
      </c>
      <c r="K1271" s="134" t="str">
        <f t="shared" si="152"/>
        <v>R0</v>
      </c>
      <c r="L1271" s="134" t="str">
        <f t="shared" si="153"/>
        <v>R11</v>
      </c>
      <c r="M1271" s="146" t="str">
        <f t="shared" si="149"/>
        <v>R0</v>
      </c>
      <c r="N1271" s="146" t="str">
        <f t="shared" si="150"/>
        <v>Double</v>
      </c>
      <c r="O1271" s="146" t="str">
        <f t="shared" si="154"/>
        <v>Heat PumpR0R11R0Double</v>
      </c>
      <c r="P1271" s="134" t="str">
        <f t="shared" si="155"/>
        <v>error</v>
      </c>
      <c r="Q1271" s="134"/>
      <c r="R1271" s="134"/>
      <c r="S1271" s="134"/>
      <c r="T1271" s="134"/>
      <c r="U1271" s="134"/>
      <c r="V1271" s="134"/>
      <c r="W1271" s="134"/>
      <c r="X1271" s="134"/>
      <c r="Y1271" s="134"/>
      <c r="Z1271" s="134"/>
      <c r="AA1271" s="134"/>
      <c r="AB1271" s="134"/>
      <c r="AC1271" s="134"/>
      <c r="AD1271" s="134"/>
      <c r="AE1271" s="134"/>
      <c r="AF1271" s="146"/>
      <c r="AG1271" s="134"/>
      <c r="AH1271" s="134"/>
      <c r="AI1271" s="134"/>
      <c r="AJ1271" s="134"/>
      <c r="AK1271" s="134"/>
      <c r="AL1271" s="134"/>
      <c r="AM1271" s="146"/>
      <c r="AN1271" s="132"/>
      <c r="AO1271" s="132"/>
      <c r="AP1271" s="132"/>
      <c r="AQ1271" s="132"/>
      <c r="AR1271" s="134"/>
      <c r="AS1271" s="134"/>
      <c r="AT1271" s="132"/>
      <c r="AU1271" s="133"/>
      <c r="AV1271" s="134"/>
    </row>
    <row r="1272" spans="1:48">
      <c r="A1272" s="74">
        <v>24623</v>
      </c>
      <c r="B1272" s="74" t="s">
        <v>229</v>
      </c>
      <c r="C1272" s="74">
        <v>2</v>
      </c>
      <c r="D1272" s="74">
        <v>3018</v>
      </c>
      <c r="E1272" s="73">
        <v>4.1525376332135294E-2</v>
      </c>
      <c r="F1272" s="73">
        <v>0.75</v>
      </c>
      <c r="G1272" s="73">
        <v>7.9999998211860657E-2</v>
      </c>
      <c r="H1272" s="73">
        <v>0</v>
      </c>
      <c r="I1272" s="190">
        <v>1612.692</v>
      </c>
      <c r="J1272" s="134" t="str">
        <f t="shared" si="151"/>
        <v>keep</v>
      </c>
      <c r="K1272" s="134" t="str">
        <f t="shared" si="152"/>
        <v>R30</v>
      </c>
      <c r="L1272" s="134" t="str">
        <f t="shared" si="153"/>
        <v>R11</v>
      </c>
      <c r="M1272" s="146" t="str">
        <f t="shared" si="149"/>
        <v>Slab</v>
      </c>
      <c r="N1272" s="146" t="str">
        <f t="shared" si="150"/>
        <v>Better</v>
      </c>
      <c r="O1272" s="146" t="str">
        <f t="shared" si="154"/>
        <v>Heat PumpR30R11SlabBetter</v>
      </c>
      <c r="P1272" s="134" t="str">
        <f t="shared" si="155"/>
        <v>Slab</v>
      </c>
      <c r="Q1272" s="134"/>
      <c r="R1272" s="134"/>
      <c r="S1272" s="134"/>
      <c r="T1272" s="134"/>
      <c r="U1272" s="134"/>
      <c r="V1272" s="134"/>
      <c r="W1272" s="134"/>
      <c r="X1272" s="134"/>
      <c r="Y1272" s="134"/>
      <c r="Z1272" s="134"/>
      <c r="AA1272" s="134"/>
      <c r="AB1272" s="134"/>
      <c r="AC1272" s="134"/>
      <c r="AD1272" s="134"/>
      <c r="AE1272" s="134"/>
      <c r="AF1272" s="146"/>
      <c r="AG1272" s="134"/>
      <c r="AH1272" s="134"/>
      <c r="AI1272" s="134"/>
      <c r="AJ1272" s="134"/>
      <c r="AK1272" s="134"/>
      <c r="AL1272" s="134"/>
      <c r="AM1272" s="146"/>
      <c r="AN1272" s="132"/>
      <c r="AO1272" s="132"/>
      <c r="AP1272" s="132"/>
      <c r="AQ1272" s="132"/>
      <c r="AR1272" s="134"/>
      <c r="AS1272" s="134"/>
      <c r="AT1272" s="132"/>
      <c r="AU1272" s="133"/>
      <c r="AV1272" s="134"/>
    </row>
    <row r="1273" spans="1:48">
      <c r="A1273" s="74">
        <v>24662</v>
      </c>
      <c r="B1273" s="74" t="s">
        <v>227</v>
      </c>
      <c r="C1273" s="74">
        <v>1</v>
      </c>
      <c r="D1273" s="74">
        <v>1820</v>
      </c>
      <c r="E1273" s="73">
        <v>9.4999998807907104E-2</v>
      </c>
      <c r="F1273" s="73">
        <v>0.96552567785118493</v>
      </c>
      <c r="G1273" s="73">
        <v>5.9999998658895493E-2</v>
      </c>
      <c r="H1273" s="73">
        <v>0.23000000417232513</v>
      </c>
      <c r="I1273" s="190">
        <v>2079.9929999999999</v>
      </c>
      <c r="J1273" s="134" t="str">
        <f t="shared" si="151"/>
        <v>keep</v>
      </c>
      <c r="K1273" s="134" t="str">
        <f t="shared" si="152"/>
        <v>R11</v>
      </c>
      <c r="L1273" s="134" t="str">
        <f t="shared" si="153"/>
        <v>R11</v>
      </c>
      <c r="M1273" s="146" t="str">
        <f t="shared" si="149"/>
        <v>R0</v>
      </c>
      <c r="N1273" s="146" t="str">
        <f t="shared" si="150"/>
        <v>Double</v>
      </c>
      <c r="O1273" s="146" t="str">
        <f t="shared" si="154"/>
        <v>Electric FAFR11R11R0Double</v>
      </c>
      <c r="P1273" s="134" t="str">
        <f t="shared" si="155"/>
        <v>Crawlspace</v>
      </c>
      <c r="Q1273" s="134"/>
      <c r="R1273" s="134"/>
      <c r="S1273" s="134"/>
      <c r="T1273" s="134"/>
      <c r="U1273" s="134"/>
      <c r="V1273" s="134"/>
      <c r="W1273" s="134"/>
      <c r="X1273" s="134"/>
      <c r="Y1273" s="134"/>
      <c r="Z1273" s="134"/>
      <c r="AA1273" s="134"/>
      <c r="AB1273" s="134"/>
      <c r="AC1273" s="134"/>
      <c r="AD1273" s="134"/>
      <c r="AE1273" s="134"/>
      <c r="AF1273" s="146"/>
      <c r="AG1273" s="134"/>
      <c r="AH1273" s="134"/>
      <c r="AI1273" s="134"/>
      <c r="AJ1273" s="134"/>
      <c r="AK1273" s="134"/>
      <c r="AL1273" s="134"/>
      <c r="AM1273" s="146"/>
      <c r="AN1273" s="132"/>
      <c r="AO1273" s="132"/>
      <c r="AP1273" s="132"/>
      <c r="AQ1273" s="132"/>
      <c r="AR1273" s="134"/>
      <c r="AS1273" s="134"/>
      <c r="AT1273" s="132"/>
      <c r="AU1273" s="133"/>
      <c r="AV1273" s="134"/>
    </row>
    <row r="1274" spans="1:48">
      <c r="A1274" s="74">
        <v>24671</v>
      </c>
      <c r="B1274" s="74" t="s">
        <v>227</v>
      </c>
      <c r="C1274" s="74">
        <v>1</v>
      </c>
      <c r="D1274" s="74">
        <v>1314</v>
      </c>
      <c r="E1274" s="73">
        <v>2.500000037252903E-2</v>
      </c>
      <c r="F1274" s="73">
        <v>0.55000001192092896</v>
      </c>
      <c r="G1274" s="73">
        <v>5.9999998658895493E-2</v>
      </c>
      <c r="H1274" s="73">
        <v>2.9999999329447746E-2</v>
      </c>
      <c r="I1274" s="190">
        <v>1925.059</v>
      </c>
      <c r="J1274" s="134" t="str">
        <f t="shared" si="151"/>
        <v>keep</v>
      </c>
      <c r="K1274" s="134" t="str">
        <f t="shared" si="152"/>
        <v>R38</v>
      </c>
      <c r="L1274" s="134" t="str">
        <f t="shared" si="153"/>
        <v>R11</v>
      </c>
      <c r="M1274" s="146" t="str">
        <f t="shared" si="149"/>
        <v>Better</v>
      </c>
      <c r="N1274" s="146" t="str">
        <f t="shared" si="150"/>
        <v>Better</v>
      </c>
      <c r="O1274" s="146" t="str">
        <f t="shared" si="154"/>
        <v>Electric FAFR38R11BetterBetter</v>
      </c>
      <c r="P1274" s="134" t="str">
        <f t="shared" si="155"/>
        <v>Crawlspace</v>
      </c>
      <c r="Q1274" s="134"/>
      <c r="R1274" s="134"/>
      <c r="S1274" s="134"/>
      <c r="T1274" s="134"/>
      <c r="U1274" s="134"/>
      <c r="V1274" s="134"/>
      <c r="W1274" s="134"/>
      <c r="X1274" s="134"/>
      <c r="Y1274" s="134"/>
      <c r="Z1274" s="134"/>
      <c r="AA1274" s="134"/>
      <c r="AB1274" s="134"/>
      <c r="AC1274" s="134"/>
      <c r="AD1274" s="134"/>
      <c r="AE1274" s="134"/>
      <c r="AF1274" s="146"/>
      <c r="AG1274" s="134"/>
      <c r="AH1274" s="134"/>
      <c r="AI1274" s="134"/>
      <c r="AJ1274" s="134"/>
      <c r="AK1274" s="134"/>
      <c r="AL1274" s="134"/>
      <c r="AM1274" s="146"/>
      <c r="AN1274" s="132"/>
      <c r="AO1274" s="132"/>
      <c r="AP1274" s="132"/>
      <c r="AQ1274" s="132"/>
      <c r="AR1274" s="134"/>
      <c r="AS1274" s="134"/>
      <c r="AT1274" s="132"/>
      <c r="AU1274" s="133"/>
      <c r="AV1274" s="134"/>
    </row>
    <row r="1275" spans="1:48">
      <c r="A1275" s="74">
        <v>24684</v>
      </c>
      <c r="B1275" s="74" t="s">
        <v>228</v>
      </c>
      <c r="C1275" s="74" t="s">
        <v>673</v>
      </c>
      <c r="D1275" s="74">
        <v>2034</v>
      </c>
      <c r="E1275" s="73">
        <v>2.500000037252903E-2</v>
      </c>
      <c r="F1275" s="73">
        <v>0.55000001192092896</v>
      </c>
      <c r="G1275" s="73">
        <v>9.0000003576278687E-2</v>
      </c>
      <c r="H1275" s="73">
        <v>9.0000003576278687E-2</v>
      </c>
      <c r="I1275" s="190">
        <v>1904.288</v>
      </c>
      <c r="J1275" s="134" t="str">
        <f t="shared" si="151"/>
        <v>ignore</v>
      </c>
      <c r="K1275" s="134" t="str">
        <f t="shared" si="152"/>
        <v>R38</v>
      </c>
      <c r="L1275" s="134" t="str">
        <f t="shared" si="153"/>
        <v>R11</v>
      </c>
      <c r="M1275" s="146" t="str">
        <f t="shared" si="149"/>
        <v>R0</v>
      </c>
      <c r="N1275" s="146" t="str">
        <f t="shared" si="150"/>
        <v>Better</v>
      </c>
      <c r="O1275" s="146" t="str">
        <f t="shared" si="154"/>
        <v>Electric ZonalR38R11R0Better</v>
      </c>
      <c r="P1275" s="134" t="str">
        <f t="shared" si="155"/>
        <v>error</v>
      </c>
      <c r="Q1275" s="134"/>
      <c r="R1275" s="134"/>
      <c r="S1275" s="134"/>
      <c r="T1275" s="134"/>
      <c r="U1275" s="134"/>
      <c r="V1275" s="134"/>
      <c r="W1275" s="134"/>
      <c r="X1275" s="134"/>
      <c r="Y1275" s="134"/>
      <c r="Z1275" s="134"/>
      <c r="AA1275" s="134"/>
      <c r="AB1275" s="134"/>
      <c r="AC1275" s="134"/>
      <c r="AD1275" s="134"/>
      <c r="AE1275" s="134"/>
      <c r="AF1275" s="146"/>
      <c r="AG1275" s="134"/>
      <c r="AH1275" s="134"/>
      <c r="AI1275" s="134"/>
      <c r="AJ1275" s="134"/>
      <c r="AK1275" s="134"/>
      <c r="AL1275" s="134"/>
      <c r="AM1275" s="146"/>
      <c r="AN1275" s="132"/>
      <c r="AO1275" s="132"/>
      <c r="AP1275" s="132"/>
      <c r="AQ1275" s="132"/>
      <c r="AR1275" s="134"/>
      <c r="AS1275" s="134"/>
      <c r="AT1275" s="132"/>
      <c r="AU1275" s="133"/>
      <c r="AV1275" s="134"/>
    </row>
    <row r="1276" spans="1:48">
      <c r="A1276" s="74">
        <v>24706</v>
      </c>
      <c r="B1276" s="74" t="s">
        <v>228</v>
      </c>
      <c r="C1276" s="74">
        <v>1</v>
      </c>
      <c r="D1276" s="74">
        <v>1086</v>
      </c>
      <c r="E1276" s="73">
        <v>4.939516070449064E-2</v>
      </c>
      <c r="F1276" s="73">
        <v>0.85000002384185791</v>
      </c>
      <c r="G1276" s="73">
        <v>9.0000003576278687E-2</v>
      </c>
      <c r="H1276" s="73">
        <v>4.5000001788139343E-2</v>
      </c>
      <c r="I1276" s="190">
        <v>1612.692</v>
      </c>
      <c r="J1276" s="134" t="str">
        <f t="shared" si="151"/>
        <v>keep</v>
      </c>
      <c r="K1276" s="134" t="str">
        <f t="shared" si="152"/>
        <v>R30</v>
      </c>
      <c r="L1276" s="134" t="str">
        <f t="shared" si="153"/>
        <v>R11</v>
      </c>
      <c r="M1276" s="146" t="str">
        <f t="shared" si="149"/>
        <v>Better</v>
      </c>
      <c r="N1276" s="146" t="str">
        <f t="shared" si="150"/>
        <v>Double</v>
      </c>
      <c r="O1276" s="146" t="str">
        <f t="shared" si="154"/>
        <v>Electric ZonalR30R11BetterDouble</v>
      </c>
      <c r="P1276" s="134" t="str">
        <f t="shared" si="155"/>
        <v>Crawlspace</v>
      </c>
      <c r="Q1276" s="134"/>
      <c r="R1276" s="134"/>
      <c r="S1276" s="134"/>
      <c r="T1276" s="134"/>
      <c r="U1276" s="134"/>
      <c r="V1276" s="134"/>
      <c r="W1276" s="134"/>
      <c r="X1276" s="134"/>
      <c r="Y1276" s="134"/>
      <c r="Z1276" s="134"/>
      <c r="AA1276" s="134"/>
      <c r="AB1276" s="134"/>
      <c r="AC1276" s="134"/>
      <c r="AD1276" s="134"/>
      <c r="AE1276" s="134"/>
      <c r="AF1276" s="146"/>
      <c r="AG1276" s="134"/>
      <c r="AH1276" s="134"/>
      <c r="AI1276" s="134"/>
      <c r="AJ1276" s="134"/>
      <c r="AK1276" s="134"/>
      <c r="AL1276" s="134"/>
      <c r="AM1276" s="146"/>
      <c r="AN1276" s="132"/>
      <c r="AO1276" s="132"/>
      <c r="AP1276" s="132"/>
      <c r="AQ1276" s="132"/>
      <c r="AR1276" s="134"/>
      <c r="AS1276" s="134"/>
      <c r="AT1276" s="132"/>
      <c r="AU1276" s="133"/>
      <c r="AV1276" s="134"/>
    </row>
    <row r="1277" spans="1:48">
      <c r="A1277" s="74">
        <v>24733</v>
      </c>
      <c r="B1277" s="74" t="s">
        <v>227</v>
      </c>
      <c r="C1277" s="74">
        <v>1</v>
      </c>
      <c r="D1277" s="74">
        <v>1140</v>
      </c>
      <c r="E1277" s="73">
        <v>2.500000037252903E-2</v>
      </c>
      <c r="F1277" s="73">
        <v>0.56285715784345358</v>
      </c>
      <c r="G1277" s="73">
        <v>5.9999998658895493E-2</v>
      </c>
      <c r="H1277" s="73">
        <v>4.5000001788139343E-2</v>
      </c>
      <c r="I1277" s="190">
        <v>4360.1880000000001</v>
      </c>
      <c r="J1277" s="134" t="str">
        <f t="shared" si="151"/>
        <v>keep</v>
      </c>
      <c r="K1277" s="134" t="str">
        <f t="shared" si="152"/>
        <v>R38</v>
      </c>
      <c r="L1277" s="134" t="str">
        <f t="shared" si="153"/>
        <v>R11</v>
      </c>
      <c r="M1277" s="146" t="str">
        <f t="shared" si="149"/>
        <v>Better</v>
      </c>
      <c r="N1277" s="146" t="str">
        <f t="shared" si="150"/>
        <v>Better</v>
      </c>
      <c r="O1277" s="146" t="str">
        <f t="shared" si="154"/>
        <v>Electric FAFR38R11BetterBetter</v>
      </c>
      <c r="P1277" s="134" t="str">
        <f t="shared" si="155"/>
        <v>Crawlspace</v>
      </c>
      <c r="Q1277" s="134"/>
      <c r="R1277" s="134"/>
      <c r="S1277" s="134"/>
      <c r="T1277" s="134"/>
      <c r="U1277" s="134"/>
      <c r="V1277" s="134"/>
      <c r="W1277" s="134"/>
      <c r="X1277" s="134"/>
      <c r="Y1277" s="134"/>
      <c r="Z1277" s="134"/>
      <c r="AA1277" s="134"/>
      <c r="AB1277" s="134"/>
      <c r="AC1277" s="134"/>
      <c r="AD1277" s="134"/>
      <c r="AE1277" s="134"/>
      <c r="AF1277" s="146"/>
      <c r="AG1277" s="134"/>
      <c r="AH1277" s="134"/>
      <c r="AI1277" s="134"/>
      <c r="AJ1277" s="134"/>
      <c r="AK1277" s="134"/>
      <c r="AL1277" s="134"/>
      <c r="AM1277" s="146"/>
      <c r="AN1277" s="132"/>
      <c r="AO1277" s="132"/>
      <c r="AP1277" s="132"/>
      <c r="AQ1277" s="132"/>
      <c r="AR1277" s="134"/>
      <c r="AS1277" s="134"/>
      <c r="AT1277" s="132"/>
      <c r="AU1277" s="133"/>
      <c r="AV1277" s="134"/>
    </row>
    <row r="1278" spans="1:48">
      <c r="A1278" s="74">
        <v>24781</v>
      </c>
      <c r="B1278" s="74" t="s">
        <v>229</v>
      </c>
      <c r="C1278" s="74">
        <v>1</v>
      </c>
      <c r="D1278" s="74">
        <v>2876</v>
      </c>
      <c r="E1278" s="73">
        <v>3.5000000149011612E-2</v>
      </c>
      <c r="F1278" s="73">
        <v>0.56230600155113541</v>
      </c>
      <c r="G1278" s="73" t="e">
        <v>#VALUE!</v>
      </c>
      <c r="H1278" s="73">
        <v>2.9999999329447746E-2</v>
      </c>
      <c r="I1278" s="190">
        <v>2079.9929999999999</v>
      </c>
      <c r="J1278" s="134" t="str">
        <f t="shared" si="151"/>
        <v>ignore</v>
      </c>
      <c r="K1278" s="134" t="str">
        <f t="shared" si="152"/>
        <v>R38</v>
      </c>
      <c r="L1278" s="134" t="e">
        <f t="shared" si="153"/>
        <v>#VALUE!</v>
      </c>
      <c r="M1278" s="146" t="str">
        <f t="shared" si="149"/>
        <v>Better</v>
      </c>
      <c r="N1278" s="146" t="str">
        <f t="shared" si="150"/>
        <v>Better</v>
      </c>
      <c r="O1278" s="146" t="e">
        <f t="shared" si="154"/>
        <v>#VALUE!</v>
      </c>
      <c r="P1278" s="134" t="str">
        <f t="shared" si="155"/>
        <v>Crawlspace</v>
      </c>
      <c r="Q1278" s="134"/>
      <c r="R1278" s="134"/>
      <c r="S1278" s="134"/>
      <c r="T1278" s="134"/>
      <c r="U1278" s="134"/>
      <c r="V1278" s="134"/>
      <c r="W1278" s="134"/>
      <c r="X1278" s="134"/>
      <c r="Y1278" s="134"/>
      <c r="Z1278" s="134"/>
      <c r="AA1278" s="134"/>
      <c r="AB1278" s="134"/>
      <c r="AC1278" s="134"/>
      <c r="AD1278" s="134"/>
      <c r="AE1278" s="134"/>
      <c r="AF1278" s="146"/>
      <c r="AG1278" s="134"/>
      <c r="AH1278" s="134"/>
      <c r="AI1278" s="134"/>
      <c r="AJ1278" s="134"/>
      <c r="AK1278" s="134"/>
      <c r="AL1278" s="134"/>
      <c r="AM1278" s="146"/>
      <c r="AN1278" s="132"/>
      <c r="AO1278" s="132"/>
      <c r="AP1278" s="132"/>
      <c r="AQ1278" s="132"/>
      <c r="AR1278" s="134"/>
      <c r="AS1278" s="134"/>
      <c r="AT1278" s="132"/>
      <c r="AU1278" s="133"/>
      <c r="AV1278" s="134"/>
    </row>
    <row r="1279" spans="1:48">
      <c r="A1279" s="74">
        <v>24785</v>
      </c>
      <c r="B1279" s="74" t="s">
        <v>228</v>
      </c>
      <c r="C1279" s="74" t="s">
        <v>673</v>
      </c>
      <c r="D1279" s="74">
        <v>880</v>
      </c>
      <c r="E1279" s="73">
        <v>2.500000037252903E-2</v>
      </c>
      <c r="F1279" s="73">
        <v>0.55000001192092896</v>
      </c>
      <c r="G1279" s="73">
        <v>5.9999998658895493E-2</v>
      </c>
      <c r="H1279" s="73">
        <v>0</v>
      </c>
      <c r="I1279" s="190">
        <v>1904.288</v>
      </c>
      <c r="J1279" s="134" t="str">
        <f t="shared" si="151"/>
        <v>ignore</v>
      </c>
      <c r="K1279" s="134" t="str">
        <f t="shared" si="152"/>
        <v>R38</v>
      </c>
      <c r="L1279" s="134" t="str">
        <f t="shared" si="153"/>
        <v>R11</v>
      </c>
      <c r="M1279" s="146" t="str">
        <f t="shared" si="149"/>
        <v>Better</v>
      </c>
      <c r="N1279" s="146" t="str">
        <f t="shared" si="150"/>
        <v>Better</v>
      </c>
      <c r="O1279" s="146" t="str">
        <f t="shared" si="154"/>
        <v>Electric ZonalR38R11BetterBetter</v>
      </c>
      <c r="P1279" s="134" t="str">
        <f t="shared" si="155"/>
        <v>error</v>
      </c>
      <c r="Q1279" s="134"/>
      <c r="R1279" s="134"/>
      <c r="S1279" s="134"/>
      <c r="T1279" s="134"/>
      <c r="U1279" s="134"/>
      <c r="V1279" s="134"/>
      <c r="W1279" s="134"/>
      <c r="X1279" s="134"/>
      <c r="Y1279" s="134"/>
      <c r="Z1279" s="134"/>
      <c r="AA1279" s="134"/>
      <c r="AB1279" s="134"/>
      <c r="AC1279" s="134"/>
      <c r="AD1279" s="134"/>
      <c r="AE1279" s="134"/>
      <c r="AF1279" s="146"/>
      <c r="AG1279" s="134"/>
      <c r="AH1279" s="134"/>
      <c r="AI1279" s="134"/>
      <c r="AJ1279" s="134"/>
      <c r="AK1279" s="134"/>
      <c r="AL1279" s="134"/>
      <c r="AM1279" s="146"/>
      <c r="AN1279" s="132"/>
      <c r="AO1279" s="132"/>
      <c r="AP1279" s="132"/>
      <c r="AQ1279" s="132"/>
      <c r="AR1279" s="134"/>
      <c r="AS1279" s="134"/>
      <c r="AT1279" s="132"/>
      <c r="AU1279" s="133"/>
      <c r="AV1279" s="134"/>
    </row>
    <row r="1280" spans="1:48">
      <c r="A1280" s="74">
        <v>24807</v>
      </c>
      <c r="B1280" s="74" t="s">
        <v>229</v>
      </c>
      <c r="C1280" s="74" t="s">
        <v>673</v>
      </c>
      <c r="D1280" s="74">
        <v>2044</v>
      </c>
      <c r="E1280" s="73">
        <v>4.5000001788139343E-2</v>
      </c>
      <c r="F1280" s="73">
        <v>0.44999998807907104</v>
      </c>
      <c r="G1280" s="73">
        <v>5.9999998658895493E-2</v>
      </c>
      <c r="H1280" s="73">
        <v>6.4999997615814209E-2</v>
      </c>
      <c r="I1280" s="190">
        <v>2079.9929999999999</v>
      </c>
      <c r="J1280" s="134" t="str">
        <f t="shared" si="151"/>
        <v>ignore</v>
      </c>
      <c r="K1280" s="134" t="str">
        <f t="shared" si="152"/>
        <v>R30</v>
      </c>
      <c r="L1280" s="134" t="str">
        <f t="shared" si="153"/>
        <v>R11</v>
      </c>
      <c r="M1280" s="146" t="str">
        <f t="shared" si="149"/>
        <v>R19</v>
      </c>
      <c r="N1280" s="146" t="str">
        <f t="shared" si="150"/>
        <v>Better</v>
      </c>
      <c r="O1280" s="146" t="str">
        <f t="shared" si="154"/>
        <v>Heat PumpR30R11R19Better</v>
      </c>
      <c r="P1280" s="134" t="str">
        <f t="shared" si="155"/>
        <v>error</v>
      </c>
      <c r="Q1280" s="134"/>
      <c r="R1280" s="134"/>
      <c r="S1280" s="134"/>
      <c r="T1280" s="134"/>
      <c r="U1280" s="134"/>
      <c r="V1280" s="134"/>
      <c r="W1280" s="134"/>
      <c r="X1280" s="134"/>
      <c r="Y1280" s="134"/>
      <c r="Z1280" s="134"/>
      <c r="AA1280" s="134"/>
      <c r="AB1280" s="134"/>
      <c r="AC1280" s="134"/>
      <c r="AD1280" s="134"/>
      <c r="AE1280" s="134"/>
      <c r="AF1280" s="146"/>
      <c r="AG1280" s="134"/>
      <c r="AH1280" s="134"/>
      <c r="AI1280" s="134"/>
      <c r="AJ1280" s="134"/>
      <c r="AK1280" s="134"/>
      <c r="AL1280" s="134"/>
      <c r="AM1280" s="146"/>
      <c r="AN1280" s="132"/>
      <c r="AO1280" s="132"/>
      <c r="AP1280" s="132"/>
      <c r="AQ1280" s="132"/>
      <c r="AR1280" s="134"/>
      <c r="AS1280" s="134"/>
      <c r="AT1280" s="132"/>
      <c r="AU1280" s="133"/>
      <c r="AV1280" s="134"/>
    </row>
    <row r="1281" spans="1:48">
      <c r="A1281" s="74">
        <v>24816</v>
      </c>
      <c r="B1281" s="74" t="s">
        <v>229</v>
      </c>
      <c r="C1281" s="74">
        <v>1</v>
      </c>
      <c r="D1281" s="74">
        <v>1750</v>
      </c>
      <c r="E1281" s="73">
        <v>3.5000000149011612E-2</v>
      </c>
      <c r="F1281" s="73">
        <v>0.81891892039177505</v>
      </c>
      <c r="G1281" s="73">
        <v>9.0000003576278687E-2</v>
      </c>
      <c r="H1281" s="73">
        <v>4.5000001788139343E-2</v>
      </c>
      <c r="I1281" s="190">
        <v>2079.9929999999999</v>
      </c>
      <c r="J1281" s="134" t="str">
        <f t="shared" si="151"/>
        <v>keep</v>
      </c>
      <c r="K1281" s="134" t="str">
        <f t="shared" si="152"/>
        <v>R38</v>
      </c>
      <c r="L1281" s="134" t="str">
        <f t="shared" si="153"/>
        <v>R11</v>
      </c>
      <c r="M1281" s="146" t="str">
        <f t="shared" si="149"/>
        <v>Better</v>
      </c>
      <c r="N1281" s="146" t="str">
        <f t="shared" si="150"/>
        <v>Double</v>
      </c>
      <c r="O1281" s="146" t="str">
        <f t="shared" si="154"/>
        <v>Heat PumpR38R11BetterDouble</v>
      </c>
      <c r="P1281" s="134" t="str">
        <f t="shared" si="155"/>
        <v>Crawlspace</v>
      </c>
      <c r="Q1281" s="134"/>
      <c r="R1281" s="134"/>
      <c r="S1281" s="134"/>
      <c r="T1281" s="134"/>
      <c r="U1281" s="134"/>
      <c r="V1281" s="134"/>
      <c r="W1281" s="134"/>
      <c r="X1281" s="134"/>
      <c r="Y1281" s="134"/>
      <c r="Z1281" s="134"/>
      <c r="AA1281" s="134"/>
      <c r="AB1281" s="134"/>
      <c r="AC1281" s="134"/>
      <c r="AD1281" s="134"/>
      <c r="AE1281" s="134"/>
      <c r="AF1281" s="146"/>
      <c r="AG1281" s="134"/>
      <c r="AH1281" s="134"/>
      <c r="AI1281" s="134"/>
      <c r="AJ1281" s="134"/>
      <c r="AK1281" s="134"/>
      <c r="AL1281" s="134"/>
      <c r="AM1281" s="146"/>
      <c r="AN1281" s="132"/>
      <c r="AO1281" s="132"/>
      <c r="AP1281" s="132"/>
      <c r="AQ1281" s="132"/>
      <c r="AR1281" s="134"/>
      <c r="AS1281" s="134"/>
      <c r="AT1281" s="132"/>
      <c r="AU1281" s="133"/>
      <c r="AV1281" s="134"/>
    </row>
    <row r="1282" spans="1:48">
      <c r="A1282" s="74">
        <v>24844</v>
      </c>
      <c r="B1282" s="74" t="s">
        <v>228</v>
      </c>
      <c r="C1282" s="74">
        <v>1</v>
      </c>
      <c r="D1282" s="74">
        <v>741</v>
      </c>
      <c r="E1282" s="73" t="e">
        <v>#VALUE!</v>
      </c>
      <c r="F1282" s="73">
        <v>0.55000001192092896</v>
      </c>
      <c r="G1282" s="73">
        <v>5.9999998658895493E-2</v>
      </c>
      <c r="H1282" s="73">
        <v>0.23000000417232513</v>
      </c>
      <c r="I1282" s="190">
        <v>3785.7640000000001</v>
      </c>
      <c r="J1282" s="134" t="str">
        <f t="shared" si="151"/>
        <v>ignore</v>
      </c>
      <c r="K1282" s="134" t="e">
        <f t="shared" si="152"/>
        <v>#VALUE!</v>
      </c>
      <c r="L1282" s="134" t="str">
        <f t="shared" si="153"/>
        <v>R11</v>
      </c>
      <c r="M1282" s="146" t="str">
        <f t="shared" si="149"/>
        <v>R0</v>
      </c>
      <c r="N1282" s="146" t="str">
        <f t="shared" si="150"/>
        <v>Better</v>
      </c>
      <c r="O1282" s="146" t="e">
        <f t="shared" si="154"/>
        <v>#VALUE!</v>
      </c>
      <c r="P1282" s="134" t="str">
        <f t="shared" si="155"/>
        <v>Crawlspace</v>
      </c>
      <c r="Q1282" s="134"/>
      <c r="R1282" s="134"/>
      <c r="S1282" s="134"/>
      <c r="T1282" s="134"/>
      <c r="U1282" s="134"/>
      <c r="V1282" s="134"/>
      <c r="W1282" s="134"/>
      <c r="X1282" s="134"/>
      <c r="Y1282" s="134"/>
      <c r="Z1282" s="134"/>
      <c r="AA1282" s="134"/>
      <c r="AB1282" s="134"/>
      <c r="AC1282" s="134"/>
      <c r="AD1282" s="134"/>
      <c r="AE1282" s="134"/>
      <c r="AF1282" s="146"/>
      <c r="AG1282" s="134"/>
      <c r="AH1282" s="134"/>
      <c r="AI1282" s="134"/>
      <c r="AJ1282" s="134"/>
      <c r="AK1282" s="134"/>
      <c r="AL1282" s="134"/>
      <c r="AM1282" s="146"/>
      <c r="AN1282" s="132"/>
      <c r="AO1282" s="132"/>
      <c r="AP1282" s="132"/>
      <c r="AQ1282" s="132"/>
      <c r="AR1282" s="134"/>
      <c r="AS1282" s="134"/>
      <c r="AT1282" s="132"/>
      <c r="AU1282" s="133"/>
      <c r="AV1282" s="134"/>
    </row>
    <row r="1283" spans="1:48">
      <c r="A1283" s="74">
        <v>24850</v>
      </c>
      <c r="B1283" s="74" t="s">
        <v>228</v>
      </c>
      <c r="C1283" s="74">
        <v>1</v>
      </c>
      <c r="D1283" s="74">
        <v>1760</v>
      </c>
      <c r="E1283" s="73">
        <v>0.14499999582767487</v>
      </c>
      <c r="F1283" s="73">
        <v>0.44999998807907104</v>
      </c>
      <c r="G1283" s="73">
        <v>0.11999999731779099</v>
      </c>
      <c r="H1283" s="73">
        <v>4.5000001788139343E-2</v>
      </c>
      <c r="I1283" s="190">
        <v>1192.4649999999999</v>
      </c>
      <c r="J1283" s="134" t="str">
        <f t="shared" si="151"/>
        <v>keep</v>
      </c>
      <c r="K1283" s="134" t="str">
        <f t="shared" si="152"/>
        <v>R11</v>
      </c>
      <c r="L1283" s="134" t="str">
        <f t="shared" si="153"/>
        <v>R11</v>
      </c>
      <c r="M1283" s="146" t="str">
        <f t="shared" si="149"/>
        <v>Better</v>
      </c>
      <c r="N1283" s="146" t="str">
        <f t="shared" si="150"/>
        <v>Better</v>
      </c>
      <c r="O1283" s="146" t="str">
        <f t="shared" si="154"/>
        <v>Electric ZonalR11R11BetterBetter</v>
      </c>
      <c r="P1283" s="134" t="str">
        <f t="shared" si="155"/>
        <v>Crawlspace</v>
      </c>
      <c r="Q1283" s="134"/>
      <c r="R1283" s="134"/>
      <c r="S1283" s="134"/>
      <c r="T1283" s="134"/>
      <c r="U1283" s="134"/>
      <c r="V1283" s="134"/>
      <c r="W1283" s="134"/>
      <c r="X1283" s="134"/>
      <c r="Y1283" s="134"/>
      <c r="Z1283" s="134"/>
      <c r="AA1283" s="134"/>
      <c r="AB1283" s="134"/>
      <c r="AC1283" s="134"/>
      <c r="AD1283" s="134"/>
      <c r="AE1283" s="134"/>
      <c r="AF1283" s="146"/>
      <c r="AG1283" s="134"/>
      <c r="AH1283" s="134"/>
      <c r="AI1283" s="134"/>
      <c r="AJ1283" s="134"/>
      <c r="AK1283" s="134"/>
      <c r="AL1283" s="134"/>
      <c r="AM1283" s="146"/>
      <c r="AN1283" s="132"/>
      <c r="AO1283" s="132"/>
      <c r="AP1283" s="132"/>
      <c r="AQ1283" s="132"/>
      <c r="AR1283" s="134"/>
      <c r="AS1283" s="134"/>
      <c r="AT1283" s="132"/>
      <c r="AU1283" s="133"/>
      <c r="AV1283" s="134"/>
    </row>
    <row r="1284" spans="1:48">
      <c r="S1284" s="134"/>
      <c r="T1284" s="134"/>
      <c r="U1284" s="134"/>
      <c r="V1284" s="134"/>
      <c r="W1284" s="134"/>
      <c r="X1284" s="134"/>
      <c r="Y1284" s="134"/>
      <c r="Z1284" s="134"/>
      <c r="AA1284" s="134"/>
      <c r="AB1284" s="134"/>
      <c r="AC1284" s="134"/>
      <c r="AD1284" s="134"/>
      <c r="AE1284" s="134"/>
      <c r="AF1284" s="146"/>
      <c r="AG1284" s="134"/>
      <c r="AH1284" s="134"/>
      <c r="AI1284" s="134"/>
      <c r="AJ1284" s="134"/>
      <c r="AK1284" s="134"/>
      <c r="AL1284" s="134"/>
      <c r="AM1284" s="146"/>
      <c r="AN1284" s="132"/>
      <c r="AO1284" s="132"/>
      <c r="AP1284" s="132"/>
      <c r="AQ1284" s="132"/>
      <c r="AR1284" s="134"/>
      <c r="AS1284" s="134"/>
      <c r="AT1284" s="132"/>
      <c r="AU1284" s="133"/>
      <c r="AV1284" s="134"/>
    </row>
    <row r="1285" spans="1:48">
      <c r="S1285" s="134"/>
      <c r="T1285" s="134"/>
      <c r="U1285" s="134"/>
      <c r="V1285" s="134"/>
      <c r="W1285" s="134"/>
      <c r="X1285" s="134"/>
      <c r="Y1285" s="134"/>
      <c r="Z1285" s="134"/>
      <c r="AA1285" s="134"/>
      <c r="AB1285" s="134"/>
      <c r="AC1285" s="134"/>
      <c r="AD1285" s="134"/>
      <c r="AE1285" s="134"/>
      <c r="AF1285" s="146"/>
      <c r="AG1285" s="134"/>
      <c r="AH1285" s="134"/>
      <c r="AI1285" s="134"/>
      <c r="AJ1285" s="134"/>
      <c r="AK1285" s="134"/>
      <c r="AL1285" s="134"/>
      <c r="AM1285" s="146"/>
      <c r="AN1285" s="132"/>
      <c r="AO1285" s="132"/>
      <c r="AP1285" s="132"/>
      <c r="AQ1285" s="132"/>
      <c r="AR1285" s="134"/>
      <c r="AS1285" s="134"/>
      <c r="AT1285" s="132"/>
      <c r="AU1285" s="133"/>
      <c r="AV1285" s="134"/>
    </row>
    <row r="1286" spans="1:48">
      <c r="S1286" s="134"/>
      <c r="T1286" s="134"/>
      <c r="U1286" s="134"/>
      <c r="V1286" s="134"/>
      <c r="W1286" s="134"/>
      <c r="X1286" s="134"/>
      <c r="Y1286" s="134"/>
      <c r="Z1286" s="134"/>
      <c r="AA1286" s="134"/>
      <c r="AB1286" s="134"/>
      <c r="AC1286" s="134"/>
      <c r="AD1286" s="134"/>
      <c r="AE1286" s="134"/>
      <c r="AF1286" s="146"/>
      <c r="AG1286" s="134"/>
      <c r="AH1286" s="134"/>
      <c r="AI1286" s="134"/>
      <c r="AJ1286" s="134"/>
      <c r="AK1286" s="134"/>
      <c r="AL1286" s="134"/>
      <c r="AM1286" s="146"/>
      <c r="AN1286" s="132"/>
      <c r="AO1286" s="132"/>
      <c r="AP1286" s="132"/>
      <c r="AQ1286" s="132"/>
      <c r="AR1286" s="134"/>
      <c r="AS1286" s="134"/>
      <c r="AT1286" s="132"/>
      <c r="AU1286" s="133"/>
      <c r="AV1286" s="134"/>
    </row>
    <row r="1287" spans="1:48">
      <c r="S1287" s="134"/>
      <c r="T1287" s="134"/>
      <c r="U1287" s="134"/>
      <c r="V1287" s="134"/>
      <c r="W1287" s="134"/>
      <c r="X1287" s="134"/>
      <c r="Y1287" s="134"/>
      <c r="Z1287" s="134"/>
      <c r="AA1287" s="134"/>
      <c r="AB1287" s="134"/>
      <c r="AC1287" s="134"/>
      <c r="AD1287" s="134"/>
      <c r="AE1287" s="134"/>
      <c r="AF1287" s="146"/>
      <c r="AG1287" s="134"/>
      <c r="AH1287" s="134"/>
      <c r="AI1287" s="134"/>
      <c r="AJ1287" s="134"/>
      <c r="AK1287" s="134"/>
      <c r="AL1287" s="134"/>
      <c r="AM1287" s="146"/>
      <c r="AN1287" s="132"/>
      <c r="AO1287" s="132"/>
      <c r="AP1287" s="132"/>
      <c r="AQ1287" s="132"/>
      <c r="AR1287" s="134"/>
      <c r="AS1287" s="134"/>
      <c r="AT1287" s="132"/>
      <c r="AU1287" s="133"/>
      <c r="AV1287" s="134"/>
    </row>
    <row r="1288" spans="1:48">
      <c r="S1288" s="134"/>
      <c r="T1288" s="134"/>
      <c r="U1288" s="134"/>
      <c r="V1288" s="134"/>
      <c r="W1288" s="134"/>
      <c r="X1288" s="134"/>
      <c r="Y1288" s="134"/>
      <c r="Z1288" s="134"/>
      <c r="AA1288" s="134"/>
      <c r="AB1288" s="134"/>
      <c r="AC1288" s="134"/>
      <c r="AD1288" s="134"/>
      <c r="AE1288" s="134"/>
      <c r="AF1288" s="146"/>
      <c r="AG1288" s="134"/>
      <c r="AH1288" s="134"/>
      <c r="AI1288" s="134"/>
      <c r="AJ1288" s="134"/>
      <c r="AK1288" s="134"/>
      <c r="AL1288" s="134"/>
      <c r="AM1288" s="146"/>
      <c r="AN1288" s="132"/>
      <c r="AO1288" s="132"/>
      <c r="AP1288" s="132"/>
      <c r="AQ1288" s="132"/>
      <c r="AR1288" s="134"/>
      <c r="AS1288" s="134"/>
      <c r="AT1288" s="132"/>
      <c r="AU1288" s="133"/>
      <c r="AV1288" s="134"/>
    </row>
    <row r="1289" spans="1:48">
      <c r="S1289" s="134"/>
      <c r="T1289" s="134"/>
      <c r="U1289" s="134"/>
      <c r="V1289" s="134"/>
      <c r="W1289" s="134"/>
      <c r="X1289" s="134"/>
      <c r="Y1289" s="134"/>
      <c r="Z1289" s="134"/>
      <c r="AA1289" s="134"/>
      <c r="AB1289" s="134"/>
      <c r="AC1289" s="134"/>
      <c r="AD1289" s="134"/>
      <c r="AE1289" s="134"/>
      <c r="AF1289" s="146"/>
      <c r="AG1289" s="134"/>
      <c r="AH1289" s="134"/>
      <c r="AI1289" s="134"/>
      <c r="AJ1289" s="134"/>
      <c r="AK1289" s="134"/>
      <c r="AL1289" s="134"/>
      <c r="AM1289" s="146"/>
      <c r="AN1289" s="132"/>
      <c r="AO1289" s="132"/>
      <c r="AP1289" s="132"/>
      <c r="AQ1289" s="132"/>
      <c r="AR1289" s="134"/>
      <c r="AS1289" s="134"/>
      <c r="AT1289" s="132"/>
      <c r="AU1289" s="133"/>
      <c r="AV1289" s="134"/>
    </row>
    <row r="1290" spans="1:48">
      <c r="S1290" s="134"/>
      <c r="T1290" s="134"/>
      <c r="U1290" s="134"/>
      <c r="V1290" s="134"/>
      <c r="W1290" s="134"/>
      <c r="X1290" s="134"/>
      <c r="Y1290" s="134"/>
      <c r="Z1290" s="134"/>
      <c r="AA1290" s="134"/>
      <c r="AB1290" s="134"/>
      <c r="AC1290" s="134"/>
      <c r="AD1290" s="134"/>
      <c r="AE1290" s="134"/>
      <c r="AF1290" s="146"/>
      <c r="AG1290" s="134"/>
      <c r="AH1290" s="134"/>
      <c r="AI1290" s="134"/>
      <c r="AJ1290" s="134"/>
      <c r="AK1290" s="134"/>
      <c r="AL1290" s="134"/>
      <c r="AM1290" s="146"/>
      <c r="AN1290" s="132"/>
      <c r="AO1290" s="132"/>
      <c r="AP1290" s="132"/>
      <c r="AQ1290" s="132"/>
      <c r="AR1290" s="134"/>
      <c r="AS1290" s="134"/>
      <c r="AT1290" s="132"/>
      <c r="AU1290" s="133"/>
      <c r="AV1290" s="134"/>
    </row>
    <row r="1291" spans="1:48">
      <c r="S1291" s="134"/>
      <c r="T1291" s="134"/>
      <c r="U1291" s="134"/>
      <c r="V1291" s="134"/>
      <c r="W1291" s="134"/>
      <c r="X1291" s="134"/>
      <c r="Y1291" s="134"/>
      <c r="Z1291" s="134"/>
      <c r="AA1291" s="134"/>
      <c r="AB1291" s="134"/>
      <c r="AC1291" s="134"/>
      <c r="AD1291" s="134"/>
      <c r="AE1291" s="134"/>
      <c r="AF1291" s="146"/>
      <c r="AG1291" s="134"/>
      <c r="AH1291" s="134"/>
      <c r="AI1291" s="134"/>
      <c r="AJ1291" s="134"/>
      <c r="AK1291" s="134"/>
      <c r="AL1291" s="134"/>
      <c r="AM1291" s="146"/>
      <c r="AN1291" s="132"/>
      <c r="AO1291" s="132"/>
      <c r="AP1291" s="132"/>
      <c r="AQ1291" s="132"/>
      <c r="AR1291" s="134"/>
      <c r="AS1291" s="134"/>
      <c r="AT1291" s="132"/>
      <c r="AU1291" s="133"/>
      <c r="AV1291" s="134"/>
    </row>
    <row r="1292" spans="1:48">
      <c r="S1292" s="134"/>
      <c r="T1292" s="134"/>
      <c r="U1292" s="134"/>
      <c r="V1292" s="134"/>
      <c r="W1292" s="134"/>
      <c r="X1292" s="134"/>
      <c r="Y1292" s="134"/>
      <c r="Z1292" s="134"/>
      <c r="AA1292" s="134"/>
      <c r="AB1292" s="134"/>
      <c r="AC1292" s="134"/>
      <c r="AD1292" s="134"/>
      <c r="AE1292" s="134"/>
      <c r="AF1292" s="146"/>
      <c r="AG1292" s="134"/>
      <c r="AH1292" s="134"/>
      <c r="AI1292" s="134"/>
      <c r="AJ1292" s="134"/>
      <c r="AK1292" s="134"/>
      <c r="AL1292" s="134"/>
      <c r="AM1292" s="146"/>
      <c r="AN1292" s="132"/>
      <c r="AO1292" s="132"/>
      <c r="AP1292" s="132"/>
      <c r="AQ1292" s="132"/>
      <c r="AR1292" s="134"/>
      <c r="AS1292" s="134"/>
      <c r="AT1292" s="132"/>
      <c r="AU1292" s="133"/>
      <c r="AV1292" s="134"/>
    </row>
    <row r="1293" spans="1:48">
      <c r="S1293" s="134"/>
      <c r="T1293" s="134"/>
      <c r="U1293" s="134"/>
      <c r="V1293" s="134"/>
      <c r="W1293" s="134"/>
      <c r="X1293" s="134"/>
      <c r="Y1293" s="134"/>
      <c r="Z1293" s="134"/>
      <c r="AA1293" s="134"/>
      <c r="AB1293" s="134"/>
      <c r="AC1293" s="134"/>
      <c r="AD1293" s="134"/>
      <c r="AE1293" s="134"/>
      <c r="AF1293" s="146"/>
      <c r="AG1293" s="134"/>
      <c r="AH1293" s="134"/>
      <c r="AI1293" s="134"/>
      <c r="AJ1293" s="134"/>
      <c r="AK1293" s="134"/>
      <c r="AL1293" s="134"/>
      <c r="AM1293" s="146"/>
      <c r="AN1293" s="132"/>
      <c r="AO1293" s="132"/>
      <c r="AP1293" s="132"/>
      <c r="AQ1293" s="132"/>
      <c r="AR1293" s="134"/>
      <c r="AS1293" s="134"/>
      <c r="AT1293" s="132"/>
      <c r="AU1293" s="133"/>
      <c r="AV1293" s="134"/>
    </row>
    <row r="1294" spans="1:48">
      <c r="S1294" s="134"/>
      <c r="T1294" s="134"/>
      <c r="U1294" s="134"/>
      <c r="V1294" s="134"/>
      <c r="W1294" s="134"/>
      <c r="X1294" s="134"/>
      <c r="Y1294" s="134"/>
      <c r="Z1294" s="134"/>
      <c r="AA1294" s="134"/>
      <c r="AB1294" s="134"/>
      <c r="AC1294" s="134"/>
      <c r="AD1294" s="134"/>
      <c r="AE1294" s="134"/>
      <c r="AF1294" s="146"/>
      <c r="AG1294" s="134"/>
      <c r="AH1294" s="134"/>
      <c r="AI1294" s="134"/>
      <c r="AJ1294" s="134"/>
      <c r="AK1294" s="134"/>
      <c r="AL1294" s="134"/>
      <c r="AM1294" s="146"/>
      <c r="AN1294" s="132"/>
      <c r="AO1294" s="132"/>
      <c r="AP1294" s="132"/>
      <c r="AQ1294" s="132"/>
      <c r="AR1294" s="134"/>
      <c r="AS1294" s="134"/>
      <c r="AT1294" s="132"/>
      <c r="AU1294" s="133"/>
      <c r="AV1294" s="134"/>
    </row>
    <row r="1295" spans="1:48">
      <c r="S1295" s="134"/>
      <c r="T1295" s="134"/>
      <c r="U1295" s="134"/>
      <c r="V1295" s="134"/>
      <c r="W1295" s="134"/>
      <c r="X1295" s="134"/>
      <c r="Y1295" s="134"/>
      <c r="Z1295" s="134"/>
      <c r="AA1295" s="134"/>
      <c r="AB1295" s="134"/>
      <c r="AC1295" s="134"/>
      <c r="AD1295" s="134"/>
      <c r="AE1295" s="134"/>
      <c r="AF1295" s="146"/>
      <c r="AG1295" s="134"/>
      <c r="AH1295" s="134"/>
      <c r="AI1295" s="134"/>
      <c r="AJ1295" s="134"/>
      <c r="AK1295" s="134"/>
      <c r="AL1295" s="134"/>
      <c r="AM1295" s="146"/>
      <c r="AN1295" s="132"/>
      <c r="AO1295" s="132"/>
      <c r="AP1295" s="132"/>
      <c r="AQ1295" s="132"/>
      <c r="AR1295" s="134"/>
      <c r="AS1295" s="134"/>
      <c r="AT1295" s="132"/>
      <c r="AU1295" s="133"/>
      <c r="AV1295" s="134"/>
    </row>
    <row r="1296" spans="1:48">
      <c r="S1296" s="134"/>
      <c r="T1296" s="134"/>
      <c r="U1296" s="134"/>
      <c r="V1296" s="134"/>
      <c r="W1296" s="134"/>
      <c r="X1296" s="134"/>
      <c r="Y1296" s="134"/>
      <c r="Z1296" s="134"/>
      <c r="AA1296" s="134"/>
      <c r="AB1296" s="134"/>
      <c r="AC1296" s="134"/>
      <c r="AD1296" s="134"/>
      <c r="AE1296" s="134"/>
      <c r="AF1296" s="146"/>
      <c r="AG1296" s="134"/>
      <c r="AH1296" s="134"/>
      <c r="AI1296" s="134"/>
      <c r="AJ1296" s="134"/>
      <c r="AK1296" s="134"/>
      <c r="AL1296" s="134"/>
      <c r="AM1296" s="146"/>
      <c r="AN1296" s="132"/>
      <c r="AO1296" s="132"/>
      <c r="AP1296" s="132"/>
      <c r="AQ1296" s="132"/>
      <c r="AR1296" s="134"/>
      <c r="AS1296" s="134"/>
      <c r="AT1296" s="132"/>
      <c r="AU1296" s="133"/>
      <c r="AV1296" s="134"/>
    </row>
    <row r="1297" spans="19:48">
      <c r="S1297" s="134"/>
      <c r="T1297" s="134"/>
      <c r="U1297" s="134"/>
      <c r="V1297" s="134"/>
      <c r="W1297" s="134"/>
      <c r="X1297" s="134"/>
      <c r="Y1297" s="134"/>
      <c r="Z1297" s="134"/>
      <c r="AA1297" s="134"/>
      <c r="AB1297" s="134"/>
      <c r="AC1297" s="134"/>
      <c r="AD1297" s="134"/>
      <c r="AE1297" s="134"/>
      <c r="AF1297" s="146"/>
      <c r="AG1297" s="134"/>
      <c r="AH1297" s="134"/>
      <c r="AI1297" s="134"/>
      <c r="AJ1297" s="134"/>
      <c r="AK1297" s="134"/>
      <c r="AL1297" s="134"/>
      <c r="AM1297" s="146"/>
      <c r="AN1297" s="132"/>
      <c r="AO1297" s="132"/>
      <c r="AP1297" s="132"/>
      <c r="AQ1297" s="132"/>
      <c r="AR1297" s="134"/>
      <c r="AS1297" s="134"/>
      <c r="AT1297" s="132"/>
      <c r="AU1297" s="133"/>
      <c r="AV1297" s="134"/>
    </row>
    <row r="1298" spans="19:48">
      <c r="S1298" s="134"/>
      <c r="T1298" s="134"/>
      <c r="U1298" s="134"/>
      <c r="V1298" s="134"/>
      <c r="W1298" s="134"/>
      <c r="X1298" s="134"/>
      <c r="Y1298" s="134"/>
      <c r="Z1298" s="134"/>
      <c r="AA1298" s="134"/>
      <c r="AB1298" s="134"/>
      <c r="AC1298" s="134"/>
      <c r="AD1298" s="134"/>
      <c r="AE1298" s="134"/>
      <c r="AF1298" s="146"/>
      <c r="AG1298" s="134"/>
      <c r="AH1298" s="134"/>
      <c r="AI1298" s="134"/>
      <c r="AJ1298" s="134"/>
      <c r="AK1298" s="134"/>
      <c r="AL1298" s="134"/>
      <c r="AM1298" s="146"/>
      <c r="AN1298" s="132"/>
      <c r="AO1298" s="132"/>
      <c r="AP1298" s="132"/>
      <c r="AQ1298" s="132"/>
      <c r="AR1298" s="134"/>
      <c r="AS1298" s="134"/>
      <c r="AT1298" s="132"/>
      <c r="AU1298" s="133"/>
      <c r="AV1298" s="134"/>
    </row>
    <row r="1299" spans="19:48">
      <c r="S1299" s="134"/>
      <c r="T1299" s="134"/>
      <c r="U1299" s="134"/>
      <c r="V1299" s="134"/>
      <c r="W1299" s="134"/>
      <c r="X1299" s="134"/>
      <c r="Y1299" s="134"/>
      <c r="Z1299" s="134"/>
      <c r="AA1299" s="134"/>
      <c r="AB1299" s="134"/>
      <c r="AC1299" s="134"/>
      <c r="AD1299" s="134"/>
      <c r="AE1299" s="134"/>
      <c r="AF1299" s="146"/>
      <c r="AG1299" s="134"/>
      <c r="AH1299" s="134"/>
      <c r="AI1299" s="134"/>
      <c r="AJ1299" s="134"/>
      <c r="AK1299" s="134"/>
      <c r="AL1299" s="134"/>
      <c r="AM1299" s="146"/>
      <c r="AN1299" s="132"/>
      <c r="AO1299" s="132"/>
      <c r="AP1299" s="132"/>
      <c r="AQ1299" s="132"/>
      <c r="AR1299" s="134"/>
      <c r="AS1299" s="134"/>
      <c r="AT1299" s="132"/>
      <c r="AU1299" s="133"/>
      <c r="AV1299" s="134"/>
    </row>
    <row r="1300" spans="19:48">
      <c r="S1300" s="134"/>
      <c r="T1300" s="134"/>
      <c r="U1300" s="134"/>
      <c r="V1300" s="134"/>
      <c r="W1300" s="134"/>
      <c r="X1300" s="134"/>
      <c r="Y1300" s="134"/>
      <c r="Z1300" s="134"/>
      <c r="AA1300" s="134"/>
      <c r="AB1300" s="134"/>
      <c r="AC1300" s="134"/>
      <c r="AD1300" s="134"/>
      <c r="AE1300" s="134"/>
      <c r="AF1300" s="146"/>
      <c r="AG1300" s="134"/>
      <c r="AH1300" s="134"/>
      <c r="AI1300" s="134"/>
      <c r="AJ1300" s="134"/>
      <c r="AK1300" s="134"/>
      <c r="AL1300" s="134"/>
      <c r="AM1300" s="146"/>
      <c r="AN1300" s="132"/>
      <c r="AO1300" s="132"/>
      <c r="AP1300" s="132"/>
      <c r="AQ1300" s="132"/>
      <c r="AR1300" s="134"/>
      <c r="AS1300" s="134"/>
      <c r="AT1300" s="132"/>
      <c r="AU1300" s="133"/>
      <c r="AV1300" s="134"/>
    </row>
    <row r="1301" spans="19:48">
      <c r="S1301" s="134"/>
      <c r="T1301" s="134"/>
      <c r="U1301" s="134"/>
      <c r="V1301" s="134"/>
      <c r="W1301" s="134"/>
      <c r="X1301" s="134"/>
      <c r="Y1301" s="134"/>
      <c r="Z1301" s="134"/>
      <c r="AA1301" s="134"/>
      <c r="AB1301" s="134"/>
      <c r="AC1301" s="134"/>
      <c r="AD1301" s="134"/>
      <c r="AE1301" s="134"/>
      <c r="AF1301" s="146"/>
      <c r="AG1301" s="134"/>
      <c r="AH1301" s="134"/>
      <c r="AI1301" s="134"/>
      <c r="AJ1301" s="134"/>
      <c r="AK1301" s="134"/>
      <c r="AL1301" s="134"/>
      <c r="AM1301" s="146"/>
      <c r="AN1301" s="132"/>
      <c r="AO1301" s="132"/>
      <c r="AP1301" s="132"/>
      <c r="AQ1301" s="132"/>
      <c r="AR1301" s="134"/>
      <c r="AS1301" s="134"/>
      <c r="AT1301" s="132"/>
      <c r="AU1301" s="133"/>
      <c r="AV1301" s="134"/>
    </row>
    <row r="1302" spans="19:48">
      <c r="S1302" s="134"/>
      <c r="T1302" s="134"/>
      <c r="U1302" s="134"/>
      <c r="V1302" s="134"/>
      <c r="W1302" s="134"/>
      <c r="X1302" s="134"/>
      <c r="Y1302" s="134"/>
      <c r="Z1302" s="134"/>
      <c r="AA1302" s="134"/>
      <c r="AB1302" s="134"/>
      <c r="AC1302" s="134"/>
      <c r="AD1302" s="134"/>
      <c r="AE1302" s="134"/>
      <c r="AF1302" s="146"/>
      <c r="AG1302" s="134"/>
      <c r="AH1302" s="134"/>
      <c r="AI1302" s="134"/>
      <c r="AJ1302" s="134"/>
      <c r="AK1302" s="134"/>
      <c r="AL1302" s="134"/>
      <c r="AM1302" s="146"/>
      <c r="AN1302" s="132"/>
      <c r="AO1302" s="132"/>
      <c r="AP1302" s="132"/>
      <c r="AQ1302" s="132"/>
      <c r="AR1302" s="134"/>
      <c r="AS1302" s="134"/>
      <c r="AT1302" s="132"/>
      <c r="AU1302" s="133"/>
      <c r="AV1302" s="134"/>
    </row>
    <row r="1303" spans="19:48">
      <c r="S1303" s="134"/>
      <c r="T1303" s="134"/>
      <c r="U1303" s="134"/>
      <c r="V1303" s="134"/>
      <c r="W1303" s="134"/>
      <c r="X1303" s="134"/>
      <c r="Y1303" s="134"/>
      <c r="Z1303" s="134"/>
      <c r="AA1303" s="134"/>
      <c r="AB1303" s="134"/>
      <c r="AC1303" s="134"/>
      <c r="AD1303" s="134"/>
      <c r="AE1303" s="134"/>
      <c r="AF1303" s="146"/>
      <c r="AG1303" s="134"/>
      <c r="AH1303" s="134"/>
      <c r="AI1303" s="134"/>
      <c r="AJ1303" s="134"/>
      <c r="AK1303" s="134"/>
      <c r="AL1303" s="134"/>
      <c r="AM1303" s="146"/>
      <c r="AN1303" s="132"/>
      <c r="AO1303" s="132"/>
      <c r="AP1303" s="132"/>
      <c r="AQ1303" s="132"/>
      <c r="AR1303" s="134"/>
      <c r="AS1303" s="134"/>
      <c r="AT1303" s="132"/>
      <c r="AU1303" s="133"/>
      <c r="AV1303" s="134"/>
    </row>
    <row r="1304" spans="19:48">
      <c r="S1304" s="134"/>
      <c r="T1304" s="134"/>
      <c r="U1304" s="134"/>
      <c r="V1304" s="134"/>
      <c r="W1304" s="134"/>
      <c r="X1304" s="134"/>
      <c r="Y1304" s="134"/>
      <c r="Z1304" s="134"/>
      <c r="AA1304" s="134"/>
      <c r="AB1304" s="134"/>
      <c r="AC1304" s="134"/>
      <c r="AD1304" s="134"/>
      <c r="AE1304" s="134"/>
      <c r="AF1304" s="146"/>
      <c r="AG1304" s="134"/>
      <c r="AH1304" s="134"/>
      <c r="AI1304" s="134"/>
      <c r="AJ1304" s="134"/>
      <c r="AK1304" s="134"/>
      <c r="AL1304" s="134"/>
      <c r="AM1304" s="146"/>
      <c r="AN1304" s="132"/>
      <c r="AO1304" s="132"/>
      <c r="AP1304" s="132"/>
      <c r="AQ1304" s="132"/>
      <c r="AR1304" s="134"/>
      <c r="AS1304" s="134"/>
      <c r="AT1304" s="132"/>
      <c r="AU1304" s="133"/>
      <c r="AV1304" s="134"/>
    </row>
    <row r="1305" spans="19:48">
      <c r="S1305" s="134"/>
      <c r="T1305" s="134"/>
      <c r="U1305" s="134"/>
      <c r="V1305" s="134"/>
      <c r="W1305" s="134"/>
      <c r="X1305" s="134"/>
      <c r="Y1305" s="134"/>
      <c r="Z1305" s="134"/>
      <c r="AA1305" s="134"/>
      <c r="AB1305" s="134"/>
      <c r="AC1305" s="134"/>
      <c r="AD1305" s="134"/>
      <c r="AE1305" s="134"/>
      <c r="AF1305" s="146"/>
      <c r="AG1305" s="134"/>
      <c r="AH1305" s="134"/>
      <c r="AI1305" s="134"/>
      <c r="AJ1305" s="134"/>
      <c r="AK1305" s="134"/>
      <c r="AL1305" s="134"/>
      <c r="AM1305" s="146"/>
      <c r="AN1305" s="132"/>
      <c r="AO1305" s="132"/>
      <c r="AP1305" s="132"/>
      <c r="AQ1305" s="132"/>
      <c r="AR1305" s="134"/>
      <c r="AS1305" s="134"/>
      <c r="AT1305" s="132"/>
      <c r="AU1305" s="133"/>
      <c r="AV1305" s="134"/>
    </row>
    <row r="1306" spans="19:48">
      <c r="S1306" s="134"/>
      <c r="T1306" s="134"/>
      <c r="U1306" s="134"/>
      <c r="V1306" s="134"/>
      <c r="W1306" s="134"/>
      <c r="X1306" s="134"/>
      <c r="Y1306" s="134"/>
      <c r="Z1306" s="134"/>
      <c r="AA1306" s="134"/>
      <c r="AB1306" s="134"/>
      <c r="AC1306" s="134"/>
      <c r="AD1306" s="134"/>
      <c r="AE1306" s="134"/>
      <c r="AF1306" s="146"/>
      <c r="AG1306" s="134"/>
      <c r="AH1306" s="134"/>
      <c r="AI1306" s="134"/>
      <c r="AJ1306" s="134"/>
      <c r="AK1306" s="134"/>
      <c r="AL1306" s="134"/>
      <c r="AM1306" s="146"/>
      <c r="AN1306" s="132"/>
      <c r="AO1306" s="132"/>
      <c r="AP1306" s="132"/>
      <c r="AQ1306" s="132"/>
      <c r="AR1306" s="134"/>
      <c r="AS1306" s="134"/>
      <c r="AT1306" s="132"/>
      <c r="AU1306" s="133"/>
      <c r="AV1306" s="134"/>
    </row>
    <row r="1307" spans="19:48">
      <c r="S1307" s="134"/>
      <c r="T1307" s="134"/>
      <c r="U1307" s="134"/>
      <c r="V1307" s="134"/>
      <c r="W1307" s="134"/>
      <c r="X1307" s="134"/>
      <c r="Y1307" s="134"/>
      <c r="Z1307" s="134"/>
      <c r="AA1307" s="134"/>
      <c r="AB1307" s="134"/>
      <c r="AC1307" s="134"/>
      <c r="AD1307" s="134"/>
      <c r="AE1307" s="134"/>
      <c r="AF1307" s="146"/>
      <c r="AG1307" s="134"/>
      <c r="AH1307" s="134"/>
      <c r="AI1307" s="134"/>
      <c r="AJ1307" s="134"/>
      <c r="AK1307" s="134"/>
      <c r="AL1307" s="134"/>
      <c r="AM1307" s="146"/>
      <c r="AN1307" s="132"/>
      <c r="AO1307" s="132"/>
      <c r="AP1307" s="132"/>
      <c r="AQ1307" s="132"/>
      <c r="AR1307" s="134"/>
      <c r="AS1307" s="134"/>
      <c r="AT1307" s="132"/>
      <c r="AU1307" s="133"/>
      <c r="AV1307" s="134"/>
    </row>
    <row r="1308" spans="19:48">
      <c r="S1308" s="134"/>
      <c r="T1308" s="134"/>
      <c r="U1308" s="134"/>
      <c r="V1308" s="134"/>
      <c r="W1308" s="134"/>
      <c r="X1308" s="134"/>
      <c r="Y1308" s="134"/>
      <c r="Z1308" s="134"/>
      <c r="AA1308" s="134"/>
      <c r="AB1308" s="134"/>
      <c r="AC1308" s="134"/>
      <c r="AD1308" s="134"/>
      <c r="AE1308" s="134"/>
      <c r="AF1308" s="146"/>
      <c r="AG1308" s="134"/>
      <c r="AH1308" s="134"/>
      <c r="AI1308" s="134"/>
      <c r="AJ1308" s="134"/>
      <c r="AK1308" s="134"/>
      <c r="AL1308" s="134"/>
      <c r="AM1308" s="146"/>
      <c r="AN1308" s="132"/>
      <c r="AO1308" s="132"/>
      <c r="AP1308" s="132"/>
      <c r="AQ1308" s="132"/>
      <c r="AR1308" s="134"/>
      <c r="AS1308" s="134"/>
      <c r="AT1308" s="132"/>
      <c r="AU1308" s="133"/>
      <c r="AV1308" s="134"/>
    </row>
    <row r="1309" spans="19:48">
      <c r="S1309" s="134"/>
      <c r="T1309" s="134"/>
      <c r="U1309" s="134"/>
      <c r="V1309" s="134"/>
      <c r="W1309" s="134"/>
      <c r="X1309" s="134"/>
      <c r="Y1309" s="134"/>
      <c r="Z1309" s="134"/>
      <c r="AA1309" s="134"/>
      <c r="AB1309" s="134"/>
      <c r="AC1309" s="134"/>
      <c r="AD1309" s="134"/>
      <c r="AE1309" s="134"/>
      <c r="AF1309" s="146"/>
      <c r="AG1309" s="134"/>
      <c r="AH1309" s="134"/>
      <c r="AI1309" s="134"/>
      <c r="AJ1309" s="134"/>
      <c r="AK1309" s="134"/>
      <c r="AL1309" s="134"/>
      <c r="AM1309" s="146"/>
      <c r="AN1309" s="132"/>
      <c r="AO1309" s="132"/>
      <c r="AP1309" s="132"/>
      <c r="AQ1309" s="132"/>
      <c r="AR1309" s="134"/>
      <c r="AS1309" s="134"/>
      <c r="AT1309" s="132"/>
      <c r="AU1309" s="133"/>
      <c r="AV1309" s="134"/>
    </row>
    <row r="1310" spans="19:48">
      <c r="S1310" s="134"/>
      <c r="T1310" s="134"/>
      <c r="U1310" s="134"/>
      <c r="V1310" s="134"/>
      <c r="W1310" s="134"/>
      <c r="X1310" s="134"/>
      <c r="Y1310" s="134"/>
      <c r="Z1310" s="134"/>
      <c r="AA1310" s="134"/>
      <c r="AB1310" s="134"/>
      <c r="AC1310" s="134"/>
      <c r="AD1310" s="134"/>
      <c r="AE1310" s="134"/>
      <c r="AF1310" s="146"/>
      <c r="AG1310" s="134"/>
      <c r="AH1310" s="134"/>
      <c r="AI1310" s="134"/>
      <c r="AJ1310" s="134"/>
      <c r="AK1310" s="134"/>
      <c r="AL1310" s="134"/>
      <c r="AM1310" s="146"/>
      <c r="AN1310" s="132"/>
      <c r="AO1310" s="132"/>
      <c r="AP1310" s="132"/>
      <c r="AQ1310" s="132"/>
      <c r="AR1310" s="134"/>
      <c r="AS1310" s="134"/>
      <c r="AT1310" s="132"/>
      <c r="AU1310" s="133"/>
      <c r="AV1310" s="134"/>
    </row>
    <row r="1311" spans="19:48">
      <c r="S1311" s="134"/>
      <c r="T1311" s="134"/>
      <c r="U1311" s="134"/>
      <c r="V1311" s="134"/>
      <c r="W1311" s="134"/>
      <c r="X1311" s="134"/>
      <c r="Y1311" s="134"/>
      <c r="Z1311" s="134"/>
      <c r="AA1311" s="134"/>
      <c r="AB1311" s="134"/>
      <c r="AC1311" s="134"/>
      <c r="AD1311" s="134"/>
      <c r="AE1311" s="134"/>
      <c r="AF1311" s="146"/>
      <c r="AG1311" s="134"/>
      <c r="AH1311" s="134"/>
      <c r="AI1311" s="134"/>
      <c r="AJ1311" s="134"/>
      <c r="AK1311" s="134"/>
      <c r="AL1311" s="134"/>
      <c r="AM1311" s="146"/>
      <c r="AN1311" s="132"/>
      <c r="AO1311" s="132"/>
      <c r="AP1311" s="132"/>
      <c r="AQ1311" s="132"/>
      <c r="AR1311" s="134"/>
      <c r="AS1311" s="134"/>
      <c r="AT1311" s="132"/>
      <c r="AU1311" s="133"/>
      <c r="AV1311" s="134"/>
    </row>
    <row r="1312" spans="19:48">
      <c r="S1312" s="134"/>
      <c r="T1312" s="134"/>
      <c r="U1312" s="134"/>
      <c r="V1312" s="134"/>
      <c r="W1312" s="134"/>
      <c r="X1312" s="134"/>
      <c r="Y1312" s="134"/>
      <c r="Z1312" s="134"/>
      <c r="AA1312" s="134"/>
      <c r="AB1312" s="134"/>
      <c r="AC1312" s="134"/>
      <c r="AD1312" s="134"/>
      <c r="AE1312" s="134"/>
      <c r="AF1312" s="146"/>
      <c r="AG1312" s="134"/>
      <c r="AH1312" s="134"/>
      <c r="AI1312" s="134"/>
      <c r="AJ1312" s="134"/>
      <c r="AK1312" s="134"/>
      <c r="AL1312" s="134"/>
      <c r="AM1312" s="146"/>
      <c r="AN1312" s="132"/>
      <c r="AO1312" s="132"/>
      <c r="AP1312" s="132"/>
      <c r="AQ1312" s="132"/>
      <c r="AR1312" s="134"/>
      <c r="AS1312" s="134"/>
      <c r="AT1312" s="132"/>
      <c r="AU1312" s="133"/>
      <c r="AV1312" s="134"/>
    </row>
    <row r="1313" spans="19:48">
      <c r="S1313" s="134"/>
      <c r="T1313" s="134"/>
      <c r="U1313" s="134"/>
      <c r="V1313" s="134"/>
      <c r="W1313" s="134"/>
      <c r="X1313" s="134"/>
      <c r="Y1313" s="134"/>
      <c r="Z1313" s="134"/>
      <c r="AA1313" s="134"/>
      <c r="AB1313" s="134"/>
      <c r="AC1313" s="134"/>
      <c r="AD1313" s="134"/>
      <c r="AE1313" s="134"/>
      <c r="AF1313" s="146"/>
      <c r="AG1313" s="134"/>
      <c r="AH1313" s="134"/>
      <c r="AI1313" s="134"/>
      <c r="AJ1313" s="134"/>
      <c r="AK1313" s="134"/>
      <c r="AL1313" s="134"/>
      <c r="AM1313" s="146"/>
      <c r="AN1313" s="132"/>
      <c r="AO1313" s="132"/>
      <c r="AP1313" s="132"/>
      <c r="AQ1313" s="132"/>
      <c r="AR1313" s="134"/>
      <c r="AS1313" s="134"/>
      <c r="AT1313" s="132"/>
      <c r="AU1313" s="133"/>
      <c r="AV1313" s="134"/>
    </row>
    <row r="1314" spans="19:48">
      <c r="S1314" s="134"/>
      <c r="T1314" s="134"/>
      <c r="U1314" s="134"/>
      <c r="V1314" s="134"/>
      <c r="W1314" s="134"/>
      <c r="X1314" s="134"/>
      <c r="Y1314" s="134"/>
      <c r="Z1314" s="134"/>
      <c r="AA1314" s="134"/>
      <c r="AB1314" s="134"/>
      <c r="AC1314" s="134"/>
      <c r="AD1314" s="134"/>
      <c r="AE1314" s="134"/>
      <c r="AF1314" s="146"/>
      <c r="AG1314" s="134"/>
      <c r="AH1314" s="134"/>
      <c r="AI1314" s="134"/>
      <c r="AJ1314" s="134"/>
      <c r="AK1314" s="134"/>
      <c r="AL1314" s="134"/>
      <c r="AM1314" s="146"/>
      <c r="AN1314" s="132"/>
      <c r="AO1314" s="132"/>
      <c r="AP1314" s="132"/>
      <c r="AQ1314" s="132"/>
      <c r="AR1314" s="134"/>
      <c r="AS1314" s="134"/>
      <c r="AT1314" s="132"/>
      <c r="AU1314" s="133"/>
      <c r="AV1314" s="134"/>
    </row>
    <row r="1315" spans="19:48">
      <c r="S1315" s="134"/>
      <c r="T1315" s="134"/>
      <c r="U1315" s="134"/>
      <c r="V1315" s="134"/>
      <c r="W1315" s="134"/>
      <c r="X1315" s="134"/>
      <c r="Y1315" s="134"/>
      <c r="Z1315" s="134"/>
      <c r="AA1315" s="134"/>
      <c r="AB1315" s="134"/>
      <c r="AC1315" s="134"/>
      <c r="AD1315" s="134"/>
      <c r="AE1315" s="134"/>
      <c r="AF1315" s="146"/>
      <c r="AG1315" s="134"/>
      <c r="AH1315" s="134"/>
      <c r="AI1315" s="134"/>
      <c r="AJ1315" s="134"/>
      <c r="AK1315" s="134"/>
      <c r="AL1315" s="134"/>
      <c r="AM1315" s="146"/>
      <c r="AN1315" s="132"/>
      <c r="AO1315" s="132"/>
      <c r="AP1315" s="132"/>
      <c r="AQ1315" s="132"/>
      <c r="AR1315" s="134"/>
      <c r="AS1315" s="134"/>
      <c r="AT1315" s="132"/>
      <c r="AU1315" s="133"/>
      <c r="AV1315" s="134"/>
    </row>
    <row r="1316" spans="19:48">
      <c r="S1316" s="134"/>
      <c r="T1316" s="134"/>
      <c r="U1316" s="134"/>
      <c r="V1316" s="134"/>
      <c r="W1316" s="134"/>
      <c r="X1316" s="134"/>
      <c r="Y1316" s="134"/>
      <c r="Z1316" s="134"/>
      <c r="AA1316" s="134"/>
      <c r="AB1316" s="134"/>
      <c r="AC1316" s="134"/>
      <c r="AD1316" s="134"/>
      <c r="AE1316" s="134"/>
      <c r="AF1316" s="146"/>
      <c r="AG1316" s="134"/>
      <c r="AH1316" s="134"/>
      <c r="AI1316" s="134"/>
      <c r="AJ1316" s="134"/>
      <c r="AK1316" s="134"/>
      <c r="AL1316" s="134"/>
      <c r="AM1316" s="146"/>
      <c r="AN1316" s="132"/>
      <c r="AO1316" s="132"/>
      <c r="AP1316" s="132"/>
      <c r="AQ1316" s="132"/>
      <c r="AR1316" s="134"/>
      <c r="AS1316" s="134"/>
      <c r="AT1316" s="132"/>
      <c r="AU1316" s="133"/>
      <c r="AV1316" s="134"/>
    </row>
    <row r="1317" spans="19:48">
      <c r="S1317" s="134"/>
      <c r="T1317" s="134"/>
      <c r="U1317" s="134"/>
      <c r="V1317" s="134"/>
      <c r="W1317" s="134"/>
      <c r="X1317" s="134"/>
      <c r="Y1317" s="134"/>
      <c r="Z1317" s="134"/>
      <c r="AA1317" s="134"/>
      <c r="AB1317" s="134"/>
      <c r="AC1317" s="134"/>
      <c r="AD1317" s="134"/>
      <c r="AE1317" s="134"/>
      <c r="AF1317" s="146"/>
      <c r="AG1317" s="134"/>
      <c r="AH1317" s="134"/>
      <c r="AI1317" s="134"/>
      <c r="AJ1317" s="134"/>
      <c r="AK1317" s="134"/>
      <c r="AL1317" s="134"/>
      <c r="AM1317" s="146"/>
      <c r="AN1317" s="132"/>
      <c r="AO1317" s="132"/>
      <c r="AP1317" s="132"/>
      <c r="AQ1317" s="132"/>
      <c r="AR1317" s="134"/>
      <c r="AS1317" s="134"/>
      <c r="AT1317" s="132"/>
      <c r="AU1317" s="133"/>
      <c r="AV1317" s="134"/>
    </row>
    <row r="1318" spans="19:48">
      <c r="S1318" s="134"/>
      <c r="T1318" s="134"/>
      <c r="U1318" s="134"/>
      <c r="V1318" s="134"/>
      <c r="W1318" s="134"/>
      <c r="X1318" s="134"/>
      <c r="Y1318" s="134"/>
      <c r="Z1318" s="134"/>
      <c r="AA1318" s="134"/>
      <c r="AB1318" s="134"/>
      <c r="AC1318" s="134"/>
      <c r="AD1318" s="134"/>
      <c r="AE1318" s="134"/>
      <c r="AF1318" s="146"/>
      <c r="AG1318" s="134"/>
      <c r="AH1318" s="134"/>
      <c r="AI1318" s="134"/>
      <c r="AJ1318" s="134"/>
      <c r="AK1318" s="134"/>
      <c r="AL1318" s="134"/>
      <c r="AM1318" s="146"/>
      <c r="AN1318" s="132"/>
      <c r="AO1318" s="132"/>
      <c r="AP1318" s="132"/>
      <c r="AQ1318" s="132"/>
      <c r="AR1318" s="134"/>
      <c r="AS1318" s="134"/>
      <c r="AT1318" s="132"/>
      <c r="AU1318" s="133"/>
      <c r="AV1318" s="134"/>
    </row>
    <row r="1319" spans="19:48">
      <c r="S1319" s="134"/>
      <c r="T1319" s="134"/>
      <c r="U1319" s="134"/>
      <c r="V1319" s="134"/>
      <c r="W1319" s="134"/>
      <c r="X1319" s="134"/>
      <c r="Y1319" s="134"/>
      <c r="Z1319" s="134"/>
      <c r="AA1319" s="134"/>
      <c r="AB1319" s="134"/>
      <c r="AC1319" s="134"/>
      <c r="AD1319" s="134"/>
      <c r="AE1319" s="134"/>
      <c r="AF1319" s="146"/>
      <c r="AG1319" s="134"/>
      <c r="AH1319" s="134"/>
      <c r="AI1319" s="134"/>
      <c r="AJ1319" s="134"/>
      <c r="AK1319" s="134"/>
      <c r="AL1319" s="134"/>
      <c r="AM1319" s="146"/>
      <c r="AN1319" s="132"/>
      <c r="AO1319" s="132"/>
      <c r="AP1319" s="132"/>
      <c r="AQ1319" s="132"/>
      <c r="AR1319" s="134"/>
      <c r="AS1319" s="134"/>
      <c r="AT1319" s="132"/>
      <c r="AU1319" s="133"/>
      <c r="AV1319" s="134"/>
    </row>
    <row r="1320" spans="19:48">
      <c r="S1320" s="134"/>
      <c r="T1320" s="134"/>
      <c r="U1320" s="134"/>
      <c r="V1320" s="134"/>
      <c r="W1320" s="134"/>
      <c r="X1320" s="134"/>
      <c r="Y1320" s="134"/>
      <c r="Z1320" s="134"/>
      <c r="AA1320" s="134"/>
      <c r="AB1320" s="134"/>
      <c r="AC1320" s="134"/>
      <c r="AD1320" s="134"/>
      <c r="AE1320" s="134"/>
      <c r="AF1320" s="146"/>
      <c r="AG1320" s="134"/>
      <c r="AH1320" s="134"/>
      <c r="AI1320" s="134"/>
      <c r="AJ1320" s="134"/>
      <c r="AK1320" s="134"/>
      <c r="AL1320" s="134"/>
      <c r="AM1320" s="146"/>
      <c r="AN1320" s="132"/>
      <c r="AO1320" s="132"/>
      <c r="AP1320" s="132"/>
      <c r="AQ1320" s="132"/>
      <c r="AR1320" s="134"/>
      <c r="AS1320" s="134"/>
      <c r="AT1320" s="132"/>
      <c r="AU1320" s="133"/>
      <c r="AV1320" s="134"/>
    </row>
    <row r="1321" spans="19:48">
      <c r="S1321" s="134"/>
      <c r="T1321" s="134"/>
      <c r="U1321" s="134"/>
      <c r="V1321" s="134"/>
      <c r="W1321" s="134"/>
      <c r="X1321" s="134"/>
      <c r="Y1321" s="134"/>
      <c r="Z1321" s="134"/>
      <c r="AA1321" s="134"/>
      <c r="AB1321" s="134"/>
      <c r="AC1321" s="134"/>
      <c r="AD1321" s="134"/>
      <c r="AE1321" s="134"/>
      <c r="AF1321" s="146"/>
      <c r="AG1321" s="134"/>
      <c r="AH1321" s="134"/>
      <c r="AI1321" s="134"/>
      <c r="AJ1321" s="134"/>
      <c r="AK1321" s="134"/>
      <c r="AL1321" s="134"/>
      <c r="AM1321" s="146"/>
      <c r="AN1321" s="132"/>
      <c r="AO1321" s="132"/>
      <c r="AP1321" s="132"/>
      <c r="AQ1321" s="132"/>
      <c r="AR1321" s="134"/>
      <c r="AS1321" s="134"/>
      <c r="AT1321" s="132"/>
      <c r="AU1321" s="133"/>
      <c r="AV1321" s="134"/>
    </row>
    <row r="1322" spans="19:48">
      <c r="S1322" s="134"/>
      <c r="T1322" s="134"/>
      <c r="U1322" s="134"/>
      <c r="V1322" s="134"/>
      <c r="W1322" s="134"/>
      <c r="X1322" s="134"/>
      <c r="Y1322" s="134"/>
      <c r="Z1322" s="134"/>
      <c r="AA1322" s="134"/>
      <c r="AB1322" s="134"/>
      <c r="AC1322" s="134"/>
      <c r="AD1322" s="134"/>
      <c r="AE1322" s="134"/>
      <c r="AF1322" s="146"/>
      <c r="AG1322" s="134"/>
      <c r="AH1322" s="134"/>
      <c r="AI1322" s="134"/>
      <c r="AJ1322" s="134"/>
      <c r="AK1322" s="134"/>
      <c r="AL1322" s="134"/>
      <c r="AM1322" s="146"/>
      <c r="AN1322" s="132"/>
      <c r="AO1322" s="132"/>
      <c r="AP1322" s="132"/>
      <c r="AQ1322" s="132"/>
      <c r="AR1322" s="134"/>
      <c r="AS1322" s="134"/>
      <c r="AT1322" s="132"/>
      <c r="AU1322" s="133"/>
      <c r="AV1322" s="134"/>
    </row>
    <row r="1323" spans="19:48">
      <c r="S1323" s="134"/>
      <c r="T1323" s="134"/>
      <c r="U1323" s="134"/>
      <c r="V1323" s="134"/>
      <c r="W1323" s="134"/>
      <c r="X1323" s="134"/>
      <c r="Y1323" s="134"/>
      <c r="Z1323" s="134"/>
      <c r="AA1323" s="134"/>
      <c r="AB1323" s="134"/>
      <c r="AC1323" s="134"/>
      <c r="AD1323" s="134"/>
      <c r="AE1323" s="134"/>
      <c r="AF1323" s="146"/>
      <c r="AG1323" s="134"/>
      <c r="AH1323" s="134"/>
      <c r="AI1323" s="134"/>
      <c r="AJ1323" s="134"/>
      <c r="AK1323" s="134"/>
      <c r="AL1323" s="134"/>
      <c r="AM1323" s="146"/>
      <c r="AN1323" s="132"/>
      <c r="AO1323" s="132"/>
      <c r="AP1323" s="132"/>
      <c r="AQ1323" s="132"/>
      <c r="AR1323" s="134"/>
      <c r="AS1323" s="134"/>
      <c r="AT1323" s="132"/>
      <c r="AU1323" s="133"/>
      <c r="AV1323" s="134"/>
    </row>
    <row r="1324" spans="19:48">
      <c r="S1324" s="134"/>
      <c r="T1324" s="134"/>
      <c r="U1324" s="134"/>
      <c r="V1324" s="134"/>
      <c r="W1324" s="134"/>
      <c r="X1324" s="134"/>
      <c r="Y1324" s="134"/>
      <c r="Z1324" s="134"/>
      <c r="AA1324" s="134"/>
      <c r="AB1324" s="134"/>
      <c r="AC1324" s="134"/>
      <c r="AD1324" s="134"/>
      <c r="AE1324" s="134"/>
      <c r="AF1324" s="146"/>
      <c r="AG1324" s="134"/>
      <c r="AH1324" s="134"/>
      <c r="AI1324" s="134"/>
      <c r="AJ1324" s="134"/>
      <c r="AK1324" s="134"/>
      <c r="AL1324" s="134"/>
      <c r="AM1324" s="146"/>
      <c r="AN1324" s="132"/>
      <c r="AO1324" s="132"/>
      <c r="AP1324" s="132"/>
      <c r="AQ1324" s="132"/>
      <c r="AR1324" s="134"/>
      <c r="AS1324" s="134"/>
      <c r="AT1324" s="132"/>
      <c r="AU1324" s="133"/>
      <c r="AV1324" s="134"/>
    </row>
    <row r="1325" spans="19:48">
      <c r="S1325" s="134"/>
      <c r="T1325" s="134"/>
      <c r="U1325" s="134"/>
      <c r="V1325" s="134"/>
      <c r="W1325" s="134"/>
      <c r="X1325" s="134"/>
      <c r="Y1325" s="134"/>
      <c r="Z1325" s="134"/>
      <c r="AA1325" s="134"/>
      <c r="AB1325" s="134"/>
      <c r="AC1325" s="134"/>
      <c r="AD1325" s="134"/>
      <c r="AE1325" s="134"/>
      <c r="AF1325" s="146"/>
      <c r="AG1325" s="134"/>
      <c r="AH1325" s="134"/>
      <c r="AI1325" s="134"/>
      <c r="AJ1325" s="134"/>
      <c r="AK1325" s="134"/>
      <c r="AL1325" s="134"/>
      <c r="AM1325" s="146"/>
      <c r="AN1325" s="132"/>
      <c r="AO1325" s="132"/>
      <c r="AP1325" s="132"/>
      <c r="AQ1325" s="132"/>
      <c r="AR1325" s="134"/>
      <c r="AS1325" s="134"/>
      <c r="AT1325" s="132"/>
      <c r="AU1325" s="133"/>
      <c r="AV1325" s="134"/>
    </row>
    <row r="1326" spans="19:48">
      <c r="S1326" s="134"/>
      <c r="T1326" s="134"/>
      <c r="U1326" s="134"/>
      <c r="V1326" s="134"/>
      <c r="W1326" s="134"/>
      <c r="X1326" s="134"/>
      <c r="Y1326" s="134"/>
      <c r="Z1326" s="134"/>
      <c r="AA1326" s="134"/>
      <c r="AB1326" s="134"/>
      <c r="AC1326" s="134"/>
      <c r="AD1326" s="134"/>
      <c r="AE1326" s="134"/>
      <c r="AF1326" s="146"/>
      <c r="AG1326" s="134"/>
      <c r="AH1326" s="134"/>
      <c r="AI1326" s="134"/>
      <c r="AJ1326" s="134"/>
      <c r="AK1326" s="134"/>
      <c r="AL1326" s="134"/>
      <c r="AM1326" s="146"/>
      <c r="AN1326" s="132"/>
      <c r="AO1326" s="132"/>
      <c r="AP1326" s="132"/>
      <c r="AQ1326" s="132"/>
      <c r="AR1326" s="134"/>
      <c r="AS1326" s="134"/>
      <c r="AT1326" s="132"/>
      <c r="AU1326" s="133"/>
      <c r="AV1326" s="134"/>
    </row>
    <row r="1327" spans="19:48">
      <c r="S1327" s="134"/>
      <c r="T1327" s="134"/>
      <c r="U1327" s="134"/>
      <c r="V1327" s="134"/>
      <c r="W1327" s="134"/>
      <c r="X1327" s="134"/>
      <c r="Y1327" s="134"/>
      <c r="Z1327" s="134"/>
      <c r="AA1327" s="134"/>
      <c r="AB1327" s="134"/>
      <c r="AC1327" s="134"/>
      <c r="AD1327" s="134"/>
      <c r="AE1327" s="134"/>
      <c r="AF1327" s="146"/>
      <c r="AG1327" s="134"/>
      <c r="AH1327" s="134"/>
      <c r="AI1327" s="134"/>
      <c r="AJ1327" s="134"/>
      <c r="AK1327" s="134"/>
      <c r="AL1327" s="134"/>
      <c r="AM1327" s="146"/>
      <c r="AN1327" s="132"/>
      <c r="AO1327" s="132"/>
      <c r="AP1327" s="132"/>
      <c r="AQ1327" s="132"/>
      <c r="AR1327" s="134"/>
      <c r="AS1327" s="134"/>
      <c r="AT1327" s="132"/>
      <c r="AU1327" s="133"/>
      <c r="AV1327" s="134"/>
    </row>
    <row r="1328" spans="19:48">
      <c r="S1328" s="134"/>
      <c r="T1328" s="134"/>
      <c r="U1328" s="134"/>
      <c r="V1328" s="134"/>
      <c r="W1328" s="134"/>
      <c r="X1328" s="134"/>
      <c r="Y1328" s="134"/>
      <c r="Z1328" s="134"/>
      <c r="AA1328" s="134"/>
      <c r="AB1328" s="134"/>
      <c r="AC1328" s="134"/>
      <c r="AD1328" s="134"/>
      <c r="AE1328" s="134"/>
      <c r="AF1328" s="146"/>
      <c r="AG1328" s="134"/>
      <c r="AH1328" s="134"/>
      <c r="AI1328" s="134"/>
      <c r="AJ1328" s="134"/>
      <c r="AK1328" s="134"/>
      <c r="AL1328" s="134"/>
      <c r="AM1328" s="146"/>
      <c r="AN1328" s="132"/>
      <c r="AO1328" s="132"/>
      <c r="AP1328" s="132"/>
      <c r="AQ1328" s="132"/>
      <c r="AR1328" s="134"/>
      <c r="AS1328" s="134"/>
      <c r="AT1328" s="132"/>
      <c r="AU1328" s="133"/>
      <c r="AV1328" s="134"/>
    </row>
    <row r="1329" spans="19:48">
      <c r="S1329" s="134"/>
      <c r="T1329" s="134"/>
      <c r="U1329" s="134"/>
      <c r="V1329" s="134"/>
      <c r="W1329" s="134"/>
      <c r="X1329" s="134"/>
      <c r="Y1329" s="134"/>
      <c r="Z1329" s="134"/>
      <c r="AA1329" s="134"/>
      <c r="AB1329" s="134"/>
      <c r="AC1329" s="134"/>
      <c r="AD1329" s="134"/>
      <c r="AE1329" s="134"/>
      <c r="AF1329" s="146"/>
      <c r="AG1329" s="134"/>
      <c r="AH1329" s="134"/>
      <c r="AI1329" s="134"/>
      <c r="AJ1329" s="134"/>
      <c r="AK1329" s="134"/>
      <c r="AL1329" s="134"/>
      <c r="AM1329" s="146"/>
      <c r="AN1329" s="132"/>
      <c r="AO1329" s="132"/>
      <c r="AP1329" s="132"/>
      <c r="AQ1329" s="132"/>
      <c r="AR1329" s="134"/>
      <c r="AS1329" s="134"/>
      <c r="AT1329" s="132"/>
      <c r="AU1329" s="133"/>
      <c r="AV1329" s="134"/>
    </row>
    <row r="1330" spans="19:48">
      <c r="S1330" s="134"/>
      <c r="T1330" s="134"/>
      <c r="U1330" s="134"/>
      <c r="V1330" s="134"/>
      <c r="W1330" s="134"/>
      <c r="X1330" s="134"/>
      <c r="Y1330" s="134"/>
      <c r="Z1330" s="134"/>
      <c r="AA1330" s="134"/>
      <c r="AB1330" s="134"/>
      <c r="AC1330" s="134"/>
      <c r="AD1330" s="134"/>
      <c r="AE1330" s="134"/>
      <c r="AF1330" s="146"/>
      <c r="AG1330" s="134"/>
      <c r="AH1330" s="134"/>
      <c r="AI1330" s="134"/>
      <c r="AJ1330" s="134"/>
      <c r="AK1330" s="134"/>
      <c r="AL1330" s="134"/>
      <c r="AM1330" s="146"/>
      <c r="AN1330" s="132"/>
      <c r="AO1330" s="132"/>
      <c r="AP1330" s="132"/>
      <c r="AQ1330" s="132"/>
      <c r="AR1330" s="134"/>
      <c r="AS1330" s="134"/>
      <c r="AT1330" s="132"/>
      <c r="AU1330" s="133"/>
      <c r="AV1330" s="134"/>
    </row>
    <row r="1331" spans="19:48">
      <c r="S1331" s="134"/>
      <c r="T1331" s="134"/>
      <c r="U1331" s="134"/>
      <c r="V1331" s="134"/>
      <c r="W1331" s="134"/>
      <c r="X1331" s="134"/>
      <c r="Y1331" s="134"/>
      <c r="Z1331" s="134"/>
      <c r="AA1331" s="134"/>
      <c r="AB1331" s="134"/>
      <c r="AC1331" s="134"/>
      <c r="AD1331" s="134"/>
      <c r="AE1331" s="134"/>
      <c r="AF1331" s="146"/>
      <c r="AG1331" s="134"/>
      <c r="AH1331" s="134"/>
      <c r="AI1331" s="134"/>
      <c r="AJ1331" s="134"/>
      <c r="AK1331" s="134"/>
      <c r="AL1331" s="134"/>
      <c r="AM1331" s="146"/>
      <c r="AN1331" s="132"/>
      <c r="AO1331" s="132"/>
      <c r="AP1331" s="132"/>
      <c r="AQ1331" s="132"/>
      <c r="AR1331" s="134"/>
      <c r="AS1331" s="134"/>
      <c r="AT1331" s="132"/>
      <c r="AU1331" s="133"/>
      <c r="AV1331" s="134"/>
    </row>
    <row r="1332" spans="19:48">
      <c r="S1332" s="134"/>
      <c r="T1332" s="134"/>
      <c r="U1332" s="134"/>
      <c r="V1332" s="134"/>
      <c r="W1332" s="134"/>
      <c r="X1332" s="134"/>
      <c r="Y1332" s="134"/>
      <c r="Z1332" s="134"/>
      <c r="AA1332" s="134"/>
      <c r="AB1332" s="134"/>
      <c r="AC1332" s="134"/>
      <c r="AD1332" s="134"/>
      <c r="AE1332" s="134"/>
      <c r="AF1332" s="146"/>
      <c r="AG1332" s="134"/>
      <c r="AH1332" s="134"/>
      <c r="AI1332" s="134"/>
      <c r="AJ1332" s="134"/>
      <c r="AK1332" s="134"/>
      <c r="AL1332" s="134"/>
      <c r="AM1332" s="146"/>
      <c r="AN1332" s="132"/>
      <c r="AO1332" s="132"/>
      <c r="AP1332" s="132"/>
      <c r="AQ1332" s="132"/>
      <c r="AR1332" s="134"/>
      <c r="AS1332" s="134"/>
      <c r="AT1332" s="132"/>
      <c r="AU1332" s="133"/>
      <c r="AV1332" s="134"/>
    </row>
    <row r="1333" spans="19:48">
      <c r="S1333" s="134"/>
      <c r="T1333" s="134"/>
      <c r="U1333" s="134"/>
      <c r="V1333" s="134"/>
      <c r="W1333" s="134"/>
      <c r="X1333" s="134"/>
      <c r="Y1333" s="134"/>
      <c r="Z1333" s="134"/>
      <c r="AA1333" s="134"/>
      <c r="AB1333" s="134"/>
      <c r="AC1333" s="134"/>
      <c r="AD1333" s="134"/>
      <c r="AE1333" s="134"/>
      <c r="AF1333" s="146"/>
      <c r="AG1333" s="134"/>
      <c r="AH1333" s="134"/>
      <c r="AI1333" s="134"/>
      <c r="AJ1333" s="134"/>
      <c r="AK1333" s="134"/>
      <c r="AL1333" s="134"/>
      <c r="AM1333" s="146"/>
      <c r="AN1333" s="132"/>
      <c r="AO1333" s="132"/>
      <c r="AP1333" s="132"/>
      <c r="AQ1333" s="132"/>
      <c r="AR1333" s="134"/>
      <c r="AS1333" s="134"/>
      <c r="AT1333" s="132"/>
      <c r="AU1333" s="133"/>
      <c r="AV1333" s="134"/>
    </row>
    <row r="1334" spans="19:48">
      <c r="S1334" s="134"/>
      <c r="T1334" s="134"/>
      <c r="U1334" s="134"/>
      <c r="V1334" s="134"/>
      <c r="W1334" s="134"/>
      <c r="X1334" s="134"/>
      <c r="Y1334" s="134"/>
      <c r="Z1334" s="134"/>
      <c r="AA1334" s="134"/>
      <c r="AB1334" s="134"/>
      <c r="AC1334" s="134"/>
      <c r="AD1334" s="134"/>
      <c r="AE1334" s="134"/>
      <c r="AF1334" s="146"/>
      <c r="AG1334" s="134"/>
      <c r="AH1334" s="134"/>
      <c r="AI1334" s="134"/>
      <c r="AJ1334" s="134"/>
      <c r="AK1334" s="134"/>
      <c r="AL1334" s="134"/>
      <c r="AM1334" s="146"/>
      <c r="AN1334" s="132"/>
      <c r="AO1334" s="132"/>
      <c r="AP1334" s="132"/>
      <c r="AQ1334" s="132"/>
      <c r="AR1334" s="134"/>
      <c r="AS1334" s="134"/>
      <c r="AT1334" s="132"/>
      <c r="AU1334" s="133"/>
      <c r="AV1334" s="134"/>
    </row>
    <row r="1335" spans="19:48">
      <c r="S1335" s="134"/>
      <c r="T1335" s="134"/>
      <c r="U1335" s="134"/>
      <c r="V1335" s="134"/>
      <c r="W1335" s="134"/>
      <c r="X1335" s="134"/>
      <c r="Y1335" s="134"/>
      <c r="Z1335" s="134"/>
      <c r="AA1335" s="134"/>
      <c r="AB1335" s="134"/>
      <c r="AC1335" s="134"/>
      <c r="AD1335" s="134"/>
      <c r="AE1335" s="134"/>
      <c r="AF1335" s="146"/>
      <c r="AG1335" s="134"/>
      <c r="AH1335" s="134"/>
      <c r="AI1335" s="134"/>
      <c r="AJ1335" s="134"/>
      <c r="AK1335" s="134"/>
      <c r="AL1335" s="134"/>
      <c r="AM1335" s="146"/>
      <c r="AN1335" s="132"/>
      <c r="AO1335" s="132"/>
      <c r="AP1335" s="132"/>
      <c r="AQ1335" s="132"/>
      <c r="AR1335" s="134"/>
      <c r="AS1335" s="134"/>
      <c r="AT1335" s="132"/>
      <c r="AU1335" s="133"/>
      <c r="AV1335" s="134"/>
    </row>
    <row r="1336" spans="19:48">
      <c r="S1336" s="134"/>
      <c r="T1336" s="134"/>
      <c r="U1336" s="134"/>
      <c r="V1336" s="134"/>
      <c r="W1336" s="134"/>
      <c r="X1336" s="134"/>
      <c r="Y1336" s="134"/>
      <c r="Z1336" s="134"/>
      <c r="AA1336" s="134"/>
      <c r="AB1336" s="134"/>
      <c r="AC1336" s="134"/>
      <c r="AD1336" s="134"/>
      <c r="AE1336" s="134"/>
      <c r="AF1336" s="146"/>
      <c r="AG1336" s="134"/>
      <c r="AH1336" s="134"/>
      <c r="AI1336" s="134"/>
      <c r="AJ1336" s="134"/>
      <c r="AK1336" s="134"/>
      <c r="AL1336" s="134"/>
      <c r="AM1336" s="146"/>
      <c r="AN1336" s="132"/>
      <c r="AO1336" s="132"/>
      <c r="AP1336" s="132"/>
      <c r="AQ1336" s="132"/>
      <c r="AR1336" s="134"/>
      <c r="AS1336" s="134"/>
      <c r="AT1336" s="132"/>
      <c r="AU1336" s="133"/>
      <c r="AV1336" s="134"/>
    </row>
    <row r="1337" spans="19:48">
      <c r="S1337" s="134"/>
      <c r="T1337" s="134"/>
      <c r="U1337" s="134"/>
      <c r="V1337" s="134"/>
      <c r="W1337" s="134"/>
      <c r="X1337" s="134"/>
      <c r="Y1337" s="134"/>
      <c r="Z1337" s="134"/>
      <c r="AA1337" s="134"/>
      <c r="AB1337" s="134"/>
      <c r="AC1337" s="134"/>
      <c r="AD1337" s="134"/>
      <c r="AE1337" s="134"/>
      <c r="AF1337" s="146"/>
      <c r="AG1337" s="134"/>
      <c r="AH1337" s="134"/>
      <c r="AI1337" s="134"/>
      <c r="AJ1337" s="134"/>
      <c r="AK1337" s="134"/>
      <c r="AL1337" s="134"/>
      <c r="AM1337" s="146"/>
      <c r="AN1337" s="132"/>
      <c r="AO1337" s="132"/>
      <c r="AP1337" s="132"/>
      <c r="AQ1337" s="132"/>
      <c r="AR1337" s="134"/>
      <c r="AS1337" s="134"/>
      <c r="AT1337" s="132"/>
      <c r="AU1337" s="133"/>
      <c r="AV1337" s="134"/>
    </row>
    <row r="1338" spans="19:48">
      <c r="S1338" s="134"/>
      <c r="T1338" s="134"/>
      <c r="U1338" s="134"/>
      <c r="V1338" s="134"/>
      <c r="W1338" s="134"/>
      <c r="X1338" s="134"/>
      <c r="Y1338" s="134"/>
      <c r="Z1338" s="134"/>
      <c r="AA1338" s="134"/>
      <c r="AB1338" s="134"/>
      <c r="AC1338" s="134"/>
      <c r="AD1338" s="134"/>
      <c r="AE1338" s="134"/>
      <c r="AF1338" s="146"/>
      <c r="AG1338" s="134"/>
      <c r="AH1338" s="134"/>
      <c r="AI1338" s="134"/>
      <c r="AJ1338" s="134"/>
      <c r="AK1338" s="134"/>
      <c r="AL1338" s="134"/>
      <c r="AM1338" s="146"/>
      <c r="AN1338" s="132"/>
      <c r="AO1338" s="132"/>
      <c r="AP1338" s="132"/>
      <c r="AQ1338" s="132"/>
      <c r="AR1338" s="134"/>
      <c r="AS1338" s="134"/>
      <c r="AT1338" s="132"/>
      <c r="AU1338" s="133"/>
      <c r="AV1338" s="134"/>
    </row>
    <row r="1339" spans="19:48">
      <c r="S1339" s="134"/>
      <c r="T1339" s="134"/>
      <c r="U1339" s="134"/>
      <c r="V1339" s="134"/>
      <c r="W1339" s="134"/>
      <c r="X1339" s="134"/>
      <c r="Y1339" s="134"/>
      <c r="Z1339" s="134"/>
      <c r="AA1339" s="134"/>
      <c r="AB1339" s="134"/>
      <c r="AC1339" s="134"/>
      <c r="AD1339" s="134"/>
      <c r="AE1339" s="134"/>
      <c r="AF1339" s="146"/>
      <c r="AG1339" s="134"/>
      <c r="AH1339" s="134"/>
      <c r="AI1339" s="134"/>
      <c r="AJ1339" s="134"/>
      <c r="AK1339" s="134"/>
      <c r="AL1339" s="134"/>
      <c r="AM1339" s="146"/>
      <c r="AN1339" s="132"/>
      <c r="AO1339" s="132"/>
      <c r="AP1339" s="132"/>
      <c r="AQ1339" s="132"/>
      <c r="AR1339" s="134"/>
      <c r="AS1339" s="134"/>
      <c r="AT1339" s="132"/>
      <c r="AU1339" s="133"/>
      <c r="AV1339" s="134"/>
    </row>
    <row r="1340" spans="19:48">
      <c r="S1340" s="134"/>
      <c r="T1340" s="134"/>
      <c r="U1340" s="134"/>
      <c r="V1340" s="134"/>
      <c r="W1340" s="134"/>
      <c r="X1340" s="134"/>
      <c r="Y1340" s="134"/>
      <c r="Z1340" s="134"/>
      <c r="AA1340" s="134"/>
      <c r="AB1340" s="134"/>
      <c r="AC1340" s="134"/>
      <c r="AD1340" s="134"/>
      <c r="AE1340" s="134"/>
      <c r="AF1340" s="146"/>
      <c r="AG1340" s="134"/>
      <c r="AH1340" s="134"/>
      <c r="AI1340" s="134"/>
      <c r="AJ1340" s="134"/>
      <c r="AK1340" s="134"/>
      <c r="AL1340" s="134"/>
      <c r="AM1340" s="146"/>
      <c r="AN1340" s="132"/>
      <c r="AO1340" s="132"/>
      <c r="AP1340" s="132"/>
      <c r="AQ1340" s="132"/>
      <c r="AR1340" s="134"/>
      <c r="AS1340" s="134"/>
      <c r="AT1340" s="132"/>
      <c r="AU1340" s="133"/>
      <c r="AV1340" s="134"/>
    </row>
    <row r="1341" spans="19:48">
      <c r="S1341" s="134"/>
      <c r="T1341" s="134"/>
      <c r="U1341" s="134"/>
      <c r="V1341" s="134"/>
      <c r="W1341" s="134"/>
      <c r="X1341" s="134"/>
      <c r="Y1341" s="134"/>
      <c r="Z1341" s="134"/>
      <c r="AA1341" s="134"/>
      <c r="AB1341" s="134"/>
      <c r="AC1341" s="134"/>
      <c r="AD1341" s="134"/>
      <c r="AE1341" s="134"/>
      <c r="AF1341" s="146"/>
      <c r="AG1341" s="134"/>
      <c r="AH1341" s="134"/>
      <c r="AI1341" s="134"/>
      <c r="AJ1341" s="134"/>
      <c r="AK1341" s="134"/>
      <c r="AL1341" s="134"/>
      <c r="AM1341" s="146"/>
      <c r="AN1341" s="132"/>
      <c r="AO1341" s="132"/>
      <c r="AP1341" s="132"/>
      <c r="AQ1341" s="132"/>
      <c r="AR1341" s="134"/>
      <c r="AS1341" s="134"/>
      <c r="AT1341" s="132"/>
      <c r="AU1341" s="133"/>
      <c r="AV1341" s="134"/>
    </row>
    <row r="1342" spans="19:48">
      <c r="S1342" s="134"/>
      <c r="T1342" s="134"/>
      <c r="U1342" s="134"/>
      <c r="V1342" s="134"/>
      <c r="W1342" s="134"/>
      <c r="X1342" s="134"/>
      <c r="Y1342" s="134"/>
      <c r="Z1342" s="134"/>
      <c r="AA1342" s="134"/>
      <c r="AB1342" s="134"/>
      <c r="AC1342" s="134"/>
      <c r="AD1342" s="134"/>
      <c r="AE1342" s="134"/>
      <c r="AF1342" s="146"/>
      <c r="AG1342" s="134"/>
      <c r="AH1342" s="134"/>
      <c r="AI1342" s="134"/>
      <c r="AJ1342" s="134"/>
      <c r="AK1342" s="134"/>
      <c r="AL1342" s="134"/>
      <c r="AM1342" s="146"/>
      <c r="AN1342" s="132"/>
      <c r="AO1342" s="132"/>
      <c r="AP1342" s="132"/>
      <c r="AQ1342" s="132"/>
      <c r="AR1342" s="134"/>
      <c r="AS1342" s="134"/>
      <c r="AT1342" s="132"/>
      <c r="AU1342" s="133"/>
      <c r="AV1342" s="134"/>
    </row>
    <row r="1343" spans="19:48">
      <c r="S1343" s="134"/>
      <c r="T1343" s="134"/>
      <c r="U1343" s="134"/>
      <c r="V1343" s="134"/>
      <c r="W1343" s="134"/>
      <c r="X1343" s="134"/>
      <c r="Y1343" s="134"/>
      <c r="Z1343" s="134"/>
      <c r="AA1343" s="134"/>
      <c r="AB1343" s="134"/>
      <c r="AC1343" s="134"/>
      <c r="AD1343" s="134"/>
      <c r="AE1343" s="134"/>
      <c r="AF1343" s="146"/>
      <c r="AG1343" s="134"/>
      <c r="AH1343" s="134"/>
      <c r="AI1343" s="134"/>
      <c r="AJ1343" s="134"/>
      <c r="AK1343" s="134"/>
      <c r="AL1343" s="134"/>
      <c r="AM1343" s="146"/>
      <c r="AN1343" s="132"/>
      <c r="AO1343" s="132"/>
      <c r="AP1343" s="132"/>
      <c r="AQ1343" s="132"/>
      <c r="AR1343" s="134"/>
      <c r="AS1343" s="134"/>
      <c r="AT1343" s="132"/>
      <c r="AU1343" s="133"/>
      <c r="AV1343" s="134"/>
    </row>
    <row r="1344" spans="19:48">
      <c r="S1344" s="134"/>
      <c r="T1344" s="134"/>
      <c r="U1344" s="134"/>
      <c r="V1344" s="134"/>
      <c r="W1344" s="134"/>
      <c r="X1344" s="134"/>
      <c r="Y1344" s="134"/>
      <c r="Z1344" s="134"/>
      <c r="AA1344" s="134"/>
      <c r="AB1344" s="134"/>
      <c r="AC1344" s="134"/>
      <c r="AD1344" s="134"/>
      <c r="AE1344" s="134"/>
      <c r="AF1344" s="146"/>
      <c r="AG1344" s="134"/>
      <c r="AH1344" s="134"/>
      <c r="AI1344" s="134"/>
      <c r="AJ1344" s="134"/>
      <c r="AK1344" s="134"/>
      <c r="AL1344" s="134"/>
      <c r="AM1344" s="146"/>
      <c r="AN1344" s="132"/>
      <c r="AO1344" s="132"/>
      <c r="AP1344" s="132"/>
      <c r="AQ1344" s="132"/>
      <c r="AR1344" s="134"/>
      <c r="AS1344" s="134"/>
      <c r="AT1344" s="132"/>
      <c r="AU1344" s="133"/>
      <c r="AV1344" s="134"/>
    </row>
    <row r="1345" spans="19:48">
      <c r="S1345" s="134"/>
      <c r="T1345" s="134"/>
      <c r="U1345" s="134"/>
      <c r="V1345" s="134"/>
      <c r="W1345" s="134"/>
      <c r="X1345" s="134"/>
      <c r="Y1345" s="134"/>
      <c r="Z1345" s="134"/>
      <c r="AA1345" s="134"/>
      <c r="AB1345" s="134"/>
      <c r="AC1345" s="134"/>
      <c r="AD1345" s="134"/>
      <c r="AE1345" s="134"/>
      <c r="AF1345" s="146"/>
      <c r="AG1345" s="134"/>
      <c r="AH1345" s="134"/>
      <c r="AI1345" s="134"/>
      <c r="AJ1345" s="134"/>
      <c r="AK1345" s="134"/>
      <c r="AL1345" s="134"/>
      <c r="AM1345" s="146"/>
      <c r="AN1345" s="132"/>
      <c r="AO1345" s="132"/>
      <c r="AP1345" s="132"/>
      <c r="AQ1345" s="132"/>
      <c r="AR1345" s="134"/>
      <c r="AS1345" s="134"/>
      <c r="AT1345" s="132"/>
      <c r="AU1345" s="133"/>
      <c r="AV1345" s="134"/>
    </row>
    <row r="1346" spans="19:48">
      <c r="S1346" s="134"/>
      <c r="T1346" s="134"/>
      <c r="U1346" s="134"/>
      <c r="V1346" s="134"/>
      <c r="W1346" s="134"/>
      <c r="X1346" s="134"/>
      <c r="Y1346" s="134"/>
      <c r="Z1346" s="134"/>
      <c r="AA1346" s="134"/>
      <c r="AB1346" s="134"/>
      <c r="AC1346" s="134"/>
      <c r="AD1346" s="134"/>
      <c r="AE1346" s="134"/>
      <c r="AF1346" s="146"/>
      <c r="AG1346" s="134"/>
      <c r="AH1346" s="134"/>
      <c r="AI1346" s="134"/>
      <c r="AJ1346" s="134"/>
      <c r="AK1346" s="134"/>
      <c r="AL1346" s="134"/>
      <c r="AM1346" s="146"/>
      <c r="AN1346" s="132"/>
      <c r="AO1346" s="132"/>
      <c r="AP1346" s="132"/>
      <c r="AQ1346" s="132"/>
      <c r="AR1346" s="134"/>
      <c r="AS1346" s="134"/>
      <c r="AT1346" s="132"/>
      <c r="AU1346" s="133"/>
      <c r="AV1346" s="134"/>
    </row>
    <row r="1347" spans="19:48">
      <c r="S1347" s="134"/>
      <c r="T1347" s="134"/>
      <c r="U1347" s="134"/>
      <c r="V1347" s="134"/>
      <c r="W1347" s="134"/>
      <c r="X1347" s="134"/>
      <c r="Y1347" s="134"/>
      <c r="Z1347" s="134"/>
      <c r="AA1347" s="134"/>
      <c r="AB1347" s="134"/>
      <c r="AC1347" s="134"/>
      <c r="AD1347" s="134"/>
      <c r="AE1347" s="134"/>
      <c r="AF1347" s="146"/>
      <c r="AG1347" s="134"/>
      <c r="AH1347" s="134"/>
      <c r="AI1347" s="134"/>
      <c r="AJ1347" s="134"/>
      <c r="AK1347" s="134"/>
      <c r="AL1347" s="134"/>
      <c r="AM1347" s="146"/>
      <c r="AN1347" s="132"/>
      <c r="AO1347" s="132"/>
      <c r="AP1347" s="132"/>
      <c r="AQ1347" s="132"/>
      <c r="AR1347" s="134"/>
      <c r="AS1347" s="134"/>
      <c r="AT1347" s="132"/>
      <c r="AU1347" s="133"/>
      <c r="AV1347" s="134"/>
    </row>
    <row r="1348" spans="19:48">
      <c r="S1348" s="134"/>
      <c r="T1348" s="134"/>
      <c r="U1348" s="134"/>
      <c r="V1348" s="134"/>
      <c r="W1348" s="134"/>
      <c r="X1348" s="134"/>
      <c r="Y1348" s="134"/>
      <c r="Z1348" s="134"/>
      <c r="AA1348" s="134"/>
      <c r="AB1348" s="134"/>
      <c r="AC1348" s="134"/>
      <c r="AD1348" s="134"/>
      <c r="AE1348" s="134"/>
      <c r="AF1348" s="146"/>
      <c r="AG1348" s="134"/>
      <c r="AH1348" s="134"/>
      <c r="AI1348" s="134"/>
      <c r="AJ1348" s="134"/>
      <c r="AK1348" s="134"/>
      <c r="AL1348" s="134"/>
      <c r="AM1348" s="146"/>
      <c r="AN1348" s="132"/>
      <c r="AO1348" s="132"/>
      <c r="AP1348" s="132"/>
      <c r="AQ1348" s="132"/>
      <c r="AR1348" s="134"/>
      <c r="AS1348" s="134"/>
      <c r="AT1348" s="132"/>
      <c r="AU1348" s="133"/>
      <c r="AV1348" s="134"/>
    </row>
    <row r="1349" spans="19:48">
      <c r="S1349" s="134"/>
      <c r="T1349" s="134"/>
      <c r="U1349" s="134"/>
      <c r="V1349" s="134"/>
      <c r="W1349" s="134"/>
      <c r="X1349" s="134"/>
      <c r="Y1349" s="134"/>
      <c r="Z1349" s="134"/>
      <c r="AA1349" s="134"/>
      <c r="AB1349" s="134"/>
      <c r="AC1349" s="134"/>
      <c r="AD1349" s="134"/>
      <c r="AE1349" s="134"/>
      <c r="AF1349" s="146"/>
      <c r="AG1349" s="134"/>
      <c r="AH1349" s="134"/>
      <c r="AI1349" s="134"/>
      <c r="AJ1349" s="134"/>
      <c r="AK1349" s="134"/>
      <c r="AL1349" s="134"/>
      <c r="AM1349" s="146"/>
      <c r="AN1349" s="132"/>
      <c r="AO1349" s="132"/>
      <c r="AP1349" s="132"/>
      <c r="AQ1349" s="132"/>
      <c r="AR1349" s="134"/>
      <c r="AS1349" s="134"/>
      <c r="AT1349" s="132"/>
      <c r="AU1349" s="133"/>
      <c r="AV1349" s="134"/>
    </row>
    <row r="1350" spans="19:48">
      <c r="S1350" s="134"/>
      <c r="T1350" s="134"/>
      <c r="U1350" s="134"/>
      <c r="V1350" s="134"/>
      <c r="W1350" s="134"/>
      <c r="X1350" s="134"/>
      <c r="Y1350" s="134"/>
      <c r="Z1350" s="134"/>
      <c r="AA1350" s="134"/>
      <c r="AB1350" s="134"/>
      <c r="AC1350" s="134"/>
      <c r="AD1350" s="134"/>
      <c r="AE1350" s="134"/>
      <c r="AF1350" s="146"/>
      <c r="AG1350" s="134"/>
      <c r="AH1350" s="134"/>
      <c r="AI1350" s="134"/>
      <c r="AJ1350" s="134"/>
      <c r="AK1350" s="134"/>
      <c r="AL1350" s="134"/>
      <c r="AM1350" s="146"/>
      <c r="AN1350" s="132"/>
      <c r="AO1350" s="132"/>
      <c r="AP1350" s="132"/>
      <c r="AQ1350" s="132"/>
      <c r="AR1350" s="134"/>
      <c r="AS1350" s="134"/>
      <c r="AT1350" s="132"/>
      <c r="AU1350" s="133"/>
      <c r="AV1350" s="134"/>
    </row>
    <row r="1351" spans="19:48">
      <c r="S1351" s="134"/>
      <c r="T1351" s="134"/>
      <c r="U1351" s="134"/>
      <c r="V1351" s="134"/>
      <c r="W1351" s="134"/>
      <c r="X1351" s="134"/>
      <c r="Y1351" s="134"/>
      <c r="Z1351" s="134"/>
      <c r="AA1351" s="134"/>
      <c r="AB1351" s="134"/>
      <c r="AC1351" s="134"/>
      <c r="AD1351" s="134"/>
      <c r="AE1351" s="134"/>
      <c r="AF1351" s="146"/>
      <c r="AG1351" s="134"/>
      <c r="AH1351" s="134"/>
      <c r="AI1351" s="134"/>
      <c r="AJ1351" s="134"/>
      <c r="AK1351" s="134"/>
      <c r="AL1351" s="134"/>
      <c r="AM1351" s="146"/>
      <c r="AN1351" s="132"/>
      <c r="AO1351" s="132"/>
      <c r="AP1351" s="132"/>
      <c r="AQ1351" s="132"/>
      <c r="AR1351" s="134"/>
      <c r="AS1351" s="134"/>
      <c r="AT1351" s="132"/>
      <c r="AU1351" s="133"/>
      <c r="AV1351" s="134"/>
    </row>
    <row r="1352" spans="19:48">
      <c r="S1352" s="134"/>
      <c r="T1352" s="134"/>
      <c r="U1352" s="134"/>
      <c r="V1352" s="134"/>
      <c r="W1352" s="134"/>
      <c r="X1352" s="134"/>
      <c r="Y1352" s="134"/>
      <c r="Z1352" s="134"/>
      <c r="AA1352" s="134"/>
      <c r="AB1352" s="134"/>
      <c r="AC1352" s="134"/>
      <c r="AD1352" s="134"/>
      <c r="AE1352" s="134"/>
      <c r="AF1352" s="146"/>
      <c r="AG1352" s="134"/>
      <c r="AH1352" s="134"/>
      <c r="AI1352" s="134"/>
      <c r="AJ1352" s="134"/>
      <c r="AK1352" s="134"/>
      <c r="AL1352" s="134"/>
      <c r="AM1352" s="146"/>
      <c r="AN1352" s="132"/>
      <c r="AO1352" s="132"/>
      <c r="AP1352" s="132"/>
      <c r="AQ1352" s="132"/>
      <c r="AR1352" s="134"/>
      <c r="AS1352" s="134"/>
      <c r="AT1352" s="132"/>
      <c r="AU1352" s="133"/>
      <c r="AV1352" s="134"/>
    </row>
    <row r="1353" spans="19:48">
      <c r="S1353" s="134"/>
      <c r="T1353" s="134"/>
      <c r="U1353" s="134"/>
      <c r="V1353" s="134"/>
      <c r="W1353" s="134"/>
      <c r="X1353" s="134"/>
      <c r="Y1353" s="134"/>
      <c r="Z1353" s="134"/>
      <c r="AA1353" s="134"/>
      <c r="AB1353" s="134"/>
      <c r="AC1353" s="134"/>
      <c r="AD1353" s="134"/>
      <c r="AE1353" s="134"/>
      <c r="AF1353" s="146"/>
      <c r="AG1353" s="134"/>
      <c r="AH1353" s="134"/>
      <c r="AI1353" s="134"/>
      <c r="AJ1353" s="134"/>
      <c r="AK1353" s="134"/>
      <c r="AL1353" s="134"/>
      <c r="AM1353" s="146"/>
      <c r="AN1353" s="132"/>
      <c r="AO1353" s="132"/>
      <c r="AP1353" s="132"/>
      <c r="AQ1353" s="132"/>
      <c r="AR1353" s="134"/>
      <c r="AS1353" s="134"/>
      <c r="AT1353" s="132"/>
      <c r="AU1353" s="133"/>
      <c r="AV1353" s="134"/>
    </row>
    <row r="1354" spans="19:48">
      <c r="S1354" s="134"/>
      <c r="T1354" s="134"/>
      <c r="U1354" s="134"/>
      <c r="V1354" s="134"/>
      <c r="W1354" s="134"/>
      <c r="X1354" s="134"/>
      <c r="Y1354" s="134"/>
      <c r="Z1354" s="134"/>
      <c r="AA1354" s="134"/>
      <c r="AB1354" s="134"/>
      <c r="AC1354" s="134"/>
      <c r="AD1354" s="134"/>
      <c r="AE1354" s="134"/>
      <c r="AF1354" s="146"/>
      <c r="AG1354" s="134"/>
      <c r="AH1354" s="134"/>
      <c r="AI1354" s="134"/>
      <c r="AJ1354" s="134"/>
      <c r="AK1354" s="134"/>
      <c r="AL1354" s="134"/>
      <c r="AM1354" s="146"/>
      <c r="AN1354" s="132"/>
      <c r="AO1354" s="132"/>
      <c r="AP1354" s="132"/>
      <c r="AQ1354" s="132"/>
      <c r="AR1354" s="134"/>
      <c r="AS1354" s="134"/>
      <c r="AT1354" s="132"/>
      <c r="AU1354" s="133"/>
      <c r="AV1354" s="134"/>
    </row>
    <row r="1355" spans="19:48">
      <c r="S1355" s="134"/>
      <c r="T1355" s="134"/>
      <c r="U1355" s="134"/>
      <c r="V1355" s="134"/>
      <c r="W1355" s="134"/>
      <c r="X1355" s="134"/>
      <c r="Y1355" s="134"/>
      <c r="Z1355" s="134"/>
      <c r="AA1355" s="134"/>
      <c r="AB1355" s="134"/>
      <c r="AC1355" s="134"/>
      <c r="AD1355" s="134"/>
      <c r="AE1355" s="134"/>
      <c r="AF1355" s="146"/>
      <c r="AG1355" s="134"/>
      <c r="AH1355" s="134"/>
      <c r="AI1355" s="134"/>
      <c r="AJ1355" s="134"/>
      <c r="AK1355" s="134"/>
      <c r="AL1355" s="134"/>
      <c r="AM1355" s="146"/>
      <c r="AN1355" s="132"/>
      <c r="AO1355" s="132"/>
      <c r="AP1355" s="132"/>
      <c r="AQ1355" s="132"/>
      <c r="AR1355" s="134"/>
      <c r="AS1355" s="134"/>
      <c r="AT1355" s="132"/>
      <c r="AU1355" s="133"/>
      <c r="AV1355" s="134"/>
    </row>
    <row r="1356" spans="19:48">
      <c r="S1356" s="134"/>
      <c r="T1356" s="134"/>
      <c r="U1356" s="134"/>
      <c r="V1356" s="134"/>
      <c r="W1356" s="134"/>
      <c r="X1356" s="134"/>
      <c r="Y1356" s="134"/>
      <c r="Z1356" s="134"/>
      <c r="AA1356" s="134"/>
      <c r="AB1356" s="134"/>
      <c r="AC1356" s="134"/>
      <c r="AD1356" s="134"/>
      <c r="AE1356" s="134"/>
      <c r="AF1356" s="146"/>
      <c r="AG1356" s="134"/>
      <c r="AH1356" s="134"/>
      <c r="AI1356" s="134"/>
      <c r="AJ1356" s="134"/>
      <c r="AK1356" s="134"/>
      <c r="AL1356" s="134"/>
      <c r="AM1356" s="146"/>
      <c r="AN1356" s="132"/>
      <c r="AO1356" s="132"/>
      <c r="AP1356" s="132"/>
      <c r="AQ1356" s="132"/>
      <c r="AR1356" s="134"/>
      <c r="AS1356" s="134"/>
      <c r="AT1356" s="132"/>
      <c r="AU1356" s="133"/>
      <c r="AV1356" s="134"/>
    </row>
    <row r="1357" spans="19:48">
      <c r="S1357" s="134"/>
      <c r="T1357" s="134"/>
      <c r="U1357" s="134"/>
      <c r="V1357" s="134"/>
      <c r="W1357" s="134"/>
      <c r="X1357" s="134"/>
      <c r="Y1357" s="134"/>
      <c r="Z1357" s="134"/>
      <c r="AA1357" s="134"/>
      <c r="AB1357" s="134"/>
      <c r="AC1357" s="134"/>
      <c r="AD1357" s="134"/>
      <c r="AE1357" s="134"/>
      <c r="AF1357" s="146"/>
      <c r="AG1357" s="134"/>
      <c r="AH1357" s="134"/>
      <c r="AI1357" s="134"/>
      <c r="AJ1357" s="134"/>
      <c r="AK1357" s="134"/>
      <c r="AL1357" s="134"/>
      <c r="AM1357" s="146"/>
      <c r="AN1357" s="132"/>
      <c r="AO1357" s="132"/>
      <c r="AP1357" s="132"/>
      <c r="AQ1357" s="132"/>
      <c r="AR1357" s="134"/>
      <c r="AS1357" s="134"/>
      <c r="AT1357" s="132"/>
      <c r="AU1357" s="133"/>
      <c r="AV1357" s="134"/>
    </row>
    <row r="1358" spans="19:48">
      <c r="S1358" s="134"/>
      <c r="T1358" s="134"/>
      <c r="U1358" s="134"/>
      <c r="V1358" s="134"/>
      <c r="W1358" s="134"/>
      <c r="X1358" s="134"/>
      <c r="Y1358" s="134"/>
      <c r="Z1358" s="134"/>
      <c r="AA1358" s="134"/>
      <c r="AB1358" s="134"/>
      <c r="AC1358" s="134"/>
      <c r="AD1358" s="134"/>
      <c r="AE1358" s="134"/>
      <c r="AF1358" s="146"/>
      <c r="AG1358" s="134"/>
      <c r="AH1358" s="134"/>
      <c r="AI1358" s="134"/>
      <c r="AJ1358" s="134"/>
      <c r="AK1358" s="134"/>
      <c r="AL1358" s="134"/>
      <c r="AM1358" s="146"/>
      <c r="AN1358" s="132"/>
      <c r="AO1358" s="132"/>
      <c r="AP1358" s="132"/>
      <c r="AQ1358" s="132"/>
      <c r="AR1358" s="134"/>
      <c r="AS1358" s="134"/>
      <c r="AT1358" s="132"/>
      <c r="AU1358" s="133"/>
      <c r="AV1358" s="134"/>
    </row>
    <row r="1359" spans="19:48">
      <c r="S1359" s="134"/>
      <c r="T1359" s="134"/>
      <c r="U1359" s="134"/>
      <c r="V1359" s="134"/>
      <c r="W1359" s="134"/>
      <c r="X1359" s="134"/>
      <c r="Y1359" s="134"/>
      <c r="Z1359" s="134"/>
      <c r="AA1359" s="134"/>
      <c r="AB1359" s="134"/>
      <c r="AC1359" s="134"/>
      <c r="AD1359" s="134"/>
      <c r="AE1359" s="134"/>
      <c r="AF1359" s="146"/>
      <c r="AG1359" s="134"/>
      <c r="AH1359" s="134"/>
      <c r="AI1359" s="134"/>
      <c r="AJ1359" s="134"/>
      <c r="AK1359" s="134"/>
      <c r="AL1359" s="134"/>
      <c r="AM1359" s="146"/>
      <c r="AN1359" s="132"/>
      <c r="AO1359" s="132"/>
      <c r="AP1359" s="132"/>
      <c r="AQ1359" s="132"/>
      <c r="AR1359" s="134"/>
      <c r="AS1359" s="134"/>
      <c r="AT1359" s="132"/>
      <c r="AU1359" s="133"/>
      <c r="AV1359" s="134"/>
    </row>
    <row r="1360" spans="19:48">
      <c r="S1360" s="134"/>
      <c r="T1360" s="134"/>
      <c r="U1360" s="134"/>
      <c r="V1360" s="134"/>
      <c r="W1360" s="134"/>
      <c r="X1360" s="134"/>
      <c r="Y1360" s="134"/>
      <c r="Z1360" s="134"/>
      <c r="AA1360" s="134"/>
      <c r="AB1360" s="134"/>
      <c r="AC1360" s="134"/>
      <c r="AD1360" s="134"/>
      <c r="AE1360" s="134"/>
      <c r="AF1360" s="146"/>
      <c r="AG1360" s="134"/>
      <c r="AH1360" s="134"/>
      <c r="AI1360" s="134"/>
      <c r="AJ1360" s="134"/>
      <c r="AK1360" s="134"/>
      <c r="AL1360" s="134"/>
      <c r="AM1360" s="146"/>
      <c r="AN1360" s="132"/>
      <c r="AO1360" s="132"/>
      <c r="AP1360" s="132"/>
      <c r="AQ1360" s="132"/>
      <c r="AR1360" s="134"/>
      <c r="AS1360" s="134"/>
      <c r="AT1360" s="132"/>
      <c r="AU1360" s="133"/>
      <c r="AV1360" s="134"/>
    </row>
    <row r="1361" spans="19:48">
      <c r="S1361" s="134"/>
      <c r="T1361" s="134"/>
      <c r="U1361" s="134"/>
      <c r="V1361" s="134"/>
      <c r="W1361" s="134"/>
      <c r="X1361" s="134"/>
      <c r="Y1361" s="134"/>
      <c r="Z1361" s="134"/>
      <c r="AA1361" s="134"/>
      <c r="AB1361" s="134"/>
      <c r="AC1361" s="134"/>
      <c r="AD1361" s="134"/>
      <c r="AE1361" s="134"/>
      <c r="AF1361" s="146"/>
      <c r="AG1361" s="134"/>
      <c r="AH1361" s="134"/>
      <c r="AI1361" s="134"/>
      <c r="AJ1361" s="134"/>
      <c r="AK1361" s="134"/>
      <c r="AL1361" s="134"/>
      <c r="AM1361" s="146"/>
      <c r="AN1361" s="132"/>
      <c r="AO1361" s="132"/>
      <c r="AP1361" s="132"/>
      <c r="AQ1361" s="132"/>
      <c r="AR1361" s="134"/>
      <c r="AS1361" s="134"/>
      <c r="AT1361" s="132"/>
      <c r="AU1361" s="133"/>
      <c r="AV1361" s="134"/>
    </row>
    <row r="1362" spans="19:48">
      <c r="S1362" s="134"/>
      <c r="T1362" s="134"/>
      <c r="U1362" s="134"/>
      <c r="V1362" s="134"/>
      <c r="W1362" s="134"/>
      <c r="X1362" s="134"/>
      <c r="Y1362" s="134"/>
      <c r="Z1362" s="134"/>
      <c r="AA1362" s="134"/>
      <c r="AB1362" s="134"/>
      <c r="AC1362" s="134"/>
      <c r="AD1362" s="134"/>
      <c r="AE1362" s="134"/>
      <c r="AF1362" s="146"/>
      <c r="AG1362" s="134"/>
      <c r="AH1362" s="134"/>
      <c r="AI1362" s="134"/>
      <c r="AJ1362" s="134"/>
      <c r="AK1362" s="134"/>
      <c r="AL1362" s="134"/>
      <c r="AM1362" s="146"/>
      <c r="AN1362" s="132"/>
      <c r="AO1362" s="132"/>
      <c r="AP1362" s="132"/>
      <c r="AQ1362" s="132"/>
      <c r="AR1362" s="134"/>
      <c r="AS1362" s="134"/>
      <c r="AT1362" s="132"/>
      <c r="AU1362" s="133"/>
      <c r="AV1362" s="134"/>
    </row>
    <row r="1363" spans="19:48">
      <c r="S1363" s="134"/>
      <c r="T1363" s="134"/>
      <c r="U1363" s="134"/>
      <c r="V1363" s="134"/>
      <c r="W1363" s="134"/>
      <c r="X1363" s="134"/>
      <c r="Y1363" s="134"/>
      <c r="Z1363" s="134"/>
      <c r="AA1363" s="134"/>
      <c r="AB1363" s="134"/>
      <c r="AC1363" s="134"/>
      <c r="AD1363" s="134"/>
      <c r="AE1363" s="134"/>
      <c r="AF1363" s="146"/>
      <c r="AG1363" s="134"/>
      <c r="AH1363" s="134"/>
      <c r="AI1363" s="134"/>
      <c r="AJ1363" s="134"/>
      <c r="AK1363" s="134"/>
      <c r="AL1363" s="134"/>
      <c r="AM1363" s="146"/>
      <c r="AN1363" s="132"/>
      <c r="AO1363" s="132"/>
      <c r="AP1363" s="132"/>
      <c r="AQ1363" s="132"/>
      <c r="AR1363" s="134"/>
      <c r="AS1363" s="134"/>
      <c r="AT1363" s="132"/>
      <c r="AU1363" s="133"/>
      <c r="AV1363" s="134"/>
    </row>
    <row r="1364" spans="19:48">
      <c r="S1364" s="134"/>
      <c r="T1364" s="134"/>
      <c r="U1364" s="134"/>
      <c r="V1364" s="134"/>
      <c r="W1364" s="134"/>
      <c r="X1364" s="134"/>
      <c r="Y1364" s="134"/>
      <c r="Z1364" s="134"/>
      <c r="AA1364" s="134"/>
      <c r="AB1364" s="134"/>
      <c r="AC1364" s="134"/>
      <c r="AD1364" s="134"/>
      <c r="AE1364" s="134"/>
      <c r="AF1364" s="146"/>
      <c r="AG1364" s="134"/>
      <c r="AH1364" s="134"/>
      <c r="AI1364" s="134"/>
      <c r="AJ1364" s="134"/>
      <c r="AK1364" s="134"/>
      <c r="AL1364" s="134"/>
      <c r="AM1364" s="146"/>
      <c r="AN1364" s="132"/>
      <c r="AO1364" s="132"/>
      <c r="AP1364" s="132"/>
      <c r="AQ1364" s="132"/>
      <c r="AR1364" s="134"/>
      <c r="AS1364" s="134"/>
      <c r="AT1364" s="132"/>
      <c r="AU1364" s="133"/>
      <c r="AV1364" s="134"/>
    </row>
    <row r="1365" spans="19:48">
      <c r="S1365" s="134"/>
      <c r="T1365" s="134"/>
      <c r="U1365" s="134"/>
      <c r="V1365" s="134"/>
      <c r="W1365" s="134"/>
      <c r="X1365" s="134"/>
      <c r="Y1365" s="134"/>
      <c r="Z1365" s="134"/>
      <c r="AA1365" s="134"/>
      <c r="AB1365" s="134"/>
      <c r="AC1365" s="134"/>
      <c r="AD1365" s="134"/>
      <c r="AE1365" s="134"/>
      <c r="AF1365" s="146"/>
      <c r="AG1365" s="134"/>
      <c r="AH1365" s="134"/>
      <c r="AI1365" s="134"/>
      <c r="AJ1365" s="134"/>
      <c r="AK1365" s="134"/>
      <c r="AL1365" s="134"/>
      <c r="AM1365" s="146"/>
      <c r="AN1365" s="132"/>
      <c r="AO1365" s="132"/>
      <c r="AP1365" s="132"/>
      <c r="AQ1365" s="132"/>
      <c r="AR1365" s="134"/>
      <c r="AS1365" s="134"/>
      <c r="AT1365" s="132"/>
      <c r="AU1365" s="133"/>
      <c r="AV1365" s="134"/>
    </row>
    <row r="1366" spans="19:48">
      <c r="S1366" s="134"/>
      <c r="T1366" s="134"/>
      <c r="U1366" s="134"/>
      <c r="V1366" s="134"/>
      <c r="W1366" s="134"/>
      <c r="X1366" s="134"/>
      <c r="Y1366" s="134"/>
      <c r="Z1366" s="134"/>
      <c r="AA1366" s="134"/>
      <c r="AB1366" s="134"/>
      <c r="AC1366" s="134"/>
      <c r="AD1366" s="134"/>
      <c r="AE1366" s="134"/>
      <c r="AF1366" s="146"/>
      <c r="AG1366" s="134"/>
      <c r="AH1366" s="134"/>
      <c r="AI1366" s="134"/>
      <c r="AJ1366" s="134"/>
      <c r="AK1366" s="134"/>
      <c r="AL1366" s="134"/>
      <c r="AM1366" s="146"/>
      <c r="AN1366" s="132"/>
      <c r="AO1366" s="132"/>
      <c r="AP1366" s="132"/>
      <c r="AQ1366" s="132"/>
      <c r="AR1366" s="134"/>
      <c r="AS1366" s="134"/>
      <c r="AT1366" s="132"/>
      <c r="AU1366" s="133"/>
      <c r="AV1366" s="134"/>
    </row>
    <row r="1367" spans="19:48">
      <c r="S1367" s="134"/>
      <c r="T1367" s="134"/>
      <c r="U1367" s="134"/>
      <c r="V1367" s="134"/>
      <c r="W1367" s="134"/>
      <c r="X1367" s="134"/>
      <c r="Y1367" s="134"/>
      <c r="Z1367" s="134"/>
      <c r="AA1367" s="134"/>
      <c r="AB1367" s="134"/>
      <c r="AC1367" s="134"/>
      <c r="AD1367" s="134"/>
      <c r="AE1367" s="134"/>
      <c r="AF1367" s="146"/>
      <c r="AG1367" s="134"/>
      <c r="AH1367" s="134"/>
      <c r="AI1367" s="134"/>
      <c r="AJ1367" s="134"/>
      <c r="AK1367" s="134"/>
      <c r="AL1367" s="134"/>
      <c r="AM1367" s="146"/>
      <c r="AN1367" s="132"/>
      <c r="AO1367" s="132"/>
      <c r="AP1367" s="132"/>
      <c r="AQ1367" s="132"/>
      <c r="AR1367" s="134"/>
      <c r="AS1367" s="134"/>
      <c r="AT1367" s="132"/>
      <c r="AU1367" s="133"/>
      <c r="AV1367" s="134"/>
    </row>
    <row r="1368" spans="19:48">
      <c r="S1368" s="134"/>
      <c r="T1368" s="134"/>
      <c r="U1368" s="134"/>
      <c r="V1368" s="134"/>
      <c r="W1368" s="134"/>
      <c r="X1368" s="134"/>
      <c r="Y1368" s="134"/>
      <c r="Z1368" s="134"/>
      <c r="AA1368" s="134"/>
      <c r="AB1368" s="134"/>
      <c r="AC1368" s="134"/>
      <c r="AD1368" s="134"/>
      <c r="AE1368" s="134"/>
      <c r="AF1368" s="146"/>
      <c r="AG1368" s="134"/>
      <c r="AH1368" s="134"/>
      <c r="AI1368" s="134"/>
      <c r="AJ1368" s="134"/>
      <c r="AK1368" s="134"/>
      <c r="AL1368" s="134"/>
      <c r="AM1368" s="146"/>
      <c r="AN1368" s="132"/>
      <c r="AO1368" s="132"/>
      <c r="AP1368" s="132"/>
      <c r="AQ1368" s="132"/>
      <c r="AR1368" s="134"/>
      <c r="AS1368" s="134"/>
      <c r="AT1368" s="132"/>
      <c r="AU1368" s="133"/>
      <c r="AV1368" s="134"/>
    </row>
    <row r="1369" spans="19:48">
      <c r="S1369" s="134"/>
      <c r="T1369" s="134"/>
      <c r="U1369" s="134"/>
      <c r="V1369" s="134"/>
      <c r="W1369" s="134"/>
      <c r="X1369" s="134"/>
      <c r="Y1369" s="134"/>
      <c r="Z1369" s="134"/>
      <c r="AA1369" s="134"/>
      <c r="AB1369" s="134"/>
      <c r="AC1369" s="134"/>
      <c r="AD1369" s="134"/>
      <c r="AE1369" s="134"/>
      <c r="AF1369" s="146"/>
      <c r="AG1369" s="134"/>
      <c r="AH1369" s="134"/>
      <c r="AI1369" s="134"/>
      <c r="AJ1369" s="134"/>
      <c r="AK1369" s="134"/>
      <c r="AL1369" s="134"/>
      <c r="AM1369" s="146"/>
      <c r="AN1369" s="132"/>
      <c r="AO1369" s="132"/>
      <c r="AP1369" s="132"/>
      <c r="AQ1369" s="132"/>
      <c r="AR1369" s="134"/>
      <c r="AS1369" s="134"/>
      <c r="AT1369" s="132"/>
      <c r="AU1369" s="133"/>
      <c r="AV1369" s="134"/>
    </row>
    <row r="1370" spans="19:48">
      <c r="S1370" s="134"/>
      <c r="T1370" s="134"/>
      <c r="U1370" s="134"/>
      <c r="V1370" s="134"/>
      <c r="W1370" s="134"/>
      <c r="X1370" s="134"/>
      <c r="Y1370" s="134"/>
      <c r="Z1370" s="134"/>
      <c r="AA1370" s="134"/>
      <c r="AB1370" s="134"/>
      <c r="AC1370" s="134"/>
      <c r="AD1370" s="134"/>
      <c r="AE1370" s="134"/>
      <c r="AF1370" s="146"/>
      <c r="AG1370" s="134"/>
      <c r="AH1370" s="134"/>
      <c r="AI1370" s="134"/>
      <c r="AJ1370" s="134"/>
      <c r="AK1370" s="134"/>
      <c r="AL1370" s="134"/>
      <c r="AM1370" s="146"/>
      <c r="AN1370" s="132"/>
      <c r="AO1370" s="132"/>
      <c r="AP1370" s="132"/>
      <c r="AQ1370" s="132"/>
      <c r="AR1370" s="134"/>
      <c r="AS1370" s="134"/>
      <c r="AT1370" s="132"/>
      <c r="AU1370" s="133"/>
      <c r="AV1370" s="134"/>
    </row>
    <row r="1371" spans="19:48">
      <c r="S1371" s="134"/>
      <c r="T1371" s="134"/>
      <c r="U1371" s="134"/>
      <c r="V1371" s="134"/>
      <c r="W1371" s="134"/>
      <c r="X1371" s="134"/>
      <c r="Y1371" s="134"/>
      <c r="Z1371" s="134"/>
      <c r="AA1371" s="134"/>
      <c r="AB1371" s="134"/>
      <c r="AC1371" s="134"/>
      <c r="AD1371" s="134"/>
      <c r="AE1371" s="134"/>
      <c r="AF1371" s="146"/>
      <c r="AG1371" s="134"/>
      <c r="AH1371" s="134"/>
      <c r="AI1371" s="134"/>
      <c r="AJ1371" s="134"/>
      <c r="AK1371" s="134"/>
      <c r="AL1371" s="134"/>
      <c r="AM1371" s="146"/>
      <c r="AN1371" s="132"/>
      <c r="AO1371" s="132"/>
      <c r="AP1371" s="132"/>
      <c r="AQ1371" s="132"/>
      <c r="AR1371" s="134"/>
      <c r="AS1371" s="134"/>
      <c r="AT1371" s="132"/>
      <c r="AU1371" s="133"/>
      <c r="AV1371" s="134"/>
    </row>
    <row r="1372" spans="19:48">
      <c r="S1372" s="134"/>
      <c r="T1372" s="134"/>
      <c r="U1372" s="134"/>
      <c r="V1372" s="134"/>
      <c r="W1372" s="134"/>
      <c r="X1372" s="134"/>
      <c r="Y1372" s="134"/>
      <c r="Z1372" s="134"/>
      <c r="AA1372" s="134"/>
      <c r="AB1372" s="134"/>
      <c r="AC1372" s="134"/>
      <c r="AD1372" s="134"/>
      <c r="AE1372" s="134"/>
      <c r="AF1372" s="146"/>
      <c r="AG1372" s="134"/>
      <c r="AH1372" s="134"/>
      <c r="AI1372" s="134"/>
      <c r="AJ1372" s="134"/>
      <c r="AK1372" s="134"/>
      <c r="AL1372" s="134"/>
      <c r="AM1372" s="146"/>
      <c r="AN1372" s="132"/>
      <c r="AO1372" s="132"/>
      <c r="AP1372" s="132"/>
      <c r="AQ1372" s="132"/>
      <c r="AR1372" s="134"/>
      <c r="AS1372" s="134"/>
      <c r="AT1372" s="132"/>
      <c r="AU1372" s="133"/>
      <c r="AV1372" s="134"/>
    </row>
    <row r="1373" spans="19:48">
      <c r="S1373" s="134"/>
      <c r="T1373" s="134"/>
      <c r="U1373" s="134"/>
      <c r="V1373" s="134"/>
      <c r="W1373" s="134"/>
      <c r="X1373" s="134"/>
      <c r="Y1373" s="134"/>
      <c r="Z1373" s="134"/>
      <c r="AA1373" s="134"/>
      <c r="AB1373" s="134"/>
      <c r="AC1373" s="134"/>
      <c r="AD1373" s="134"/>
      <c r="AE1373" s="134"/>
      <c r="AF1373" s="146"/>
      <c r="AG1373" s="134"/>
      <c r="AH1373" s="134"/>
      <c r="AI1373" s="134"/>
      <c r="AJ1373" s="134"/>
      <c r="AK1373" s="134"/>
      <c r="AL1373" s="134"/>
      <c r="AM1373" s="146"/>
      <c r="AN1373" s="132"/>
      <c r="AO1373" s="132"/>
      <c r="AP1373" s="132"/>
      <c r="AQ1373" s="132"/>
      <c r="AR1373" s="134"/>
      <c r="AS1373" s="134"/>
      <c r="AT1373" s="132"/>
      <c r="AU1373" s="133"/>
      <c r="AV1373" s="134"/>
    </row>
    <row r="1374" spans="19:48">
      <c r="S1374" s="134"/>
      <c r="T1374" s="134"/>
      <c r="U1374" s="134"/>
      <c r="V1374" s="134"/>
      <c r="W1374" s="134"/>
      <c r="X1374" s="134"/>
      <c r="Y1374" s="134"/>
      <c r="Z1374" s="134"/>
      <c r="AA1374" s="134"/>
      <c r="AB1374" s="134"/>
      <c r="AC1374" s="134"/>
      <c r="AD1374" s="134"/>
      <c r="AE1374" s="134"/>
      <c r="AF1374" s="146"/>
      <c r="AG1374" s="134"/>
      <c r="AH1374" s="134"/>
      <c r="AI1374" s="134"/>
      <c r="AJ1374" s="134"/>
      <c r="AK1374" s="134"/>
      <c r="AL1374" s="134"/>
      <c r="AM1374" s="146"/>
      <c r="AN1374" s="132"/>
      <c r="AO1374" s="132"/>
      <c r="AP1374" s="132"/>
      <c r="AQ1374" s="132"/>
      <c r="AR1374" s="134"/>
      <c r="AS1374" s="134"/>
      <c r="AT1374" s="132"/>
      <c r="AU1374" s="133"/>
      <c r="AV1374" s="134"/>
    </row>
    <row r="1375" spans="19:48">
      <c r="S1375" s="134"/>
      <c r="T1375" s="134"/>
      <c r="U1375" s="134"/>
      <c r="V1375" s="134"/>
      <c r="W1375" s="134"/>
      <c r="X1375" s="134"/>
      <c r="Y1375" s="134"/>
      <c r="Z1375" s="134"/>
      <c r="AA1375" s="134"/>
      <c r="AB1375" s="134"/>
      <c r="AC1375" s="134"/>
      <c r="AD1375" s="134"/>
      <c r="AE1375" s="134"/>
      <c r="AF1375" s="146"/>
      <c r="AG1375" s="134"/>
      <c r="AH1375" s="134"/>
      <c r="AI1375" s="134"/>
      <c r="AJ1375" s="134"/>
      <c r="AK1375" s="134"/>
      <c r="AL1375" s="134"/>
      <c r="AM1375" s="146"/>
      <c r="AN1375" s="132"/>
      <c r="AO1375" s="132"/>
      <c r="AP1375" s="132"/>
      <c r="AQ1375" s="132"/>
      <c r="AR1375" s="134"/>
      <c r="AS1375" s="134"/>
      <c r="AT1375" s="132"/>
      <c r="AU1375" s="133"/>
      <c r="AV1375" s="134"/>
    </row>
    <row r="1376" spans="19:48">
      <c r="S1376" s="134"/>
      <c r="T1376" s="134"/>
      <c r="U1376" s="134"/>
      <c r="V1376" s="134"/>
      <c r="W1376" s="134"/>
      <c r="X1376" s="134"/>
      <c r="Y1376" s="134"/>
      <c r="Z1376" s="134"/>
      <c r="AA1376" s="134"/>
      <c r="AB1376" s="134"/>
      <c r="AC1376" s="134"/>
      <c r="AD1376" s="134"/>
      <c r="AE1376" s="134"/>
      <c r="AF1376" s="146"/>
      <c r="AG1376" s="134"/>
      <c r="AH1376" s="134"/>
      <c r="AI1376" s="134"/>
      <c r="AJ1376" s="134"/>
      <c r="AK1376" s="134"/>
      <c r="AL1376" s="134"/>
      <c r="AM1376" s="146"/>
      <c r="AN1376" s="132"/>
      <c r="AO1376" s="132"/>
      <c r="AP1376" s="132"/>
      <c r="AQ1376" s="132"/>
      <c r="AR1376" s="134"/>
      <c r="AS1376" s="134"/>
      <c r="AT1376" s="132"/>
      <c r="AU1376" s="133"/>
      <c r="AV1376" s="134"/>
    </row>
    <row r="1377" spans="19:48">
      <c r="S1377" s="134"/>
      <c r="T1377" s="134"/>
      <c r="U1377" s="134"/>
      <c r="V1377" s="134"/>
      <c r="W1377" s="134"/>
      <c r="X1377" s="134"/>
      <c r="Y1377" s="134"/>
      <c r="Z1377" s="134"/>
      <c r="AA1377" s="134"/>
      <c r="AB1377" s="134"/>
      <c r="AC1377" s="134"/>
      <c r="AD1377" s="134"/>
      <c r="AE1377" s="134"/>
      <c r="AF1377" s="146"/>
      <c r="AG1377" s="134"/>
      <c r="AH1377" s="134"/>
      <c r="AI1377" s="134"/>
      <c r="AJ1377" s="134"/>
      <c r="AK1377" s="134"/>
      <c r="AL1377" s="134"/>
      <c r="AM1377" s="146"/>
      <c r="AN1377" s="132"/>
      <c r="AO1377" s="132"/>
      <c r="AP1377" s="132"/>
      <c r="AQ1377" s="132"/>
      <c r="AR1377" s="134"/>
      <c r="AS1377" s="134"/>
      <c r="AT1377" s="132"/>
      <c r="AU1377" s="133"/>
      <c r="AV1377" s="134"/>
    </row>
    <row r="1378" spans="19:48">
      <c r="S1378" s="134"/>
      <c r="T1378" s="134"/>
      <c r="U1378" s="134"/>
      <c r="V1378" s="134"/>
      <c r="W1378" s="134"/>
      <c r="X1378" s="134"/>
      <c r="Y1378" s="134"/>
      <c r="Z1378" s="134"/>
      <c r="AA1378" s="134"/>
      <c r="AB1378" s="134"/>
      <c r="AC1378" s="134"/>
      <c r="AD1378" s="134"/>
      <c r="AE1378" s="134"/>
      <c r="AF1378" s="146"/>
      <c r="AG1378" s="134"/>
      <c r="AH1378" s="134"/>
      <c r="AI1378" s="134"/>
      <c r="AJ1378" s="134"/>
      <c r="AK1378" s="134"/>
      <c r="AL1378" s="134"/>
      <c r="AM1378" s="146"/>
      <c r="AN1378" s="132"/>
      <c r="AO1378" s="132"/>
      <c r="AP1378" s="132"/>
      <c r="AQ1378" s="132"/>
      <c r="AR1378" s="134"/>
      <c r="AS1378" s="134"/>
      <c r="AT1378" s="132"/>
      <c r="AU1378" s="133"/>
      <c r="AV1378" s="134"/>
    </row>
    <row r="1379" spans="19:48">
      <c r="S1379" s="134"/>
      <c r="T1379" s="134"/>
      <c r="U1379" s="134"/>
      <c r="V1379" s="134"/>
      <c r="W1379" s="134"/>
      <c r="X1379" s="134"/>
      <c r="Y1379" s="134"/>
      <c r="Z1379" s="134"/>
      <c r="AA1379" s="134"/>
      <c r="AB1379" s="134"/>
      <c r="AC1379" s="134"/>
      <c r="AD1379" s="134"/>
      <c r="AE1379" s="134"/>
      <c r="AF1379" s="146"/>
      <c r="AG1379" s="134"/>
      <c r="AH1379" s="134"/>
      <c r="AI1379" s="134"/>
      <c r="AJ1379" s="134"/>
      <c r="AK1379" s="134"/>
      <c r="AL1379" s="134"/>
      <c r="AM1379" s="146"/>
      <c r="AN1379" s="132"/>
      <c r="AO1379" s="132"/>
      <c r="AP1379" s="132"/>
      <c r="AQ1379" s="132"/>
      <c r="AR1379" s="134"/>
      <c r="AS1379" s="134"/>
      <c r="AT1379" s="132"/>
      <c r="AU1379" s="133"/>
      <c r="AV1379" s="134"/>
    </row>
    <row r="1380" spans="19:48">
      <c r="S1380" s="134"/>
      <c r="T1380" s="134"/>
      <c r="U1380" s="134"/>
      <c r="V1380" s="134"/>
      <c r="W1380" s="134"/>
      <c r="X1380" s="134"/>
      <c r="Y1380" s="134"/>
      <c r="Z1380" s="134"/>
      <c r="AA1380" s="134"/>
      <c r="AB1380" s="134"/>
      <c r="AC1380" s="134"/>
      <c r="AD1380" s="134"/>
      <c r="AE1380" s="134"/>
      <c r="AF1380" s="146"/>
      <c r="AG1380" s="134"/>
      <c r="AH1380" s="134"/>
      <c r="AI1380" s="134"/>
      <c r="AJ1380" s="134"/>
      <c r="AK1380" s="134"/>
      <c r="AL1380" s="134"/>
      <c r="AM1380" s="146"/>
      <c r="AN1380" s="132"/>
      <c r="AO1380" s="132"/>
      <c r="AP1380" s="132"/>
      <c r="AQ1380" s="132"/>
      <c r="AR1380" s="134"/>
      <c r="AS1380" s="134"/>
      <c r="AT1380" s="132"/>
      <c r="AU1380" s="133"/>
      <c r="AV1380" s="134"/>
    </row>
    <row r="1381" spans="19:48">
      <c r="S1381" s="134"/>
      <c r="T1381" s="134"/>
      <c r="U1381" s="134"/>
      <c r="V1381" s="134"/>
      <c r="W1381" s="134"/>
      <c r="X1381" s="134"/>
      <c r="Y1381" s="134"/>
      <c r="Z1381" s="134"/>
      <c r="AA1381" s="134"/>
      <c r="AB1381" s="134"/>
      <c r="AC1381" s="134"/>
      <c r="AD1381" s="134"/>
      <c r="AE1381" s="134"/>
      <c r="AF1381" s="146"/>
      <c r="AG1381" s="134"/>
      <c r="AH1381" s="134"/>
      <c r="AI1381" s="134"/>
      <c r="AJ1381" s="134"/>
      <c r="AK1381" s="134"/>
      <c r="AL1381" s="134"/>
      <c r="AM1381" s="146"/>
      <c r="AN1381" s="132"/>
      <c r="AO1381" s="132"/>
      <c r="AP1381" s="132"/>
      <c r="AQ1381" s="132"/>
      <c r="AR1381" s="134"/>
      <c r="AS1381" s="134"/>
      <c r="AT1381" s="132"/>
      <c r="AU1381" s="133"/>
      <c r="AV1381" s="134"/>
    </row>
    <row r="1382" spans="19:48">
      <c r="S1382" s="134"/>
      <c r="T1382" s="134"/>
      <c r="U1382" s="134"/>
      <c r="V1382" s="134"/>
      <c r="W1382" s="134"/>
      <c r="X1382" s="134"/>
      <c r="Y1382" s="134"/>
      <c r="Z1382" s="134"/>
      <c r="AA1382" s="134"/>
      <c r="AB1382" s="134"/>
      <c r="AC1382" s="134"/>
      <c r="AD1382" s="134"/>
      <c r="AE1382" s="134"/>
      <c r="AF1382" s="146"/>
      <c r="AG1382" s="134"/>
      <c r="AH1382" s="134"/>
      <c r="AI1382" s="134"/>
      <c r="AJ1382" s="134"/>
      <c r="AK1382" s="134"/>
      <c r="AL1382" s="134"/>
      <c r="AM1382" s="146"/>
      <c r="AN1382" s="132"/>
      <c r="AO1382" s="132"/>
      <c r="AP1382" s="132"/>
      <c r="AQ1382" s="132"/>
      <c r="AR1382" s="134"/>
      <c r="AS1382" s="134"/>
      <c r="AT1382" s="132"/>
      <c r="AU1382" s="133"/>
      <c r="AV1382" s="134"/>
    </row>
    <row r="1383" spans="19:48">
      <c r="S1383" s="134"/>
      <c r="T1383" s="134"/>
      <c r="U1383" s="134"/>
      <c r="V1383" s="134"/>
      <c r="W1383" s="134"/>
      <c r="X1383" s="134"/>
      <c r="Y1383" s="134"/>
      <c r="Z1383" s="134"/>
      <c r="AA1383" s="134"/>
      <c r="AB1383" s="134"/>
      <c r="AC1383" s="134"/>
      <c r="AD1383" s="134"/>
      <c r="AE1383" s="134"/>
      <c r="AF1383" s="146"/>
      <c r="AG1383" s="134"/>
      <c r="AH1383" s="134"/>
      <c r="AI1383" s="134"/>
      <c r="AJ1383" s="134"/>
      <c r="AK1383" s="134"/>
      <c r="AL1383" s="134"/>
      <c r="AM1383" s="146"/>
      <c r="AN1383" s="132"/>
      <c r="AO1383" s="132"/>
      <c r="AP1383" s="132"/>
      <c r="AQ1383" s="132"/>
      <c r="AR1383" s="134"/>
      <c r="AS1383" s="134"/>
      <c r="AT1383" s="132"/>
      <c r="AU1383" s="133"/>
      <c r="AV1383" s="134"/>
    </row>
    <row r="1384" spans="19:48">
      <c r="S1384" s="134"/>
      <c r="T1384" s="134"/>
      <c r="U1384" s="134"/>
      <c r="V1384" s="134"/>
      <c r="W1384" s="134"/>
      <c r="X1384" s="134"/>
      <c r="Y1384" s="134"/>
      <c r="Z1384" s="134"/>
      <c r="AA1384" s="134"/>
      <c r="AB1384" s="134"/>
      <c r="AC1384" s="134"/>
      <c r="AD1384" s="134"/>
      <c r="AE1384" s="134"/>
      <c r="AF1384" s="146"/>
      <c r="AG1384" s="134"/>
      <c r="AH1384" s="134"/>
      <c r="AI1384" s="134"/>
      <c r="AJ1384" s="134"/>
      <c r="AK1384" s="134"/>
      <c r="AL1384" s="134"/>
      <c r="AM1384" s="146"/>
      <c r="AN1384" s="132"/>
      <c r="AO1384" s="132"/>
      <c r="AP1384" s="132"/>
      <c r="AQ1384" s="132"/>
      <c r="AR1384" s="134"/>
      <c r="AS1384" s="134"/>
      <c r="AT1384" s="132"/>
      <c r="AU1384" s="133"/>
      <c r="AV1384" s="134"/>
    </row>
    <row r="1385" spans="19:48">
      <c r="S1385" s="134"/>
      <c r="T1385" s="134"/>
      <c r="U1385" s="134"/>
      <c r="V1385" s="134"/>
      <c r="W1385" s="134"/>
      <c r="X1385" s="134"/>
      <c r="Y1385" s="134"/>
      <c r="Z1385" s="134"/>
      <c r="AA1385" s="134"/>
      <c r="AB1385" s="134"/>
      <c r="AC1385" s="134"/>
      <c r="AD1385" s="134"/>
      <c r="AE1385" s="134"/>
      <c r="AF1385" s="146"/>
      <c r="AG1385" s="134"/>
      <c r="AH1385" s="134"/>
      <c r="AI1385" s="134"/>
      <c r="AJ1385" s="134"/>
      <c r="AK1385" s="134"/>
      <c r="AL1385" s="134"/>
      <c r="AM1385" s="146"/>
      <c r="AN1385" s="132"/>
      <c r="AO1385" s="132"/>
      <c r="AP1385" s="132"/>
      <c r="AQ1385" s="132"/>
      <c r="AR1385" s="134"/>
      <c r="AS1385" s="134"/>
      <c r="AT1385" s="132"/>
      <c r="AU1385" s="133"/>
      <c r="AV1385" s="134"/>
    </row>
    <row r="1386" spans="19:48">
      <c r="S1386" s="134"/>
      <c r="T1386" s="134"/>
      <c r="U1386" s="134"/>
      <c r="V1386" s="134"/>
      <c r="W1386" s="134"/>
      <c r="X1386" s="134"/>
      <c r="Y1386" s="134"/>
      <c r="Z1386" s="134"/>
      <c r="AA1386" s="134"/>
      <c r="AB1386" s="134"/>
      <c r="AC1386" s="134"/>
      <c r="AD1386" s="134"/>
      <c r="AE1386" s="134"/>
      <c r="AF1386" s="146"/>
      <c r="AG1386" s="134"/>
      <c r="AH1386" s="134"/>
      <c r="AI1386" s="134"/>
      <c r="AJ1386" s="134"/>
      <c r="AK1386" s="134"/>
      <c r="AL1386" s="134"/>
      <c r="AM1386" s="146"/>
      <c r="AN1386" s="132"/>
      <c r="AO1386" s="132"/>
      <c r="AP1386" s="132"/>
      <c r="AQ1386" s="132"/>
      <c r="AR1386" s="134"/>
      <c r="AS1386" s="134"/>
      <c r="AT1386" s="132"/>
      <c r="AU1386" s="133"/>
      <c r="AV1386" s="134"/>
    </row>
    <row r="1387" spans="19:48">
      <c r="S1387" s="134"/>
      <c r="T1387" s="134"/>
      <c r="U1387" s="134"/>
      <c r="V1387" s="134"/>
      <c r="W1387" s="134"/>
      <c r="X1387" s="134"/>
      <c r="Y1387" s="134"/>
      <c r="Z1387" s="134"/>
      <c r="AA1387" s="134"/>
      <c r="AB1387" s="134"/>
      <c r="AC1387" s="134"/>
      <c r="AD1387" s="134"/>
      <c r="AE1387" s="134"/>
      <c r="AF1387" s="146"/>
      <c r="AG1387" s="134"/>
      <c r="AH1387" s="134"/>
      <c r="AI1387" s="134"/>
      <c r="AJ1387" s="134"/>
      <c r="AK1387" s="134"/>
      <c r="AL1387" s="134"/>
      <c r="AM1387" s="146"/>
      <c r="AN1387" s="132"/>
      <c r="AO1387" s="132"/>
      <c r="AP1387" s="132"/>
      <c r="AQ1387" s="132"/>
      <c r="AR1387" s="134"/>
      <c r="AS1387" s="134"/>
      <c r="AT1387" s="132"/>
      <c r="AU1387" s="133"/>
      <c r="AV1387" s="134"/>
    </row>
    <row r="1388" spans="19:48">
      <c r="S1388" s="134"/>
      <c r="T1388" s="134"/>
      <c r="U1388" s="134"/>
      <c r="V1388" s="134"/>
      <c r="W1388" s="134"/>
      <c r="X1388" s="134"/>
      <c r="Y1388" s="134"/>
      <c r="Z1388" s="134"/>
      <c r="AA1388" s="134"/>
      <c r="AB1388" s="134"/>
      <c r="AC1388" s="134"/>
      <c r="AD1388" s="134"/>
      <c r="AE1388" s="134"/>
      <c r="AF1388" s="146"/>
      <c r="AG1388" s="134"/>
      <c r="AH1388" s="134"/>
      <c r="AI1388" s="134"/>
      <c r="AJ1388" s="134"/>
      <c r="AK1388" s="134"/>
      <c r="AL1388" s="134"/>
      <c r="AM1388" s="146"/>
      <c r="AN1388" s="132"/>
      <c r="AO1388" s="132"/>
      <c r="AP1388" s="132"/>
      <c r="AQ1388" s="132"/>
      <c r="AR1388" s="134"/>
      <c r="AS1388" s="134"/>
      <c r="AT1388" s="132"/>
      <c r="AU1388" s="133"/>
      <c r="AV1388" s="134"/>
    </row>
    <row r="1389" spans="19:48">
      <c r="S1389" s="134"/>
      <c r="T1389" s="134"/>
      <c r="U1389" s="134"/>
      <c r="V1389" s="134"/>
      <c r="W1389" s="134"/>
      <c r="X1389" s="134"/>
      <c r="Y1389" s="134"/>
      <c r="Z1389" s="134"/>
      <c r="AA1389" s="134"/>
      <c r="AB1389" s="134"/>
      <c r="AC1389" s="134"/>
      <c r="AD1389" s="134"/>
      <c r="AE1389" s="134"/>
      <c r="AF1389" s="146"/>
      <c r="AG1389" s="134"/>
      <c r="AH1389" s="134"/>
      <c r="AI1389" s="134"/>
      <c r="AJ1389" s="134"/>
      <c r="AK1389" s="134"/>
      <c r="AL1389" s="134"/>
      <c r="AM1389" s="146"/>
      <c r="AN1389" s="132"/>
      <c r="AO1389" s="132"/>
      <c r="AP1389" s="132"/>
      <c r="AQ1389" s="132"/>
      <c r="AR1389" s="134"/>
      <c r="AS1389" s="134"/>
      <c r="AT1389" s="132"/>
      <c r="AU1389" s="133"/>
      <c r="AV1389" s="134"/>
    </row>
    <row r="1390" spans="19:48">
      <c r="S1390" s="134"/>
      <c r="T1390" s="134"/>
      <c r="U1390" s="134"/>
      <c r="V1390" s="134"/>
      <c r="W1390" s="134"/>
      <c r="X1390" s="134"/>
      <c r="Y1390" s="134"/>
      <c r="Z1390" s="134"/>
      <c r="AA1390" s="134"/>
      <c r="AB1390" s="134"/>
      <c r="AC1390" s="134"/>
      <c r="AD1390" s="134"/>
      <c r="AE1390" s="134"/>
      <c r="AF1390" s="146"/>
      <c r="AG1390" s="134"/>
      <c r="AH1390" s="134"/>
      <c r="AI1390" s="134"/>
      <c r="AJ1390" s="134"/>
      <c r="AK1390" s="134"/>
      <c r="AL1390" s="134"/>
      <c r="AM1390" s="146"/>
      <c r="AN1390" s="132"/>
      <c r="AO1390" s="132"/>
      <c r="AP1390" s="132"/>
      <c r="AQ1390" s="132"/>
      <c r="AR1390" s="134"/>
      <c r="AS1390" s="134"/>
      <c r="AT1390" s="132"/>
      <c r="AU1390" s="133"/>
      <c r="AV1390" s="134"/>
    </row>
    <row r="1391" spans="19:48">
      <c r="S1391" s="134"/>
      <c r="T1391" s="134"/>
      <c r="U1391" s="134"/>
      <c r="V1391" s="134"/>
      <c r="W1391" s="134"/>
      <c r="X1391" s="134"/>
      <c r="Y1391" s="134"/>
      <c r="Z1391" s="134"/>
      <c r="AA1391" s="134"/>
      <c r="AB1391" s="134"/>
      <c r="AC1391" s="134"/>
      <c r="AD1391" s="134"/>
      <c r="AE1391" s="134"/>
      <c r="AF1391" s="146"/>
      <c r="AG1391" s="134"/>
      <c r="AH1391" s="134"/>
      <c r="AI1391" s="134"/>
      <c r="AJ1391" s="134"/>
      <c r="AK1391" s="134"/>
      <c r="AL1391" s="134"/>
      <c r="AM1391" s="146"/>
      <c r="AN1391" s="132"/>
      <c r="AO1391" s="132"/>
      <c r="AP1391" s="132"/>
      <c r="AQ1391" s="132"/>
      <c r="AR1391" s="134"/>
      <c r="AS1391" s="134"/>
      <c r="AT1391" s="132"/>
      <c r="AU1391" s="133"/>
      <c r="AV1391" s="134"/>
    </row>
    <row r="1392" spans="19:48">
      <c r="S1392" s="134"/>
      <c r="T1392" s="134"/>
      <c r="U1392" s="134"/>
      <c r="V1392" s="134"/>
      <c r="W1392" s="134"/>
      <c r="X1392" s="134"/>
      <c r="Y1392" s="134"/>
      <c r="Z1392" s="134"/>
      <c r="AA1392" s="134"/>
      <c r="AB1392" s="134"/>
      <c r="AC1392" s="134"/>
      <c r="AD1392" s="134"/>
      <c r="AE1392" s="134"/>
      <c r="AF1392" s="146"/>
      <c r="AG1392" s="134"/>
      <c r="AH1392" s="134"/>
      <c r="AI1392" s="134"/>
      <c r="AJ1392" s="134"/>
      <c r="AK1392" s="134"/>
      <c r="AL1392" s="134"/>
      <c r="AM1392" s="146"/>
      <c r="AN1392" s="132"/>
      <c r="AO1392" s="132"/>
      <c r="AP1392" s="132"/>
      <c r="AQ1392" s="132"/>
      <c r="AR1392" s="134"/>
      <c r="AS1392" s="134"/>
      <c r="AT1392" s="132"/>
      <c r="AU1392" s="133"/>
      <c r="AV1392" s="134"/>
    </row>
    <row r="1393" spans="19:48">
      <c r="S1393" s="134"/>
      <c r="T1393" s="134"/>
      <c r="U1393" s="134"/>
      <c r="V1393" s="134"/>
      <c r="W1393" s="134"/>
      <c r="X1393" s="134"/>
      <c r="Y1393" s="134"/>
      <c r="Z1393" s="134"/>
      <c r="AA1393" s="134"/>
      <c r="AB1393" s="134"/>
      <c r="AC1393" s="134"/>
      <c r="AD1393" s="134"/>
      <c r="AE1393" s="134"/>
      <c r="AF1393" s="146"/>
      <c r="AG1393" s="134"/>
      <c r="AH1393" s="134"/>
      <c r="AI1393" s="134"/>
      <c r="AJ1393" s="134"/>
      <c r="AK1393" s="134"/>
      <c r="AL1393" s="134"/>
      <c r="AM1393" s="146"/>
      <c r="AN1393" s="132"/>
      <c r="AO1393" s="132"/>
      <c r="AP1393" s="132"/>
      <c r="AQ1393" s="132"/>
      <c r="AR1393" s="134"/>
      <c r="AS1393" s="134"/>
      <c r="AT1393" s="132"/>
      <c r="AU1393" s="133"/>
      <c r="AV1393" s="134"/>
    </row>
    <row r="1394" spans="19:48">
      <c r="S1394" s="134"/>
      <c r="T1394" s="134"/>
      <c r="U1394" s="134"/>
      <c r="V1394" s="134"/>
      <c r="W1394" s="134"/>
      <c r="X1394" s="134"/>
      <c r="Y1394" s="134"/>
      <c r="Z1394" s="134"/>
      <c r="AA1394" s="134"/>
      <c r="AB1394" s="134"/>
      <c r="AC1394" s="134"/>
      <c r="AD1394" s="134"/>
      <c r="AE1394" s="134"/>
      <c r="AF1394" s="146"/>
      <c r="AG1394" s="134"/>
      <c r="AH1394" s="134"/>
      <c r="AI1394" s="134"/>
      <c r="AJ1394" s="134"/>
      <c r="AK1394" s="134"/>
      <c r="AL1394" s="134"/>
      <c r="AM1394" s="146"/>
      <c r="AN1394" s="132"/>
      <c r="AO1394" s="132"/>
      <c r="AP1394" s="132"/>
      <c r="AQ1394" s="132"/>
      <c r="AR1394" s="134"/>
      <c r="AS1394" s="134"/>
      <c r="AT1394" s="132"/>
      <c r="AU1394" s="133"/>
      <c r="AV1394" s="134"/>
    </row>
    <row r="1395" spans="19:48">
      <c r="S1395" s="134"/>
      <c r="T1395" s="134"/>
      <c r="U1395" s="134"/>
      <c r="V1395" s="134"/>
      <c r="W1395" s="134"/>
      <c r="X1395" s="134"/>
      <c r="Y1395" s="134"/>
      <c r="Z1395" s="134"/>
      <c r="AA1395" s="134"/>
      <c r="AB1395" s="134"/>
      <c r="AC1395" s="134"/>
      <c r="AD1395" s="134"/>
      <c r="AE1395" s="134"/>
      <c r="AF1395" s="146"/>
      <c r="AG1395" s="134"/>
      <c r="AH1395" s="134"/>
      <c r="AI1395" s="134"/>
      <c r="AJ1395" s="134"/>
      <c r="AK1395" s="134"/>
      <c r="AL1395" s="134"/>
      <c r="AM1395" s="146"/>
      <c r="AN1395" s="132"/>
      <c r="AO1395" s="132"/>
      <c r="AP1395" s="132"/>
      <c r="AQ1395" s="132"/>
      <c r="AR1395" s="134"/>
      <c r="AS1395" s="134"/>
      <c r="AT1395" s="132"/>
      <c r="AU1395" s="133"/>
      <c r="AV1395" s="134"/>
    </row>
    <row r="1396" spans="19:48">
      <c r="S1396" s="134"/>
      <c r="T1396" s="134"/>
      <c r="U1396" s="134"/>
      <c r="V1396" s="134"/>
      <c r="W1396" s="134"/>
      <c r="X1396" s="134"/>
      <c r="Y1396" s="134"/>
      <c r="Z1396" s="134"/>
      <c r="AA1396" s="134"/>
      <c r="AB1396" s="134"/>
      <c r="AC1396" s="134"/>
      <c r="AD1396" s="134"/>
      <c r="AE1396" s="134"/>
      <c r="AF1396" s="146"/>
      <c r="AG1396" s="134"/>
      <c r="AH1396" s="134"/>
      <c r="AI1396" s="134"/>
      <c r="AJ1396" s="134"/>
      <c r="AK1396" s="134"/>
      <c r="AL1396" s="134"/>
      <c r="AM1396" s="146"/>
      <c r="AN1396" s="132"/>
      <c r="AO1396" s="132"/>
      <c r="AP1396" s="132"/>
      <c r="AQ1396" s="132"/>
      <c r="AR1396" s="134"/>
      <c r="AS1396" s="134"/>
      <c r="AT1396" s="132"/>
      <c r="AU1396" s="133"/>
      <c r="AV1396" s="134"/>
    </row>
    <row r="1397" spans="19:48">
      <c r="S1397" s="134"/>
      <c r="T1397" s="134"/>
      <c r="U1397" s="134"/>
      <c r="V1397" s="134"/>
      <c r="W1397" s="134"/>
      <c r="X1397" s="134"/>
      <c r="Y1397" s="134"/>
      <c r="Z1397" s="134"/>
      <c r="AA1397" s="134"/>
      <c r="AB1397" s="134"/>
      <c r="AC1397" s="134"/>
      <c r="AD1397" s="134"/>
      <c r="AE1397" s="134"/>
      <c r="AF1397" s="146"/>
      <c r="AG1397" s="134"/>
      <c r="AH1397" s="134"/>
      <c r="AI1397" s="134"/>
      <c r="AJ1397" s="134"/>
      <c r="AK1397" s="134"/>
      <c r="AL1397" s="134"/>
      <c r="AM1397" s="146"/>
      <c r="AN1397" s="132"/>
      <c r="AO1397" s="132"/>
      <c r="AP1397" s="132"/>
      <c r="AQ1397" s="132"/>
      <c r="AR1397" s="134"/>
      <c r="AS1397" s="134"/>
      <c r="AT1397" s="132"/>
      <c r="AU1397" s="133"/>
      <c r="AV1397" s="134"/>
    </row>
    <row r="1398" spans="19:48">
      <c r="S1398" s="134"/>
      <c r="T1398" s="134"/>
      <c r="U1398" s="134"/>
      <c r="V1398" s="134"/>
      <c r="W1398" s="134"/>
      <c r="X1398" s="134"/>
      <c r="Y1398" s="134"/>
      <c r="Z1398" s="134"/>
      <c r="AA1398" s="134"/>
      <c r="AB1398" s="134"/>
      <c r="AC1398" s="134"/>
      <c r="AD1398" s="134"/>
      <c r="AE1398" s="134"/>
      <c r="AF1398" s="146"/>
      <c r="AG1398" s="134"/>
      <c r="AH1398" s="134"/>
      <c r="AI1398" s="134"/>
      <c r="AJ1398" s="134"/>
      <c r="AK1398" s="134"/>
      <c r="AL1398" s="134"/>
      <c r="AM1398" s="146"/>
      <c r="AN1398" s="132"/>
      <c r="AO1398" s="132"/>
      <c r="AP1398" s="132"/>
      <c r="AQ1398" s="132"/>
      <c r="AR1398" s="134"/>
      <c r="AS1398" s="134"/>
      <c r="AT1398" s="132"/>
      <c r="AU1398" s="133"/>
      <c r="AV1398" s="134"/>
    </row>
    <row r="1399" spans="19:48">
      <c r="S1399" s="134"/>
      <c r="T1399" s="134"/>
      <c r="U1399" s="134"/>
      <c r="V1399" s="134"/>
      <c r="W1399" s="134"/>
      <c r="X1399" s="134"/>
      <c r="Y1399" s="134"/>
      <c r="Z1399" s="134"/>
      <c r="AA1399" s="134"/>
      <c r="AB1399" s="134"/>
      <c r="AC1399" s="134"/>
      <c r="AD1399" s="134"/>
      <c r="AE1399" s="134"/>
      <c r="AF1399" s="146"/>
      <c r="AG1399" s="134"/>
      <c r="AH1399" s="134"/>
      <c r="AI1399" s="134"/>
      <c r="AJ1399" s="134"/>
      <c r="AK1399" s="134"/>
      <c r="AL1399" s="134"/>
      <c r="AM1399" s="146"/>
      <c r="AN1399" s="132"/>
      <c r="AO1399" s="132"/>
      <c r="AP1399" s="132"/>
      <c r="AQ1399" s="132"/>
      <c r="AR1399" s="134"/>
      <c r="AS1399" s="134"/>
      <c r="AT1399" s="132"/>
      <c r="AU1399" s="133"/>
      <c r="AV1399" s="134"/>
    </row>
    <row r="1400" spans="19:48">
      <c r="S1400" s="134"/>
      <c r="T1400" s="134"/>
      <c r="U1400" s="134"/>
      <c r="V1400" s="134"/>
      <c r="W1400" s="134"/>
      <c r="X1400" s="134"/>
      <c r="Y1400" s="134"/>
      <c r="Z1400" s="134"/>
      <c r="AA1400" s="134"/>
      <c r="AB1400" s="134"/>
      <c r="AC1400" s="134"/>
      <c r="AD1400" s="134"/>
      <c r="AE1400" s="134"/>
      <c r="AF1400" s="146"/>
      <c r="AG1400" s="134"/>
      <c r="AH1400" s="134"/>
      <c r="AI1400" s="134"/>
      <c r="AJ1400" s="134"/>
      <c r="AK1400" s="134"/>
      <c r="AL1400" s="134"/>
      <c r="AM1400" s="146"/>
      <c r="AN1400" s="132"/>
      <c r="AO1400" s="132"/>
      <c r="AP1400" s="132"/>
      <c r="AQ1400" s="132"/>
      <c r="AR1400" s="134"/>
      <c r="AS1400" s="134"/>
      <c r="AT1400" s="132"/>
      <c r="AU1400" s="133"/>
      <c r="AV1400" s="134"/>
    </row>
    <row r="1401" spans="19:48">
      <c r="S1401" s="134"/>
      <c r="T1401" s="134"/>
      <c r="U1401" s="134"/>
      <c r="V1401" s="134"/>
      <c r="W1401" s="134"/>
      <c r="X1401" s="134"/>
      <c r="Y1401" s="134"/>
      <c r="Z1401" s="134"/>
      <c r="AA1401" s="134"/>
      <c r="AB1401" s="134"/>
      <c r="AC1401" s="134"/>
      <c r="AD1401" s="134"/>
      <c r="AE1401" s="134"/>
      <c r="AF1401" s="146"/>
      <c r="AG1401" s="134"/>
      <c r="AH1401" s="134"/>
      <c r="AI1401" s="134"/>
      <c r="AJ1401" s="134"/>
      <c r="AK1401" s="134"/>
      <c r="AL1401" s="134"/>
      <c r="AM1401" s="146"/>
      <c r="AN1401" s="132"/>
      <c r="AO1401" s="132"/>
      <c r="AP1401" s="132"/>
      <c r="AQ1401" s="132"/>
      <c r="AR1401" s="134"/>
      <c r="AS1401" s="134"/>
      <c r="AT1401" s="132"/>
      <c r="AU1401" s="133"/>
      <c r="AV1401" s="134"/>
    </row>
    <row r="1402" spans="19:48">
      <c r="S1402" s="134"/>
      <c r="T1402" s="134"/>
      <c r="U1402" s="134"/>
      <c r="V1402" s="134"/>
      <c r="W1402" s="134"/>
      <c r="X1402" s="134"/>
      <c r="Y1402" s="134"/>
      <c r="Z1402" s="134"/>
      <c r="AA1402" s="134"/>
      <c r="AB1402" s="134"/>
      <c r="AC1402" s="134"/>
      <c r="AD1402" s="134"/>
      <c r="AE1402" s="134"/>
      <c r="AF1402" s="146"/>
      <c r="AG1402" s="134"/>
      <c r="AH1402" s="134"/>
      <c r="AI1402" s="134"/>
      <c r="AJ1402" s="134"/>
      <c r="AK1402" s="134"/>
      <c r="AL1402" s="134"/>
      <c r="AM1402" s="146"/>
      <c r="AN1402" s="132"/>
      <c r="AO1402" s="132"/>
      <c r="AP1402" s="132"/>
      <c r="AQ1402" s="132"/>
      <c r="AR1402" s="134"/>
      <c r="AS1402" s="134"/>
      <c r="AT1402" s="132"/>
      <c r="AU1402" s="133"/>
      <c r="AV1402" s="134"/>
    </row>
    <row r="1403" spans="19:48">
      <c r="S1403" s="134"/>
      <c r="T1403" s="134"/>
      <c r="U1403" s="134"/>
      <c r="V1403" s="134"/>
      <c r="W1403" s="134"/>
      <c r="X1403" s="134"/>
      <c r="Y1403" s="134"/>
      <c r="Z1403" s="134"/>
      <c r="AA1403" s="134"/>
      <c r="AB1403" s="134"/>
      <c r="AC1403" s="134"/>
      <c r="AD1403" s="134"/>
      <c r="AE1403" s="134"/>
      <c r="AF1403" s="146"/>
      <c r="AG1403" s="134"/>
      <c r="AH1403" s="134"/>
      <c r="AI1403" s="134"/>
      <c r="AJ1403" s="134"/>
      <c r="AK1403" s="134"/>
      <c r="AL1403" s="134"/>
      <c r="AM1403" s="146"/>
      <c r="AN1403" s="132"/>
      <c r="AO1403" s="132"/>
      <c r="AP1403" s="132"/>
      <c r="AQ1403" s="132"/>
      <c r="AR1403" s="134"/>
      <c r="AS1403" s="134"/>
      <c r="AT1403" s="132"/>
      <c r="AU1403" s="133"/>
      <c r="AV1403" s="134"/>
    </row>
    <row r="1404" spans="19:48">
      <c r="S1404" s="134"/>
      <c r="T1404" s="134"/>
      <c r="U1404" s="134"/>
      <c r="V1404" s="134"/>
      <c r="W1404" s="134"/>
      <c r="X1404" s="134"/>
      <c r="Y1404" s="134"/>
      <c r="Z1404" s="134"/>
      <c r="AA1404" s="134"/>
      <c r="AB1404" s="134"/>
      <c r="AC1404" s="134"/>
      <c r="AD1404" s="134"/>
      <c r="AE1404" s="134"/>
      <c r="AF1404" s="146"/>
      <c r="AG1404" s="134"/>
      <c r="AH1404" s="134"/>
      <c r="AI1404" s="134"/>
      <c r="AJ1404" s="134"/>
      <c r="AK1404" s="134"/>
      <c r="AL1404" s="134"/>
      <c r="AM1404" s="146"/>
      <c r="AN1404" s="132"/>
      <c r="AO1404" s="132"/>
      <c r="AP1404" s="132"/>
      <c r="AQ1404" s="132"/>
      <c r="AR1404" s="134"/>
      <c r="AS1404" s="134"/>
      <c r="AT1404" s="132"/>
      <c r="AU1404" s="133"/>
      <c r="AV1404" s="134"/>
    </row>
    <row r="1405" spans="19:48">
      <c r="S1405" s="134"/>
      <c r="T1405" s="134"/>
      <c r="U1405" s="134"/>
      <c r="V1405" s="134"/>
      <c r="W1405" s="134"/>
      <c r="X1405" s="134"/>
      <c r="Y1405" s="134"/>
      <c r="Z1405" s="134"/>
      <c r="AA1405" s="134"/>
      <c r="AB1405" s="134"/>
      <c r="AC1405" s="134"/>
      <c r="AD1405" s="134"/>
      <c r="AE1405" s="134"/>
      <c r="AF1405" s="146"/>
      <c r="AG1405" s="134"/>
      <c r="AH1405" s="134"/>
      <c r="AI1405" s="134"/>
      <c r="AJ1405" s="134"/>
      <c r="AK1405" s="134"/>
      <c r="AL1405" s="134"/>
      <c r="AM1405" s="146"/>
      <c r="AN1405" s="132"/>
      <c r="AO1405" s="132"/>
      <c r="AP1405" s="132"/>
      <c r="AQ1405" s="132"/>
      <c r="AR1405" s="134"/>
      <c r="AS1405" s="134"/>
      <c r="AT1405" s="132"/>
      <c r="AU1405" s="133"/>
      <c r="AV1405" s="134"/>
    </row>
    <row r="1406" spans="19:48">
      <c r="S1406" s="134"/>
      <c r="T1406" s="134"/>
      <c r="U1406" s="134"/>
      <c r="V1406" s="134"/>
      <c r="W1406" s="134"/>
      <c r="X1406" s="134"/>
      <c r="Y1406" s="134"/>
      <c r="Z1406" s="134"/>
      <c r="AA1406" s="134"/>
      <c r="AB1406" s="134"/>
      <c r="AC1406" s="134"/>
      <c r="AD1406" s="134"/>
      <c r="AE1406" s="134"/>
      <c r="AF1406" s="146"/>
      <c r="AG1406" s="134"/>
      <c r="AH1406" s="134"/>
      <c r="AI1406" s="134"/>
      <c r="AJ1406" s="134"/>
      <c r="AK1406" s="134"/>
      <c r="AL1406" s="134"/>
      <c r="AM1406" s="146"/>
      <c r="AN1406" s="132"/>
      <c r="AO1406" s="132"/>
      <c r="AP1406" s="132"/>
      <c r="AQ1406" s="132"/>
      <c r="AR1406" s="134"/>
      <c r="AS1406" s="134"/>
      <c r="AT1406" s="132"/>
      <c r="AU1406" s="133"/>
      <c r="AV1406" s="134"/>
    </row>
    <row r="1407" spans="19:48">
      <c r="S1407" s="134"/>
      <c r="T1407" s="134"/>
      <c r="U1407" s="134"/>
      <c r="V1407" s="134"/>
      <c r="W1407" s="134"/>
      <c r="X1407" s="134"/>
      <c r="Y1407" s="134"/>
      <c r="Z1407" s="134"/>
      <c r="AA1407" s="134"/>
      <c r="AB1407" s="134"/>
      <c r="AC1407" s="134"/>
      <c r="AD1407" s="134"/>
      <c r="AE1407" s="134"/>
      <c r="AF1407" s="146"/>
      <c r="AG1407" s="134"/>
      <c r="AH1407" s="134"/>
      <c r="AI1407" s="134"/>
      <c r="AJ1407" s="134"/>
      <c r="AK1407" s="134"/>
      <c r="AL1407" s="134"/>
      <c r="AM1407" s="146"/>
      <c r="AN1407" s="132"/>
      <c r="AO1407" s="132"/>
      <c r="AP1407" s="132"/>
      <c r="AQ1407" s="132"/>
      <c r="AR1407" s="134"/>
      <c r="AS1407" s="134"/>
      <c r="AT1407" s="132"/>
      <c r="AU1407" s="133"/>
      <c r="AV1407" s="134"/>
    </row>
    <row r="1408" spans="19:48">
      <c r="S1408" s="134"/>
      <c r="T1408" s="134"/>
      <c r="U1408" s="134"/>
      <c r="V1408" s="134"/>
      <c r="W1408" s="134"/>
      <c r="X1408" s="134"/>
      <c r="Y1408" s="134"/>
      <c r="Z1408" s="134"/>
      <c r="AA1408" s="134"/>
      <c r="AB1408" s="134"/>
      <c r="AC1408" s="134"/>
      <c r="AD1408" s="134"/>
      <c r="AE1408" s="134"/>
      <c r="AF1408" s="146"/>
      <c r="AG1408" s="134"/>
      <c r="AH1408" s="134"/>
      <c r="AI1408" s="134"/>
      <c r="AJ1408" s="134"/>
      <c r="AK1408" s="134"/>
      <c r="AL1408" s="134"/>
      <c r="AM1408" s="146"/>
      <c r="AN1408" s="132"/>
      <c r="AO1408" s="132"/>
      <c r="AP1408" s="132"/>
      <c r="AQ1408" s="132"/>
      <c r="AR1408" s="134"/>
      <c r="AS1408" s="134"/>
      <c r="AT1408" s="132"/>
      <c r="AU1408" s="133"/>
      <c r="AV1408" s="134"/>
    </row>
    <row r="1409" spans="19:48">
      <c r="S1409" s="134"/>
      <c r="T1409" s="134"/>
      <c r="U1409" s="134"/>
      <c r="V1409" s="134"/>
      <c r="W1409" s="134"/>
      <c r="X1409" s="134"/>
      <c r="Y1409" s="134"/>
      <c r="Z1409" s="134"/>
      <c r="AA1409" s="134"/>
      <c r="AB1409" s="134"/>
      <c r="AC1409" s="134"/>
      <c r="AD1409" s="134"/>
      <c r="AE1409" s="134"/>
      <c r="AF1409" s="146"/>
      <c r="AG1409" s="134"/>
      <c r="AH1409" s="134"/>
      <c r="AI1409" s="134"/>
      <c r="AJ1409" s="134"/>
      <c r="AK1409" s="134"/>
      <c r="AL1409" s="134"/>
      <c r="AM1409" s="146"/>
      <c r="AN1409" s="132"/>
      <c r="AO1409" s="132"/>
      <c r="AP1409" s="132"/>
      <c r="AQ1409" s="132"/>
      <c r="AR1409" s="134"/>
      <c r="AS1409" s="134"/>
      <c r="AT1409" s="132"/>
      <c r="AU1409" s="133"/>
      <c r="AV1409" s="134"/>
    </row>
    <row r="1410" spans="19:48">
      <c r="S1410" s="134"/>
      <c r="T1410" s="134"/>
      <c r="U1410" s="134"/>
      <c r="V1410" s="134"/>
      <c r="W1410" s="134"/>
      <c r="X1410" s="134"/>
      <c r="Y1410" s="134"/>
      <c r="Z1410" s="134"/>
      <c r="AA1410" s="134"/>
      <c r="AB1410" s="134"/>
      <c r="AC1410" s="134"/>
      <c r="AD1410" s="134"/>
      <c r="AE1410" s="134"/>
      <c r="AF1410" s="146"/>
      <c r="AG1410" s="134"/>
      <c r="AH1410" s="134"/>
      <c r="AI1410" s="134"/>
      <c r="AJ1410" s="134"/>
      <c r="AK1410" s="134"/>
      <c r="AL1410" s="134"/>
      <c r="AM1410" s="146"/>
      <c r="AN1410" s="132"/>
      <c r="AO1410" s="132"/>
      <c r="AP1410" s="132"/>
      <c r="AQ1410" s="132"/>
      <c r="AR1410" s="134"/>
      <c r="AS1410" s="134"/>
      <c r="AT1410" s="132"/>
      <c r="AU1410" s="133"/>
      <c r="AV1410" s="134"/>
    </row>
    <row r="1411" spans="19:48">
      <c r="S1411" s="134"/>
      <c r="T1411" s="134"/>
      <c r="U1411" s="134"/>
      <c r="V1411" s="134"/>
      <c r="W1411" s="134"/>
      <c r="X1411" s="134"/>
      <c r="Y1411" s="134"/>
      <c r="Z1411" s="134"/>
      <c r="AA1411" s="134"/>
      <c r="AB1411" s="134"/>
      <c r="AC1411" s="134"/>
      <c r="AD1411" s="134"/>
      <c r="AE1411" s="134"/>
      <c r="AF1411" s="146"/>
      <c r="AG1411" s="134"/>
      <c r="AH1411" s="134"/>
      <c r="AI1411" s="134"/>
      <c r="AJ1411" s="134"/>
      <c r="AK1411" s="134"/>
      <c r="AL1411" s="134"/>
      <c r="AM1411" s="146"/>
      <c r="AN1411" s="132"/>
      <c r="AO1411" s="132"/>
      <c r="AP1411" s="132"/>
      <c r="AQ1411" s="132"/>
      <c r="AR1411" s="134"/>
      <c r="AS1411" s="134"/>
      <c r="AT1411" s="132"/>
      <c r="AU1411" s="133"/>
      <c r="AV1411" s="134"/>
    </row>
    <row r="1412" spans="19:48">
      <c r="S1412" s="134"/>
      <c r="T1412" s="134"/>
      <c r="U1412" s="134"/>
      <c r="V1412" s="134"/>
      <c r="W1412" s="134"/>
      <c r="X1412" s="134"/>
      <c r="Y1412" s="134"/>
      <c r="Z1412" s="134"/>
      <c r="AA1412" s="134"/>
      <c r="AB1412" s="134"/>
      <c r="AC1412" s="134"/>
      <c r="AD1412" s="134"/>
      <c r="AE1412" s="134"/>
      <c r="AF1412" s="146"/>
      <c r="AG1412" s="134"/>
      <c r="AH1412" s="134"/>
      <c r="AI1412" s="134"/>
      <c r="AJ1412" s="134"/>
      <c r="AK1412" s="134"/>
      <c r="AL1412" s="134"/>
      <c r="AM1412" s="146"/>
      <c r="AN1412" s="132"/>
      <c r="AO1412" s="132"/>
      <c r="AP1412" s="132"/>
      <c r="AQ1412" s="132"/>
      <c r="AR1412" s="134"/>
      <c r="AS1412" s="134"/>
      <c r="AT1412" s="132"/>
      <c r="AU1412" s="133"/>
      <c r="AV1412" s="134"/>
    </row>
    <row r="1413" spans="19:48">
      <c r="S1413" s="134"/>
      <c r="T1413" s="134"/>
      <c r="U1413" s="134"/>
      <c r="V1413" s="134"/>
      <c r="W1413" s="134"/>
      <c r="X1413" s="134"/>
      <c r="Y1413" s="134"/>
      <c r="Z1413" s="134"/>
      <c r="AA1413" s="134"/>
      <c r="AB1413" s="134"/>
      <c r="AC1413" s="134"/>
      <c r="AD1413" s="134"/>
      <c r="AE1413" s="134"/>
      <c r="AF1413" s="146"/>
      <c r="AG1413" s="134"/>
      <c r="AH1413" s="134"/>
      <c r="AI1413" s="134"/>
      <c r="AJ1413" s="134"/>
      <c r="AK1413" s="134"/>
      <c r="AL1413" s="134"/>
      <c r="AM1413" s="146"/>
      <c r="AN1413" s="132"/>
      <c r="AO1413" s="132"/>
      <c r="AP1413" s="132"/>
      <c r="AQ1413" s="132"/>
      <c r="AR1413" s="134"/>
      <c r="AS1413" s="134"/>
      <c r="AT1413" s="132"/>
      <c r="AU1413" s="133"/>
      <c r="AV1413" s="134"/>
    </row>
    <row r="1414" spans="19:48">
      <c r="S1414" s="134"/>
      <c r="T1414" s="134"/>
      <c r="U1414" s="134"/>
      <c r="V1414" s="134"/>
      <c r="W1414" s="134"/>
      <c r="X1414" s="134"/>
      <c r="Y1414" s="134"/>
      <c r="Z1414" s="134"/>
      <c r="AA1414" s="134"/>
      <c r="AB1414" s="134"/>
      <c r="AC1414" s="134"/>
      <c r="AD1414" s="134"/>
      <c r="AE1414" s="134"/>
      <c r="AF1414" s="146"/>
      <c r="AG1414" s="134"/>
      <c r="AH1414" s="134"/>
      <c r="AI1414" s="134"/>
      <c r="AJ1414" s="134"/>
      <c r="AK1414" s="134"/>
      <c r="AL1414" s="134"/>
      <c r="AM1414" s="146"/>
      <c r="AN1414" s="132"/>
      <c r="AO1414" s="132"/>
      <c r="AP1414" s="132"/>
      <c r="AQ1414" s="132"/>
      <c r="AR1414" s="134"/>
      <c r="AS1414" s="134"/>
      <c r="AT1414" s="132"/>
      <c r="AU1414" s="133"/>
      <c r="AV1414" s="134"/>
    </row>
    <row r="1415" spans="19:48">
      <c r="S1415" s="134"/>
      <c r="T1415" s="134"/>
      <c r="U1415" s="134"/>
      <c r="V1415" s="134"/>
      <c r="W1415" s="134"/>
      <c r="X1415" s="134"/>
      <c r="Y1415" s="134"/>
      <c r="Z1415" s="134"/>
      <c r="AA1415" s="134"/>
      <c r="AB1415" s="134"/>
      <c r="AC1415" s="134"/>
      <c r="AD1415" s="134"/>
      <c r="AE1415" s="134"/>
      <c r="AF1415" s="146"/>
      <c r="AG1415" s="134"/>
      <c r="AH1415" s="134"/>
      <c r="AI1415" s="134"/>
      <c r="AJ1415" s="134"/>
      <c r="AK1415" s="134"/>
      <c r="AL1415" s="134"/>
      <c r="AM1415" s="146"/>
      <c r="AN1415" s="132"/>
      <c r="AO1415" s="132"/>
      <c r="AP1415" s="132"/>
      <c r="AQ1415" s="132"/>
      <c r="AR1415" s="134"/>
      <c r="AS1415" s="134"/>
      <c r="AT1415" s="132"/>
      <c r="AU1415" s="133"/>
      <c r="AV1415" s="134"/>
    </row>
    <row r="1416" spans="19:48">
      <c r="S1416" s="134"/>
      <c r="T1416" s="134"/>
      <c r="U1416" s="134"/>
      <c r="V1416" s="134"/>
      <c r="W1416" s="134"/>
      <c r="X1416" s="134"/>
      <c r="Y1416" s="134"/>
      <c r="Z1416" s="134"/>
      <c r="AA1416" s="134"/>
      <c r="AB1416" s="134"/>
      <c r="AC1416" s="134"/>
      <c r="AD1416" s="134"/>
      <c r="AE1416" s="134"/>
      <c r="AF1416" s="146"/>
      <c r="AG1416" s="134"/>
      <c r="AH1416" s="134"/>
      <c r="AI1416" s="134"/>
      <c r="AJ1416" s="134"/>
      <c r="AK1416" s="134"/>
      <c r="AL1416" s="134"/>
      <c r="AM1416" s="146"/>
      <c r="AN1416" s="132"/>
      <c r="AO1416" s="132"/>
      <c r="AP1416" s="132"/>
      <c r="AQ1416" s="132"/>
      <c r="AR1416" s="134"/>
      <c r="AS1416" s="134"/>
      <c r="AT1416" s="132"/>
      <c r="AU1416" s="133"/>
      <c r="AV1416" s="134"/>
    </row>
    <row r="1417" spans="19:48">
      <c r="S1417" s="134"/>
      <c r="T1417" s="134"/>
      <c r="U1417" s="134"/>
      <c r="V1417" s="134"/>
      <c r="W1417" s="134"/>
      <c r="X1417" s="134"/>
      <c r="Y1417" s="134"/>
      <c r="Z1417" s="134"/>
      <c r="AA1417" s="134"/>
      <c r="AB1417" s="134"/>
      <c r="AC1417" s="134"/>
      <c r="AD1417" s="134"/>
      <c r="AE1417" s="134"/>
      <c r="AF1417" s="146"/>
      <c r="AG1417" s="134"/>
      <c r="AH1417" s="134"/>
      <c r="AI1417" s="134"/>
      <c r="AJ1417" s="134"/>
      <c r="AK1417" s="134"/>
      <c r="AL1417" s="134"/>
      <c r="AM1417" s="146"/>
      <c r="AN1417" s="132"/>
      <c r="AO1417" s="132"/>
      <c r="AP1417" s="132"/>
      <c r="AQ1417" s="132"/>
      <c r="AR1417" s="134"/>
      <c r="AS1417" s="134"/>
      <c r="AT1417" s="132"/>
      <c r="AU1417" s="133"/>
      <c r="AV1417" s="134"/>
    </row>
    <row r="1418" spans="19:48">
      <c r="S1418" s="134"/>
      <c r="T1418" s="134"/>
      <c r="U1418" s="134"/>
      <c r="V1418" s="134"/>
      <c r="W1418" s="134"/>
      <c r="X1418" s="134"/>
      <c r="Y1418" s="134"/>
      <c r="Z1418" s="134"/>
      <c r="AA1418" s="134"/>
      <c r="AB1418" s="134"/>
      <c r="AC1418" s="134"/>
      <c r="AD1418" s="134"/>
      <c r="AE1418" s="134"/>
      <c r="AF1418" s="146"/>
      <c r="AG1418" s="134"/>
      <c r="AH1418" s="134"/>
      <c r="AI1418" s="134"/>
      <c r="AJ1418" s="134"/>
      <c r="AK1418" s="134"/>
      <c r="AL1418" s="134"/>
      <c r="AM1418" s="146"/>
      <c r="AN1418" s="132"/>
      <c r="AO1418" s="132"/>
      <c r="AP1418" s="132"/>
      <c r="AQ1418" s="132"/>
      <c r="AR1418" s="134"/>
      <c r="AS1418" s="134"/>
      <c r="AT1418" s="132"/>
      <c r="AU1418" s="133"/>
      <c r="AV1418" s="134"/>
    </row>
    <row r="1419" spans="19:48">
      <c r="S1419" s="134"/>
      <c r="T1419" s="134"/>
      <c r="U1419" s="134"/>
      <c r="V1419" s="134"/>
      <c r="W1419" s="134"/>
      <c r="X1419" s="134"/>
      <c r="Y1419" s="134"/>
      <c r="Z1419" s="134"/>
      <c r="AA1419" s="134"/>
      <c r="AB1419" s="134"/>
      <c r="AC1419" s="134"/>
      <c r="AD1419" s="134"/>
      <c r="AE1419" s="134"/>
      <c r="AF1419" s="146"/>
      <c r="AG1419" s="134"/>
      <c r="AH1419" s="134"/>
      <c r="AI1419" s="134"/>
      <c r="AJ1419" s="134"/>
      <c r="AK1419" s="134"/>
      <c r="AL1419" s="134"/>
      <c r="AM1419" s="146"/>
      <c r="AN1419" s="132"/>
      <c r="AO1419" s="132"/>
      <c r="AP1419" s="132"/>
      <c r="AQ1419" s="132"/>
      <c r="AR1419" s="134"/>
      <c r="AS1419" s="134"/>
      <c r="AT1419" s="132"/>
      <c r="AU1419" s="133"/>
      <c r="AV1419" s="134"/>
    </row>
    <row r="1420" spans="19:48">
      <c r="S1420" s="134"/>
      <c r="T1420" s="134"/>
      <c r="U1420" s="134"/>
      <c r="V1420" s="134"/>
      <c r="W1420" s="134"/>
      <c r="X1420" s="134"/>
      <c r="Y1420" s="134"/>
      <c r="Z1420" s="134"/>
      <c r="AA1420" s="134"/>
      <c r="AB1420" s="134"/>
      <c r="AC1420" s="134"/>
      <c r="AD1420" s="134"/>
      <c r="AE1420" s="134"/>
      <c r="AF1420" s="146"/>
      <c r="AG1420" s="134"/>
      <c r="AH1420" s="134"/>
      <c r="AI1420" s="134"/>
      <c r="AJ1420" s="134"/>
      <c r="AK1420" s="134"/>
      <c r="AL1420" s="134"/>
      <c r="AM1420" s="146"/>
      <c r="AN1420" s="132"/>
      <c r="AO1420" s="132"/>
      <c r="AP1420" s="132"/>
      <c r="AQ1420" s="132"/>
      <c r="AR1420" s="134"/>
      <c r="AS1420" s="134"/>
      <c r="AT1420" s="132"/>
      <c r="AU1420" s="133"/>
      <c r="AV1420" s="134"/>
    </row>
    <row r="1421" spans="19:48">
      <c r="S1421" s="134"/>
      <c r="T1421" s="134"/>
      <c r="U1421" s="134"/>
      <c r="V1421" s="134"/>
      <c r="W1421" s="134"/>
      <c r="X1421" s="134"/>
      <c r="Y1421" s="134"/>
      <c r="Z1421" s="134"/>
      <c r="AA1421" s="134"/>
      <c r="AB1421" s="134"/>
      <c r="AC1421" s="134"/>
      <c r="AD1421" s="134"/>
      <c r="AE1421" s="134"/>
      <c r="AF1421" s="146"/>
      <c r="AG1421" s="134"/>
      <c r="AH1421" s="134"/>
      <c r="AI1421" s="134"/>
      <c r="AJ1421" s="134"/>
      <c r="AK1421" s="134"/>
      <c r="AL1421" s="134"/>
      <c r="AM1421" s="146"/>
      <c r="AN1421" s="132"/>
      <c r="AO1421" s="132"/>
      <c r="AP1421" s="132"/>
      <c r="AQ1421" s="132"/>
      <c r="AR1421" s="134"/>
      <c r="AS1421" s="134"/>
      <c r="AT1421" s="132"/>
      <c r="AU1421" s="133"/>
      <c r="AV1421" s="134"/>
    </row>
    <row r="1422" spans="19:48">
      <c r="S1422" s="134"/>
      <c r="T1422" s="134"/>
      <c r="U1422" s="134"/>
      <c r="V1422" s="134"/>
      <c r="W1422" s="134"/>
      <c r="X1422" s="134"/>
      <c r="Y1422" s="134"/>
      <c r="Z1422" s="134"/>
      <c r="AA1422" s="134"/>
      <c r="AB1422" s="134"/>
      <c r="AC1422" s="134"/>
      <c r="AD1422" s="134"/>
      <c r="AE1422" s="134"/>
      <c r="AF1422" s="146"/>
      <c r="AG1422" s="134"/>
      <c r="AH1422" s="134"/>
      <c r="AI1422" s="134"/>
      <c r="AJ1422" s="134"/>
      <c r="AK1422" s="134"/>
      <c r="AL1422" s="134"/>
      <c r="AM1422" s="146"/>
      <c r="AN1422" s="132"/>
      <c r="AO1422" s="132"/>
      <c r="AP1422" s="132"/>
      <c r="AQ1422" s="132"/>
      <c r="AR1422" s="134"/>
      <c r="AS1422" s="134"/>
      <c r="AT1422" s="132"/>
      <c r="AU1422" s="133"/>
      <c r="AV1422" s="134"/>
    </row>
    <row r="1423" spans="19:48">
      <c r="S1423" s="134"/>
      <c r="T1423" s="134"/>
      <c r="U1423" s="134"/>
      <c r="V1423" s="134"/>
      <c r="W1423" s="134"/>
      <c r="X1423" s="134"/>
      <c r="Y1423" s="134"/>
      <c r="Z1423" s="134"/>
      <c r="AA1423" s="134"/>
      <c r="AB1423" s="134"/>
      <c r="AC1423" s="134"/>
      <c r="AD1423" s="134"/>
      <c r="AE1423" s="134"/>
      <c r="AF1423" s="146"/>
      <c r="AG1423" s="134"/>
      <c r="AH1423" s="134"/>
      <c r="AI1423" s="134"/>
      <c r="AJ1423" s="134"/>
      <c r="AK1423" s="134"/>
      <c r="AL1423" s="134"/>
      <c r="AM1423" s="146"/>
      <c r="AN1423" s="132"/>
      <c r="AO1423" s="132"/>
      <c r="AP1423" s="132"/>
      <c r="AQ1423" s="132"/>
      <c r="AR1423" s="134"/>
      <c r="AS1423" s="134"/>
      <c r="AT1423" s="132"/>
      <c r="AU1423" s="133"/>
      <c r="AV1423" s="134"/>
    </row>
    <row r="1424" spans="19:48">
      <c r="S1424" s="134"/>
      <c r="T1424" s="134"/>
      <c r="U1424" s="134"/>
      <c r="V1424" s="134"/>
      <c r="W1424" s="134"/>
      <c r="X1424" s="134"/>
      <c r="Y1424" s="134"/>
      <c r="Z1424" s="134"/>
      <c r="AA1424" s="134"/>
      <c r="AB1424" s="134"/>
      <c r="AC1424" s="134"/>
      <c r="AD1424" s="134"/>
      <c r="AE1424" s="134"/>
      <c r="AF1424" s="146"/>
      <c r="AG1424" s="134"/>
      <c r="AH1424" s="134"/>
      <c r="AI1424" s="134"/>
      <c r="AJ1424" s="134"/>
      <c r="AK1424" s="134"/>
      <c r="AL1424" s="134"/>
      <c r="AM1424" s="146"/>
      <c r="AN1424" s="132"/>
      <c r="AO1424" s="132"/>
      <c r="AP1424" s="132"/>
      <c r="AQ1424" s="132"/>
      <c r="AR1424" s="134"/>
      <c r="AS1424" s="134"/>
      <c r="AT1424" s="132"/>
      <c r="AU1424" s="133"/>
      <c r="AV1424" s="134"/>
    </row>
    <row r="1425" spans="19:48">
      <c r="S1425" s="134"/>
      <c r="T1425" s="134"/>
      <c r="U1425" s="134"/>
      <c r="V1425" s="134"/>
      <c r="W1425" s="134"/>
      <c r="X1425" s="134"/>
      <c r="Y1425" s="134"/>
      <c r="Z1425" s="134"/>
      <c r="AA1425" s="134"/>
      <c r="AB1425" s="134"/>
      <c r="AC1425" s="134"/>
      <c r="AD1425" s="134"/>
      <c r="AE1425" s="134"/>
      <c r="AF1425" s="146"/>
      <c r="AG1425" s="134"/>
      <c r="AH1425" s="134"/>
      <c r="AI1425" s="134"/>
      <c r="AJ1425" s="134"/>
      <c r="AK1425" s="134"/>
      <c r="AL1425" s="134"/>
      <c r="AM1425" s="146"/>
      <c r="AN1425" s="132"/>
      <c r="AO1425" s="132"/>
      <c r="AP1425" s="132"/>
      <c r="AQ1425" s="132"/>
      <c r="AR1425" s="134"/>
      <c r="AS1425" s="134"/>
      <c r="AT1425" s="132"/>
      <c r="AU1425" s="133"/>
      <c r="AV1425" s="134"/>
    </row>
    <row r="1426" spans="19:48">
      <c r="S1426" s="134"/>
      <c r="T1426" s="134"/>
      <c r="U1426" s="134"/>
      <c r="V1426" s="134"/>
      <c r="W1426" s="134"/>
      <c r="X1426" s="134"/>
      <c r="Y1426" s="134"/>
      <c r="Z1426" s="134"/>
      <c r="AA1426" s="134"/>
      <c r="AB1426" s="134"/>
      <c r="AC1426" s="134"/>
      <c r="AD1426" s="134"/>
      <c r="AE1426" s="134"/>
      <c r="AF1426" s="146"/>
      <c r="AG1426" s="134"/>
      <c r="AH1426" s="134"/>
      <c r="AI1426" s="134"/>
      <c r="AJ1426" s="134"/>
      <c r="AK1426" s="134"/>
      <c r="AL1426" s="134"/>
      <c r="AM1426" s="146"/>
      <c r="AN1426" s="132"/>
      <c r="AO1426" s="132"/>
      <c r="AP1426" s="132"/>
      <c r="AQ1426" s="132"/>
      <c r="AR1426" s="134"/>
      <c r="AS1426" s="134"/>
      <c r="AT1426" s="132"/>
      <c r="AU1426" s="133"/>
      <c r="AV1426" s="134"/>
    </row>
    <row r="1427" spans="19:48">
      <c r="S1427" s="134"/>
      <c r="T1427" s="134"/>
      <c r="U1427" s="134"/>
      <c r="V1427" s="134"/>
      <c r="W1427" s="134"/>
      <c r="X1427" s="134"/>
      <c r="Y1427" s="134"/>
      <c r="Z1427" s="134"/>
      <c r="AA1427" s="134"/>
      <c r="AB1427" s="134"/>
      <c r="AC1427" s="134"/>
      <c r="AD1427" s="134"/>
      <c r="AE1427" s="134"/>
      <c r="AF1427" s="146"/>
      <c r="AG1427" s="134"/>
      <c r="AH1427" s="134"/>
      <c r="AI1427" s="134"/>
      <c r="AJ1427" s="134"/>
      <c r="AK1427" s="134"/>
      <c r="AL1427" s="134"/>
      <c r="AM1427" s="146"/>
      <c r="AN1427" s="132"/>
      <c r="AO1427" s="132"/>
      <c r="AP1427" s="132"/>
      <c r="AQ1427" s="132"/>
      <c r="AR1427" s="134"/>
      <c r="AS1427" s="134"/>
      <c r="AT1427" s="132"/>
      <c r="AU1427" s="133"/>
      <c r="AV1427" s="134"/>
    </row>
    <row r="1428" spans="19:48">
      <c r="S1428" s="134"/>
      <c r="T1428" s="134"/>
      <c r="U1428" s="134"/>
      <c r="V1428" s="134"/>
      <c r="W1428" s="134"/>
      <c r="X1428" s="134"/>
      <c r="Y1428" s="134"/>
      <c r="Z1428" s="134"/>
      <c r="AA1428" s="134"/>
      <c r="AB1428" s="134"/>
      <c r="AC1428" s="134"/>
      <c r="AD1428" s="134"/>
      <c r="AE1428" s="134"/>
      <c r="AF1428" s="146"/>
      <c r="AG1428" s="134"/>
      <c r="AH1428" s="134"/>
      <c r="AI1428" s="134"/>
      <c r="AJ1428" s="134"/>
      <c r="AK1428" s="134"/>
      <c r="AL1428" s="134"/>
      <c r="AM1428" s="146"/>
      <c r="AN1428" s="132"/>
      <c r="AO1428" s="132"/>
      <c r="AP1428" s="132"/>
      <c r="AQ1428" s="132"/>
      <c r="AR1428" s="134"/>
      <c r="AS1428" s="134"/>
      <c r="AT1428" s="132"/>
      <c r="AU1428" s="133"/>
      <c r="AV1428" s="134"/>
    </row>
    <row r="1429" spans="19:48">
      <c r="S1429" s="134"/>
      <c r="T1429" s="134"/>
      <c r="U1429" s="134"/>
      <c r="V1429" s="134"/>
      <c r="W1429" s="134"/>
      <c r="X1429" s="134"/>
      <c r="Y1429" s="134"/>
      <c r="Z1429" s="134"/>
      <c r="AA1429" s="134"/>
      <c r="AB1429" s="134"/>
      <c r="AC1429" s="134"/>
      <c r="AD1429" s="134"/>
      <c r="AE1429" s="134"/>
      <c r="AF1429" s="146"/>
      <c r="AG1429" s="134"/>
      <c r="AH1429" s="134"/>
      <c r="AI1429" s="134"/>
      <c r="AJ1429" s="134"/>
      <c r="AK1429" s="134"/>
      <c r="AL1429" s="134"/>
      <c r="AM1429" s="146"/>
      <c r="AN1429" s="132"/>
      <c r="AO1429" s="132"/>
      <c r="AP1429" s="132"/>
      <c r="AQ1429" s="132"/>
      <c r="AR1429" s="134"/>
      <c r="AS1429" s="134"/>
      <c r="AT1429" s="132"/>
      <c r="AU1429" s="133"/>
      <c r="AV1429" s="134"/>
    </row>
    <row r="1430" spans="19:48">
      <c r="S1430" s="134"/>
      <c r="T1430" s="134"/>
      <c r="U1430" s="134"/>
      <c r="V1430" s="134"/>
      <c r="W1430" s="134"/>
      <c r="X1430" s="134"/>
      <c r="Y1430" s="134"/>
      <c r="Z1430" s="134"/>
      <c r="AA1430" s="134"/>
      <c r="AB1430" s="134"/>
      <c r="AC1430" s="134"/>
      <c r="AD1430" s="134"/>
      <c r="AE1430" s="134"/>
      <c r="AF1430" s="146"/>
      <c r="AG1430" s="134"/>
      <c r="AH1430" s="134"/>
      <c r="AI1430" s="134"/>
      <c r="AJ1430" s="134"/>
      <c r="AK1430" s="134"/>
      <c r="AL1430" s="134"/>
      <c r="AM1430" s="146"/>
      <c r="AN1430" s="132"/>
      <c r="AO1430" s="132"/>
      <c r="AP1430" s="132"/>
      <c r="AQ1430" s="132"/>
      <c r="AR1430" s="134"/>
      <c r="AS1430" s="134"/>
      <c r="AT1430" s="132"/>
      <c r="AU1430" s="133"/>
      <c r="AV1430" s="134"/>
    </row>
    <row r="1431" spans="19:48">
      <c r="S1431" s="134"/>
      <c r="T1431" s="134"/>
      <c r="U1431" s="134"/>
      <c r="V1431" s="134"/>
      <c r="W1431" s="134"/>
      <c r="X1431" s="134"/>
      <c r="Y1431" s="134"/>
      <c r="Z1431" s="134"/>
      <c r="AA1431" s="134"/>
      <c r="AB1431" s="134"/>
      <c r="AC1431" s="134"/>
      <c r="AD1431" s="134"/>
      <c r="AE1431" s="134"/>
      <c r="AF1431" s="146"/>
      <c r="AG1431" s="134"/>
      <c r="AH1431" s="134"/>
      <c r="AI1431" s="134"/>
      <c r="AJ1431" s="134"/>
      <c r="AK1431" s="134"/>
      <c r="AL1431" s="134"/>
      <c r="AM1431" s="146"/>
      <c r="AN1431" s="132"/>
      <c r="AO1431" s="132"/>
      <c r="AP1431" s="132"/>
      <c r="AQ1431" s="132"/>
      <c r="AR1431" s="134"/>
      <c r="AS1431" s="134"/>
      <c r="AT1431" s="132"/>
      <c r="AU1431" s="133"/>
      <c r="AV1431" s="134"/>
    </row>
    <row r="1432" spans="19:48">
      <c r="S1432" s="134"/>
      <c r="T1432" s="134"/>
      <c r="U1432" s="134"/>
      <c r="V1432" s="134"/>
      <c r="W1432" s="134"/>
      <c r="X1432" s="134"/>
      <c r="Y1432" s="134"/>
      <c r="Z1432" s="134"/>
      <c r="AA1432" s="134"/>
      <c r="AB1432" s="134"/>
      <c r="AC1432" s="134"/>
      <c r="AD1432" s="134"/>
      <c r="AE1432" s="134"/>
      <c r="AF1432" s="146"/>
      <c r="AG1432" s="134"/>
      <c r="AH1432" s="134"/>
      <c r="AI1432" s="134"/>
      <c r="AJ1432" s="134"/>
      <c r="AK1432" s="134"/>
      <c r="AL1432" s="134"/>
      <c r="AM1432" s="146"/>
      <c r="AN1432" s="132"/>
      <c r="AO1432" s="132"/>
      <c r="AP1432" s="132"/>
      <c r="AQ1432" s="132"/>
      <c r="AR1432" s="134"/>
      <c r="AS1432" s="134"/>
      <c r="AT1432" s="132"/>
      <c r="AU1432" s="133"/>
      <c r="AV1432" s="134"/>
    </row>
    <row r="1433" spans="19:48">
      <c r="S1433" s="134"/>
      <c r="T1433" s="134"/>
      <c r="U1433" s="134"/>
      <c r="V1433" s="134"/>
      <c r="W1433" s="134"/>
      <c r="X1433" s="134"/>
      <c r="Y1433" s="134"/>
      <c r="Z1433" s="134"/>
      <c r="AA1433" s="134"/>
      <c r="AB1433" s="134"/>
      <c r="AC1433" s="134"/>
      <c r="AD1433" s="134"/>
      <c r="AE1433" s="134"/>
      <c r="AF1433" s="146"/>
      <c r="AG1433" s="134"/>
      <c r="AH1433" s="134"/>
      <c r="AI1433" s="134"/>
      <c r="AJ1433" s="134"/>
      <c r="AK1433" s="134"/>
      <c r="AL1433" s="134"/>
      <c r="AM1433" s="146"/>
      <c r="AN1433" s="132"/>
      <c r="AO1433" s="132"/>
      <c r="AP1433" s="132"/>
      <c r="AQ1433" s="132"/>
      <c r="AR1433" s="134"/>
      <c r="AS1433" s="134"/>
      <c r="AT1433" s="132"/>
      <c r="AU1433" s="133"/>
      <c r="AV1433" s="134"/>
    </row>
    <row r="1434" spans="19:48">
      <c r="S1434" s="134"/>
      <c r="T1434" s="134"/>
      <c r="U1434" s="134"/>
      <c r="V1434" s="134"/>
      <c r="W1434" s="134"/>
      <c r="X1434" s="134"/>
      <c r="Y1434" s="134"/>
      <c r="Z1434" s="134"/>
      <c r="AA1434" s="134"/>
      <c r="AB1434" s="134"/>
      <c r="AC1434" s="134"/>
      <c r="AD1434" s="134"/>
      <c r="AE1434" s="134"/>
      <c r="AF1434" s="146"/>
      <c r="AG1434" s="134"/>
      <c r="AH1434" s="134"/>
      <c r="AI1434" s="134"/>
      <c r="AJ1434" s="134"/>
      <c r="AK1434" s="134"/>
      <c r="AL1434" s="134"/>
      <c r="AM1434" s="146"/>
      <c r="AN1434" s="132"/>
      <c r="AO1434" s="132"/>
      <c r="AP1434" s="132"/>
      <c r="AQ1434" s="132"/>
      <c r="AR1434" s="134"/>
      <c r="AS1434" s="134"/>
      <c r="AT1434" s="132"/>
      <c r="AU1434" s="133"/>
      <c r="AV1434" s="134"/>
    </row>
    <row r="1435" spans="19:48">
      <c r="S1435" s="134"/>
      <c r="T1435" s="134"/>
      <c r="U1435" s="134"/>
      <c r="V1435" s="134"/>
      <c r="W1435" s="134"/>
      <c r="X1435" s="134"/>
      <c r="Y1435" s="134"/>
      <c r="Z1435" s="134"/>
      <c r="AA1435" s="134"/>
      <c r="AB1435" s="134"/>
      <c r="AC1435" s="134"/>
      <c r="AD1435" s="134"/>
      <c r="AE1435" s="134"/>
      <c r="AF1435" s="146"/>
      <c r="AG1435" s="134"/>
      <c r="AH1435" s="134"/>
      <c r="AI1435" s="134"/>
      <c r="AJ1435" s="134"/>
      <c r="AK1435" s="134"/>
      <c r="AL1435" s="134"/>
      <c r="AM1435" s="146"/>
      <c r="AN1435" s="132"/>
      <c r="AO1435" s="132"/>
      <c r="AP1435" s="132"/>
      <c r="AQ1435" s="132"/>
      <c r="AR1435" s="134"/>
      <c r="AS1435" s="134"/>
      <c r="AT1435" s="132"/>
      <c r="AU1435" s="133"/>
      <c r="AV1435" s="134"/>
    </row>
    <row r="1436" spans="19:48">
      <c r="S1436" s="134"/>
      <c r="T1436" s="134"/>
      <c r="U1436" s="134"/>
      <c r="V1436" s="134"/>
      <c r="W1436" s="134"/>
      <c r="X1436" s="134"/>
      <c r="Y1436" s="134"/>
      <c r="Z1436" s="134"/>
      <c r="AA1436" s="134"/>
      <c r="AB1436" s="134"/>
      <c r="AC1436" s="134"/>
      <c r="AD1436" s="134"/>
      <c r="AE1436" s="134"/>
      <c r="AF1436" s="146"/>
      <c r="AG1436" s="134"/>
      <c r="AH1436" s="134"/>
      <c r="AI1436" s="134"/>
      <c r="AJ1436" s="134"/>
      <c r="AK1436" s="134"/>
      <c r="AL1436" s="134"/>
      <c r="AM1436" s="146"/>
      <c r="AN1436" s="132"/>
      <c r="AO1436" s="132"/>
      <c r="AP1436" s="132"/>
      <c r="AQ1436" s="132"/>
      <c r="AR1436" s="134"/>
      <c r="AS1436" s="134"/>
      <c r="AT1436" s="132"/>
      <c r="AU1436" s="133"/>
      <c r="AV1436" s="134"/>
    </row>
    <row r="1437" spans="19:48">
      <c r="S1437" s="134"/>
      <c r="T1437" s="134"/>
      <c r="U1437" s="134"/>
      <c r="V1437" s="134"/>
      <c r="W1437" s="134"/>
      <c r="X1437" s="134"/>
      <c r="Y1437" s="134"/>
      <c r="Z1437" s="134"/>
      <c r="AA1437" s="134"/>
      <c r="AB1437" s="134"/>
      <c r="AC1437" s="134"/>
      <c r="AD1437" s="134"/>
      <c r="AE1437" s="134"/>
      <c r="AF1437" s="146"/>
      <c r="AG1437" s="134"/>
      <c r="AH1437" s="134"/>
      <c r="AI1437" s="134"/>
      <c r="AJ1437" s="134"/>
      <c r="AK1437" s="134"/>
      <c r="AL1437" s="134"/>
      <c r="AM1437" s="146"/>
      <c r="AN1437" s="132"/>
      <c r="AO1437" s="132"/>
      <c r="AP1437" s="132"/>
      <c r="AQ1437" s="132"/>
      <c r="AR1437" s="134"/>
      <c r="AS1437" s="134"/>
      <c r="AT1437" s="132"/>
      <c r="AU1437" s="133"/>
      <c r="AV1437" s="134"/>
    </row>
    <row r="1438" spans="19:48">
      <c r="S1438" s="134"/>
      <c r="T1438" s="134"/>
      <c r="U1438" s="134"/>
      <c r="V1438" s="134"/>
      <c r="W1438" s="134"/>
      <c r="X1438" s="134"/>
      <c r="Y1438" s="134"/>
      <c r="Z1438" s="134"/>
      <c r="AA1438" s="134"/>
      <c r="AB1438" s="134"/>
      <c r="AC1438" s="134"/>
      <c r="AD1438" s="134"/>
      <c r="AE1438" s="134"/>
      <c r="AF1438" s="146"/>
      <c r="AG1438" s="134"/>
      <c r="AH1438" s="134"/>
      <c r="AI1438" s="134"/>
      <c r="AJ1438" s="134"/>
      <c r="AK1438" s="134"/>
      <c r="AL1438" s="134"/>
      <c r="AM1438" s="146"/>
      <c r="AN1438" s="132"/>
      <c r="AO1438" s="132"/>
      <c r="AP1438" s="132"/>
      <c r="AQ1438" s="132"/>
      <c r="AR1438" s="134"/>
      <c r="AS1438" s="134"/>
      <c r="AT1438" s="132"/>
      <c r="AU1438" s="133"/>
      <c r="AV1438" s="134"/>
    </row>
    <row r="1439" spans="19:48">
      <c r="S1439" s="134"/>
      <c r="T1439" s="134"/>
      <c r="U1439" s="134"/>
      <c r="V1439" s="134"/>
      <c r="W1439" s="134"/>
      <c r="X1439" s="134"/>
      <c r="Y1439" s="134"/>
      <c r="Z1439" s="134"/>
      <c r="AA1439" s="134"/>
      <c r="AB1439" s="134"/>
      <c r="AC1439" s="134"/>
      <c r="AD1439" s="134"/>
      <c r="AE1439" s="134"/>
      <c r="AF1439" s="146"/>
      <c r="AG1439" s="134"/>
      <c r="AH1439" s="134"/>
      <c r="AI1439" s="134"/>
      <c r="AJ1439" s="134"/>
      <c r="AK1439" s="134"/>
      <c r="AL1439" s="134"/>
      <c r="AM1439" s="146"/>
      <c r="AN1439" s="132"/>
      <c r="AO1439" s="132"/>
      <c r="AP1439" s="132"/>
      <c r="AQ1439" s="132"/>
      <c r="AR1439" s="134"/>
      <c r="AS1439" s="134"/>
      <c r="AT1439" s="132"/>
      <c r="AU1439" s="133"/>
      <c r="AV1439" s="134"/>
    </row>
    <row r="1440" spans="19:48">
      <c r="S1440" s="134"/>
      <c r="T1440" s="134"/>
      <c r="U1440" s="134"/>
      <c r="V1440" s="134"/>
      <c r="W1440" s="134"/>
      <c r="X1440" s="134"/>
      <c r="Y1440" s="134"/>
      <c r="Z1440" s="134"/>
      <c r="AA1440" s="134"/>
      <c r="AB1440" s="134"/>
      <c r="AC1440" s="134"/>
      <c r="AD1440" s="134"/>
      <c r="AE1440" s="134"/>
      <c r="AF1440" s="146"/>
      <c r="AG1440" s="134"/>
      <c r="AH1440" s="134"/>
      <c r="AI1440" s="134"/>
      <c r="AJ1440" s="134"/>
      <c r="AK1440" s="134"/>
      <c r="AL1440" s="134"/>
      <c r="AM1440" s="146"/>
      <c r="AN1440" s="132"/>
      <c r="AO1440" s="132"/>
      <c r="AP1440" s="132"/>
      <c r="AQ1440" s="132"/>
      <c r="AR1440" s="134"/>
      <c r="AS1440" s="134"/>
      <c r="AT1440" s="132"/>
      <c r="AU1440" s="133"/>
      <c r="AV1440" s="134"/>
    </row>
    <row r="1441" spans="19:48">
      <c r="S1441" s="134"/>
      <c r="T1441" s="134"/>
      <c r="U1441" s="134"/>
      <c r="V1441" s="134"/>
      <c r="W1441" s="134"/>
      <c r="X1441" s="134"/>
      <c r="Y1441" s="134"/>
      <c r="Z1441" s="134"/>
      <c r="AA1441" s="134"/>
      <c r="AB1441" s="134"/>
      <c r="AC1441" s="134"/>
      <c r="AD1441" s="134"/>
      <c r="AE1441" s="134"/>
      <c r="AF1441" s="146"/>
      <c r="AG1441" s="134"/>
      <c r="AH1441" s="134"/>
      <c r="AI1441" s="134"/>
      <c r="AJ1441" s="134"/>
      <c r="AK1441" s="134"/>
      <c r="AL1441" s="134"/>
      <c r="AM1441" s="146"/>
      <c r="AN1441" s="132"/>
      <c r="AO1441" s="132"/>
      <c r="AP1441" s="132"/>
      <c r="AQ1441" s="132"/>
      <c r="AR1441" s="134"/>
      <c r="AS1441" s="134"/>
      <c r="AT1441" s="132"/>
      <c r="AU1441" s="133"/>
      <c r="AV1441" s="134"/>
    </row>
    <row r="1442" spans="19:48">
      <c r="S1442" s="134"/>
      <c r="T1442" s="134"/>
      <c r="U1442" s="134"/>
      <c r="V1442" s="134"/>
      <c r="W1442" s="134"/>
      <c r="X1442" s="134"/>
      <c r="Y1442" s="134"/>
      <c r="Z1442" s="134"/>
      <c r="AA1442" s="134"/>
      <c r="AB1442" s="134"/>
      <c r="AC1442" s="134"/>
      <c r="AD1442" s="134"/>
      <c r="AE1442" s="134"/>
      <c r="AF1442" s="146"/>
      <c r="AG1442" s="134"/>
      <c r="AH1442" s="134"/>
      <c r="AI1442" s="134"/>
      <c r="AJ1442" s="134"/>
      <c r="AK1442" s="134"/>
      <c r="AL1442" s="134"/>
      <c r="AM1442" s="146"/>
      <c r="AN1442" s="132"/>
      <c r="AO1442" s="132"/>
      <c r="AP1442" s="132"/>
      <c r="AQ1442" s="132"/>
      <c r="AR1442" s="134"/>
      <c r="AS1442" s="134"/>
      <c r="AT1442" s="132"/>
      <c r="AU1442" s="133"/>
      <c r="AV1442" s="134"/>
    </row>
    <row r="1443" spans="19:48">
      <c r="S1443" s="134"/>
      <c r="T1443" s="134"/>
      <c r="U1443" s="134"/>
      <c r="V1443" s="134"/>
      <c r="W1443" s="134"/>
      <c r="X1443" s="134"/>
      <c r="Y1443" s="134"/>
      <c r="Z1443" s="134"/>
      <c r="AA1443" s="134"/>
      <c r="AB1443" s="134"/>
      <c r="AC1443" s="134"/>
      <c r="AD1443" s="134"/>
      <c r="AE1443" s="134"/>
      <c r="AF1443" s="146"/>
      <c r="AG1443" s="134"/>
      <c r="AH1443" s="134"/>
      <c r="AI1443" s="134"/>
      <c r="AJ1443" s="134"/>
      <c r="AK1443" s="134"/>
      <c r="AL1443" s="134"/>
      <c r="AM1443" s="146"/>
      <c r="AN1443" s="132"/>
      <c r="AO1443" s="132"/>
      <c r="AP1443" s="132"/>
      <c r="AQ1443" s="132"/>
      <c r="AR1443" s="134"/>
      <c r="AS1443" s="134"/>
      <c r="AT1443" s="132"/>
      <c r="AU1443" s="133"/>
      <c r="AV1443" s="134"/>
    </row>
    <row r="1444" spans="19:48">
      <c r="S1444" s="134"/>
      <c r="T1444" s="134"/>
      <c r="U1444" s="134"/>
      <c r="V1444" s="134"/>
      <c r="W1444" s="134"/>
      <c r="X1444" s="134"/>
      <c r="Y1444" s="134"/>
      <c r="Z1444" s="134"/>
      <c r="AA1444" s="134"/>
      <c r="AB1444" s="134"/>
      <c r="AC1444" s="134"/>
      <c r="AD1444" s="134"/>
      <c r="AE1444" s="134"/>
      <c r="AF1444" s="146"/>
      <c r="AG1444" s="134"/>
      <c r="AH1444" s="134"/>
      <c r="AI1444" s="134"/>
      <c r="AJ1444" s="134"/>
      <c r="AK1444" s="134"/>
      <c r="AL1444" s="134"/>
      <c r="AM1444" s="146"/>
      <c r="AN1444" s="132"/>
      <c r="AO1444" s="132"/>
      <c r="AP1444" s="132"/>
      <c r="AQ1444" s="132"/>
      <c r="AR1444" s="134"/>
      <c r="AS1444" s="134"/>
      <c r="AT1444" s="132"/>
      <c r="AU1444" s="133"/>
      <c r="AV1444" s="134"/>
    </row>
    <row r="1445" spans="19:48">
      <c r="S1445" s="134"/>
      <c r="T1445" s="134"/>
      <c r="U1445" s="134"/>
      <c r="V1445" s="134"/>
      <c r="W1445" s="134"/>
      <c r="X1445" s="134"/>
      <c r="Y1445" s="134"/>
      <c r="Z1445" s="134"/>
      <c r="AA1445" s="134"/>
      <c r="AB1445" s="134"/>
      <c r="AC1445" s="134"/>
      <c r="AD1445" s="134"/>
      <c r="AE1445" s="134"/>
      <c r="AF1445" s="146"/>
      <c r="AG1445" s="134"/>
      <c r="AH1445" s="134"/>
      <c r="AI1445" s="134"/>
      <c r="AJ1445" s="134"/>
      <c r="AK1445" s="134"/>
      <c r="AL1445" s="134"/>
      <c r="AM1445" s="146"/>
      <c r="AN1445" s="132"/>
      <c r="AO1445" s="132"/>
      <c r="AP1445" s="132"/>
      <c r="AQ1445" s="132"/>
      <c r="AR1445" s="134"/>
      <c r="AS1445" s="134"/>
      <c r="AT1445" s="132"/>
      <c r="AU1445" s="133"/>
      <c r="AV1445" s="134"/>
    </row>
    <row r="1446" spans="19:48">
      <c r="S1446" s="134"/>
      <c r="T1446" s="134"/>
      <c r="U1446" s="134"/>
      <c r="V1446" s="134"/>
      <c r="W1446" s="134"/>
      <c r="X1446" s="134"/>
      <c r="Y1446" s="134"/>
      <c r="Z1446" s="134"/>
      <c r="AA1446" s="134"/>
      <c r="AB1446" s="134"/>
      <c r="AC1446" s="134"/>
      <c r="AD1446" s="134"/>
      <c r="AE1446" s="134"/>
      <c r="AF1446" s="146"/>
      <c r="AG1446" s="134"/>
      <c r="AH1446" s="134"/>
      <c r="AI1446" s="134"/>
      <c r="AJ1446" s="134"/>
      <c r="AK1446" s="134"/>
      <c r="AL1446" s="134"/>
      <c r="AM1446" s="146"/>
      <c r="AN1446" s="132"/>
      <c r="AO1446" s="132"/>
      <c r="AP1446" s="132"/>
      <c r="AQ1446" s="132"/>
      <c r="AR1446" s="134"/>
      <c r="AS1446" s="134"/>
      <c r="AT1446" s="132"/>
      <c r="AU1446" s="133"/>
      <c r="AV1446" s="134"/>
    </row>
    <row r="1447" spans="19:48">
      <c r="S1447" s="134"/>
      <c r="T1447" s="134"/>
      <c r="U1447" s="134"/>
      <c r="V1447" s="134"/>
      <c r="W1447" s="134"/>
      <c r="X1447" s="134"/>
      <c r="Y1447" s="134"/>
      <c r="Z1447" s="134"/>
      <c r="AA1447" s="134"/>
      <c r="AB1447" s="134"/>
      <c r="AC1447" s="134"/>
      <c r="AD1447" s="134"/>
      <c r="AE1447" s="134"/>
      <c r="AF1447" s="146"/>
      <c r="AG1447" s="134"/>
      <c r="AH1447" s="134"/>
      <c r="AI1447" s="134"/>
      <c r="AJ1447" s="134"/>
      <c r="AK1447" s="134"/>
      <c r="AL1447" s="134"/>
      <c r="AM1447" s="146"/>
      <c r="AN1447" s="132"/>
      <c r="AO1447" s="132"/>
      <c r="AP1447" s="132"/>
      <c r="AQ1447" s="132"/>
      <c r="AR1447" s="134"/>
      <c r="AS1447" s="134"/>
      <c r="AT1447" s="132"/>
      <c r="AU1447" s="133"/>
      <c r="AV1447" s="134"/>
    </row>
    <row r="1448" spans="19:48">
      <c r="S1448" s="134"/>
      <c r="T1448" s="134"/>
      <c r="U1448" s="134"/>
      <c r="V1448" s="134"/>
      <c r="W1448" s="134"/>
      <c r="X1448" s="134"/>
      <c r="Y1448" s="134"/>
      <c r="Z1448" s="134"/>
      <c r="AA1448" s="134"/>
      <c r="AB1448" s="134"/>
      <c r="AC1448" s="134"/>
      <c r="AD1448" s="134"/>
      <c r="AE1448" s="134"/>
      <c r="AF1448" s="146"/>
      <c r="AG1448" s="134"/>
      <c r="AH1448" s="134"/>
      <c r="AI1448" s="134"/>
      <c r="AJ1448" s="134"/>
      <c r="AK1448" s="134"/>
      <c r="AL1448" s="134"/>
      <c r="AM1448" s="146"/>
      <c r="AN1448" s="132"/>
      <c r="AO1448" s="132"/>
      <c r="AP1448" s="132"/>
      <c r="AQ1448" s="132"/>
      <c r="AR1448" s="134"/>
      <c r="AS1448" s="134"/>
      <c r="AT1448" s="132"/>
      <c r="AU1448" s="133"/>
      <c r="AV1448" s="134"/>
    </row>
    <row r="1449" spans="19:48">
      <c r="S1449" s="134"/>
      <c r="T1449" s="134"/>
      <c r="U1449" s="134"/>
      <c r="V1449" s="134"/>
      <c r="W1449" s="134"/>
      <c r="X1449" s="134"/>
      <c r="Y1449" s="134"/>
      <c r="Z1449" s="134"/>
      <c r="AA1449" s="134"/>
      <c r="AB1449" s="134"/>
      <c r="AC1449" s="134"/>
      <c r="AD1449" s="134"/>
      <c r="AE1449" s="134"/>
      <c r="AF1449" s="146"/>
      <c r="AG1449" s="134"/>
      <c r="AH1449" s="134"/>
      <c r="AI1449" s="134"/>
      <c r="AJ1449" s="134"/>
      <c r="AK1449" s="134"/>
      <c r="AL1449" s="134"/>
      <c r="AM1449" s="146"/>
      <c r="AN1449" s="132"/>
      <c r="AO1449" s="132"/>
      <c r="AP1449" s="132"/>
      <c r="AQ1449" s="132"/>
      <c r="AR1449" s="134"/>
      <c r="AS1449" s="134"/>
      <c r="AT1449" s="132"/>
      <c r="AU1449" s="133"/>
      <c r="AV1449" s="134"/>
    </row>
    <row r="1450" spans="19:48">
      <c r="S1450" s="134"/>
      <c r="T1450" s="134"/>
      <c r="U1450" s="134"/>
      <c r="V1450" s="134"/>
      <c r="W1450" s="134"/>
      <c r="X1450" s="134"/>
      <c r="Y1450" s="134"/>
      <c r="Z1450" s="134"/>
      <c r="AA1450" s="134"/>
      <c r="AB1450" s="134"/>
      <c r="AC1450" s="134"/>
      <c r="AD1450" s="134"/>
      <c r="AE1450" s="134"/>
      <c r="AF1450" s="146"/>
      <c r="AG1450" s="134"/>
      <c r="AH1450" s="134"/>
      <c r="AI1450" s="134"/>
      <c r="AJ1450" s="134"/>
      <c r="AK1450" s="134"/>
      <c r="AL1450" s="134"/>
      <c r="AM1450" s="146"/>
      <c r="AN1450" s="132"/>
      <c r="AO1450" s="132"/>
      <c r="AP1450" s="132"/>
      <c r="AQ1450" s="132"/>
      <c r="AR1450" s="134"/>
      <c r="AS1450" s="134"/>
      <c r="AT1450" s="132"/>
      <c r="AU1450" s="133"/>
      <c r="AV1450" s="134"/>
    </row>
    <row r="1451" spans="19:48">
      <c r="S1451" s="134"/>
      <c r="T1451" s="134"/>
      <c r="U1451" s="134"/>
      <c r="V1451" s="134"/>
      <c r="W1451" s="134"/>
      <c r="X1451" s="134"/>
      <c r="Y1451" s="134"/>
      <c r="Z1451" s="134"/>
      <c r="AA1451" s="134"/>
      <c r="AB1451" s="134"/>
      <c r="AC1451" s="134"/>
      <c r="AD1451" s="134"/>
      <c r="AE1451" s="134"/>
      <c r="AF1451" s="146"/>
      <c r="AG1451" s="134"/>
      <c r="AH1451" s="134"/>
      <c r="AI1451" s="134"/>
      <c r="AJ1451" s="134"/>
      <c r="AK1451" s="134"/>
      <c r="AL1451" s="134"/>
      <c r="AM1451" s="146"/>
      <c r="AN1451" s="132"/>
      <c r="AO1451" s="132"/>
      <c r="AP1451" s="132"/>
      <c r="AQ1451" s="132"/>
      <c r="AR1451" s="134"/>
      <c r="AS1451" s="134"/>
      <c r="AT1451" s="132"/>
      <c r="AU1451" s="133"/>
      <c r="AV1451" s="134"/>
    </row>
    <row r="1452" spans="19:48">
      <c r="S1452" s="134"/>
      <c r="T1452" s="134"/>
      <c r="U1452" s="134"/>
      <c r="V1452" s="134"/>
      <c r="W1452" s="134"/>
      <c r="X1452" s="134"/>
      <c r="Y1452" s="134"/>
      <c r="Z1452" s="134"/>
      <c r="AA1452" s="134"/>
      <c r="AB1452" s="134"/>
      <c r="AC1452" s="134"/>
      <c r="AD1452" s="134"/>
      <c r="AE1452" s="134"/>
      <c r="AF1452" s="146"/>
      <c r="AG1452" s="134"/>
      <c r="AH1452" s="134"/>
      <c r="AI1452" s="134"/>
      <c r="AJ1452" s="134"/>
      <c r="AK1452" s="134"/>
      <c r="AL1452" s="134"/>
      <c r="AM1452" s="146"/>
      <c r="AN1452" s="132"/>
      <c r="AO1452" s="132"/>
      <c r="AP1452" s="132"/>
      <c r="AQ1452" s="132"/>
      <c r="AR1452" s="134"/>
      <c r="AS1452" s="134"/>
      <c r="AT1452" s="132"/>
      <c r="AU1452" s="133"/>
      <c r="AV1452" s="134"/>
    </row>
    <row r="1453" spans="19:48">
      <c r="S1453" s="134"/>
      <c r="T1453" s="134"/>
      <c r="U1453" s="134"/>
      <c r="V1453" s="134"/>
      <c r="W1453" s="134"/>
      <c r="X1453" s="134"/>
      <c r="Y1453" s="134"/>
      <c r="Z1453" s="134"/>
      <c r="AA1453" s="134"/>
      <c r="AB1453" s="134"/>
      <c r="AC1453" s="134"/>
      <c r="AD1453" s="134"/>
      <c r="AE1453" s="134"/>
      <c r="AF1453" s="146"/>
      <c r="AG1453" s="134"/>
      <c r="AH1453" s="134"/>
      <c r="AI1453" s="134"/>
      <c r="AJ1453" s="134"/>
      <c r="AK1453" s="134"/>
      <c r="AL1453" s="134"/>
      <c r="AM1453" s="146"/>
      <c r="AN1453" s="132"/>
      <c r="AO1453" s="132"/>
      <c r="AP1453" s="132"/>
      <c r="AQ1453" s="132"/>
      <c r="AR1453" s="134"/>
      <c r="AS1453" s="134"/>
      <c r="AT1453" s="132"/>
      <c r="AU1453" s="133"/>
      <c r="AV1453" s="134"/>
    </row>
    <row r="1454" spans="19:48">
      <c r="S1454" s="134"/>
      <c r="T1454" s="134"/>
      <c r="U1454" s="134"/>
      <c r="V1454" s="134"/>
      <c r="W1454" s="134"/>
      <c r="X1454" s="134"/>
      <c r="Y1454" s="134"/>
      <c r="Z1454" s="134"/>
      <c r="AA1454" s="134"/>
      <c r="AB1454" s="134"/>
      <c r="AC1454" s="134"/>
      <c r="AD1454" s="134"/>
      <c r="AE1454" s="134"/>
      <c r="AF1454" s="146"/>
      <c r="AG1454" s="134"/>
      <c r="AH1454" s="134"/>
      <c r="AI1454" s="134"/>
      <c r="AJ1454" s="134"/>
      <c r="AK1454" s="134"/>
      <c r="AL1454" s="134"/>
      <c r="AM1454" s="146"/>
      <c r="AN1454" s="132"/>
      <c r="AO1454" s="132"/>
      <c r="AP1454" s="132"/>
      <c r="AQ1454" s="132"/>
      <c r="AR1454" s="134"/>
      <c r="AS1454" s="134"/>
      <c r="AT1454" s="132"/>
      <c r="AU1454" s="133"/>
      <c r="AV1454" s="134"/>
    </row>
    <row r="1455" spans="19:48">
      <c r="S1455" s="134"/>
      <c r="T1455" s="134"/>
      <c r="U1455" s="134"/>
      <c r="V1455" s="134"/>
      <c r="W1455" s="134"/>
      <c r="X1455" s="134"/>
      <c r="Y1455" s="134"/>
      <c r="Z1455" s="134"/>
      <c r="AA1455" s="134"/>
      <c r="AB1455" s="134"/>
      <c r="AC1455" s="134"/>
      <c r="AD1455" s="134"/>
      <c r="AE1455" s="134"/>
      <c r="AF1455" s="146"/>
      <c r="AG1455" s="134"/>
      <c r="AH1455" s="134"/>
      <c r="AI1455" s="134"/>
      <c r="AJ1455" s="134"/>
      <c r="AK1455" s="134"/>
      <c r="AL1455" s="134"/>
      <c r="AM1455" s="146"/>
      <c r="AN1455" s="132"/>
      <c r="AO1455" s="132"/>
      <c r="AP1455" s="132"/>
      <c r="AQ1455" s="132"/>
      <c r="AR1455" s="134"/>
      <c r="AS1455" s="134"/>
      <c r="AT1455" s="132"/>
      <c r="AU1455" s="133"/>
      <c r="AV1455" s="134"/>
    </row>
    <row r="1456" spans="19:48">
      <c r="S1456" s="134"/>
      <c r="T1456" s="134"/>
      <c r="U1456" s="134"/>
      <c r="V1456" s="134"/>
      <c r="W1456" s="134"/>
      <c r="X1456" s="134"/>
      <c r="Y1456" s="134"/>
      <c r="Z1456" s="134"/>
      <c r="AA1456" s="134"/>
      <c r="AB1456" s="134"/>
      <c r="AC1456" s="134"/>
      <c r="AD1456" s="134"/>
      <c r="AE1456" s="134"/>
      <c r="AF1456" s="146"/>
      <c r="AG1456" s="134"/>
      <c r="AH1456" s="134"/>
      <c r="AI1456" s="134"/>
      <c r="AJ1456" s="134"/>
      <c r="AK1456" s="134"/>
      <c r="AL1456" s="134"/>
      <c r="AM1456" s="146"/>
      <c r="AN1456" s="132"/>
      <c r="AO1456" s="132"/>
      <c r="AP1456" s="132"/>
      <c r="AQ1456" s="132"/>
      <c r="AR1456" s="134"/>
      <c r="AS1456" s="134"/>
      <c r="AT1456" s="132"/>
      <c r="AU1456" s="133"/>
      <c r="AV1456" s="134"/>
    </row>
    <row r="1457" spans="19:48">
      <c r="S1457" s="134"/>
      <c r="T1457" s="134"/>
      <c r="U1457" s="134"/>
      <c r="V1457" s="134"/>
      <c r="W1457" s="134"/>
      <c r="X1457" s="134"/>
      <c r="Y1457" s="134"/>
      <c r="Z1457" s="134"/>
      <c r="AA1457" s="134"/>
      <c r="AB1457" s="134"/>
      <c r="AC1457" s="134"/>
      <c r="AD1457" s="134"/>
      <c r="AE1457" s="134"/>
      <c r="AF1457" s="146"/>
      <c r="AG1457" s="134"/>
      <c r="AH1457" s="134"/>
      <c r="AI1457" s="134"/>
      <c r="AJ1457" s="134"/>
      <c r="AK1457" s="134"/>
      <c r="AL1457" s="134"/>
      <c r="AM1457" s="146"/>
      <c r="AN1457" s="132"/>
      <c r="AO1457" s="132"/>
      <c r="AP1457" s="132"/>
      <c r="AQ1457" s="132"/>
      <c r="AR1457" s="134"/>
      <c r="AS1457" s="134"/>
      <c r="AT1457" s="132"/>
      <c r="AU1457" s="133"/>
      <c r="AV1457" s="134"/>
    </row>
    <row r="1458" spans="19:48">
      <c r="S1458" s="134"/>
      <c r="T1458" s="134"/>
      <c r="U1458" s="134"/>
      <c r="V1458" s="134"/>
      <c r="W1458" s="134"/>
      <c r="X1458" s="134"/>
      <c r="Y1458" s="134"/>
      <c r="Z1458" s="134"/>
      <c r="AA1458" s="134"/>
      <c r="AB1458" s="134"/>
      <c r="AC1458" s="134"/>
      <c r="AD1458" s="134"/>
      <c r="AE1458" s="134"/>
      <c r="AF1458" s="146"/>
      <c r="AG1458" s="134"/>
      <c r="AH1458" s="134"/>
      <c r="AI1458" s="134"/>
      <c r="AJ1458" s="134"/>
      <c r="AK1458" s="134"/>
      <c r="AL1458" s="134"/>
      <c r="AM1458" s="146"/>
      <c r="AN1458" s="132"/>
      <c r="AO1458" s="132"/>
      <c r="AP1458" s="132"/>
      <c r="AQ1458" s="132"/>
      <c r="AR1458" s="134"/>
      <c r="AS1458" s="134"/>
      <c r="AT1458" s="132"/>
      <c r="AU1458" s="133"/>
      <c r="AV1458" s="134"/>
    </row>
    <row r="1459" spans="19:48">
      <c r="S1459" s="134"/>
      <c r="T1459" s="134"/>
      <c r="U1459" s="134"/>
      <c r="V1459" s="134"/>
      <c r="W1459" s="134"/>
      <c r="X1459" s="134"/>
      <c r="Y1459" s="134"/>
      <c r="Z1459" s="134"/>
      <c r="AA1459" s="134"/>
      <c r="AB1459" s="134"/>
      <c r="AC1459" s="134"/>
      <c r="AD1459" s="134"/>
      <c r="AE1459" s="134"/>
      <c r="AF1459" s="146"/>
      <c r="AG1459" s="134"/>
      <c r="AH1459" s="134"/>
      <c r="AI1459" s="134"/>
      <c r="AJ1459" s="134"/>
      <c r="AK1459" s="134"/>
      <c r="AL1459" s="134"/>
      <c r="AM1459" s="146"/>
      <c r="AN1459" s="132"/>
      <c r="AO1459" s="132"/>
      <c r="AP1459" s="132"/>
      <c r="AQ1459" s="132"/>
      <c r="AR1459" s="134"/>
      <c r="AS1459" s="134"/>
      <c r="AT1459" s="132"/>
      <c r="AU1459" s="133"/>
      <c r="AV1459" s="134"/>
    </row>
    <row r="1460" spans="19:48">
      <c r="S1460" s="134"/>
      <c r="T1460" s="134"/>
      <c r="U1460" s="134"/>
      <c r="V1460" s="134"/>
      <c r="W1460" s="134"/>
      <c r="X1460" s="134"/>
      <c r="Y1460" s="134"/>
      <c r="Z1460" s="134"/>
      <c r="AA1460" s="134"/>
      <c r="AB1460" s="134"/>
      <c r="AC1460" s="134"/>
      <c r="AD1460" s="134"/>
      <c r="AE1460" s="134"/>
      <c r="AF1460" s="146"/>
      <c r="AG1460" s="134"/>
      <c r="AH1460" s="134"/>
      <c r="AI1460" s="134"/>
      <c r="AJ1460" s="134"/>
      <c r="AK1460" s="134"/>
      <c r="AL1460" s="134"/>
      <c r="AM1460" s="146"/>
      <c r="AN1460" s="132"/>
      <c r="AO1460" s="132"/>
      <c r="AP1460" s="132"/>
      <c r="AQ1460" s="132"/>
      <c r="AR1460" s="134"/>
      <c r="AS1460" s="134"/>
      <c r="AT1460" s="132"/>
      <c r="AU1460" s="133"/>
      <c r="AV1460" s="134"/>
    </row>
    <row r="1461" spans="19:48">
      <c r="S1461" s="134"/>
      <c r="T1461" s="134"/>
      <c r="U1461" s="134"/>
      <c r="V1461" s="134"/>
      <c r="W1461" s="134"/>
      <c r="X1461" s="134"/>
      <c r="Y1461" s="134"/>
      <c r="Z1461" s="134"/>
      <c r="AA1461" s="134"/>
      <c r="AB1461" s="134"/>
      <c r="AC1461" s="134"/>
      <c r="AD1461" s="134"/>
      <c r="AE1461" s="134"/>
      <c r="AF1461" s="146"/>
      <c r="AG1461" s="134"/>
      <c r="AH1461" s="134"/>
      <c r="AI1461" s="134"/>
      <c r="AJ1461" s="134"/>
      <c r="AK1461" s="134"/>
      <c r="AL1461" s="134"/>
      <c r="AM1461" s="146"/>
      <c r="AN1461" s="132"/>
      <c r="AO1461" s="132"/>
      <c r="AP1461" s="132"/>
      <c r="AQ1461" s="132"/>
      <c r="AR1461" s="134"/>
      <c r="AS1461" s="134"/>
      <c r="AT1461" s="132"/>
      <c r="AU1461" s="133"/>
      <c r="AV1461" s="134"/>
    </row>
    <row r="1462" spans="19:48">
      <c r="S1462" s="134"/>
      <c r="T1462" s="134"/>
      <c r="U1462" s="134"/>
      <c r="V1462" s="134"/>
      <c r="W1462" s="134"/>
      <c r="X1462" s="134"/>
      <c r="Y1462" s="134"/>
      <c r="Z1462" s="134"/>
      <c r="AA1462" s="134"/>
      <c r="AB1462" s="134"/>
      <c r="AC1462" s="134"/>
      <c r="AD1462" s="134"/>
      <c r="AE1462" s="134"/>
      <c r="AF1462" s="146"/>
      <c r="AG1462" s="134"/>
      <c r="AH1462" s="134"/>
      <c r="AI1462" s="134"/>
      <c r="AJ1462" s="134"/>
      <c r="AK1462" s="134"/>
      <c r="AL1462" s="134"/>
      <c r="AM1462" s="146"/>
      <c r="AN1462" s="132"/>
      <c r="AO1462" s="132"/>
      <c r="AP1462" s="132"/>
      <c r="AQ1462" s="132"/>
      <c r="AR1462" s="134"/>
      <c r="AS1462" s="134"/>
      <c r="AT1462" s="132"/>
      <c r="AU1462" s="133"/>
      <c r="AV1462" s="134"/>
    </row>
    <row r="1463" spans="19:48">
      <c r="S1463" s="134"/>
      <c r="T1463" s="134"/>
      <c r="U1463" s="134"/>
      <c r="V1463" s="134"/>
      <c r="W1463" s="134"/>
      <c r="X1463" s="134"/>
      <c r="Y1463" s="134"/>
      <c r="Z1463" s="134"/>
      <c r="AA1463" s="134"/>
      <c r="AB1463" s="134"/>
      <c r="AC1463" s="134"/>
      <c r="AD1463" s="134"/>
      <c r="AE1463" s="134"/>
      <c r="AF1463" s="146"/>
      <c r="AG1463" s="134"/>
      <c r="AH1463" s="134"/>
      <c r="AI1463" s="134"/>
      <c r="AJ1463" s="134"/>
      <c r="AK1463" s="134"/>
      <c r="AL1463" s="134"/>
      <c r="AM1463" s="146"/>
      <c r="AN1463" s="132"/>
      <c r="AO1463" s="132"/>
      <c r="AP1463" s="132"/>
      <c r="AQ1463" s="132"/>
      <c r="AR1463" s="134"/>
      <c r="AS1463" s="134"/>
      <c r="AT1463" s="132"/>
      <c r="AU1463" s="133"/>
      <c r="AV1463" s="134"/>
    </row>
    <row r="1464" spans="19:48">
      <c r="S1464" s="134"/>
      <c r="T1464" s="134"/>
      <c r="U1464" s="134"/>
      <c r="V1464" s="134"/>
      <c r="W1464" s="134"/>
      <c r="X1464" s="134"/>
      <c r="Y1464" s="134"/>
      <c r="Z1464" s="134"/>
      <c r="AA1464" s="134"/>
      <c r="AB1464" s="134"/>
      <c r="AC1464" s="134"/>
      <c r="AD1464" s="134"/>
      <c r="AE1464" s="134"/>
      <c r="AF1464" s="146"/>
      <c r="AG1464" s="134"/>
      <c r="AH1464" s="134"/>
      <c r="AI1464" s="134"/>
      <c r="AJ1464" s="134"/>
      <c r="AK1464" s="134"/>
      <c r="AL1464" s="134"/>
      <c r="AM1464" s="146"/>
      <c r="AN1464" s="132"/>
      <c r="AO1464" s="132"/>
      <c r="AP1464" s="132"/>
      <c r="AQ1464" s="132"/>
      <c r="AR1464" s="134"/>
      <c r="AS1464" s="134"/>
      <c r="AT1464" s="132"/>
      <c r="AU1464" s="133"/>
      <c r="AV1464" s="134"/>
    </row>
    <row r="1465" spans="19:48">
      <c r="S1465" s="134"/>
      <c r="T1465" s="134"/>
      <c r="U1465" s="134"/>
      <c r="V1465" s="134"/>
      <c r="W1465" s="134"/>
      <c r="X1465" s="134"/>
      <c r="Y1465" s="134"/>
      <c r="Z1465" s="134"/>
      <c r="AA1465" s="134"/>
      <c r="AB1465" s="134"/>
      <c r="AC1465" s="134"/>
      <c r="AD1465" s="134"/>
      <c r="AE1465" s="134"/>
      <c r="AF1465" s="146"/>
      <c r="AG1465" s="134"/>
      <c r="AH1465" s="134"/>
      <c r="AI1465" s="134"/>
      <c r="AJ1465" s="134"/>
      <c r="AK1465" s="134"/>
      <c r="AL1465" s="134"/>
      <c r="AM1465" s="146"/>
      <c r="AN1465" s="132"/>
      <c r="AO1465" s="132"/>
      <c r="AP1465" s="132"/>
      <c r="AQ1465" s="132"/>
      <c r="AR1465" s="134"/>
      <c r="AS1465" s="134"/>
      <c r="AT1465" s="132"/>
      <c r="AU1465" s="133"/>
      <c r="AV1465" s="134"/>
    </row>
    <row r="1466" spans="19:48">
      <c r="S1466" s="134"/>
      <c r="T1466" s="134"/>
      <c r="U1466" s="134"/>
      <c r="V1466" s="134"/>
      <c r="W1466" s="134"/>
      <c r="X1466" s="134"/>
      <c r="Y1466" s="134"/>
      <c r="Z1466" s="134"/>
      <c r="AA1466" s="134"/>
      <c r="AB1466" s="134"/>
      <c r="AC1466" s="134"/>
      <c r="AD1466" s="134"/>
      <c r="AE1466" s="134"/>
      <c r="AF1466" s="146"/>
      <c r="AG1466" s="134"/>
      <c r="AH1466" s="134"/>
      <c r="AI1466" s="134"/>
      <c r="AJ1466" s="134"/>
      <c r="AK1466" s="134"/>
      <c r="AL1466" s="134"/>
      <c r="AM1466" s="146"/>
      <c r="AN1466" s="132"/>
      <c r="AO1466" s="132"/>
      <c r="AP1466" s="132"/>
      <c r="AQ1466" s="132"/>
      <c r="AR1466" s="134"/>
      <c r="AS1466" s="134"/>
      <c r="AT1466" s="132"/>
      <c r="AU1466" s="133"/>
      <c r="AV1466" s="134"/>
    </row>
    <row r="1467" spans="19:48">
      <c r="S1467" s="134"/>
      <c r="T1467" s="134"/>
      <c r="U1467" s="134"/>
      <c r="V1467" s="134"/>
      <c r="W1467" s="134"/>
      <c r="X1467" s="134"/>
      <c r="Y1467" s="134"/>
      <c r="Z1467" s="134"/>
      <c r="AA1467" s="134"/>
      <c r="AB1467" s="134"/>
      <c r="AC1467" s="134"/>
      <c r="AD1467" s="134"/>
      <c r="AE1467" s="134"/>
      <c r="AF1467" s="146"/>
      <c r="AG1467" s="134"/>
      <c r="AH1467" s="134"/>
      <c r="AI1467" s="134"/>
      <c r="AJ1467" s="134"/>
      <c r="AK1467" s="134"/>
      <c r="AL1467" s="134"/>
      <c r="AM1467" s="146"/>
      <c r="AN1467" s="132"/>
      <c r="AO1467" s="132"/>
      <c r="AP1467" s="132"/>
      <c r="AQ1467" s="132"/>
      <c r="AR1467" s="134"/>
      <c r="AS1467" s="134"/>
      <c r="AT1467" s="132"/>
      <c r="AU1467" s="133"/>
      <c r="AV1467" s="134"/>
    </row>
    <row r="1468" spans="19:48">
      <c r="S1468" s="134"/>
      <c r="T1468" s="134"/>
      <c r="U1468" s="134"/>
      <c r="V1468" s="134"/>
      <c r="W1468" s="134"/>
      <c r="X1468" s="134"/>
      <c r="Y1468" s="134"/>
      <c r="Z1468" s="134"/>
      <c r="AA1468" s="134"/>
      <c r="AB1468" s="134"/>
      <c r="AC1468" s="134"/>
      <c r="AD1468" s="134"/>
      <c r="AE1468" s="134"/>
      <c r="AF1468" s="146"/>
      <c r="AG1468" s="134"/>
      <c r="AH1468" s="134"/>
      <c r="AI1468" s="134"/>
      <c r="AJ1468" s="134"/>
      <c r="AK1468" s="134"/>
      <c r="AL1468" s="134"/>
      <c r="AM1468" s="146"/>
      <c r="AN1468" s="132"/>
      <c r="AO1468" s="132"/>
      <c r="AP1468" s="132"/>
      <c r="AQ1468" s="132"/>
      <c r="AR1468" s="134"/>
      <c r="AS1468" s="134"/>
      <c r="AT1468" s="132"/>
      <c r="AU1468" s="133"/>
      <c r="AV1468" s="134"/>
    </row>
    <row r="1469" spans="19:48">
      <c r="S1469" s="134"/>
      <c r="T1469" s="134"/>
      <c r="U1469" s="134"/>
      <c r="V1469" s="134"/>
      <c r="W1469" s="134"/>
      <c r="X1469" s="134"/>
      <c r="Y1469" s="134"/>
      <c r="Z1469" s="134"/>
      <c r="AA1469" s="134"/>
      <c r="AB1469" s="134"/>
      <c r="AC1469" s="134"/>
      <c r="AD1469" s="134"/>
      <c r="AE1469" s="134"/>
      <c r="AF1469" s="146"/>
      <c r="AG1469" s="134"/>
      <c r="AH1469" s="134"/>
      <c r="AI1469" s="134"/>
      <c r="AJ1469" s="134"/>
      <c r="AK1469" s="134"/>
      <c r="AL1469" s="134"/>
      <c r="AM1469" s="146"/>
      <c r="AN1469" s="132"/>
      <c r="AO1469" s="132"/>
      <c r="AP1469" s="132"/>
      <c r="AQ1469" s="132"/>
      <c r="AR1469" s="134"/>
      <c r="AS1469" s="134"/>
      <c r="AT1469" s="132"/>
      <c r="AU1469" s="133"/>
      <c r="AV1469" s="134"/>
    </row>
    <row r="1470" spans="19:48">
      <c r="S1470" s="134"/>
      <c r="T1470" s="134"/>
      <c r="U1470" s="134"/>
      <c r="V1470" s="134"/>
      <c r="W1470" s="134"/>
      <c r="X1470" s="134"/>
      <c r="Y1470" s="134"/>
      <c r="Z1470" s="134"/>
      <c r="AA1470" s="134"/>
      <c r="AB1470" s="134"/>
      <c r="AC1470" s="134"/>
      <c r="AD1470" s="134"/>
      <c r="AE1470" s="134"/>
      <c r="AF1470" s="146"/>
      <c r="AG1470" s="134"/>
      <c r="AH1470" s="134"/>
      <c r="AI1470" s="134"/>
      <c r="AJ1470" s="134"/>
      <c r="AK1470" s="134"/>
      <c r="AL1470" s="134"/>
      <c r="AM1470" s="146"/>
      <c r="AN1470" s="132"/>
      <c r="AO1470" s="132"/>
      <c r="AP1470" s="132"/>
      <c r="AQ1470" s="132"/>
      <c r="AR1470" s="134"/>
      <c r="AS1470" s="134"/>
      <c r="AT1470" s="132"/>
      <c r="AU1470" s="133"/>
      <c r="AV1470" s="134"/>
    </row>
    <row r="1471" spans="19:48">
      <c r="S1471" s="134"/>
      <c r="T1471" s="134"/>
      <c r="U1471" s="134"/>
      <c r="V1471" s="134"/>
      <c r="W1471" s="134"/>
      <c r="X1471" s="134"/>
      <c r="Y1471" s="134"/>
      <c r="Z1471" s="134"/>
      <c r="AA1471" s="134"/>
      <c r="AB1471" s="134"/>
      <c r="AC1471" s="134"/>
      <c r="AD1471" s="134"/>
      <c r="AE1471" s="134"/>
      <c r="AF1471" s="146"/>
      <c r="AG1471" s="134"/>
      <c r="AH1471" s="134"/>
      <c r="AI1471" s="134"/>
      <c r="AJ1471" s="134"/>
      <c r="AK1471" s="134"/>
      <c r="AL1471" s="134"/>
      <c r="AM1471" s="146"/>
      <c r="AN1471" s="132"/>
      <c r="AO1471" s="132"/>
      <c r="AP1471" s="132"/>
      <c r="AQ1471" s="132"/>
      <c r="AR1471" s="134"/>
      <c r="AS1471" s="134"/>
      <c r="AT1471" s="132"/>
      <c r="AU1471" s="133"/>
      <c r="AV1471" s="134"/>
    </row>
    <row r="1472" spans="19:48">
      <c r="S1472" s="134"/>
      <c r="T1472" s="134"/>
      <c r="U1472" s="134"/>
      <c r="V1472" s="134"/>
      <c r="W1472" s="134"/>
      <c r="X1472" s="134"/>
      <c r="Y1472" s="134"/>
      <c r="Z1472" s="134"/>
      <c r="AA1472" s="134"/>
      <c r="AB1472" s="134"/>
      <c r="AC1472" s="134"/>
      <c r="AD1472" s="134"/>
      <c r="AE1472" s="134"/>
      <c r="AF1472" s="146"/>
      <c r="AG1472" s="134"/>
      <c r="AH1472" s="134"/>
      <c r="AI1472" s="134"/>
      <c r="AJ1472" s="134"/>
      <c r="AK1472" s="134"/>
      <c r="AL1472" s="134"/>
      <c r="AM1472" s="146"/>
      <c r="AN1472" s="132"/>
      <c r="AO1472" s="132"/>
      <c r="AP1472" s="132"/>
      <c r="AQ1472" s="132"/>
      <c r="AR1472" s="134"/>
      <c r="AS1472" s="134"/>
      <c r="AT1472" s="132"/>
      <c r="AU1472" s="133"/>
      <c r="AV1472" s="134"/>
    </row>
    <row r="1473" spans="19:48">
      <c r="S1473" s="134"/>
      <c r="T1473" s="134"/>
      <c r="U1473" s="134"/>
      <c r="V1473" s="134"/>
      <c r="W1473" s="134"/>
      <c r="X1473" s="134"/>
      <c r="Y1473" s="134"/>
      <c r="Z1473" s="134"/>
      <c r="AA1473" s="134"/>
      <c r="AB1473" s="134"/>
      <c r="AC1473" s="134"/>
      <c r="AD1473" s="134"/>
      <c r="AE1473" s="134"/>
      <c r="AF1473" s="146"/>
      <c r="AG1473" s="134"/>
      <c r="AH1473" s="134"/>
      <c r="AI1473" s="134"/>
      <c r="AJ1473" s="134"/>
      <c r="AK1473" s="134"/>
      <c r="AL1473" s="134"/>
      <c r="AM1473" s="146"/>
      <c r="AN1473" s="132"/>
      <c r="AO1473" s="132"/>
      <c r="AP1473" s="132"/>
      <c r="AQ1473" s="132"/>
      <c r="AR1473" s="134"/>
      <c r="AS1473" s="134"/>
      <c r="AT1473" s="132"/>
      <c r="AU1473" s="133"/>
      <c r="AV1473" s="134"/>
    </row>
    <row r="1474" spans="19:48">
      <c r="S1474" s="134"/>
      <c r="T1474" s="134"/>
      <c r="U1474" s="134"/>
      <c r="V1474" s="134"/>
      <c r="W1474" s="134"/>
      <c r="X1474" s="134"/>
      <c r="Y1474" s="134"/>
      <c r="Z1474" s="134"/>
      <c r="AA1474" s="134"/>
      <c r="AB1474" s="134"/>
      <c r="AC1474" s="134"/>
      <c r="AD1474" s="134"/>
      <c r="AE1474" s="134"/>
      <c r="AF1474" s="146"/>
      <c r="AG1474" s="134"/>
      <c r="AH1474" s="134"/>
      <c r="AI1474" s="134"/>
      <c r="AJ1474" s="134"/>
      <c r="AK1474" s="134"/>
      <c r="AL1474" s="134"/>
      <c r="AM1474" s="146"/>
      <c r="AN1474" s="132"/>
      <c r="AO1474" s="132"/>
      <c r="AP1474" s="132"/>
      <c r="AQ1474" s="132"/>
      <c r="AR1474" s="134"/>
      <c r="AS1474" s="134"/>
      <c r="AT1474" s="132"/>
      <c r="AU1474" s="133"/>
      <c r="AV1474" s="134"/>
    </row>
    <row r="1475" spans="19:48">
      <c r="S1475" s="134"/>
      <c r="T1475" s="134"/>
      <c r="U1475" s="134"/>
      <c r="V1475" s="134"/>
      <c r="W1475" s="134"/>
      <c r="X1475" s="134"/>
      <c r="Y1475" s="134"/>
      <c r="Z1475" s="134"/>
      <c r="AA1475" s="134"/>
      <c r="AB1475" s="134"/>
      <c r="AC1475" s="134"/>
      <c r="AD1475" s="134"/>
      <c r="AE1475" s="134"/>
      <c r="AF1475" s="146"/>
      <c r="AG1475" s="134"/>
      <c r="AH1475" s="134"/>
      <c r="AI1475" s="134"/>
      <c r="AJ1475" s="134"/>
      <c r="AK1475" s="134"/>
      <c r="AL1475" s="134"/>
      <c r="AM1475" s="146"/>
      <c r="AN1475" s="132"/>
      <c r="AO1475" s="132"/>
      <c r="AP1475" s="132"/>
      <c r="AQ1475" s="132"/>
      <c r="AR1475" s="134"/>
      <c r="AS1475" s="134"/>
      <c r="AT1475" s="132"/>
      <c r="AU1475" s="133"/>
      <c r="AV1475" s="134"/>
    </row>
    <row r="1476" spans="19:48">
      <c r="S1476" s="134"/>
      <c r="T1476" s="134"/>
      <c r="U1476" s="134"/>
      <c r="V1476" s="134"/>
      <c r="W1476" s="134"/>
      <c r="X1476" s="134"/>
      <c r="Y1476" s="134"/>
      <c r="Z1476" s="134"/>
      <c r="AA1476" s="134"/>
      <c r="AB1476" s="134"/>
      <c r="AC1476" s="134"/>
      <c r="AD1476" s="134"/>
      <c r="AE1476" s="134"/>
      <c r="AF1476" s="146"/>
      <c r="AG1476" s="134"/>
      <c r="AH1476" s="134"/>
      <c r="AI1476" s="134"/>
      <c r="AJ1476" s="134"/>
      <c r="AK1476" s="134"/>
      <c r="AL1476" s="134"/>
      <c r="AM1476" s="146"/>
      <c r="AN1476" s="132"/>
      <c r="AO1476" s="132"/>
      <c r="AP1476" s="132"/>
      <c r="AQ1476" s="132"/>
      <c r="AR1476" s="134"/>
      <c r="AS1476" s="134"/>
      <c r="AT1476" s="132"/>
      <c r="AU1476" s="133"/>
      <c r="AV1476" s="134"/>
    </row>
    <row r="1477" spans="19:48">
      <c r="S1477" s="134"/>
      <c r="T1477" s="134"/>
      <c r="U1477" s="134"/>
      <c r="V1477" s="134"/>
      <c r="W1477" s="134"/>
      <c r="X1477" s="134"/>
      <c r="Y1477" s="134"/>
      <c r="Z1477" s="134"/>
      <c r="AA1477" s="134"/>
      <c r="AB1477" s="134"/>
      <c r="AC1477" s="134"/>
      <c r="AD1477" s="134"/>
      <c r="AE1477" s="134"/>
      <c r="AF1477" s="146"/>
      <c r="AG1477" s="134"/>
      <c r="AH1477" s="134"/>
      <c r="AI1477" s="134"/>
      <c r="AJ1477" s="134"/>
      <c r="AK1477" s="134"/>
      <c r="AL1477" s="134"/>
      <c r="AM1477" s="146"/>
      <c r="AN1477" s="132"/>
      <c r="AO1477" s="132"/>
      <c r="AP1477" s="132"/>
      <c r="AQ1477" s="132"/>
      <c r="AR1477" s="134"/>
      <c r="AS1477" s="134"/>
      <c r="AT1477" s="132"/>
      <c r="AU1477" s="133"/>
      <c r="AV1477" s="134"/>
    </row>
    <row r="1478" spans="19:48">
      <c r="S1478" s="134"/>
      <c r="T1478" s="134"/>
      <c r="U1478" s="134"/>
      <c r="V1478" s="134"/>
      <c r="W1478" s="134"/>
      <c r="X1478" s="134"/>
      <c r="Y1478" s="134"/>
      <c r="Z1478" s="134"/>
      <c r="AA1478" s="134"/>
      <c r="AB1478" s="134"/>
      <c r="AC1478" s="134"/>
      <c r="AD1478" s="134"/>
      <c r="AE1478" s="134"/>
      <c r="AF1478" s="146"/>
      <c r="AG1478" s="134"/>
      <c r="AH1478" s="134"/>
      <c r="AI1478" s="134"/>
      <c r="AJ1478" s="134"/>
      <c r="AK1478" s="134"/>
      <c r="AL1478" s="134"/>
      <c r="AM1478" s="146"/>
      <c r="AN1478" s="132"/>
      <c r="AO1478" s="132"/>
      <c r="AP1478" s="132"/>
      <c r="AQ1478" s="132"/>
      <c r="AR1478" s="134"/>
      <c r="AS1478" s="134"/>
      <c r="AT1478" s="132"/>
      <c r="AU1478" s="133"/>
      <c r="AV1478" s="134"/>
    </row>
    <row r="1479" spans="19:48">
      <c r="S1479" s="134"/>
      <c r="T1479" s="134"/>
      <c r="U1479" s="134"/>
      <c r="V1479" s="134"/>
      <c r="W1479" s="134"/>
      <c r="X1479" s="134"/>
      <c r="Y1479" s="134"/>
      <c r="Z1479" s="134"/>
      <c r="AA1479" s="134"/>
      <c r="AB1479" s="134"/>
      <c r="AC1479" s="134"/>
      <c r="AD1479" s="134"/>
      <c r="AE1479" s="134"/>
      <c r="AF1479" s="146"/>
      <c r="AG1479" s="134"/>
      <c r="AH1479" s="134"/>
      <c r="AI1479" s="134"/>
      <c r="AJ1479" s="134"/>
      <c r="AK1479" s="134"/>
      <c r="AL1479" s="134"/>
      <c r="AM1479" s="146"/>
      <c r="AN1479" s="132"/>
      <c r="AO1479" s="132"/>
      <c r="AP1479" s="132"/>
      <c r="AQ1479" s="132"/>
      <c r="AR1479" s="134"/>
      <c r="AS1479" s="134"/>
      <c r="AT1479" s="132"/>
      <c r="AU1479" s="133"/>
      <c r="AV1479" s="134"/>
    </row>
    <row r="1480" spans="19:48">
      <c r="S1480" s="134"/>
      <c r="T1480" s="134"/>
      <c r="U1480" s="134"/>
      <c r="V1480" s="134"/>
      <c r="W1480" s="134"/>
      <c r="X1480" s="134"/>
      <c r="Y1480" s="134"/>
      <c r="Z1480" s="134"/>
      <c r="AA1480" s="134"/>
      <c r="AB1480" s="134"/>
      <c r="AC1480" s="134"/>
      <c r="AD1480" s="134"/>
      <c r="AE1480" s="134"/>
      <c r="AF1480" s="146"/>
      <c r="AG1480" s="134"/>
      <c r="AH1480" s="134"/>
      <c r="AI1480" s="134"/>
      <c r="AJ1480" s="134"/>
      <c r="AK1480" s="134"/>
      <c r="AL1480" s="134"/>
      <c r="AM1480" s="146"/>
      <c r="AN1480" s="132"/>
      <c r="AO1480" s="132"/>
      <c r="AP1480" s="132"/>
      <c r="AQ1480" s="132"/>
      <c r="AR1480" s="134"/>
      <c r="AS1480" s="134"/>
      <c r="AT1480" s="132"/>
      <c r="AU1480" s="133"/>
      <c r="AV1480" s="134"/>
    </row>
    <row r="1481" spans="19:48">
      <c r="S1481" s="134"/>
      <c r="T1481" s="134"/>
      <c r="U1481" s="134"/>
      <c r="V1481" s="134"/>
      <c r="W1481" s="134"/>
      <c r="X1481" s="134"/>
      <c r="Y1481" s="134"/>
      <c r="Z1481" s="134"/>
      <c r="AA1481" s="134"/>
      <c r="AB1481" s="134"/>
      <c r="AC1481" s="134"/>
      <c r="AD1481" s="134"/>
      <c r="AE1481" s="134"/>
      <c r="AF1481" s="146"/>
      <c r="AG1481" s="134"/>
      <c r="AH1481" s="134"/>
      <c r="AI1481" s="134"/>
      <c r="AJ1481" s="134"/>
      <c r="AK1481" s="134"/>
      <c r="AL1481" s="134"/>
      <c r="AM1481" s="146"/>
      <c r="AN1481" s="132"/>
      <c r="AO1481" s="132"/>
      <c r="AP1481" s="132"/>
      <c r="AQ1481" s="132"/>
      <c r="AR1481" s="134"/>
      <c r="AS1481" s="134"/>
      <c r="AT1481" s="132"/>
      <c r="AU1481" s="133"/>
      <c r="AV1481" s="134"/>
    </row>
    <row r="1482" spans="19:48">
      <c r="S1482" s="134"/>
      <c r="T1482" s="134"/>
      <c r="U1482" s="134"/>
      <c r="V1482" s="134"/>
      <c r="W1482" s="134"/>
      <c r="X1482" s="134"/>
      <c r="Y1482" s="134"/>
      <c r="Z1482" s="134"/>
      <c r="AA1482" s="134"/>
      <c r="AB1482" s="134"/>
      <c r="AC1482" s="134"/>
      <c r="AD1482" s="134"/>
      <c r="AE1482" s="134"/>
      <c r="AF1482" s="146"/>
      <c r="AG1482" s="134"/>
      <c r="AH1482" s="134"/>
      <c r="AI1482" s="134"/>
      <c r="AJ1482" s="134"/>
      <c r="AK1482" s="134"/>
      <c r="AL1482" s="134"/>
      <c r="AM1482" s="146"/>
      <c r="AN1482" s="132"/>
      <c r="AO1482" s="132"/>
      <c r="AP1482" s="132"/>
      <c r="AQ1482" s="132"/>
      <c r="AR1482" s="134"/>
      <c r="AS1482" s="134"/>
      <c r="AT1482" s="132"/>
      <c r="AU1482" s="133"/>
      <c r="AV1482" s="134"/>
    </row>
    <row r="1483" spans="19:48">
      <c r="S1483" s="134"/>
      <c r="T1483" s="134"/>
      <c r="U1483" s="134"/>
      <c r="V1483" s="134"/>
      <c r="W1483" s="134"/>
      <c r="X1483" s="134"/>
      <c r="Y1483" s="134"/>
      <c r="Z1483" s="134"/>
      <c r="AA1483" s="134"/>
      <c r="AB1483" s="134"/>
      <c r="AC1483" s="134"/>
      <c r="AD1483" s="134"/>
      <c r="AE1483" s="134"/>
      <c r="AF1483" s="146"/>
      <c r="AG1483" s="134"/>
      <c r="AH1483" s="134"/>
      <c r="AI1483" s="134"/>
      <c r="AJ1483" s="134"/>
      <c r="AK1483" s="134"/>
      <c r="AL1483" s="134"/>
      <c r="AM1483" s="146"/>
      <c r="AN1483" s="132"/>
      <c r="AO1483" s="132"/>
      <c r="AP1483" s="132"/>
      <c r="AQ1483" s="132"/>
      <c r="AR1483" s="134"/>
      <c r="AS1483" s="134"/>
      <c r="AT1483" s="132"/>
      <c r="AU1483" s="133"/>
      <c r="AV1483" s="134"/>
    </row>
    <row r="1484" spans="19:48">
      <c r="S1484" s="134"/>
      <c r="T1484" s="134"/>
      <c r="U1484" s="134"/>
      <c r="V1484" s="134"/>
      <c r="W1484" s="134"/>
      <c r="X1484" s="134"/>
      <c r="Y1484" s="134"/>
      <c r="Z1484" s="134"/>
      <c r="AA1484" s="134"/>
      <c r="AB1484" s="134"/>
      <c r="AC1484" s="134"/>
      <c r="AD1484" s="134"/>
      <c r="AE1484" s="134"/>
      <c r="AF1484" s="146"/>
      <c r="AG1484" s="134"/>
      <c r="AH1484" s="134"/>
      <c r="AI1484" s="134"/>
      <c r="AJ1484" s="134"/>
      <c r="AK1484" s="134"/>
      <c r="AL1484" s="134"/>
      <c r="AM1484" s="146"/>
      <c r="AN1484" s="132"/>
      <c r="AO1484" s="132"/>
      <c r="AP1484" s="132"/>
      <c r="AQ1484" s="132"/>
      <c r="AR1484" s="134"/>
      <c r="AS1484" s="134"/>
      <c r="AT1484" s="132"/>
      <c r="AU1484" s="133"/>
      <c r="AV1484" s="134"/>
    </row>
    <row r="1485" spans="19:48">
      <c r="S1485" s="134"/>
      <c r="T1485" s="134"/>
      <c r="U1485" s="134"/>
      <c r="V1485" s="134"/>
      <c r="W1485" s="134"/>
      <c r="X1485" s="134"/>
      <c r="Y1485" s="134"/>
      <c r="Z1485" s="134"/>
      <c r="AA1485" s="134"/>
      <c r="AB1485" s="134"/>
      <c r="AC1485" s="134"/>
      <c r="AD1485" s="134"/>
      <c r="AE1485" s="134"/>
      <c r="AF1485" s="146"/>
      <c r="AG1485" s="134"/>
      <c r="AH1485" s="134"/>
      <c r="AI1485" s="134"/>
      <c r="AJ1485" s="134"/>
      <c r="AK1485" s="134"/>
      <c r="AL1485" s="134"/>
      <c r="AM1485" s="146"/>
      <c r="AN1485" s="132"/>
      <c r="AO1485" s="132"/>
      <c r="AP1485" s="132"/>
      <c r="AQ1485" s="132"/>
      <c r="AR1485" s="134"/>
      <c r="AS1485" s="134"/>
      <c r="AT1485" s="132"/>
      <c r="AU1485" s="133"/>
      <c r="AV1485" s="134"/>
    </row>
    <row r="1486" spans="19:48">
      <c r="S1486" s="134"/>
      <c r="T1486" s="134"/>
      <c r="U1486" s="134"/>
      <c r="V1486" s="134"/>
      <c r="W1486" s="134"/>
      <c r="X1486" s="134"/>
      <c r="Y1486" s="134"/>
      <c r="Z1486" s="134"/>
      <c r="AA1486" s="134"/>
      <c r="AB1486" s="134"/>
      <c r="AC1486" s="134"/>
      <c r="AD1486" s="134"/>
      <c r="AE1486" s="134"/>
      <c r="AF1486" s="146"/>
      <c r="AG1486" s="134"/>
      <c r="AH1486" s="134"/>
      <c r="AI1486" s="134"/>
      <c r="AJ1486" s="134"/>
      <c r="AK1486" s="134"/>
      <c r="AL1486" s="134"/>
      <c r="AM1486" s="146"/>
      <c r="AN1486" s="132"/>
      <c r="AO1486" s="132"/>
      <c r="AP1486" s="132"/>
      <c r="AQ1486" s="132"/>
      <c r="AR1486" s="134"/>
      <c r="AS1486" s="134"/>
      <c r="AT1486" s="132"/>
      <c r="AU1486" s="133"/>
      <c r="AV1486" s="134"/>
    </row>
    <row r="1487" spans="19:48">
      <c r="S1487" s="134"/>
      <c r="T1487" s="134"/>
      <c r="U1487" s="134"/>
      <c r="V1487" s="134"/>
      <c r="W1487" s="134"/>
      <c r="X1487" s="134"/>
      <c r="Y1487" s="134"/>
      <c r="Z1487" s="134"/>
      <c r="AA1487" s="134"/>
      <c r="AB1487" s="134"/>
      <c r="AC1487" s="134"/>
      <c r="AD1487" s="134"/>
      <c r="AE1487" s="134"/>
      <c r="AF1487" s="146"/>
      <c r="AG1487" s="134"/>
      <c r="AH1487" s="134"/>
      <c r="AI1487" s="134"/>
      <c r="AJ1487" s="134"/>
      <c r="AK1487" s="134"/>
      <c r="AL1487" s="134"/>
      <c r="AM1487" s="146"/>
      <c r="AN1487" s="132"/>
      <c r="AO1487" s="132"/>
      <c r="AP1487" s="132"/>
      <c r="AQ1487" s="132"/>
      <c r="AR1487" s="134"/>
      <c r="AS1487" s="134"/>
      <c r="AT1487" s="132"/>
      <c r="AU1487" s="133"/>
      <c r="AV1487" s="134"/>
    </row>
    <row r="1488" spans="19:48">
      <c r="S1488" s="134"/>
      <c r="T1488" s="134"/>
      <c r="U1488" s="134"/>
      <c r="V1488" s="134"/>
      <c r="W1488" s="134"/>
      <c r="X1488" s="134"/>
      <c r="Y1488" s="134"/>
      <c r="Z1488" s="134"/>
      <c r="AA1488" s="134"/>
      <c r="AB1488" s="134"/>
      <c r="AC1488" s="134"/>
      <c r="AD1488" s="134"/>
      <c r="AE1488" s="134"/>
      <c r="AF1488" s="146"/>
      <c r="AG1488" s="134"/>
      <c r="AH1488" s="134"/>
      <c r="AI1488" s="134"/>
      <c r="AJ1488" s="134"/>
      <c r="AK1488" s="134"/>
      <c r="AL1488" s="134"/>
      <c r="AM1488" s="146"/>
      <c r="AN1488" s="132"/>
      <c r="AO1488" s="132"/>
      <c r="AP1488" s="132"/>
      <c r="AQ1488" s="132"/>
      <c r="AR1488" s="134"/>
      <c r="AS1488" s="134"/>
      <c r="AT1488" s="132"/>
      <c r="AU1488" s="133"/>
      <c r="AV1488" s="134"/>
    </row>
    <row r="1489" spans="19:48">
      <c r="S1489" s="134"/>
      <c r="T1489" s="134"/>
      <c r="U1489" s="134"/>
      <c r="V1489" s="134"/>
      <c r="W1489" s="134"/>
      <c r="X1489" s="134"/>
      <c r="Y1489" s="134"/>
      <c r="Z1489" s="134"/>
      <c r="AA1489" s="134"/>
      <c r="AB1489" s="134"/>
      <c r="AC1489" s="134"/>
      <c r="AD1489" s="134"/>
      <c r="AE1489" s="134"/>
      <c r="AF1489" s="146"/>
      <c r="AG1489" s="134"/>
      <c r="AH1489" s="134"/>
      <c r="AI1489" s="134"/>
      <c r="AJ1489" s="134"/>
      <c r="AK1489" s="134"/>
      <c r="AL1489" s="134"/>
      <c r="AM1489" s="146"/>
      <c r="AN1489" s="132"/>
      <c r="AO1489" s="132"/>
      <c r="AP1489" s="132"/>
      <c r="AQ1489" s="132"/>
      <c r="AR1489" s="134"/>
      <c r="AS1489" s="134"/>
      <c r="AT1489" s="132"/>
      <c r="AU1489" s="133"/>
      <c r="AV1489" s="134"/>
    </row>
    <row r="1490" spans="19:48">
      <c r="S1490" s="134"/>
      <c r="T1490" s="134"/>
      <c r="U1490" s="134"/>
      <c r="V1490" s="134"/>
      <c r="W1490" s="134"/>
      <c r="X1490" s="134"/>
      <c r="Y1490" s="134"/>
      <c r="Z1490" s="134"/>
      <c r="AA1490" s="134"/>
      <c r="AB1490" s="134"/>
      <c r="AC1490" s="134"/>
      <c r="AD1490" s="134"/>
      <c r="AE1490" s="134"/>
      <c r="AF1490" s="146"/>
      <c r="AG1490" s="134"/>
      <c r="AH1490" s="134"/>
      <c r="AI1490" s="134"/>
      <c r="AJ1490" s="134"/>
      <c r="AK1490" s="134"/>
      <c r="AL1490" s="134"/>
      <c r="AM1490" s="146"/>
      <c r="AN1490" s="132"/>
      <c r="AO1490" s="132"/>
      <c r="AP1490" s="132"/>
      <c r="AQ1490" s="132"/>
      <c r="AR1490" s="134"/>
      <c r="AS1490" s="134"/>
      <c r="AT1490" s="132"/>
      <c r="AU1490" s="133"/>
      <c r="AV1490" s="134"/>
    </row>
    <row r="1491" spans="19:48">
      <c r="S1491" s="134"/>
      <c r="T1491" s="134"/>
      <c r="U1491" s="134"/>
      <c r="V1491" s="134"/>
      <c r="W1491" s="134"/>
      <c r="X1491" s="134"/>
      <c r="Y1491" s="134"/>
      <c r="Z1491" s="134"/>
      <c r="AA1491" s="134"/>
      <c r="AB1491" s="134"/>
      <c r="AC1491" s="134"/>
      <c r="AD1491" s="134"/>
      <c r="AE1491" s="134"/>
      <c r="AF1491" s="146"/>
      <c r="AG1491" s="134"/>
      <c r="AH1491" s="134"/>
      <c r="AI1491" s="134"/>
      <c r="AJ1491" s="134"/>
      <c r="AK1491" s="134"/>
      <c r="AL1491" s="134"/>
      <c r="AM1491" s="146"/>
      <c r="AN1491" s="132"/>
      <c r="AO1491" s="132"/>
      <c r="AP1491" s="132"/>
      <c r="AQ1491" s="132"/>
      <c r="AR1491" s="134"/>
      <c r="AS1491" s="134"/>
      <c r="AT1491" s="132"/>
      <c r="AU1491" s="133"/>
      <c r="AV1491" s="134"/>
    </row>
    <row r="1492" spans="19:48">
      <c r="S1492" s="134"/>
      <c r="T1492" s="134"/>
      <c r="U1492" s="134"/>
      <c r="V1492" s="134"/>
      <c r="W1492" s="134"/>
      <c r="X1492" s="134"/>
      <c r="Y1492" s="134"/>
      <c r="Z1492" s="134"/>
      <c r="AA1492" s="134"/>
      <c r="AB1492" s="134"/>
      <c r="AC1492" s="134"/>
      <c r="AD1492" s="134"/>
      <c r="AE1492" s="134"/>
      <c r="AF1492" s="146"/>
      <c r="AG1492" s="134"/>
      <c r="AH1492" s="134"/>
      <c r="AI1492" s="134"/>
      <c r="AJ1492" s="134"/>
      <c r="AK1492" s="134"/>
      <c r="AL1492" s="134"/>
      <c r="AM1492" s="146"/>
      <c r="AN1492" s="132"/>
      <c r="AO1492" s="132"/>
      <c r="AP1492" s="132"/>
      <c r="AQ1492" s="132"/>
      <c r="AR1492" s="134"/>
      <c r="AS1492" s="134"/>
      <c r="AT1492" s="132"/>
      <c r="AU1492" s="133"/>
      <c r="AV1492" s="134"/>
    </row>
    <row r="1493" spans="19:48">
      <c r="S1493" s="134"/>
      <c r="T1493" s="134"/>
      <c r="U1493" s="134"/>
      <c r="V1493" s="134"/>
      <c r="W1493" s="134"/>
      <c r="X1493" s="134"/>
      <c r="Y1493" s="134"/>
      <c r="Z1493" s="134"/>
      <c r="AA1493" s="134"/>
      <c r="AB1493" s="134"/>
      <c r="AC1493" s="134"/>
      <c r="AD1493" s="134"/>
      <c r="AE1493" s="134"/>
      <c r="AF1493" s="146"/>
      <c r="AG1493" s="134"/>
      <c r="AH1493" s="134"/>
      <c r="AI1493" s="134"/>
      <c r="AJ1493" s="134"/>
      <c r="AK1493" s="134"/>
      <c r="AL1493" s="134"/>
      <c r="AM1493" s="146"/>
      <c r="AN1493" s="132"/>
      <c r="AO1493" s="132"/>
      <c r="AP1493" s="132"/>
      <c r="AQ1493" s="132"/>
      <c r="AR1493" s="134"/>
      <c r="AS1493" s="134"/>
      <c r="AT1493" s="132"/>
      <c r="AU1493" s="133"/>
      <c r="AV1493" s="134"/>
    </row>
    <row r="1494" spans="19:48">
      <c r="S1494" s="134"/>
      <c r="T1494" s="134"/>
      <c r="U1494" s="134"/>
      <c r="V1494" s="134"/>
      <c r="W1494" s="134"/>
      <c r="X1494" s="134"/>
      <c r="Y1494" s="134"/>
      <c r="Z1494" s="134"/>
      <c r="AA1494" s="134"/>
      <c r="AB1494" s="134"/>
      <c r="AC1494" s="134"/>
      <c r="AD1494" s="134"/>
      <c r="AE1494" s="134"/>
      <c r="AF1494" s="146"/>
      <c r="AG1494" s="134"/>
      <c r="AH1494" s="134"/>
      <c r="AI1494" s="134"/>
      <c r="AJ1494" s="134"/>
      <c r="AK1494" s="134"/>
      <c r="AL1494" s="134"/>
      <c r="AM1494" s="146"/>
      <c r="AN1494" s="132"/>
      <c r="AO1494" s="132"/>
      <c r="AP1494" s="132"/>
      <c r="AQ1494" s="132"/>
      <c r="AR1494" s="134"/>
      <c r="AS1494" s="134"/>
      <c r="AT1494" s="132"/>
      <c r="AU1494" s="133"/>
      <c r="AV1494" s="134"/>
    </row>
    <row r="1495" spans="19:48">
      <c r="S1495" s="134"/>
      <c r="T1495" s="134"/>
      <c r="U1495" s="134"/>
      <c r="V1495" s="134"/>
      <c r="W1495" s="134"/>
      <c r="X1495" s="134"/>
      <c r="Y1495" s="134"/>
      <c r="Z1495" s="134"/>
      <c r="AA1495" s="134"/>
      <c r="AB1495" s="134"/>
      <c r="AC1495" s="134"/>
      <c r="AD1495" s="134"/>
      <c r="AE1495" s="134"/>
      <c r="AF1495" s="146"/>
      <c r="AG1495" s="134"/>
      <c r="AH1495" s="134"/>
      <c r="AI1495" s="134"/>
      <c r="AJ1495" s="134"/>
      <c r="AK1495" s="134"/>
      <c r="AL1495" s="134"/>
      <c r="AM1495" s="146"/>
      <c r="AN1495" s="132"/>
      <c r="AO1495" s="132"/>
      <c r="AP1495" s="132"/>
      <c r="AQ1495" s="132"/>
      <c r="AR1495" s="134"/>
      <c r="AS1495" s="134"/>
      <c r="AT1495" s="132"/>
      <c r="AU1495" s="133"/>
      <c r="AV1495" s="134"/>
    </row>
    <row r="1496" spans="19:48">
      <c r="S1496" s="134"/>
      <c r="T1496" s="134"/>
      <c r="U1496" s="134"/>
      <c r="V1496" s="134"/>
      <c r="W1496" s="134"/>
      <c r="X1496" s="134"/>
      <c r="Y1496" s="134"/>
      <c r="Z1496" s="134"/>
      <c r="AA1496" s="134"/>
      <c r="AB1496" s="134"/>
      <c r="AC1496" s="134"/>
      <c r="AD1496" s="134"/>
      <c r="AE1496" s="134"/>
      <c r="AF1496" s="146"/>
      <c r="AG1496" s="134"/>
      <c r="AH1496" s="134"/>
      <c r="AI1496" s="134"/>
      <c r="AJ1496" s="134"/>
      <c r="AK1496" s="134"/>
      <c r="AL1496" s="134"/>
      <c r="AM1496" s="146"/>
      <c r="AN1496" s="132"/>
      <c r="AO1496" s="132"/>
      <c r="AP1496" s="132"/>
      <c r="AQ1496" s="132"/>
      <c r="AR1496" s="134"/>
      <c r="AS1496" s="134"/>
      <c r="AT1496" s="132"/>
      <c r="AU1496" s="133"/>
      <c r="AV1496" s="134"/>
    </row>
    <row r="1497" spans="19:48">
      <c r="S1497" s="134"/>
      <c r="T1497" s="134"/>
      <c r="U1497" s="134"/>
      <c r="V1497" s="134"/>
      <c r="W1497" s="134"/>
      <c r="X1497" s="134"/>
      <c r="Y1497" s="134"/>
      <c r="Z1497" s="134"/>
      <c r="AA1497" s="134"/>
      <c r="AB1497" s="134"/>
      <c r="AC1497" s="134"/>
      <c r="AD1497" s="134"/>
      <c r="AE1497" s="134"/>
      <c r="AF1497" s="146"/>
      <c r="AG1497" s="134"/>
      <c r="AH1497" s="134"/>
      <c r="AI1497" s="134"/>
      <c r="AJ1497" s="134"/>
      <c r="AK1497" s="134"/>
      <c r="AL1497" s="134"/>
      <c r="AM1497" s="146"/>
      <c r="AN1497" s="132"/>
      <c r="AO1497" s="132"/>
      <c r="AP1497" s="132"/>
      <c r="AQ1497" s="132"/>
      <c r="AR1497" s="134"/>
      <c r="AS1497" s="134"/>
      <c r="AT1497" s="132"/>
      <c r="AU1497" s="133"/>
      <c r="AV1497" s="134"/>
    </row>
    <row r="1498" spans="19:48">
      <c r="S1498" s="134"/>
      <c r="T1498" s="134"/>
      <c r="U1498" s="134"/>
      <c r="V1498" s="134"/>
      <c r="W1498" s="134"/>
      <c r="X1498" s="134"/>
      <c r="Y1498" s="134"/>
      <c r="Z1498" s="134"/>
      <c r="AA1498" s="134"/>
      <c r="AB1498" s="134"/>
      <c r="AC1498" s="134"/>
      <c r="AD1498" s="134"/>
      <c r="AE1498" s="134"/>
      <c r="AF1498" s="146"/>
      <c r="AG1498" s="134"/>
      <c r="AH1498" s="134"/>
      <c r="AI1498" s="134"/>
      <c r="AJ1498" s="134"/>
      <c r="AK1498" s="134"/>
      <c r="AL1498" s="134"/>
      <c r="AM1498" s="146"/>
      <c r="AN1498" s="132"/>
      <c r="AO1498" s="132"/>
      <c r="AP1498" s="132"/>
      <c r="AQ1498" s="132"/>
      <c r="AR1498" s="134"/>
      <c r="AS1498" s="134"/>
      <c r="AT1498" s="132"/>
      <c r="AU1498" s="133"/>
      <c r="AV1498" s="134"/>
    </row>
    <row r="1499" spans="19:48">
      <c r="S1499" s="134"/>
      <c r="T1499" s="134"/>
      <c r="U1499" s="134"/>
      <c r="V1499" s="134"/>
      <c r="W1499" s="134"/>
      <c r="X1499" s="134"/>
      <c r="Y1499" s="134"/>
      <c r="Z1499" s="134"/>
      <c r="AA1499" s="134"/>
      <c r="AB1499" s="134"/>
      <c r="AC1499" s="134"/>
      <c r="AD1499" s="134"/>
      <c r="AE1499" s="134"/>
      <c r="AF1499" s="146"/>
      <c r="AG1499" s="134"/>
      <c r="AH1499" s="134"/>
      <c r="AI1499" s="134"/>
      <c r="AJ1499" s="134"/>
      <c r="AK1499" s="134"/>
      <c r="AL1499" s="134"/>
      <c r="AM1499" s="146"/>
      <c r="AN1499" s="132"/>
      <c r="AO1499" s="132"/>
      <c r="AP1499" s="132"/>
      <c r="AQ1499" s="132"/>
      <c r="AR1499" s="134"/>
      <c r="AS1499" s="134"/>
      <c r="AT1499" s="132"/>
      <c r="AU1499" s="133"/>
      <c r="AV1499" s="134"/>
    </row>
    <row r="1500" spans="19:48">
      <c r="S1500" s="134"/>
      <c r="T1500" s="134"/>
      <c r="U1500" s="134"/>
      <c r="V1500" s="134"/>
      <c r="W1500" s="134"/>
      <c r="X1500" s="134"/>
      <c r="Y1500" s="134"/>
      <c r="Z1500" s="134"/>
      <c r="AA1500" s="134"/>
      <c r="AB1500" s="134"/>
      <c r="AC1500" s="134"/>
      <c r="AD1500" s="134"/>
      <c r="AE1500" s="134"/>
      <c r="AF1500" s="146"/>
      <c r="AG1500" s="134"/>
      <c r="AH1500" s="134"/>
      <c r="AI1500" s="134"/>
      <c r="AJ1500" s="134"/>
      <c r="AK1500" s="134"/>
      <c r="AL1500" s="134"/>
      <c r="AM1500" s="146"/>
      <c r="AN1500" s="132"/>
      <c r="AO1500" s="132"/>
      <c r="AP1500" s="132"/>
      <c r="AQ1500" s="132"/>
      <c r="AR1500" s="134"/>
      <c r="AS1500" s="134"/>
      <c r="AT1500" s="132"/>
      <c r="AU1500" s="133"/>
      <c r="AV1500" s="134"/>
    </row>
    <row r="1501" spans="19:48">
      <c r="S1501" s="134"/>
      <c r="T1501" s="134"/>
      <c r="U1501" s="134"/>
      <c r="V1501" s="134"/>
      <c r="W1501" s="134"/>
      <c r="X1501" s="134"/>
      <c r="Y1501" s="134"/>
      <c r="Z1501" s="134"/>
      <c r="AA1501" s="134"/>
      <c r="AB1501" s="134"/>
      <c r="AC1501" s="134"/>
      <c r="AD1501" s="134"/>
      <c r="AE1501" s="134"/>
      <c r="AF1501" s="146"/>
      <c r="AG1501" s="134"/>
      <c r="AH1501" s="134"/>
      <c r="AI1501" s="134"/>
      <c r="AJ1501" s="134"/>
      <c r="AK1501" s="134"/>
      <c r="AL1501" s="134"/>
      <c r="AM1501" s="146"/>
      <c r="AN1501" s="132"/>
      <c r="AO1501" s="132"/>
      <c r="AP1501" s="132"/>
      <c r="AQ1501" s="132"/>
      <c r="AR1501" s="134"/>
      <c r="AS1501" s="134"/>
      <c r="AT1501" s="132"/>
      <c r="AU1501" s="133"/>
      <c r="AV1501" s="134"/>
    </row>
    <row r="1502" spans="19:48">
      <c r="S1502" s="134"/>
      <c r="T1502" s="134"/>
      <c r="U1502" s="134"/>
      <c r="V1502" s="134"/>
      <c r="W1502" s="134"/>
      <c r="X1502" s="134"/>
      <c r="Y1502" s="134"/>
      <c r="Z1502" s="134"/>
      <c r="AA1502" s="134"/>
      <c r="AB1502" s="134"/>
      <c r="AC1502" s="134"/>
      <c r="AD1502" s="134"/>
      <c r="AE1502" s="134"/>
      <c r="AF1502" s="146"/>
      <c r="AG1502" s="134"/>
      <c r="AH1502" s="134"/>
      <c r="AI1502" s="134"/>
      <c r="AJ1502" s="134"/>
      <c r="AK1502" s="134"/>
      <c r="AL1502" s="134"/>
      <c r="AM1502" s="146"/>
      <c r="AN1502" s="132"/>
      <c r="AO1502" s="132"/>
      <c r="AP1502" s="132"/>
      <c r="AQ1502" s="132"/>
      <c r="AR1502" s="134"/>
      <c r="AS1502" s="134"/>
      <c r="AT1502" s="132"/>
      <c r="AU1502" s="133"/>
      <c r="AV1502" s="134"/>
    </row>
    <row r="1503" spans="19:48">
      <c r="S1503" s="134"/>
      <c r="T1503" s="134"/>
      <c r="U1503" s="134"/>
      <c r="V1503" s="134"/>
      <c r="W1503" s="134"/>
      <c r="X1503" s="134"/>
      <c r="Y1503" s="134"/>
      <c r="Z1503" s="134"/>
      <c r="AA1503" s="134"/>
      <c r="AB1503" s="134"/>
      <c r="AC1503" s="134"/>
      <c r="AD1503" s="134"/>
      <c r="AE1503" s="134"/>
      <c r="AF1503" s="146"/>
      <c r="AG1503" s="134"/>
      <c r="AH1503" s="134"/>
      <c r="AI1503" s="134"/>
      <c r="AJ1503" s="134"/>
      <c r="AK1503" s="134"/>
      <c r="AL1503" s="134"/>
      <c r="AM1503" s="146"/>
      <c r="AN1503" s="132"/>
      <c r="AO1503" s="132"/>
      <c r="AP1503" s="132"/>
      <c r="AQ1503" s="132"/>
      <c r="AR1503" s="134"/>
      <c r="AS1503" s="134"/>
      <c r="AT1503" s="132"/>
      <c r="AU1503" s="133"/>
      <c r="AV1503" s="134"/>
    </row>
    <row r="1504" spans="19:48">
      <c r="S1504" s="134"/>
      <c r="T1504" s="134"/>
      <c r="U1504" s="134"/>
      <c r="V1504" s="134"/>
      <c r="W1504" s="134"/>
      <c r="X1504" s="134"/>
      <c r="Y1504" s="134"/>
      <c r="Z1504" s="134"/>
      <c r="AA1504" s="134"/>
      <c r="AB1504" s="134"/>
      <c r="AC1504" s="134"/>
      <c r="AD1504" s="134"/>
      <c r="AE1504" s="134"/>
      <c r="AF1504" s="146"/>
      <c r="AG1504" s="134"/>
      <c r="AH1504" s="134"/>
      <c r="AI1504" s="134"/>
      <c r="AJ1504" s="134"/>
      <c r="AK1504" s="134"/>
      <c r="AL1504" s="134"/>
      <c r="AM1504" s="146"/>
      <c r="AN1504" s="132"/>
      <c r="AO1504" s="132"/>
      <c r="AP1504" s="132"/>
      <c r="AQ1504" s="132"/>
      <c r="AR1504" s="134"/>
      <c r="AS1504" s="134"/>
      <c r="AT1504" s="132"/>
      <c r="AU1504" s="133"/>
      <c r="AV1504" s="134"/>
    </row>
    <row r="1505" spans="19:48">
      <c r="S1505" s="134"/>
      <c r="T1505" s="134"/>
      <c r="U1505" s="134"/>
      <c r="V1505" s="134"/>
      <c r="W1505" s="134"/>
      <c r="X1505" s="134"/>
      <c r="Y1505" s="134"/>
      <c r="Z1505" s="134"/>
      <c r="AA1505" s="134"/>
      <c r="AB1505" s="134"/>
      <c r="AC1505" s="134"/>
      <c r="AD1505" s="134"/>
      <c r="AE1505" s="134"/>
      <c r="AF1505" s="146"/>
      <c r="AG1505" s="134"/>
      <c r="AH1505" s="134"/>
      <c r="AI1505" s="134"/>
      <c r="AJ1505" s="134"/>
      <c r="AK1505" s="134"/>
      <c r="AL1505" s="134"/>
      <c r="AM1505" s="146"/>
      <c r="AN1505" s="132"/>
      <c r="AO1505" s="132"/>
      <c r="AP1505" s="132"/>
      <c r="AQ1505" s="132"/>
      <c r="AR1505" s="134"/>
      <c r="AS1505" s="134"/>
      <c r="AT1505" s="132"/>
      <c r="AU1505" s="133"/>
      <c r="AV1505" s="134"/>
    </row>
    <row r="1506" spans="19:48">
      <c r="S1506" s="134"/>
      <c r="T1506" s="134"/>
      <c r="U1506" s="134"/>
      <c r="V1506" s="134"/>
      <c r="W1506" s="134"/>
      <c r="X1506" s="134"/>
      <c r="Y1506" s="134"/>
      <c r="Z1506" s="134"/>
      <c r="AA1506" s="134"/>
      <c r="AB1506" s="134"/>
      <c r="AC1506" s="134"/>
      <c r="AD1506" s="134"/>
      <c r="AE1506" s="134"/>
      <c r="AF1506" s="146"/>
      <c r="AG1506" s="134"/>
      <c r="AH1506" s="134"/>
      <c r="AI1506" s="134"/>
      <c r="AJ1506" s="134"/>
      <c r="AK1506" s="134"/>
      <c r="AL1506" s="134"/>
      <c r="AM1506" s="146"/>
      <c r="AN1506" s="132"/>
      <c r="AO1506" s="132"/>
      <c r="AP1506" s="132"/>
      <c r="AQ1506" s="132"/>
      <c r="AR1506" s="134"/>
      <c r="AS1506" s="134"/>
      <c r="AT1506" s="132"/>
      <c r="AU1506" s="133"/>
      <c r="AV1506" s="134"/>
    </row>
    <row r="1507" spans="19:48">
      <c r="S1507" s="134"/>
      <c r="T1507" s="134"/>
      <c r="U1507" s="134"/>
      <c r="V1507" s="134"/>
      <c r="W1507" s="134"/>
      <c r="X1507" s="134"/>
      <c r="Y1507" s="134"/>
      <c r="Z1507" s="134"/>
      <c r="AA1507" s="134"/>
      <c r="AB1507" s="134"/>
      <c r="AC1507" s="134"/>
      <c r="AD1507" s="134"/>
      <c r="AE1507" s="134"/>
      <c r="AF1507" s="146"/>
      <c r="AG1507" s="134"/>
      <c r="AH1507" s="134"/>
      <c r="AI1507" s="134"/>
      <c r="AJ1507" s="134"/>
      <c r="AK1507" s="134"/>
      <c r="AL1507" s="134"/>
      <c r="AM1507" s="146"/>
      <c r="AN1507" s="132"/>
      <c r="AO1507" s="132"/>
      <c r="AP1507" s="132"/>
      <c r="AQ1507" s="132"/>
      <c r="AR1507" s="134"/>
      <c r="AS1507" s="134"/>
      <c r="AT1507" s="132"/>
      <c r="AU1507" s="133"/>
      <c r="AV1507" s="134"/>
    </row>
    <row r="1508" spans="19:48">
      <c r="S1508" s="134"/>
      <c r="T1508" s="134"/>
      <c r="U1508" s="134"/>
      <c r="V1508" s="134"/>
      <c r="W1508" s="134"/>
      <c r="X1508" s="134"/>
      <c r="Y1508" s="134"/>
      <c r="Z1508" s="134"/>
      <c r="AA1508" s="134"/>
      <c r="AB1508" s="134"/>
      <c r="AC1508" s="134"/>
      <c r="AD1508" s="134"/>
      <c r="AE1508" s="134"/>
      <c r="AF1508" s="146"/>
      <c r="AG1508" s="134"/>
      <c r="AH1508" s="134"/>
      <c r="AI1508" s="134"/>
      <c r="AJ1508" s="134"/>
      <c r="AK1508" s="134"/>
      <c r="AL1508" s="134"/>
      <c r="AM1508" s="146"/>
      <c r="AN1508" s="132"/>
      <c r="AO1508" s="132"/>
      <c r="AP1508" s="132"/>
      <c r="AQ1508" s="132"/>
      <c r="AR1508" s="134"/>
      <c r="AS1508" s="134"/>
      <c r="AT1508" s="132"/>
      <c r="AU1508" s="133"/>
      <c r="AV1508" s="134"/>
    </row>
    <row r="1509" spans="19:48">
      <c r="S1509" s="134"/>
      <c r="T1509" s="134"/>
      <c r="U1509" s="134"/>
      <c r="V1509" s="134"/>
      <c r="W1509" s="134"/>
      <c r="X1509" s="134"/>
      <c r="Y1509" s="134"/>
      <c r="Z1509" s="134"/>
      <c r="AA1509" s="134"/>
      <c r="AB1509" s="134"/>
      <c r="AC1509" s="134"/>
      <c r="AD1509" s="134"/>
      <c r="AE1509" s="134"/>
      <c r="AF1509" s="146"/>
      <c r="AG1509" s="134"/>
      <c r="AH1509" s="134"/>
      <c r="AI1509" s="134"/>
      <c r="AJ1509" s="134"/>
      <c r="AK1509" s="134"/>
      <c r="AL1509" s="134"/>
      <c r="AM1509" s="146"/>
      <c r="AN1509" s="132"/>
      <c r="AO1509" s="132"/>
      <c r="AP1509" s="132"/>
      <c r="AQ1509" s="132"/>
      <c r="AR1509" s="134"/>
      <c r="AS1509" s="134"/>
      <c r="AT1509" s="132"/>
      <c r="AU1509" s="133"/>
      <c r="AV1509" s="134"/>
    </row>
    <row r="1510" spans="19:48">
      <c r="S1510" s="134"/>
      <c r="T1510" s="134"/>
      <c r="U1510" s="134"/>
      <c r="V1510" s="134"/>
      <c r="W1510" s="134"/>
      <c r="X1510" s="134"/>
      <c r="Y1510" s="134"/>
      <c r="Z1510" s="134"/>
      <c r="AA1510" s="134"/>
      <c r="AB1510" s="134"/>
      <c r="AC1510" s="134"/>
      <c r="AD1510" s="134"/>
      <c r="AE1510" s="134"/>
      <c r="AF1510" s="146"/>
      <c r="AG1510" s="134"/>
      <c r="AH1510" s="134"/>
      <c r="AI1510" s="134"/>
      <c r="AJ1510" s="134"/>
      <c r="AK1510" s="134"/>
      <c r="AL1510" s="134"/>
      <c r="AM1510" s="146"/>
      <c r="AN1510" s="132"/>
      <c r="AO1510" s="132"/>
      <c r="AP1510" s="132"/>
      <c r="AQ1510" s="132"/>
      <c r="AR1510" s="134"/>
      <c r="AS1510" s="134"/>
      <c r="AT1510" s="132"/>
      <c r="AU1510" s="133"/>
      <c r="AV1510" s="134"/>
    </row>
    <row r="1511" spans="19:48">
      <c r="S1511" s="134"/>
      <c r="T1511" s="134"/>
      <c r="U1511" s="134"/>
      <c r="V1511" s="134"/>
      <c r="W1511" s="134"/>
      <c r="X1511" s="134"/>
      <c r="Y1511" s="134"/>
      <c r="Z1511" s="134"/>
      <c r="AA1511" s="134"/>
      <c r="AB1511" s="134"/>
      <c r="AC1511" s="134"/>
      <c r="AD1511" s="134"/>
      <c r="AE1511" s="134"/>
      <c r="AF1511" s="146"/>
      <c r="AG1511" s="134"/>
      <c r="AH1511" s="134"/>
      <c r="AI1511" s="134"/>
      <c r="AJ1511" s="134"/>
      <c r="AK1511" s="134"/>
      <c r="AL1511" s="134"/>
      <c r="AM1511" s="146"/>
      <c r="AN1511" s="132"/>
      <c r="AO1511" s="132"/>
      <c r="AP1511" s="132"/>
      <c r="AQ1511" s="132"/>
      <c r="AR1511" s="134"/>
      <c r="AS1511" s="134"/>
      <c r="AT1511" s="132"/>
      <c r="AU1511" s="133"/>
      <c r="AV1511" s="134"/>
    </row>
    <row r="1512" spans="19:48">
      <c r="S1512" s="134"/>
      <c r="T1512" s="134"/>
      <c r="U1512" s="134"/>
      <c r="V1512" s="134"/>
      <c r="W1512" s="134"/>
      <c r="X1512" s="134"/>
      <c r="Y1512" s="134"/>
      <c r="Z1512" s="134"/>
      <c r="AA1512" s="134"/>
      <c r="AB1512" s="134"/>
      <c r="AC1512" s="134"/>
      <c r="AD1512" s="134"/>
      <c r="AE1512" s="134"/>
      <c r="AF1512" s="146"/>
      <c r="AG1512" s="134"/>
      <c r="AH1512" s="134"/>
      <c r="AI1512" s="134"/>
      <c r="AJ1512" s="134"/>
      <c r="AK1512" s="134"/>
      <c r="AL1512" s="134"/>
      <c r="AM1512" s="146"/>
      <c r="AN1512" s="132"/>
      <c r="AO1512" s="132"/>
      <c r="AP1512" s="132"/>
      <c r="AQ1512" s="132"/>
      <c r="AR1512" s="134"/>
      <c r="AS1512" s="134"/>
      <c r="AT1512" s="132"/>
      <c r="AU1512" s="133"/>
      <c r="AV1512" s="134"/>
    </row>
    <row r="1513" spans="19:48">
      <c r="S1513" s="134"/>
      <c r="T1513" s="134"/>
      <c r="U1513" s="134"/>
      <c r="V1513" s="134"/>
      <c r="W1513" s="134"/>
      <c r="X1513" s="134"/>
      <c r="Y1513" s="134"/>
      <c r="Z1513" s="134"/>
      <c r="AA1513" s="134"/>
      <c r="AB1513" s="134"/>
      <c r="AC1513" s="134"/>
      <c r="AD1513" s="134"/>
      <c r="AE1513" s="134"/>
      <c r="AF1513" s="146"/>
      <c r="AG1513" s="134"/>
      <c r="AH1513" s="134"/>
      <c r="AI1513" s="134"/>
      <c r="AJ1513" s="134"/>
      <c r="AK1513" s="134"/>
      <c r="AL1513" s="134"/>
      <c r="AM1513" s="146"/>
      <c r="AN1513" s="132"/>
      <c r="AO1513" s="132"/>
      <c r="AP1513" s="132"/>
      <c r="AQ1513" s="132"/>
      <c r="AR1513" s="134"/>
      <c r="AS1513" s="134"/>
      <c r="AT1513" s="132"/>
      <c r="AU1513" s="133"/>
      <c r="AV1513" s="134"/>
    </row>
    <row r="1514" spans="19:48">
      <c r="S1514" s="134"/>
      <c r="T1514" s="134"/>
      <c r="U1514" s="134"/>
      <c r="V1514" s="134"/>
      <c r="W1514" s="134"/>
      <c r="X1514" s="134"/>
      <c r="Y1514" s="134"/>
      <c r="Z1514" s="134"/>
      <c r="AA1514" s="134"/>
      <c r="AB1514" s="134"/>
      <c r="AC1514" s="134"/>
      <c r="AD1514" s="134"/>
      <c r="AE1514" s="134"/>
      <c r="AF1514" s="146"/>
      <c r="AG1514" s="134"/>
      <c r="AH1514" s="134"/>
      <c r="AI1514" s="134"/>
      <c r="AJ1514" s="134"/>
      <c r="AK1514" s="134"/>
      <c r="AL1514" s="134"/>
      <c r="AM1514" s="146"/>
      <c r="AN1514" s="132"/>
      <c r="AO1514" s="132"/>
      <c r="AP1514" s="132"/>
      <c r="AQ1514" s="132"/>
      <c r="AR1514" s="134"/>
      <c r="AS1514" s="134"/>
      <c r="AT1514" s="132"/>
      <c r="AU1514" s="133"/>
      <c r="AV1514" s="134"/>
    </row>
    <row r="1515" spans="19:48">
      <c r="S1515" s="134"/>
      <c r="T1515" s="134"/>
      <c r="U1515" s="134"/>
      <c r="V1515" s="134"/>
      <c r="W1515" s="134"/>
      <c r="X1515" s="134"/>
      <c r="Y1515" s="134"/>
      <c r="Z1515" s="134"/>
      <c r="AA1515" s="134"/>
      <c r="AB1515" s="134"/>
      <c r="AC1515" s="134"/>
      <c r="AD1515" s="134"/>
      <c r="AE1515" s="134"/>
      <c r="AF1515" s="146"/>
      <c r="AG1515" s="134"/>
      <c r="AH1515" s="134"/>
      <c r="AI1515" s="134"/>
      <c r="AJ1515" s="134"/>
      <c r="AK1515" s="134"/>
      <c r="AL1515" s="134"/>
      <c r="AM1515" s="146"/>
      <c r="AN1515" s="132"/>
      <c r="AO1515" s="132"/>
      <c r="AP1515" s="132"/>
      <c r="AQ1515" s="132"/>
      <c r="AR1515" s="134"/>
      <c r="AS1515" s="134"/>
      <c r="AT1515" s="132"/>
      <c r="AU1515" s="133"/>
      <c r="AV1515" s="134"/>
    </row>
    <row r="1516" spans="19:48">
      <c r="S1516" s="134"/>
      <c r="T1516" s="134"/>
      <c r="U1516" s="134"/>
      <c r="V1516" s="134"/>
      <c r="W1516" s="134"/>
      <c r="X1516" s="134"/>
      <c r="Y1516" s="134"/>
      <c r="Z1516" s="134"/>
      <c r="AA1516" s="134"/>
      <c r="AB1516" s="134"/>
      <c r="AC1516" s="134"/>
      <c r="AD1516" s="134"/>
      <c r="AE1516" s="134"/>
      <c r="AF1516" s="146"/>
      <c r="AG1516" s="134"/>
      <c r="AH1516" s="134"/>
      <c r="AI1516" s="134"/>
      <c r="AJ1516" s="134"/>
      <c r="AK1516" s="134"/>
      <c r="AL1516" s="134"/>
      <c r="AM1516" s="146"/>
      <c r="AN1516" s="132"/>
      <c r="AO1516" s="132"/>
      <c r="AP1516" s="132"/>
      <c r="AQ1516" s="132"/>
      <c r="AR1516" s="134"/>
      <c r="AS1516" s="134"/>
      <c r="AT1516" s="132"/>
      <c r="AU1516" s="133"/>
      <c r="AV1516" s="134"/>
    </row>
    <row r="1517" spans="19:48">
      <c r="S1517" s="134"/>
      <c r="T1517" s="134"/>
      <c r="U1517" s="134"/>
      <c r="V1517" s="134"/>
      <c r="W1517" s="134"/>
      <c r="X1517" s="134"/>
      <c r="Y1517" s="134"/>
      <c r="Z1517" s="134"/>
      <c r="AA1517" s="134"/>
      <c r="AB1517" s="134"/>
      <c r="AC1517" s="134"/>
      <c r="AD1517" s="134"/>
      <c r="AE1517" s="134"/>
      <c r="AF1517" s="146"/>
      <c r="AG1517" s="134"/>
      <c r="AH1517" s="134"/>
      <c r="AI1517" s="134"/>
      <c r="AJ1517" s="134"/>
      <c r="AK1517" s="134"/>
      <c r="AL1517" s="134"/>
      <c r="AM1517" s="146"/>
      <c r="AN1517" s="132"/>
      <c r="AO1517" s="132"/>
      <c r="AP1517" s="132"/>
      <c r="AQ1517" s="132"/>
      <c r="AR1517" s="134"/>
      <c r="AS1517" s="134"/>
      <c r="AT1517" s="132"/>
      <c r="AU1517" s="133"/>
      <c r="AV1517" s="134"/>
    </row>
    <row r="1518" spans="19:48">
      <c r="S1518" s="134"/>
      <c r="T1518" s="134"/>
      <c r="U1518" s="134"/>
      <c r="V1518" s="134"/>
      <c r="W1518" s="134"/>
      <c r="X1518" s="134"/>
      <c r="Y1518" s="134"/>
      <c r="Z1518" s="134"/>
      <c r="AA1518" s="134"/>
      <c r="AB1518" s="134"/>
      <c r="AC1518" s="134"/>
      <c r="AD1518" s="134"/>
      <c r="AE1518" s="134"/>
      <c r="AF1518" s="146"/>
      <c r="AG1518" s="134"/>
      <c r="AH1518" s="134"/>
      <c r="AI1518" s="134"/>
      <c r="AJ1518" s="134"/>
      <c r="AK1518" s="134"/>
      <c r="AL1518" s="134"/>
      <c r="AM1518" s="146"/>
      <c r="AN1518" s="132"/>
      <c r="AO1518" s="132"/>
      <c r="AP1518" s="132"/>
      <c r="AQ1518" s="132"/>
      <c r="AR1518" s="134"/>
      <c r="AS1518" s="134"/>
      <c r="AT1518" s="132"/>
      <c r="AU1518" s="133"/>
      <c r="AV1518" s="134"/>
    </row>
    <row r="1519" spans="19:48">
      <c r="S1519" s="134"/>
      <c r="T1519" s="134"/>
      <c r="U1519" s="134"/>
      <c r="V1519" s="134"/>
      <c r="W1519" s="134"/>
      <c r="X1519" s="134"/>
      <c r="Y1519" s="134"/>
      <c r="Z1519" s="134"/>
      <c r="AA1519" s="134"/>
      <c r="AB1519" s="134"/>
      <c r="AC1519" s="134"/>
      <c r="AD1519" s="134"/>
      <c r="AE1519" s="134"/>
      <c r="AF1519" s="146"/>
      <c r="AG1519" s="134"/>
      <c r="AH1519" s="134"/>
      <c r="AI1519" s="134"/>
      <c r="AJ1519" s="134"/>
      <c r="AK1519" s="134"/>
      <c r="AL1519" s="134"/>
      <c r="AM1519" s="146"/>
      <c r="AN1519" s="132"/>
      <c r="AO1519" s="132"/>
      <c r="AP1519" s="132"/>
      <c r="AQ1519" s="132"/>
      <c r="AR1519" s="134"/>
      <c r="AS1519" s="134"/>
      <c r="AT1519" s="132"/>
      <c r="AU1519" s="133"/>
      <c r="AV1519" s="134"/>
    </row>
    <row r="1520" spans="19:48">
      <c r="S1520" s="134"/>
      <c r="T1520" s="134"/>
      <c r="U1520" s="134"/>
      <c r="V1520" s="134"/>
      <c r="W1520" s="134"/>
      <c r="X1520" s="134"/>
      <c r="Y1520" s="134"/>
      <c r="Z1520" s="134"/>
      <c r="AA1520" s="134"/>
      <c r="AB1520" s="134"/>
      <c r="AC1520" s="134"/>
      <c r="AD1520" s="134"/>
      <c r="AE1520" s="134"/>
      <c r="AF1520" s="146"/>
      <c r="AG1520" s="134"/>
      <c r="AH1520" s="134"/>
      <c r="AI1520" s="134"/>
      <c r="AJ1520" s="134"/>
      <c r="AK1520" s="134"/>
      <c r="AL1520" s="134"/>
      <c r="AM1520" s="146"/>
      <c r="AN1520" s="132"/>
      <c r="AO1520" s="132"/>
      <c r="AP1520" s="132"/>
      <c r="AQ1520" s="132"/>
      <c r="AR1520" s="134"/>
      <c r="AS1520" s="134"/>
      <c r="AT1520" s="132"/>
      <c r="AU1520" s="133"/>
      <c r="AV1520" s="134"/>
    </row>
    <row r="1521" spans="19:48">
      <c r="S1521" s="134"/>
      <c r="T1521" s="134"/>
      <c r="U1521" s="134"/>
      <c r="V1521" s="134"/>
      <c r="W1521" s="134"/>
      <c r="X1521" s="134"/>
      <c r="Y1521" s="134"/>
      <c r="Z1521" s="134"/>
      <c r="AA1521" s="134"/>
      <c r="AB1521" s="134"/>
      <c r="AC1521" s="134"/>
      <c r="AD1521" s="134"/>
      <c r="AE1521" s="134"/>
      <c r="AF1521" s="146"/>
      <c r="AG1521" s="134"/>
      <c r="AH1521" s="134"/>
      <c r="AI1521" s="134"/>
      <c r="AJ1521" s="134"/>
      <c r="AK1521" s="134"/>
      <c r="AL1521" s="134"/>
      <c r="AM1521" s="146"/>
      <c r="AN1521" s="132"/>
      <c r="AO1521" s="132"/>
      <c r="AP1521" s="132"/>
      <c r="AQ1521" s="132"/>
      <c r="AR1521" s="134"/>
      <c r="AS1521" s="134"/>
      <c r="AT1521" s="132"/>
      <c r="AU1521" s="133"/>
      <c r="AV1521" s="134"/>
    </row>
    <row r="1522" spans="19:48">
      <c r="S1522" s="134"/>
      <c r="T1522" s="134"/>
      <c r="U1522" s="134"/>
      <c r="V1522" s="134"/>
      <c r="W1522" s="134"/>
      <c r="X1522" s="134"/>
      <c r="Y1522" s="134"/>
      <c r="Z1522" s="134"/>
      <c r="AA1522" s="134"/>
      <c r="AB1522" s="134"/>
      <c r="AC1522" s="134"/>
      <c r="AD1522" s="134"/>
      <c r="AE1522" s="134"/>
      <c r="AF1522" s="146"/>
      <c r="AG1522" s="134"/>
      <c r="AH1522" s="134"/>
      <c r="AI1522" s="134"/>
      <c r="AJ1522" s="134"/>
      <c r="AK1522" s="134"/>
      <c r="AL1522" s="134"/>
      <c r="AM1522" s="146"/>
      <c r="AN1522" s="132"/>
      <c r="AO1522" s="132"/>
      <c r="AP1522" s="132"/>
      <c r="AQ1522" s="132"/>
      <c r="AR1522" s="134"/>
      <c r="AS1522" s="134"/>
      <c r="AT1522" s="132"/>
      <c r="AU1522" s="133"/>
      <c r="AV1522" s="134"/>
    </row>
    <row r="1523" spans="19:48">
      <c r="S1523" s="134"/>
      <c r="T1523" s="134"/>
      <c r="U1523" s="134"/>
      <c r="V1523" s="134"/>
      <c r="W1523" s="134"/>
      <c r="X1523" s="134"/>
      <c r="Y1523" s="134"/>
      <c r="Z1523" s="134"/>
      <c r="AA1523" s="134"/>
      <c r="AB1523" s="134"/>
      <c r="AC1523" s="134"/>
      <c r="AD1523" s="134"/>
      <c r="AE1523" s="134"/>
      <c r="AF1523" s="146"/>
      <c r="AG1523" s="134"/>
      <c r="AH1523" s="134"/>
      <c r="AI1523" s="134"/>
      <c r="AJ1523" s="134"/>
      <c r="AK1523" s="134"/>
      <c r="AL1523" s="134"/>
      <c r="AM1523" s="146"/>
      <c r="AN1523" s="132"/>
      <c r="AO1523" s="132"/>
      <c r="AP1523" s="132"/>
      <c r="AQ1523" s="132"/>
      <c r="AR1523" s="134"/>
      <c r="AS1523" s="134"/>
      <c r="AT1523" s="132"/>
      <c r="AU1523" s="133"/>
      <c r="AV1523" s="134"/>
    </row>
    <row r="1524" spans="19:48">
      <c r="S1524" s="134"/>
      <c r="T1524" s="134"/>
      <c r="U1524" s="134"/>
      <c r="V1524" s="134"/>
      <c r="W1524" s="134"/>
      <c r="X1524" s="134"/>
      <c r="Y1524" s="134"/>
      <c r="Z1524" s="134"/>
      <c r="AA1524" s="134"/>
      <c r="AB1524" s="134"/>
      <c r="AC1524" s="134"/>
      <c r="AD1524" s="134"/>
      <c r="AE1524" s="134"/>
      <c r="AF1524" s="146"/>
      <c r="AG1524" s="134"/>
      <c r="AH1524" s="134"/>
      <c r="AI1524" s="134"/>
      <c r="AJ1524" s="134"/>
      <c r="AK1524" s="134"/>
      <c r="AL1524" s="134"/>
      <c r="AM1524" s="146"/>
      <c r="AN1524" s="132"/>
      <c r="AO1524" s="132"/>
      <c r="AP1524" s="132"/>
      <c r="AQ1524" s="132"/>
      <c r="AR1524" s="134"/>
      <c r="AS1524" s="134"/>
      <c r="AT1524" s="132"/>
      <c r="AU1524" s="133"/>
      <c r="AV1524" s="134"/>
    </row>
    <row r="1525" spans="19:48">
      <c r="S1525" s="134"/>
      <c r="T1525" s="134"/>
      <c r="U1525" s="134"/>
      <c r="V1525" s="134"/>
      <c r="W1525" s="134"/>
      <c r="X1525" s="134"/>
      <c r="Y1525" s="134"/>
      <c r="Z1525" s="134"/>
      <c r="AA1525" s="134"/>
      <c r="AB1525" s="134"/>
      <c r="AC1525" s="134"/>
      <c r="AD1525" s="134"/>
      <c r="AE1525" s="134"/>
      <c r="AF1525" s="146"/>
      <c r="AG1525" s="134"/>
      <c r="AH1525" s="134"/>
      <c r="AI1525" s="134"/>
      <c r="AJ1525" s="134"/>
      <c r="AK1525" s="134"/>
      <c r="AL1525" s="134"/>
      <c r="AM1525" s="146"/>
      <c r="AN1525" s="132"/>
      <c r="AO1525" s="132"/>
      <c r="AP1525" s="132"/>
      <c r="AQ1525" s="132"/>
      <c r="AR1525" s="134"/>
      <c r="AS1525" s="134"/>
      <c r="AT1525" s="132"/>
      <c r="AU1525" s="133"/>
      <c r="AV1525" s="134"/>
    </row>
    <row r="1526" spans="19:48">
      <c r="S1526" s="134"/>
      <c r="T1526" s="134"/>
      <c r="U1526" s="134"/>
      <c r="V1526" s="134"/>
      <c r="W1526" s="134"/>
      <c r="X1526" s="134"/>
      <c r="Y1526" s="134"/>
      <c r="Z1526" s="134"/>
      <c r="AA1526" s="134"/>
      <c r="AB1526" s="134"/>
      <c r="AC1526" s="134"/>
      <c r="AD1526" s="134"/>
      <c r="AE1526" s="134"/>
      <c r="AF1526" s="146"/>
      <c r="AG1526" s="134"/>
      <c r="AH1526" s="134"/>
      <c r="AI1526" s="134"/>
      <c r="AJ1526" s="134"/>
      <c r="AK1526" s="134"/>
      <c r="AL1526" s="134"/>
      <c r="AM1526" s="146"/>
      <c r="AN1526" s="132"/>
      <c r="AO1526" s="132"/>
      <c r="AP1526" s="132"/>
      <c r="AQ1526" s="132"/>
      <c r="AR1526" s="134"/>
      <c r="AS1526" s="134"/>
      <c r="AT1526" s="132"/>
      <c r="AU1526" s="133"/>
      <c r="AV1526" s="134"/>
    </row>
    <row r="1527" spans="19:48">
      <c r="S1527" s="134"/>
      <c r="T1527" s="134"/>
      <c r="U1527" s="134"/>
      <c r="V1527" s="134"/>
      <c r="W1527" s="134"/>
      <c r="X1527" s="134"/>
      <c r="Y1527" s="134"/>
      <c r="Z1527" s="134"/>
      <c r="AA1527" s="134"/>
      <c r="AB1527" s="134"/>
      <c r="AC1527" s="134"/>
      <c r="AD1527" s="134"/>
      <c r="AE1527" s="134"/>
      <c r="AF1527" s="146"/>
      <c r="AG1527" s="134"/>
      <c r="AH1527" s="134"/>
      <c r="AI1527" s="134"/>
      <c r="AJ1527" s="134"/>
      <c r="AK1527" s="134"/>
      <c r="AL1527" s="134"/>
      <c r="AM1527" s="146"/>
      <c r="AN1527" s="132"/>
      <c r="AO1527" s="132"/>
      <c r="AP1527" s="132"/>
      <c r="AQ1527" s="132"/>
      <c r="AR1527" s="134"/>
      <c r="AS1527" s="134"/>
      <c r="AT1527" s="132"/>
      <c r="AU1527" s="133"/>
      <c r="AV1527" s="134"/>
    </row>
    <row r="1528" spans="19:48">
      <c r="S1528" s="134"/>
      <c r="T1528" s="134"/>
      <c r="U1528" s="134"/>
      <c r="V1528" s="134"/>
      <c r="W1528" s="134"/>
      <c r="X1528" s="134"/>
      <c r="Y1528" s="134"/>
      <c r="Z1528" s="134"/>
      <c r="AA1528" s="134"/>
      <c r="AB1528" s="134"/>
      <c r="AC1528" s="134"/>
      <c r="AD1528" s="134"/>
      <c r="AE1528" s="134"/>
      <c r="AF1528" s="146"/>
      <c r="AG1528" s="134"/>
      <c r="AH1528" s="134"/>
      <c r="AI1528" s="134"/>
      <c r="AJ1528" s="134"/>
      <c r="AK1528" s="134"/>
      <c r="AL1528" s="134"/>
      <c r="AM1528" s="146"/>
      <c r="AN1528" s="132"/>
      <c r="AO1528" s="132"/>
      <c r="AP1528" s="132"/>
      <c r="AQ1528" s="132"/>
      <c r="AR1528" s="134"/>
      <c r="AS1528" s="134"/>
      <c r="AT1528" s="132"/>
      <c r="AU1528" s="133"/>
      <c r="AV1528" s="134"/>
    </row>
    <row r="1529" spans="19:48">
      <c r="S1529" s="134"/>
      <c r="T1529" s="134"/>
      <c r="U1529" s="134"/>
      <c r="V1529" s="134"/>
      <c r="W1529" s="134"/>
      <c r="X1529" s="134"/>
      <c r="Y1529" s="134"/>
      <c r="Z1529" s="134"/>
      <c r="AA1529" s="134"/>
      <c r="AB1529" s="134"/>
      <c r="AC1529" s="134"/>
      <c r="AD1529" s="134"/>
      <c r="AE1529" s="134"/>
      <c r="AF1529" s="146"/>
      <c r="AG1529" s="134"/>
      <c r="AH1529" s="134"/>
      <c r="AI1529" s="134"/>
      <c r="AJ1529" s="134"/>
      <c r="AK1529" s="134"/>
      <c r="AL1529" s="134"/>
      <c r="AM1529" s="146"/>
      <c r="AN1529" s="132"/>
      <c r="AO1529" s="132"/>
      <c r="AP1529" s="132"/>
      <c r="AQ1529" s="132"/>
      <c r="AR1529" s="134"/>
      <c r="AS1529" s="134"/>
      <c r="AT1529" s="132"/>
      <c r="AU1529" s="133"/>
      <c r="AV1529" s="134"/>
    </row>
    <row r="1530" spans="19:48">
      <c r="S1530" s="134"/>
      <c r="T1530" s="134"/>
      <c r="U1530" s="134"/>
      <c r="V1530" s="134"/>
      <c r="W1530" s="134"/>
      <c r="X1530" s="134"/>
      <c r="Y1530" s="134"/>
      <c r="Z1530" s="134"/>
      <c r="AA1530" s="134"/>
      <c r="AB1530" s="134"/>
      <c r="AC1530" s="134"/>
      <c r="AD1530" s="134"/>
      <c r="AE1530" s="134"/>
      <c r="AF1530" s="146"/>
      <c r="AG1530" s="134"/>
      <c r="AH1530" s="134"/>
      <c r="AI1530" s="134"/>
      <c r="AJ1530" s="134"/>
      <c r="AK1530" s="134"/>
      <c r="AL1530" s="134"/>
      <c r="AM1530" s="146"/>
      <c r="AN1530" s="132"/>
      <c r="AO1530" s="132"/>
      <c r="AP1530" s="132"/>
      <c r="AQ1530" s="132"/>
      <c r="AR1530" s="134"/>
      <c r="AS1530" s="134"/>
      <c r="AT1530" s="132"/>
      <c r="AU1530" s="133"/>
      <c r="AV1530" s="134"/>
    </row>
    <row r="1531" spans="19:48">
      <c r="S1531" s="134"/>
      <c r="T1531" s="134"/>
      <c r="U1531" s="134"/>
      <c r="V1531" s="134"/>
      <c r="W1531" s="134"/>
      <c r="X1531" s="134"/>
      <c r="Y1531" s="134"/>
      <c r="Z1531" s="134"/>
      <c r="AA1531" s="134"/>
      <c r="AB1531" s="134"/>
      <c r="AC1531" s="134"/>
      <c r="AD1531" s="134"/>
      <c r="AE1531" s="134"/>
      <c r="AF1531" s="146"/>
      <c r="AG1531" s="134"/>
      <c r="AH1531" s="134"/>
      <c r="AI1531" s="134"/>
      <c r="AJ1531" s="134"/>
      <c r="AK1531" s="134"/>
      <c r="AL1531" s="134"/>
      <c r="AM1531" s="146"/>
      <c r="AN1531" s="132"/>
      <c r="AO1531" s="132"/>
      <c r="AP1531" s="132"/>
      <c r="AQ1531" s="132"/>
      <c r="AR1531" s="134"/>
      <c r="AS1531" s="134"/>
      <c r="AT1531" s="132"/>
      <c r="AU1531" s="133"/>
      <c r="AV1531" s="134"/>
    </row>
    <row r="1532" spans="19:48">
      <c r="S1532" s="134"/>
      <c r="T1532" s="134"/>
      <c r="U1532" s="134"/>
      <c r="V1532" s="134"/>
      <c r="W1532" s="134"/>
      <c r="X1532" s="134"/>
      <c r="Y1532" s="134"/>
      <c r="Z1532" s="134"/>
      <c r="AA1532" s="134"/>
      <c r="AB1532" s="134"/>
      <c r="AC1532" s="134"/>
      <c r="AD1532" s="134"/>
      <c r="AE1532" s="134"/>
      <c r="AF1532" s="146"/>
      <c r="AG1532" s="134"/>
      <c r="AH1532" s="134"/>
      <c r="AI1532" s="134"/>
      <c r="AJ1532" s="134"/>
      <c r="AK1532" s="134"/>
      <c r="AL1532" s="134"/>
      <c r="AM1532" s="146"/>
      <c r="AN1532" s="132"/>
      <c r="AO1532" s="132"/>
      <c r="AP1532" s="132"/>
      <c r="AQ1532" s="132"/>
      <c r="AR1532" s="134"/>
      <c r="AS1532" s="134"/>
      <c r="AT1532" s="132"/>
      <c r="AU1532" s="133"/>
      <c r="AV1532" s="134"/>
    </row>
    <row r="1533" spans="19:48">
      <c r="S1533" s="134"/>
      <c r="T1533" s="134"/>
      <c r="U1533" s="134"/>
      <c r="V1533" s="134"/>
      <c r="W1533" s="134"/>
      <c r="X1533" s="134"/>
      <c r="Y1533" s="134"/>
      <c r="Z1533" s="134"/>
      <c r="AA1533" s="134"/>
      <c r="AB1533" s="134"/>
      <c r="AC1533" s="134"/>
      <c r="AD1533" s="134"/>
      <c r="AE1533" s="134"/>
      <c r="AF1533" s="146"/>
      <c r="AG1533" s="134"/>
      <c r="AH1533" s="134"/>
      <c r="AI1533" s="134"/>
      <c r="AJ1533" s="134"/>
      <c r="AK1533" s="134"/>
      <c r="AL1533" s="134"/>
      <c r="AM1533" s="146"/>
      <c r="AN1533" s="132"/>
      <c r="AO1533" s="132"/>
      <c r="AP1533" s="132"/>
      <c r="AQ1533" s="132"/>
      <c r="AR1533" s="134"/>
      <c r="AS1533" s="134"/>
      <c r="AT1533" s="132"/>
      <c r="AU1533" s="133"/>
      <c r="AV1533" s="134"/>
    </row>
    <row r="1534" spans="19:48">
      <c r="S1534" s="134"/>
      <c r="T1534" s="134"/>
      <c r="U1534" s="134"/>
      <c r="V1534" s="134"/>
      <c r="W1534" s="134"/>
      <c r="X1534" s="134"/>
      <c r="Y1534" s="134"/>
      <c r="Z1534" s="134"/>
      <c r="AA1534" s="134"/>
      <c r="AB1534" s="134"/>
      <c r="AC1534" s="134"/>
      <c r="AD1534" s="134"/>
      <c r="AE1534" s="134"/>
      <c r="AF1534" s="146"/>
      <c r="AG1534" s="134"/>
      <c r="AH1534" s="134"/>
      <c r="AI1534" s="134"/>
      <c r="AJ1534" s="134"/>
      <c r="AK1534" s="134"/>
      <c r="AL1534" s="134"/>
      <c r="AM1534" s="146"/>
      <c r="AN1534" s="132"/>
      <c r="AO1534" s="132"/>
      <c r="AP1534" s="132"/>
      <c r="AQ1534" s="132"/>
      <c r="AR1534" s="134"/>
      <c r="AS1534" s="134"/>
      <c r="AT1534" s="132"/>
      <c r="AU1534" s="133"/>
      <c r="AV1534" s="134"/>
    </row>
    <row r="1535" spans="19:48">
      <c r="S1535" s="134"/>
      <c r="T1535" s="134"/>
      <c r="U1535" s="134"/>
      <c r="V1535" s="134"/>
      <c r="W1535" s="134"/>
      <c r="X1535" s="134"/>
      <c r="Y1535" s="134"/>
      <c r="Z1535" s="134"/>
      <c r="AA1535" s="134"/>
      <c r="AB1535" s="134"/>
      <c r="AC1535" s="134"/>
      <c r="AD1535" s="134"/>
      <c r="AE1535" s="134"/>
      <c r="AF1535" s="146"/>
      <c r="AG1535" s="134"/>
      <c r="AH1535" s="134"/>
      <c r="AI1535" s="134"/>
      <c r="AJ1535" s="134"/>
      <c r="AK1535" s="134"/>
      <c r="AL1535" s="134"/>
      <c r="AM1535" s="146"/>
      <c r="AN1535" s="132"/>
      <c r="AO1535" s="132"/>
      <c r="AP1535" s="132"/>
      <c r="AQ1535" s="132"/>
      <c r="AR1535" s="134"/>
      <c r="AS1535" s="134"/>
      <c r="AT1535" s="132"/>
      <c r="AU1535" s="133"/>
      <c r="AV1535" s="134"/>
    </row>
    <row r="1536" spans="19:48">
      <c r="S1536" s="134"/>
      <c r="T1536" s="134"/>
      <c r="U1536" s="134"/>
      <c r="V1536" s="134"/>
      <c r="W1536" s="134"/>
      <c r="X1536" s="134"/>
      <c r="Y1536" s="134"/>
      <c r="Z1536" s="134"/>
      <c r="AA1536" s="134"/>
      <c r="AB1536" s="134"/>
      <c r="AC1536" s="134"/>
      <c r="AD1536" s="134"/>
      <c r="AE1536" s="134"/>
      <c r="AF1536" s="146"/>
      <c r="AG1536" s="134"/>
      <c r="AH1536" s="134"/>
      <c r="AI1536" s="134"/>
      <c r="AJ1536" s="134"/>
      <c r="AK1536" s="134"/>
      <c r="AL1536" s="134"/>
      <c r="AM1536" s="146"/>
      <c r="AN1536" s="132"/>
      <c r="AO1536" s="132"/>
      <c r="AP1536" s="132"/>
      <c r="AQ1536" s="132"/>
      <c r="AR1536" s="134"/>
      <c r="AS1536" s="134"/>
      <c r="AT1536" s="132"/>
      <c r="AU1536" s="133"/>
      <c r="AV1536" s="134"/>
    </row>
    <row r="1537" spans="19:48">
      <c r="S1537" s="134"/>
      <c r="T1537" s="134"/>
      <c r="U1537" s="134"/>
      <c r="V1537" s="134"/>
      <c r="W1537" s="134"/>
      <c r="X1537" s="134"/>
      <c r="Y1537" s="134"/>
      <c r="Z1537" s="134"/>
      <c r="AA1537" s="134"/>
      <c r="AB1537" s="134"/>
      <c r="AC1537" s="134"/>
      <c r="AD1537" s="134"/>
      <c r="AE1537" s="134"/>
      <c r="AF1537" s="146"/>
      <c r="AG1537" s="134"/>
      <c r="AH1537" s="134"/>
      <c r="AI1537" s="134"/>
      <c r="AJ1537" s="134"/>
      <c r="AK1537" s="134"/>
      <c r="AL1537" s="134"/>
      <c r="AM1537" s="146"/>
      <c r="AN1537" s="132"/>
      <c r="AO1537" s="132"/>
      <c r="AP1537" s="132"/>
      <c r="AQ1537" s="132"/>
      <c r="AR1537" s="134"/>
      <c r="AS1537" s="134"/>
      <c r="AT1537" s="132"/>
      <c r="AU1537" s="133"/>
      <c r="AV1537" s="134"/>
    </row>
    <row r="1538" spans="19:48">
      <c r="S1538" s="134"/>
      <c r="T1538" s="134"/>
      <c r="U1538" s="134"/>
      <c r="V1538" s="134"/>
      <c r="W1538" s="134"/>
      <c r="X1538" s="134"/>
      <c r="Y1538" s="134"/>
      <c r="Z1538" s="134"/>
      <c r="AA1538" s="134"/>
      <c r="AB1538" s="134"/>
      <c r="AC1538" s="134"/>
      <c r="AD1538" s="134"/>
      <c r="AE1538" s="134"/>
      <c r="AF1538" s="146"/>
      <c r="AG1538" s="134"/>
      <c r="AH1538" s="134"/>
      <c r="AI1538" s="134"/>
      <c r="AJ1538" s="134"/>
      <c r="AK1538" s="134"/>
      <c r="AL1538" s="134"/>
      <c r="AM1538" s="146"/>
      <c r="AN1538" s="132"/>
      <c r="AO1538" s="132"/>
      <c r="AP1538" s="132"/>
      <c r="AQ1538" s="132"/>
      <c r="AR1538" s="134"/>
      <c r="AS1538" s="134"/>
      <c r="AT1538" s="132"/>
      <c r="AU1538" s="133"/>
      <c r="AV1538" s="134"/>
    </row>
    <row r="1539" spans="19:48">
      <c r="S1539" s="134"/>
      <c r="T1539" s="134"/>
      <c r="U1539" s="134"/>
      <c r="V1539" s="134"/>
      <c r="W1539" s="134"/>
      <c r="X1539" s="134"/>
      <c r="Y1539" s="134"/>
      <c r="Z1539" s="134"/>
      <c r="AA1539" s="134"/>
      <c r="AB1539" s="134"/>
      <c r="AC1539" s="134"/>
      <c r="AD1539" s="134"/>
      <c r="AE1539" s="134"/>
      <c r="AF1539" s="146"/>
      <c r="AG1539" s="134"/>
      <c r="AH1539" s="134"/>
      <c r="AI1539" s="134"/>
      <c r="AJ1539" s="134"/>
      <c r="AK1539" s="134"/>
      <c r="AL1539" s="134"/>
      <c r="AM1539" s="146"/>
      <c r="AN1539" s="132"/>
      <c r="AO1539" s="132"/>
      <c r="AP1539" s="132"/>
      <c r="AQ1539" s="132"/>
      <c r="AR1539" s="134"/>
      <c r="AS1539" s="134"/>
      <c r="AT1539" s="132"/>
      <c r="AU1539" s="133"/>
      <c r="AV1539" s="134"/>
    </row>
    <row r="1540" spans="19:48">
      <c r="S1540" s="134"/>
      <c r="T1540" s="134"/>
      <c r="U1540" s="134"/>
      <c r="V1540" s="134"/>
      <c r="W1540" s="134"/>
      <c r="X1540" s="134"/>
      <c r="Y1540" s="134"/>
      <c r="Z1540" s="134"/>
      <c r="AA1540" s="134"/>
      <c r="AB1540" s="134"/>
      <c r="AC1540" s="134"/>
      <c r="AD1540" s="134"/>
      <c r="AE1540" s="134"/>
      <c r="AF1540" s="146"/>
      <c r="AG1540" s="134"/>
      <c r="AH1540" s="134"/>
      <c r="AI1540" s="134"/>
      <c r="AJ1540" s="134"/>
      <c r="AK1540" s="134"/>
      <c r="AL1540" s="134"/>
      <c r="AM1540" s="146"/>
      <c r="AN1540" s="132"/>
      <c r="AO1540" s="132"/>
      <c r="AP1540" s="132"/>
      <c r="AQ1540" s="132"/>
      <c r="AR1540" s="134"/>
      <c r="AS1540" s="134"/>
      <c r="AT1540" s="132"/>
      <c r="AU1540" s="133"/>
      <c r="AV1540" s="134"/>
    </row>
    <row r="1541" spans="19:48">
      <c r="S1541" s="134"/>
      <c r="T1541" s="134"/>
      <c r="U1541" s="134"/>
      <c r="V1541" s="134"/>
      <c r="W1541" s="134"/>
      <c r="X1541" s="134"/>
      <c r="Y1541" s="134"/>
      <c r="Z1541" s="134"/>
      <c r="AA1541" s="134"/>
      <c r="AB1541" s="134"/>
      <c r="AC1541" s="134"/>
      <c r="AD1541" s="134"/>
      <c r="AE1541" s="134"/>
      <c r="AF1541" s="146"/>
      <c r="AG1541" s="134"/>
      <c r="AH1541" s="134"/>
      <c r="AI1541" s="134"/>
      <c r="AJ1541" s="134"/>
      <c r="AK1541" s="134"/>
      <c r="AL1541" s="134"/>
      <c r="AM1541" s="146"/>
      <c r="AN1541" s="132"/>
      <c r="AO1541" s="132"/>
      <c r="AP1541" s="132"/>
      <c r="AQ1541" s="132"/>
      <c r="AR1541" s="134"/>
      <c r="AS1541" s="134"/>
      <c r="AT1541" s="132"/>
      <c r="AU1541" s="133"/>
      <c r="AV1541" s="134"/>
    </row>
    <row r="1542" spans="19:48">
      <c r="S1542" s="134"/>
      <c r="T1542" s="134"/>
      <c r="U1542" s="134"/>
      <c r="V1542" s="134"/>
      <c r="W1542" s="134"/>
      <c r="X1542" s="134"/>
      <c r="Y1542" s="134"/>
      <c r="Z1542" s="134"/>
      <c r="AA1542" s="134"/>
      <c r="AB1542" s="134"/>
      <c r="AC1542" s="134"/>
      <c r="AD1542" s="134"/>
      <c r="AE1542" s="134"/>
      <c r="AF1542" s="146"/>
      <c r="AG1542" s="134"/>
      <c r="AH1542" s="134"/>
      <c r="AI1542" s="134"/>
      <c r="AJ1542" s="134"/>
      <c r="AK1542" s="134"/>
      <c r="AL1542" s="134"/>
      <c r="AM1542" s="146"/>
      <c r="AN1542" s="132"/>
      <c r="AO1542" s="132"/>
      <c r="AP1542" s="132"/>
      <c r="AQ1542" s="132"/>
      <c r="AR1542" s="134"/>
      <c r="AS1542" s="134"/>
      <c r="AT1542" s="132"/>
      <c r="AU1542" s="133"/>
      <c r="AV1542" s="134"/>
    </row>
    <row r="1543" spans="19:48">
      <c r="S1543" s="134"/>
      <c r="T1543" s="134"/>
      <c r="U1543" s="134"/>
      <c r="V1543" s="134"/>
      <c r="W1543" s="134"/>
      <c r="X1543" s="134"/>
      <c r="Y1543" s="134"/>
      <c r="Z1543" s="134"/>
      <c r="AA1543" s="134"/>
      <c r="AB1543" s="134"/>
      <c r="AC1543" s="134"/>
      <c r="AD1543" s="134"/>
      <c r="AE1543" s="134"/>
      <c r="AF1543" s="146"/>
      <c r="AG1543" s="134"/>
      <c r="AH1543" s="134"/>
      <c r="AI1543" s="134"/>
      <c r="AJ1543" s="134"/>
      <c r="AK1543" s="134"/>
      <c r="AL1543" s="134"/>
      <c r="AM1543" s="146"/>
      <c r="AN1543" s="132"/>
      <c r="AO1543" s="132"/>
      <c r="AP1543" s="132"/>
      <c r="AQ1543" s="132"/>
      <c r="AR1543" s="134"/>
      <c r="AS1543" s="134"/>
      <c r="AT1543" s="132"/>
      <c r="AU1543" s="133"/>
      <c r="AV1543" s="134"/>
    </row>
    <row r="1544" spans="19:48">
      <c r="S1544" s="134"/>
      <c r="T1544" s="134"/>
      <c r="U1544" s="134"/>
      <c r="V1544" s="134"/>
      <c r="W1544" s="134"/>
      <c r="X1544" s="134"/>
      <c r="Y1544" s="134"/>
      <c r="Z1544" s="134"/>
      <c r="AA1544" s="134"/>
      <c r="AB1544" s="134"/>
      <c r="AC1544" s="134"/>
      <c r="AD1544" s="134"/>
      <c r="AE1544" s="134"/>
      <c r="AF1544" s="146"/>
      <c r="AG1544" s="134"/>
      <c r="AH1544" s="134"/>
      <c r="AI1544" s="134"/>
      <c r="AJ1544" s="134"/>
      <c r="AK1544" s="134"/>
      <c r="AL1544" s="134"/>
      <c r="AM1544" s="146"/>
      <c r="AN1544" s="132"/>
      <c r="AO1544" s="132"/>
      <c r="AP1544" s="132"/>
      <c r="AQ1544" s="132"/>
      <c r="AR1544" s="134"/>
      <c r="AS1544" s="134"/>
      <c r="AT1544" s="132"/>
      <c r="AU1544" s="133"/>
      <c r="AV1544" s="134"/>
    </row>
    <row r="1545" spans="19:48">
      <c r="S1545" s="134"/>
      <c r="T1545" s="134"/>
      <c r="U1545" s="134"/>
      <c r="V1545" s="134"/>
      <c r="W1545" s="134"/>
      <c r="X1545" s="134"/>
      <c r="Y1545" s="134"/>
      <c r="Z1545" s="134"/>
      <c r="AA1545" s="134"/>
      <c r="AB1545" s="134"/>
      <c r="AC1545" s="134"/>
      <c r="AD1545" s="134"/>
      <c r="AE1545" s="134"/>
      <c r="AF1545" s="146"/>
      <c r="AG1545" s="134"/>
      <c r="AH1545" s="134"/>
      <c r="AI1545" s="134"/>
      <c r="AJ1545" s="134"/>
      <c r="AK1545" s="134"/>
      <c r="AL1545" s="134"/>
      <c r="AM1545" s="146"/>
      <c r="AN1545" s="132"/>
      <c r="AO1545" s="132"/>
      <c r="AP1545" s="132"/>
      <c r="AQ1545" s="132"/>
      <c r="AR1545" s="134"/>
      <c r="AS1545" s="134"/>
      <c r="AT1545" s="132"/>
      <c r="AU1545" s="133"/>
      <c r="AV1545" s="134"/>
    </row>
    <row r="1546" spans="19:48">
      <c r="S1546" s="134"/>
      <c r="T1546" s="134"/>
      <c r="U1546" s="134"/>
      <c r="V1546" s="134"/>
      <c r="W1546" s="134"/>
      <c r="X1546" s="134"/>
      <c r="Y1546" s="134"/>
      <c r="Z1546" s="134"/>
      <c r="AA1546" s="134"/>
      <c r="AB1546" s="134"/>
      <c r="AC1546" s="134"/>
      <c r="AD1546" s="134"/>
      <c r="AE1546" s="134"/>
      <c r="AF1546" s="146"/>
      <c r="AG1546" s="134"/>
      <c r="AH1546" s="134"/>
      <c r="AI1546" s="134"/>
      <c r="AJ1546" s="134"/>
      <c r="AK1546" s="134"/>
      <c r="AL1546" s="134"/>
      <c r="AM1546" s="146"/>
      <c r="AN1546" s="132"/>
      <c r="AO1546" s="132"/>
      <c r="AP1546" s="132"/>
      <c r="AQ1546" s="132"/>
      <c r="AR1546" s="134"/>
      <c r="AS1546" s="134"/>
      <c r="AT1546" s="132"/>
      <c r="AU1546" s="133"/>
      <c r="AV1546" s="134"/>
    </row>
    <row r="1547" spans="19:48">
      <c r="S1547" s="134"/>
      <c r="T1547" s="134"/>
      <c r="U1547" s="134"/>
      <c r="V1547" s="134"/>
      <c r="W1547" s="134"/>
      <c r="X1547" s="134"/>
      <c r="Y1547" s="134"/>
      <c r="Z1547" s="134"/>
      <c r="AA1547" s="134"/>
      <c r="AB1547" s="134"/>
      <c r="AC1547" s="134"/>
      <c r="AD1547" s="134"/>
      <c r="AE1547" s="134"/>
      <c r="AF1547" s="146"/>
      <c r="AG1547" s="134"/>
      <c r="AH1547" s="134"/>
      <c r="AI1547" s="134"/>
      <c r="AJ1547" s="134"/>
      <c r="AK1547" s="134"/>
      <c r="AL1547" s="134"/>
      <c r="AM1547" s="146"/>
      <c r="AN1547" s="132"/>
      <c r="AO1547" s="132"/>
      <c r="AP1547" s="132"/>
      <c r="AQ1547" s="132"/>
      <c r="AR1547" s="134"/>
      <c r="AS1547" s="134"/>
      <c r="AT1547" s="132"/>
      <c r="AU1547" s="133"/>
      <c r="AV1547" s="134"/>
    </row>
    <row r="1548" spans="19:48">
      <c r="S1548" s="134"/>
      <c r="T1548" s="134"/>
      <c r="U1548" s="134"/>
      <c r="V1548" s="134"/>
      <c r="W1548" s="134"/>
      <c r="X1548" s="134"/>
      <c r="Y1548" s="134"/>
      <c r="Z1548" s="134"/>
      <c r="AA1548" s="134"/>
      <c r="AB1548" s="134"/>
      <c r="AC1548" s="134"/>
      <c r="AD1548" s="134"/>
      <c r="AE1548" s="134"/>
      <c r="AF1548" s="146"/>
      <c r="AG1548" s="134"/>
      <c r="AH1548" s="134"/>
      <c r="AI1548" s="134"/>
      <c r="AJ1548" s="134"/>
      <c r="AK1548" s="134"/>
      <c r="AL1548" s="134"/>
      <c r="AM1548" s="146"/>
      <c r="AN1548" s="132"/>
      <c r="AO1548" s="132"/>
      <c r="AP1548" s="132"/>
      <c r="AQ1548" s="132"/>
      <c r="AR1548" s="134"/>
      <c r="AS1548" s="134"/>
      <c r="AT1548" s="132"/>
      <c r="AU1548" s="133"/>
      <c r="AV1548" s="134"/>
    </row>
    <row r="1549" spans="19:48">
      <c r="S1549" s="134"/>
      <c r="T1549" s="134"/>
      <c r="U1549" s="134"/>
      <c r="V1549" s="134"/>
      <c r="W1549" s="134"/>
      <c r="X1549" s="134"/>
      <c r="Y1549" s="134"/>
      <c r="Z1549" s="134"/>
      <c r="AA1549" s="134"/>
      <c r="AB1549" s="134"/>
      <c r="AC1549" s="134"/>
      <c r="AD1549" s="134"/>
      <c r="AE1549" s="134"/>
      <c r="AF1549" s="146"/>
      <c r="AG1549" s="134"/>
      <c r="AH1549" s="134"/>
      <c r="AI1549" s="134"/>
      <c r="AJ1549" s="134"/>
      <c r="AK1549" s="134"/>
      <c r="AL1549" s="134"/>
      <c r="AM1549" s="146"/>
      <c r="AN1549" s="132"/>
      <c r="AO1549" s="132"/>
      <c r="AP1549" s="132"/>
      <c r="AQ1549" s="132"/>
      <c r="AR1549" s="134"/>
      <c r="AS1549" s="134"/>
      <c r="AT1549" s="132"/>
      <c r="AU1549" s="133"/>
      <c r="AV1549" s="134"/>
    </row>
    <row r="1550" spans="19:48">
      <c r="S1550" s="134"/>
      <c r="T1550" s="134"/>
      <c r="U1550" s="134"/>
      <c r="V1550" s="134"/>
      <c r="W1550" s="134"/>
      <c r="X1550" s="134"/>
      <c r="Y1550" s="134"/>
      <c r="Z1550" s="134"/>
      <c r="AA1550" s="134"/>
      <c r="AB1550" s="134"/>
      <c r="AC1550" s="134"/>
      <c r="AD1550" s="134"/>
      <c r="AE1550" s="134"/>
      <c r="AF1550" s="146"/>
      <c r="AG1550" s="134"/>
      <c r="AH1550" s="134"/>
      <c r="AI1550" s="134"/>
      <c r="AJ1550" s="134"/>
      <c r="AK1550" s="134"/>
      <c r="AL1550" s="134"/>
      <c r="AM1550" s="146"/>
      <c r="AN1550" s="132"/>
      <c r="AO1550" s="132"/>
      <c r="AP1550" s="132"/>
      <c r="AQ1550" s="132"/>
      <c r="AR1550" s="134"/>
      <c r="AS1550" s="134"/>
      <c r="AT1550" s="132"/>
      <c r="AU1550" s="133"/>
      <c r="AV1550" s="134"/>
    </row>
    <row r="1551" spans="19:48">
      <c r="S1551" s="134"/>
      <c r="T1551" s="134"/>
      <c r="U1551" s="134"/>
      <c r="V1551" s="134"/>
      <c r="W1551" s="134"/>
      <c r="X1551" s="134"/>
      <c r="Y1551" s="134"/>
      <c r="Z1551" s="134"/>
      <c r="AA1551" s="134"/>
      <c r="AB1551" s="134"/>
      <c r="AC1551" s="134"/>
      <c r="AD1551" s="134"/>
      <c r="AE1551" s="134"/>
      <c r="AF1551" s="146"/>
      <c r="AG1551" s="134"/>
      <c r="AH1551" s="134"/>
      <c r="AI1551" s="134"/>
      <c r="AJ1551" s="134"/>
      <c r="AK1551" s="134"/>
      <c r="AL1551" s="134"/>
      <c r="AM1551" s="146"/>
      <c r="AN1551" s="132"/>
      <c r="AO1551" s="132"/>
      <c r="AP1551" s="132"/>
      <c r="AQ1551" s="132"/>
      <c r="AR1551" s="134"/>
      <c r="AS1551" s="134"/>
      <c r="AT1551" s="132"/>
      <c r="AU1551" s="133"/>
      <c r="AV1551" s="134"/>
    </row>
    <row r="1552" spans="19:48">
      <c r="S1552" s="134"/>
      <c r="T1552" s="134"/>
      <c r="U1552" s="134"/>
      <c r="V1552" s="134"/>
      <c r="W1552" s="134"/>
      <c r="X1552" s="134"/>
      <c r="Y1552" s="134"/>
      <c r="Z1552" s="134"/>
      <c r="AA1552" s="134"/>
      <c r="AB1552" s="134"/>
      <c r="AC1552" s="134"/>
      <c r="AD1552" s="134"/>
      <c r="AE1552" s="134"/>
      <c r="AF1552" s="146"/>
      <c r="AG1552" s="134"/>
      <c r="AH1552" s="134"/>
      <c r="AI1552" s="134"/>
      <c r="AJ1552" s="134"/>
      <c r="AK1552" s="134"/>
      <c r="AL1552" s="134"/>
      <c r="AM1552" s="146"/>
      <c r="AN1552" s="132"/>
      <c r="AO1552" s="132"/>
      <c r="AP1552" s="132"/>
      <c r="AQ1552" s="132"/>
      <c r="AR1552" s="134"/>
      <c r="AS1552" s="134"/>
      <c r="AT1552" s="132"/>
      <c r="AU1552" s="133"/>
      <c r="AV1552" s="134"/>
    </row>
    <row r="1553" spans="19:48">
      <c r="S1553" s="134"/>
      <c r="T1553" s="134"/>
      <c r="U1553" s="134"/>
      <c r="V1553" s="134"/>
      <c r="W1553" s="134"/>
      <c r="X1553" s="134"/>
      <c r="Y1553" s="134"/>
      <c r="Z1553" s="134"/>
      <c r="AA1553" s="134"/>
      <c r="AB1553" s="134"/>
      <c r="AC1553" s="134"/>
      <c r="AD1553" s="134"/>
      <c r="AE1553" s="134"/>
      <c r="AF1553" s="146"/>
      <c r="AG1553" s="134"/>
      <c r="AH1553" s="134"/>
      <c r="AI1553" s="134"/>
      <c r="AJ1553" s="134"/>
      <c r="AK1553" s="134"/>
      <c r="AL1553" s="134"/>
      <c r="AM1553" s="146"/>
      <c r="AN1553" s="132"/>
      <c r="AO1553" s="132"/>
      <c r="AP1553" s="132"/>
      <c r="AQ1553" s="132"/>
      <c r="AR1553" s="134"/>
      <c r="AS1553" s="134"/>
      <c r="AT1553" s="132"/>
      <c r="AU1553" s="133"/>
      <c r="AV1553" s="134"/>
    </row>
    <row r="1554" spans="19:48">
      <c r="S1554" s="134"/>
      <c r="T1554" s="134"/>
      <c r="U1554" s="134"/>
      <c r="V1554" s="134"/>
      <c r="W1554" s="134"/>
      <c r="X1554" s="134"/>
      <c r="Y1554" s="134"/>
      <c r="Z1554" s="134"/>
      <c r="AA1554" s="134"/>
      <c r="AB1554" s="134"/>
      <c r="AC1554" s="134"/>
      <c r="AD1554" s="134"/>
      <c r="AE1554" s="134"/>
      <c r="AF1554" s="146"/>
      <c r="AG1554" s="134"/>
      <c r="AH1554" s="134"/>
      <c r="AI1554" s="134"/>
      <c r="AJ1554" s="134"/>
      <c r="AK1554" s="134"/>
      <c r="AL1554" s="134"/>
      <c r="AM1554" s="146"/>
      <c r="AN1554" s="132"/>
      <c r="AO1554" s="132"/>
      <c r="AP1554" s="132"/>
      <c r="AQ1554" s="132"/>
      <c r="AR1554" s="134"/>
      <c r="AS1554" s="134"/>
      <c r="AT1554" s="132"/>
      <c r="AU1554" s="133"/>
      <c r="AV1554" s="134"/>
    </row>
    <row r="1555" spans="19:48">
      <c r="S1555" s="134"/>
      <c r="T1555" s="134"/>
      <c r="U1555" s="134"/>
      <c r="V1555" s="134"/>
      <c r="W1555" s="134"/>
      <c r="X1555" s="134"/>
      <c r="Y1555" s="134"/>
      <c r="Z1555" s="134"/>
      <c r="AA1555" s="134"/>
      <c r="AB1555" s="134"/>
      <c r="AC1555" s="134"/>
      <c r="AD1555" s="134"/>
      <c r="AE1555" s="134"/>
      <c r="AF1555" s="146"/>
      <c r="AG1555" s="134"/>
      <c r="AH1555" s="134"/>
      <c r="AI1555" s="134"/>
      <c r="AJ1555" s="134"/>
      <c r="AK1555" s="134"/>
      <c r="AL1555" s="134"/>
      <c r="AM1555" s="146"/>
      <c r="AN1555" s="132"/>
      <c r="AO1555" s="132"/>
      <c r="AP1555" s="132"/>
      <c r="AQ1555" s="132"/>
      <c r="AR1555" s="134"/>
      <c r="AS1555" s="134"/>
      <c r="AT1555" s="132"/>
      <c r="AU1555" s="133"/>
      <c r="AV1555" s="134"/>
    </row>
    <row r="1556" spans="19:48">
      <c r="S1556" s="134"/>
      <c r="T1556" s="134"/>
      <c r="U1556" s="134"/>
      <c r="V1556" s="134"/>
      <c r="W1556" s="134"/>
      <c r="X1556" s="134"/>
      <c r="Y1556" s="134"/>
      <c r="Z1556" s="134"/>
      <c r="AA1556" s="134"/>
      <c r="AB1556" s="134"/>
      <c r="AC1556" s="134"/>
      <c r="AD1556" s="134"/>
      <c r="AE1556" s="134"/>
      <c r="AF1556" s="146"/>
      <c r="AG1556" s="134"/>
      <c r="AH1556" s="134"/>
      <c r="AI1556" s="134"/>
      <c r="AJ1556" s="134"/>
      <c r="AK1556" s="134"/>
      <c r="AL1556" s="134"/>
      <c r="AM1556" s="146"/>
      <c r="AN1556" s="132"/>
      <c r="AO1556" s="132"/>
      <c r="AP1556" s="132"/>
      <c r="AQ1556" s="132"/>
      <c r="AR1556" s="134"/>
      <c r="AS1556" s="134"/>
      <c r="AT1556" s="132"/>
      <c r="AU1556" s="133"/>
      <c r="AV1556" s="134"/>
    </row>
    <row r="1557" spans="19:48">
      <c r="S1557" s="134"/>
      <c r="T1557" s="134"/>
      <c r="U1557" s="134"/>
      <c r="V1557" s="134"/>
      <c r="W1557" s="134"/>
      <c r="X1557" s="134"/>
      <c r="Y1557" s="134"/>
      <c r="Z1557" s="134"/>
      <c r="AA1557" s="134"/>
      <c r="AB1557" s="134"/>
      <c r="AC1557" s="134"/>
      <c r="AD1557" s="134"/>
      <c r="AE1557" s="134"/>
      <c r="AF1557" s="146"/>
      <c r="AG1557" s="134"/>
      <c r="AH1557" s="134"/>
      <c r="AI1557" s="134"/>
      <c r="AJ1557" s="134"/>
      <c r="AK1557" s="134"/>
      <c r="AL1557" s="134"/>
      <c r="AM1557" s="146"/>
      <c r="AN1557" s="132"/>
      <c r="AO1557" s="132"/>
      <c r="AP1557" s="132"/>
      <c r="AQ1557" s="132"/>
      <c r="AR1557" s="134"/>
      <c r="AS1557" s="134"/>
      <c r="AT1557" s="132"/>
      <c r="AU1557" s="133"/>
      <c r="AV1557" s="134"/>
    </row>
    <row r="1558" spans="19:48">
      <c r="S1558" s="134"/>
      <c r="T1558" s="134"/>
      <c r="U1558" s="134"/>
      <c r="V1558" s="134"/>
      <c r="W1558" s="134"/>
      <c r="X1558" s="134"/>
      <c r="Y1558" s="134"/>
      <c r="Z1558" s="134"/>
      <c r="AA1558" s="134"/>
      <c r="AB1558" s="134"/>
      <c r="AC1558" s="134"/>
      <c r="AD1558" s="134"/>
      <c r="AE1558" s="134"/>
      <c r="AF1558" s="146"/>
      <c r="AG1558" s="134"/>
      <c r="AH1558" s="134"/>
      <c r="AI1558" s="134"/>
      <c r="AJ1558" s="134"/>
      <c r="AK1558" s="134"/>
      <c r="AL1558" s="134"/>
      <c r="AM1558" s="146"/>
      <c r="AN1558" s="132"/>
      <c r="AO1558" s="132"/>
      <c r="AP1558" s="132"/>
      <c r="AQ1558" s="132"/>
      <c r="AR1558" s="134"/>
      <c r="AS1558" s="134"/>
      <c r="AT1558" s="132"/>
      <c r="AU1558" s="133"/>
      <c r="AV1558" s="134"/>
    </row>
    <row r="1559" spans="19:48">
      <c r="S1559" s="134"/>
      <c r="T1559" s="134"/>
      <c r="U1559" s="134"/>
      <c r="V1559" s="134"/>
      <c r="W1559" s="134"/>
      <c r="X1559" s="134"/>
      <c r="Y1559" s="134"/>
      <c r="Z1559" s="134"/>
      <c r="AA1559" s="134"/>
      <c r="AB1559" s="134"/>
      <c r="AC1559" s="134"/>
      <c r="AD1559" s="134"/>
      <c r="AE1559" s="134"/>
      <c r="AF1559" s="146"/>
      <c r="AG1559" s="134"/>
      <c r="AH1559" s="134"/>
      <c r="AI1559" s="134"/>
      <c r="AJ1559" s="134"/>
      <c r="AK1559" s="134"/>
      <c r="AL1559" s="134"/>
      <c r="AM1559" s="146"/>
      <c r="AN1559" s="132"/>
      <c r="AO1559" s="132"/>
      <c r="AP1559" s="132"/>
      <c r="AQ1559" s="132"/>
      <c r="AR1559" s="134"/>
      <c r="AS1559" s="134"/>
      <c r="AT1559" s="132"/>
      <c r="AU1559" s="133"/>
      <c r="AV1559" s="134"/>
    </row>
    <row r="1560" spans="19:48">
      <c r="S1560" s="134"/>
      <c r="T1560" s="134"/>
      <c r="U1560" s="134"/>
      <c r="V1560" s="134"/>
      <c r="W1560" s="134"/>
      <c r="X1560" s="134"/>
      <c r="Y1560" s="134"/>
      <c r="Z1560" s="134"/>
      <c r="AA1560" s="134"/>
      <c r="AB1560" s="134"/>
      <c r="AC1560" s="134"/>
      <c r="AD1560" s="134"/>
      <c r="AE1560" s="134"/>
      <c r="AF1560" s="146"/>
      <c r="AG1560" s="134"/>
      <c r="AH1560" s="134"/>
      <c r="AI1560" s="134"/>
      <c r="AJ1560" s="134"/>
      <c r="AK1560" s="134"/>
      <c r="AL1560" s="134"/>
      <c r="AM1560" s="146"/>
      <c r="AN1560" s="132"/>
      <c r="AO1560" s="132"/>
      <c r="AP1560" s="132"/>
      <c r="AQ1560" s="132"/>
      <c r="AR1560" s="134"/>
      <c r="AS1560" s="134"/>
      <c r="AT1560" s="132"/>
      <c r="AU1560" s="133"/>
      <c r="AV1560" s="134"/>
    </row>
    <row r="1561" spans="19:48">
      <c r="S1561" s="134"/>
      <c r="T1561" s="134"/>
      <c r="U1561" s="134"/>
      <c r="V1561" s="134"/>
      <c r="W1561" s="134"/>
      <c r="X1561" s="134"/>
      <c r="Y1561" s="134"/>
      <c r="Z1561" s="134"/>
      <c r="AA1561" s="134"/>
      <c r="AB1561" s="134"/>
      <c r="AC1561" s="134"/>
      <c r="AD1561" s="134"/>
      <c r="AE1561" s="134"/>
      <c r="AF1561" s="146"/>
      <c r="AG1561" s="134"/>
      <c r="AH1561" s="134"/>
      <c r="AI1561" s="134"/>
      <c r="AJ1561" s="134"/>
      <c r="AK1561" s="134"/>
      <c r="AL1561" s="134"/>
      <c r="AM1561" s="146"/>
      <c r="AN1561" s="132"/>
      <c r="AO1561" s="132"/>
      <c r="AP1561" s="132"/>
      <c r="AQ1561" s="132"/>
      <c r="AR1561" s="134"/>
      <c r="AS1561" s="134"/>
      <c r="AT1561" s="132"/>
      <c r="AU1561" s="133"/>
      <c r="AV1561" s="134"/>
    </row>
    <row r="1562" spans="19:48">
      <c r="S1562" s="134"/>
      <c r="T1562" s="134"/>
      <c r="U1562" s="134"/>
      <c r="V1562" s="134"/>
      <c r="W1562" s="134"/>
      <c r="X1562" s="134"/>
      <c r="Y1562" s="134"/>
      <c r="Z1562" s="134"/>
      <c r="AA1562" s="134"/>
      <c r="AB1562" s="134"/>
      <c r="AC1562" s="134"/>
      <c r="AD1562" s="134"/>
      <c r="AE1562" s="134"/>
      <c r="AF1562" s="146"/>
      <c r="AG1562" s="134"/>
      <c r="AH1562" s="134"/>
      <c r="AI1562" s="134"/>
      <c r="AJ1562" s="134"/>
      <c r="AK1562" s="134"/>
      <c r="AL1562" s="134"/>
      <c r="AM1562" s="146"/>
      <c r="AN1562" s="132"/>
      <c r="AO1562" s="132"/>
      <c r="AP1562" s="132"/>
      <c r="AQ1562" s="132"/>
      <c r="AR1562" s="134"/>
      <c r="AS1562" s="134"/>
      <c r="AT1562" s="132"/>
      <c r="AU1562" s="133"/>
      <c r="AV1562" s="134"/>
    </row>
    <row r="1563" spans="19:48">
      <c r="S1563" s="134"/>
      <c r="T1563" s="134"/>
      <c r="U1563" s="134"/>
      <c r="V1563" s="134"/>
      <c r="W1563" s="134"/>
      <c r="X1563" s="134"/>
      <c r="Y1563" s="134"/>
      <c r="Z1563" s="134"/>
      <c r="AA1563" s="134"/>
      <c r="AB1563" s="134"/>
      <c r="AC1563" s="134"/>
      <c r="AD1563" s="134"/>
      <c r="AE1563" s="134"/>
      <c r="AF1563" s="146"/>
      <c r="AG1563" s="134"/>
      <c r="AH1563" s="134"/>
      <c r="AI1563" s="134"/>
      <c r="AJ1563" s="134"/>
      <c r="AK1563" s="134"/>
      <c r="AL1563" s="134"/>
      <c r="AM1563" s="146"/>
      <c r="AN1563" s="132"/>
      <c r="AO1563" s="132"/>
      <c r="AP1563" s="132"/>
      <c r="AQ1563" s="132"/>
      <c r="AR1563" s="134"/>
      <c r="AS1563" s="134"/>
      <c r="AT1563" s="132"/>
      <c r="AU1563" s="133"/>
      <c r="AV1563" s="134"/>
    </row>
    <row r="1564" spans="19:48">
      <c r="S1564" s="134"/>
      <c r="T1564" s="134"/>
      <c r="U1564" s="134"/>
      <c r="V1564" s="134"/>
      <c r="W1564" s="134"/>
      <c r="X1564" s="134"/>
      <c r="Y1564" s="134"/>
      <c r="Z1564" s="134"/>
      <c r="AA1564" s="134"/>
      <c r="AB1564" s="134"/>
      <c r="AC1564" s="134"/>
      <c r="AD1564" s="134"/>
      <c r="AE1564" s="134"/>
      <c r="AF1564" s="146"/>
      <c r="AG1564" s="134"/>
      <c r="AH1564" s="134"/>
      <c r="AI1564" s="134"/>
      <c r="AJ1564" s="134"/>
      <c r="AK1564" s="134"/>
      <c r="AL1564" s="134"/>
      <c r="AM1564" s="146"/>
      <c r="AN1564" s="132"/>
      <c r="AO1564" s="132"/>
      <c r="AP1564" s="132"/>
      <c r="AQ1564" s="132"/>
      <c r="AR1564" s="134"/>
      <c r="AS1564" s="134"/>
      <c r="AT1564" s="132"/>
      <c r="AU1564" s="133"/>
      <c r="AV1564" s="134"/>
    </row>
    <row r="1565" spans="19:48">
      <c r="S1565" s="134"/>
      <c r="T1565" s="134"/>
      <c r="U1565" s="134"/>
      <c r="V1565" s="134"/>
      <c r="W1565" s="134"/>
      <c r="X1565" s="134"/>
      <c r="Y1565" s="134"/>
      <c r="Z1565" s="134"/>
      <c r="AA1565" s="134"/>
      <c r="AB1565" s="134"/>
      <c r="AC1565" s="134"/>
      <c r="AD1565" s="134"/>
      <c r="AE1565" s="134"/>
      <c r="AF1565" s="146"/>
      <c r="AG1565" s="134"/>
      <c r="AH1565" s="134"/>
      <c r="AI1565" s="134"/>
      <c r="AJ1565" s="134"/>
      <c r="AK1565" s="134"/>
      <c r="AL1565" s="134"/>
      <c r="AM1565" s="146"/>
      <c r="AN1565" s="132"/>
      <c r="AO1565" s="132"/>
      <c r="AP1565" s="132"/>
      <c r="AQ1565" s="132"/>
      <c r="AR1565" s="134"/>
      <c r="AS1565" s="134"/>
      <c r="AT1565" s="132"/>
      <c r="AU1565" s="133"/>
      <c r="AV1565" s="134"/>
    </row>
    <row r="1566" spans="19:48">
      <c r="S1566" s="134"/>
      <c r="T1566" s="134"/>
      <c r="U1566" s="134"/>
      <c r="V1566" s="134"/>
      <c r="W1566" s="134"/>
      <c r="X1566" s="134"/>
      <c r="Y1566" s="134"/>
      <c r="Z1566" s="134"/>
      <c r="AA1566" s="134"/>
      <c r="AB1566" s="134"/>
      <c r="AC1566" s="134"/>
      <c r="AD1566" s="134"/>
      <c r="AE1566" s="134"/>
      <c r="AF1566" s="146"/>
      <c r="AG1566" s="134"/>
      <c r="AH1566" s="134"/>
      <c r="AI1566" s="134"/>
      <c r="AJ1566" s="134"/>
      <c r="AK1566" s="134"/>
      <c r="AL1566" s="134"/>
      <c r="AM1566" s="146"/>
      <c r="AN1566" s="132"/>
      <c r="AO1566" s="132"/>
      <c r="AP1566" s="132"/>
      <c r="AQ1566" s="132"/>
      <c r="AR1566" s="134"/>
      <c r="AS1566" s="134"/>
      <c r="AT1566" s="132"/>
      <c r="AU1566" s="133"/>
      <c r="AV1566" s="134"/>
    </row>
    <row r="1567" spans="19:48">
      <c r="S1567" s="134"/>
      <c r="T1567" s="134"/>
      <c r="U1567" s="134"/>
      <c r="V1567" s="134"/>
      <c r="W1567" s="134"/>
      <c r="X1567" s="134"/>
      <c r="Y1567" s="134"/>
      <c r="Z1567" s="134"/>
      <c r="AA1567" s="134"/>
      <c r="AB1567" s="134"/>
      <c r="AC1567" s="134"/>
      <c r="AD1567" s="134"/>
      <c r="AE1567" s="134"/>
      <c r="AF1567" s="146"/>
      <c r="AG1567" s="134"/>
      <c r="AH1567" s="134"/>
      <c r="AI1567" s="134"/>
      <c r="AJ1567" s="134"/>
      <c r="AK1567" s="134"/>
      <c r="AL1567" s="134"/>
      <c r="AM1567" s="146"/>
      <c r="AN1567" s="132"/>
      <c r="AO1567" s="132"/>
      <c r="AP1567" s="132"/>
      <c r="AQ1567" s="132"/>
      <c r="AR1567" s="134"/>
      <c r="AS1567" s="134"/>
      <c r="AT1567" s="132"/>
      <c r="AU1567" s="133"/>
      <c r="AV1567" s="134"/>
    </row>
    <row r="1568" spans="19:48">
      <c r="S1568" s="134"/>
      <c r="T1568" s="134"/>
      <c r="U1568" s="134"/>
      <c r="V1568" s="134"/>
      <c r="W1568" s="134"/>
      <c r="X1568" s="134"/>
      <c r="Y1568" s="134"/>
      <c r="Z1568" s="134"/>
      <c r="AA1568" s="134"/>
      <c r="AB1568" s="134"/>
      <c r="AC1568" s="134"/>
      <c r="AD1568" s="134"/>
      <c r="AE1568" s="134"/>
      <c r="AF1568" s="146"/>
      <c r="AG1568" s="134"/>
      <c r="AH1568" s="134"/>
      <c r="AI1568" s="134"/>
      <c r="AJ1568" s="134"/>
      <c r="AK1568" s="134"/>
      <c r="AL1568" s="134"/>
      <c r="AM1568" s="146"/>
      <c r="AN1568" s="132"/>
      <c r="AO1568" s="132"/>
      <c r="AP1568" s="132"/>
      <c r="AQ1568" s="132"/>
      <c r="AR1568" s="134"/>
      <c r="AS1568" s="134"/>
      <c r="AT1568" s="132"/>
      <c r="AU1568" s="133"/>
      <c r="AV1568" s="134"/>
    </row>
    <row r="1569" spans="19:48">
      <c r="S1569" s="134"/>
      <c r="T1569" s="134"/>
      <c r="U1569" s="134"/>
      <c r="V1569" s="134"/>
      <c r="W1569" s="134"/>
      <c r="X1569" s="134"/>
      <c r="Y1569" s="134"/>
      <c r="Z1569" s="134"/>
      <c r="AA1569" s="134"/>
      <c r="AB1569" s="134"/>
      <c r="AC1569" s="134"/>
      <c r="AD1569" s="134"/>
      <c r="AE1569" s="134"/>
      <c r="AF1569" s="146"/>
      <c r="AG1569" s="134"/>
      <c r="AH1569" s="134"/>
      <c r="AI1569" s="134"/>
      <c r="AJ1569" s="134"/>
      <c r="AK1569" s="134"/>
      <c r="AL1569" s="134"/>
      <c r="AM1569" s="146"/>
      <c r="AN1569" s="132"/>
      <c r="AO1569" s="132"/>
      <c r="AP1569" s="132"/>
      <c r="AQ1569" s="132"/>
      <c r="AR1569" s="134"/>
      <c r="AS1569" s="134"/>
      <c r="AT1569" s="132"/>
      <c r="AU1569" s="133"/>
      <c r="AV1569" s="134"/>
    </row>
    <row r="1570" spans="19:48">
      <c r="S1570" s="134"/>
      <c r="T1570" s="134"/>
      <c r="U1570" s="134"/>
      <c r="V1570" s="134"/>
      <c r="W1570" s="134"/>
      <c r="X1570" s="134"/>
      <c r="Y1570" s="134"/>
      <c r="Z1570" s="134"/>
      <c r="AA1570" s="134"/>
      <c r="AB1570" s="134"/>
      <c r="AC1570" s="134"/>
      <c r="AD1570" s="134"/>
      <c r="AE1570" s="134"/>
      <c r="AF1570" s="146"/>
      <c r="AG1570" s="134"/>
      <c r="AH1570" s="134"/>
      <c r="AI1570" s="134"/>
      <c r="AJ1570" s="134"/>
      <c r="AK1570" s="134"/>
      <c r="AL1570" s="134"/>
      <c r="AM1570" s="146"/>
      <c r="AN1570" s="132"/>
      <c r="AO1570" s="132"/>
      <c r="AP1570" s="132"/>
      <c r="AQ1570" s="132"/>
      <c r="AR1570" s="134"/>
      <c r="AS1570" s="134"/>
      <c r="AT1570" s="132"/>
      <c r="AU1570" s="133"/>
      <c r="AV1570" s="134"/>
    </row>
    <row r="1571" spans="19:48">
      <c r="S1571" s="134"/>
      <c r="T1571" s="134"/>
      <c r="U1571" s="134"/>
      <c r="V1571" s="134"/>
      <c r="W1571" s="134"/>
      <c r="X1571" s="134"/>
      <c r="Y1571" s="134"/>
      <c r="Z1571" s="134"/>
      <c r="AA1571" s="134"/>
      <c r="AB1571" s="134"/>
      <c r="AC1571" s="134"/>
      <c r="AD1571" s="134"/>
      <c r="AE1571" s="134"/>
      <c r="AF1571" s="146"/>
      <c r="AG1571" s="134"/>
      <c r="AH1571" s="134"/>
      <c r="AI1571" s="134"/>
      <c r="AJ1571" s="134"/>
      <c r="AK1571" s="134"/>
      <c r="AL1571" s="134"/>
      <c r="AM1571" s="146"/>
      <c r="AN1571" s="132"/>
      <c r="AO1571" s="132"/>
      <c r="AP1571" s="132"/>
      <c r="AQ1571" s="132"/>
      <c r="AR1571" s="134"/>
      <c r="AS1571" s="134"/>
      <c r="AT1571" s="132"/>
      <c r="AU1571" s="133"/>
      <c r="AV1571" s="134"/>
    </row>
    <row r="1572" spans="19:48">
      <c r="S1572" s="134"/>
      <c r="T1572" s="134"/>
      <c r="U1572" s="134"/>
      <c r="V1572" s="134"/>
      <c r="W1572" s="134"/>
      <c r="X1572" s="134"/>
      <c r="Y1572" s="134"/>
      <c r="Z1572" s="134"/>
      <c r="AA1572" s="134"/>
      <c r="AB1572" s="134"/>
      <c r="AC1572" s="134"/>
      <c r="AD1572" s="134"/>
      <c r="AE1572" s="134"/>
      <c r="AF1572" s="146"/>
      <c r="AG1572" s="134"/>
      <c r="AH1572" s="134"/>
      <c r="AI1572" s="134"/>
      <c r="AJ1572" s="134"/>
      <c r="AK1572" s="134"/>
      <c r="AL1572" s="134"/>
      <c r="AM1572" s="146"/>
      <c r="AN1572" s="132"/>
      <c r="AO1572" s="132"/>
      <c r="AP1572" s="132"/>
      <c r="AQ1572" s="132"/>
      <c r="AR1572" s="134"/>
      <c r="AS1572" s="134"/>
      <c r="AT1572" s="132"/>
      <c r="AU1572" s="133"/>
      <c r="AV1572" s="134"/>
    </row>
    <row r="1573" spans="19:48">
      <c r="S1573" s="134"/>
      <c r="T1573" s="134"/>
      <c r="U1573" s="134"/>
      <c r="V1573" s="134"/>
      <c r="W1573" s="134"/>
      <c r="X1573" s="134"/>
      <c r="Y1573" s="134"/>
      <c r="Z1573" s="134"/>
      <c r="AA1573" s="134"/>
      <c r="AB1573" s="134"/>
      <c r="AC1573" s="134"/>
      <c r="AD1573" s="134"/>
      <c r="AE1573" s="134"/>
      <c r="AF1573" s="146"/>
      <c r="AG1573" s="134"/>
      <c r="AH1573" s="134"/>
      <c r="AI1573" s="134"/>
      <c r="AJ1573" s="134"/>
      <c r="AK1573" s="134"/>
      <c r="AL1573" s="134"/>
      <c r="AM1573" s="146"/>
      <c r="AN1573" s="132"/>
      <c r="AO1573" s="132"/>
      <c r="AP1573" s="132"/>
      <c r="AQ1573" s="132"/>
      <c r="AR1573" s="134"/>
      <c r="AS1573" s="134"/>
      <c r="AT1573" s="132"/>
      <c r="AU1573" s="133"/>
      <c r="AV1573" s="134"/>
    </row>
    <row r="1574" spans="19:48">
      <c r="S1574" s="134"/>
      <c r="T1574" s="134"/>
      <c r="U1574" s="134"/>
      <c r="V1574" s="134"/>
      <c r="W1574" s="134"/>
      <c r="X1574" s="134"/>
      <c r="Y1574" s="134"/>
      <c r="Z1574" s="134"/>
      <c r="AA1574" s="134"/>
      <c r="AB1574" s="134"/>
      <c r="AC1574" s="134"/>
      <c r="AD1574" s="134"/>
      <c r="AE1574" s="134"/>
      <c r="AF1574" s="146"/>
      <c r="AG1574" s="134"/>
      <c r="AH1574" s="134"/>
      <c r="AI1574" s="134"/>
      <c r="AJ1574" s="134"/>
      <c r="AK1574" s="134"/>
      <c r="AL1574" s="134"/>
      <c r="AM1574" s="146"/>
      <c r="AN1574" s="132"/>
      <c r="AO1574" s="132"/>
      <c r="AP1574" s="132"/>
      <c r="AQ1574" s="132"/>
      <c r="AR1574" s="134"/>
      <c r="AS1574" s="134"/>
      <c r="AT1574" s="132"/>
      <c r="AU1574" s="133"/>
      <c r="AV1574" s="134"/>
    </row>
  </sheetData>
  <mergeCells count="21">
    <mergeCell ref="A244:A245"/>
    <mergeCell ref="M18:O18"/>
    <mergeCell ref="P18:R18"/>
    <mergeCell ref="S18:U18"/>
    <mergeCell ref="A235:A237"/>
    <mergeCell ref="A238:A243"/>
    <mergeCell ref="A246:A250"/>
    <mergeCell ref="A251:A253"/>
    <mergeCell ref="D721:F721"/>
    <mergeCell ref="G721:I721"/>
    <mergeCell ref="C722:C723"/>
    <mergeCell ref="D722:F722"/>
    <mergeCell ref="G722:I722"/>
    <mergeCell ref="B742:B746"/>
    <mergeCell ref="A753:H753"/>
    <mergeCell ref="J722:J723"/>
    <mergeCell ref="B730:B731"/>
    <mergeCell ref="C730:C731"/>
    <mergeCell ref="D730:E730"/>
    <mergeCell ref="B732:B736"/>
    <mergeCell ref="B737:B741"/>
  </mergeCells>
  <pageMargins left="0.7" right="0.7" top="0.75" bottom="0.75" header="0.3" footer="0.3"/>
  <pageSetup orientation="portrait" horizontalDpi="0" verticalDpi="0" r:id="rId3"/>
  <legacyDrawing r:id="rId4"/>
</worksheet>
</file>

<file path=xl/worksheets/sheet11.xml><?xml version="1.0" encoding="utf-8"?>
<worksheet xmlns="http://schemas.openxmlformats.org/spreadsheetml/2006/main" xmlns:r="http://schemas.openxmlformats.org/officeDocument/2006/relationships">
  <dimension ref="A1:BL1404"/>
  <sheetViews>
    <sheetView workbookViewId="0">
      <selection activeCell="O13" sqref="O13"/>
    </sheetView>
  </sheetViews>
  <sheetFormatPr defaultRowHeight="12.75"/>
  <cols>
    <col min="1" max="13" width="9.140625" style="192"/>
    <col min="14" max="14" width="14.5703125" style="192" bestFit="1" customWidth="1"/>
    <col min="15" max="15" width="17" style="192" bestFit="1" customWidth="1"/>
    <col min="16" max="18" width="9" style="192" customWidth="1"/>
    <col min="19" max="20" width="10" style="192" customWidth="1"/>
    <col min="21" max="21" width="9" style="192" customWidth="1"/>
    <col min="22" max="25" width="10" style="192" customWidth="1"/>
    <col min="26" max="27" width="9" style="192" customWidth="1"/>
    <col min="28" max="28" width="10" style="192" customWidth="1"/>
    <col min="29" max="29" width="9" style="192" customWidth="1"/>
    <col min="30" max="30" width="10" style="192" customWidth="1"/>
    <col min="31" max="31" width="9" style="192" customWidth="1"/>
    <col min="32" max="32" width="11" style="192" customWidth="1"/>
    <col min="33" max="36" width="10" style="192" customWidth="1"/>
    <col min="37" max="38" width="9" style="192" customWidth="1"/>
    <col min="39" max="41" width="10" style="192" customWidth="1"/>
    <col min="42" max="44" width="9" style="192" customWidth="1"/>
    <col min="45" max="49" width="10" style="192" customWidth="1"/>
    <col min="50" max="50" width="9" style="192" customWidth="1"/>
    <col min="51" max="51" width="11" style="192" customWidth="1"/>
    <col min="52" max="52" width="12" style="192" customWidth="1"/>
    <col min="53" max="55" width="9" style="192" customWidth="1"/>
    <col min="56" max="58" width="10" style="192" customWidth="1"/>
    <col min="59" max="60" width="11" style="192" customWidth="1"/>
    <col min="61" max="61" width="9" style="192" customWidth="1"/>
    <col min="62" max="62" width="11" style="192" customWidth="1"/>
    <col min="63" max="63" width="12" style="192" customWidth="1"/>
    <col min="64" max="64" width="12" style="192" bestFit="1" customWidth="1"/>
    <col min="65" max="16384" width="9.140625" style="192"/>
  </cols>
  <sheetData>
    <row r="1" spans="1:64">
      <c r="A1" s="193" t="s">
        <v>802</v>
      </c>
      <c r="B1" s="193"/>
      <c r="C1" s="193"/>
    </row>
    <row r="2" spans="1:64">
      <c r="A2" s="192" t="s">
        <v>687</v>
      </c>
      <c r="B2" s="192" t="s">
        <v>688</v>
      </c>
      <c r="C2" s="192" t="s">
        <v>689</v>
      </c>
      <c r="D2" s="192" t="s">
        <v>315</v>
      </c>
      <c r="E2" s="192" t="s">
        <v>690</v>
      </c>
      <c r="F2" s="192" t="s">
        <v>691</v>
      </c>
      <c r="G2" s="192" t="s">
        <v>692</v>
      </c>
      <c r="H2" s="192" t="s">
        <v>693</v>
      </c>
      <c r="I2" s="192" t="s">
        <v>694</v>
      </c>
      <c r="J2" s="192" t="s">
        <v>695</v>
      </c>
      <c r="K2" s="192" t="s">
        <v>438</v>
      </c>
    </row>
    <row r="3" spans="1:64">
      <c r="A3" s="192" t="s">
        <v>696</v>
      </c>
      <c r="B3" s="192">
        <v>0.25</v>
      </c>
      <c r="C3" s="192">
        <v>187328</v>
      </c>
      <c r="D3" s="192">
        <v>23526</v>
      </c>
      <c r="E3" s="192">
        <v>1</v>
      </c>
      <c r="F3" s="192">
        <v>1000</v>
      </c>
      <c r="G3" s="192">
        <v>39</v>
      </c>
      <c r="H3" s="192" t="s">
        <v>697</v>
      </c>
      <c r="I3" s="192" t="s">
        <v>65</v>
      </c>
      <c r="J3" s="192">
        <v>0.33000001311302185</v>
      </c>
      <c r="K3" s="192">
        <f>VLOOKUP($D3,'RBSA Weights'!$A$2:$C$1406,3,FALSE)</f>
        <v>1925.059</v>
      </c>
      <c r="L3" s="192">
        <f>SUM(K3:K1404)-SUMIF($A$3:$A$1404,"",K3:K1404)</f>
        <v>3943314.3769999645</v>
      </c>
      <c r="N3" s="194" t="s">
        <v>807</v>
      </c>
      <c r="O3" s="194" t="s">
        <v>805</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row>
    <row r="4" spans="1:64">
      <c r="A4" s="192" t="s">
        <v>696</v>
      </c>
      <c r="B4" s="192">
        <v>0.5</v>
      </c>
      <c r="C4" s="192">
        <v>84998</v>
      </c>
      <c r="D4" s="192">
        <v>12339</v>
      </c>
      <c r="E4" s="192">
        <v>1</v>
      </c>
      <c r="F4" s="192">
        <v>1377</v>
      </c>
      <c r="G4" s="192">
        <v>30</v>
      </c>
      <c r="H4" s="192" t="s">
        <v>698</v>
      </c>
      <c r="I4" s="192" t="s">
        <v>65</v>
      </c>
      <c r="J4" s="192">
        <v>0.27000001072883606</v>
      </c>
      <c r="K4" s="192">
        <f>VLOOKUP($D4,'RBSA Weights'!$A$2:$C$1406,3,FALSE)</f>
        <v>2003.7159999999999</v>
      </c>
      <c r="N4" s="194" t="s">
        <v>803</v>
      </c>
      <c r="O4">
        <v>0</v>
      </c>
      <c r="P4">
        <v>3</v>
      </c>
      <c r="Q4">
        <v>5</v>
      </c>
      <c r="R4">
        <v>8</v>
      </c>
      <c r="S4">
        <v>10</v>
      </c>
      <c r="T4">
        <v>11</v>
      </c>
      <c r="U4">
        <v>14</v>
      </c>
      <c r="V4">
        <v>15</v>
      </c>
      <c r="W4">
        <v>18</v>
      </c>
      <c r="X4">
        <v>19</v>
      </c>
      <c r="Y4">
        <v>20</v>
      </c>
      <c r="Z4">
        <v>22</v>
      </c>
      <c r="AA4">
        <v>23</v>
      </c>
      <c r="AB4">
        <v>25</v>
      </c>
      <c r="AC4">
        <v>27</v>
      </c>
      <c r="AD4">
        <v>28</v>
      </c>
      <c r="AE4">
        <v>29</v>
      </c>
      <c r="AF4">
        <v>30</v>
      </c>
      <c r="AG4">
        <v>31</v>
      </c>
      <c r="AH4">
        <v>32</v>
      </c>
      <c r="AI4">
        <v>34</v>
      </c>
      <c r="AJ4">
        <v>35</v>
      </c>
      <c r="AK4">
        <v>36</v>
      </c>
      <c r="AL4">
        <v>37</v>
      </c>
      <c r="AM4">
        <v>38</v>
      </c>
      <c r="AN4">
        <v>39</v>
      </c>
      <c r="AO4">
        <v>40</v>
      </c>
      <c r="AP4">
        <v>41</v>
      </c>
      <c r="AQ4">
        <v>42</v>
      </c>
      <c r="AR4">
        <v>43</v>
      </c>
      <c r="AS4">
        <v>44</v>
      </c>
      <c r="AT4">
        <v>45</v>
      </c>
      <c r="AU4">
        <v>48</v>
      </c>
      <c r="AV4">
        <v>49</v>
      </c>
      <c r="AW4">
        <v>50</v>
      </c>
      <c r="AX4">
        <v>60</v>
      </c>
      <c r="AY4" t="s">
        <v>806</v>
      </c>
      <c r="AZ4" t="s">
        <v>804</v>
      </c>
      <c r="BA4"/>
      <c r="BB4"/>
      <c r="BC4"/>
      <c r="BD4"/>
      <c r="BE4"/>
      <c r="BF4"/>
      <c r="BG4"/>
      <c r="BH4"/>
      <c r="BI4"/>
      <c r="BJ4"/>
      <c r="BK4"/>
      <c r="BL4"/>
    </row>
    <row r="5" spans="1:64">
      <c r="A5" s="192" t="s">
        <v>696</v>
      </c>
      <c r="B5" s="192">
        <v>0.75</v>
      </c>
      <c r="C5" s="192">
        <v>155141</v>
      </c>
      <c r="D5" s="192">
        <v>20043</v>
      </c>
      <c r="E5" s="192">
        <v>1</v>
      </c>
      <c r="F5" s="192">
        <v>1036</v>
      </c>
      <c r="G5" s="192">
        <v>40</v>
      </c>
      <c r="H5" s="192" t="s">
        <v>699</v>
      </c>
      <c r="I5" s="192" t="s">
        <v>65</v>
      </c>
      <c r="J5" s="192">
        <v>0.19499999284744263</v>
      </c>
      <c r="K5" s="192">
        <f>VLOOKUP($D5,'RBSA Weights'!$A$2:$C$1406,3,FALSE)</f>
        <v>1904.288</v>
      </c>
      <c r="N5" s="195"/>
      <c r="O5" s="196">
        <v>3577.3949999999995</v>
      </c>
      <c r="P5" s="196"/>
      <c r="Q5" s="196"/>
      <c r="R5" s="196"/>
      <c r="S5" s="196"/>
      <c r="T5" s="196"/>
      <c r="U5" s="196"/>
      <c r="V5" s="196"/>
      <c r="W5" s="196"/>
      <c r="X5" s="196"/>
      <c r="Y5" s="196">
        <v>2130.886</v>
      </c>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v>54740.679999999993</v>
      </c>
      <c r="AZ5" s="196">
        <v>60448.960999999996</v>
      </c>
      <c r="BA5"/>
      <c r="BB5"/>
      <c r="BC5"/>
      <c r="BD5"/>
      <c r="BE5"/>
      <c r="BF5"/>
      <c r="BG5"/>
      <c r="BH5"/>
      <c r="BI5"/>
      <c r="BJ5"/>
      <c r="BK5"/>
      <c r="BL5"/>
    </row>
    <row r="6" spans="1:64">
      <c r="A6" s="192" t="s">
        <v>696</v>
      </c>
      <c r="B6" s="192">
        <v>0.9</v>
      </c>
      <c r="C6" s="192">
        <v>136990</v>
      </c>
      <c r="D6" s="192">
        <v>10062</v>
      </c>
      <c r="E6" s="192">
        <v>1</v>
      </c>
      <c r="F6" s="192">
        <v>1100</v>
      </c>
      <c r="G6" s="192">
        <v>28</v>
      </c>
      <c r="H6" s="192" t="s">
        <v>697</v>
      </c>
      <c r="I6" s="192" t="s">
        <v>65</v>
      </c>
      <c r="J6" s="192">
        <v>0.15000000596046448</v>
      </c>
      <c r="K6" s="192">
        <f>VLOOKUP($D6,'RBSA Weights'!$A$2:$C$1406,3,FALSE)</f>
        <v>4956.4930000000004</v>
      </c>
      <c r="N6" s="195" t="s">
        <v>329</v>
      </c>
      <c r="O6" s="196">
        <v>7348.3330000000005</v>
      </c>
      <c r="P6" s="196"/>
      <c r="Q6" s="196"/>
      <c r="R6" s="196"/>
      <c r="S6" s="196"/>
      <c r="T6" s="196">
        <v>4956.4930000000004</v>
      </c>
      <c r="U6" s="196"/>
      <c r="V6" s="196"/>
      <c r="W6" s="196"/>
      <c r="X6" s="196">
        <v>9912.9860000000008</v>
      </c>
      <c r="Y6" s="196"/>
      <c r="Z6" s="196"/>
      <c r="AA6" s="196"/>
      <c r="AB6" s="196"/>
      <c r="AC6" s="196"/>
      <c r="AD6" s="196"/>
      <c r="AE6" s="196"/>
      <c r="AF6" s="196">
        <v>5548.4030000000002</v>
      </c>
      <c r="AG6" s="196"/>
      <c r="AH6" s="196"/>
      <c r="AI6" s="196"/>
      <c r="AJ6" s="196">
        <v>2079.9929999999999</v>
      </c>
      <c r="AK6" s="196"/>
      <c r="AL6" s="196"/>
      <c r="AM6" s="196">
        <v>4159.9859999999999</v>
      </c>
      <c r="AN6" s="196">
        <v>1464.694</v>
      </c>
      <c r="AO6" s="196"/>
      <c r="AP6" s="196"/>
      <c r="AQ6" s="196"/>
      <c r="AR6" s="196"/>
      <c r="AS6" s="196"/>
      <c r="AT6" s="196">
        <v>11992.979000000001</v>
      </c>
      <c r="AU6" s="196">
        <v>3049.5239999999999</v>
      </c>
      <c r="AV6" s="196"/>
      <c r="AW6" s="196">
        <v>27807.242999999995</v>
      </c>
      <c r="AX6" s="196"/>
      <c r="AY6" s="196">
        <v>17296.524000000001</v>
      </c>
      <c r="AZ6" s="196">
        <v>95617.157999999996</v>
      </c>
      <c r="BA6"/>
      <c r="BB6"/>
      <c r="BC6"/>
      <c r="BD6"/>
      <c r="BE6"/>
      <c r="BF6"/>
      <c r="BG6"/>
      <c r="BH6"/>
      <c r="BI6"/>
      <c r="BJ6"/>
      <c r="BK6"/>
      <c r="BL6"/>
    </row>
    <row r="7" spans="1:64">
      <c r="A7" s="192" t="s">
        <v>696</v>
      </c>
      <c r="B7" s="192">
        <v>1</v>
      </c>
      <c r="C7" s="192">
        <v>91139</v>
      </c>
      <c r="D7" s="192">
        <v>13141</v>
      </c>
      <c r="E7" s="192">
        <v>2</v>
      </c>
      <c r="F7" s="192">
        <v>420</v>
      </c>
      <c r="G7" s="192">
        <v>0</v>
      </c>
      <c r="H7" s="192" t="s">
        <v>700</v>
      </c>
      <c r="I7" s="192" t="s">
        <v>65</v>
      </c>
      <c r="J7" s="192">
        <v>0.10999999940395355</v>
      </c>
      <c r="K7" s="192">
        <f>VLOOKUP($D7,'RBSA Weights'!$A$2:$C$1406,3,FALSE)</f>
        <v>4956.4930000000004</v>
      </c>
      <c r="N7" s="195" t="s">
        <v>701</v>
      </c>
      <c r="O7" s="196">
        <v>24781.392999999996</v>
      </c>
      <c r="P7" s="196"/>
      <c r="Q7" s="196">
        <v>4956.4930000000004</v>
      </c>
      <c r="R7" s="196">
        <v>1150.8789999999999</v>
      </c>
      <c r="S7" s="196">
        <v>8325.6979999999985</v>
      </c>
      <c r="T7" s="196"/>
      <c r="U7" s="196"/>
      <c r="V7" s="196">
        <v>12424.931</v>
      </c>
      <c r="W7" s="196"/>
      <c r="X7" s="196">
        <v>10303.698</v>
      </c>
      <c r="Y7" s="196">
        <v>20027.79</v>
      </c>
      <c r="Z7" s="196">
        <v>1524.7619999999999</v>
      </c>
      <c r="AA7" s="196">
        <v>4007.4319999999998</v>
      </c>
      <c r="AB7" s="196">
        <v>35940.669000000002</v>
      </c>
      <c r="AC7" s="196">
        <v>4956.4930000000004</v>
      </c>
      <c r="AD7" s="196"/>
      <c r="AE7" s="196"/>
      <c r="AF7" s="196">
        <v>73431.212000000029</v>
      </c>
      <c r="AG7" s="196">
        <v>1144.6790000000001</v>
      </c>
      <c r="AH7" s="196">
        <v>2989.4560000000001</v>
      </c>
      <c r="AI7" s="196">
        <v>1144.6790000000001</v>
      </c>
      <c r="AJ7" s="196">
        <v>29585.236000000001</v>
      </c>
      <c r="AK7" s="196">
        <v>1925.059</v>
      </c>
      <c r="AL7" s="196">
        <v>1192.4649999999999</v>
      </c>
      <c r="AM7" s="196">
        <v>6325.0889999999999</v>
      </c>
      <c r="AN7" s="196">
        <v>22476.637999999999</v>
      </c>
      <c r="AO7" s="196">
        <v>34277.337999999996</v>
      </c>
      <c r="AP7" s="196"/>
      <c r="AQ7" s="196"/>
      <c r="AR7" s="196"/>
      <c r="AS7" s="196"/>
      <c r="AT7" s="196">
        <v>1188.027</v>
      </c>
      <c r="AU7" s="196">
        <v>8264.9449999999997</v>
      </c>
      <c r="AV7" s="196">
        <v>15478.168000000001</v>
      </c>
      <c r="AW7" s="196">
        <v>24785.964999999997</v>
      </c>
      <c r="AX7" s="196">
        <v>1904.288</v>
      </c>
      <c r="AY7" s="196">
        <v>14181.389000000001</v>
      </c>
      <c r="AZ7" s="196">
        <v>368694.87100000016</v>
      </c>
      <c r="BA7"/>
      <c r="BB7"/>
      <c r="BC7"/>
      <c r="BD7"/>
      <c r="BE7"/>
      <c r="BF7"/>
      <c r="BG7"/>
      <c r="BH7"/>
      <c r="BI7"/>
      <c r="BJ7"/>
      <c r="BK7"/>
      <c r="BL7"/>
    </row>
    <row r="8" spans="1:64">
      <c r="A8" s="192" t="s">
        <v>701</v>
      </c>
      <c r="B8" s="192">
        <v>0.25</v>
      </c>
      <c r="C8" s="192">
        <v>89464</v>
      </c>
      <c r="D8" s="192">
        <v>12524</v>
      </c>
      <c r="E8" s="192">
        <v>2</v>
      </c>
      <c r="F8" s="192">
        <v>1152</v>
      </c>
      <c r="G8" s="192">
        <v>40</v>
      </c>
      <c r="H8" s="192" t="s">
        <v>697</v>
      </c>
      <c r="I8" s="192" t="s">
        <v>65</v>
      </c>
      <c r="J8" s="192">
        <v>0.33000001311302185</v>
      </c>
      <c r="K8" s="192">
        <f>VLOOKUP($D8,'RBSA Weights'!$A$2:$C$1406,3,FALSE)</f>
        <v>2003.7159999999999</v>
      </c>
      <c r="N8" s="195" t="s">
        <v>703</v>
      </c>
      <c r="O8" s="196">
        <v>39250.27199999999</v>
      </c>
      <c r="P8" s="196"/>
      <c r="Q8" s="196"/>
      <c r="R8" s="196">
        <v>2079.9929999999999</v>
      </c>
      <c r="S8" s="196">
        <v>17066.689000000002</v>
      </c>
      <c r="T8" s="196">
        <v>3604.7550000000001</v>
      </c>
      <c r="U8" s="196">
        <v>1524.7619999999999</v>
      </c>
      <c r="V8" s="196">
        <v>3604.7550000000001</v>
      </c>
      <c r="W8" s="196">
        <v>25025.869000000006</v>
      </c>
      <c r="X8" s="196">
        <v>3429.05</v>
      </c>
      <c r="Y8" s="196">
        <v>62433.981000000014</v>
      </c>
      <c r="Z8" s="196"/>
      <c r="AA8" s="196">
        <v>2130.886</v>
      </c>
      <c r="AB8" s="196">
        <v>10998.967000000001</v>
      </c>
      <c r="AC8" s="196"/>
      <c r="AD8" s="196">
        <v>18004.127</v>
      </c>
      <c r="AE8" s="196">
        <v>4956.4930000000004</v>
      </c>
      <c r="AF8" s="196">
        <v>118685.05499999999</v>
      </c>
      <c r="AG8" s="196">
        <v>52162.710000000014</v>
      </c>
      <c r="AH8" s="196">
        <v>10136.346000000001</v>
      </c>
      <c r="AI8" s="196">
        <v>14402.196</v>
      </c>
      <c r="AJ8" s="196">
        <v>9789.7070000000003</v>
      </c>
      <c r="AK8" s="196"/>
      <c r="AL8" s="196"/>
      <c r="AM8" s="196">
        <v>3049.5239999999999</v>
      </c>
      <c r="AN8" s="196"/>
      <c r="AO8" s="196">
        <v>19375.987000000001</v>
      </c>
      <c r="AP8" s="196"/>
      <c r="AQ8" s="196"/>
      <c r="AR8" s="196"/>
      <c r="AS8" s="196"/>
      <c r="AT8" s="196"/>
      <c r="AU8" s="196">
        <v>3049.5239999999999</v>
      </c>
      <c r="AV8" s="196">
        <v>26307.257000000001</v>
      </c>
      <c r="AW8" s="196">
        <v>18927.989000000001</v>
      </c>
      <c r="AX8" s="196"/>
      <c r="AY8" s="196">
        <v>12251.788999999999</v>
      </c>
      <c r="AZ8" s="196">
        <v>482248.68299999996</v>
      </c>
      <c r="BA8"/>
      <c r="BB8"/>
      <c r="BC8"/>
      <c r="BD8"/>
      <c r="BE8"/>
      <c r="BF8"/>
      <c r="BG8"/>
      <c r="BH8"/>
      <c r="BI8"/>
      <c r="BJ8"/>
      <c r="BK8"/>
      <c r="BL8"/>
    </row>
    <row r="9" spans="1:64">
      <c r="A9" s="192" t="s">
        <v>701</v>
      </c>
      <c r="B9" s="192">
        <v>0.5</v>
      </c>
      <c r="C9" s="192">
        <v>663283</v>
      </c>
      <c r="D9" s="192">
        <v>21316</v>
      </c>
      <c r="E9" s="192">
        <v>1</v>
      </c>
      <c r="F9" s="192">
        <v>1056</v>
      </c>
      <c r="G9" s="192">
        <v>30</v>
      </c>
      <c r="H9" s="192" t="s">
        <v>702</v>
      </c>
      <c r="I9" s="192" t="s">
        <v>65</v>
      </c>
      <c r="J9" s="192">
        <v>0.25</v>
      </c>
      <c r="K9" s="192">
        <f>VLOOKUP($D9,'RBSA Weights'!$A$2:$C$1406,3,FALSE)</f>
        <v>3785.7640000000001</v>
      </c>
      <c r="N9" s="195" t="s">
        <v>696</v>
      </c>
      <c r="O9" s="196">
        <v>9912.9860000000008</v>
      </c>
      <c r="P9" s="196">
        <v>1150.8789999999999</v>
      </c>
      <c r="Q9" s="196">
        <v>2079.9929999999999</v>
      </c>
      <c r="R9" s="196"/>
      <c r="S9" s="196">
        <v>2657.1589999999997</v>
      </c>
      <c r="T9" s="196">
        <v>5250.4580000000005</v>
      </c>
      <c r="U9" s="196"/>
      <c r="V9" s="196">
        <v>1925.059</v>
      </c>
      <c r="W9" s="196"/>
      <c r="X9" s="196">
        <v>1464.694</v>
      </c>
      <c r="Y9" s="196">
        <v>5053.24</v>
      </c>
      <c r="Z9" s="196"/>
      <c r="AA9" s="196"/>
      <c r="AB9" s="196">
        <v>1464.694</v>
      </c>
      <c r="AC9" s="196"/>
      <c r="AD9" s="196">
        <v>8484.9710000000014</v>
      </c>
      <c r="AE9" s="196"/>
      <c r="AF9" s="196">
        <v>47253.394000000015</v>
      </c>
      <c r="AG9" s="196"/>
      <c r="AH9" s="196"/>
      <c r="AI9" s="196"/>
      <c r="AJ9" s="196">
        <v>17714.112999999998</v>
      </c>
      <c r="AK9" s="196">
        <v>4956.4930000000004</v>
      </c>
      <c r="AL9" s="196"/>
      <c r="AM9" s="196">
        <v>14560.63</v>
      </c>
      <c r="AN9" s="196">
        <v>1925.059</v>
      </c>
      <c r="AO9" s="196">
        <v>39654.496000000006</v>
      </c>
      <c r="AP9" s="196">
        <v>8484.9709999999995</v>
      </c>
      <c r="AQ9" s="196">
        <v>1144.6790000000001</v>
      </c>
      <c r="AR9" s="196">
        <v>7945.9490000000005</v>
      </c>
      <c r="AS9" s="196">
        <v>10171.795999999998</v>
      </c>
      <c r="AT9" s="196"/>
      <c r="AU9" s="196">
        <v>1524.7619999999999</v>
      </c>
      <c r="AV9" s="196">
        <v>12844.874000000002</v>
      </c>
      <c r="AW9" s="196">
        <v>8857.7970000000005</v>
      </c>
      <c r="AX9" s="196"/>
      <c r="AY9" s="196">
        <v>4956.4930000000004</v>
      </c>
      <c r="AZ9" s="196">
        <v>221439.639</v>
      </c>
      <c r="BA9"/>
      <c r="BB9"/>
      <c r="BC9"/>
      <c r="BD9"/>
      <c r="BE9"/>
      <c r="BF9"/>
      <c r="BG9"/>
      <c r="BH9"/>
      <c r="BI9"/>
      <c r="BJ9"/>
      <c r="BK9"/>
      <c r="BL9"/>
    </row>
    <row r="10" spans="1:64">
      <c r="A10" s="192" t="s">
        <v>701</v>
      </c>
      <c r="B10" s="192">
        <v>0.75</v>
      </c>
      <c r="C10" s="192">
        <v>53422</v>
      </c>
      <c r="D10" s="192">
        <v>22546</v>
      </c>
      <c r="E10" s="192">
        <v>1</v>
      </c>
      <c r="F10" s="192">
        <v>905</v>
      </c>
      <c r="G10" s="192">
        <v>15</v>
      </c>
      <c r="H10" s="192" t="s">
        <v>702</v>
      </c>
      <c r="I10" s="192" t="s">
        <v>65</v>
      </c>
      <c r="J10" s="192">
        <v>0.17000000178813934</v>
      </c>
      <c r="K10" s="192">
        <f>VLOOKUP($D10,'RBSA Weights'!$A$2:$C$1406,3,FALSE)</f>
        <v>2079.9929999999999</v>
      </c>
      <c r="N10" s="195" t="s">
        <v>804</v>
      </c>
      <c r="O10" s="196">
        <v>84870.378999999986</v>
      </c>
      <c r="P10" s="196">
        <v>1150.8789999999999</v>
      </c>
      <c r="Q10" s="196">
        <v>7036.4860000000008</v>
      </c>
      <c r="R10" s="196">
        <v>3230.8719999999998</v>
      </c>
      <c r="S10" s="196">
        <v>28049.546000000002</v>
      </c>
      <c r="T10" s="196">
        <v>13811.706</v>
      </c>
      <c r="U10" s="196">
        <v>1524.7619999999999</v>
      </c>
      <c r="V10" s="196">
        <v>17954.745000000003</v>
      </c>
      <c r="W10" s="196">
        <v>25025.869000000006</v>
      </c>
      <c r="X10" s="196">
        <v>25110.428</v>
      </c>
      <c r="Y10" s="196">
        <v>89645.897000000012</v>
      </c>
      <c r="Z10" s="196">
        <v>1524.7619999999999</v>
      </c>
      <c r="AA10" s="196">
        <v>6138.3179999999993</v>
      </c>
      <c r="AB10" s="196">
        <v>48404.33</v>
      </c>
      <c r="AC10" s="196">
        <v>4956.4930000000004</v>
      </c>
      <c r="AD10" s="196">
        <v>26489.098000000002</v>
      </c>
      <c r="AE10" s="196">
        <v>4956.4930000000004</v>
      </c>
      <c r="AF10" s="196">
        <v>244918.06400000007</v>
      </c>
      <c r="AG10" s="196">
        <v>53307.38900000001</v>
      </c>
      <c r="AH10" s="196">
        <v>13125.802000000001</v>
      </c>
      <c r="AI10" s="196">
        <v>15546.875</v>
      </c>
      <c r="AJ10" s="196">
        <v>59169.048999999999</v>
      </c>
      <c r="AK10" s="196">
        <v>6881.5520000000006</v>
      </c>
      <c r="AL10" s="196">
        <v>1192.4649999999999</v>
      </c>
      <c r="AM10" s="196">
        <v>28095.228999999999</v>
      </c>
      <c r="AN10" s="196">
        <v>25866.391</v>
      </c>
      <c r="AO10" s="196">
        <v>93307.820999999996</v>
      </c>
      <c r="AP10" s="196">
        <v>8484.9709999999995</v>
      </c>
      <c r="AQ10" s="196">
        <v>1144.6790000000001</v>
      </c>
      <c r="AR10" s="196">
        <v>7945.9490000000005</v>
      </c>
      <c r="AS10" s="196">
        <v>10171.795999999998</v>
      </c>
      <c r="AT10" s="196">
        <v>13181.006000000001</v>
      </c>
      <c r="AU10" s="196">
        <v>15888.754999999999</v>
      </c>
      <c r="AV10" s="196">
        <v>54630.299000000006</v>
      </c>
      <c r="AW10" s="196">
        <v>80378.993999999992</v>
      </c>
      <c r="AX10" s="196">
        <v>1904.288</v>
      </c>
      <c r="AY10" s="196">
        <v>103426.875</v>
      </c>
      <c r="AZ10" s="196">
        <v>1228449.3120000002</v>
      </c>
      <c r="BA10"/>
      <c r="BB10"/>
      <c r="BC10"/>
      <c r="BD10"/>
      <c r="BE10"/>
      <c r="BF10"/>
      <c r="BG10"/>
      <c r="BH10"/>
      <c r="BI10"/>
      <c r="BJ10"/>
      <c r="BK10"/>
      <c r="BL10"/>
    </row>
    <row r="11" spans="1:64">
      <c r="A11" s="192" t="s">
        <v>701</v>
      </c>
      <c r="B11" s="192">
        <v>0.9</v>
      </c>
      <c r="C11" s="192">
        <v>50965</v>
      </c>
      <c r="D11" s="192">
        <v>13426</v>
      </c>
      <c r="E11" s="192">
        <v>1</v>
      </c>
      <c r="F11" s="192">
        <v>1189</v>
      </c>
      <c r="G11" s="192">
        <v>0</v>
      </c>
      <c r="H11" s="192" t="s">
        <v>65</v>
      </c>
      <c r="I11" s="192" t="s">
        <v>65</v>
      </c>
      <c r="J11" s="192">
        <v>0.10999999940395355</v>
      </c>
      <c r="K11" s="192">
        <f>VLOOKUP($D11,'RBSA Weights'!$A$2:$C$1406,3,FALSE)</f>
        <v>1188.027</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row>
    <row r="12" spans="1:64">
      <c r="A12" s="192" t="s">
        <v>701</v>
      </c>
      <c r="B12" s="192">
        <v>1</v>
      </c>
      <c r="C12" s="192">
        <v>174139</v>
      </c>
      <c r="D12" s="192">
        <v>21623</v>
      </c>
      <c r="E12" s="192">
        <v>1</v>
      </c>
      <c r="F12" s="192">
        <v>1955</v>
      </c>
      <c r="G12" s="192">
        <v>30</v>
      </c>
      <c r="H12" s="192" t="s">
        <v>700</v>
      </c>
      <c r="I12" s="192" t="s">
        <v>65</v>
      </c>
      <c r="J12" s="192">
        <v>7.0000000298023224E-2</v>
      </c>
      <c r="K12" s="192">
        <f>VLOOKUP($D12,'RBSA Weights'!$A$2:$C$1406,3,FALSE)</f>
        <v>2079.9929999999999</v>
      </c>
      <c r="N12"/>
      <c r="O12" t="s">
        <v>895</v>
      </c>
      <c r="P12" t="s">
        <v>896</v>
      </c>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row>
    <row r="13" spans="1:64">
      <c r="A13" s="192" t="s">
        <v>703</v>
      </c>
      <c r="B13" s="192">
        <v>0.25</v>
      </c>
      <c r="C13" s="192">
        <v>44568</v>
      </c>
      <c r="D13" s="192">
        <v>10733</v>
      </c>
      <c r="E13" s="192">
        <v>1</v>
      </c>
      <c r="F13" s="192">
        <v>468</v>
      </c>
      <c r="G13" s="192">
        <v>38</v>
      </c>
      <c r="H13" s="192" t="s">
        <v>704</v>
      </c>
      <c r="I13" s="192" t="s">
        <v>65</v>
      </c>
      <c r="J13" s="192">
        <v>0.32499998807907104</v>
      </c>
      <c r="K13" s="192">
        <f>VLOOKUP($D13,'RBSA Weights'!$A$2:$C$1406,3,FALSE)</f>
        <v>1524.7619999999999</v>
      </c>
      <c r="N13" s="195" t="s">
        <v>329</v>
      </c>
      <c r="O13" s="52">
        <f>SUM(AM6:AT6,AM9:AT9)/(AZ6+AZ9)</f>
        <v>0.32014844015471466</v>
      </c>
      <c r="P13" s="52">
        <f>SUM(AU6,AW6,AU9:AW9)/(AZ6+AZ9)</f>
        <v>0.17058205505053403</v>
      </c>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row>
    <row r="14" spans="1:64">
      <c r="A14" s="192" t="s">
        <v>703</v>
      </c>
      <c r="B14" s="192">
        <v>0.5</v>
      </c>
      <c r="C14" s="192">
        <v>107943</v>
      </c>
      <c r="D14" s="192">
        <v>10951</v>
      </c>
      <c r="E14" s="192">
        <v>2</v>
      </c>
      <c r="F14" s="192">
        <v>646</v>
      </c>
      <c r="G14" s="192">
        <v>30</v>
      </c>
      <c r="H14" s="192" t="s">
        <v>705</v>
      </c>
      <c r="I14" s="192" t="s">
        <v>65</v>
      </c>
      <c r="J14" s="192">
        <v>0.25</v>
      </c>
      <c r="K14" s="192">
        <f>VLOOKUP($D14,'RBSA Weights'!$A$2:$C$1406,3,FALSE)</f>
        <v>4956.4930000000004</v>
      </c>
      <c r="N14" s="195" t="s">
        <v>334</v>
      </c>
      <c r="O14" s="52">
        <f>SUM(AM7:AT7)/AZ7</f>
        <v>0.17430969903565588</v>
      </c>
      <c r="P14" s="52">
        <f>SUM(AU7:AX7)/AZ7</f>
        <v>0.13678890043469027</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row>
    <row r="15" spans="1:64">
      <c r="A15" s="192" t="s">
        <v>703</v>
      </c>
      <c r="B15" s="192">
        <v>0.75</v>
      </c>
      <c r="C15" s="192">
        <v>155515</v>
      </c>
      <c r="D15" s="192">
        <v>12103</v>
      </c>
      <c r="E15" s="192">
        <v>1</v>
      </c>
      <c r="F15" s="192">
        <v>1140</v>
      </c>
      <c r="G15" s="192">
        <v>31</v>
      </c>
      <c r="H15" s="192" t="s">
        <v>700</v>
      </c>
      <c r="I15" s="192" t="s">
        <v>65</v>
      </c>
      <c r="J15" s="192">
        <v>0.1550000011920929</v>
      </c>
      <c r="K15" s="192">
        <f>VLOOKUP($D15,'RBSA Weights'!$A$2:$C$1406,3,FALSE)</f>
        <v>4956.4930000000004</v>
      </c>
      <c r="N15" s="195" t="s">
        <v>335</v>
      </c>
      <c r="O15" s="52">
        <f>SUM(AM8:AT8)/AZ8</f>
        <v>4.6501964215835925E-2</v>
      </c>
      <c r="P15" s="52">
        <f>SUM(AU8:AX8)/AZ8</f>
        <v>0.1001242132993031</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row>
    <row r="16" spans="1:64">
      <c r="A16" s="192" t="s">
        <v>703</v>
      </c>
      <c r="B16" s="192">
        <v>0.9</v>
      </c>
      <c r="C16" s="192">
        <v>214703</v>
      </c>
      <c r="D16" s="192">
        <v>13261</v>
      </c>
      <c r="E16" s="192">
        <v>1</v>
      </c>
      <c r="F16" s="192">
        <v>2944</v>
      </c>
      <c r="G16" s="192">
        <v>50</v>
      </c>
      <c r="H16" s="192" t="s">
        <v>699</v>
      </c>
      <c r="I16" s="192" t="s">
        <v>65</v>
      </c>
      <c r="J16" s="192">
        <v>9.4999998807907104E-2</v>
      </c>
      <c r="K16" s="192">
        <f>VLOOKUP($D16,'RBSA Weights'!$A$2:$C$1406,3,FALSE)</f>
        <v>6932.7380000000003</v>
      </c>
      <c r="N16"/>
      <c r="O16"/>
      <c r="P16"/>
    </row>
    <row r="17" spans="1:16">
      <c r="A17" s="192" t="s">
        <v>703</v>
      </c>
      <c r="B17" s="192">
        <v>1</v>
      </c>
      <c r="C17" s="192">
        <v>671583</v>
      </c>
      <c r="D17" s="192">
        <v>11420</v>
      </c>
      <c r="E17" s="192">
        <v>1</v>
      </c>
      <c r="F17" s="192">
        <v>1780</v>
      </c>
      <c r="G17" s="192">
        <v>31</v>
      </c>
      <c r="H17" s="192" t="s">
        <v>700</v>
      </c>
      <c r="I17" s="192" t="s">
        <v>65</v>
      </c>
      <c r="J17" s="192">
        <v>5.000000074505806E-2</v>
      </c>
      <c r="K17" s="192">
        <f>VLOOKUP($D17,'RBSA Weights'!$A$2:$C$1406,3,FALSE)</f>
        <v>6932.7380000000003</v>
      </c>
      <c r="N17"/>
      <c r="O17"/>
      <c r="P17"/>
    </row>
    <row r="18" spans="1:16">
      <c r="A18" s="192" t="s">
        <v>706</v>
      </c>
      <c r="B18" s="192">
        <v>0.75</v>
      </c>
      <c r="C18" s="192">
        <v>184009</v>
      </c>
      <c r="D18" s="192">
        <v>21334</v>
      </c>
      <c r="E18" s="192">
        <v>1</v>
      </c>
      <c r="F18" s="192">
        <v>1200</v>
      </c>
      <c r="G18" s="192">
        <v>26</v>
      </c>
      <c r="H18" s="192" t="s">
        <v>700</v>
      </c>
      <c r="I18" s="192" t="s">
        <v>65</v>
      </c>
      <c r="J18" s="192">
        <v>0.15000000596046448</v>
      </c>
      <c r="K18" s="192">
        <f>VLOOKUP($D18,'RBSA Weights'!$A$2:$C$1406,3,FALSE)</f>
        <v>12271.31</v>
      </c>
      <c r="N18"/>
      <c r="O18"/>
      <c r="P18"/>
    </row>
    <row r="19" spans="1:16">
      <c r="A19" s="192" t="s">
        <v>706</v>
      </c>
      <c r="B19" s="192">
        <v>0.9</v>
      </c>
      <c r="C19" s="192">
        <v>677725</v>
      </c>
      <c r="D19" s="192">
        <v>23284</v>
      </c>
      <c r="E19" s="192">
        <v>1</v>
      </c>
      <c r="F19" s="192">
        <v>1248</v>
      </c>
      <c r="G19" s="192">
        <v>30</v>
      </c>
      <c r="H19" s="192" t="s">
        <v>697</v>
      </c>
      <c r="I19" s="192" t="s">
        <v>65</v>
      </c>
      <c r="J19" s="192">
        <v>9.0000003576278687E-2</v>
      </c>
      <c r="K19" s="192">
        <f>VLOOKUP($D19,'RBSA Weights'!$A$2:$C$1406,3,FALSE)</f>
        <v>3785.7640000000001</v>
      </c>
      <c r="N19"/>
      <c r="O19"/>
      <c r="P19"/>
    </row>
    <row r="20" spans="1:16">
      <c r="A20" s="192" t="s">
        <v>706</v>
      </c>
      <c r="B20" s="192">
        <v>1</v>
      </c>
      <c r="C20" s="192">
        <v>102638</v>
      </c>
      <c r="D20" s="192">
        <v>11531</v>
      </c>
      <c r="E20" s="192">
        <v>1</v>
      </c>
      <c r="F20" s="192">
        <v>950</v>
      </c>
      <c r="G20" s="192">
        <v>16</v>
      </c>
      <c r="H20" s="192" t="s">
        <v>702</v>
      </c>
      <c r="I20" s="192" t="s">
        <v>65</v>
      </c>
      <c r="J20" s="192">
        <v>4.5000001788139343E-2</v>
      </c>
      <c r="K20" s="192">
        <f>VLOOKUP($D20,'RBSA Weights'!$A$2:$C$1406,3,FALSE)</f>
        <v>4956.4930000000004</v>
      </c>
      <c r="N20"/>
      <c r="O20"/>
      <c r="P20"/>
    </row>
    <row r="21" spans="1:16">
      <c r="A21" s="192" t="s">
        <v>707</v>
      </c>
      <c r="B21" s="192">
        <v>0.25</v>
      </c>
      <c r="C21" s="192">
        <v>95193</v>
      </c>
      <c r="D21" s="192">
        <v>21504</v>
      </c>
      <c r="E21" s="192">
        <v>1</v>
      </c>
      <c r="F21" s="192">
        <v>352</v>
      </c>
      <c r="G21" s="192">
        <v>10</v>
      </c>
      <c r="H21" s="192" t="s">
        <v>700</v>
      </c>
      <c r="I21" s="192" t="s">
        <v>65</v>
      </c>
      <c r="J21" s="192">
        <v>0.31999999284744263</v>
      </c>
      <c r="K21" s="192">
        <f>VLOOKUP($D21,'RBSA Weights'!$A$2:$C$1406,3,FALSE)</f>
        <v>1144.6790000000001</v>
      </c>
    </row>
    <row r="22" spans="1:16">
      <c r="A22" s="192" t="s">
        <v>707</v>
      </c>
      <c r="B22" s="192">
        <v>0.5</v>
      </c>
      <c r="C22" s="192">
        <v>239807</v>
      </c>
      <c r="D22" s="192">
        <v>10690</v>
      </c>
      <c r="E22" s="192">
        <v>1</v>
      </c>
      <c r="F22" s="192">
        <v>1753</v>
      </c>
      <c r="G22" s="192">
        <v>10</v>
      </c>
      <c r="H22" s="192" t="s">
        <v>700</v>
      </c>
      <c r="I22" s="192" t="s">
        <v>65</v>
      </c>
      <c r="J22" s="192">
        <v>0.23999999463558197</v>
      </c>
      <c r="K22" s="192">
        <f>VLOOKUP($D22,'RBSA Weights'!$A$2:$C$1406,3,FALSE)</f>
        <v>1150.8789999999999</v>
      </c>
    </row>
    <row r="23" spans="1:16">
      <c r="A23" s="192" t="s">
        <v>707</v>
      </c>
      <c r="B23" s="192">
        <v>0.75</v>
      </c>
      <c r="C23" s="192">
        <v>55981</v>
      </c>
      <c r="D23" s="192">
        <v>11315</v>
      </c>
      <c r="E23" s="192">
        <v>1</v>
      </c>
      <c r="F23" s="192">
        <v>1792</v>
      </c>
      <c r="G23" s="192">
        <v>10</v>
      </c>
      <c r="H23" s="192" t="s">
        <v>705</v>
      </c>
      <c r="I23" s="192" t="s">
        <v>65</v>
      </c>
      <c r="J23" s="192">
        <v>0.14499999582767487</v>
      </c>
      <c r="K23" s="192">
        <f>VLOOKUP($D23,'RBSA Weights'!$A$2:$C$1406,3,FALSE)</f>
        <v>1188.027</v>
      </c>
    </row>
    <row r="24" spans="1:16">
      <c r="A24" s="192" t="s">
        <v>707</v>
      </c>
      <c r="B24" s="192">
        <v>0.9</v>
      </c>
      <c r="C24" s="192">
        <v>156917</v>
      </c>
      <c r="D24" s="192">
        <v>22878</v>
      </c>
      <c r="E24" s="192">
        <v>1</v>
      </c>
      <c r="F24" s="192">
        <v>1032</v>
      </c>
      <c r="G24" s="192">
        <v>30</v>
      </c>
      <c r="H24" s="192" t="s">
        <v>705</v>
      </c>
      <c r="I24" s="192" t="s">
        <v>65</v>
      </c>
      <c r="J24" s="192">
        <v>7.9999998211860657E-2</v>
      </c>
      <c r="K24" s="192">
        <f>VLOOKUP($D24,'RBSA Weights'!$A$2:$C$1406,3,FALSE)</f>
        <v>3785.7640000000001</v>
      </c>
    </row>
    <row r="25" spans="1:16">
      <c r="A25" s="192" t="s">
        <v>707</v>
      </c>
      <c r="B25" s="192">
        <v>1</v>
      </c>
      <c r="C25" s="192">
        <v>802743</v>
      </c>
      <c r="D25" s="192">
        <v>11055</v>
      </c>
      <c r="E25" s="192">
        <v>1</v>
      </c>
      <c r="F25" s="192">
        <v>1972</v>
      </c>
      <c r="G25" s="192">
        <v>12</v>
      </c>
      <c r="H25" s="192" t="s">
        <v>705</v>
      </c>
      <c r="I25" s="192" t="s">
        <v>708</v>
      </c>
      <c r="J25" s="192">
        <v>3.5000000149011612E-2</v>
      </c>
      <c r="K25" s="192">
        <f>VLOOKUP($D25,'RBSA Weights'!$A$2:$C$1406,3,FALSE)</f>
        <v>1464.694</v>
      </c>
    </row>
    <row r="26" spans="1:16">
      <c r="A26" s="192" t="s">
        <v>709</v>
      </c>
      <c r="B26" s="192">
        <v>0.5</v>
      </c>
      <c r="C26" s="192">
        <v>31680</v>
      </c>
      <c r="D26" s="192">
        <v>13319</v>
      </c>
      <c r="E26" s="192">
        <v>2</v>
      </c>
      <c r="F26" s="192">
        <v>336</v>
      </c>
      <c r="G26" s="192">
        <v>49</v>
      </c>
      <c r="H26" s="192" t="s">
        <v>700</v>
      </c>
      <c r="I26" s="192" t="s">
        <v>65</v>
      </c>
      <c r="J26" s="192">
        <v>0.23999999463558197</v>
      </c>
      <c r="K26" s="192">
        <f>VLOOKUP($D26,'RBSA Weights'!$A$2:$C$1406,3,FALSE)</f>
        <v>1150.8789999999999</v>
      </c>
    </row>
    <row r="27" spans="1:16">
      <c r="A27" s="192" t="s">
        <v>709</v>
      </c>
      <c r="B27" s="192">
        <v>0.75</v>
      </c>
      <c r="C27" s="192">
        <v>203495</v>
      </c>
      <c r="D27" s="192">
        <v>22021</v>
      </c>
      <c r="E27" s="192">
        <v>1</v>
      </c>
      <c r="F27" s="192">
        <v>1378</v>
      </c>
      <c r="G27" s="192">
        <v>20</v>
      </c>
      <c r="H27" s="192" t="s">
        <v>697</v>
      </c>
      <c r="I27" s="192" t="s">
        <v>65</v>
      </c>
      <c r="J27" s="192">
        <v>0.14499999582767487</v>
      </c>
      <c r="K27" s="192">
        <f>VLOOKUP($D27,'RBSA Weights'!$A$2:$C$1406,3,FALSE)</f>
        <v>1192.4649999999999</v>
      </c>
    </row>
    <row r="28" spans="1:16">
      <c r="A28" s="192" t="s">
        <v>709</v>
      </c>
      <c r="B28" s="192">
        <v>0.9</v>
      </c>
      <c r="C28" s="192">
        <v>66852</v>
      </c>
      <c r="D28" s="192">
        <v>11323</v>
      </c>
      <c r="E28" s="192">
        <v>1</v>
      </c>
      <c r="F28" s="192">
        <v>1128</v>
      </c>
      <c r="G28" s="192">
        <v>12</v>
      </c>
      <c r="H28" s="192" t="s">
        <v>702</v>
      </c>
      <c r="I28" s="192" t="s">
        <v>65</v>
      </c>
      <c r="J28" s="192">
        <v>7.5000002980232239E-2</v>
      </c>
      <c r="K28" s="192">
        <f>VLOOKUP($D28,'RBSA Weights'!$A$2:$C$1406,3,FALSE)</f>
        <v>2003.7159999999999</v>
      </c>
    </row>
    <row r="29" spans="1:16">
      <c r="A29" s="192" t="s">
        <v>709</v>
      </c>
      <c r="B29" s="192">
        <v>1</v>
      </c>
      <c r="C29" s="192">
        <v>209263</v>
      </c>
      <c r="D29" s="192">
        <v>23294</v>
      </c>
      <c r="E29" s="192">
        <v>1</v>
      </c>
      <c r="F29" s="192">
        <v>2608</v>
      </c>
      <c r="G29" s="192">
        <v>12</v>
      </c>
      <c r="H29" s="192" t="s">
        <v>705</v>
      </c>
      <c r="I29" s="192" t="s">
        <v>65</v>
      </c>
      <c r="J29" s="192">
        <v>2.500000037252903E-2</v>
      </c>
      <c r="K29" s="192">
        <f>VLOOKUP($D29,'RBSA Weights'!$A$2:$C$1406,3,FALSE)</f>
        <v>1904.288</v>
      </c>
    </row>
    <row r="30" spans="1:16">
      <c r="A30" s="192" t="s">
        <v>710</v>
      </c>
      <c r="B30" s="192">
        <v>0.75</v>
      </c>
      <c r="C30" s="192">
        <v>142715</v>
      </c>
      <c r="D30" s="192">
        <v>20168</v>
      </c>
      <c r="E30" s="192">
        <v>1</v>
      </c>
      <c r="F30" s="192">
        <v>1715</v>
      </c>
      <c r="G30" s="192">
        <v>0</v>
      </c>
      <c r="H30" s="192" t="s">
        <v>705</v>
      </c>
      <c r="I30" s="192" t="s">
        <v>65</v>
      </c>
      <c r="J30" s="192">
        <v>0.14000000059604645</v>
      </c>
      <c r="K30" s="192">
        <f>VLOOKUP($D30,'RBSA Weights'!$A$2:$C$1406,3,FALSE)</f>
        <v>1612.692</v>
      </c>
    </row>
    <row r="31" spans="1:16">
      <c r="A31" s="192" t="s">
        <v>710</v>
      </c>
      <c r="B31" s="192">
        <v>0.9</v>
      </c>
      <c r="C31" s="192">
        <v>136353</v>
      </c>
      <c r="D31" s="192">
        <v>20274</v>
      </c>
      <c r="E31" s="192">
        <v>1</v>
      </c>
      <c r="F31" s="192">
        <v>1680</v>
      </c>
      <c r="G31" s="192">
        <v>0</v>
      </c>
      <c r="H31" s="192" t="s">
        <v>705</v>
      </c>
      <c r="I31" s="192" t="s">
        <v>65</v>
      </c>
      <c r="J31" s="192">
        <v>7.0000000298023224E-2</v>
      </c>
      <c r="K31" s="192">
        <f>VLOOKUP($D31,'RBSA Weights'!$A$2:$C$1406,3,FALSE)</f>
        <v>1612.692</v>
      </c>
    </row>
    <row r="32" spans="1:16">
      <c r="A32" s="192" t="s">
        <v>710</v>
      </c>
      <c r="B32" s="192">
        <v>1</v>
      </c>
      <c r="C32" s="192">
        <v>212403</v>
      </c>
      <c r="D32" s="192">
        <v>14284</v>
      </c>
      <c r="E32" s="192">
        <v>1</v>
      </c>
      <c r="F32" s="192">
        <v>1023</v>
      </c>
      <c r="G32" s="192">
        <v>10</v>
      </c>
      <c r="H32" s="192" t="s">
        <v>702</v>
      </c>
      <c r="I32" s="192" t="s">
        <v>65</v>
      </c>
      <c r="J32" s="192">
        <v>1.9999999552965164E-2</v>
      </c>
      <c r="K32" s="192">
        <f>VLOOKUP($D32,'RBSA Weights'!$A$2:$C$1406,3,FALSE)</f>
        <v>1524.7619999999999</v>
      </c>
    </row>
    <row r="33" spans="1:11">
      <c r="A33" s="192" t="s">
        <v>711</v>
      </c>
      <c r="B33" s="192">
        <v>0.75</v>
      </c>
      <c r="C33" s="192">
        <v>156119</v>
      </c>
      <c r="D33" s="192">
        <v>22180</v>
      </c>
      <c r="E33" s="192">
        <v>1</v>
      </c>
      <c r="F33" s="192">
        <v>1536</v>
      </c>
      <c r="G33" s="192">
        <v>0</v>
      </c>
      <c r="H33" s="192" t="s">
        <v>705</v>
      </c>
      <c r="I33" s="192" t="s">
        <v>65</v>
      </c>
      <c r="J33" s="192">
        <v>0.14000000059604645</v>
      </c>
      <c r="K33" s="192">
        <f>VLOOKUP($D33,'RBSA Weights'!$A$2:$C$1406,3,FALSE)</f>
        <v>2079.9929999999999</v>
      </c>
    </row>
    <row r="34" spans="1:11">
      <c r="A34" s="192" t="s">
        <v>711</v>
      </c>
      <c r="B34" s="192">
        <v>0.9</v>
      </c>
      <c r="C34" s="192">
        <v>96984</v>
      </c>
      <c r="D34" s="192">
        <v>24048</v>
      </c>
      <c r="E34" s="192">
        <v>1</v>
      </c>
      <c r="F34" s="192">
        <v>1100</v>
      </c>
      <c r="G34" s="192">
        <v>10</v>
      </c>
      <c r="H34" s="192" t="s">
        <v>705</v>
      </c>
      <c r="I34" s="192" t="s">
        <v>65</v>
      </c>
      <c r="J34" s="192">
        <v>7.0000000298023224E-2</v>
      </c>
      <c r="K34" s="192">
        <f>VLOOKUP($D34,'RBSA Weights'!$A$2:$C$1406,3,FALSE)</f>
        <v>3785.7640000000001</v>
      </c>
    </row>
    <row r="35" spans="1:11">
      <c r="A35" s="192" t="s">
        <v>711</v>
      </c>
      <c r="B35" s="192">
        <v>1</v>
      </c>
      <c r="C35" s="192">
        <v>160893</v>
      </c>
      <c r="D35" s="192">
        <v>21018</v>
      </c>
      <c r="E35" s="192">
        <v>1</v>
      </c>
      <c r="F35" s="192">
        <v>936</v>
      </c>
      <c r="H35" s="192" t="s">
        <v>697</v>
      </c>
      <c r="I35" s="192" t="s">
        <v>65</v>
      </c>
      <c r="J35" s="192">
        <v>1.9999999552965164E-2</v>
      </c>
      <c r="K35" s="192">
        <f>VLOOKUP($D35,'RBSA Weights'!$A$2:$C$1406,3,FALSE)</f>
        <v>2130.886</v>
      </c>
    </row>
    <row r="36" spans="1:11">
      <c r="A36" s="192" t="s">
        <v>65</v>
      </c>
      <c r="C36" s="192">
        <v>188536</v>
      </c>
      <c r="D36" s="192">
        <v>24647</v>
      </c>
      <c r="E36" s="192">
        <v>1</v>
      </c>
      <c r="F36" s="192">
        <v>702</v>
      </c>
      <c r="H36" s="192" t="s">
        <v>65</v>
      </c>
      <c r="I36" s="192" t="s">
        <v>65</v>
      </c>
      <c r="K36" s="192">
        <f>VLOOKUP($D36,'RBSA Weights'!$A$2:$C$1406,3,FALSE)</f>
        <v>1904.288</v>
      </c>
    </row>
    <row r="37" spans="1:11">
      <c r="A37" s="192" t="s">
        <v>65</v>
      </c>
      <c r="C37" s="192">
        <v>171366</v>
      </c>
      <c r="D37" s="192">
        <v>23544</v>
      </c>
      <c r="E37" s="192">
        <v>1</v>
      </c>
      <c r="F37" s="192">
        <v>1008</v>
      </c>
      <c r="G37" s="192">
        <v>0</v>
      </c>
      <c r="H37" s="192" t="s">
        <v>65</v>
      </c>
      <c r="I37" s="192" t="s">
        <v>65</v>
      </c>
      <c r="K37" s="192">
        <f>VLOOKUP($D37,'RBSA Weights'!$A$2:$C$1406,3,FALSE)</f>
        <v>1192.4649999999999</v>
      </c>
    </row>
    <row r="38" spans="1:11">
      <c r="A38" s="192" t="s">
        <v>65</v>
      </c>
      <c r="C38" s="192">
        <v>89883</v>
      </c>
      <c r="D38" s="192">
        <v>12833</v>
      </c>
      <c r="E38" s="192">
        <v>1</v>
      </c>
      <c r="F38" s="192">
        <v>1010</v>
      </c>
      <c r="H38" s="192" t="s">
        <v>65</v>
      </c>
      <c r="I38" s="192" t="s">
        <v>712</v>
      </c>
      <c r="K38" s="192">
        <f>VLOOKUP($D38,'RBSA Weights'!$A$2:$C$1406,3,FALSE)</f>
        <v>2003.7159999999999</v>
      </c>
    </row>
    <row r="39" spans="1:11">
      <c r="A39" s="192" t="s">
        <v>65</v>
      </c>
      <c r="C39" s="192">
        <v>188782</v>
      </c>
      <c r="D39" s="192">
        <v>23627</v>
      </c>
      <c r="E39" s="192">
        <v>1</v>
      </c>
      <c r="F39" s="192">
        <v>1900</v>
      </c>
      <c r="G39" s="192">
        <v>0</v>
      </c>
      <c r="H39" s="192" t="s">
        <v>65</v>
      </c>
      <c r="I39" s="192" t="s">
        <v>713</v>
      </c>
      <c r="K39" s="192">
        <f>VLOOKUP($D39,'RBSA Weights'!$A$2:$C$1406,3,FALSE)</f>
        <v>1192.4649999999999</v>
      </c>
    </row>
    <row r="40" spans="1:11">
      <c r="A40" s="192" t="s">
        <v>65</v>
      </c>
      <c r="C40" s="192">
        <v>37147</v>
      </c>
      <c r="D40" s="192">
        <v>12016</v>
      </c>
      <c r="E40" s="192">
        <v>1</v>
      </c>
      <c r="F40" s="192">
        <v>90</v>
      </c>
      <c r="H40" s="192" t="s">
        <v>65</v>
      </c>
      <c r="I40" s="192" t="s">
        <v>714</v>
      </c>
      <c r="K40" s="192">
        <f>VLOOKUP($D40,'RBSA Weights'!$A$2:$C$1406,3,FALSE)</f>
        <v>1524.7619999999999</v>
      </c>
    </row>
    <row r="41" spans="1:11">
      <c r="A41" s="192" t="s">
        <v>65</v>
      </c>
      <c r="C41" s="192">
        <v>176583</v>
      </c>
      <c r="D41" s="192">
        <v>20117</v>
      </c>
      <c r="E41" s="192">
        <v>1</v>
      </c>
      <c r="F41" s="192">
        <v>390</v>
      </c>
      <c r="H41" s="192" t="s">
        <v>65</v>
      </c>
      <c r="I41" s="192" t="s">
        <v>715</v>
      </c>
      <c r="K41" s="192">
        <f>VLOOKUP($D41,'RBSA Weights'!$A$2:$C$1406,3,FALSE)</f>
        <v>2130.886</v>
      </c>
    </row>
    <row r="42" spans="1:11">
      <c r="A42" s="192" t="s">
        <v>65</v>
      </c>
      <c r="C42" s="192">
        <v>171366</v>
      </c>
      <c r="D42" s="192">
        <v>23544</v>
      </c>
      <c r="E42" s="192">
        <v>2</v>
      </c>
      <c r="F42" s="192">
        <v>768</v>
      </c>
      <c r="G42" s="192">
        <v>0</v>
      </c>
      <c r="H42" s="192" t="s">
        <v>65</v>
      </c>
      <c r="I42" s="192" t="s">
        <v>65</v>
      </c>
      <c r="K42" s="192">
        <f>VLOOKUP($D42,'RBSA Weights'!$A$2:$C$1406,3,FALSE)</f>
        <v>1192.4649999999999</v>
      </c>
    </row>
    <row r="43" spans="1:11">
      <c r="A43" s="192" t="s">
        <v>65</v>
      </c>
      <c r="C43" s="192">
        <v>238800</v>
      </c>
      <c r="D43" s="192">
        <v>24232</v>
      </c>
      <c r="E43" s="192">
        <v>1</v>
      </c>
      <c r="F43" s="192">
        <v>800</v>
      </c>
      <c r="H43" s="192" t="s">
        <v>65</v>
      </c>
      <c r="I43" s="192" t="s">
        <v>716</v>
      </c>
      <c r="K43" s="192">
        <f>VLOOKUP($D43,'RBSA Weights'!$A$2:$C$1406,3,FALSE)</f>
        <v>2079.9929999999999</v>
      </c>
    </row>
    <row r="44" spans="1:11">
      <c r="A44" s="192" t="s">
        <v>65</v>
      </c>
      <c r="C44" s="192">
        <v>200603</v>
      </c>
      <c r="D44" s="192">
        <v>20446</v>
      </c>
      <c r="E44" s="192">
        <v>1</v>
      </c>
      <c r="F44" s="192">
        <v>818</v>
      </c>
      <c r="H44" s="192" t="s">
        <v>65</v>
      </c>
      <c r="I44" s="192" t="s">
        <v>65</v>
      </c>
      <c r="K44" s="192">
        <f>VLOOKUP($D44,'RBSA Weights'!$A$2:$C$1406,3,FALSE)</f>
        <v>1612.692</v>
      </c>
    </row>
    <row r="45" spans="1:11">
      <c r="A45" s="192" t="s">
        <v>65</v>
      </c>
      <c r="C45" s="192">
        <v>173799</v>
      </c>
      <c r="D45" s="192">
        <v>23966</v>
      </c>
      <c r="E45" s="192">
        <v>1</v>
      </c>
      <c r="F45" s="192">
        <v>901</v>
      </c>
      <c r="H45" s="192" t="s">
        <v>65</v>
      </c>
      <c r="I45" s="192" t="s">
        <v>65</v>
      </c>
      <c r="K45" s="192">
        <f>VLOOKUP($D45,'RBSA Weights'!$A$2:$C$1406,3,FALSE)</f>
        <v>3785.7640000000001</v>
      </c>
    </row>
    <row r="46" spans="1:11">
      <c r="A46" s="192" t="s">
        <v>65</v>
      </c>
      <c r="C46" s="192">
        <v>50730</v>
      </c>
      <c r="D46" s="192">
        <v>10638</v>
      </c>
      <c r="E46" s="192">
        <v>1</v>
      </c>
      <c r="F46" s="192">
        <v>672</v>
      </c>
      <c r="H46" s="192" t="s">
        <v>65</v>
      </c>
      <c r="I46" s="192" t="s">
        <v>717</v>
      </c>
      <c r="K46" s="192">
        <f>VLOOKUP($D46,'RBSA Weights'!$A$2:$C$1406,3,FALSE)</f>
        <v>1524.7619999999999</v>
      </c>
    </row>
    <row r="47" spans="1:11">
      <c r="A47" s="192" t="s">
        <v>65</v>
      </c>
      <c r="C47" s="192">
        <v>38830</v>
      </c>
      <c r="D47" s="192">
        <v>10040</v>
      </c>
      <c r="E47" s="192">
        <v>2</v>
      </c>
      <c r="F47" s="192">
        <v>40</v>
      </c>
      <c r="H47" s="192" t="s">
        <v>65</v>
      </c>
      <c r="I47" s="192" t="s">
        <v>65</v>
      </c>
      <c r="K47" s="192">
        <f>VLOOKUP($D47,'RBSA Weights'!$A$2:$C$1406,3,FALSE)</f>
        <v>1524.7619999999999</v>
      </c>
    </row>
    <row r="48" spans="1:11">
      <c r="A48" s="192" t="s">
        <v>65</v>
      </c>
      <c r="C48" s="192">
        <v>36104</v>
      </c>
      <c r="D48" s="192">
        <v>10298</v>
      </c>
      <c r="E48" s="192">
        <v>1</v>
      </c>
      <c r="F48" s="192">
        <v>690</v>
      </c>
      <c r="H48" s="192" t="s">
        <v>65</v>
      </c>
      <c r="I48" s="192" t="s">
        <v>718</v>
      </c>
      <c r="K48" s="192">
        <f>VLOOKUP($D48,'RBSA Weights'!$A$2:$C$1406,3,FALSE)</f>
        <v>1524.7619999999999</v>
      </c>
    </row>
    <row r="49" spans="1:11">
      <c r="A49" s="192" t="s">
        <v>65</v>
      </c>
      <c r="C49" s="192">
        <v>724188</v>
      </c>
      <c r="D49" s="192">
        <v>11725</v>
      </c>
      <c r="E49" s="192">
        <v>1</v>
      </c>
      <c r="F49" s="192">
        <v>1387</v>
      </c>
      <c r="H49" s="192" t="s">
        <v>65</v>
      </c>
      <c r="I49" s="192" t="s">
        <v>719</v>
      </c>
      <c r="K49" s="192">
        <f>VLOOKUP($D49,'RBSA Weights'!$A$2:$C$1406,3,FALSE)</f>
        <v>1524.7619999999999</v>
      </c>
    </row>
    <row r="50" spans="1:11">
      <c r="A50" s="192" t="s">
        <v>65</v>
      </c>
      <c r="C50" s="192">
        <v>159914</v>
      </c>
      <c r="D50" s="192">
        <v>21026</v>
      </c>
      <c r="E50" s="192">
        <v>1</v>
      </c>
      <c r="F50" s="192">
        <v>720</v>
      </c>
      <c r="H50" s="192" t="s">
        <v>65</v>
      </c>
      <c r="I50" s="192" t="s">
        <v>65</v>
      </c>
      <c r="K50" s="192">
        <f>VLOOKUP($D50,'RBSA Weights'!$A$2:$C$1406,3,FALSE)</f>
        <v>8264.9449999999997</v>
      </c>
    </row>
    <row r="51" spans="1:11">
      <c r="A51" s="192" t="s">
        <v>65</v>
      </c>
      <c r="C51" s="192">
        <v>47007</v>
      </c>
      <c r="D51" s="192">
        <v>23714</v>
      </c>
      <c r="E51" s="192">
        <v>1</v>
      </c>
      <c r="F51" s="192">
        <v>1450</v>
      </c>
      <c r="H51" s="192" t="s">
        <v>65</v>
      </c>
      <c r="I51" s="192" t="s">
        <v>65</v>
      </c>
      <c r="K51" s="192">
        <f>VLOOKUP($D51,'RBSA Weights'!$A$2:$C$1406,3,FALSE)</f>
        <v>8264.9449999999997</v>
      </c>
    </row>
    <row r="52" spans="1:11">
      <c r="A52" s="192" t="s">
        <v>65</v>
      </c>
      <c r="C52" s="192">
        <v>43290</v>
      </c>
      <c r="D52" s="192">
        <v>23564</v>
      </c>
      <c r="E52" s="192">
        <v>1</v>
      </c>
      <c r="F52" s="192">
        <v>667</v>
      </c>
      <c r="H52" s="192" t="s">
        <v>65</v>
      </c>
      <c r="I52" s="192" t="s">
        <v>65</v>
      </c>
      <c r="K52" s="192">
        <f>VLOOKUP($D52,'RBSA Weights'!$A$2:$C$1406,3,FALSE)</f>
        <v>2130.886</v>
      </c>
    </row>
    <row r="53" spans="1:11">
      <c r="A53" s="192" t="s">
        <v>65</v>
      </c>
      <c r="C53" s="192">
        <v>38830</v>
      </c>
      <c r="D53" s="192">
        <v>10040</v>
      </c>
      <c r="E53" s="192">
        <v>1</v>
      </c>
      <c r="F53" s="192">
        <v>896</v>
      </c>
      <c r="H53" s="192" t="s">
        <v>65</v>
      </c>
      <c r="I53" s="192" t="s">
        <v>65</v>
      </c>
      <c r="K53" s="192">
        <f>VLOOKUP($D53,'RBSA Weights'!$A$2:$C$1406,3,FALSE)</f>
        <v>1524.7619999999999</v>
      </c>
    </row>
    <row r="54" spans="1:11">
      <c r="A54" s="192" t="s">
        <v>65</v>
      </c>
      <c r="C54" s="192">
        <v>160272</v>
      </c>
      <c r="D54" s="192">
        <v>20351</v>
      </c>
      <c r="E54" s="192">
        <v>1</v>
      </c>
      <c r="F54" s="192">
        <v>380</v>
      </c>
      <c r="G54" s="192">
        <v>20</v>
      </c>
      <c r="H54" s="192" t="s">
        <v>65</v>
      </c>
      <c r="I54" s="192" t="s">
        <v>65</v>
      </c>
      <c r="K54" s="192">
        <f>VLOOKUP($D54,'RBSA Weights'!$A$2:$C$1406,3,FALSE)</f>
        <v>2130.886</v>
      </c>
    </row>
    <row r="55" spans="1:11">
      <c r="A55" s="192" t="s">
        <v>65</v>
      </c>
      <c r="C55" s="192">
        <v>168372</v>
      </c>
      <c r="D55" s="192">
        <v>10486</v>
      </c>
      <c r="E55" s="192">
        <v>1</v>
      </c>
      <c r="F55" s="192">
        <v>750</v>
      </c>
      <c r="H55" s="192" t="s">
        <v>702</v>
      </c>
      <c r="I55" s="192" t="s">
        <v>65</v>
      </c>
      <c r="K55" s="192">
        <f>VLOOKUP($D55,'RBSA Weights'!$A$2:$C$1406,3,FALSE)</f>
        <v>6932.7380000000003</v>
      </c>
    </row>
    <row r="56" spans="1:11">
      <c r="A56" s="192" t="s">
        <v>65</v>
      </c>
      <c r="C56" s="192">
        <v>223024</v>
      </c>
      <c r="D56" s="192">
        <v>10476</v>
      </c>
      <c r="E56" s="192">
        <v>1</v>
      </c>
      <c r="F56" s="192">
        <v>2012</v>
      </c>
      <c r="H56" s="192" t="s">
        <v>65</v>
      </c>
      <c r="I56" s="192" t="s">
        <v>720</v>
      </c>
      <c r="K56" s="192">
        <f>VLOOKUP($D56,'RBSA Weights'!$A$2:$C$1406,3,FALSE)</f>
        <v>4956.4930000000004</v>
      </c>
    </row>
    <row r="57" spans="1:11">
      <c r="A57" s="192" t="s">
        <v>65</v>
      </c>
      <c r="C57" s="192">
        <v>34546</v>
      </c>
      <c r="D57" s="192">
        <v>10231</v>
      </c>
      <c r="E57" s="192">
        <v>1</v>
      </c>
      <c r="F57" s="192">
        <v>400</v>
      </c>
      <c r="H57" s="192" t="s">
        <v>65</v>
      </c>
      <c r="I57" s="192" t="s">
        <v>65</v>
      </c>
      <c r="K57" s="192">
        <f>VLOOKUP($D57,'RBSA Weights'!$A$2:$C$1406,3,FALSE)</f>
        <v>1524.7619999999999</v>
      </c>
    </row>
    <row r="58" spans="1:11">
      <c r="A58" s="192" t="s">
        <v>329</v>
      </c>
      <c r="B58" s="192">
        <v>0.25</v>
      </c>
      <c r="C58" s="192">
        <v>65695</v>
      </c>
      <c r="D58" s="192">
        <v>12142</v>
      </c>
      <c r="E58" s="192">
        <v>2</v>
      </c>
      <c r="F58" s="192">
        <v>162</v>
      </c>
      <c r="G58" s="192">
        <v>48</v>
      </c>
      <c r="H58" s="192" t="s">
        <v>704</v>
      </c>
      <c r="I58" s="192" t="s">
        <v>65</v>
      </c>
      <c r="J58" s="192">
        <v>0.37000000476837158</v>
      </c>
      <c r="K58" s="192">
        <f>VLOOKUP($D58,'RBSA Weights'!$A$2:$C$1406,3,FALSE)</f>
        <v>1524.7619999999999</v>
      </c>
    </row>
    <row r="59" spans="1:11">
      <c r="A59" s="192" t="s">
        <v>329</v>
      </c>
      <c r="B59" s="192">
        <v>0.25</v>
      </c>
      <c r="C59" s="192">
        <v>64407</v>
      </c>
      <c r="D59" s="192">
        <v>11539</v>
      </c>
      <c r="E59" s="192">
        <v>1</v>
      </c>
      <c r="F59" s="192">
        <v>500</v>
      </c>
      <c r="G59" s="192">
        <v>30</v>
      </c>
      <c r="H59" s="192" t="s">
        <v>704</v>
      </c>
      <c r="I59" s="192" t="s">
        <v>65</v>
      </c>
      <c r="J59" s="192">
        <v>0.37000000476837158</v>
      </c>
      <c r="K59" s="192">
        <f>VLOOKUP($D59,'RBSA Weights'!$A$2:$C$1406,3,FALSE)</f>
        <v>2003.7159999999999</v>
      </c>
    </row>
    <row r="60" spans="1:11">
      <c r="A60" s="192" t="s">
        <v>329</v>
      </c>
      <c r="B60" s="192">
        <v>0.25</v>
      </c>
      <c r="C60" s="192">
        <v>65695</v>
      </c>
      <c r="D60" s="192">
        <v>12142</v>
      </c>
      <c r="E60" s="192">
        <v>1</v>
      </c>
      <c r="F60" s="192">
        <v>253</v>
      </c>
      <c r="G60" s="192">
        <v>48</v>
      </c>
      <c r="H60" s="192" t="s">
        <v>704</v>
      </c>
      <c r="I60" s="192" t="s">
        <v>65</v>
      </c>
      <c r="J60" s="192">
        <v>0.37000000476837158</v>
      </c>
      <c r="K60" s="192">
        <f>VLOOKUP($D60,'RBSA Weights'!$A$2:$C$1406,3,FALSE)</f>
        <v>1524.7619999999999</v>
      </c>
    </row>
    <row r="61" spans="1:11">
      <c r="A61" s="192" t="s">
        <v>329</v>
      </c>
      <c r="B61" s="192">
        <v>0.75</v>
      </c>
      <c r="C61" s="192">
        <v>227258</v>
      </c>
      <c r="D61" s="192">
        <v>11030</v>
      </c>
      <c r="E61" s="192">
        <v>1</v>
      </c>
      <c r="F61" s="192">
        <v>958</v>
      </c>
      <c r="G61" s="192">
        <v>30</v>
      </c>
      <c r="H61" s="192" t="s">
        <v>704</v>
      </c>
      <c r="I61" s="192" t="s">
        <v>65</v>
      </c>
      <c r="J61" s="192">
        <v>0.37000000476837158</v>
      </c>
      <c r="K61" s="192">
        <f>VLOOKUP($D61,'RBSA Weights'!$A$2:$C$1406,3,FALSE)</f>
        <v>1464.694</v>
      </c>
    </row>
    <row r="62" spans="1:11">
      <c r="A62" s="192" t="s">
        <v>329</v>
      </c>
      <c r="B62" s="192">
        <v>0.9</v>
      </c>
      <c r="C62" s="192">
        <v>134513</v>
      </c>
      <c r="D62" s="192">
        <v>23235</v>
      </c>
      <c r="E62" s="192">
        <v>1</v>
      </c>
      <c r="F62" s="192">
        <v>738</v>
      </c>
      <c r="G62" s="192">
        <v>50</v>
      </c>
      <c r="H62" s="192" t="s">
        <v>704</v>
      </c>
      <c r="I62" s="192" t="s">
        <v>65</v>
      </c>
      <c r="J62" s="192">
        <v>0.37000000476837158</v>
      </c>
      <c r="K62" s="192">
        <f>VLOOKUP($D62,'RBSA Weights'!$A$2:$C$1406,3,FALSE)</f>
        <v>1612.692</v>
      </c>
    </row>
    <row r="63" spans="1:11">
      <c r="A63" s="192" t="s">
        <v>329</v>
      </c>
      <c r="B63" s="192">
        <v>0.9</v>
      </c>
      <c r="C63" s="192">
        <v>28386</v>
      </c>
      <c r="D63" s="192">
        <v>11178</v>
      </c>
      <c r="E63" s="192">
        <v>1</v>
      </c>
      <c r="F63" s="192">
        <v>794</v>
      </c>
      <c r="G63" s="192">
        <v>0</v>
      </c>
      <c r="H63" s="192" t="s">
        <v>65</v>
      </c>
      <c r="I63" s="192" t="s">
        <v>721</v>
      </c>
      <c r="J63" s="192">
        <v>0.37000000476837158</v>
      </c>
      <c r="K63" s="192">
        <f>VLOOKUP($D63,'RBSA Weights'!$A$2:$C$1406,3,FALSE)</f>
        <v>1524.7619999999999</v>
      </c>
    </row>
    <row r="64" spans="1:11">
      <c r="A64" s="192" t="s">
        <v>329</v>
      </c>
      <c r="B64" s="192">
        <v>0.9</v>
      </c>
      <c r="C64" s="192">
        <v>40849</v>
      </c>
      <c r="D64" s="192">
        <v>12358</v>
      </c>
      <c r="E64" s="192">
        <v>2</v>
      </c>
      <c r="F64" s="192">
        <v>264</v>
      </c>
      <c r="H64" s="192" t="s">
        <v>65</v>
      </c>
      <c r="I64" s="192" t="s">
        <v>722</v>
      </c>
      <c r="J64" s="192">
        <v>0.37000000476837158</v>
      </c>
      <c r="K64" s="192">
        <f>VLOOKUP($D64,'RBSA Weights'!$A$2:$C$1406,3,FALSE)</f>
        <v>1524.7619999999999</v>
      </c>
    </row>
    <row r="65" spans="1:11">
      <c r="A65" s="192" t="s">
        <v>329</v>
      </c>
      <c r="B65" s="192">
        <v>0.9</v>
      </c>
      <c r="C65" s="192">
        <v>223513</v>
      </c>
      <c r="D65" s="192">
        <v>12341</v>
      </c>
      <c r="E65" s="192">
        <v>4</v>
      </c>
      <c r="F65" s="192">
        <v>162</v>
      </c>
      <c r="H65" s="192" t="s">
        <v>65</v>
      </c>
      <c r="I65" s="192" t="s">
        <v>723</v>
      </c>
      <c r="J65" s="192">
        <v>0.37000000476837158</v>
      </c>
      <c r="K65" s="192">
        <f>VLOOKUP($D65,'RBSA Weights'!$A$2:$C$1406,3,FALSE)</f>
        <v>1464.694</v>
      </c>
    </row>
    <row r="66" spans="1:11">
      <c r="A66" s="192" t="s">
        <v>329</v>
      </c>
      <c r="B66" s="192">
        <v>0.9</v>
      </c>
      <c r="C66" s="192">
        <v>798475</v>
      </c>
      <c r="D66" s="192">
        <v>20390</v>
      </c>
      <c r="E66" s="192">
        <v>1</v>
      </c>
      <c r="F66" s="192">
        <v>850</v>
      </c>
      <c r="G66" s="192">
        <v>50</v>
      </c>
      <c r="H66" s="192" t="s">
        <v>65</v>
      </c>
      <c r="I66" s="192" t="s">
        <v>724</v>
      </c>
      <c r="J66" s="192">
        <v>0.37000000476837158</v>
      </c>
      <c r="K66" s="192">
        <f>VLOOKUP($D66,'RBSA Weights'!$A$2:$C$1406,3,FALSE)</f>
        <v>8264.9449999999997</v>
      </c>
    </row>
    <row r="67" spans="1:11">
      <c r="A67" s="192" t="s">
        <v>329</v>
      </c>
      <c r="B67" s="192">
        <v>0.9</v>
      </c>
      <c r="C67" s="192">
        <v>71125</v>
      </c>
      <c r="D67" s="192">
        <v>23905</v>
      </c>
      <c r="E67" s="192">
        <v>1</v>
      </c>
      <c r="F67" s="192">
        <v>730</v>
      </c>
      <c r="G67" s="192">
        <v>45</v>
      </c>
      <c r="H67" s="192" t="s">
        <v>65</v>
      </c>
      <c r="I67" s="192" t="s">
        <v>65</v>
      </c>
      <c r="J67" s="192">
        <v>0.37000000476837158</v>
      </c>
      <c r="K67" s="192">
        <f>VLOOKUP($D67,'RBSA Weights'!$A$2:$C$1406,3,FALSE)</f>
        <v>2079.9929999999999</v>
      </c>
    </row>
    <row r="68" spans="1:11">
      <c r="A68" s="192" t="s">
        <v>329</v>
      </c>
      <c r="B68" s="192">
        <v>0.9</v>
      </c>
      <c r="C68" s="192">
        <v>223513</v>
      </c>
      <c r="D68" s="192">
        <v>12341</v>
      </c>
      <c r="E68" s="192">
        <v>3</v>
      </c>
      <c r="F68" s="192">
        <v>216</v>
      </c>
      <c r="H68" s="192" t="s">
        <v>65</v>
      </c>
      <c r="I68" s="192" t="s">
        <v>723</v>
      </c>
      <c r="J68" s="192">
        <v>0.37000000476837158</v>
      </c>
      <c r="K68" s="192">
        <f>VLOOKUP($D68,'RBSA Weights'!$A$2:$C$1406,3,FALSE)</f>
        <v>1464.694</v>
      </c>
    </row>
    <row r="69" spans="1:11">
      <c r="A69" s="192" t="s">
        <v>329</v>
      </c>
      <c r="B69" s="192">
        <v>0.9</v>
      </c>
      <c r="C69" s="192">
        <v>131893</v>
      </c>
      <c r="D69" s="192">
        <v>24594</v>
      </c>
      <c r="E69" s="192">
        <v>1</v>
      </c>
      <c r="F69" s="192">
        <v>992</v>
      </c>
      <c r="G69" s="192">
        <v>0</v>
      </c>
      <c r="H69" s="192" t="s">
        <v>704</v>
      </c>
      <c r="I69" s="192" t="s">
        <v>65</v>
      </c>
      <c r="J69" s="192">
        <v>0.37000000476837158</v>
      </c>
      <c r="K69" s="192">
        <f>VLOOKUP($D69,'RBSA Weights'!$A$2:$C$1406,3,FALSE)</f>
        <v>1612.692</v>
      </c>
    </row>
    <row r="70" spans="1:11">
      <c r="A70" s="192" t="s">
        <v>329</v>
      </c>
      <c r="B70" s="192">
        <v>0.9</v>
      </c>
      <c r="C70" s="192">
        <v>241311</v>
      </c>
      <c r="D70" s="192">
        <v>22785</v>
      </c>
      <c r="E70" s="192">
        <v>1</v>
      </c>
      <c r="F70" s="192">
        <v>950</v>
      </c>
      <c r="G70" s="192">
        <v>38</v>
      </c>
      <c r="H70" s="192" t="s">
        <v>65</v>
      </c>
      <c r="I70" s="192" t="s">
        <v>65</v>
      </c>
      <c r="J70" s="192">
        <v>0.37000000476837158</v>
      </c>
      <c r="K70" s="192">
        <f>VLOOKUP($D70,'RBSA Weights'!$A$2:$C$1406,3,FALSE)</f>
        <v>2079.9929999999999</v>
      </c>
    </row>
    <row r="71" spans="1:11">
      <c r="A71" s="192" t="s">
        <v>329</v>
      </c>
      <c r="B71" s="192">
        <v>0.9</v>
      </c>
      <c r="C71" s="192">
        <v>802994</v>
      </c>
      <c r="D71" s="192">
        <v>12111</v>
      </c>
      <c r="E71" s="192">
        <v>3</v>
      </c>
      <c r="F71" s="192">
        <v>78</v>
      </c>
      <c r="G71" s="192">
        <v>50</v>
      </c>
      <c r="H71" s="192" t="s">
        <v>65</v>
      </c>
      <c r="I71" s="192" t="s">
        <v>65</v>
      </c>
      <c r="J71" s="192">
        <v>0.37000000476837158</v>
      </c>
      <c r="K71" s="192">
        <f>VLOOKUP($D71,'RBSA Weights'!$A$2:$C$1406,3,FALSE)</f>
        <v>1464.694</v>
      </c>
    </row>
    <row r="72" spans="1:11">
      <c r="A72" s="192" t="s">
        <v>329</v>
      </c>
      <c r="B72" s="192">
        <v>0.9</v>
      </c>
      <c r="C72" s="192">
        <v>238072</v>
      </c>
      <c r="D72" s="192">
        <v>21601</v>
      </c>
      <c r="E72" s="192">
        <v>1</v>
      </c>
      <c r="F72" s="192">
        <v>1008</v>
      </c>
      <c r="G72" s="192">
        <v>0</v>
      </c>
      <c r="H72" s="192" t="s">
        <v>65</v>
      </c>
      <c r="I72" s="192" t="s">
        <v>725</v>
      </c>
      <c r="J72" s="192">
        <v>0.37000000476837158</v>
      </c>
      <c r="K72" s="192">
        <f>VLOOKUP($D72,'RBSA Weights'!$A$2:$C$1406,3,FALSE)</f>
        <v>2079.9929999999999</v>
      </c>
    </row>
    <row r="73" spans="1:11">
      <c r="A73" s="192" t="s">
        <v>329</v>
      </c>
      <c r="B73" s="192">
        <v>0.9</v>
      </c>
      <c r="C73" s="192">
        <v>208510</v>
      </c>
      <c r="D73" s="192">
        <v>12264</v>
      </c>
      <c r="E73" s="192">
        <v>2</v>
      </c>
      <c r="F73" s="192">
        <v>420</v>
      </c>
      <c r="H73" s="192" t="s">
        <v>65</v>
      </c>
      <c r="I73" s="192" t="s">
        <v>65</v>
      </c>
      <c r="J73" s="192">
        <v>0.37000000476837158</v>
      </c>
      <c r="K73" s="192">
        <f>VLOOKUP($D73,'RBSA Weights'!$A$2:$C$1406,3,FALSE)</f>
        <v>1464.694</v>
      </c>
    </row>
    <row r="74" spans="1:11">
      <c r="A74" s="192" t="s">
        <v>329</v>
      </c>
      <c r="B74" s="192">
        <v>0.9</v>
      </c>
      <c r="C74" s="192">
        <v>97430</v>
      </c>
      <c r="D74" s="192">
        <v>10630</v>
      </c>
      <c r="E74" s="192">
        <v>2</v>
      </c>
      <c r="F74" s="192">
        <v>66</v>
      </c>
      <c r="H74" s="192" t="s">
        <v>65</v>
      </c>
      <c r="I74" s="192" t="s">
        <v>726</v>
      </c>
      <c r="J74" s="192">
        <v>0.37000000476837158</v>
      </c>
      <c r="K74" s="192">
        <f>VLOOKUP($D74,'RBSA Weights'!$A$2:$C$1406,3,FALSE)</f>
        <v>4956.4930000000004</v>
      </c>
    </row>
    <row r="75" spans="1:11">
      <c r="A75" s="192" t="s">
        <v>329</v>
      </c>
      <c r="B75" s="192">
        <v>0.9</v>
      </c>
      <c r="C75" s="192">
        <v>724892</v>
      </c>
      <c r="D75" s="192">
        <v>23384</v>
      </c>
      <c r="E75" s="192">
        <v>2</v>
      </c>
      <c r="F75" s="192">
        <v>140</v>
      </c>
      <c r="G75" s="192">
        <v>50</v>
      </c>
      <c r="H75" s="192" t="s">
        <v>65</v>
      </c>
      <c r="I75" s="192" t="s">
        <v>65</v>
      </c>
      <c r="J75" s="192">
        <v>0.37000000476837158</v>
      </c>
      <c r="K75" s="192">
        <f>VLOOKUP($D75,'RBSA Weights'!$A$2:$C$1406,3,FALSE)</f>
        <v>8264.9449999999997</v>
      </c>
    </row>
    <row r="76" spans="1:11">
      <c r="A76" s="192" t="s">
        <v>329</v>
      </c>
      <c r="B76" s="192">
        <v>0.9</v>
      </c>
      <c r="C76" s="192">
        <v>691540</v>
      </c>
      <c r="D76" s="192">
        <v>13507</v>
      </c>
      <c r="E76" s="192">
        <v>1</v>
      </c>
      <c r="F76" s="192">
        <v>165</v>
      </c>
      <c r="G76" s="192">
        <v>19</v>
      </c>
      <c r="H76" s="192" t="s">
        <v>65</v>
      </c>
      <c r="I76" s="192" t="s">
        <v>727</v>
      </c>
      <c r="J76" s="192">
        <v>0.37000000476837158</v>
      </c>
      <c r="K76" s="192">
        <f>VLOOKUP($D76,'RBSA Weights'!$A$2:$C$1406,3,FALSE)</f>
        <v>4956.4930000000004</v>
      </c>
    </row>
    <row r="77" spans="1:11">
      <c r="A77" s="192" t="s">
        <v>329</v>
      </c>
      <c r="B77" s="192">
        <v>0.9</v>
      </c>
      <c r="C77" s="192">
        <v>217050</v>
      </c>
      <c r="D77" s="192">
        <v>12092</v>
      </c>
      <c r="E77" s="192">
        <v>1</v>
      </c>
      <c r="F77" s="192">
        <v>2000</v>
      </c>
      <c r="H77" s="192" t="s">
        <v>65</v>
      </c>
      <c r="I77" s="192" t="s">
        <v>728</v>
      </c>
      <c r="J77" s="192">
        <v>0.37000000476837158</v>
      </c>
      <c r="K77" s="192">
        <f>VLOOKUP($D77,'RBSA Weights'!$A$2:$C$1406,3,FALSE)</f>
        <v>4956.4930000000004</v>
      </c>
    </row>
    <row r="78" spans="1:11">
      <c r="A78" s="192" t="s">
        <v>329</v>
      </c>
      <c r="B78" s="192">
        <v>0.9</v>
      </c>
      <c r="C78" s="192">
        <v>175460</v>
      </c>
      <c r="D78" s="192">
        <v>23486</v>
      </c>
      <c r="E78" s="192">
        <v>1</v>
      </c>
      <c r="F78" s="192">
        <v>756</v>
      </c>
      <c r="G78" s="192">
        <v>50</v>
      </c>
      <c r="H78" s="192" t="s">
        <v>65</v>
      </c>
      <c r="I78" s="192" t="s">
        <v>65</v>
      </c>
      <c r="J78" s="192">
        <v>0.37000000476837158</v>
      </c>
      <c r="K78" s="192">
        <f>VLOOKUP($D78,'RBSA Weights'!$A$2:$C$1406,3,FALSE)</f>
        <v>1612.692</v>
      </c>
    </row>
    <row r="79" spans="1:11">
      <c r="A79" s="192" t="s">
        <v>329</v>
      </c>
      <c r="B79" s="192">
        <v>0.9</v>
      </c>
      <c r="C79" s="192">
        <v>691540</v>
      </c>
      <c r="D79" s="192">
        <v>13507</v>
      </c>
      <c r="E79" s="192">
        <v>4</v>
      </c>
      <c r="F79" s="192">
        <v>367</v>
      </c>
      <c r="G79" s="192">
        <v>45</v>
      </c>
      <c r="H79" s="192" t="s">
        <v>65</v>
      </c>
      <c r="I79" s="192" t="s">
        <v>729</v>
      </c>
      <c r="J79" s="192">
        <v>0.37000000476837158</v>
      </c>
      <c r="K79" s="192">
        <f>VLOOKUP($D79,'RBSA Weights'!$A$2:$C$1406,3,FALSE)</f>
        <v>4956.4930000000004</v>
      </c>
    </row>
    <row r="80" spans="1:11">
      <c r="A80" s="192" t="s">
        <v>329</v>
      </c>
      <c r="B80" s="192">
        <v>0.9</v>
      </c>
      <c r="C80" s="192">
        <v>97563</v>
      </c>
      <c r="D80" s="192">
        <v>22701</v>
      </c>
      <c r="E80" s="192">
        <v>1</v>
      </c>
      <c r="F80" s="192">
        <v>1104</v>
      </c>
      <c r="G80" s="192">
        <v>50</v>
      </c>
      <c r="H80" s="192" t="s">
        <v>65</v>
      </c>
      <c r="I80" s="192" t="s">
        <v>65</v>
      </c>
      <c r="J80" s="192">
        <v>0.37000000476837158</v>
      </c>
      <c r="K80" s="192">
        <f>VLOOKUP($D80,'RBSA Weights'!$A$2:$C$1406,3,FALSE)</f>
        <v>1925.059</v>
      </c>
    </row>
    <row r="81" spans="1:11">
      <c r="A81" s="192" t="s">
        <v>329</v>
      </c>
      <c r="B81" s="192">
        <v>0.9</v>
      </c>
      <c r="C81" s="192">
        <v>691540</v>
      </c>
      <c r="D81" s="192">
        <v>13507</v>
      </c>
      <c r="E81" s="192">
        <v>3</v>
      </c>
      <c r="F81" s="192">
        <v>105</v>
      </c>
      <c r="G81" s="192">
        <v>45</v>
      </c>
      <c r="H81" s="192" t="s">
        <v>65</v>
      </c>
      <c r="I81" s="192" t="s">
        <v>730</v>
      </c>
      <c r="J81" s="192">
        <v>0.37000000476837158</v>
      </c>
      <c r="K81" s="192">
        <f>VLOOKUP($D81,'RBSA Weights'!$A$2:$C$1406,3,FALSE)</f>
        <v>4956.4930000000004</v>
      </c>
    </row>
    <row r="82" spans="1:11">
      <c r="A82" s="192" t="s">
        <v>329</v>
      </c>
      <c r="B82" s="192">
        <v>0.9</v>
      </c>
      <c r="C82" s="192">
        <v>223513</v>
      </c>
      <c r="D82" s="192">
        <v>12341</v>
      </c>
      <c r="E82" s="192">
        <v>2</v>
      </c>
      <c r="F82" s="192">
        <v>48</v>
      </c>
      <c r="H82" s="192" t="s">
        <v>65</v>
      </c>
      <c r="I82" s="192" t="s">
        <v>723</v>
      </c>
      <c r="J82" s="192">
        <v>0.37000000476837158</v>
      </c>
      <c r="K82" s="192">
        <f>VLOOKUP($D82,'RBSA Weights'!$A$2:$C$1406,3,FALSE)</f>
        <v>1464.694</v>
      </c>
    </row>
    <row r="83" spans="1:11">
      <c r="A83" s="192" t="s">
        <v>329</v>
      </c>
      <c r="B83" s="192">
        <v>0.9</v>
      </c>
      <c r="C83" s="192">
        <v>691540</v>
      </c>
      <c r="D83" s="192">
        <v>13507</v>
      </c>
      <c r="E83" s="192">
        <v>2</v>
      </c>
      <c r="F83" s="192">
        <v>300</v>
      </c>
      <c r="G83" s="192">
        <v>19</v>
      </c>
      <c r="H83" s="192" t="s">
        <v>65</v>
      </c>
      <c r="I83" s="192" t="s">
        <v>65</v>
      </c>
      <c r="J83" s="192">
        <v>0.37000000476837158</v>
      </c>
      <c r="K83" s="192">
        <f>VLOOKUP($D83,'RBSA Weights'!$A$2:$C$1406,3,FALSE)</f>
        <v>4956.4930000000004</v>
      </c>
    </row>
    <row r="84" spans="1:11">
      <c r="A84" s="192" t="s">
        <v>329</v>
      </c>
      <c r="B84" s="192">
        <v>0.9</v>
      </c>
      <c r="C84" s="192">
        <v>39810</v>
      </c>
      <c r="D84" s="192">
        <v>10697</v>
      </c>
      <c r="E84" s="192">
        <v>1</v>
      </c>
      <c r="F84" s="192">
        <v>832</v>
      </c>
      <c r="G84" s="192">
        <v>50</v>
      </c>
      <c r="H84" s="192" t="s">
        <v>65</v>
      </c>
      <c r="I84" s="192" t="s">
        <v>65</v>
      </c>
      <c r="J84" s="192">
        <v>0.37000000476837158</v>
      </c>
      <c r="K84" s="192">
        <f>VLOOKUP($D84,'RBSA Weights'!$A$2:$C$1406,3,FALSE)</f>
        <v>1524.7619999999999</v>
      </c>
    </row>
    <row r="85" spans="1:11">
      <c r="A85" s="192" t="s">
        <v>329</v>
      </c>
      <c r="B85" s="192">
        <v>0.9</v>
      </c>
      <c r="C85" s="192">
        <v>170760</v>
      </c>
      <c r="D85" s="192">
        <v>22530</v>
      </c>
      <c r="E85" s="192">
        <v>1</v>
      </c>
      <c r="F85" s="192">
        <v>674</v>
      </c>
      <c r="G85" s="192">
        <v>50</v>
      </c>
      <c r="H85" s="192" t="s">
        <v>65</v>
      </c>
      <c r="I85" s="192" t="s">
        <v>65</v>
      </c>
      <c r="J85" s="192">
        <v>0.37000000476837158</v>
      </c>
      <c r="K85" s="192">
        <f>VLOOKUP($D85,'RBSA Weights'!$A$2:$C$1406,3,FALSE)</f>
        <v>1612.692</v>
      </c>
    </row>
    <row r="86" spans="1:11">
      <c r="A86" s="192" t="s">
        <v>329</v>
      </c>
      <c r="B86" s="192">
        <v>0.9</v>
      </c>
      <c r="C86" s="192">
        <v>216743</v>
      </c>
      <c r="D86" s="192">
        <v>10695</v>
      </c>
      <c r="E86" s="192">
        <v>1</v>
      </c>
      <c r="F86" s="192">
        <v>433</v>
      </c>
      <c r="G86" s="192">
        <v>39</v>
      </c>
      <c r="H86" s="192" t="s">
        <v>65</v>
      </c>
      <c r="I86" s="192" t="s">
        <v>731</v>
      </c>
      <c r="J86" s="192">
        <v>0.37000000476837158</v>
      </c>
      <c r="K86" s="192">
        <f>VLOOKUP($D86,'RBSA Weights'!$A$2:$C$1406,3,FALSE)</f>
        <v>1464.694</v>
      </c>
    </row>
    <row r="87" spans="1:11">
      <c r="A87" s="192" t="s">
        <v>329</v>
      </c>
      <c r="B87" s="192">
        <v>1</v>
      </c>
      <c r="C87" s="192">
        <v>107313</v>
      </c>
      <c r="D87" s="192">
        <v>22125</v>
      </c>
      <c r="E87" s="192">
        <v>1</v>
      </c>
      <c r="F87" s="192">
        <v>1400</v>
      </c>
      <c r="G87" s="192">
        <v>38</v>
      </c>
      <c r="H87" s="192" t="s">
        <v>702</v>
      </c>
      <c r="I87" s="192" t="s">
        <v>65</v>
      </c>
      <c r="J87" s="192">
        <v>0.37000000476837158</v>
      </c>
      <c r="K87" s="192">
        <f>VLOOKUP($D87,'RBSA Weights'!$A$2:$C$1406,3,FALSE)</f>
        <v>2079.9929999999999</v>
      </c>
    </row>
    <row r="88" spans="1:11">
      <c r="A88" s="192" t="s">
        <v>329</v>
      </c>
      <c r="B88" s="192">
        <v>1</v>
      </c>
      <c r="C88" s="192">
        <v>50031</v>
      </c>
      <c r="D88" s="192">
        <v>10848</v>
      </c>
      <c r="E88" s="192">
        <v>2</v>
      </c>
      <c r="F88" s="192">
        <v>195</v>
      </c>
      <c r="G88" s="192">
        <v>50</v>
      </c>
      <c r="H88" s="192" t="s">
        <v>704</v>
      </c>
      <c r="I88" s="192" t="s">
        <v>65</v>
      </c>
      <c r="J88" s="192">
        <v>0.37000000476837158</v>
      </c>
      <c r="K88" s="192">
        <f>VLOOKUP($D88,'RBSA Weights'!$A$2:$C$1406,3,FALSE)</f>
        <v>1524.7619999999999</v>
      </c>
    </row>
    <row r="89" spans="1:11">
      <c r="A89" s="192" t="s">
        <v>329</v>
      </c>
      <c r="B89" s="192">
        <v>1</v>
      </c>
      <c r="C89" s="192">
        <v>133328</v>
      </c>
      <c r="D89" s="192">
        <v>23188</v>
      </c>
      <c r="E89" s="192">
        <v>1</v>
      </c>
      <c r="F89" s="192">
        <v>1100</v>
      </c>
      <c r="G89" s="192">
        <v>30</v>
      </c>
      <c r="H89" s="192" t="s">
        <v>702</v>
      </c>
      <c r="I89" s="192" t="s">
        <v>65</v>
      </c>
      <c r="J89" s="192">
        <v>0.37000000476837158</v>
      </c>
      <c r="K89" s="192">
        <f>VLOOKUP($D89,'RBSA Weights'!$A$2:$C$1406,3,FALSE)</f>
        <v>2079.9929999999999</v>
      </c>
    </row>
    <row r="90" spans="1:11">
      <c r="A90" s="192" t="s">
        <v>329</v>
      </c>
      <c r="B90" s="192">
        <v>1</v>
      </c>
      <c r="C90" s="192">
        <v>52108</v>
      </c>
      <c r="D90" s="192">
        <v>23859</v>
      </c>
      <c r="E90" s="192">
        <v>1</v>
      </c>
      <c r="F90" s="192">
        <v>820</v>
      </c>
      <c r="G90" s="192">
        <v>0</v>
      </c>
      <c r="H90" s="192" t="s">
        <v>704</v>
      </c>
      <c r="I90" s="192" t="s">
        <v>65</v>
      </c>
      <c r="J90" s="192">
        <v>0.37000000476837158</v>
      </c>
      <c r="K90" s="192">
        <f>VLOOKUP($D90,'RBSA Weights'!$A$2:$C$1406,3,FALSE)</f>
        <v>2130.886</v>
      </c>
    </row>
    <row r="91" spans="1:11">
      <c r="A91" s="192" t="s">
        <v>329</v>
      </c>
      <c r="B91" s="192">
        <v>1</v>
      </c>
      <c r="C91" s="192">
        <v>52640</v>
      </c>
      <c r="D91" s="192">
        <v>23676</v>
      </c>
      <c r="E91" s="192">
        <v>1</v>
      </c>
      <c r="F91" s="192">
        <v>1350</v>
      </c>
      <c r="G91" s="192">
        <v>35</v>
      </c>
      <c r="H91" s="192" t="s">
        <v>704</v>
      </c>
      <c r="I91" s="192" t="s">
        <v>65</v>
      </c>
      <c r="J91" s="192">
        <v>0.37000000476837158</v>
      </c>
      <c r="K91" s="192">
        <f>VLOOKUP($D91,'RBSA Weights'!$A$2:$C$1406,3,FALSE)</f>
        <v>2079.9929999999999</v>
      </c>
    </row>
    <row r="92" spans="1:11">
      <c r="A92" s="192" t="s">
        <v>329</v>
      </c>
      <c r="B92" s="192">
        <v>1</v>
      </c>
      <c r="C92" s="192">
        <v>86186</v>
      </c>
      <c r="D92" s="192">
        <v>11377</v>
      </c>
      <c r="E92" s="192">
        <v>2</v>
      </c>
      <c r="F92" s="192">
        <v>364</v>
      </c>
      <c r="G92" s="192">
        <v>11</v>
      </c>
      <c r="H92" s="192" t="s">
        <v>704</v>
      </c>
      <c r="I92" s="192" t="s">
        <v>65</v>
      </c>
      <c r="J92" s="192">
        <v>0.37000000476837158</v>
      </c>
      <c r="K92" s="192">
        <f>VLOOKUP($D92,'RBSA Weights'!$A$2:$C$1406,3,FALSE)</f>
        <v>4956.4930000000004</v>
      </c>
    </row>
    <row r="93" spans="1:11">
      <c r="A93" s="192" t="s">
        <v>696</v>
      </c>
      <c r="B93" s="192">
        <v>0.25</v>
      </c>
      <c r="C93" s="192">
        <v>205939</v>
      </c>
      <c r="D93" s="192">
        <v>22181</v>
      </c>
      <c r="E93" s="192">
        <v>1</v>
      </c>
      <c r="F93" s="192">
        <v>698</v>
      </c>
      <c r="G93" s="192">
        <v>40</v>
      </c>
      <c r="H93" s="192" t="s">
        <v>702</v>
      </c>
      <c r="I93" s="192" t="s">
        <v>65</v>
      </c>
      <c r="J93" s="192">
        <v>0.33000001311302185</v>
      </c>
      <c r="K93" s="192">
        <f>VLOOKUP($D93,'RBSA Weights'!$A$2:$C$1406,3,FALSE)</f>
        <v>1192.4649999999999</v>
      </c>
    </row>
    <row r="94" spans="1:11">
      <c r="A94" s="192" t="s">
        <v>696</v>
      </c>
      <c r="B94" s="192">
        <v>0.25</v>
      </c>
      <c r="C94" s="192">
        <v>95493</v>
      </c>
      <c r="D94" s="192">
        <v>10408</v>
      </c>
      <c r="E94" s="192">
        <v>1</v>
      </c>
      <c r="F94" s="192">
        <v>1983</v>
      </c>
      <c r="G94" s="192">
        <v>35</v>
      </c>
      <c r="H94" s="192" t="s">
        <v>697</v>
      </c>
      <c r="I94" s="192" t="s">
        <v>65</v>
      </c>
      <c r="J94" s="192">
        <v>0.33000001311302185</v>
      </c>
      <c r="K94" s="192">
        <f>VLOOKUP($D94,'RBSA Weights'!$A$2:$C$1406,3,FALSE)</f>
        <v>4956.4930000000004</v>
      </c>
    </row>
    <row r="95" spans="1:11">
      <c r="A95" s="192" t="s">
        <v>696</v>
      </c>
      <c r="B95" s="192">
        <v>0.25</v>
      </c>
      <c r="C95" s="192">
        <v>27018</v>
      </c>
      <c r="D95" s="192">
        <v>10688</v>
      </c>
      <c r="E95" s="192">
        <v>1</v>
      </c>
      <c r="F95" s="192">
        <v>923</v>
      </c>
      <c r="G95" s="192">
        <v>3</v>
      </c>
      <c r="H95" s="192" t="s">
        <v>704</v>
      </c>
      <c r="I95" s="192" t="s">
        <v>65</v>
      </c>
      <c r="J95" s="192">
        <v>0.33000001311302185</v>
      </c>
      <c r="K95" s="192">
        <f>VLOOKUP($D95,'RBSA Weights'!$A$2:$C$1406,3,FALSE)</f>
        <v>1150.8789999999999</v>
      </c>
    </row>
    <row r="96" spans="1:11">
      <c r="A96" s="192" t="s">
        <v>696</v>
      </c>
      <c r="B96" s="192">
        <v>0.25</v>
      </c>
      <c r="C96" s="192">
        <v>109479</v>
      </c>
      <c r="D96" s="192">
        <v>11222</v>
      </c>
      <c r="E96" s="192">
        <v>1</v>
      </c>
      <c r="F96" s="192">
        <v>1570</v>
      </c>
      <c r="G96" s="192">
        <v>36</v>
      </c>
      <c r="H96" s="192" t="s">
        <v>702</v>
      </c>
      <c r="I96" s="192" t="s">
        <v>65</v>
      </c>
      <c r="J96" s="192">
        <v>0.33000001311302185</v>
      </c>
      <c r="K96" s="192">
        <f>VLOOKUP($D96,'RBSA Weights'!$A$2:$C$1406,3,FALSE)</f>
        <v>4956.4930000000004</v>
      </c>
    </row>
    <row r="97" spans="1:11">
      <c r="A97" s="192" t="s">
        <v>696</v>
      </c>
      <c r="B97" s="192">
        <v>0.25</v>
      </c>
      <c r="C97" s="192">
        <v>91266</v>
      </c>
      <c r="D97" s="192">
        <v>11084</v>
      </c>
      <c r="E97" s="192">
        <v>1</v>
      </c>
      <c r="F97" s="192">
        <v>1530</v>
      </c>
      <c r="G97" s="192">
        <v>28</v>
      </c>
      <c r="H97" s="192" t="s">
        <v>700</v>
      </c>
      <c r="I97" s="192" t="s">
        <v>65</v>
      </c>
      <c r="J97" s="192">
        <v>0.33000001311302185</v>
      </c>
      <c r="K97" s="192">
        <f>VLOOKUP($D97,'RBSA Weights'!$A$2:$C$1406,3,FALSE)</f>
        <v>2003.7159999999999</v>
      </c>
    </row>
    <row r="98" spans="1:11">
      <c r="A98" s="192" t="s">
        <v>696</v>
      </c>
      <c r="B98" s="192">
        <v>0.25</v>
      </c>
      <c r="C98" s="192">
        <v>175278</v>
      </c>
      <c r="D98" s="192">
        <v>20357</v>
      </c>
      <c r="E98" s="192">
        <v>1</v>
      </c>
      <c r="F98" s="192">
        <v>1090</v>
      </c>
      <c r="G98" s="192">
        <v>44</v>
      </c>
      <c r="H98" s="192" t="s">
        <v>699</v>
      </c>
      <c r="I98" s="192" t="s">
        <v>65</v>
      </c>
      <c r="J98" s="192">
        <v>0.33000001311302185</v>
      </c>
      <c r="K98" s="192">
        <f>VLOOKUP($D98,'RBSA Weights'!$A$2:$C$1406,3,FALSE)</f>
        <v>1612.692</v>
      </c>
    </row>
    <row r="99" spans="1:11">
      <c r="A99" s="192" t="s">
        <v>696</v>
      </c>
      <c r="B99" s="192">
        <v>0.25</v>
      </c>
      <c r="C99" s="192">
        <v>40849</v>
      </c>
      <c r="D99" s="192">
        <v>12358</v>
      </c>
      <c r="E99" s="192">
        <v>1</v>
      </c>
      <c r="F99" s="192">
        <v>1134</v>
      </c>
      <c r="G99" s="192">
        <v>40</v>
      </c>
      <c r="H99" s="192" t="s">
        <v>700</v>
      </c>
      <c r="I99" s="192" t="s">
        <v>65</v>
      </c>
      <c r="J99" s="192">
        <v>0.33000001311302185</v>
      </c>
      <c r="K99" s="192">
        <f>VLOOKUP($D99,'RBSA Weights'!$A$2:$C$1406,3,FALSE)</f>
        <v>1524.7619999999999</v>
      </c>
    </row>
    <row r="100" spans="1:11">
      <c r="A100" s="192" t="s">
        <v>696</v>
      </c>
      <c r="B100" s="192">
        <v>0.25</v>
      </c>
      <c r="C100" s="192">
        <v>153464</v>
      </c>
      <c r="D100" s="192">
        <v>12902</v>
      </c>
      <c r="E100" s="192">
        <v>1</v>
      </c>
      <c r="F100" s="192">
        <v>1064</v>
      </c>
      <c r="G100" s="192">
        <v>30</v>
      </c>
      <c r="H100" s="192" t="s">
        <v>702</v>
      </c>
      <c r="I100" s="192" t="s">
        <v>65</v>
      </c>
      <c r="J100" s="192">
        <v>0.33000001311302185</v>
      </c>
      <c r="K100" s="192">
        <f>VLOOKUP($D100,'RBSA Weights'!$A$2:$C$1406,3,FALSE)</f>
        <v>1524.7619999999999</v>
      </c>
    </row>
    <row r="101" spans="1:11">
      <c r="A101" s="192" t="s">
        <v>696</v>
      </c>
      <c r="B101" s="192">
        <v>0.5</v>
      </c>
      <c r="C101" s="192">
        <v>209595</v>
      </c>
      <c r="D101" s="192">
        <v>10268</v>
      </c>
      <c r="E101" s="192">
        <v>1</v>
      </c>
      <c r="F101" s="192">
        <v>1008</v>
      </c>
      <c r="G101" s="192">
        <v>30</v>
      </c>
      <c r="H101" s="192" t="s">
        <v>702</v>
      </c>
      <c r="I101" s="192" t="s">
        <v>65</v>
      </c>
      <c r="J101" s="192">
        <v>0.27000001072883606</v>
      </c>
      <c r="K101" s="192">
        <f>VLOOKUP($D101,'RBSA Weights'!$A$2:$C$1406,3,FALSE)</f>
        <v>1464.694</v>
      </c>
    </row>
    <row r="102" spans="1:11">
      <c r="A102" s="192" t="s">
        <v>696</v>
      </c>
      <c r="B102" s="192">
        <v>0.5</v>
      </c>
      <c r="C102" s="192">
        <v>70858</v>
      </c>
      <c r="D102" s="192">
        <v>11041</v>
      </c>
      <c r="E102" s="192">
        <v>1</v>
      </c>
      <c r="F102" s="192">
        <v>676</v>
      </c>
      <c r="G102" s="192">
        <v>40</v>
      </c>
      <c r="H102" s="192" t="s">
        <v>697</v>
      </c>
      <c r="I102" s="192" t="s">
        <v>732</v>
      </c>
      <c r="J102" s="192">
        <v>0.27000001072883606</v>
      </c>
      <c r="K102" s="192">
        <f>VLOOKUP($D102,'RBSA Weights'!$A$2:$C$1406,3,FALSE)</f>
        <v>1524.7619999999999</v>
      </c>
    </row>
    <row r="103" spans="1:11">
      <c r="A103" s="192" t="s">
        <v>696</v>
      </c>
      <c r="B103" s="192">
        <v>0.5</v>
      </c>
      <c r="C103" s="192">
        <v>41423</v>
      </c>
      <c r="D103" s="192">
        <v>10514</v>
      </c>
      <c r="E103" s="192">
        <v>1</v>
      </c>
      <c r="F103" s="192">
        <v>1053</v>
      </c>
      <c r="G103" s="192">
        <v>20</v>
      </c>
      <c r="H103" s="192" t="s">
        <v>699</v>
      </c>
      <c r="I103" s="192" t="s">
        <v>65</v>
      </c>
      <c r="J103" s="192">
        <v>0.27000001072883606</v>
      </c>
      <c r="K103" s="192">
        <f>VLOOKUP($D103,'RBSA Weights'!$A$2:$C$1406,3,FALSE)</f>
        <v>1524.7619999999999</v>
      </c>
    </row>
    <row r="104" spans="1:11">
      <c r="A104" s="192" t="s">
        <v>696</v>
      </c>
      <c r="B104" s="192">
        <v>0.5</v>
      </c>
      <c r="C104" s="192">
        <v>57520</v>
      </c>
      <c r="D104" s="192">
        <v>21291</v>
      </c>
      <c r="E104" s="192">
        <v>1</v>
      </c>
      <c r="F104" s="192">
        <v>1231</v>
      </c>
      <c r="G104" s="192">
        <v>30</v>
      </c>
      <c r="H104" s="192" t="s">
        <v>697</v>
      </c>
      <c r="I104" s="192" t="s">
        <v>65</v>
      </c>
      <c r="J104" s="192">
        <v>0.27000001072883606</v>
      </c>
      <c r="K104" s="192">
        <f>VLOOKUP($D104,'RBSA Weights'!$A$2:$C$1406,3,FALSE)</f>
        <v>2079.9929999999999</v>
      </c>
    </row>
    <row r="105" spans="1:11">
      <c r="A105" s="192" t="s">
        <v>696</v>
      </c>
      <c r="B105" s="192">
        <v>0.5</v>
      </c>
      <c r="C105" s="192">
        <v>201059</v>
      </c>
      <c r="D105" s="192">
        <v>10664</v>
      </c>
      <c r="E105" s="192">
        <v>1</v>
      </c>
      <c r="F105" s="192">
        <v>1115</v>
      </c>
      <c r="G105" s="192">
        <v>49</v>
      </c>
      <c r="H105" s="192" t="s">
        <v>702</v>
      </c>
      <c r="I105" s="192" t="s">
        <v>65</v>
      </c>
      <c r="J105" s="192">
        <v>0.27000001072883606</v>
      </c>
      <c r="K105" s="192">
        <f>VLOOKUP($D105,'RBSA Weights'!$A$2:$C$1406,3,FALSE)</f>
        <v>8264.9449999999997</v>
      </c>
    </row>
    <row r="106" spans="1:11">
      <c r="A106" s="192" t="s">
        <v>696</v>
      </c>
      <c r="B106" s="192">
        <v>0.5</v>
      </c>
      <c r="C106" s="192">
        <v>106527</v>
      </c>
      <c r="D106" s="192">
        <v>23400</v>
      </c>
      <c r="E106" s="192">
        <v>1</v>
      </c>
      <c r="F106" s="192">
        <v>752</v>
      </c>
      <c r="G106" s="192">
        <v>40</v>
      </c>
      <c r="H106" s="192" t="s">
        <v>700</v>
      </c>
      <c r="I106" s="192" t="s">
        <v>65</v>
      </c>
      <c r="J106" s="192">
        <v>0.27000001072883606</v>
      </c>
      <c r="K106" s="192">
        <f>VLOOKUP($D106,'RBSA Weights'!$A$2:$C$1406,3,FALSE)</f>
        <v>3785.7640000000001</v>
      </c>
    </row>
    <row r="107" spans="1:11">
      <c r="A107" s="192" t="s">
        <v>696</v>
      </c>
      <c r="B107" s="192">
        <v>0.5</v>
      </c>
      <c r="C107" s="192">
        <v>38322</v>
      </c>
      <c r="D107" s="192">
        <v>21376</v>
      </c>
      <c r="E107" s="192">
        <v>1</v>
      </c>
      <c r="F107" s="192">
        <v>1030</v>
      </c>
      <c r="G107" s="192">
        <v>40</v>
      </c>
      <c r="H107" s="192" t="s">
        <v>702</v>
      </c>
      <c r="I107" s="192" t="s">
        <v>65</v>
      </c>
      <c r="J107" s="192">
        <v>0.27000001072883606</v>
      </c>
      <c r="K107" s="192">
        <f>VLOOKUP($D107,'RBSA Weights'!$A$2:$C$1406,3,FALSE)</f>
        <v>3785.7640000000001</v>
      </c>
    </row>
    <row r="108" spans="1:11">
      <c r="A108" s="192" t="s">
        <v>696</v>
      </c>
      <c r="B108" s="192">
        <v>0.5</v>
      </c>
      <c r="C108" s="192">
        <v>141132</v>
      </c>
      <c r="D108" s="192">
        <v>12856</v>
      </c>
      <c r="E108" s="192">
        <v>1</v>
      </c>
      <c r="F108" s="192">
        <v>264</v>
      </c>
      <c r="H108" s="192" t="s">
        <v>700</v>
      </c>
      <c r="I108" s="192" t="s">
        <v>65</v>
      </c>
      <c r="J108" s="192">
        <v>0.27000001072883606</v>
      </c>
      <c r="K108" s="192">
        <f>VLOOKUP($D108,'RBSA Weights'!$A$2:$C$1406,3,FALSE)</f>
        <v>4956.4930000000004</v>
      </c>
    </row>
    <row r="109" spans="1:11">
      <c r="A109" s="192" t="s">
        <v>696</v>
      </c>
      <c r="B109" s="192">
        <v>0.5</v>
      </c>
      <c r="C109" s="192">
        <v>48385</v>
      </c>
      <c r="D109" s="192">
        <v>12504</v>
      </c>
      <c r="E109" s="192">
        <v>1</v>
      </c>
      <c r="F109" s="192">
        <v>1290</v>
      </c>
      <c r="G109" s="192">
        <v>38</v>
      </c>
      <c r="H109" s="192" t="s">
        <v>697</v>
      </c>
      <c r="I109" s="192" t="s">
        <v>65</v>
      </c>
      <c r="J109" s="192">
        <v>0.27000001072883606</v>
      </c>
      <c r="K109" s="192">
        <f>VLOOKUP($D109,'RBSA Weights'!$A$2:$C$1406,3,FALSE)</f>
        <v>1524.7619999999999</v>
      </c>
    </row>
    <row r="110" spans="1:11">
      <c r="A110" s="192" t="s">
        <v>696</v>
      </c>
      <c r="B110" s="192">
        <v>0.75</v>
      </c>
      <c r="C110" s="192">
        <v>124132</v>
      </c>
      <c r="D110" s="192">
        <v>10325</v>
      </c>
      <c r="E110" s="192">
        <v>1</v>
      </c>
      <c r="F110" s="192">
        <v>1360</v>
      </c>
      <c r="G110" s="192">
        <v>43</v>
      </c>
      <c r="H110" s="192" t="s">
        <v>700</v>
      </c>
      <c r="I110" s="192" t="s">
        <v>65</v>
      </c>
      <c r="J110" s="192">
        <v>0.19499999284744263</v>
      </c>
      <c r="K110" s="192">
        <f>VLOOKUP($D110,'RBSA Weights'!$A$2:$C$1406,3,FALSE)</f>
        <v>4956.4930000000004</v>
      </c>
    </row>
    <row r="111" spans="1:11">
      <c r="A111" s="192" t="s">
        <v>696</v>
      </c>
      <c r="B111" s="192">
        <v>0.75</v>
      </c>
      <c r="C111" s="192">
        <v>35610</v>
      </c>
      <c r="D111" s="192">
        <v>10840</v>
      </c>
      <c r="E111" s="192">
        <v>1</v>
      </c>
      <c r="F111" s="192">
        <v>1570</v>
      </c>
      <c r="G111" s="192">
        <v>38</v>
      </c>
      <c r="H111" s="192" t="s">
        <v>699</v>
      </c>
      <c r="I111" s="192" t="s">
        <v>65</v>
      </c>
      <c r="J111" s="192">
        <v>0.19499999284744263</v>
      </c>
      <c r="K111" s="192">
        <f>VLOOKUP($D111,'RBSA Weights'!$A$2:$C$1406,3,FALSE)</f>
        <v>1524.7619999999999</v>
      </c>
    </row>
    <row r="112" spans="1:11">
      <c r="A112" s="192" t="s">
        <v>696</v>
      </c>
      <c r="B112" s="192">
        <v>0.75</v>
      </c>
      <c r="C112" s="192">
        <v>60996</v>
      </c>
      <c r="D112" s="192">
        <v>20163</v>
      </c>
      <c r="E112" s="192">
        <v>1</v>
      </c>
      <c r="F112" s="192">
        <v>600</v>
      </c>
      <c r="G112" s="192">
        <v>5</v>
      </c>
      <c r="H112" s="192" t="s">
        <v>697</v>
      </c>
      <c r="I112" s="192" t="s">
        <v>65</v>
      </c>
      <c r="J112" s="192">
        <v>0.19499999284744263</v>
      </c>
      <c r="K112" s="192">
        <f>VLOOKUP($D112,'RBSA Weights'!$A$2:$C$1406,3,FALSE)</f>
        <v>2079.9929999999999</v>
      </c>
    </row>
    <row r="113" spans="1:11">
      <c r="A113" s="192" t="s">
        <v>696</v>
      </c>
      <c r="B113" s="192">
        <v>0.75</v>
      </c>
      <c r="C113" s="192">
        <v>159202</v>
      </c>
      <c r="D113" s="192">
        <v>11452</v>
      </c>
      <c r="E113" s="192">
        <v>1</v>
      </c>
      <c r="F113" s="192">
        <v>1800</v>
      </c>
      <c r="G113" s="192">
        <v>30</v>
      </c>
      <c r="H113" s="192" t="s">
        <v>697</v>
      </c>
      <c r="I113" s="192" t="s">
        <v>65</v>
      </c>
      <c r="J113" s="192">
        <v>0.19499999284744263</v>
      </c>
      <c r="K113" s="192">
        <f>VLOOKUP($D113,'RBSA Weights'!$A$2:$C$1406,3,FALSE)</f>
        <v>6932.7380000000003</v>
      </c>
    </row>
    <row r="114" spans="1:11">
      <c r="A114" s="192" t="s">
        <v>696</v>
      </c>
      <c r="B114" s="192">
        <v>0.75</v>
      </c>
      <c r="C114" s="192">
        <v>213866</v>
      </c>
      <c r="D114" s="192">
        <v>12675</v>
      </c>
      <c r="E114" s="192">
        <v>1</v>
      </c>
      <c r="F114" s="192">
        <v>920</v>
      </c>
      <c r="G114" s="192">
        <v>30</v>
      </c>
      <c r="H114" s="192" t="s">
        <v>702</v>
      </c>
      <c r="I114" s="192" t="s">
        <v>65</v>
      </c>
      <c r="J114" s="192">
        <v>0.19499999284744263</v>
      </c>
      <c r="K114" s="192">
        <f>VLOOKUP($D114,'RBSA Weights'!$A$2:$C$1406,3,FALSE)</f>
        <v>1464.694</v>
      </c>
    </row>
    <row r="115" spans="1:11">
      <c r="A115" s="192" t="s">
        <v>696</v>
      </c>
      <c r="B115" s="192">
        <v>0.75</v>
      </c>
      <c r="C115" s="192">
        <v>107743</v>
      </c>
      <c r="D115" s="192">
        <v>24696</v>
      </c>
      <c r="E115" s="192">
        <v>1</v>
      </c>
      <c r="F115" s="192">
        <v>1100</v>
      </c>
      <c r="G115" s="192">
        <v>30</v>
      </c>
      <c r="H115" s="192" t="s">
        <v>697</v>
      </c>
      <c r="I115" s="192" t="s">
        <v>65</v>
      </c>
      <c r="J115" s="192">
        <v>0.19499999284744263</v>
      </c>
      <c r="K115" s="192">
        <f>VLOOKUP($D115,'RBSA Weights'!$A$2:$C$1406,3,FALSE)</f>
        <v>2079.9929999999999</v>
      </c>
    </row>
    <row r="116" spans="1:11">
      <c r="A116" s="192" t="s">
        <v>696</v>
      </c>
      <c r="B116" s="192">
        <v>0.75</v>
      </c>
      <c r="C116" s="192">
        <v>115949</v>
      </c>
      <c r="D116" s="192">
        <v>13505</v>
      </c>
      <c r="E116" s="192">
        <v>1</v>
      </c>
      <c r="F116" s="192">
        <v>400</v>
      </c>
      <c r="G116" s="192">
        <v>25</v>
      </c>
      <c r="H116" s="192" t="s">
        <v>699</v>
      </c>
      <c r="I116" s="192" t="s">
        <v>65</v>
      </c>
      <c r="J116" s="192">
        <v>0.19499999284744263</v>
      </c>
      <c r="K116" s="192">
        <f>VLOOKUP($D116,'RBSA Weights'!$A$2:$C$1406,3,FALSE)</f>
        <v>1464.694</v>
      </c>
    </row>
    <row r="117" spans="1:11">
      <c r="A117" s="192" t="s">
        <v>696</v>
      </c>
      <c r="B117" s="192">
        <v>0.75</v>
      </c>
      <c r="C117" s="192">
        <v>65588</v>
      </c>
      <c r="D117" s="192">
        <v>11980</v>
      </c>
      <c r="E117" s="192">
        <v>3</v>
      </c>
      <c r="F117" s="192">
        <v>336</v>
      </c>
      <c r="G117" s="192">
        <v>38</v>
      </c>
      <c r="H117" s="192" t="s">
        <v>700</v>
      </c>
      <c r="I117" s="192" t="s">
        <v>65</v>
      </c>
      <c r="J117" s="192">
        <v>0.19499999284744263</v>
      </c>
      <c r="K117" s="192">
        <f>VLOOKUP($D117,'RBSA Weights'!$A$2:$C$1406,3,FALSE)</f>
        <v>1524.7619999999999</v>
      </c>
    </row>
    <row r="118" spans="1:11">
      <c r="A118" s="192" t="s">
        <v>696</v>
      </c>
      <c r="B118" s="192">
        <v>0.75</v>
      </c>
      <c r="C118" s="192">
        <v>41842</v>
      </c>
      <c r="D118" s="192">
        <v>12169</v>
      </c>
      <c r="E118" s="192">
        <v>1</v>
      </c>
      <c r="F118" s="192">
        <v>784</v>
      </c>
      <c r="G118" s="192">
        <v>43</v>
      </c>
      <c r="H118" s="192" t="s">
        <v>699</v>
      </c>
      <c r="I118" s="192" t="s">
        <v>733</v>
      </c>
      <c r="J118" s="192">
        <v>0.19499999284744263</v>
      </c>
      <c r="K118" s="192">
        <f>VLOOKUP($D118,'RBSA Weights'!$A$2:$C$1406,3,FALSE)</f>
        <v>1524.7619999999999</v>
      </c>
    </row>
    <row r="119" spans="1:11">
      <c r="A119" s="192" t="s">
        <v>696</v>
      </c>
      <c r="B119" s="192">
        <v>0.75</v>
      </c>
      <c r="C119" s="192">
        <v>57049</v>
      </c>
      <c r="D119" s="192">
        <v>11210</v>
      </c>
      <c r="E119" s="192">
        <v>1</v>
      </c>
      <c r="F119" s="192">
        <v>950</v>
      </c>
      <c r="G119" s="192">
        <v>38</v>
      </c>
      <c r="H119" s="192" t="s">
        <v>697</v>
      </c>
      <c r="I119" s="192" t="s">
        <v>65</v>
      </c>
      <c r="J119" s="192">
        <v>0.19499999284744263</v>
      </c>
      <c r="K119" s="192">
        <f>VLOOKUP($D119,'RBSA Weights'!$A$2:$C$1406,3,FALSE)</f>
        <v>1524.7619999999999</v>
      </c>
    </row>
    <row r="120" spans="1:11">
      <c r="A120" s="192" t="s">
        <v>696</v>
      </c>
      <c r="B120" s="192">
        <v>0.75</v>
      </c>
      <c r="C120" s="192">
        <v>132029</v>
      </c>
      <c r="D120" s="192">
        <v>11717</v>
      </c>
      <c r="E120" s="192">
        <v>1</v>
      </c>
      <c r="F120" s="192">
        <v>1450</v>
      </c>
      <c r="G120" s="192">
        <v>30</v>
      </c>
      <c r="H120" s="192" t="s">
        <v>697</v>
      </c>
      <c r="I120" s="192" t="s">
        <v>65</v>
      </c>
      <c r="J120" s="192">
        <v>0.19499999284744263</v>
      </c>
      <c r="K120" s="192">
        <f>VLOOKUP($D120,'RBSA Weights'!$A$2:$C$1406,3,FALSE)</f>
        <v>6932.7380000000003</v>
      </c>
    </row>
    <row r="121" spans="1:11">
      <c r="A121" s="192" t="s">
        <v>696</v>
      </c>
      <c r="B121" s="192">
        <v>0.75</v>
      </c>
      <c r="C121" s="192">
        <v>74116</v>
      </c>
      <c r="D121" s="192">
        <v>10211</v>
      </c>
      <c r="E121" s="192">
        <v>1</v>
      </c>
      <c r="F121" s="192">
        <v>959</v>
      </c>
      <c r="G121" s="192">
        <v>41</v>
      </c>
      <c r="H121" s="192" t="s">
        <v>697</v>
      </c>
      <c r="I121" s="192" t="s">
        <v>65</v>
      </c>
      <c r="J121" s="192">
        <v>0.19499999284744263</v>
      </c>
      <c r="K121" s="192">
        <f>VLOOKUP($D121,'RBSA Weights'!$A$2:$C$1406,3,FALSE)</f>
        <v>1524.7619999999999</v>
      </c>
    </row>
    <row r="122" spans="1:11">
      <c r="A122" s="192" t="s">
        <v>696</v>
      </c>
      <c r="B122" s="192">
        <v>0.75</v>
      </c>
      <c r="C122" s="192">
        <v>803441</v>
      </c>
      <c r="D122" s="192">
        <v>24349</v>
      </c>
      <c r="E122" s="192">
        <v>1</v>
      </c>
      <c r="F122" s="192">
        <v>1722</v>
      </c>
      <c r="G122" s="192">
        <v>44</v>
      </c>
      <c r="H122" s="192" t="s">
        <v>699</v>
      </c>
      <c r="I122" s="192" t="s">
        <v>65</v>
      </c>
      <c r="J122" s="192">
        <v>0.19499999284744263</v>
      </c>
      <c r="K122" s="192">
        <f>VLOOKUP($D122,'RBSA Weights'!$A$2:$C$1406,3,FALSE)</f>
        <v>8559.1039999999994</v>
      </c>
    </row>
    <row r="123" spans="1:11">
      <c r="A123" s="192" t="s">
        <v>696</v>
      </c>
      <c r="B123" s="192">
        <v>0.75</v>
      </c>
      <c r="C123" s="192">
        <v>31680</v>
      </c>
      <c r="D123" s="192">
        <v>13319</v>
      </c>
      <c r="E123" s="192">
        <v>1</v>
      </c>
      <c r="F123" s="192">
        <v>1600</v>
      </c>
      <c r="G123" s="192">
        <v>49</v>
      </c>
      <c r="H123" s="192" t="s">
        <v>705</v>
      </c>
      <c r="I123" s="192" t="s">
        <v>65</v>
      </c>
      <c r="J123" s="192">
        <v>0.19499999284744263</v>
      </c>
      <c r="K123" s="192">
        <f>VLOOKUP($D123,'RBSA Weights'!$A$2:$C$1406,3,FALSE)</f>
        <v>1150.8789999999999</v>
      </c>
    </row>
    <row r="124" spans="1:11">
      <c r="A124" s="192" t="s">
        <v>696</v>
      </c>
      <c r="B124" s="192">
        <v>0.75</v>
      </c>
      <c r="C124" s="192">
        <v>677187</v>
      </c>
      <c r="D124" s="192">
        <v>12274</v>
      </c>
      <c r="E124" s="192">
        <v>1</v>
      </c>
      <c r="F124" s="192">
        <v>1692</v>
      </c>
      <c r="G124" s="192">
        <v>30</v>
      </c>
      <c r="H124" s="192" t="s">
        <v>699</v>
      </c>
      <c r="I124" s="192" t="s">
        <v>65</v>
      </c>
      <c r="J124" s="192">
        <v>0.19499999284744263</v>
      </c>
      <c r="K124" s="192">
        <f>VLOOKUP($D124,'RBSA Weights'!$A$2:$C$1406,3,FALSE)</f>
        <v>4956.4930000000004</v>
      </c>
    </row>
    <row r="125" spans="1:11">
      <c r="A125" s="192" t="s">
        <v>696</v>
      </c>
      <c r="B125" s="192">
        <v>0.75</v>
      </c>
      <c r="C125" s="192">
        <v>193388</v>
      </c>
      <c r="D125" s="192">
        <v>13004</v>
      </c>
      <c r="E125" s="192">
        <v>1</v>
      </c>
      <c r="F125" s="192">
        <v>450</v>
      </c>
      <c r="G125" s="192">
        <v>35</v>
      </c>
      <c r="H125" s="192" t="s">
        <v>699</v>
      </c>
      <c r="I125" s="192" t="s">
        <v>65</v>
      </c>
      <c r="J125" s="192">
        <v>0.19499999284744263</v>
      </c>
      <c r="K125" s="192">
        <f>VLOOKUP($D125,'RBSA Weights'!$A$2:$C$1406,3,FALSE)</f>
        <v>1464.694</v>
      </c>
    </row>
    <row r="126" spans="1:11">
      <c r="A126" s="192" t="s">
        <v>696</v>
      </c>
      <c r="B126" s="192">
        <v>0.75</v>
      </c>
      <c r="C126" s="192">
        <v>177990</v>
      </c>
      <c r="D126" s="192">
        <v>12994</v>
      </c>
      <c r="E126" s="192">
        <v>1</v>
      </c>
      <c r="F126" s="192">
        <v>1504</v>
      </c>
      <c r="G126" s="192">
        <v>50</v>
      </c>
      <c r="H126" s="192" t="s">
        <v>704</v>
      </c>
      <c r="I126" s="192" t="s">
        <v>65</v>
      </c>
      <c r="J126" s="192">
        <v>0.19499999284744263</v>
      </c>
      <c r="K126" s="192">
        <f>VLOOKUP($D126,'RBSA Weights'!$A$2:$C$1406,3,FALSE)</f>
        <v>6932.7380000000003</v>
      </c>
    </row>
    <row r="127" spans="1:11">
      <c r="A127" s="192" t="s">
        <v>696</v>
      </c>
      <c r="B127" s="192">
        <v>0.75</v>
      </c>
      <c r="C127" s="192">
        <v>159497</v>
      </c>
      <c r="D127" s="192">
        <v>10579</v>
      </c>
      <c r="E127" s="192">
        <v>1</v>
      </c>
      <c r="F127" s="192">
        <v>1080</v>
      </c>
      <c r="G127" s="192">
        <v>35</v>
      </c>
      <c r="H127" s="192" t="s">
        <v>697</v>
      </c>
      <c r="I127" s="192" t="s">
        <v>65</v>
      </c>
      <c r="J127" s="192">
        <v>0.19499999284744263</v>
      </c>
      <c r="K127" s="192">
        <f>VLOOKUP($D127,'RBSA Weights'!$A$2:$C$1406,3,FALSE)</f>
        <v>6932.7380000000003</v>
      </c>
    </row>
    <row r="128" spans="1:11">
      <c r="A128" s="192" t="s">
        <v>696</v>
      </c>
      <c r="B128" s="192">
        <v>0.75</v>
      </c>
      <c r="C128" s="192">
        <v>117436</v>
      </c>
      <c r="D128" s="192">
        <v>10332</v>
      </c>
      <c r="E128" s="192">
        <v>1</v>
      </c>
      <c r="F128" s="192">
        <v>1433</v>
      </c>
      <c r="G128" s="192">
        <v>30</v>
      </c>
      <c r="H128" s="192" t="s">
        <v>700</v>
      </c>
      <c r="I128" s="192" t="s">
        <v>65</v>
      </c>
      <c r="J128" s="192">
        <v>0.19499999284744263</v>
      </c>
      <c r="K128" s="192">
        <f>VLOOKUP($D128,'RBSA Weights'!$A$2:$C$1406,3,FALSE)</f>
        <v>1464.694</v>
      </c>
    </row>
    <row r="129" spans="1:11">
      <c r="A129" s="192" t="s">
        <v>696</v>
      </c>
      <c r="B129" s="192">
        <v>0.75</v>
      </c>
      <c r="C129" s="192">
        <v>171083</v>
      </c>
      <c r="D129" s="192">
        <v>24572</v>
      </c>
      <c r="E129" s="192">
        <v>1</v>
      </c>
      <c r="F129" s="192">
        <v>850</v>
      </c>
      <c r="G129" s="192">
        <v>35</v>
      </c>
      <c r="H129" s="192" t="s">
        <v>697</v>
      </c>
      <c r="I129" s="192" t="s">
        <v>65</v>
      </c>
      <c r="J129" s="192">
        <v>0.19499999284744263</v>
      </c>
      <c r="K129" s="192">
        <f>VLOOKUP($D129,'RBSA Weights'!$A$2:$C$1406,3,FALSE)</f>
        <v>4360.1880000000001</v>
      </c>
    </row>
    <row r="130" spans="1:11">
      <c r="A130" s="192" t="s">
        <v>696</v>
      </c>
      <c r="B130" s="192">
        <v>0.75</v>
      </c>
      <c r="C130" s="192">
        <v>78421</v>
      </c>
      <c r="D130" s="192">
        <v>11302</v>
      </c>
      <c r="E130" s="192">
        <v>1</v>
      </c>
      <c r="F130" s="192">
        <v>525</v>
      </c>
      <c r="G130" s="192">
        <v>40</v>
      </c>
      <c r="H130" s="192" t="s">
        <v>702</v>
      </c>
      <c r="I130" s="192" t="s">
        <v>65</v>
      </c>
      <c r="J130" s="192">
        <v>0.19499999284744263</v>
      </c>
      <c r="K130" s="192">
        <f>VLOOKUP($D130,'RBSA Weights'!$A$2:$C$1406,3,FALSE)</f>
        <v>1524.7619999999999</v>
      </c>
    </row>
    <row r="131" spans="1:11">
      <c r="A131" s="192" t="s">
        <v>696</v>
      </c>
      <c r="B131" s="192">
        <v>0.75</v>
      </c>
      <c r="C131" s="192">
        <v>94891</v>
      </c>
      <c r="D131" s="192">
        <v>13643</v>
      </c>
      <c r="E131" s="192">
        <v>2</v>
      </c>
      <c r="F131" s="192">
        <v>220</v>
      </c>
      <c r="G131" s="192">
        <v>20</v>
      </c>
      <c r="H131" s="192" t="s">
        <v>704</v>
      </c>
      <c r="I131" s="192" t="s">
        <v>65</v>
      </c>
      <c r="J131" s="192">
        <v>0.19499999284744263</v>
      </c>
      <c r="K131" s="192">
        <f>VLOOKUP($D131,'RBSA Weights'!$A$2:$C$1406,3,FALSE)</f>
        <v>2003.7159999999999</v>
      </c>
    </row>
    <row r="132" spans="1:11">
      <c r="A132" s="192" t="s">
        <v>696</v>
      </c>
      <c r="B132" s="192">
        <v>0.75</v>
      </c>
      <c r="C132" s="192">
        <v>192685</v>
      </c>
      <c r="D132" s="192">
        <v>20016</v>
      </c>
      <c r="E132" s="192">
        <v>1</v>
      </c>
      <c r="F132" s="192">
        <v>780</v>
      </c>
      <c r="G132" s="192">
        <v>40</v>
      </c>
      <c r="H132" s="192" t="s">
        <v>699</v>
      </c>
      <c r="I132" s="192" t="s">
        <v>65</v>
      </c>
      <c r="J132" s="192">
        <v>0.19499999284744263</v>
      </c>
      <c r="K132" s="192">
        <f>VLOOKUP($D132,'RBSA Weights'!$A$2:$C$1406,3,FALSE)</f>
        <v>12271.31</v>
      </c>
    </row>
    <row r="133" spans="1:11">
      <c r="A133" s="192" t="s">
        <v>696</v>
      </c>
      <c r="B133" s="192">
        <v>0.75</v>
      </c>
      <c r="C133" s="192">
        <v>154929</v>
      </c>
      <c r="D133" s="192">
        <v>24153</v>
      </c>
      <c r="E133" s="192">
        <v>2</v>
      </c>
      <c r="F133" s="192">
        <v>364</v>
      </c>
      <c r="G133" s="192">
        <v>30</v>
      </c>
      <c r="H133" s="192" t="s">
        <v>697</v>
      </c>
      <c r="I133" s="192" t="s">
        <v>65</v>
      </c>
      <c r="J133" s="192">
        <v>0.19499999284744263</v>
      </c>
      <c r="K133" s="192">
        <f>VLOOKUP($D133,'RBSA Weights'!$A$2:$C$1406,3,FALSE)</f>
        <v>1144.6790000000001</v>
      </c>
    </row>
    <row r="134" spans="1:11">
      <c r="A134" s="192" t="s">
        <v>696</v>
      </c>
      <c r="B134" s="192">
        <v>0.75</v>
      </c>
      <c r="C134" s="192">
        <v>211379</v>
      </c>
      <c r="D134" s="192">
        <v>13420</v>
      </c>
      <c r="E134" s="192">
        <v>1</v>
      </c>
      <c r="F134" s="192">
        <v>1180</v>
      </c>
      <c r="G134" s="192">
        <v>30</v>
      </c>
      <c r="H134" s="192" t="s">
        <v>698</v>
      </c>
      <c r="I134" s="192" t="s">
        <v>65</v>
      </c>
      <c r="J134" s="192">
        <v>0.19499999284744263</v>
      </c>
      <c r="K134" s="192">
        <f>VLOOKUP($D134,'RBSA Weights'!$A$2:$C$1406,3,FALSE)</f>
        <v>4956.4930000000004</v>
      </c>
    </row>
    <row r="135" spans="1:11">
      <c r="A135" s="192" t="s">
        <v>696</v>
      </c>
      <c r="B135" s="192">
        <v>0.75</v>
      </c>
      <c r="C135" s="192">
        <v>823533</v>
      </c>
      <c r="D135" s="192">
        <v>11844</v>
      </c>
      <c r="E135" s="192">
        <v>1</v>
      </c>
      <c r="F135" s="192">
        <v>752</v>
      </c>
      <c r="G135" s="192">
        <v>40</v>
      </c>
      <c r="H135" s="192" t="s">
        <v>697</v>
      </c>
      <c r="I135" s="192" t="s">
        <v>65</v>
      </c>
      <c r="J135" s="192">
        <v>0.19499999284744263</v>
      </c>
      <c r="K135" s="192">
        <f>VLOOKUP($D135,'RBSA Weights'!$A$2:$C$1406,3,FALSE)</f>
        <v>4956.4930000000004</v>
      </c>
    </row>
    <row r="136" spans="1:11">
      <c r="A136" s="192" t="s">
        <v>696</v>
      </c>
      <c r="B136" s="192">
        <v>0.75</v>
      </c>
      <c r="C136" s="192">
        <v>802994</v>
      </c>
      <c r="D136" s="192">
        <v>12111</v>
      </c>
      <c r="E136" s="192">
        <v>1</v>
      </c>
      <c r="F136" s="192">
        <v>557</v>
      </c>
      <c r="G136" s="192">
        <v>43</v>
      </c>
      <c r="H136" s="192" t="s">
        <v>697</v>
      </c>
      <c r="I136" s="192" t="s">
        <v>65</v>
      </c>
      <c r="J136" s="192">
        <v>0.19499999284744263</v>
      </c>
      <c r="K136" s="192">
        <f>VLOOKUP($D136,'RBSA Weights'!$A$2:$C$1406,3,FALSE)</f>
        <v>1464.694</v>
      </c>
    </row>
    <row r="137" spans="1:11">
      <c r="A137" s="192" t="s">
        <v>696</v>
      </c>
      <c r="B137" s="192">
        <v>0.75</v>
      </c>
      <c r="C137" s="192">
        <v>37604</v>
      </c>
      <c r="D137" s="192">
        <v>11494</v>
      </c>
      <c r="E137" s="192">
        <v>1</v>
      </c>
      <c r="F137" s="192">
        <v>909</v>
      </c>
      <c r="G137" s="192">
        <v>30</v>
      </c>
      <c r="H137" s="192" t="s">
        <v>697</v>
      </c>
      <c r="I137" s="192" t="s">
        <v>65</v>
      </c>
      <c r="J137" s="192">
        <v>0.19499999284744263</v>
      </c>
      <c r="K137" s="192">
        <f>VLOOKUP($D137,'RBSA Weights'!$A$2:$C$1406,3,FALSE)</f>
        <v>1524.7619999999999</v>
      </c>
    </row>
    <row r="138" spans="1:11">
      <c r="A138" s="192" t="s">
        <v>696</v>
      </c>
      <c r="B138" s="192">
        <v>0.75</v>
      </c>
      <c r="C138" s="192">
        <v>83807</v>
      </c>
      <c r="D138" s="192">
        <v>11992</v>
      </c>
      <c r="E138" s="192">
        <v>1</v>
      </c>
      <c r="F138" s="192">
        <v>1068</v>
      </c>
      <c r="G138" s="192">
        <v>40</v>
      </c>
      <c r="H138" s="192" t="s">
        <v>699</v>
      </c>
      <c r="I138" s="192" t="s">
        <v>65</v>
      </c>
      <c r="J138" s="192">
        <v>0.19499999284744263</v>
      </c>
      <c r="K138" s="192">
        <f>VLOOKUP($D138,'RBSA Weights'!$A$2:$C$1406,3,FALSE)</f>
        <v>1524.7619999999999</v>
      </c>
    </row>
    <row r="139" spans="1:11">
      <c r="A139" s="192" t="s">
        <v>696</v>
      </c>
      <c r="B139" s="192">
        <v>0.9</v>
      </c>
      <c r="C139" s="192">
        <v>93289</v>
      </c>
      <c r="D139" s="192">
        <v>10292</v>
      </c>
      <c r="E139" s="192">
        <v>1</v>
      </c>
      <c r="F139" s="192">
        <v>1653</v>
      </c>
      <c r="G139" s="192">
        <v>30</v>
      </c>
      <c r="H139" s="192" t="s">
        <v>699</v>
      </c>
      <c r="I139" s="192" t="s">
        <v>65</v>
      </c>
      <c r="J139" s="192">
        <v>0.15000000596046448</v>
      </c>
      <c r="K139" s="192">
        <f>VLOOKUP($D139,'RBSA Weights'!$A$2:$C$1406,3,FALSE)</f>
        <v>4956.4930000000004</v>
      </c>
    </row>
    <row r="140" spans="1:11">
      <c r="A140" s="192" t="s">
        <v>696</v>
      </c>
      <c r="B140" s="192">
        <v>0.9</v>
      </c>
      <c r="C140" s="192">
        <v>121183</v>
      </c>
      <c r="D140" s="192">
        <v>20371</v>
      </c>
      <c r="E140" s="192">
        <v>1</v>
      </c>
      <c r="F140" s="192">
        <v>1329</v>
      </c>
      <c r="G140" s="192">
        <v>50</v>
      </c>
      <c r="H140" s="192" t="s">
        <v>697</v>
      </c>
      <c r="I140" s="192" t="s">
        <v>65</v>
      </c>
      <c r="J140" s="192">
        <v>0.15000000596046448</v>
      </c>
      <c r="K140" s="192">
        <f>VLOOKUP($D140,'RBSA Weights'!$A$2:$C$1406,3,FALSE)</f>
        <v>1925.059</v>
      </c>
    </row>
    <row r="141" spans="1:11">
      <c r="A141" s="192" t="s">
        <v>696</v>
      </c>
      <c r="B141" s="192">
        <v>0.9</v>
      </c>
      <c r="C141" s="192">
        <v>31009</v>
      </c>
      <c r="D141" s="192">
        <v>12022</v>
      </c>
      <c r="E141" s="192">
        <v>1</v>
      </c>
      <c r="F141" s="192">
        <v>975</v>
      </c>
      <c r="G141" s="192">
        <v>20</v>
      </c>
      <c r="H141" s="192" t="s">
        <v>698</v>
      </c>
      <c r="I141" s="192" t="s">
        <v>65</v>
      </c>
      <c r="J141" s="192">
        <v>0.15000000596046448</v>
      </c>
      <c r="K141" s="192">
        <f>VLOOKUP($D141,'RBSA Weights'!$A$2:$C$1406,3,FALSE)</f>
        <v>1524.7619999999999</v>
      </c>
    </row>
    <row r="142" spans="1:11">
      <c r="A142" s="192" t="s">
        <v>696</v>
      </c>
      <c r="B142" s="192">
        <v>0.9</v>
      </c>
      <c r="C142" s="192">
        <v>69775</v>
      </c>
      <c r="D142" s="192">
        <v>10265</v>
      </c>
      <c r="E142" s="192">
        <v>1</v>
      </c>
      <c r="F142" s="192">
        <v>1744</v>
      </c>
      <c r="G142" s="192">
        <v>38</v>
      </c>
      <c r="H142" s="192" t="s">
        <v>697</v>
      </c>
      <c r="I142" s="192" t="s">
        <v>734</v>
      </c>
      <c r="J142" s="192">
        <v>0.15000000596046448</v>
      </c>
      <c r="K142" s="192">
        <f>VLOOKUP($D142,'RBSA Weights'!$A$2:$C$1406,3,FALSE)</f>
        <v>2003.7159999999999</v>
      </c>
    </row>
    <row r="143" spans="1:11">
      <c r="A143" s="192" t="s">
        <v>696</v>
      </c>
      <c r="B143" s="192">
        <v>0.9</v>
      </c>
      <c r="C143" s="192">
        <v>80261</v>
      </c>
      <c r="D143" s="192">
        <v>24151</v>
      </c>
      <c r="E143" s="192">
        <v>1</v>
      </c>
      <c r="F143" s="192">
        <v>814</v>
      </c>
      <c r="G143" s="192">
        <v>15</v>
      </c>
      <c r="H143" s="192" t="s">
        <v>698</v>
      </c>
      <c r="I143" s="192" t="s">
        <v>65</v>
      </c>
      <c r="J143" s="192">
        <v>0.15000000596046448</v>
      </c>
      <c r="K143" s="192">
        <f>VLOOKUP($D143,'RBSA Weights'!$A$2:$C$1406,3,FALSE)</f>
        <v>1925.059</v>
      </c>
    </row>
    <row r="144" spans="1:11">
      <c r="A144" s="192" t="s">
        <v>696</v>
      </c>
      <c r="B144" s="192">
        <v>0.9</v>
      </c>
      <c r="C144" s="192">
        <v>102442</v>
      </c>
      <c r="D144" s="192">
        <v>12908</v>
      </c>
      <c r="E144" s="192">
        <v>1</v>
      </c>
      <c r="F144" s="192">
        <v>812</v>
      </c>
      <c r="G144" s="192">
        <v>28</v>
      </c>
      <c r="H144" s="192" t="s">
        <v>699</v>
      </c>
      <c r="I144" s="192" t="s">
        <v>65</v>
      </c>
      <c r="J144" s="192">
        <v>0.15000000596046448</v>
      </c>
      <c r="K144" s="192">
        <f>VLOOKUP($D144,'RBSA Weights'!$A$2:$C$1406,3,FALSE)</f>
        <v>1524.7619999999999</v>
      </c>
    </row>
    <row r="145" spans="1:11">
      <c r="A145" s="192" t="s">
        <v>696</v>
      </c>
      <c r="B145" s="192">
        <v>0.9</v>
      </c>
      <c r="C145" s="192">
        <v>144581</v>
      </c>
      <c r="D145" s="192">
        <v>20381</v>
      </c>
      <c r="E145" s="192">
        <v>1</v>
      </c>
      <c r="F145" s="192">
        <v>1085</v>
      </c>
      <c r="G145" s="192">
        <v>10</v>
      </c>
      <c r="H145" s="192" t="s">
        <v>65</v>
      </c>
      <c r="I145" s="192" t="s">
        <v>735</v>
      </c>
      <c r="J145" s="192">
        <v>0.15000000596046448</v>
      </c>
      <c r="K145" s="192">
        <f>VLOOKUP($D145,'RBSA Weights'!$A$2:$C$1406,3,FALSE)</f>
        <v>1192.4649999999999</v>
      </c>
    </row>
    <row r="146" spans="1:11">
      <c r="A146" s="192" t="s">
        <v>696</v>
      </c>
      <c r="B146" s="192">
        <v>0.9</v>
      </c>
      <c r="C146" s="192">
        <v>206099</v>
      </c>
      <c r="D146" s="192">
        <v>14210</v>
      </c>
      <c r="E146" s="192">
        <v>1</v>
      </c>
      <c r="F146" s="192">
        <v>865</v>
      </c>
      <c r="G146" s="192">
        <v>38</v>
      </c>
      <c r="H146" s="192" t="s">
        <v>702</v>
      </c>
      <c r="I146" s="192" t="s">
        <v>65</v>
      </c>
      <c r="J146" s="192">
        <v>0.15000000596046448</v>
      </c>
      <c r="K146" s="192">
        <f>VLOOKUP($D146,'RBSA Weights'!$A$2:$C$1406,3,FALSE)</f>
        <v>1464.694</v>
      </c>
    </row>
    <row r="147" spans="1:11">
      <c r="A147" s="192" t="s">
        <v>696</v>
      </c>
      <c r="B147" s="192">
        <v>0.9</v>
      </c>
      <c r="C147" s="192">
        <v>32984</v>
      </c>
      <c r="D147" s="192">
        <v>20458</v>
      </c>
      <c r="E147" s="192">
        <v>1</v>
      </c>
      <c r="F147" s="192">
        <v>923</v>
      </c>
      <c r="G147" s="192">
        <v>11</v>
      </c>
      <c r="H147" s="192" t="s">
        <v>700</v>
      </c>
      <c r="I147" s="192" t="s">
        <v>65</v>
      </c>
      <c r="J147" s="192">
        <v>0.15000000596046448</v>
      </c>
      <c r="K147" s="192">
        <f>VLOOKUP($D147,'RBSA Weights'!$A$2:$C$1406,3,FALSE)</f>
        <v>3785.7640000000001</v>
      </c>
    </row>
    <row r="148" spans="1:11">
      <c r="A148" s="192" t="s">
        <v>696</v>
      </c>
      <c r="B148" s="192">
        <v>0.9</v>
      </c>
      <c r="C148" s="192">
        <v>91686</v>
      </c>
      <c r="D148" s="192">
        <v>22232</v>
      </c>
      <c r="E148" s="192">
        <v>1</v>
      </c>
      <c r="F148" s="192">
        <v>1300</v>
      </c>
      <c r="G148" s="192">
        <v>49</v>
      </c>
      <c r="H148" s="192" t="s">
        <v>699</v>
      </c>
      <c r="I148" s="192" t="s">
        <v>65</v>
      </c>
      <c r="J148" s="192">
        <v>0.15000000596046448</v>
      </c>
      <c r="K148" s="192">
        <f>VLOOKUP($D148,'RBSA Weights'!$A$2:$C$1406,3,FALSE)</f>
        <v>1904.288</v>
      </c>
    </row>
    <row r="149" spans="1:11">
      <c r="A149" s="192" t="s">
        <v>696</v>
      </c>
      <c r="B149" s="192">
        <v>0.9</v>
      </c>
      <c r="C149" s="192">
        <v>213755</v>
      </c>
      <c r="D149" s="192">
        <v>12845</v>
      </c>
      <c r="E149" s="192">
        <v>1</v>
      </c>
      <c r="F149" s="192">
        <v>1200</v>
      </c>
      <c r="G149" s="192">
        <v>19</v>
      </c>
      <c r="H149" s="192" t="s">
        <v>698</v>
      </c>
      <c r="I149" s="192" t="s">
        <v>65</v>
      </c>
      <c r="J149" s="192">
        <v>0.15000000596046448</v>
      </c>
      <c r="K149" s="192">
        <f>VLOOKUP($D149,'RBSA Weights'!$A$2:$C$1406,3,FALSE)</f>
        <v>1464.694</v>
      </c>
    </row>
    <row r="150" spans="1:11">
      <c r="A150" s="192" t="s">
        <v>696</v>
      </c>
      <c r="B150" s="192">
        <v>0.9</v>
      </c>
      <c r="C150" s="192">
        <v>667106</v>
      </c>
      <c r="D150" s="192">
        <v>11636</v>
      </c>
      <c r="E150" s="192">
        <v>1</v>
      </c>
      <c r="F150" s="192">
        <v>215</v>
      </c>
      <c r="G150" s="192">
        <v>38</v>
      </c>
      <c r="H150" s="192" t="s">
        <v>704</v>
      </c>
      <c r="I150" s="192" t="s">
        <v>736</v>
      </c>
      <c r="J150" s="192">
        <v>0.15000000596046448</v>
      </c>
      <c r="K150" s="192">
        <f>VLOOKUP($D150,'RBSA Weights'!$A$2:$C$1406,3,FALSE)</f>
        <v>1464.694</v>
      </c>
    </row>
    <row r="151" spans="1:11">
      <c r="A151" s="192" t="s">
        <v>696</v>
      </c>
      <c r="B151" s="192">
        <v>0.9</v>
      </c>
      <c r="C151" s="192">
        <v>680181</v>
      </c>
      <c r="D151" s="192">
        <v>13222</v>
      </c>
      <c r="E151" s="192">
        <v>1</v>
      </c>
      <c r="F151" s="192">
        <v>1076</v>
      </c>
      <c r="G151" s="192">
        <v>40</v>
      </c>
      <c r="H151" s="192" t="s">
        <v>699</v>
      </c>
      <c r="I151" s="192" t="s">
        <v>65</v>
      </c>
      <c r="J151" s="192">
        <v>0.15000000596046448</v>
      </c>
      <c r="K151" s="192">
        <f>VLOOKUP($D151,'RBSA Weights'!$A$2:$C$1406,3,FALSE)</f>
        <v>2003.7159999999999</v>
      </c>
    </row>
    <row r="152" spans="1:11">
      <c r="A152" s="192" t="s">
        <v>696</v>
      </c>
      <c r="B152" s="192">
        <v>0.9</v>
      </c>
      <c r="C152" s="192">
        <v>196498</v>
      </c>
      <c r="D152" s="192">
        <v>11552</v>
      </c>
      <c r="E152" s="192">
        <v>1</v>
      </c>
      <c r="F152" s="192">
        <v>1380</v>
      </c>
      <c r="G152" s="192">
        <v>30</v>
      </c>
      <c r="H152" s="192" t="s">
        <v>699</v>
      </c>
      <c r="I152" s="192" t="s">
        <v>65</v>
      </c>
      <c r="J152" s="192">
        <v>0.15000000596046448</v>
      </c>
      <c r="K152" s="192">
        <f>VLOOKUP($D152,'RBSA Weights'!$A$2:$C$1406,3,FALSE)</f>
        <v>1464.694</v>
      </c>
    </row>
    <row r="153" spans="1:11">
      <c r="A153" s="192" t="s">
        <v>696</v>
      </c>
      <c r="B153" s="192">
        <v>0.9</v>
      </c>
      <c r="C153" s="192">
        <v>29839</v>
      </c>
      <c r="D153" s="192">
        <v>11006</v>
      </c>
      <c r="E153" s="192">
        <v>1</v>
      </c>
      <c r="F153" s="192">
        <v>842</v>
      </c>
      <c r="G153" s="192">
        <v>49</v>
      </c>
      <c r="H153" s="192" t="s">
        <v>699</v>
      </c>
      <c r="I153" s="192" t="s">
        <v>65</v>
      </c>
      <c r="J153" s="192">
        <v>0.15000000596046448</v>
      </c>
      <c r="K153" s="192">
        <f>VLOOKUP($D153,'RBSA Weights'!$A$2:$C$1406,3,FALSE)</f>
        <v>1524.7619999999999</v>
      </c>
    </row>
    <row r="154" spans="1:11">
      <c r="A154" s="192" t="s">
        <v>696</v>
      </c>
      <c r="B154" s="192">
        <v>0.9</v>
      </c>
      <c r="C154" s="192">
        <v>31911</v>
      </c>
      <c r="D154" s="192">
        <v>11734</v>
      </c>
      <c r="E154" s="192">
        <v>1</v>
      </c>
      <c r="F154" s="192">
        <v>1050</v>
      </c>
      <c r="G154" s="192">
        <v>48</v>
      </c>
      <c r="H154" s="192" t="s">
        <v>704</v>
      </c>
      <c r="I154" s="192" t="s">
        <v>65</v>
      </c>
      <c r="J154" s="192">
        <v>0.15000000596046448</v>
      </c>
      <c r="K154" s="192">
        <f>VLOOKUP($D154,'RBSA Weights'!$A$2:$C$1406,3,FALSE)</f>
        <v>1524.7619999999999</v>
      </c>
    </row>
    <row r="155" spans="1:11">
      <c r="A155" s="192" t="s">
        <v>696</v>
      </c>
      <c r="B155" s="192">
        <v>1</v>
      </c>
      <c r="C155" s="192">
        <v>198385</v>
      </c>
      <c r="D155" s="192">
        <v>13948</v>
      </c>
      <c r="E155" s="192">
        <v>2</v>
      </c>
      <c r="F155" s="192">
        <v>205</v>
      </c>
      <c r="G155" s="192">
        <v>40</v>
      </c>
      <c r="H155" s="192" t="s">
        <v>699</v>
      </c>
      <c r="I155" s="192" t="s">
        <v>65</v>
      </c>
      <c r="J155" s="192">
        <v>0.10999999940395355</v>
      </c>
      <c r="K155" s="192">
        <f>VLOOKUP($D155,'RBSA Weights'!$A$2:$C$1406,3,FALSE)</f>
        <v>1524.7619999999999</v>
      </c>
    </row>
    <row r="156" spans="1:11">
      <c r="A156" s="192" t="s">
        <v>696</v>
      </c>
      <c r="B156" s="192">
        <v>1</v>
      </c>
      <c r="C156" s="192">
        <v>27800</v>
      </c>
      <c r="D156" s="192">
        <v>14078</v>
      </c>
      <c r="E156" s="192">
        <v>1</v>
      </c>
      <c r="F156" s="192">
        <v>1820</v>
      </c>
      <c r="G156" s="192">
        <v>30</v>
      </c>
      <c r="H156" s="192" t="s">
        <v>697</v>
      </c>
      <c r="I156" s="192" t="s">
        <v>65</v>
      </c>
      <c r="J156" s="192">
        <v>0.10999999940395355</v>
      </c>
      <c r="K156" s="192">
        <f>VLOOKUP($D156,'RBSA Weights'!$A$2:$C$1406,3,FALSE)</f>
        <v>1150.8789999999999</v>
      </c>
    </row>
    <row r="157" spans="1:11">
      <c r="A157" s="192" t="s">
        <v>696</v>
      </c>
      <c r="B157" s="192">
        <v>1</v>
      </c>
      <c r="C157" s="192">
        <v>204713</v>
      </c>
      <c r="D157" s="192">
        <v>10911</v>
      </c>
      <c r="E157" s="192">
        <v>2</v>
      </c>
      <c r="F157" s="192">
        <v>310</v>
      </c>
      <c r="G157" s="192">
        <v>10</v>
      </c>
      <c r="H157" s="192" t="s">
        <v>697</v>
      </c>
      <c r="I157" s="192" t="s">
        <v>65</v>
      </c>
      <c r="J157" s="192">
        <v>0.10999999940395355</v>
      </c>
      <c r="K157" s="192">
        <f>VLOOKUP($D157,'RBSA Weights'!$A$2:$C$1406,3,FALSE)</f>
        <v>1464.694</v>
      </c>
    </row>
    <row r="158" spans="1:11">
      <c r="A158" s="192" t="s">
        <v>696</v>
      </c>
      <c r="B158" s="192">
        <v>1</v>
      </c>
      <c r="C158" s="192">
        <v>66996</v>
      </c>
      <c r="D158" s="192">
        <v>11910</v>
      </c>
      <c r="E158" s="192">
        <v>2</v>
      </c>
      <c r="F158" s="192">
        <v>256</v>
      </c>
      <c r="G158" s="192">
        <v>38</v>
      </c>
      <c r="H158" s="192" t="s">
        <v>702</v>
      </c>
      <c r="I158" s="192" t="s">
        <v>737</v>
      </c>
      <c r="J158" s="192">
        <v>0.10999999940395355</v>
      </c>
      <c r="K158" s="192">
        <f>VLOOKUP($D158,'RBSA Weights'!$A$2:$C$1406,3,FALSE)</f>
        <v>2003.7159999999999</v>
      </c>
    </row>
    <row r="159" spans="1:11">
      <c r="A159" s="192" t="s">
        <v>696</v>
      </c>
      <c r="B159" s="192">
        <v>1</v>
      </c>
      <c r="C159" s="192">
        <v>26786</v>
      </c>
      <c r="D159" s="192">
        <v>10176</v>
      </c>
      <c r="E159" s="192">
        <v>1</v>
      </c>
      <c r="F159" s="192">
        <v>1400</v>
      </c>
      <c r="G159" s="192">
        <v>30</v>
      </c>
      <c r="H159" s="192" t="s">
        <v>705</v>
      </c>
      <c r="I159" s="192" t="s">
        <v>65</v>
      </c>
      <c r="J159" s="192">
        <v>0.10999999940395355</v>
      </c>
      <c r="K159" s="192">
        <f>VLOOKUP($D159,'RBSA Weights'!$A$2:$C$1406,3,FALSE)</f>
        <v>1150.8789999999999</v>
      </c>
    </row>
    <row r="160" spans="1:11">
      <c r="A160" s="192" t="s">
        <v>696</v>
      </c>
      <c r="B160" s="192">
        <v>1</v>
      </c>
      <c r="C160" s="192">
        <v>43386</v>
      </c>
      <c r="D160" s="192">
        <v>21719</v>
      </c>
      <c r="E160" s="192">
        <v>1</v>
      </c>
      <c r="F160" s="192">
        <v>1232</v>
      </c>
      <c r="G160" s="192">
        <v>40</v>
      </c>
      <c r="H160" s="192" t="s">
        <v>704</v>
      </c>
      <c r="I160" s="192" t="s">
        <v>65</v>
      </c>
      <c r="J160" s="192">
        <v>0.10999999940395355</v>
      </c>
      <c r="K160" s="192">
        <f>VLOOKUP($D160,'RBSA Weights'!$A$2:$C$1406,3,FALSE)</f>
        <v>2130.886</v>
      </c>
    </row>
    <row r="161" spans="1:11">
      <c r="A161" s="192" t="s">
        <v>696</v>
      </c>
      <c r="B161" s="192">
        <v>1</v>
      </c>
      <c r="C161" s="192">
        <v>117982</v>
      </c>
      <c r="D161" s="192">
        <v>10537</v>
      </c>
      <c r="E161" s="192">
        <v>1</v>
      </c>
      <c r="F161" s="192">
        <v>2463</v>
      </c>
      <c r="G161" s="192">
        <v>41</v>
      </c>
      <c r="H161" s="192" t="s">
        <v>699</v>
      </c>
      <c r="I161" s="192" t="s">
        <v>65</v>
      </c>
      <c r="J161" s="192">
        <v>0.10999999940395355</v>
      </c>
      <c r="K161" s="192">
        <f>VLOOKUP($D161,'RBSA Weights'!$A$2:$C$1406,3,FALSE)</f>
        <v>4956.4930000000004</v>
      </c>
    </row>
    <row r="162" spans="1:11">
      <c r="A162" s="192" t="s">
        <v>696</v>
      </c>
      <c r="B162" s="192">
        <v>1</v>
      </c>
      <c r="C162" s="192">
        <v>103645</v>
      </c>
      <c r="D162" s="192">
        <v>24259</v>
      </c>
      <c r="E162" s="192">
        <v>1</v>
      </c>
      <c r="F162" s="192">
        <v>864</v>
      </c>
      <c r="G162" s="192">
        <v>42</v>
      </c>
      <c r="H162" s="192" t="s">
        <v>704</v>
      </c>
      <c r="I162" s="192" t="s">
        <v>65</v>
      </c>
      <c r="J162" s="192">
        <v>0.10999999940395355</v>
      </c>
      <c r="K162" s="192">
        <f>VLOOKUP($D162,'RBSA Weights'!$A$2:$C$1406,3,FALSE)</f>
        <v>1144.6790000000001</v>
      </c>
    </row>
    <row r="163" spans="1:11">
      <c r="A163" s="192" t="s">
        <v>696</v>
      </c>
      <c r="B163" s="192">
        <v>1</v>
      </c>
      <c r="C163" s="192">
        <v>103749</v>
      </c>
      <c r="D163" s="192">
        <v>10948</v>
      </c>
      <c r="E163" s="192">
        <v>1</v>
      </c>
      <c r="F163" s="192">
        <v>1124</v>
      </c>
      <c r="G163" s="192">
        <v>41</v>
      </c>
      <c r="H163" s="192" t="s">
        <v>699</v>
      </c>
      <c r="I163" s="192" t="s">
        <v>65</v>
      </c>
      <c r="J163" s="192">
        <v>0.10999999940395355</v>
      </c>
      <c r="K163" s="192">
        <f>VLOOKUP($D163,'RBSA Weights'!$A$2:$C$1406,3,FALSE)</f>
        <v>2003.7159999999999</v>
      </c>
    </row>
    <row r="164" spans="1:11">
      <c r="A164" s="192" t="s">
        <v>696</v>
      </c>
      <c r="B164" s="192">
        <v>1</v>
      </c>
      <c r="C164" s="192">
        <v>30767</v>
      </c>
      <c r="D164" s="192">
        <v>10557</v>
      </c>
      <c r="E164" s="192">
        <v>1</v>
      </c>
      <c r="F164" s="192">
        <v>617</v>
      </c>
      <c r="G164" s="192">
        <v>38</v>
      </c>
      <c r="H164" s="192" t="s">
        <v>704</v>
      </c>
      <c r="I164" s="192" t="s">
        <v>738</v>
      </c>
      <c r="J164" s="192">
        <v>0.10999999940395355</v>
      </c>
      <c r="K164" s="192">
        <f>VLOOKUP($D164,'RBSA Weights'!$A$2:$C$1406,3,FALSE)</f>
        <v>1524.7619999999999</v>
      </c>
    </row>
    <row r="165" spans="1:11">
      <c r="A165" s="192" t="s">
        <v>696</v>
      </c>
      <c r="B165" s="192">
        <v>1</v>
      </c>
      <c r="C165" s="192">
        <v>134765</v>
      </c>
      <c r="D165" s="192">
        <v>10230</v>
      </c>
      <c r="E165" s="192">
        <v>1</v>
      </c>
      <c r="F165" s="192">
        <v>564</v>
      </c>
      <c r="G165" s="192">
        <v>11</v>
      </c>
      <c r="H165" s="192" t="s">
        <v>697</v>
      </c>
      <c r="I165" s="192" t="s">
        <v>65</v>
      </c>
      <c r="J165" s="192">
        <v>0.10999999940395355</v>
      </c>
      <c r="K165" s="192">
        <f>VLOOKUP($D165,'RBSA Weights'!$A$2:$C$1406,3,FALSE)</f>
        <v>1464.694</v>
      </c>
    </row>
    <row r="166" spans="1:11">
      <c r="A166" s="192" t="s">
        <v>696</v>
      </c>
      <c r="B166" s="192">
        <v>1</v>
      </c>
      <c r="C166" s="192">
        <v>720816</v>
      </c>
      <c r="D166" s="192">
        <v>10082</v>
      </c>
      <c r="E166" s="192">
        <v>1</v>
      </c>
      <c r="F166" s="192">
        <v>408</v>
      </c>
      <c r="G166" s="192">
        <v>0</v>
      </c>
      <c r="H166" s="192" t="s">
        <v>700</v>
      </c>
      <c r="I166" s="192" t="s">
        <v>65</v>
      </c>
      <c r="J166" s="192">
        <v>0.10999999940395355</v>
      </c>
      <c r="K166" s="192">
        <f>VLOOKUP($D166,'RBSA Weights'!$A$2:$C$1406,3,FALSE)</f>
        <v>4956.4930000000004</v>
      </c>
    </row>
    <row r="167" spans="1:11">
      <c r="A167" s="192" t="s">
        <v>701</v>
      </c>
      <c r="B167" s="192">
        <v>0.25</v>
      </c>
      <c r="C167" s="192">
        <v>61273</v>
      </c>
      <c r="D167" s="192">
        <v>10823</v>
      </c>
      <c r="E167" s="192">
        <v>1</v>
      </c>
      <c r="F167" s="192">
        <v>1030</v>
      </c>
      <c r="G167" s="192">
        <v>39</v>
      </c>
      <c r="H167" s="192" t="s">
        <v>697</v>
      </c>
      <c r="I167" s="192" t="s">
        <v>65</v>
      </c>
      <c r="J167" s="192">
        <v>0.33000001311302185</v>
      </c>
      <c r="K167" s="192">
        <f>VLOOKUP($D167,'RBSA Weights'!$A$2:$C$1406,3,FALSE)</f>
        <v>1524.7619999999999</v>
      </c>
    </row>
    <row r="168" spans="1:11">
      <c r="A168" s="192" t="s">
        <v>701</v>
      </c>
      <c r="B168" s="192">
        <v>0.5</v>
      </c>
      <c r="C168" s="192">
        <v>123569</v>
      </c>
      <c r="D168" s="192">
        <v>21277</v>
      </c>
      <c r="E168" s="192">
        <v>1</v>
      </c>
      <c r="F168" s="192">
        <v>400</v>
      </c>
      <c r="G168" s="192">
        <v>50</v>
      </c>
      <c r="H168" s="192" t="s">
        <v>700</v>
      </c>
      <c r="I168" s="192" t="s">
        <v>65</v>
      </c>
      <c r="J168" s="192">
        <v>0.25</v>
      </c>
      <c r="K168" s="192">
        <f>VLOOKUP($D168,'RBSA Weights'!$A$2:$C$1406,3,FALSE)</f>
        <v>1612.692</v>
      </c>
    </row>
    <row r="169" spans="1:11">
      <c r="A169" s="192" t="s">
        <v>701</v>
      </c>
      <c r="B169" s="192">
        <v>0.5</v>
      </c>
      <c r="C169" s="192">
        <v>217928</v>
      </c>
      <c r="D169" s="192">
        <v>20941</v>
      </c>
      <c r="E169" s="192">
        <v>1</v>
      </c>
      <c r="F169" s="192">
        <v>1050</v>
      </c>
      <c r="G169" s="192">
        <v>19</v>
      </c>
      <c r="H169" s="192" t="s">
        <v>705</v>
      </c>
      <c r="I169" s="192" t="s">
        <v>739</v>
      </c>
      <c r="J169" s="192">
        <v>0.25</v>
      </c>
      <c r="K169" s="192">
        <f>VLOOKUP($D169,'RBSA Weights'!$A$2:$C$1406,3,FALSE)</f>
        <v>3785.7640000000001</v>
      </c>
    </row>
    <row r="170" spans="1:11">
      <c r="A170" s="192" t="s">
        <v>701</v>
      </c>
      <c r="B170" s="192">
        <v>0.5</v>
      </c>
      <c r="C170" s="192">
        <v>99347</v>
      </c>
      <c r="D170" s="192">
        <v>11933</v>
      </c>
      <c r="E170" s="192">
        <v>1</v>
      </c>
      <c r="F170" s="192">
        <v>1070</v>
      </c>
      <c r="G170" s="192">
        <v>19</v>
      </c>
      <c r="H170" s="192" t="s">
        <v>700</v>
      </c>
      <c r="I170" s="192" t="s">
        <v>65</v>
      </c>
      <c r="J170" s="192">
        <v>0.25</v>
      </c>
      <c r="K170" s="192">
        <f>VLOOKUP($D170,'RBSA Weights'!$A$2:$C$1406,3,FALSE)</f>
        <v>2003.7159999999999</v>
      </c>
    </row>
    <row r="171" spans="1:11">
      <c r="A171" s="192" t="s">
        <v>701</v>
      </c>
      <c r="B171" s="192">
        <v>0.5</v>
      </c>
      <c r="C171" s="192">
        <v>77092</v>
      </c>
      <c r="D171" s="192">
        <v>20595</v>
      </c>
      <c r="E171" s="192">
        <v>1</v>
      </c>
      <c r="F171" s="192">
        <v>1024</v>
      </c>
      <c r="G171" s="192">
        <v>0</v>
      </c>
      <c r="H171" s="192" t="s">
        <v>705</v>
      </c>
      <c r="I171" s="192" t="s">
        <v>65</v>
      </c>
      <c r="J171" s="192">
        <v>0.25</v>
      </c>
      <c r="K171" s="192">
        <f>VLOOKUP($D171,'RBSA Weights'!$A$2:$C$1406,3,FALSE)</f>
        <v>1192.4649999999999</v>
      </c>
    </row>
    <row r="172" spans="1:11">
      <c r="A172" s="192" t="s">
        <v>701</v>
      </c>
      <c r="B172" s="192">
        <v>0.5</v>
      </c>
      <c r="C172" s="192">
        <v>202110</v>
      </c>
      <c r="D172" s="192">
        <v>20606</v>
      </c>
      <c r="E172" s="192">
        <v>1</v>
      </c>
      <c r="F172" s="192">
        <v>1100</v>
      </c>
      <c r="G172" s="192">
        <v>35</v>
      </c>
      <c r="H172" s="192" t="s">
        <v>702</v>
      </c>
      <c r="I172" s="192" t="s">
        <v>65</v>
      </c>
      <c r="J172" s="192">
        <v>0.25</v>
      </c>
      <c r="K172" s="192">
        <f>VLOOKUP($D172,'RBSA Weights'!$A$2:$C$1406,3,FALSE)</f>
        <v>1612.692</v>
      </c>
    </row>
    <row r="173" spans="1:11">
      <c r="A173" s="192" t="s">
        <v>701</v>
      </c>
      <c r="B173" s="192">
        <v>0.75</v>
      </c>
      <c r="C173" s="192">
        <v>175100</v>
      </c>
      <c r="D173" s="192">
        <v>21091</v>
      </c>
      <c r="E173" s="192">
        <v>1</v>
      </c>
      <c r="F173" s="192">
        <v>1444</v>
      </c>
      <c r="G173" s="192">
        <v>50</v>
      </c>
      <c r="H173" s="192" t="s">
        <v>702</v>
      </c>
      <c r="I173" s="192" t="s">
        <v>65</v>
      </c>
      <c r="J173" s="192">
        <v>0.17000000178813934</v>
      </c>
      <c r="K173" s="192">
        <f>VLOOKUP($D173,'RBSA Weights'!$A$2:$C$1406,3,FALSE)</f>
        <v>8559.1039999999994</v>
      </c>
    </row>
    <row r="174" spans="1:11">
      <c r="A174" s="192" t="s">
        <v>701</v>
      </c>
      <c r="B174" s="192">
        <v>0.75</v>
      </c>
      <c r="C174" s="192">
        <v>76093</v>
      </c>
      <c r="D174" s="192">
        <v>22096</v>
      </c>
      <c r="E174" s="192">
        <v>1</v>
      </c>
      <c r="F174" s="192">
        <v>1824</v>
      </c>
      <c r="G174" s="192">
        <v>30</v>
      </c>
      <c r="H174" s="192" t="s">
        <v>705</v>
      </c>
      <c r="I174" s="192" t="s">
        <v>65</v>
      </c>
      <c r="J174" s="192">
        <v>0.17000000178813934</v>
      </c>
      <c r="K174" s="192">
        <f>VLOOKUP($D174,'RBSA Weights'!$A$2:$C$1406,3,FALSE)</f>
        <v>3785.7640000000001</v>
      </c>
    </row>
    <row r="175" spans="1:11">
      <c r="A175" s="192" t="s">
        <v>701</v>
      </c>
      <c r="B175" s="192">
        <v>0.75</v>
      </c>
      <c r="C175" s="192">
        <v>100598</v>
      </c>
      <c r="D175" s="192">
        <v>20265</v>
      </c>
      <c r="E175" s="192">
        <v>1</v>
      </c>
      <c r="F175" s="192">
        <v>1936</v>
      </c>
      <c r="G175" s="192">
        <v>36</v>
      </c>
      <c r="H175" s="192" t="s">
        <v>699</v>
      </c>
      <c r="I175" s="192" t="s">
        <v>65</v>
      </c>
      <c r="J175" s="192">
        <v>0.17000000178813934</v>
      </c>
      <c r="K175" s="192">
        <f>VLOOKUP($D175,'RBSA Weights'!$A$2:$C$1406,3,FALSE)</f>
        <v>1925.059</v>
      </c>
    </row>
    <row r="176" spans="1:11">
      <c r="A176" s="192" t="s">
        <v>701</v>
      </c>
      <c r="B176" s="192">
        <v>0.75</v>
      </c>
      <c r="C176" s="192">
        <v>155424</v>
      </c>
      <c r="D176" s="192">
        <v>13327</v>
      </c>
      <c r="E176" s="192">
        <v>1</v>
      </c>
      <c r="F176" s="192">
        <v>1496</v>
      </c>
      <c r="G176" s="192">
        <v>35</v>
      </c>
      <c r="H176" s="192" t="s">
        <v>699</v>
      </c>
      <c r="I176" s="192" t="s">
        <v>65</v>
      </c>
      <c r="J176" s="192">
        <v>0.17000000178813934</v>
      </c>
      <c r="K176" s="192">
        <f>VLOOKUP($D176,'RBSA Weights'!$A$2:$C$1406,3,FALSE)</f>
        <v>1464.694</v>
      </c>
    </row>
    <row r="177" spans="1:11">
      <c r="A177" s="192" t="s">
        <v>701</v>
      </c>
      <c r="B177" s="192">
        <v>0.75</v>
      </c>
      <c r="C177" s="192">
        <v>122285</v>
      </c>
      <c r="D177" s="192">
        <v>13462</v>
      </c>
      <c r="E177" s="192">
        <v>1</v>
      </c>
      <c r="F177" s="192">
        <v>1150</v>
      </c>
      <c r="G177" s="192">
        <v>19</v>
      </c>
      <c r="H177" s="192" t="s">
        <v>702</v>
      </c>
      <c r="I177" s="192" t="s">
        <v>65</v>
      </c>
      <c r="J177" s="192">
        <v>0.17000000178813934</v>
      </c>
      <c r="K177" s="192">
        <f>VLOOKUP($D177,'RBSA Weights'!$A$2:$C$1406,3,FALSE)</f>
        <v>1464.694</v>
      </c>
    </row>
    <row r="178" spans="1:11">
      <c r="A178" s="192" t="s">
        <v>701</v>
      </c>
      <c r="B178" s="192">
        <v>0.75</v>
      </c>
      <c r="C178" s="192">
        <v>65588</v>
      </c>
      <c r="D178" s="192">
        <v>11980</v>
      </c>
      <c r="E178" s="192">
        <v>2</v>
      </c>
      <c r="F178" s="192">
        <v>264</v>
      </c>
      <c r="G178" s="192">
        <v>25</v>
      </c>
      <c r="H178" s="192" t="s">
        <v>699</v>
      </c>
      <c r="I178" s="192" t="s">
        <v>65</v>
      </c>
      <c r="J178" s="192">
        <v>0.17000000178813934</v>
      </c>
      <c r="K178" s="192">
        <f>VLOOKUP($D178,'RBSA Weights'!$A$2:$C$1406,3,FALSE)</f>
        <v>1524.7619999999999</v>
      </c>
    </row>
    <row r="179" spans="1:11">
      <c r="A179" s="192" t="s">
        <v>701</v>
      </c>
      <c r="B179" s="192">
        <v>0.75</v>
      </c>
      <c r="C179" s="192">
        <v>46814</v>
      </c>
      <c r="D179" s="192">
        <v>23559</v>
      </c>
      <c r="E179" s="192">
        <v>1</v>
      </c>
      <c r="F179" s="192">
        <v>700</v>
      </c>
      <c r="G179" s="192">
        <v>25</v>
      </c>
      <c r="H179" s="192" t="s">
        <v>697</v>
      </c>
      <c r="I179" s="192" t="s">
        <v>65</v>
      </c>
      <c r="J179" s="192">
        <v>0.17000000178813934</v>
      </c>
      <c r="K179" s="192">
        <f>VLOOKUP($D179,'RBSA Weights'!$A$2:$C$1406,3,FALSE)</f>
        <v>8264.9449999999997</v>
      </c>
    </row>
    <row r="180" spans="1:11">
      <c r="A180" s="192" t="s">
        <v>701</v>
      </c>
      <c r="B180" s="192">
        <v>0.75</v>
      </c>
      <c r="C180" s="192">
        <v>191619</v>
      </c>
      <c r="D180" s="192">
        <v>12062</v>
      </c>
      <c r="E180" s="192">
        <v>1</v>
      </c>
      <c r="F180" s="192">
        <v>1417</v>
      </c>
      <c r="G180" s="192">
        <v>49</v>
      </c>
      <c r="H180" s="192" t="s">
        <v>705</v>
      </c>
      <c r="I180" s="192" t="s">
        <v>65</v>
      </c>
      <c r="J180" s="192">
        <v>0.17000000178813934</v>
      </c>
      <c r="K180" s="192">
        <f>VLOOKUP($D180,'RBSA Weights'!$A$2:$C$1406,3,FALSE)</f>
        <v>6932.7380000000003</v>
      </c>
    </row>
    <row r="181" spans="1:11">
      <c r="A181" s="192" t="s">
        <v>701</v>
      </c>
      <c r="B181" s="192">
        <v>0.75</v>
      </c>
      <c r="C181" s="192">
        <v>206856</v>
      </c>
      <c r="D181" s="192">
        <v>11958</v>
      </c>
      <c r="E181" s="192">
        <v>1</v>
      </c>
      <c r="F181" s="192">
        <v>1390</v>
      </c>
      <c r="G181" s="192">
        <v>49</v>
      </c>
      <c r="H181" s="192" t="s">
        <v>697</v>
      </c>
      <c r="I181" s="192" t="s">
        <v>65</v>
      </c>
      <c r="J181" s="192">
        <v>0.17000000178813934</v>
      </c>
      <c r="K181" s="192">
        <f>VLOOKUP($D181,'RBSA Weights'!$A$2:$C$1406,3,FALSE)</f>
        <v>6932.7380000000003</v>
      </c>
    </row>
    <row r="182" spans="1:11">
      <c r="A182" s="192" t="s">
        <v>701</v>
      </c>
      <c r="B182" s="192">
        <v>0.75</v>
      </c>
      <c r="C182" s="192">
        <v>47722</v>
      </c>
      <c r="D182" s="192">
        <v>12197</v>
      </c>
      <c r="E182" s="192">
        <v>1</v>
      </c>
      <c r="F182" s="192">
        <v>860</v>
      </c>
      <c r="G182" s="192">
        <v>0</v>
      </c>
      <c r="H182" s="192" t="s">
        <v>700</v>
      </c>
      <c r="I182" s="192" t="s">
        <v>65</v>
      </c>
      <c r="J182" s="192">
        <v>0.17000000178813934</v>
      </c>
      <c r="K182" s="192">
        <f>VLOOKUP($D182,'RBSA Weights'!$A$2:$C$1406,3,FALSE)</f>
        <v>1524.7619999999999</v>
      </c>
    </row>
    <row r="183" spans="1:11">
      <c r="A183" s="192" t="s">
        <v>701</v>
      </c>
      <c r="B183" s="192">
        <v>0.75</v>
      </c>
      <c r="C183" s="192">
        <v>239583</v>
      </c>
      <c r="D183" s="192">
        <v>10021</v>
      </c>
      <c r="E183" s="192">
        <v>1</v>
      </c>
      <c r="F183" s="192">
        <v>1646</v>
      </c>
      <c r="G183" s="192">
        <v>20</v>
      </c>
      <c r="H183" s="192" t="s">
        <v>702</v>
      </c>
      <c r="I183" s="192" t="s">
        <v>740</v>
      </c>
      <c r="J183" s="192">
        <v>0.17000000178813934</v>
      </c>
      <c r="K183" s="192">
        <f>VLOOKUP($D183,'RBSA Weights'!$A$2:$C$1406,3,FALSE)</f>
        <v>1150.8789999999999</v>
      </c>
    </row>
    <row r="184" spans="1:11">
      <c r="A184" s="192" t="s">
        <v>701</v>
      </c>
      <c r="B184" s="192">
        <v>0.75</v>
      </c>
      <c r="C184" s="192">
        <v>724892</v>
      </c>
      <c r="D184" s="192">
        <v>23384</v>
      </c>
      <c r="E184" s="192">
        <v>1</v>
      </c>
      <c r="F184" s="192">
        <v>727</v>
      </c>
      <c r="G184" s="192">
        <v>40</v>
      </c>
      <c r="H184" s="192" t="s">
        <v>697</v>
      </c>
      <c r="I184" s="192" t="s">
        <v>65</v>
      </c>
      <c r="J184" s="192">
        <v>0.17000000178813934</v>
      </c>
      <c r="K184" s="192">
        <f>VLOOKUP($D184,'RBSA Weights'!$A$2:$C$1406,3,FALSE)</f>
        <v>8264.9449999999997</v>
      </c>
    </row>
    <row r="185" spans="1:11">
      <c r="A185" s="192" t="s">
        <v>701</v>
      </c>
      <c r="B185" s="192">
        <v>0.75</v>
      </c>
      <c r="C185" s="192">
        <v>57177</v>
      </c>
      <c r="D185" s="192">
        <v>11339</v>
      </c>
      <c r="E185" s="192">
        <v>1</v>
      </c>
      <c r="F185" s="192">
        <v>1130</v>
      </c>
      <c r="G185" s="192">
        <v>22</v>
      </c>
      <c r="H185" s="192" t="s">
        <v>700</v>
      </c>
      <c r="I185" s="192" t="s">
        <v>65</v>
      </c>
      <c r="J185" s="192">
        <v>0.17000000178813934</v>
      </c>
      <c r="K185" s="192">
        <f>VLOOKUP($D185,'RBSA Weights'!$A$2:$C$1406,3,FALSE)</f>
        <v>1524.7619999999999</v>
      </c>
    </row>
    <row r="186" spans="1:11">
      <c r="A186" s="192" t="s">
        <v>701</v>
      </c>
      <c r="B186" s="192">
        <v>0.75</v>
      </c>
      <c r="C186" s="192">
        <v>153709</v>
      </c>
      <c r="D186" s="192">
        <v>22663</v>
      </c>
      <c r="E186" s="192">
        <v>1</v>
      </c>
      <c r="F186" s="192">
        <v>1111</v>
      </c>
      <c r="G186" s="192">
        <v>39</v>
      </c>
      <c r="H186" s="192" t="s">
        <v>699</v>
      </c>
      <c r="I186" s="192" t="s">
        <v>65</v>
      </c>
      <c r="J186" s="192">
        <v>0.17000000178813934</v>
      </c>
      <c r="K186" s="192">
        <f>VLOOKUP($D186,'RBSA Weights'!$A$2:$C$1406,3,FALSE)</f>
        <v>1904.288</v>
      </c>
    </row>
    <row r="187" spans="1:11">
      <c r="A187" s="192" t="s">
        <v>701</v>
      </c>
      <c r="B187" s="192">
        <v>0.75</v>
      </c>
      <c r="C187" s="192">
        <v>136117</v>
      </c>
      <c r="D187" s="192">
        <v>21979</v>
      </c>
      <c r="E187" s="192">
        <v>1</v>
      </c>
      <c r="F187" s="192">
        <v>2275</v>
      </c>
      <c r="G187" s="192">
        <v>35</v>
      </c>
      <c r="H187" s="192" t="s">
        <v>700</v>
      </c>
      <c r="I187" s="192" t="s">
        <v>65</v>
      </c>
      <c r="J187" s="192">
        <v>0.17000000178813934</v>
      </c>
      <c r="K187" s="192">
        <f>VLOOKUP($D187,'RBSA Weights'!$A$2:$C$1406,3,FALSE)</f>
        <v>1612.692</v>
      </c>
    </row>
    <row r="188" spans="1:11">
      <c r="A188" s="192" t="s">
        <v>701</v>
      </c>
      <c r="B188" s="192">
        <v>0.75</v>
      </c>
      <c r="C188" s="192">
        <v>79848</v>
      </c>
      <c r="D188" s="192">
        <v>23763</v>
      </c>
      <c r="E188" s="192">
        <v>1</v>
      </c>
      <c r="F188" s="192">
        <v>2267</v>
      </c>
      <c r="G188" s="192">
        <v>30</v>
      </c>
      <c r="H188" s="192" t="s">
        <v>700</v>
      </c>
      <c r="I188" s="192" t="s">
        <v>65</v>
      </c>
      <c r="J188" s="192">
        <v>0.17000000178813934</v>
      </c>
      <c r="K188" s="192">
        <f>VLOOKUP($D188,'RBSA Weights'!$A$2:$C$1406,3,FALSE)</f>
        <v>2079.9929999999999</v>
      </c>
    </row>
    <row r="189" spans="1:11">
      <c r="A189" s="192" t="s">
        <v>701</v>
      </c>
      <c r="B189" s="192">
        <v>0.75</v>
      </c>
      <c r="C189" s="192">
        <v>100226</v>
      </c>
      <c r="D189" s="192">
        <v>20783</v>
      </c>
      <c r="E189" s="192">
        <v>1</v>
      </c>
      <c r="F189" s="192">
        <v>1380</v>
      </c>
      <c r="G189" s="192">
        <v>31</v>
      </c>
      <c r="H189" s="192" t="s">
        <v>702</v>
      </c>
      <c r="I189" s="192" t="s">
        <v>65</v>
      </c>
      <c r="J189" s="192">
        <v>0.17000000178813934</v>
      </c>
      <c r="K189" s="192">
        <f>VLOOKUP($D189,'RBSA Weights'!$A$2:$C$1406,3,FALSE)</f>
        <v>1144.6790000000001</v>
      </c>
    </row>
    <row r="190" spans="1:11">
      <c r="A190" s="192" t="s">
        <v>701</v>
      </c>
      <c r="B190" s="192">
        <v>0.75</v>
      </c>
      <c r="C190" s="192">
        <v>123952</v>
      </c>
      <c r="D190" s="192">
        <v>24522</v>
      </c>
      <c r="E190" s="192">
        <v>1</v>
      </c>
      <c r="F190" s="192">
        <v>1685</v>
      </c>
      <c r="G190" s="192">
        <v>40</v>
      </c>
      <c r="H190" s="192" t="s">
        <v>700</v>
      </c>
      <c r="I190" s="192" t="s">
        <v>65</v>
      </c>
      <c r="J190" s="192">
        <v>0.17000000178813934</v>
      </c>
      <c r="K190" s="192">
        <f>VLOOKUP($D190,'RBSA Weights'!$A$2:$C$1406,3,FALSE)</f>
        <v>2079.9929999999999</v>
      </c>
    </row>
    <row r="191" spans="1:11">
      <c r="A191" s="192" t="s">
        <v>701</v>
      </c>
      <c r="B191" s="192">
        <v>0.75</v>
      </c>
      <c r="C191" s="192">
        <v>148515</v>
      </c>
      <c r="D191" s="192">
        <v>20809</v>
      </c>
      <c r="E191" s="192">
        <v>1</v>
      </c>
      <c r="F191" s="192">
        <v>1200</v>
      </c>
      <c r="G191" s="192">
        <v>30</v>
      </c>
      <c r="H191" s="192" t="s">
        <v>702</v>
      </c>
      <c r="I191" s="192" t="s">
        <v>65</v>
      </c>
      <c r="J191" s="192">
        <v>0.17000000178813934</v>
      </c>
      <c r="K191" s="192">
        <f>VLOOKUP($D191,'RBSA Weights'!$A$2:$C$1406,3,FALSE)</f>
        <v>1192.4649999999999</v>
      </c>
    </row>
    <row r="192" spans="1:11">
      <c r="A192" s="192" t="s">
        <v>701</v>
      </c>
      <c r="B192" s="192">
        <v>0.75</v>
      </c>
      <c r="C192" s="192">
        <v>137212</v>
      </c>
      <c r="D192" s="192">
        <v>11880</v>
      </c>
      <c r="E192" s="192">
        <v>1</v>
      </c>
      <c r="F192" s="192">
        <v>918</v>
      </c>
      <c r="G192" s="192">
        <v>25</v>
      </c>
      <c r="H192" s="192" t="s">
        <v>700</v>
      </c>
      <c r="I192" s="192" t="s">
        <v>65</v>
      </c>
      <c r="J192" s="192">
        <v>0.17000000178813934</v>
      </c>
      <c r="K192" s="192">
        <f>VLOOKUP($D192,'RBSA Weights'!$A$2:$C$1406,3,FALSE)</f>
        <v>2003.7159999999999</v>
      </c>
    </row>
    <row r="193" spans="1:11">
      <c r="A193" s="192" t="s">
        <v>701</v>
      </c>
      <c r="B193" s="192">
        <v>0.75</v>
      </c>
      <c r="C193" s="192">
        <v>113629</v>
      </c>
      <c r="D193" s="192">
        <v>14122</v>
      </c>
      <c r="E193" s="192">
        <v>1</v>
      </c>
      <c r="F193" s="192">
        <v>1768</v>
      </c>
      <c r="G193" s="192">
        <v>30</v>
      </c>
      <c r="H193" s="192" t="s">
        <v>702</v>
      </c>
      <c r="I193" s="192" t="s">
        <v>65</v>
      </c>
      <c r="J193" s="192">
        <v>0.17000000178813934</v>
      </c>
      <c r="K193" s="192">
        <f>VLOOKUP($D193,'RBSA Weights'!$A$2:$C$1406,3,FALSE)</f>
        <v>1464.694</v>
      </c>
    </row>
    <row r="194" spans="1:11">
      <c r="A194" s="192" t="s">
        <v>701</v>
      </c>
      <c r="B194" s="192">
        <v>0.75</v>
      </c>
      <c r="C194" s="192">
        <v>81839</v>
      </c>
      <c r="D194" s="192">
        <v>20244</v>
      </c>
      <c r="E194" s="192">
        <v>1</v>
      </c>
      <c r="F194" s="192">
        <v>1300</v>
      </c>
      <c r="G194" s="192">
        <v>25</v>
      </c>
      <c r="H194" s="192" t="s">
        <v>699</v>
      </c>
      <c r="I194" s="192" t="s">
        <v>65</v>
      </c>
      <c r="J194" s="192">
        <v>0.17000000178813934</v>
      </c>
      <c r="K194" s="192">
        <f>VLOOKUP($D194,'RBSA Weights'!$A$2:$C$1406,3,FALSE)</f>
        <v>2079.9929999999999</v>
      </c>
    </row>
    <row r="195" spans="1:11">
      <c r="A195" s="192" t="s">
        <v>701</v>
      </c>
      <c r="B195" s="192">
        <v>0.75</v>
      </c>
      <c r="C195" s="192">
        <v>72196</v>
      </c>
      <c r="D195" s="192">
        <v>20007</v>
      </c>
      <c r="E195" s="192">
        <v>1</v>
      </c>
      <c r="F195" s="192">
        <v>1344</v>
      </c>
      <c r="G195" s="192">
        <v>25</v>
      </c>
      <c r="H195" s="192" t="s">
        <v>700</v>
      </c>
      <c r="I195" s="192" t="s">
        <v>65</v>
      </c>
      <c r="J195" s="192">
        <v>0.17000000178813934</v>
      </c>
      <c r="K195" s="192">
        <f>VLOOKUP($D195,'RBSA Weights'!$A$2:$C$1406,3,FALSE)</f>
        <v>2079.9929999999999</v>
      </c>
    </row>
    <row r="196" spans="1:11">
      <c r="A196" s="192" t="s">
        <v>701</v>
      </c>
      <c r="B196" s="192">
        <v>0.75</v>
      </c>
      <c r="C196" s="192">
        <v>143572</v>
      </c>
      <c r="D196" s="192">
        <v>20042</v>
      </c>
      <c r="E196" s="192">
        <v>1</v>
      </c>
      <c r="F196" s="192">
        <v>1375</v>
      </c>
      <c r="G196" s="192">
        <v>35</v>
      </c>
      <c r="H196" s="192" t="s">
        <v>700</v>
      </c>
      <c r="I196" s="192" t="s">
        <v>65</v>
      </c>
      <c r="J196" s="192">
        <v>0.17000000178813934</v>
      </c>
      <c r="K196" s="192">
        <f>VLOOKUP($D196,'RBSA Weights'!$A$2:$C$1406,3,FALSE)</f>
        <v>2130.886</v>
      </c>
    </row>
    <row r="197" spans="1:11">
      <c r="A197" s="192" t="s">
        <v>701</v>
      </c>
      <c r="B197" s="192">
        <v>0.75</v>
      </c>
      <c r="C197" s="192">
        <v>99114</v>
      </c>
      <c r="D197" s="192">
        <v>23840</v>
      </c>
      <c r="E197" s="192">
        <v>1</v>
      </c>
      <c r="F197" s="192">
        <v>1296</v>
      </c>
      <c r="G197" s="192">
        <v>38</v>
      </c>
      <c r="H197" s="192" t="s">
        <v>700</v>
      </c>
      <c r="I197" s="192" t="s">
        <v>65</v>
      </c>
      <c r="J197" s="192">
        <v>0.17000000178813934</v>
      </c>
      <c r="K197" s="192">
        <f>VLOOKUP($D197,'RBSA Weights'!$A$2:$C$1406,3,FALSE)</f>
        <v>1144.6790000000001</v>
      </c>
    </row>
    <row r="198" spans="1:11">
      <c r="A198" s="192" t="s">
        <v>701</v>
      </c>
      <c r="B198" s="192">
        <v>0.9</v>
      </c>
      <c r="C198" s="192">
        <v>216097</v>
      </c>
      <c r="D198" s="192">
        <v>10649</v>
      </c>
      <c r="E198" s="192">
        <v>1</v>
      </c>
      <c r="F198" s="192">
        <v>1228</v>
      </c>
      <c r="G198" s="192">
        <v>39</v>
      </c>
      <c r="H198" s="192" t="s">
        <v>699</v>
      </c>
      <c r="I198" s="192" t="s">
        <v>65</v>
      </c>
      <c r="J198" s="192">
        <v>0.10999999940395355</v>
      </c>
      <c r="K198" s="192">
        <f>VLOOKUP($D198,'RBSA Weights'!$A$2:$C$1406,3,FALSE)</f>
        <v>6932.7380000000003</v>
      </c>
    </row>
    <row r="199" spans="1:11">
      <c r="A199" s="192" t="s">
        <v>701</v>
      </c>
      <c r="B199" s="192">
        <v>0.9</v>
      </c>
      <c r="C199" s="192">
        <v>194496</v>
      </c>
      <c r="D199" s="192">
        <v>23300</v>
      </c>
      <c r="E199" s="192">
        <v>1</v>
      </c>
      <c r="F199" s="192">
        <v>1339</v>
      </c>
      <c r="G199" s="192">
        <v>35</v>
      </c>
      <c r="H199" s="192" t="s">
        <v>699</v>
      </c>
      <c r="I199" s="192" t="s">
        <v>65</v>
      </c>
      <c r="J199" s="192">
        <v>0.10999999940395355</v>
      </c>
      <c r="K199" s="192">
        <f>VLOOKUP($D199,'RBSA Weights'!$A$2:$C$1406,3,FALSE)</f>
        <v>1925.059</v>
      </c>
    </row>
    <row r="200" spans="1:11">
      <c r="A200" s="192" t="s">
        <v>701</v>
      </c>
      <c r="B200" s="192">
        <v>0.9</v>
      </c>
      <c r="C200" s="192">
        <v>38124</v>
      </c>
      <c r="D200" s="192">
        <v>11802</v>
      </c>
      <c r="E200" s="192">
        <v>1</v>
      </c>
      <c r="F200" s="192">
        <v>170</v>
      </c>
      <c r="G200" s="192">
        <v>45</v>
      </c>
      <c r="H200" s="192" t="s">
        <v>700</v>
      </c>
      <c r="I200" s="192" t="s">
        <v>65</v>
      </c>
      <c r="J200" s="192">
        <v>0.10999999940395355</v>
      </c>
      <c r="K200" s="192">
        <f>VLOOKUP($D200,'RBSA Weights'!$A$2:$C$1406,3,FALSE)</f>
        <v>1188.027</v>
      </c>
    </row>
    <row r="201" spans="1:11">
      <c r="A201" s="192" t="s">
        <v>701</v>
      </c>
      <c r="B201" s="192">
        <v>0.9</v>
      </c>
      <c r="C201" s="192">
        <v>139444</v>
      </c>
      <c r="D201" s="192">
        <v>10083</v>
      </c>
      <c r="E201" s="192">
        <v>1</v>
      </c>
      <c r="F201" s="192">
        <v>1474</v>
      </c>
      <c r="H201" s="192" t="s">
        <v>65</v>
      </c>
      <c r="I201" s="192" t="s">
        <v>65</v>
      </c>
      <c r="J201" s="192">
        <v>0.10999999940395355</v>
      </c>
      <c r="K201" s="192">
        <f>VLOOKUP($D201,'RBSA Weights'!$A$2:$C$1406,3,FALSE)</f>
        <v>4956.4930000000004</v>
      </c>
    </row>
    <row r="202" spans="1:11">
      <c r="A202" s="192" t="s">
        <v>701</v>
      </c>
      <c r="B202" s="192">
        <v>0.9</v>
      </c>
      <c r="C202" s="192">
        <v>121839</v>
      </c>
      <c r="D202" s="192">
        <v>23539</v>
      </c>
      <c r="E202" s="192">
        <v>1</v>
      </c>
      <c r="F202" s="192">
        <v>1218</v>
      </c>
      <c r="G202" s="192">
        <v>35</v>
      </c>
      <c r="H202" s="192" t="s">
        <v>700</v>
      </c>
      <c r="I202" s="192" t="s">
        <v>65</v>
      </c>
      <c r="J202" s="192">
        <v>0.10999999940395355</v>
      </c>
      <c r="K202" s="192">
        <f>VLOOKUP($D202,'RBSA Weights'!$A$2:$C$1406,3,FALSE)</f>
        <v>2079.9929999999999</v>
      </c>
    </row>
    <row r="203" spans="1:11">
      <c r="A203" s="192" t="s">
        <v>701</v>
      </c>
      <c r="B203" s="192">
        <v>0.9</v>
      </c>
      <c r="C203" s="192">
        <v>109137</v>
      </c>
      <c r="D203" s="192">
        <v>10636</v>
      </c>
      <c r="E203" s="192">
        <v>1</v>
      </c>
      <c r="F203" s="192">
        <v>1140</v>
      </c>
      <c r="G203" s="192">
        <v>5</v>
      </c>
      <c r="H203" s="192" t="s">
        <v>700</v>
      </c>
      <c r="I203" s="192" t="s">
        <v>65</v>
      </c>
      <c r="J203" s="192">
        <v>0.10999999940395355</v>
      </c>
      <c r="K203" s="192">
        <f>VLOOKUP($D203,'RBSA Weights'!$A$2:$C$1406,3,FALSE)</f>
        <v>4956.4930000000004</v>
      </c>
    </row>
    <row r="204" spans="1:11">
      <c r="A204" s="192" t="s">
        <v>701</v>
      </c>
      <c r="B204" s="192">
        <v>0.9</v>
      </c>
      <c r="C204" s="192">
        <v>237819</v>
      </c>
      <c r="D204" s="192">
        <v>11775</v>
      </c>
      <c r="E204" s="192">
        <v>1</v>
      </c>
      <c r="F204" s="192">
        <v>1318</v>
      </c>
      <c r="H204" s="192" t="s">
        <v>700</v>
      </c>
      <c r="I204" s="192" t="s">
        <v>741</v>
      </c>
      <c r="J204" s="192">
        <v>0.10999999940395355</v>
      </c>
      <c r="K204" s="192">
        <f>VLOOKUP($D204,'RBSA Weights'!$A$2:$C$1406,3,FALSE)</f>
        <v>4956.4930000000004</v>
      </c>
    </row>
    <row r="205" spans="1:11">
      <c r="A205" s="192" t="s">
        <v>701</v>
      </c>
      <c r="B205" s="192">
        <v>0.9</v>
      </c>
      <c r="C205" s="192">
        <v>207506</v>
      </c>
      <c r="D205" s="192">
        <v>13046</v>
      </c>
      <c r="E205" s="192">
        <v>1</v>
      </c>
      <c r="F205" s="192">
        <v>877</v>
      </c>
      <c r="G205" s="192">
        <v>25</v>
      </c>
      <c r="H205" s="192" t="s">
        <v>702</v>
      </c>
      <c r="I205" s="192" t="s">
        <v>65</v>
      </c>
      <c r="J205" s="192">
        <v>0.10999999940395355</v>
      </c>
      <c r="K205" s="192">
        <f>VLOOKUP($D205,'RBSA Weights'!$A$2:$C$1406,3,FALSE)</f>
        <v>1464.694</v>
      </c>
    </row>
    <row r="206" spans="1:11">
      <c r="A206" s="192" t="s">
        <v>701</v>
      </c>
      <c r="B206" s="192">
        <v>0.9</v>
      </c>
      <c r="C206" s="192">
        <v>56920</v>
      </c>
      <c r="D206" s="192">
        <v>11978</v>
      </c>
      <c r="E206" s="192">
        <v>1</v>
      </c>
      <c r="F206" s="192">
        <v>1620</v>
      </c>
      <c r="G206" s="192">
        <v>50</v>
      </c>
      <c r="H206" s="192" t="s">
        <v>700</v>
      </c>
      <c r="I206" s="192" t="s">
        <v>65</v>
      </c>
      <c r="J206" s="192">
        <v>0.10999999940395355</v>
      </c>
      <c r="K206" s="192">
        <f>VLOOKUP($D206,'RBSA Weights'!$A$2:$C$1406,3,FALSE)</f>
        <v>1188.027</v>
      </c>
    </row>
    <row r="207" spans="1:11">
      <c r="A207" s="192" t="s">
        <v>701</v>
      </c>
      <c r="B207" s="192">
        <v>0.9</v>
      </c>
      <c r="C207" s="192">
        <v>55001</v>
      </c>
      <c r="D207" s="192">
        <v>22509</v>
      </c>
      <c r="E207" s="192">
        <v>1</v>
      </c>
      <c r="F207" s="192">
        <v>992</v>
      </c>
      <c r="G207" s="192">
        <v>10</v>
      </c>
      <c r="H207" s="192" t="s">
        <v>700</v>
      </c>
      <c r="I207" s="192" t="s">
        <v>65</v>
      </c>
      <c r="J207" s="192">
        <v>0.10999999940395355</v>
      </c>
      <c r="K207" s="192">
        <f>VLOOKUP($D207,'RBSA Weights'!$A$2:$C$1406,3,FALSE)</f>
        <v>2079.9929999999999</v>
      </c>
    </row>
    <row r="208" spans="1:11">
      <c r="A208" s="192" t="s">
        <v>701</v>
      </c>
      <c r="B208" s="192">
        <v>0.9</v>
      </c>
      <c r="C208" s="192">
        <v>62554</v>
      </c>
      <c r="D208" s="192">
        <v>10990</v>
      </c>
      <c r="E208" s="192">
        <v>1</v>
      </c>
      <c r="F208" s="192">
        <v>2000</v>
      </c>
      <c r="G208" s="192">
        <v>20</v>
      </c>
      <c r="H208" s="192" t="s">
        <v>700</v>
      </c>
      <c r="I208" s="192" t="s">
        <v>65</v>
      </c>
      <c r="J208" s="192">
        <v>0.10999999940395355</v>
      </c>
      <c r="K208" s="192">
        <f>VLOOKUP($D208,'RBSA Weights'!$A$2:$C$1406,3,FALSE)</f>
        <v>2003.7159999999999</v>
      </c>
    </row>
    <row r="209" spans="1:11">
      <c r="A209" s="192" t="s">
        <v>701</v>
      </c>
      <c r="B209" s="192">
        <v>0.9</v>
      </c>
      <c r="C209" s="192">
        <v>238610</v>
      </c>
      <c r="D209" s="192">
        <v>13785</v>
      </c>
      <c r="E209" s="192">
        <v>1</v>
      </c>
      <c r="F209" s="192">
        <v>1333</v>
      </c>
      <c r="H209" s="192" t="s">
        <v>65</v>
      </c>
      <c r="I209" s="192" t="s">
        <v>742</v>
      </c>
      <c r="J209" s="192">
        <v>0.10999999940395355</v>
      </c>
      <c r="K209" s="192">
        <f>VLOOKUP($D209,'RBSA Weights'!$A$2:$C$1406,3,FALSE)</f>
        <v>1150.8789999999999</v>
      </c>
    </row>
    <row r="210" spans="1:11">
      <c r="A210" s="192" t="s">
        <v>701</v>
      </c>
      <c r="B210" s="192">
        <v>0.9</v>
      </c>
      <c r="C210" s="192">
        <v>159813</v>
      </c>
      <c r="D210" s="192">
        <v>11051</v>
      </c>
      <c r="E210" s="192">
        <v>1</v>
      </c>
      <c r="F210" s="192">
        <v>1010</v>
      </c>
      <c r="G210" s="192">
        <v>30</v>
      </c>
      <c r="H210" s="192" t="s">
        <v>700</v>
      </c>
      <c r="I210" s="192" t="s">
        <v>65</v>
      </c>
      <c r="J210" s="192">
        <v>0.10999999940395355</v>
      </c>
      <c r="K210" s="192">
        <f>VLOOKUP($D210,'RBSA Weights'!$A$2:$C$1406,3,FALSE)</f>
        <v>6932.7380000000003</v>
      </c>
    </row>
    <row r="211" spans="1:11">
      <c r="A211" s="192" t="s">
        <v>701</v>
      </c>
      <c r="B211" s="192">
        <v>0.9</v>
      </c>
      <c r="C211" s="192">
        <v>49417</v>
      </c>
      <c r="D211" s="192">
        <v>21203</v>
      </c>
      <c r="E211" s="192">
        <v>1</v>
      </c>
      <c r="F211" s="192">
        <v>824</v>
      </c>
      <c r="G211" s="192">
        <v>15</v>
      </c>
      <c r="H211" s="192" t="s">
        <v>700</v>
      </c>
      <c r="I211" s="192" t="s">
        <v>65</v>
      </c>
      <c r="J211" s="192">
        <v>0.10999999940395355</v>
      </c>
      <c r="K211" s="192">
        <f>VLOOKUP($D211,'RBSA Weights'!$A$2:$C$1406,3,FALSE)</f>
        <v>2079.9929999999999</v>
      </c>
    </row>
    <row r="212" spans="1:11">
      <c r="A212" s="192" t="s">
        <v>701</v>
      </c>
      <c r="B212" s="192">
        <v>0.9</v>
      </c>
      <c r="C212" s="192">
        <v>191411</v>
      </c>
      <c r="D212" s="192">
        <v>10334</v>
      </c>
      <c r="E212" s="192">
        <v>1</v>
      </c>
      <c r="F212" s="192">
        <v>1878</v>
      </c>
      <c r="G212" s="192">
        <v>20</v>
      </c>
      <c r="H212" s="192" t="s">
        <v>702</v>
      </c>
      <c r="I212" s="192" t="s">
        <v>65</v>
      </c>
      <c r="J212" s="192">
        <v>0.10999999940395355</v>
      </c>
      <c r="K212" s="192">
        <f>VLOOKUP($D212,'RBSA Weights'!$A$2:$C$1406,3,FALSE)</f>
        <v>4956.4930000000004</v>
      </c>
    </row>
    <row r="213" spans="1:11">
      <c r="A213" s="192" t="s">
        <v>701</v>
      </c>
      <c r="B213" s="192">
        <v>0.9</v>
      </c>
      <c r="C213" s="192">
        <v>28102</v>
      </c>
      <c r="D213" s="192">
        <v>10551</v>
      </c>
      <c r="E213" s="192">
        <v>1</v>
      </c>
      <c r="F213" s="192">
        <v>933</v>
      </c>
      <c r="G213" s="192">
        <v>30</v>
      </c>
      <c r="H213" s="192" t="s">
        <v>702</v>
      </c>
      <c r="I213" s="192" t="s">
        <v>65</v>
      </c>
      <c r="J213" s="192">
        <v>0.10999999940395355</v>
      </c>
      <c r="K213" s="192">
        <f>VLOOKUP($D213,'RBSA Weights'!$A$2:$C$1406,3,FALSE)</f>
        <v>1524.7619999999999</v>
      </c>
    </row>
    <row r="214" spans="1:11">
      <c r="A214" s="192" t="s">
        <v>701</v>
      </c>
      <c r="B214" s="192">
        <v>0.9</v>
      </c>
      <c r="C214" s="192">
        <v>72443</v>
      </c>
      <c r="D214" s="192">
        <v>11089</v>
      </c>
      <c r="E214" s="192">
        <v>1</v>
      </c>
      <c r="F214" s="192">
        <v>480</v>
      </c>
      <c r="G214" s="192">
        <v>25</v>
      </c>
      <c r="H214" s="192" t="s">
        <v>700</v>
      </c>
      <c r="I214" s="192" t="s">
        <v>65</v>
      </c>
      <c r="J214" s="192">
        <v>0.10999999940395355</v>
      </c>
      <c r="K214" s="192">
        <f>VLOOKUP($D214,'RBSA Weights'!$A$2:$C$1406,3,FALSE)</f>
        <v>2003.7159999999999</v>
      </c>
    </row>
    <row r="215" spans="1:11">
      <c r="A215" s="192" t="s">
        <v>701</v>
      </c>
      <c r="B215" s="192">
        <v>0.9</v>
      </c>
      <c r="C215" s="192">
        <v>65331</v>
      </c>
      <c r="D215" s="192">
        <v>10786</v>
      </c>
      <c r="E215" s="192">
        <v>1</v>
      </c>
      <c r="F215" s="192">
        <v>1460</v>
      </c>
      <c r="G215" s="192">
        <v>0</v>
      </c>
      <c r="H215" s="192" t="s">
        <v>700</v>
      </c>
      <c r="I215" s="192" t="s">
        <v>65</v>
      </c>
      <c r="J215" s="192">
        <v>0.10999999940395355</v>
      </c>
      <c r="K215" s="192">
        <f>VLOOKUP($D215,'RBSA Weights'!$A$2:$C$1406,3,FALSE)</f>
        <v>2003.7159999999999</v>
      </c>
    </row>
    <row r="216" spans="1:11">
      <c r="A216" s="192" t="s">
        <v>701</v>
      </c>
      <c r="B216" s="192">
        <v>0.9</v>
      </c>
      <c r="C216" s="192">
        <v>677624</v>
      </c>
      <c r="D216" s="192">
        <v>23933</v>
      </c>
      <c r="E216" s="192">
        <v>1</v>
      </c>
      <c r="F216" s="192">
        <v>1338</v>
      </c>
      <c r="G216" s="192">
        <v>40</v>
      </c>
      <c r="H216" s="192" t="s">
        <v>699</v>
      </c>
      <c r="I216" s="192" t="s">
        <v>743</v>
      </c>
      <c r="J216" s="192">
        <v>0.10999999940395355</v>
      </c>
      <c r="K216" s="192">
        <f>VLOOKUP($D216,'RBSA Weights'!$A$2:$C$1406,3,FALSE)</f>
        <v>3785.7640000000001</v>
      </c>
    </row>
    <row r="217" spans="1:11">
      <c r="A217" s="192" t="s">
        <v>701</v>
      </c>
      <c r="B217" s="192">
        <v>0.9</v>
      </c>
      <c r="C217" s="192">
        <v>122713</v>
      </c>
      <c r="D217" s="192">
        <v>11341</v>
      </c>
      <c r="E217" s="192">
        <v>1</v>
      </c>
      <c r="F217" s="192">
        <v>2290</v>
      </c>
      <c r="G217" s="192">
        <v>30</v>
      </c>
      <c r="H217" s="192" t="s">
        <v>700</v>
      </c>
      <c r="I217" s="192" t="s">
        <v>65</v>
      </c>
      <c r="J217" s="192">
        <v>0.10999999940395355</v>
      </c>
      <c r="K217" s="192">
        <f>VLOOKUP($D217,'RBSA Weights'!$A$2:$C$1406,3,FALSE)</f>
        <v>1464.694</v>
      </c>
    </row>
    <row r="218" spans="1:11">
      <c r="A218" s="192" t="s">
        <v>701</v>
      </c>
      <c r="B218" s="192">
        <v>0.9</v>
      </c>
      <c r="C218" s="192">
        <v>158299</v>
      </c>
      <c r="D218" s="192">
        <v>22289</v>
      </c>
      <c r="E218" s="192">
        <v>1</v>
      </c>
      <c r="F218" s="192">
        <v>1032</v>
      </c>
      <c r="G218" s="192">
        <v>30</v>
      </c>
      <c r="H218" s="192" t="s">
        <v>705</v>
      </c>
      <c r="I218" s="192" t="s">
        <v>65</v>
      </c>
      <c r="J218" s="192">
        <v>0.10999999940395355</v>
      </c>
      <c r="K218" s="192">
        <f>VLOOKUP($D218,'RBSA Weights'!$A$2:$C$1406,3,FALSE)</f>
        <v>4360.1880000000001</v>
      </c>
    </row>
    <row r="219" spans="1:11">
      <c r="A219" s="192" t="s">
        <v>701</v>
      </c>
      <c r="B219" s="192">
        <v>0.9</v>
      </c>
      <c r="C219" s="192">
        <v>110254</v>
      </c>
      <c r="D219" s="192">
        <v>21703</v>
      </c>
      <c r="E219" s="192">
        <v>1</v>
      </c>
      <c r="F219" s="192">
        <v>1308</v>
      </c>
      <c r="G219" s="192">
        <v>60</v>
      </c>
      <c r="H219" s="192" t="s">
        <v>705</v>
      </c>
      <c r="I219" s="192" t="s">
        <v>65</v>
      </c>
      <c r="J219" s="192">
        <v>0.10999999940395355</v>
      </c>
      <c r="K219" s="192">
        <f>VLOOKUP($D219,'RBSA Weights'!$A$2:$C$1406,3,FALSE)</f>
        <v>1904.288</v>
      </c>
    </row>
    <row r="220" spans="1:11">
      <c r="A220" s="192" t="s">
        <v>701</v>
      </c>
      <c r="B220" s="192">
        <v>0.9</v>
      </c>
      <c r="C220" s="192">
        <v>215951</v>
      </c>
      <c r="D220" s="192">
        <v>22620</v>
      </c>
      <c r="E220" s="192">
        <v>1</v>
      </c>
      <c r="F220" s="192">
        <v>2618</v>
      </c>
      <c r="G220" s="192">
        <v>39</v>
      </c>
      <c r="H220" s="192" t="s">
        <v>705</v>
      </c>
      <c r="I220" s="192" t="s">
        <v>65</v>
      </c>
      <c r="J220" s="192">
        <v>0.10999999940395355</v>
      </c>
      <c r="K220" s="192">
        <f>VLOOKUP($D220,'RBSA Weights'!$A$2:$C$1406,3,FALSE)</f>
        <v>2079.9929999999999</v>
      </c>
    </row>
    <row r="221" spans="1:11">
      <c r="A221" s="192" t="s">
        <v>701</v>
      </c>
      <c r="B221" s="192">
        <v>0.9</v>
      </c>
      <c r="C221" s="192">
        <v>113955</v>
      </c>
      <c r="D221" s="192">
        <v>12107</v>
      </c>
      <c r="E221" s="192">
        <v>1</v>
      </c>
      <c r="F221" s="192">
        <v>651</v>
      </c>
      <c r="G221" s="192">
        <v>40</v>
      </c>
      <c r="H221" s="192" t="s">
        <v>699</v>
      </c>
      <c r="I221" s="192" t="s">
        <v>65</v>
      </c>
      <c r="J221" s="192">
        <v>0.10999999940395355</v>
      </c>
      <c r="K221" s="192">
        <f>VLOOKUP($D221,'RBSA Weights'!$A$2:$C$1406,3,FALSE)</f>
        <v>4956.4930000000004</v>
      </c>
    </row>
    <row r="222" spans="1:11">
      <c r="A222" s="192" t="s">
        <v>701</v>
      </c>
      <c r="B222" s="192">
        <v>0.9</v>
      </c>
      <c r="C222" s="192">
        <v>29629</v>
      </c>
      <c r="D222" s="192">
        <v>10895</v>
      </c>
      <c r="E222" s="192">
        <v>1</v>
      </c>
      <c r="F222" s="192">
        <v>869</v>
      </c>
      <c r="G222" s="192">
        <v>30</v>
      </c>
      <c r="H222" s="192" t="s">
        <v>700</v>
      </c>
      <c r="I222" s="192" t="s">
        <v>65</v>
      </c>
      <c r="J222" s="192">
        <v>0.10999999940395355</v>
      </c>
      <c r="K222" s="192">
        <f>VLOOKUP($D222,'RBSA Weights'!$A$2:$C$1406,3,FALSE)</f>
        <v>1524.7619999999999</v>
      </c>
    </row>
    <row r="223" spans="1:11">
      <c r="A223" s="192" t="s">
        <v>701</v>
      </c>
      <c r="B223" s="192">
        <v>0.9</v>
      </c>
      <c r="C223" s="192">
        <v>234145</v>
      </c>
      <c r="D223" s="192">
        <v>21487</v>
      </c>
      <c r="E223" s="192">
        <v>2</v>
      </c>
      <c r="F223" s="192">
        <v>120</v>
      </c>
      <c r="G223" s="192">
        <v>30</v>
      </c>
      <c r="H223" s="192" t="s">
        <v>702</v>
      </c>
      <c r="I223" s="192" t="s">
        <v>744</v>
      </c>
      <c r="J223" s="192">
        <v>0.10999999940395355</v>
      </c>
      <c r="K223" s="192">
        <f>VLOOKUP($D223,'RBSA Weights'!$A$2:$C$1406,3,FALSE)</f>
        <v>8264.9449999999997</v>
      </c>
    </row>
    <row r="224" spans="1:11">
      <c r="A224" s="192" t="s">
        <v>701</v>
      </c>
      <c r="B224" s="192">
        <v>0.9</v>
      </c>
      <c r="C224" s="192">
        <v>823429</v>
      </c>
      <c r="D224" s="192">
        <v>11705</v>
      </c>
      <c r="E224" s="192">
        <v>1</v>
      </c>
      <c r="F224" s="192">
        <v>1198</v>
      </c>
      <c r="G224" s="192">
        <v>39</v>
      </c>
      <c r="H224" s="192" t="s">
        <v>705</v>
      </c>
      <c r="I224" s="192" t="s">
        <v>65</v>
      </c>
      <c r="J224" s="192">
        <v>0.10999999940395355</v>
      </c>
      <c r="K224" s="192">
        <f>VLOOKUP($D224,'RBSA Weights'!$A$2:$C$1406,3,FALSE)</f>
        <v>1464.694</v>
      </c>
    </row>
    <row r="225" spans="1:11">
      <c r="A225" s="192" t="s">
        <v>701</v>
      </c>
      <c r="B225" s="192">
        <v>0.9</v>
      </c>
      <c r="C225" s="192">
        <v>222696</v>
      </c>
      <c r="D225" s="192">
        <v>24462</v>
      </c>
      <c r="E225" s="192">
        <v>1</v>
      </c>
      <c r="F225" s="192">
        <v>1013</v>
      </c>
      <c r="G225" s="192">
        <v>30</v>
      </c>
      <c r="H225" s="192" t="s">
        <v>697</v>
      </c>
      <c r="I225" s="192" t="s">
        <v>65</v>
      </c>
      <c r="J225" s="192">
        <v>0.10999999940395355</v>
      </c>
      <c r="K225" s="192">
        <f>VLOOKUP($D225,'RBSA Weights'!$A$2:$C$1406,3,FALSE)</f>
        <v>3785.7640000000001</v>
      </c>
    </row>
    <row r="226" spans="1:11">
      <c r="A226" s="192" t="s">
        <v>701</v>
      </c>
      <c r="B226" s="192">
        <v>0.9</v>
      </c>
      <c r="C226" s="192">
        <v>680634</v>
      </c>
      <c r="D226" s="192">
        <v>12507</v>
      </c>
      <c r="E226" s="192">
        <v>1</v>
      </c>
      <c r="F226" s="192">
        <v>718</v>
      </c>
      <c r="G226" s="192">
        <v>40</v>
      </c>
      <c r="H226" s="192" t="s">
        <v>700</v>
      </c>
      <c r="I226" s="192" t="s">
        <v>65</v>
      </c>
      <c r="J226" s="192">
        <v>0.10999999940395355</v>
      </c>
      <c r="K226" s="192">
        <f>VLOOKUP($D226,'RBSA Weights'!$A$2:$C$1406,3,FALSE)</f>
        <v>1524.7619999999999</v>
      </c>
    </row>
    <row r="227" spans="1:11">
      <c r="A227" s="192" t="s">
        <v>701</v>
      </c>
      <c r="B227" s="192">
        <v>0.9</v>
      </c>
      <c r="C227" s="192">
        <v>222803</v>
      </c>
      <c r="D227" s="192">
        <v>24247</v>
      </c>
      <c r="E227" s="192">
        <v>1</v>
      </c>
      <c r="F227" s="192">
        <v>1748</v>
      </c>
      <c r="G227" s="192">
        <v>49</v>
      </c>
      <c r="H227" s="192" t="s">
        <v>705</v>
      </c>
      <c r="I227" s="192" t="s">
        <v>745</v>
      </c>
      <c r="J227" s="192">
        <v>0.10999999940395355</v>
      </c>
      <c r="K227" s="192">
        <f>VLOOKUP($D227,'RBSA Weights'!$A$2:$C$1406,3,FALSE)</f>
        <v>1612.692</v>
      </c>
    </row>
    <row r="228" spans="1:11">
      <c r="A228" s="192" t="s">
        <v>701</v>
      </c>
      <c r="B228" s="192">
        <v>0.9</v>
      </c>
      <c r="C228" s="192">
        <v>803222</v>
      </c>
      <c r="D228" s="192">
        <v>11825</v>
      </c>
      <c r="E228" s="192">
        <v>2</v>
      </c>
      <c r="F228" s="192">
        <v>364</v>
      </c>
      <c r="G228" s="192">
        <v>35</v>
      </c>
      <c r="H228" s="192" t="s">
        <v>700</v>
      </c>
      <c r="I228" s="192" t="s">
        <v>65</v>
      </c>
      <c r="J228" s="192">
        <v>0.10999999940395355</v>
      </c>
      <c r="K228" s="192">
        <f>VLOOKUP($D228,'RBSA Weights'!$A$2:$C$1406,3,FALSE)</f>
        <v>1464.694</v>
      </c>
    </row>
    <row r="229" spans="1:11">
      <c r="A229" s="192" t="s">
        <v>701</v>
      </c>
      <c r="B229" s="192">
        <v>0.9</v>
      </c>
      <c r="C229" s="192">
        <v>241243</v>
      </c>
      <c r="D229" s="192">
        <v>21305</v>
      </c>
      <c r="E229" s="192">
        <v>1</v>
      </c>
      <c r="F229" s="192">
        <v>700</v>
      </c>
      <c r="G229" s="192">
        <v>25</v>
      </c>
      <c r="H229" s="192" t="s">
        <v>700</v>
      </c>
      <c r="I229" s="192" t="s">
        <v>65</v>
      </c>
      <c r="J229" s="192">
        <v>0.10999999940395355</v>
      </c>
      <c r="K229" s="192">
        <f>VLOOKUP($D229,'RBSA Weights'!$A$2:$C$1406,3,FALSE)</f>
        <v>1612.692</v>
      </c>
    </row>
    <row r="230" spans="1:11">
      <c r="A230" s="192" t="s">
        <v>701</v>
      </c>
      <c r="B230" s="192">
        <v>0.9</v>
      </c>
      <c r="C230" s="192">
        <v>41666</v>
      </c>
      <c r="D230" s="192">
        <v>11187</v>
      </c>
      <c r="E230" s="192">
        <v>1</v>
      </c>
      <c r="F230" s="192">
        <v>1359</v>
      </c>
      <c r="G230" s="192">
        <v>38</v>
      </c>
      <c r="H230" s="192" t="s">
        <v>697</v>
      </c>
      <c r="I230" s="192" t="s">
        <v>65</v>
      </c>
      <c r="J230" s="192">
        <v>0.10999999940395355</v>
      </c>
      <c r="K230" s="192">
        <f>VLOOKUP($D230,'RBSA Weights'!$A$2:$C$1406,3,FALSE)</f>
        <v>1524.7619999999999</v>
      </c>
    </row>
    <row r="231" spans="1:11">
      <c r="A231" s="192" t="s">
        <v>701</v>
      </c>
      <c r="B231" s="192">
        <v>0.9</v>
      </c>
      <c r="C231" s="192">
        <v>62921</v>
      </c>
      <c r="D231" s="192">
        <v>22000</v>
      </c>
      <c r="E231" s="192">
        <v>1</v>
      </c>
      <c r="F231" s="192">
        <v>900</v>
      </c>
      <c r="G231" s="192">
        <v>30</v>
      </c>
      <c r="H231" s="192" t="s">
        <v>700</v>
      </c>
      <c r="I231" s="192" t="s">
        <v>65</v>
      </c>
      <c r="J231" s="192">
        <v>0.10999999940395355</v>
      </c>
      <c r="K231" s="192">
        <f>VLOOKUP($D231,'RBSA Weights'!$A$2:$C$1406,3,FALSE)</f>
        <v>3785.7640000000001</v>
      </c>
    </row>
    <row r="232" spans="1:11">
      <c r="A232" s="192" t="s">
        <v>701</v>
      </c>
      <c r="B232" s="192">
        <v>0.9</v>
      </c>
      <c r="C232" s="192">
        <v>114415</v>
      </c>
      <c r="D232" s="192">
        <v>11246</v>
      </c>
      <c r="E232" s="192">
        <v>1</v>
      </c>
      <c r="F232" s="192">
        <v>1010</v>
      </c>
      <c r="G232" s="192">
        <v>39</v>
      </c>
      <c r="H232" s="192" t="s">
        <v>700</v>
      </c>
      <c r="I232" s="192" t="s">
        <v>65</v>
      </c>
      <c r="J232" s="192">
        <v>0.10999999940395355</v>
      </c>
      <c r="K232" s="192">
        <f>VLOOKUP($D232,'RBSA Weights'!$A$2:$C$1406,3,FALSE)</f>
        <v>1524.7619999999999</v>
      </c>
    </row>
    <row r="233" spans="1:11">
      <c r="A233" s="192" t="s">
        <v>701</v>
      </c>
      <c r="B233" s="192">
        <v>0.9</v>
      </c>
      <c r="C233" s="192">
        <v>47817</v>
      </c>
      <c r="D233" s="192">
        <v>11273</v>
      </c>
      <c r="E233" s="192">
        <v>2</v>
      </c>
      <c r="F233" s="192">
        <v>60</v>
      </c>
      <c r="G233" s="192">
        <v>10</v>
      </c>
      <c r="H233" s="192" t="s">
        <v>699</v>
      </c>
      <c r="I233" s="192" t="s">
        <v>65</v>
      </c>
      <c r="J233" s="192">
        <v>0.10999999940395355</v>
      </c>
      <c r="K233" s="192">
        <f>VLOOKUP($D233,'RBSA Weights'!$A$2:$C$1406,3,FALSE)</f>
        <v>1524.7619999999999</v>
      </c>
    </row>
    <row r="234" spans="1:11">
      <c r="A234" s="192" t="s">
        <v>701</v>
      </c>
      <c r="B234" s="192">
        <v>0.9</v>
      </c>
      <c r="C234" s="192">
        <v>154392</v>
      </c>
      <c r="D234" s="192">
        <v>10178</v>
      </c>
      <c r="E234" s="192">
        <v>1</v>
      </c>
      <c r="F234" s="192">
        <v>1560</v>
      </c>
      <c r="G234" s="192">
        <v>35</v>
      </c>
      <c r="H234" s="192" t="s">
        <v>697</v>
      </c>
      <c r="I234" s="192" t="s">
        <v>65</v>
      </c>
      <c r="J234" s="192">
        <v>0.10999999940395355</v>
      </c>
      <c r="K234" s="192">
        <f>VLOOKUP($D234,'RBSA Weights'!$A$2:$C$1406,3,FALSE)</f>
        <v>6932.7380000000003</v>
      </c>
    </row>
    <row r="235" spans="1:11">
      <c r="A235" s="192" t="s">
        <v>701</v>
      </c>
      <c r="B235" s="192">
        <v>0.9</v>
      </c>
      <c r="C235" s="192">
        <v>115090</v>
      </c>
      <c r="D235" s="192">
        <v>11086</v>
      </c>
      <c r="E235" s="192">
        <v>1</v>
      </c>
      <c r="F235" s="192">
        <v>1476</v>
      </c>
      <c r="G235" s="192">
        <v>30</v>
      </c>
      <c r="H235" s="192" t="s">
        <v>700</v>
      </c>
      <c r="I235" s="192" t="s">
        <v>65</v>
      </c>
      <c r="J235" s="192">
        <v>0.10999999940395355</v>
      </c>
      <c r="K235" s="192">
        <f>VLOOKUP($D235,'RBSA Weights'!$A$2:$C$1406,3,FALSE)</f>
        <v>4956.4930000000004</v>
      </c>
    </row>
    <row r="236" spans="1:11">
      <c r="A236" s="192" t="s">
        <v>701</v>
      </c>
      <c r="B236" s="192">
        <v>0.9</v>
      </c>
      <c r="C236" s="192">
        <v>221285</v>
      </c>
      <c r="D236" s="192">
        <v>13970</v>
      </c>
      <c r="E236" s="192">
        <v>1</v>
      </c>
      <c r="F236" s="192">
        <v>124</v>
      </c>
      <c r="G236" s="192">
        <v>40</v>
      </c>
      <c r="H236" s="192" t="s">
        <v>700</v>
      </c>
      <c r="I236" s="192" t="s">
        <v>746</v>
      </c>
      <c r="J236" s="192">
        <v>0.10999999940395355</v>
      </c>
      <c r="K236" s="192">
        <f>VLOOKUP($D236,'RBSA Weights'!$A$2:$C$1406,3,FALSE)</f>
        <v>1524.7619999999999</v>
      </c>
    </row>
    <row r="237" spans="1:11">
      <c r="A237" s="192" t="s">
        <v>701</v>
      </c>
      <c r="B237" s="192">
        <v>0.9</v>
      </c>
      <c r="C237" s="192">
        <v>54867</v>
      </c>
      <c r="D237" s="192">
        <v>10044</v>
      </c>
      <c r="E237" s="192">
        <v>1</v>
      </c>
      <c r="F237" s="192">
        <v>1584</v>
      </c>
      <c r="G237" s="192">
        <v>10</v>
      </c>
      <c r="H237" s="192" t="s">
        <v>700</v>
      </c>
      <c r="I237" s="192" t="s">
        <v>65</v>
      </c>
      <c r="J237" s="192">
        <v>0.10999999940395355</v>
      </c>
      <c r="K237" s="192">
        <f>VLOOKUP($D237,'RBSA Weights'!$A$2:$C$1406,3,FALSE)</f>
        <v>2003.7159999999999</v>
      </c>
    </row>
    <row r="238" spans="1:11">
      <c r="A238" s="192" t="s">
        <v>701</v>
      </c>
      <c r="B238" s="192">
        <v>0.9</v>
      </c>
      <c r="C238" s="192">
        <v>199455</v>
      </c>
      <c r="D238" s="192">
        <v>13672</v>
      </c>
      <c r="E238" s="192">
        <v>1</v>
      </c>
      <c r="F238" s="192">
        <v>806</v>
      </c>
      <c r="G238" s="192">
        <v>50</v>
      </c>
      <c r="H238" s="192" t="s">
        <v>700</v>
      </c>
      <c r="I238" s="192" t="s">
        <v>65</v>
      </c>
      <c r="J238" s="192">
        <v>0.10999999940395355</v>
      </c>
      <c r="K238" s="192">
        <f>VLOOKUP($D238,'RBSA Weights'!$A$2:$C$1406,3,FALSE)</f>
        <v>1188.027</v>
      </c>
    </row>
    <row r="239" spans="1:11">
      <c r="A239" s="192" t="s">
        <v>701</v>
      </c>
      <c r="B239" s="192">
        <v>0.9</v>
      </c>
      <c r="C239" s="192">
        <v>48493</v>
      </c>
      <c r="D239" s="192">
        <v>11284</v>
      </c>
      <c r="E239" s="192">
        <v>1</v>
      </c>
      <c r="F239" s="192">
        <v>542</v>
      </c>
      <c r="G239" s="192">
        <v>25</v>
      </c>
      <c r="H239" s="192" t="s">
        <v>700</v>
      </c>
      <c r="I239" s="192" t="s">
        <v>747</v>
      </c>
      <c r="J239" s="192">
        <v>0.10999999940395355</v>
      </c>
      <c r="K239" s="192">
        <f>VLOOKUP($D239,'RBSA Weights'!$A$2:$C$1406,3,FALSE)</f>
        <v>1524.7619999999999</v>
      </c>
    </row>
    <row r="240" spans="1:11">
      <c r="A240" s="192" t="s">
        <v>701</v>
      </c>
      <c r="B240" s="192">
        <v>0.9</v>
      </c>
      <c r="C240" s="192">
        <v>160611</v>
      </c>
      <c r="D240" s="192">
        <v>11221</v>
      </c>
      <c r="E240" s="192">
        <v>1</v>
      </c>
      <c r="F240" s="192">
        <v>2140</v>
      </c>
      <c r="G240" s="192">
        <v>30</v>
      </c>
      <c r="H240" s="192" t="s">
        <v>65</v>
      </c>
      <c r="I240" s="192" t="s">
        <v>748</v>
      </c>
      <c r="J240" s="192">
        <v>0.10999999940395355</v>
      </c>
      <c r="K240" s="192">
        <f>VLOOKUP($D240,'RBSA Weights'!$A$2:$C$1406,3,FALSE)</f>
        <v>6932.7380000000003</v>
      </c>
    </row>
    <row r="241" spans="1:11">
      <c r="A241" s="192" t="s">
        <v>701</v>
      </c>
      <c r="B241" s="192">
        <v>0.9</v>
      </c>
      <c r="C241" s="192">
        <v>137738</v>
      </c>
      <c r="D241" s="192">
        <v>12131</v>
      </c>
      <c r="E241" s="192">
        <v>1</v>
      </c>
      <c r="F241" s="192">
        <v>844</v>
      </c>
      <c r="G241" s="192">
        <v>20</v>
      </c>
      <c r="H241" s="192" t="s">
        <v>699</v>
      </c>
      <c r="I241" s="192" t="s">
        <v>65</v>
      </c>
      <c r="J241" s="192">
        <v>0.10999999940395355</v>
      </c>
      <c r="K241" s="192">
        <f>VLOOKUP($D241,'RBSA Weights'!$A$2:$C$1406,3,FALSE)</f>
        <v>4956.4930000000004</v>
      </c>
    </row>
    <row r="242" spans="1:11">
      <c r="A242" s="192" t="s">
        <v>701</v>
      </c>
      <c r="B242" s="192">
        <v>0.9</v>
      </c>
      <c r="C242" s="192">
        <v>206361</v>
      </c>
      <c r="D242" s="192">
        <v>14046</v>
      </c>
      <c r="E242" s="192">
        <v>1</v>
      </c>
      <c r="F242" s="192">
        <v>1524</v>
      </c>
      <c r="G242" s="192">
        <v>30</v>
      </c>
      <c r="H242" s="192" t="s">
        <v>700</v>
      </c>
      <c r="I242" s="192" t="s">
        <v>65</v>
      </c>
      <c r="J242" s="192">
        <v>0.10999999940395355</v>
      </c>
      <c r="K242" s="192">
        <f>VLOOKUP($D242,'RBSA Weights'!$A$2:$C$1406,3,FALSE)</f>
        <v>1464.694</v>
      </c>
    </row>
    <row r="243" spans="1:11">
      <c r="A243" s="192" t="s">
        <v>701</v>
      </c>
      <c r="B243" s="192">
        <v>0.9</v>
      </c>
      <c r="C243" s="192">
        <v>93415</v>
      </c>
      <c r="D243" s="192">
        <v>12690</v>
      </c>
      <c r="E243" s="192">
        <v>1</v>
      </c>
      <c r="F243" s="192">
        <v>710</v>
      </c>
      <c r="G243" s="192">
        <v>20</v>
      </c>
      <c r="H243" s="192" t="s">
        <v>700</v>
      </c>
      <c r="I243" s="192" t="s">
        <v>65</v>
      </c>
      <c r="J243" s="192">
        <v>0.10999999940395355</v>
      </c>
      <c r="K243" s="192">
        <f>VLOOKUP($D243,'RBSA Weights'!$A$2:$C$1406,3,FALSE)</f>
        <v>4956.4930000000004</v>
      </c>
    </row>
    <row r="244" spans="1:11">
      <c r="A244" s="192" t="s">
        <v>701</v>
      </c>
      <c r="B244" s="192">
        <v>0.9</v>
      </c>
      <c r="C244" s="192">
        <v>97321</v>
      </c>
      <c r="D244" s="192">
        <v>10629</v>
      </c>
      <c r="E244" s="192">
        <v>1</v>
      </c>
      <c r="F244" s="192">
        <v>1890</v>
      </c>
      <c r="G244" s="192">
        <v>25</v>
      </c>
      <c r="H244" s="192" t="s">
        <v>705</v>
      </c>
      <c r="I244" s="192" t="s">
        <v>65</v>
      </c>
      <c r="J244" s="192">
        <v>0.10999999940395355</v>
      </c>
      <c r="K244" s="192">
        <f>VLOOKUP($D244,'RBSA Weights'!$A$2:$C$1406,3,FALSE)</f>
        <v>4956.4930000000004</v>
      </c>
    </row>
    <row r="245" spans="1:11">
      <c r="A245" s="192" t="s">
        <v>701</v>
      </c>
      <c r="B245" s="192">
        <v>0.9</v>
      </c>
      <c r="C245" s="192">
        <v>685558</v>
      </c>
      <c r="D245" s="192">
        <v>24400</v>
      </c>
      <c r="E245" s="192">
        <v>1</v>
      </c>
      <c r="F245" s="192">
        <v>618</v>
      </c>
      <c r="G245" s="192">
        <v>50</v>
      </c>
      <c r="H245" s="192" t="s">
        <v>702</v>
      </c>
      <c r="I245" s="192" t="s">
        <v>65</v>
      </c>
      <c r="J245" s="192">
        <v>0.10999999940395355</v>
      </c>
      <c r="K245" s="192">
        <f>VLOOKUP($D245,'RBSA Weights'!$A$2:$C$1406,3,FALSE)</f>
        <v>1612.692</v>
      </c>
    </row>
    <row r="246" spans="1:11">
      <c r="A246" s="192" t="s">
        <v>701</v>
      </c>
      <c r="B246" s="192">
        <v>0.9</v>
      </c>
      <c r="C246" s="192">
        <v>216452</v>
      </c>
      <c r="D246" s="192">
        <v>10516</v>
      </c>
      <c r="E246" s="192">
        <v>1</v>
      </c>
      <c r="F246" s="192">
        <v>1560</v>
      </c>
      <c r="G246" s="192">
        <v>35</v>
      </c>
      <c r="H246" s="192" t="s">
        <v>700</v>
      </c>
      <c r="I246" s="192" t="s">
        <v>65</v>
      </c>
      <c r="J246" s="192">
        <v>0.10999999940395355</v>
      </c>
      <c r="K246" s="192">
        <f>VLOOKUP($D246,'RBSA Weights'!$A$2:$C$1406,3,FALSE)</f>
        <v>6932.7380000000003</v>
      </c>
    </row>
    <row r="247" spans="1:11">
      <c r="A247" s="192" t="s">
        <v>701</v>
      </c>
      <c r="B247" s="192">
        <v>0.9</v>
      </c>
      <c r="C247" s="192">
        <v>44685</v>
      </c>
      <c r="D247" s="192">
        <v>24266</v>
      </c>
      <c r="E247" s="192">
        <v>1</v>
      </c>
      <c r="F247" s="192">
        <v>440</v>
      </c>
      <c r="G247" s="192">
        <v>15</v>
      </c>
      <c r="H247" s="192" t="s">
        <v>700</v>
      </c>
      <c r="I247" s="192" t="s">
        <v>65</v>
      </c>
      <c r="J247" s="192">
        <v>0.10999999940395355</v>
      </c>
      <c r="K247" s="192">
        <f>VLOOKUP($D247,'RBSA Weights'!$A$2:$C$1406,3,FALSE)</f>
        <v>8264.9449999999997</v>
      </c>
    </row>
    <row r="248" spans="1:11">
      <c r="A248" s="192" t="s">
        <v>701</v>
      </c>
      <c r="B248" s="192">
        <v>0.9</v>
      </c>
      <c r="C248" s="192">
        <v>208641</v>
      </c>
      <c r="D248" s="192">
        <v>14264</v>
      </c>
      <c r="E248" s="192">
        <v>1</v>
      </c>
      <c r="F248" s="192">
        <v>1300</v>
      </c>
      <c r="G248" s="192">
        <v>40</v>
      </c>
      <c r="H248" s="192" t="s">
        <v>700</v>
      </c>
      <c r="I248" s="192" t="s">
        <v>65</v>
      </c>
      <c r="J248" s="192">
        <v>0.10999999940395355</v>
      </c>
      <c r="K248" s="192">
        <f>VLOOKUP($D248,'RBSA Weights'!$A$2:$C$1406,3,FALSE)</f>
        <v>4956.4930000000004</v>
      </c>
    </row>
    <row r="249" spans="1:11">
      <c r="A249" s="192" t="s">
        <v>701</v>
      </c>
      <c r="B249" s="192">
        <v>1</v>
      </c>
      <c r="C249" s="192">
        <v>195385</v>
      </c>
      <c r="D249" s="192">
        <v>13655</v>
      </c>
      <c r="E249" s="192">
        <v>1</v>
      </c>
      <c r="F249" s="192">
        <v>1400</v>
      </c>
      <c r="G249" s="192">
        <v>25</v>
      </c>
      <c r="H249" s="192" t="s">
        <v>704</v>
      </c>
      <c r="I249" s="192" t="s">
        <v>65</v>
      </c>
      <c r="J249" s="192">
        <v>7.0000000298023224E-2</v>
      </c>
      <c r="K249" s="192">
        <f>VLOOKUP($D249,'RBSA Weights'!$A$2:$C$1406,3,FALSE)</f>
        <v>1464.694</v>
      </c>
    </row>
    <row r="250" spans="1:11">
      <c r="A250" s="192" t="s">
        <v>701</v>
      </c>
      <c r="B250" s="192">
        <v>1</v>
      </c>
      <c r="C250" s="192">
        <v>138741</v>
      </c>
      <c r="D250" s="192">
        <v>21085</v>
      </c>
      <c r="E250" s="192">
        <v>1</v>
      </c>
      <c r="F250" s="192">
        <v>448</v>
      </c>
      <c r="G250" s="192">
        <v>0</v>
      </c>
      <c r="H250" s="192" t="s">
        <v>700</v>
      </c>
      <c r="I250" s="192" t="s">
        <v>65</v>
      </c>
      <c r="J250" s="192">
        <v>7.0000000298023224E-2</v>
      </c>
      <c r="K250" s="192">
        <f>VLOOKUP($D250,'RBSA Weights'!$A$2:$C$1406,3,FALSE)</f>
        <v>3785.7640000000001</v>
      </c>
    </row>
    <row r="251" spans="1:11">
      <c r="A251" s="192" t="s">
        <v>701</v>
      </c>
      <c r="B251" s="192">
        <v>1</v>
      </c>
      <c r="C251" s="192">
        <v>659312</v>
      </c>
      <c r="D251" s="192">
        <v>14674</v>
      </c>
      <c r="E251" s="192">
        <v>1</v>
      </c>
      <c r="F251" s="192">
        <v>1232</v>
      </c>
      <c r="G251" s="192">
        <v>50</v>
      </c>
      <c r="H251" s="192" t="s">
        <v>700</v>
      </c>
      <c r="I251" s="192" t="s">
        <v>65</v>
      </c>
      <c r="J251" s="192">
        <v>7.0000000298023224E-2</v>
      </c>
      <c r="K251" s="192">
        <f>VLOOKUP($D251,'RBSA Weights'!$A$2:$C$1406,3,FALSE)</f>
        <v>6932.7380000000003</v>
      </c>
    </row>
    <row r="252" spans="1:11">
      <c r="A252" s="192" t="s">
        <v>701</v>
      </c>
      <c r="B252" s="192">
        <v>1</v>
      </c>
      <c r="C252" s="192">
        <v>37507</v>
      </c>
      <c r="D252" s="192">
        <v>10335</v>
      </c>
      <c r="E252" s="192">
        <v>1</v>
      </c>
      <c r="F252" s="192">
        <v>1000</v>
      </c>
      <c r="G252" s="192">
        <v>32</v>
      </c>
      <c r="H252" s="192" t="s">
        <v>697</v>
      </c>
      <c r="I252" s="192" t="s">
        <v>65</v>
      </c>
      <c r="J252" s="192">
        <v>7.0000000298023224E-2</v>
      </c>
      <c r="K252" s="192">
        <f>VLOOKUP($D252,'RBSA Weights'!$A$2:$C$1406,3,FALSE)</f>
        <v>1524.7619999999999</v>
      </c>
    </row>
    <row r="253" spans="1:11">
      <c r="A253" s="192" t="s">
        <v>701</v>
      </c>
      <c r="B253" s="192">
        <v>1</v>
      </c>
      <c r="C253" s="192">
        <v>667106</v>
      </c>
      <c r="D253" s="192">
        <v>11636</v>
      </c>
      <c r="E253" s="192">
        <v>2</v>
      </c>
      <c r="F253" s="192">
        <v>344</v>
      </c>
      <c r="G253" s="192">
        <v>0</v>
      </c>
      <c r="H253" s="192" t="s">
        <v>704</v>
      </c>
      <c r="I253" s="192" t="s">
        <v>749</v>
      </c>
      <c r="J253" s="192">
        <v>7.0000000298023224E-2</v>
      </c>
      <c r="K253" s="192">
        <f>VLOOKUP($D253,'RBSA Weights'!$A$2:$C$1406,3,FALSE)</f>
        <v>1464.694</v>
      </c>
    </row>
    <row r="254" spans="1:11">
      <c r="A254" s="192" t="s">
        <v>701</v>
      </c>
      <c r="B254" s="192">
        <v>1</v>
      </c>
      <c r="C254" s="192">
        <v>678196</v>
      </c>
      <c r="D254" s="192">
        <v>10887</v>
      </c>
      <c r="E254" s="192">
        <v>3</v>
      </c>
      <c r="F254" s="192">
        <v>140</v>
      </c>
      <c r="G254" s="192">
        <v>30</v>
      </c>
      <c r="H254" s="192" t="s">
        <v>705</v>
      </c>
      <c r="I254" s="192" t="s">
        <v>750</v>
      </c>
      <c r="J254" s="192">
        <v>7.0000000298023224E-2</v>
      </c>
      <c r="K254" s="192">
        <f>VLOOKUP($D254,'RBSA Weights'!$A$2:$C$1406,3,FALSE)</f>
        <v>1464.694</v>
      </c>
    </row>
    <row r="255" spans="1:11">
      <c r="A255" s="192" t="s">
        <v>701</v>
      </c>
      <c r="B255" s="192">
        <v>1</v>
      </c>
      <c r="C255" s="192">
        <v>37983</v>
      </c>
      <c r="D255" s="192">
        <v>10150</v>
      </c>
      <c r="E255" s="192">
        <v>1</v>
      </c>
      <c r="F255" s="192">
        <v>1167</v>
      </c>
      <c r="G255" s="192">
        <v>0</v>
      </c>
      <c r="H255" s="192" t="s">
        <v>705</v>
      </c>
      <c r="I255" s="192" t="s">
        <v>65</v>
      </c>
      <c r="J255" s="192">
        <v>7.0000000298023224E-2</v>
      </c>
      <c r="K255" s="192">
        <f>VLOOKUP($D255,'RBSA Weights'!$A$2:$C$1406,3,FALSE)</f>
        <v>1188.027</v>
      </c>
    </row>
    <row r="256" spans="1:11">
      <c r="A256" s="192" t="s">
        <v>701</v>
      </c>
      <c r="B256" s="192">
        <v>1</v>
      </c>
      <c r="C256" s="192">
        <v>38694</v>
      </c>
      <c r="D256" s="192">
        <v>11467</v>
      </c>
      <c r="E256" s="192">
        <v>1</v>
      </c>
      <c r="F256" s="192">
        <v>950</v>
      </c>
      <c r="G256" s="192">
        <v>30</v>
      </c>
      <c r="H256" s="192" t="s">
        <v>702</v>
      </c>
      <c r="I256" s="192" t="s">
        <v>65</v>
      </c>
      <c r="J256" s="192">
        <v>7.0000000298023224E-2</v>
      </c>
      <c r="K256" s="192">
        <f>VLOOKUP($D256,'RBSA Weights'!$A$2:$C$1406,3,FALSE)</f>
        <v>1524.7619999999999</v>
      </c>
    </row>
    <row r="257" spans="1:11">
      <c r="A257" s="192" t="s">
        <v>701</v>
      </c>
      <c r="B257" s="192">
        <v>1</v>
      </c>
      <c r="C257" s="192">
        <v>682066</v>
      </c>
      <c r="D257" s="192">
        <v>13656</v>
      </c>
      <c r="E257" s="192">
        <v>1</v>
      </c>
      <c r="F257" s="192">
        <v>1257</v>
      </c>
      <c r="G257" s="192">
        <v>30</v>
      </c>
      <c r="H257" s="192" t="s">
        <v>702</v>
      </c>
      <c r="I257" s="192" t="s">
        <v>751</v>
      </c>
      <c r="J257" s="192">
        <v>7.0000000298023224E-2</v>
      </c>
      <c r="K257" s="192">
        <f>VLOOKUP($D257,'RBSA Weights'!$A$2:$C$1406,3,FALSE)</f>
        <v>1524.7619999999999</v>
      </c>
    </row>
    <row r="258" spans="1:11">
      <c r="A258" s="192" t="s">
        <v>701</v>
      </c>
      <c r="B258" s="192">
        <v>1</v>
      </c>
      <c r="C258" s="192">
        <v>108310</v>
      </c>
      <c r="D258" s="192">
        <v>12145</v>
      </c>
      <c r="E258" s="192">
        <v>1</v>
      </c>
      <c r="F258" s="192">
        <v>801</v>
      </c>
      <c r="G258" s="192">
        <v>39</v>
      </c>
      <c r="H258" s="192" t="s">
        <v>697</v>
      </c>
      <c r="I258" s="192" t="s">
        <v>65</v>
      </c>
      <c r="J258" s="192">
        <v>7.0000000298023224E-2</v>
      </c>
      <c r="K258" s="192">
        <f>VLOOKUP($D258,'RBSA Weights'!$A$2:$C$1406,3,FALSE)</f>
        <v>1524.7619999999999</v>
      </c>
    </row>
    <row r="259" spans="1:11">
      <c r="A259" s="192" t="s">
        <v>701</v>
      </c>
      <c r="B259" s="192">
        <v>1</v>
      </c>
      <c r="C259" s="192">
        <v>235601</v>
      </c>
      <c r="D259" s="192">
        <v>24083</v>
      </c>
      <c r="E259" s="192">
        <v>1</v>
      </c>
      <c r="F259" s="192">
        <v>1284</v>
      </c>
      <c r="G259" s="192">
        <v>35</v>
      </c>
      <c r="H259" s="192" t="s">
        <v>704</v>
      </c>
      <c r="I259" s="192" t="s">
        <v>65</v>
      </c>
      <c r="J259" s="192">
        <v>7.0000000298023224E-2</v>
      </c>
      <c r="K259" s="192">
        <f>VLOOKUP($D259,'RBSA Weights'!$A$2:$C$1406,3,FALSE)</f>
        <v>1904.288</v>
      </c>
    </row>
    <row r="260" spans="1:11">
      <c r="A260" s="192" t="s">
        <v>701</v>
      </c>
      <c r="B260" s="192">
        <v>1</v>
      </c>
      <c r="C260" s="192">
        <v>37715</v>
      </c>
      <c r="D260" s="192">
        <v>11779</v>
      </c>
      <c r="E260" s="192">
        <v>1</v>
      </c>
      <c r="F260" s="192">
        <v>750</v>
      </c>
      <c r="G260" s="192">
        <v>38</v>
      </c>
      <c r="H260" s="192" t="s">
        <v>700</v>
      </c>
      <c r="I260" s="192" t="s">
        <v>65</v>
      </c>
      <c r="J260" s="192">
        <v>7.0000000298023224E-2</v>
      </c>
      <c r="K260" s="192">
        <f>VLOOKUP($D260,'RBSA Weights'!$A$2:$C$1406,3,FALSE)</f>
        <v>1524.7619999999999</v>
      </c>
    </row>
    <row r="261" spans="1:11">
      <c r="A261" s="192" t="s">
        <v>701</v>
      </c>
      <c r="B261" s="192">
        <v>1</v>
      </c>
      <c r="C261" s="192">
        <v>38694</v>
      </c>
      <c r="D261" s="192">
        <v>11467</v>
      </c>
      <c r="E261" s="192">
        <v>2</v>
      </c>
      <c r="F261" s="192">
        <v>86</v>
      </c>
      <c r="G261" s="192">
        <v>30</v>
      </c>
      <c r="H261" s="192" t="s">
        <v>702</v>
      </c>
      <c r="I261" s="192" t="s">
        <v>65</v>
      </c>
      <c r="J261" s="192">
        <v>7.0000000298023224E-2</v>
      </c>
      <c r="K261" s="192">
        <f>VLOOKUP($D261,'RBSA Weights'!$A$2:$C$1406,3,FALSE)</f>
        <v>1524.7619999999999</v>
      </c>
    </row>
    <row r="262" spans="1:11">
      <c r="A262" s="192" t="s">
        <v>701</v>
      </c>
      <c r="B262" s="192">
        <v>1</v>
      </c>
      <c r="C262" s="192">
        <v>725550</v>
      </c>
      <c r="D262" s="192">
        <v>21319</v>
      </c>
      <c r="E262" s="192">
        <v>1</v>
      </c>
      <c r="F262" s="192">
        <v>1096</v>
      </c>
      <c r="G262" s="192">
        <v>0</v>
      </c>
      <c r="H262" s="192" t="s">
        <v>700</v>
      </c>
      <c r="I262" s="192" t="s">
        <v>65</v>
      </c>
      <c r="J262" s="192">
        <v>7.0000000298023224E-2</v>
      </c>
      <c r="K262" s="192">
        <f>VLOOKUP($D262,'RBSA Weights'!$A$2:$C$1406,3,FALSE)</f>
        <v>2130.886</v>
      </c>
    </row>
    <row r="263" spans="1:11">
      <c r="A263" s="192" t="s">
        <v>701</v>
      </c>
      <c r="B263" s="192">
        <v>1</v>
      </c>
      <c r="C263" s="192">
        <v>138208</v>
      </c>
      <c r="D263" s="192">
        <v>23762</v>
      </c>
      <c r="E263" s="192">
        <v>1</v>
      </c>
      <c r="F263" s="192">
        <v>1024</v>
      </c>
      <c r="G263" s="192">
        <v>48</v>
      </c>
      <c r="H263" s="192" t="s">
        <v>700</v>
      </c>
      <c r="I263" s="192" t="s">
        <v>65</v>
      </c>
      <c r="J263" s="192">
        <v>7.0000000298023224E-2</v>
      </c>
      <c r="K263" s="192">
        <f>VLOOKUP($D263,'RBSA Weights'!$A$2:$C$1406,3,FALSE)</f>
        <v>8264.9449999999997</v>
      </c>
    </row>
    <row r="264" spans="1:11">
      <c r="A264" s="192" t="s">
        <v>701</v>
      </c>
      <c r="B264" s="192">
        <v>1</v>
      </c>
      <c r="C264" s="192">
        <v>143483</v>
      </c>
      <c r="D264" s="192">
        <v>21238</v>
      </c>
      <c r="E264" s="192">
        <v>1</v>
      </c>
      <c r="F264" s="192">
        <v>912</v>
      </c>
      <c r="G264" s="192">
        <v>40</v>
      </c>
      <c r="H264" s="192" t="s">
        <v>704</v>
      </c>
      <c r="I264" s="192" t="s">
        <v>65</v>
      </c>
      <c r="J264" s="192">
        <v>7.0000000298023224E-2</v>
      </c>
      <c r="K264" s="192">
        <f>VLOOKUP($D264,'RBSA Weights'!$A$2:$C$1406,3,FALSE)</f>
        <v>2130.886</v>
      </c>
    </row>
    <row r="265" spans="1:11">
      <c r="A265" s="192" t="s">
        <v>701</v>
      </c>
      <c r="B265" s="192">
        <v>1</v>
      </c>
      <c r="C265" s="192">
        <v>154584</v>
      </c>
      <c r="D265" s="192">
        <v>21463</v>
      </c>
      <c r="E265" s="192">
        <v>1</v>
      </c>
      <c r="F265" s="192">
        <v>944</v>
      </c>
      <c r="G265" s="192">
        <v>50</v>
      </c>
      <c r="H265" s="192" t="s">
        <v>700</v>
      </c>
      <c r="I265" s="192" t="s">
        <v>65</v>
      </c>
      <c r="J265" s="192">
        <v>7.0000000298023224E-2</v>
      </c>
      <c r="K265" s="192">
        <f>VLOOKUP($D265,'RBSA Weights'!$A$2:$C$1406,3,FALSE)</f>
        <v>2079.9929999999999</v>
      </c>
    </row>
    <row r="266" spans="1:11">
      <c r="A266" s="192" t="s">
        <v>701</v>
      </c>
      <c r="B266" s="192">
        <v>1</v>
      </c>
      <c r="C266" s="192">
        <v>202725</v>
      </c>
      <c r="D266" s="192">
        <v>23427</v>
      </c>
      <c r="E266" s="192">
        <v>1</v>
      </c>
      <c r="F266" s="192">
        <v>880</v>
      </c>
      <c r="G266" s="192">
        <v>39</v>
      </c>
      <c r="H266" s="192" t="s">
        <v>700</v>
      </c>
      <c r="I266" s="192" t="s">
        <v>65</v>
      </c>
      <c r="J266" s="192">
        <v>7.0000000298023224E-2</v>
      </c>
      <c r="K266" s="192">
        <f>VLOOKUP($D266,'RBSA Weights'!$A$2:$C$1406,3,FALSE)</f>
        <v>2130.886</v>
      </c>
    </row>
    <row r="267" spans="1:11">
      <c r="A267" s="192" t="s">
        <v>701</v>
      </c>
      <c r="B267" s="192">
        <v>1</v>
      </c>
      <c r="C267" s="192">
        <v>229086</v>
      </c>
      <c r="D267" s="192">
        <v>14181</v>
      </c>
      <c r="E267" s="192">
        <v>1</v>
      </c>
      <c r="F267" s="192">
        <v>72</v>
      </c>
      <c r="G267" s="192">
        <v>10</v>
      </c>
      <c r="H267" s="192" t="s">
        <v>700</v>
      </c>
      <c r="I267" s="192" t="s">
        <v>752</v>
      </c>
      <c r="J267" s="192">
        <v>7.0000000298023224E-2</v>
      </c>
      <c r="K267" s="192">
        <f>VLOOKUP($D267,'RBSA Weights'!$A$2:$C$1406,3,FALSE)</f>
        <v>1524.7619999999999</v>
      </c>
    </row>
    <row r="268" spans="1:11">
      <c r="A268" s="192" t="s">
        <v>701</v>
      </c>
      <c r="B268" s="192">
        <v>1</v>
      </c>
      <c r="C268" s="192">
        <v>83477</v>
      </c>
      <c r="D268" s="192">
        <v>12163</v>
      </c>
      <c r="E268" s="192">
        <v>1</v>
      </c>
      <c r="F268" s="192">
        <v>1060</v>
      </c>
      <c r="G268" s="192">
        <v>30</v>
      </c>
      <c r="H268" s="192" t="s">
        <v>704</v>
      </c>
      <c r="I268" s="192" t="s">
        <v>65</v>
      </c>
      <c r="J268" s="192">
        <v>7.0000000298023224E-2</v>
      </c>
      <c r="K268" s="192">
        <f>VLOOKUP($D268,'RBSA Weights'!$A$2:$C$1406,3,FALSE)</f>
        <v>1524.7619999999999</v>
      </c>
    </row>
    <row r="269" spans="1:11">
      <c r="A269" s="192" t="s">
        <v>701</v>
      </c>
      <c r="B269" s="192">
        <v>1</v>
      </c>
      <c r="C269" s="192">
        <v>197112</v>
      </c>
      <c r="D269" s="192">
        <v>13621</v>
      </c>
      <c r="E269" s="192">
        <v>1</v>
      </c>
      <c r="F269" s="192">
        <v>1152</v>
      </c>
      <c r="G269" s="192">
        <v>0</v>
      </c>
      <c r="H269" s="192" t="s">
        <v>700</v>
      </c>
      <c r="I269" s="192" t="s">
        <v>65</v>
      </c>
      <c r="J269" s="192">
        <v>7.0000000298023224E-2</v>
      </c>
      <c r="K269" s="192">
        <f>VLOOKUP($D269,'RBSA Weights'!$A$2:$C$1406,3,FALSE)</f>
        <v>1464.694</v>
      </c>
    </row>
    <row r="270" spans="1:11">
      <c r="A270" s="192" t="s">
        <v>701</v>
      </c>
      <c r="B270" s="192">
        <v>1</v>
      </c>
      <c r="C270" s="192">
        <v>140487</v>
      </c>
      <c r="D270" s="192">
        <v>22200</v>
      </c>
      <c r="E270" s="192">
        <v>1</v>
      </c>
      <c r="F270" s="192">
        <v>768</v>
      </c>
      <c r="G270" s="192">
        <v>10</v>
      </c>
      <c r="H270" s="192" t="s">
        <v>700</v>
      </c>
      <c r="I270" s="192" t="s">
        <v>65</v>
      </c>
      <c r="J270" s="192">
        <v>7.0000000298023224E-2</v>
      </c>
      <c r="K270" s="192">
        <f>VLOOKUP($D270,'RBSA Weights'!$A$2:$C$1406,3,FALSE)</f>
        <v>1192.4649999999999</v>
      </c>
    </row>
    <row r="271" spans="1:11">
      <c r="A271" s="192" t="s">
        <v>701</v>
      </c>
      <c r="B271" s="192">
        <v>1</v>
      </c>
      <c r="C271" s="192">
        <v>78084</v>
      </c>
      <c r="D271" s="192">
        <v>21296</v>
      </c>
      <c r="E271" s="192">
        <v>1</v>
      </c>
      <c r="F271" s="192">
        <v>608</v>
      </c>
      <c r="H271" s="192" t="s">
        <v>704</v>
      </c>
      <c r="I271" s="192" t="s">
        <v>65</v>
      </c>
      <c r="J271" s="192">
        <v>7.0000000298023224E-2</v>
      </c>
      <c r="K271" s="192">
        <f>VLOOKUP($D271,'RBSA Weights'!$A$2:$C$1406,3,FALSE)</f>
        <v>1925.059</v>
      </c>
    </row>
    <row r="272" spans="1:11">
      <c r="A272" s="192" t="s">
        <v>701</v>
      </c>
      <c r="B272" s="192">
        <v>1</v>
      </c>
      <c r="C272" s="192">
        <v>667106</v>
      </c>
      <c r="D272" s="192">
        <v>11636</v>
      </c>
      <c r="E272" s="192">
        <v>3</v>
      </c>
      <c r="F272" s="192">
        <v>260</v>
      </c>
      <c r="G272" s="192">
        <v>0</v>
      </c>
      <c r="H272" s="192" t="s">
        <v>704</v>
      </c>
      <c r="I272" s="192" t="s">
        <v>753</v>
      </c>
      <c r="J272" s="192">
        <v>7.0000000298023224E-2</v>
      </c>
      <c r="K272" s="192">
        <f>VLOOKUP($D272,'RBSA Weights'!$A$2:$C$1406,3,FALSE)</f>
        <v>1464.694</v>
      </c>
    </row>
    <row r="273" spans="1:11">
      <c r="A273" s="192" t="s">
        <v>701</v>
      </c>
      <c r="B273" s="192">
        <v>1</v>
      </c>
      <c r="C273" s="192">
        <v>47570</v>
      </c>
      <c r="D273" s="192">
        <v>11677</v>
      </c>
      <c r="E273" s="192">
        <v>1</v>
      </c>
      <c r="F273" s="192">
        <v>950</v>
      </c>
      <c r="G273" s="192">
        <v>0</v>
      </c>
      <c r="H273" s="192" t="s">
        <v>699</v>
      </c>
      <c r="I273" s="192" t="s">
        <v>65</v>
      </c>
      <c r="J273" s="192">
        <v>7.0000000298023224E-2</v>
      </c>
      <c r="K273" s="192">
        <f>VLOOKUP($D273,'RBSA Weights'!$A$2:$C$1406,3,FALSE)</f>
        <v>1524.7619999999999</v>
      </c>
    </row>
    <row r="274" spans="1:11">
      <c r="A274" s="192" t="s">
        <v>701</v>
      </c>
      <c r="B274" s="192">
        <v>1</v>
      </c>
      <c r="C274" s="192">
        <v>687436</v>
      </c>
      <c r="D274" s="192">
        <v>11585</v>
      </c>
      <c r="E274" s="192">
        <v>2</v>
      </c>
      <c r="F274" s="192">
        <v>288</v>
      </c>
      <c r="G274" s="192">
        <v>35</v>
      </c>
      <c r="H274" s="192" t="s">
        <v>700</v>
      </c>
      <c r="I274" s="192" t="s">
        <v>65</v>
      </c>
      <c r="J274" s="192">
        <v>7.0000000298023224E-2</v>
      </c>
      <c r="K274" s="192">
        <f>VLOOKUP($D274,'RBSA Weights'!$A$2:$C$1406,3,FALSE)</f>
        <v>1524.7619999999999</v>
      </c>
    </row>
    <row r="275" spans="1:11">
      <c r="A275" s="192" t="s">
        <v>701</v>
      </c>
      <c r="B275" s="192">
        <v>1</v>
      </c>
      <c r="C275" s="192">
        <v>130510</v>
      </c>
      <c r="D275" s="192">
        <v>11766</v>
      </c>
      <c r="E275" s="192">
        <v>1</v>
      </c>
      <c r="F275" s="192">
        <v>1268</v>
      </c>
      <c r="G275" s="192">
        <v>30</v>
      </c>
      <c r="H275" s="192" t="s">
        <v>702</v>
      </c>
      <c r="I275" s="192" t="s">
        <v>65</v>
      </c>
      <c r="J275" s="192">
        <v>7.0000000298023224E-2</v>
      </c>
      <c r="K275" s="192">
        <f>VLOOKUP($D275,'RBSA Weights'!$A$2:$C$1406,3,FALSE)</f>
        <v>4956.4930000000004</v>
      </c>
    </row>
    <row r="276" spans="1:11">
      <c r="A276" s="192" t="s">
        <v>701</v>
      </c>
      <c r="B276" s="192">
        <v>1</v>
      </c>
      <c r="C276" s="192">
        <v>659967</v>
      </c>
      <c r="D276" s="192">
        <v>14073</v>
      </c>
      <c r="E276" s="192">
        <v>1</v>
      </c>
      <c r="F276" s="192">
        <v>164</v>
      </c>
      <c r="G276" s="192">
        <v>0</v>
      </c>
      <c r="H276" s="192" t="s">
        <v>700</v>
      </c>
      <c r="I276" s="192" t="s">
        <v>65</v>
      </c>
      <c r="J276" s="192">
        <v>7.0000000298023224E-2</v>
      </c>
      <c r="K276" s="192">
        <f>VLOOKUP($D276,'RBSA Weights'!$A$2:$C$1406,3,FALSE)</f>
        <v>2003.7159999999999</v>
      </c>
    </row>
    <row r="277" spans="1:11">
      <c r="A277" s="192" t="s">
        <v>701</v>
      </c>
      <c r="B277" s="192">
        <v>1</v>
      </c>
      <c r="C277" s="192">
        <v>33076</v>
      </c>
      <c r="D277" s="192">
        <v>11035</v>
      </c>
      <c r="E277" s="192">
        <v>1</v>
      </c>
      <c r="F277" s="192">
        <v>2000</v>
      </c>
      <c r="G277" s="192">
        <v>8</v>
      </c>
      <c r="H277" s="192" t="s">
        <v>700</v>
      </c>
      <c r="I277" s="192" t="s">
        <v>65</v>
      </c>
      <c r="J277" s="192">
        <v>7.0000000298023224E-2</v>
      </c>
      <c r="K277" s="192">
        <f>VLOOKUP($D277,'RBSA Weights'!$A$2:$C$1406,3,FALSE)</f>
        <v>1150.8789999999999</v>
      </c>
    </row>
    <row r="278" spans="1:11">
      <c r="A278" s="192" t="s">
        <v>701</v>
      </c>
      <c r="B278" s="192">
        <v>1</v>
      </c>
      <c r="C278" s="192">
        <v>70987</v>
      </c>
      <c r="D278" s="192">
        <v>10002</v>
      </c>
      <c r="E278" s="192">
        <v>1</v>
      </c>
      <c r="F278" s="192">
        <v>792</v>
      </c>
      <c r="G278" s="192">
        <v>19</v>
      </c>
      <c r="H278" s="192" t="s">
        <v>700</v>
      </c>
      <c r="I278" s="192" t="s">
        <v>65</v>
      </c>
      <c r="J278" s="192">
        <v>7.0000000298023224E-2</v>
      </c>
      <c r="K278" s="192">
        <f>VLOOKUP($D278,'RBSA Weights'!$A$2:$C$1406,3,FALSE)</f>
        <v>1524.7619999999999</v>
      </c>
    </row>
    <row r="279" spans="1:11">
      <c r="A279" s="192" t="s">
        <v>701</v>
      </c>
      <c r="B279" s="192">
        <v>1</v>
      </c>
      <c r="C279" s="192">
        <v>102724</v>
      </c>
      <c r="D279" s="192">
        <v>11516</v>
      </c>
      <c r="E279" s="192">
        <v>1</v>
      </c>
      <c r="F279" s="192">
        <v>1053</v>
      </c>
      <c r="G279" s="192">
        <v>25</v>
      </c>
      <c r="H279" s="192" t="s">
        <v>700</v>
      </c>
      <c r="I279" s="192" t="s">
        <v>65</v>
      </c>
      <c r="J279" s="192">
        <v>7.0000000298023224E-2</v>
      </c>
      <c r="K279" s="192">
        <f>VLOOKUP($D279,'RBSA Weights'!$A$2:$C$1406,3,FALSE)</f>
        <v>4956.4930000000004</v>
      </c>
    </row>
    <row r="280" spans="1:11">
      <c r="A280" s="192" t="s">
        <v>701</v>
      </c>
      <c r="B280" s="192">
        <v>1</v>
      </c>
      <c r="C280" s="192">
        <v>34682</v>
      </c>
      <c r="D280" s="192">
        <v>11988</v>
      </c>
      <c r="E280" s="192">
        <v>2</v>
      </c>
      <c r="F280" s="192">
        <v>324</v>
      </c>
      <c r="G280" s="192">
        <v>0</v>
      </c>
      <c r="H280" s="192" t="s">
        <v>704</v>
      </c>
      <c r="I280" s="192" t="s">
        <v>65</v>
      </c>
      <c r="J280" s="192">
        <v>7.0000000298023224E-2</v>
      </c>
      <c r="K280" s="192">
        <f>VLOOKUP($D280,'RBSA Weights'!$A$2:$C$1406,3,FALSE)</f>
        <v>1188.027</v>
      </c>
    </row>
    <row r="281" spans="1:11">
      <c r="A281" s="192" t="s">
        <v>701</v>
      </c>
      <c r="B281" s="192">
        <v>1</v>
      </c>
      <c r="C281" s="192">
        <v>117796</v>
      </c>
      <c r="D281" s="192">
        <v>10491</v>
      </c>
      <c r="E281" s="192">
        <v>1</v>
      </c>
      <c r="F281" s="192">
        <v>665</v>
      </c>
      <c r="G281" s="192">
        <v>39</v>
      </c>
      <c r="H281" s="192" t="s">
        <v>698</v>
      </c>
      <c r="I281" s="192" t="s">
        <v>65</v>
      </c>
      <c r="J281" s="192">
        <v>7.0000000298023224E-2</v>
      </c>
      <c r="K281" s="192">
        <f>VLOOKUP($D281,'RBSA Weights'!$A$2:$C$1406,3,FALSE)</f>
        <v>1464.694</v>
      </c>
    </row>
    <row r="282" spans="1:11">
      <c r="A282" s="192" t="s">
        <v>701</v>
      </c>
      <c r="B282" s="192">
        <v>1</v>
      </c>
      <c r="C282" s="192">
        <v>134318</v>
      </c>
      <c r="D282" s="192">
        <v>23581</v>
      </c>
      <c r="E282" s="192">
        <v>1</v>
      </c>
      <c r="F282" s="192">
        <v>1866</v>
      </c>
      <c r="G282" s="192">
        <v>50</v>
      </c>
      <c r="H282" s="192" t="s">
        <v>700</v>
      </c>
      <c r="I282" s="192" t="s">
        <v>65</v>
      </c>
      <c r="J282" s="192">
        <v>7.0000000298023224E-2</v>
      </c>
      <c r="K282" s="192">
        <f>VLOOKUP($D282,'RBSA Weights'!$A$2:$C$1406,3,FALSE)</f>
        <v>1612.692</v>
      </c>
    </row>
    <row r="283" spans="1:11">
      <c r="A283" s="192" t="s">
        <v>701</v>
      </c>
      <c r="B283" s="192">
        <v>1</v>
      </c>
      <c r="C283" s="192">
        <v>99247</v>
      </c>
      <c r="D283" s="192">
        <v>11713</v>
      </c>
      <c r="E283" s="192">
        <v>1</v>
      </c>
      <c r="F283" s="192">
        <v>1839</v>
      </c>
      <c r="G283" s="192">
        <v>23</v>
      </c>
      <c r="H283" s="192" t="s">
        <v>702</v>
      </c>
      <c r="I283" s="192" t="s">
        <v>65</v>
      </c>
      <c r="J283" s="192">
        <v>7.0000000298023224E-2</v>
      </c>
      <c r="K283" s="192">
        <f>VLOOKUP($D283,'RBSA Weights'!$A$2:$C$1406,3,FALSE)</f>
        <v>2003.7159999999999</v>
      </c>
    </row>
    <row r="284" spans="1:11">
      <c r="A284" s="192" t="s">
        <v>701</v>
      </c>
      <c r="B284" s="192">
        <v>1</v>
      </c>
      <c r="C284" s="192">
        <v>58345</v>
      </c>
      <c r="D284" s="192">
        <v>11739</v>
      </c>
      <c r="E284" s="192">
        <v>1</v>
      </c>
      <c r="F284" s="192">
        <v>1300</v>
      </c>
      <c r="G284" s="192">
        <v>19</v>
      </c>
      <c r="H284" s="192" t="s">
        <v>700</v>
      </c>
      <c r="I284" s="192" t="s">
        <v>65</v>
      </c>
      <c r="J284" s="192">
        <v>7.0000000298023224E-2</v>
      </c>
      <c r="K284" s="192">
        <f>VLOOKUP($D284,'RBSA Weights'!$A$2:$C$1406,3,FALSE)</f>
        <v>1524.7619999999999</v>
      </c>
    </row>
    <row r="285" spans="1:11">
      <c r="A285" s="192" t="s">
        <v>701</v>
      </c>
      <c r="B285" s="192">
        <v>1</v>
      </c>
      <c r="C285" s="192">
        <v>135175</v>
      </c>
      <c r="D285" s="192">
        <v>12408</v>
      </c>
      <c r="E285" s="192">
        <v>1</v>
      </c>
      <c r="F285" s="192">
        <v>993</v>
      </c>
      <c r="G285" s="192">
        <v>27</v>
      </c>
      <c r="H285" s="192" t="s">
        <v>697</v>
      </c>
      <c r="I285" s="192" t="s">
        <v>65</v>
      </c>
      <c r="J285" s="192">
        <v>7.0000000298023224E-2</v>
      </c>
      <c r="K285" s="192">
        <f>VLOOKUP($D285,'RBSA Weights'!$A$2:$C$1406,3,FALSE)</f>
        <v>4956.4930000000004</v>
      </c>
    </row>
    <row r="286" spans="1:11">
      <c r="A286" s="192" t="s">
        <v>701</v>
      </c>
      <c r="B286" s="192">
        <v>1</v>
      </c>
      <c r="C286" s="192">
        <v>104021</v>
      </c>
      <c r="D286" s="192">
        <v>11512</v>
      </c>
      <c r="E286" s="192">
        <v>2</v>
      </c>
      <c r="F286" s="192">
        <v>550</v>
      </c>
      <c r="G286" s="192">
        <v>25</v>
      </c>
      <c r="H286" s="192" t="s">
        <v>704</v>
      </c>
      <c r="I286" s="192" t="s">
        <v>65</v>
      </c>
      <c r="J286" s="192">
        <v>7.0000000298023224E-2</v>
      </c>
      <c r="K286" s="192">
        <f>VLOOKUP($D286,'RBSA Weights'!$A$2:$C$1406,3,FALSE)</f>
        <v>2003.7159999999999</v>
      </c>
    </row>
    <row r="287" spans="1:11">
      <c r="A287" s="192" t="s">
        <v>701</v>
      </c>
      <c r="B287" s="192">
        <v>1</v>
      </c>
      <c r="C287" s="192">
        <v>202611</v>
      </c>
      <c r="D287" s="192">
        <v>20635</v>
      </c>
      <c r="E287" s="192">
        <v>1</v>
      </c>
      <c r="F287" s="192">
        <v>918</v>
      </c>
      <c r="G287" s="192">
        <v>38</v>
      </c>
      <c r="H287" s="192" t="s">
        <v>704</v>
      </c>
      <c r="I287" s="192" t="s">
        <v>65</v>
      </c>
      <c r="J287" s="192">
        <v>7.0000000298023224E-2</v>
      </c>
      <c r="K287" s="192">
        <f>VLOOKUP($D287,'RBSA Weights'!$A$2:$C$1406,3,FALSE)</f>
        <v>2130.886</v>
      </c>
    </row>
    <row r="288" spans="1:11">
      <c r="A288" s="192" t="s">
        <v>701</v>
      </c>
      <c r="B288" s="192">
        <v>1</v>
      </c>
      <c r="C288" s="192">
        <v>100417</v>
      </c>
      <c r="D288" s="192">
        <v>11003</v>
      </c>
      <c r="E288" s="192">
        <v>1</v>
      </c>
      <c r="F288" s="192">
        <v>1296</v>
      </c>
      <c r="G288" s="192">
        <v>23</v>
      </c>
      <c r="H288" s="192" t="s">
        <v>699</v>
      </c>
      <c r="I288" s="192" t="s">
        <v>65</v>
      </c>
      <c r="J288" s="192">
        <v>7.0000000298023224E-2</v>
      </c>
      <c r="K288" s="192">
        <f>VLOOKUP($D288,'RBSA Weights'!$A$2:$C$1406,3,FALSE)</f>
        <v>2003.7159999999999</v>
      </c>
    </row>
    <row r="289" spans="1:11">
      <c r="A289" s="192" t="s">
        <v>701</v>
      </c>
      <c r="B289" s="192">
        <v>1</v>
      </c>
      <c r="C289" s="192">
        <v>78897</v>
      </c>
      <c r="D289" s="192">
        <v>22953</v>
      </c>
      <c r="E289" s="192">
        <v>1</v>
      </c>
      <c r="F289" s="192">
        <v>540</v>
      </c>
      <c r="G289" s="192">
        <v>34</v>
      </c>
      <c r="H289" s="192" t="s">
        <v>700</v>
      </c>
      <c r="I289" s="192" t="s">
        <v>65</v>
      </c>
      <c r="J289" s="192">
        <v>7.0000000298023224E-2</v>
      </c>
      <c r="K289" s="192">
        <f>VLOOKUP($D289,'RBSA Weights'!$A$2:$C$1406,3,FALSE)</f>
        <v>1144.6790000000001</v>
      </c>
    </row>
    <row r="290" spans="1:11">
      <c r="A290" s="192" t="s">
        <v>701</v>
      </c>
      <c r="B290" s="192">
        <v>1</v>
      </c>
      <c r="C290" s="192">
        <v>167578</v>
      </c>
      <c r="D290" s="192">
        <v>22559</v>
      </c>
      <c r="E290" s="192">
        <v>1</v>
      </c>
      <c r="F290" s="192">
        <v>1064</v>
      </c>
      <c r="G290" s="192">
        <v>37</v>
      </c>
      <c r="H290" s="192" t="s">
        <v>700</v>
      </c>
      <c r="I290" s="192" t="s">
        <v>65</v>
      </c>
      <c r="J290" s="192">
        <v>7.0000000298023224E-2</v>
      </c>
      <c r="K290" s="192">
        <f>VLOOKUP($D290,'RBSA Weights'!$A$2:$C$1406,3,FALSE)</f>
        <v>1192.4649999999999</v>
      </c>
    </row>
    <row r="291" spans="1:11">
      <c r="A291" s="192" t="s">
        <v>701</v>
      </c>
      <c r="B291" s="192">
        <v>1</v>
      </c>
      <c r="C291" s="192">
        <v>140487</v>
      </c>
      <c r="D291" s="192">
        <v>22200</v>
      </c>
      <c r="E291" s="192">
        <v>2</v>
      </c>
      <c r="F291" s="192">
        <v>288</v>
      </c>
      <c r="H291" s="192" t="s">
        <v>704</v>
      </c>
      <c r="I291" s="192" t="s">
        <v>65</v>
      </c>
      <c r="J291" s="192">
        <v>7.0000000298023224E-2</v>
      </c>
      <c r="K291" s="192">
        <f>VLOOKUP($D291,'RBSA Weights'!$A$2:$C$1406,3,FALSE)</f>
        <v>1192.4649999999999</v>
      </c>
    </row>
    <row r="292" spans="1:11">
      <c r="A292" s="192" t="s">
        <v>701</v>
      </c>
      <c r="B292" s="192">
        <v>1</v>
      </c>
      <c r="C292" s="192">
        <v>163134</v>
      </c>
      <c r="D292" s="192">
        <v>24500</v>
      </c>
      <c r="E292" s="192">
        <v>1</v>
      </c>
      <c r="F292" s="192">
        <v>1244</v>
      </c>
      <c r="G292" s="192">
        <v>0</v>
      </c>
      <c r="H292" s="192" t="s">
        <v>700</v>
      </c>
      <c r="I292" s="192" t="s">
        <v>65</v>
      </c>
      <c r="J292" s="192">
        <v>7.0000000298023224E-2</v>
      </c>
      <c r="K292" s="192">
        <f>VLOOKUP($D292,'RBSA Weights'!$A$2:$C$1406,3,FALSE)</f>
        <v>1192.4649999999999</v>
      </c>
    </row>
    <row r="293" spans="1:11">
      <c r="A293" s="192" t="s">
        <v>701</v>
      </c>
      <c r="B293" s="192">
        <v>1</v>
      </c>
      <c r="C293" s="192">
        <v>31127</v>
      </c>
      <c r="D293" s="192">
        <v>10318</v>
      </c>
      <c r="E293" s="192">
        <v>1</v>
      </c>
      <c r="F293" s="192">
        <v>1528</v>
      </c>
      <c r="G293" s="192">
        <v>40</v>
      </c>
      <c r="H293" s="192" t="s">
        <v>704</v>
      </c>
      <c r="I293" s="192" t="s">
        <v>65</v>
      </c>
      <c r="J293" s="192">
        <v>7.0000000298023224E-2</v>
      </c>
      <c r="K293" s="192">
        <f>VLOOKUP($D293,'RBSA Weights'!$A$2:$C$1406,3,FALSE)</f>
        <v>1524.7619999999999</v>
      </c>
    </row>
    <row r="294" spans="1:11">
      <c r="A294" s="192" t="s">
        <v>701</v>
      </c>
      <c r="B294" s="192">
        <v>1</v>
      </c>
      <c r="C294" s="192">
        <v>86342</v>
      </c>
      <c r="D294" s="192">
        <v>12620</v>
      </c>
      <c r="E294" s="192">
        <v>1</v>
      </c>
      <c r="F294" s="192">
        <v>1026</v>
      </c>
      <c r="G294" s="192">
        <v>20</v>
      </c>
      <c r="H294" s="192" t="s">
        <v>700</v>
      </c>
      <c r="I294" s="192" t="s">
        <v>65</v>
      </c>
      <c r="J294" s="192">
        <v>7.0000000298023224E-2</v>
      </c>
      <c r="K294" s="192">
        <f>VLOOKUP($D294,'RBSA Weights'!$A$2:$C$1406,3,FALSE)</f>
        <v>2003.7159999999999</v>
      </c>
    </row>
    <row r="295" spans="1:11">
      <c r="A295" s="192" t="s">
        <v>701</v>
      </c>
      <c r="B295" s="192">
        <v>1</v>
      </c>
      <c r="C295" s="192">
        <v>58258</v>
      </c>
      <c r="D295" s="192">
        <v>11670</v>
      </c>
      <c r="E295" s="192">
        <v>1</v>
      </c>
      <c r="F295" s="192">
        <v>896</v>
      </c>
      <c r="G295" s="192">
        <v>30</v>
      </c>
      <c r="H295" s="192" t="s">
        <v>700</v>
      </c>
      <c r="I295" s="192" t="s">
        <v>754</v>
      </c>
      <c r="J295" s="192">
        <v>7.0000000298023224E-2</v>
      </c>
      <c r="K295" s="192">
        <f>VLOOKUP($D295,'RBSA Weights'!$A$2:$C$1406,3,FALSE)</f>
        <v>1524.7619999999999</v>
      </c>
    </row>
    <row r="296" spans="1:11">
      <c r="A296" s="192" t="s">
        <v>701</v>
      </c>
      <c r="B296" s="192">
        <v>1</v>
      </c>
      <c r="C296" s="192">
        <v>229086</v>
      </c>
      <c r="D296" s="192">
        <v>14181</v>
      </c>
      <c r="E296" s="192">
        <v>2</v>
      </c>
      <c r="F296" s="192">
        <v>114</v>
      </c>
      <c r="G296" s="192">
        <v>40</v>
      </c>
      <c r="H296" s="192" t="s">
        <v>700</v>
      </c>
      <c r="I296" s="192" t="s">
        <v>65</v>
      </c>
      <c r="J296" s="192">
        <v>7.0000000298023224E-2</v>
      </c>
      <c r="K296" s="192">
        <f>VLOOKUP($D296,'RBSA Weights'!$A$2:$C$1406,3,FALSE)</f>
        <v>1524.7619999999999</v>
      </c>
    </row>
    <row r="297" spans="1:11">
      <c r="A297" s="192" t="s">
        <v>701</v>
      </c>
      <c r="B297" s="192">
        <v>1</v>
      </c>
      <c r="C297" s="192">
        <v>678196</v>
      </c>
      <c r="D297" s="192">
        <v>10887</v>
      </c>
      <c r="E297" s="192">
        <v>2</v>
      </c>
      <c r="F297" s="192">
        <v>176</v>
      </c>
      <c r="G297" s="192">
        <v>0</v>
      </c>
      <c r="H297" s="192" t="s">
        <v>700</v>
      </c>
      <c r="I297" s="192" t="s">
        <v>65</v>
      </c>
      <c r="J297" s="192">
        <v>7.0000000298023224E-2</v>
      </c>
      <c r="K297" s="192">
        <f>VLOOKUP($D297,'RBSA Weights'!$A$2:$C$1406,3,FALSE)</f>
        <v>1464.694</v>
      </c>
    </row>
    <row r="298" spans="1:11">
      <c r="A298" s="192" t="s">
        <v>701</v>
      </c>
      <c r="B298" s="192">
        <v>1</v>
      </c>
      <c r="C298" s="192">
        <v>197337</v>
      </c>
      <c r="D298" s="192">
        <v>11411</v>
      </c>
      <c r="E298" s="192">
        <v>1</v>
      </c>
      <c r="F298" s="192">
        <v>1323</v>
      </c>
      <c r="G298" s="192">
        <v>32</v>
      </c>
      <c r="H298" s="192" t="s">
        <v>699</v>
      </c>
      <c r="I298" s="192" t="s">
        <v>65</v>
      </c>
      <c r="J298" s="192">
        <v>7.0000000298023224E-2</v>
      </c>
      <c r="K298" s="192">
        <f>VLOOKUP($D298,'RBSA Weights'!$A$2:$C$1406,3,FALSE)</f>
        <v>1464.694</v>
      </c>
    </row>
    <row r="299" spans="1:11">
      <c r="A299" s="192" t="s">
        <v>701</v>
      </c>
      <c r="B299" s="192">
        <v>1</v>
      </c>
      <c r="C299" s="192">
        <v>185914</v>
      </c>
      <c r="D299" s="192">
        <v>22751</v>
      </c>
      <c r="E299" s="192">
        <v>1</v>
      </c>
      <c r="F299" s="192">
        <v>804</v>
      </c>
      <c r="G299" s="192">
        <v>39</v>
      </c>
      <c r="H299" s="192" t="s">
        <v>700</v>
      </c>
      <c r="I299" s="192" t="s">
        <v>65</v>
      </c>
      <c r="J299" s="192">
        <v>7.0000000298023224E-2</v>
      </c>
      <c r="K299" s="192">
        <f>VLOOKUP($D299,'RBSA Weights'!$A$2:$C$1406,3,FALSE)</f>
        <v>1925.059</v>
      </c>
    </row>
    <row r="300" spans="1:11">
      <c r="A300" s="192" t="s">
        <v>703</v>
      </c>
      <c r="B300" s="192">
        <v>0.5</v>
      </c>
      <c r="C300" s="192">
        <v>203593</v>
      </c>
      <c r="D300" s="192">
        <v>21689</v>
      </c>
      <c r="E300" s="192">
        <v>1</v>
      </c>
      <c r="F300" s="192">
        <v>1800</v>
      </c>
      <c r="G300" s="192">
        <v>30</v>
      </c>
      <c r="H300" s="192" t="s">
        <v>702</v>
      </c>
      <c r="I300" s="192" t="s">
        <v>65</v>
      </c>
      <c r="J300" s="192">
        <v>0.25</v>
      </c>
      <c r="K300" s="192">
        <f>VLOOKUP($D300,'RBSA Weights'!$A$2:$C$1406,3,FALSE)</f>
        <v>3785.7640000000001</v>
      </c>
    </row>
    <row r="301" spans="1:11">
      <c r="A301" s="192" t="s">
        <v>703</v>
      </c>
      <c r="B301" s="192">
        <v>0.5</v>
      </c>
      <c r="C301" s="192">
        <v>120917</v>
      </c>
      <c r="D301" s="192">
        <v>11163</v>
      </c>
      <c r="E301" s="192">
        <v>1</v>
      </c>
      <c r="F301" s="192">
        <v>2257</v>
      </c>
      <c r="G301" s="192">
        <v>32</v>
      </c>
      <c r="H301" s="192" t="s">
        <v>699</v>
      </c>
      <c r="I301" s="192" t="s">
        <v>65</v>
      </c>
      <c r="J301" s="192">
        <v>0.25</v>
      </c>
      <c r="K301" s="192">
        <f>VLOOKUP($D301,'RBSA Weights'!$A$2:$C$1406,3,FALSE)</f>
        <v>4956.4930000000004</v>
      </c>
    </row>
    <row r="302" spans="1:11">
      <c r="A302" s="192" t="s">
        <v>703</v>
      </c>
      <c r="B302" s="192">
        <v>0.5</v>
      </c>
      <c r="C302" s="192">
        <v>221920</v>
      </c>
      <c r="D302" s="192">
        <v>21748</v>
      </c>
      <c r="E302" s="192">
        <v>1</v>
      </c>
      <c r="F302" s="192">
        <v>1152</v>
      </c>
      <c r="G302" s="192">
        <v>30</v>
      </c>
      <c r="H302" s="192" t="s">
        <v>705</v>
      </c>
      <c r="I302" s="192" t="s">
        <v>65</v>
      </c>
      <c r="J302" s="192">
        <v>0.25</v>
      </c>
      <c r="K302" s="192">
        <f>VLOOKUP($D302,'RBSA Weights'!$A$2:$C$1406,3,FALSE)</f>
        <v>1192.4649999999999</v>
      </c>
    </row>
    <row r="303" spans="1:11">
      <c r="A303" s="192" t="s">
        <v>703</v>
      </c>
      <c r="B303" s="192">
        <v>0.5</v>
      </c>
      <c r="C303" s="192">
        <v>85324</v>
      </c>
      <c r="D303" s="192">
        <v>12678</v>
      </c>
      <c r="E303" s="192">
        <v>1</v>
      </c>
      <c r="F303" s="192">
        <v>2424</v>
      </c>
      <c r="G303" s="192">
        <v>10</v>
      </c>
      <c r="H303" s="192" t="s">
        <v>702</v>
      </c>
      <c r="I303" s="192" t="s">
        <v>65</v>
      </c>
      <c r="J303" s="192">
        <v>0.25</v>
      </c>
      <c r="K303" s="192">
        <f>VLOOKUP($D303,'RBSA Weights'!$A$2:$C$1406,3,FALSE)</f>
        <v>2003.7159999999999</v>
      </c>
    </row>
    <row r="304" spans="1:11">
      <c r="A304" s="192" t="s">
        <v>703</v>
      </c>
      <c r="B304" s="192">
        <v>0.5</v>
      </c>
      <c r="C304" s="192">
        <v>152876</v>
      </c>
      <c r="D304" s="192">
        <v>21456</v>
      </c>
      <c r="E304" s="192">
        <v>1</v>
      </c>
      <c r="F304" s="192">
        <v>672</v>
      </c>
      <c r="G304" s="192">
        <v>31</v>
      </c>
      <c r="H304" s="192" t="s">
        <v>705</v>
      </c>
      <c r="I304" s="192" t="s">
        <v>65</v>
      </c>
      <c r="J304" s="192">
        <v>0.25</v>
      </c>
      <c r="K304" s="192">
        <f>VLOOKUP($D304,'RBSA Weights'!$A$2:$C$1406,3,FALSE)</f>
        <v>1612.692</v>
      </c>
    </row>
    <row r="305" spans="1:11">
      <c r="A305" s="192" t="s">
        <v>703</v>
      </c>
      <c r="B305" s="192">
        <v>0.5</v>
      </c>
      <c r="C305" s="192">
        <v>107056</v>
      </c>
      <c r="D305" s="192">
        <v>22425</v>
      </c>
      <c r="E305" s="192">
        <v>1</v>
      </c>
      <c r="F305" s="192">
        <v>1400</v>
      </c>
      <c r="G305" s="192">
        <v>30</v>
      </c>
      <c r="H305" s="192" t="s">
        <v>699</v>
      </c>
      <c r="I305" s="192" t="s">
        <v>65</v>
      </c>
      <c r="J305" s="192">
        <v>0.25</v>
      </c>
      <c r="K305" s="192">
        <f>VLOOKUP($D305,'RBSA Weights'!$A$2:$C$1406,3,FALSE)</f>
        <v>3785.7640000000001</v>
      </c>
    </row>
    <row r="306" spans="1:11">
      <c r="A306" s="192" t="s">
        <v>703</v>
      </c>
      <c r="B306" s="192">
        <v>0.5</v>
      </c>
      <c r="C306" s="192">
        <v>112443</v>
      </c>
      <c r="D306" s="192">
        <v>22787</v>
      </c>
      <c r="E306" s="192">
        <v>1</v>
      </c>
      <c r="F306" s="192">
        <v>2337</v>
      </c>
      <c r="G306" s="192">
        <v>40</v>
      </c>
      <c r="H306" s="192" t="s">
        <v>702</v>
      </c>
      <c r="I306" s="192" t="s">
        <v>65</v>
      </c>
      <c r="J306" s="192">
        <v>0.25</v>
      </c>
      <c r="K306" s="192">
        <f>VLOOKUP($D306,'RBSA Weights'!$A$2:$C$1406,3,FALSE)</f>
        <v>3785.7640000000001</v>
      </c>
    </row>
    <row r="307" spans="1:11">
      <c r="A307" s="192" t="s">
        <v>703</v>
      </c>
      <c r="B307" s="192">
        <v>0.75</v>
      </c>
      <c r="C307" s="192">
        <v>59947</v>
      </c>
      <c r="D307" s="192">
        <v>12399</v>
      </c>
      <c r="E307" s="192">
        <v>1</v>
      </c>
      <c r="F307" s="192">
        <v>1100</v>
      </c>
      <c r="G307" s="192">
        <v>0</v>
      </c>
      <c r="H307" s="192" t="s">
        <v>700</v>
      </c>
      <c r="I307" s="192" t="s">
        <v>65</v>
      </c>
      <c r="J307" s="192">
        <v>0.1550000011920929</v>
      </c>
      <c r="K307" s="192">
        <f>VLOOKUP($D307,'RBSA Weights'!$A$2:$C$1406,3,FALSE)</f>
        <v>1524.7619999999999</v>
      </c>
    </row>
    <row r="308" spans="1:11">
      <c r="A308" s="192" t="s">
        <v>703</v>
      </c>
      <c r="B308" s="192">
        <v>0.75</v>
      </c>
      <c r="C308" s="192">
        <v>29773</v>
      </c>
      <c r="D308" s="192">
        <v>10191</v>
      </c>
      <c r="E308" s="192">
        <v>1</v>
      </c>
      <c r="F308" s="192">
        <v>384</v>
      </c>
      <c r="G308" s="192">
        <v>48</v>
      </c>
      <c r="H308" s="192" t="s">
        <v>702</v>
      </c>
      <c r="I308" s="192" t="s">
        <v>65</v>
      </c>
      <c r="J308" s="192">
        <v>0.1550000011920929</v>
      </c>
      <c r="K308" s="192">
        <f>VLOOKUP($D308,'RBSA Weights'!$A$2:$C$1406,3,FALSE)</f>
        <v>1524.7619999999999</v>
      </c>
    </row>
    <row r="309" spans="1:11">
      <c r="A309" s="192" t="s">
        <v>703</v>
      </c>
      <c r="B309" s="192">
        <v>0.75</v>
      </c>
      <c r="C309" s="192">
        <v>109607</v>
      </c>
      <c r="D309" s="192">
        <v>13803</v>
      </c>
      <c r="E309" s="192">
        <v>1</v>
      </c>
      <c r="F309" s="192">
        <v>420</v>
      </c>
      <c r="G309" s="192">
        <v>28</v>
      </c>
      <c r="H309" s="192" t="s">
        <v>702</v>
      </c>
      <c r="I309" s="192" t="s">
        <v>65</v>
      </c>
      <c r="J309" s="192">
        <v>0.1550000011920929</v>
      </c>
      <c r="K309" s="192">
        <f>VLOOKUP($D309,'RBSA Weights'!$A$2:$C$1406,3,FALSE)</f>
        <v>2003.7159999999999</v>
      </c>
    </row>
    <row r="310" spans="1:11">
      <c r="A310" s="192" t="s">
        <v>703</v>
      </c>
      <c r="B310" s="192">
        <v>0.75</v>
      </c>
      <c r="C310" s="192">
        <v>76346</v>
      </c>
      <c r="D310" s="192">
        <v>11702</v>
      </c>
      <c r="E310" s="192">
        <v>1</v>
      </c>
      <c r="F310" s="192">
        <v>740</v>
      </c>
      <c r="G310" s="192">
        <v>20</v>
      </c>
      <c r="H310" s="192" t="s">
        <v>702</v>
      </c>
      <c r="I310" s="192" t="s">
        <v>65</v>
      </c>
      <c r="J310" s="192">
        <v>0.1550000011920929</v>
      </c>
      <c r="K310" s="192">
        <f>VLOOKUP($D310,'RBSA Weights'!$A$2:$C$1406,3,FALSE)</f>
        <v>2003.7159999999999</v>
      </c>
    </row>
    <row r="311" spans="1:11">
      <c r="A311" s="192" t="s">
        <v>703</v>
      </c>
      <c r="B311" s="192">
        <v>0.75</v>
      </c>
      <c r="C311" s="192">
        <v>109607</v>
      </c>
      <c r="D311" s="192">
        <v>13803</v>
      </c>
      <c r="E311" s="192">
        <v>3</v>
      </c>
      <c r="F311" s="192">
        <v>208</v>
      </c>
      <c r="G311" s="192">
        <v>28</v>
      </c>
      <c r="H311" s="192" t="s">
        <v>702</v>
      </c>
      <c r="I311" s="192" t="s">
        <v>65</v>
      </c>
      <c r="J311" s="192">
        <v>0.1550000011920929</v>
      </c>
      <c r="K311" s="192">
        <f>VLOOKUP($D311,'RBSA Weights'!$A$2:$C$1406,3,FALSE)</f>
        <v>2003.7159999999999</v>
      </c>
    </row>
    <row r="312" spans="1:11">
      <c r="A312" s="192" t="s">
        <v>703</v>
      </c>
      <c r="B312" s="192">
        <v>0.75</v>
      </c>
      <c r="C312" s="192">
        <v>125315</v>
      </c>
      <c r="D312" s="192">
        <v>12377</v>
      </c>
      <c r="E312" s="192">
        <v>1</v>
      </c>
      <c r="F312" s="192">
        <v>930</v>
      </c>
      <c r="G312" s="192">
        <v>20</v>
      </c>
      <c r="H312" s="192" t="s">
        <v>700</v>
      </c>
      <c r="I312" s="192" t="s">
        <v>65</v>
      </c>
      <c r="J312" s="192">
        <v>0.1550000011920929</v>
      </c>
      <c r="K312" s="192">
        <f>VLOOKUP($D312,'RBSA Weights'!$A$2:$C$1406,3,FALSE)</f>
        <v>6932.7380000000003</v>
      </c>
    </row>
    <row r="313" spans="1:11">
      <c r="A313" s="192" t="s">
        <v>703</v>
      </c>
      <c r="B313" s="192">
        <v>0.75</v>
      </c>
      <c r="C313" s="192">
        <v>79999</v>
      </c>
      <c r="D313" s="192">
        <v>24553</v>
      </c>
      <c r="E313" s="192">
        <v>1</v>
      </c>
      <c r="F313" s="192">
        <v>1074</v>
      </c>
      <c r="G313" s="192">
        <v>25</v>
      </c>
      <c r="H313" s="192" t="s">
        <v>698</v>
      </c>
      <c r="I313" s="192" t="s">
        <v>65</v>
      </c>
      <c r="J313" s="192">
        <v>0.1550000011920929</v>
      </c>
      <c r="K313" s="192">
        <f>VLOOKUP($D313,'RBSA Weights'!$A$2:$C$1406,3,FALSE)</f>
        <v>1925.059</v>
      </c>
    </row>
    <row r="314" spans="1:11">
      <c r="A314" s="192" t="s">
        <v>703</v>
      </c>
      <c r="B314" s="192">
        <v>0.75</v>
      </c>
      <c r="C314" s="192">
        <v>175639</v>
      </c>
      <c r="D314" s="192">
        <v>24479</v>
      </c>
      <c r="E314" s="192">
        <v>1</v>
      </c>
      <c r="F314" s="192">
        <v>1255</v>
      </c>
      <c r="G314" s="192">
        <v>35</v>
      </c>
      <c r="H314" s="192" t="s">
        <v>700</v>
      </c>
      <c r="I314" s="192" t="s">
        <v>65</v>
      </c>
      <c r="J314" s="192">
        <v>0.1550000011920929</v>
      </c>
      <c r="K314" s="192">
        <f>VLOOKUP($D314,'RBSA Weights'!$A$2:$C$1406,3,FALSE)</f>
        <v>8264.9449999999997</v>
      </c>
    </row>
    <row r="315" spans="1:11">
      <c r="A315" s="192" t="s">
        <v>703</v>
      </c>
      <c r="B315" s="192">
        <v>0.75</v>
      </c>
      <c r="C315" s="192">
        <v>231537</v>
      </c>
      <c r="D315" s="192">
        <v>20109</v>
      </c>
      <c r="E315" s="192">
        <v>1</v>
      </c>
      <c r="F315" s="192">
        <v>1024</v>
      </c>
      <c r="G315" s="192">
        <v>20</v>
      </c>
      <c r="H315" s="192" t="s">
        <v>700</v>
      </c>
      <c r="I315" s="192" t="s">
        <v>65</v>
      </c>
      <c r="J315" s="192">
        <v>0.1550000011920929</v>
      </c>
      <c r="K315" s="192">
        <f>VLOOKUP($D315,'RBSA Weights'!$A$2:$C$1406,3,FALSE)</f>
        <v>1612.692</v>
      </c>
    </row>
    <row r="316" spans="1:11">
      <c r="A316" s="192" t="s">
        <v>703</v>
      </c>
      <c r="B316" s="192">
        <v>0.75</v>
      </c>
      <c r="C316" s="192">
        <v>49071</v>
      </c>
      <c r="D316" s="192">
        <v>11900</v>
      </c>
      <c r="E316" s="192">
        <v>1</v>
      </c>
      <c r="F316" s="192">
        <v>925</v>
      </c>
      <c r="G316" s="192">
        <v>15</v>
      </c>
      <c r="H316" s="192" t="s">
        <v>705</v>
      </c>
      <c r="I316" s="192" t="s">
        <v>65</v>
      </c>
      <c r="J316" s="192">
        <v>0.1550000011920929</v>
      </c>
      <c r="K316" s="192">
        <f>VLOOKUP($D316,'RBSA Weights'!$A$2:$C$1406,3,FALSE)</f>
        <v>1524.7619999999999</v>
      </c>
    </row>
    <row r="317" spans="1:11">
      <c r="A317" s="192" t="s">
        <v>703</v>
      </c>
      <c r="B317" s="192">
        <v>0.75</v>
      </c>
      <c r="C317" s="192">
        <v>212601</v>
      </c>
      <c r="D317" s="192">
        <v>13435</v>
      </c>
      <c r="E317" s="192">
        <v>1</v>
      </c>
      <c r="F317" s="192">
        <v>594</v>
      </c>
      <c r="G317" s="192">
        <v>20</v>
      </c>
      <c r="H317" s="192" t="s">
        <v>702</v>
      </c>
      <c r="I317" s="192" t="s">
        <v>65</v>
      </c>
      <c r="J317" s="192">
        <v>0.1550000011920929</v>
      </c>
      <c r="K317" s="192">
        <f>VLOOKUP($D317,'RBSA Weights'!$A$2:$C$1406,3,FALSE)</f>
        <v>1464.694</v>
      </c>
    </row>
    <row r="318" spans="1:11">
      <c r="A318" s="192" t="s">
        <v>703</v>
      </c>
      <c r="B318" s="192">
        <v>0.75</v>
      </c>
      <c r="C318" s="192">
        <v>57427</v>
      </c>
      <c r="D318" s="192">
        <v>22411</v>
      </c>
      <c r="E318" s="192">
        <v>1</v>
      </c>
      <c r="F318" s="192">
        <v>1980</v>
      </c>
      <c r="G318" s="192">
        <v>20</v>
      </c>
      <c r="H318" s="192" t="s">
        <v>700</v>
      </c>
      <c r="I318" s="192" t="s">
        <v>65</v>
      </c>
      <c r="J318" s="192">
        <v>0.1550000011920929</v>
      </c>
      <c r="K318" s="192">
        <f>VLOOKUP($D318,'RBSA Weights'!$A$2:$C$1406,3,FALSE)</f>
        <v>2079.9929999999999</v>
      </c>
    </row>
    <row r="319" spans="1:11">
      <c r="A319" s="192" t="s">
        <v>703</v>
      </c>
      <c r="B319" s="192">
        <v>0.75</v>
      </c>
      <c r="C319" s="192">
        <v>719892</v>
      </c>
      <c r="D319" s="192">
        <v>22127</v>
      </c>
      <c r="E319" s="192">
        <v>1</v>
      </c>
      <c r="F319" s="192">
        <v>200</v>
      </c>
      <c r="G319" s="192">
        <v>30</v>
      </c>
      <c r="H319" s="192" t="s">
        <v>702</v>
      </c>
      <c r="I319" s="192" t="s">
        <v>65</v>
      </c>
      <c r="J319" s="192">
        <v>0.1550000011920929</v>
      </c>
      <c r="K319" s="192">
        <f>VLOOKUP($D319,'RBSA Weights'!$A$2:$C$1406,3,FALSE)</f>
        <v>3785.7640000000001</v>
      </c>
    </row>
    <row r="320" spans="1:11">
      <c r="A320" s="192" t="s">
        <v>703</v>
      </c>
      <c r="B320" s="192">
        <v>0.75</v>
      </c>
      <c r="C320" s="192">
        <v>138436</v>
      </c>
      <c r="D320" s="192">
        <v>21218</v>
      </c>
      <c r="E320" s="192">
        <v>1</v>
      </c>
      <c r="F320" s="192">
        <v>3251</v>
      </c>
      <c r="G320" s="192">
        <v>30</v>
      </c>
      <c r="H320" s="192" t="s">
        <v>705</v>
      </c>
      <c r="I320" s="192" t="s">
        <v>65</v>
      </c>
      <c r="J320" s="192">
        <v>0.1550000011920929</v>
      </c>
      <c r="K320" s="192">
        <f>VLOOKUP($D320,'RBSA Weights'!$A$2:$C$1406,3,FALSE)</f>
        <v>1192.4649999999999</v>
      </c>
    </row>
    <row r="321" spans="1:11">
      <c r="A321" s="192" t="s">
        <v>703</v>
      </c>
      <c r="B321" s="192">
        <v>0.75</v>
      </c>
      <c r="C321" s="192">
        <v>32297</v>
      </c>
      <c r="D321" s="192">
        <v>22015</v>
      </c>
      <c r="E321" s="192">
        <v>1</v>
      </c>
      <c r="F321" s="192">
        <v>1438</v>
      </c>
      <c r="G321" s="192">
        <v>40</v>
      </c>
      <c r="H321" s="192" t="s">
        <v>700</v>
      </c>
      <c r="I321" s="192" t="s">
        <v>65</v>
      </c>
      <c r="J321" s="192">
        <v>0.1550000011920929</v>
      </c>
      <c r="K321" s="192">
        <f>VLOOKUP($D321,'RBSA Weights'!$A$2:$C$1406,3,FALSE)</f>
        <v>2130.886</v>
      </c>
    </row>
    <row r="322" spans="1:11">
      <c r="A322" s="192" t="s">
        <v>703</v>
      </c>
      <c r="B322" s="192">
        <v>0.75</v>
      </c>
      <c r="C322" s="192">
        <v>231957</v>
      </c>
      <c r="D322" s="192">
        <v>24040</v>
      </c>
      <c r="E322" s="192">
        <v>1</v>
      </c>
      <c r="F322" s="192">
        <v>1125</v>
      </c>
      <c r="G322" s="192">
        <v>30</v>
      </c>
      <c r="H322" s="192" t="s">
        <v>697</v>
      </c>
      <c r="I322" s="192" t="s">
        <v>65</v>
      </c>
      <c r="J322" s="192">
        <v>0.1550000011920929</v>
      </c>
      <c r="K322" s="192">
        <f>VLOOKUP($D322,'RBSA Weights'!$A$2:$C$1406,3,FALSE)</f>
        <v>2079.9929999999999</v>
      </c>
    </row>
    <row r="323" spans="1:11">
      <c r="A323" s="192" t="s">
        <v>703</v>
      </c>
      <c r="B323" s="192">
        <v>0.75</v>
      </c>
      <c r="C323" s="192">
        <v>207189</v>
      </c>
      <c r="D323" s="192">
        <v>21499</v>
      </c>
      <c r="E323" s="192">
        <v>1</v>
      </c>
      <c r="F323" s="192">
        <v>1264</v>
      </c>
      <c r="G323" s="192">
        <v>32</v>
      </c>
      <c r="H323" s="192" t="s">
        <v>697</v>
      </c>
      <c r="I323" s="192" t="s">
        <v>65</v>
      </c>
      <c r="J323" s="192">
        <v>0.1550000011920929</v>
      </c>
      <c r="K323" s="192">
        <f>VLOOKUP($D323,'RBSA Weights'!$A$2:$C$1406,3,FALSE)</f>
        <v>1904.288</v>
      </c>
    </row>
    <row r="324" spans="1:11">
      <c r="A324" s="192" t="s">
        <v>703</v>
      </c>
      <c r="B324" s="192">
        <v>0.75</v>
      </c>
      <c r="C324" s="192">
        <v>144581</v>
      </c>
      <c r="D324" s="192">
        <v>20381</v>
      </c>
      <c r="E324" s="192">
        <v>2</v>
      </c>
      <c r="F324" s="192">
        <v>225</v>
      </c>
      <c r="G324" s="192">
        <v>0</v>
      </c>
      <c r="H324" s="192" t="s">
        <v>700</v>
      </c>
      <c r="I324" s="192" t="s">
        <v>65</v>
      </c>
      <c r="J324" s="192">
        <v>0.1550000011920929</v>
      </c>
      <c r="K324" s="192">
        <f>VLOOKUP($D324,'RBSA Weights'!$A$2:$C$1406,3,FALSE)</f>
        <v>1192.4649999999999</v>
      </c>
    </row>
    <row r="325" spans="1:11">
      <c r="A325" s="192" t="s">
        <v>703</v>
      </c>
      <c r="B325" s="192">
        <v>0.75</v>
      </c>
      <c r="C325" s="192">
        <v>131790</v>
      </c>
      <c r="D325" s="192">
        <v>20297</v>
      </c>
      <c r="E325" s="192">
        <v>1</v>
      </c>
      <c r="F325" s="192">
        <v>975</v>
      </c>
      <c r="G325" s="192">
        <v>30</v>
      </c>
      <c r="H325" s="192" t="s">
        <v>702</v>
      </c>
      <c r="I325" s="192" t="s">
        <v>65</v>
      </c>
      <c r="J325" s="192">
        <v>0.1550000011920929</v>
      </c>
      <c r="K325" s="192">
        <f>VLOOKUP($D325,'RBSA Weights'!$A$2:$C$1406,3,FALSE)</f>
        <v>1612.692</v>
      </c>
    </row>
    <row r="326" spans="1:11">
      <c r="A326" s="192" t="s">
        <v>703</v>
      </c>
      <c r="B326" s="192">
        <v>0.75</v>
      </c>
      <c r="C326" s="192">
        <v>190213</v>
      </c>
      <c r="D326" s="192">
        <v>12370</v>
      </c>
      <c r="E326" s="192">
        <v>1</v>
      </c>
      <c r="F326" s="192">
        <v>1470</v>
      </c>
      <c r="G326" s="192">
        <v>20</v>
      </c>
      <c r="H326" s="192" t="s">
        <v>702</v>
      </c>
      <c r="I326" s="192" t="s">
        <v>65</v>
      </c>
      <c r="J326" s="192">
        <v>0.1550000011920929</v>
      </c>
      <c r="K326" s="192">
        <f>VLOOKUP($D326,'RBSA Weights'!$A$2:$C$1406,3,FALSE)</f>
        <v>6932.7380000000003</v>
      </c>
    </row>
    <row r="327" spans="1:11">
      <c r="A327" s="192" t="s">
        <v>703</v>
      </c>
      <c r="B327" s="192">
        <v>0.75</v>
      </c>
      <c r="C327" s="192">
        <v>142405</v>
      </c>
      <c r="D327" s="192">
        <v>21231</v>
      </c>
      <c r="E327" s="192">
        <v>1</v>
      </c>
      <c r="F327" s="192">
        <v>1700</v>
      </c>
      <c r="G327" s="192">
        <v>30</v>
      </c>
      <c r="H327" s="192" t="s">
        <v>705</v>
      </c>
      <c r="I327" s="192" t="s">
        <v>65</v>
      </c>
      <c r="J327" s="192">
        <v>0.1550000011920929</v>
      </c>
      <c r="K327" s="192">
        <f>VLOOKUP($D327,'RBSA Weights'!$A$2:$C$1406,3,FALSE)</f>
        <v>1612.692</v>
      </c>
    </row>
    <row r="328" spans="1:11">
      <c r="A328" s="192" t="s">
        <v>703</v>
      </c>
      <c r="B328" s="192">
        <v>0.9</v>
      </c>
      <c r="C328" s="192">
        <v>195771</v>
      </c>
      <c r="D328" s="192">
        <v>12737</v>
      </c>
      <c r="E328" s="192">
        <v>1</v>
      </c>
      <c r="F328" s="192">
        <v>1748</v>
      </c>
      <c r="G328" s="192">
        <v>49</v>
      </c>
      <c r="H328" s="192" t="s">
        <v>705</v>
      </c>
      <c r="I328" s="192" t="s">
        <v>65</v>
      </c>
      <c r="J328" s="192">
        <v>9.4999998807907104E-2</v>
      </c>
      <c r="K328" s="192">
        <f>VLOOKUP($D328,'RBSA Weights'!$A$2:$C$1406,3,FALSE)</f>
        <v>6932.7380000000003</v>
      </c>
    </row>
    <row r="329" spans="1:11">
      <c r="A329" s="192" t="s">
        <v>703</v>
      </c>
      <c r="B329" s="192">
        <v>0.9</v>
      </c>
      <c r="C329" s="192">
        <v>32493</v>
      </c>
      <c r="D329" s="192">
        <v>24863</v>
      </c>
      <c r="E329" s="192">
        <v>1</v>
      </c>
      <c r="F329" s="192">
        <v>1154</v>
      </c>
      <c r="G329" s="192">
        <v>30</v>
      </c>
      <c r="H329" s="192" t="s">
        <v>697</v>
      </c>
      <c r="I329" s="192" t="s">
        <v>65</v>
      </c>
      <c r="J329" s="192">
        <v>9.4999998807907104E-2</v>
      </c>
      <c r="K329" s="192">
        <f>VLOOKUP($D329,'RBSA Weights'!$A$2:$C$1406,3,FALSE)</f>
        <v>3785.7640000000001</v>
      </c>
    </row>
    <row r="330" spans="1:11">
      <c r="A330" s="192" t="s">
        <v>703</v>
      </c>
      <c r="B330" s="192">
        <v>0.9</v>
      </c>
      <c r="C330" s="192">
        <v>223120</v>
      </c>
      <c r="D330" s="192">
        <v>12771</v>
      </c>
      <c r="E330" s="192">
        <v>1</v>
      </c>
      <c r="F330" s="192">
        <v>963</v>
      </c>
      <c r="G330" s="192">
        <v>0</v>
      </c>
      <c r="H330" s="192" t="s">
        <v>700</v>
      </c>
      <c r="I330" s="192" t="s">
        <v>65</v>
      </c>
      <c r="J330" s="192">
        <v>9.4999998807907104E-2</v>
      </c>
      <c r="K330" s="192">
        <f>VLOOKUP($D330,'RBSA Weights'!$A$2:$C$1406,3,FALSE)</f>
        <v>1464.694</v>
      </c>
    </row>
    <row r="331" spans="1:11">
      <c r="A331" s="192" t="s">
        <v>703</v>
      </c>
      <c r="B331" s="192">
        <v>0.9</v>
      </c>
      <c r="C331" s="192">
        <v>154929</v>
      </c>
      <c r="D331" s="192">
        <v>24153</v>
      </c>
      <c r="E331" s="192">
        <v>1</v>
      </c>
      <c r="F331" s="192">
        <v>608</v>
      </c>
      <c r="G331" s="192">
        <v>0</v>
      </c>
      <c r="H331" s="192" t="s">
        <v>700</v>
      </c>
      <c r="I331" s="192" t="s">
        <v>65</v>
      </c>
      <c r="J331" s="192">
        <v>9.4999998807907104E-2</v>
      </c>
      <c r="K331" s="192">
        <f>VLOOKUP($D331,'RBSA Weights'!$A$2:$C$1406,3,FALSE)</f>
        <v>1144.6790000000001</v>
      </c>
    </row>
    <row r="332" spans="1:11">
      <c r="A332" s="192" t="s">
        <v>703</v>
      </c>
      <c r="B332" s="192">
        <v>0.9</v>
      </c>
      <c r="C332" s="192">
        <v>28511</v>
      </c>
      <c r="D332" s="192">
        <v>11138</v>
      </c>
      <c r="E332" s="192">
        <v>1</v>
      </c>
      <c r="F332" s="192">
        <v>535</v>
      </c>
      <c r="G332" s="192">
        <v>10</v>
      </c>
      <c r="H332" s="192" t="s">
        <v>697</v>
      </c>
      <c r="I332" s="192" t="s">
        <v>65</v>
      </c>
      <c r="J332" s="192">
        <v>9.4999998807907104E-2</v>
      </c>
      <c r="K332" s="192">
        <f>VLOOKUP($D332,'RBSA Weights'!$A$2:$C$1406,3,FALSE)</f>
        <v>1524.7619999999999</v>
      </c>
    </row>
    <row r="333" spans="1:11">
      <c r="A333" s="192" t="s">
        <v>703</v>
      </c>
      <c r="B333" s="192">
        <v>0.9</v>
      </c>
      <c r="C333" s="192">
        <v>238495</v>
      </c>
      <c r="D333" s="192">
        <v>22767</v>
      </c>
      <c r="E333" s="192">
        <v>1</v>
      </c>
      <c r="F333" s="192">
        <v>2431</v>
      </c>
      <c r="G333" s="192">
        <v>20</v>
      </c>
      <c r="H333" s="192" t="s">
        <v>702</v>
      </c>
      <c r="I333" s="192" t="s">
        <v>65</v>
      </c>
      <c r="J333" s="192">
        <v>9.4999998807907104E-2</v>
      </c>
      <c r="K333" s="192">
        <f>VLOOKUP($D333,'RBSA Weights'!$A$2:$C$1406,3,FALSE)</f>
        <v>2079.9929999999999</v>
      </c>
    </row>
    <row r="334" spans="1:11">
      <c r="A334" s="192" t="s">
        <v>703</v>
      </c>
      <c r="B334" s="192">
        <v>0.9</v>
      </c>
      <c r="C334" s="192">
        <v>164961</v>
      </c>
      <c r="D334" s="192">
        <v>23278</v>
      </c>
      <c r="E334" s="192">
        <v>1</v>
      </c>
      <c r="F334" s="192">
        <v>1176</v>
      </c>
      <c r="H334" s="192" t="s">
        <v>65</v>
      </c>
      <c r="I334" s="192" t="s">
        <v>65</v>
      </c>
      <c r="J334" s="192">
        <v>9.4999998807907104E-2</v>
      </c>
      <c r="K334" s="192">
        <f>VLOOKUP($D334,'RBSA Weights'!$A$2:$C$1406,3,FALSE)</f>
        <v>1612.692</v>
      </c>
    </row>
    <row r="335" spans="1:11">
      <c r="A335" s="192" t="s">
        <v>703</v>
      </c>
      <c r="B335" s="192">
        <v>0.9</v>
      </c>
      <c r="C335" s="192">
        <v>148010</v>
      </c>
      <c r="D335" s="192">
        <v>12669</v>
      </c>
      <c r="E335" s="192">
        <v>1</v>
      </c>
      <c r="F335" s="192">
        <v>686</v>
      </c>
      <c r="G335" s="192">
        <v>29</v>
      </c>
      <c r="H335" s="192" t="s">
        <v>700</v>
      </c>
      <c r="I335" s="192" t="s">
        <v>65</v>
      </c>
      <c r="J335" s="192">
        <v>9.4999998807907104E-2</v>
      </c>
      <c r="K335" s="192">
        <f>VLOOKUP($D335,'RBSA Weights'!$A$2:$C$1406,3,FALSE)</f>
        <v>4956.4930000000004</v>
      </c>
    </row>
    <row r="336" spans="1:11">
      <c r="A336" s="192" t="s">
        <v>703</v>
      </c>
      <c r="B336" s="192">
        <v>0.9</v>
      </c>
      <c r="C336" s="192">
        <v>92399</v>
      </c>
      <c r="D336" s="192">
        <v>12630</v>
      </c>
      <c r="E336" s="192">
        <v>1</v>
      </c>
      <c r="F336" s="192">
        <v>423</v>
      </c>
      <c r="G336" s="192">
        <v>30</v>
      </c>
      <c r="H336" s="192" t="s">
        <v>704</v>
      </c>
      <c r="I336" s="192" t="s">
        <v>65</v>
      </c>
      <c r="J336" s="192">
        <v>9.4999998807907104E-2</v>
      </c>
      <c r="K336" s="192">
        <f>VLOOKUP($D336,'RBSA Weights'!$A$2:$C$1406,3,FALSE)</f>
        <v>2003.7159999999999</v>
      </c>
    </row>
    <row r="337" spans="1:11">
      <c r="A337" s="192" t="s">
        <v>703</v>
      </c>
      <c r="B337" s="192">
        <v>0.9</v>
      </c>
      <c r="C337" s="192">
        <v>677818</v>
      </c>
      <c r="D337" s="192">
        <v>22909</v>
      </c>
      <c r="E337" s="192">
        <v>2</v>
      </c>
      <c r="F337" s="192">
        <v>130</v>
      </c>
      <c r="G337" s="192">
        <v>30</v>
      </c>
      <c r="H337" s="192" t="s">
        <v>700</v>
      </c>
      <c r="I337" s="192" t="s">
        <v>65</v>
      </c>
      <c r="J337" s="192">
        <v>9.4999998807907104E-2</v>
      </c>
      <c r="K337" s="192">
        <f>VLOOKUP($D337,'RBSA Weights'!$A$2:$C$1406,3,FALSE)</f>
        <v>3785.7640000000001</v>
      </c>
    </row>
    <row r="338" spans="1:11">
      <c r="A338" s="192" t="s">
        <v>703</v>
      </c>
      <c r="B338" s="192">
        <v>0.9</v>
      </c>
      <c r="C338" s="192">
        <v>135430</v>
      </c>
      <c r="D338" s="192">
        <v>21598</v>
      </c>
      <c r="E338" s="192">
        <v>1</v>
      </c>
      <c r="F338" s="192">
        <v>1438</v>
      </c>
      <c r="H338" s="192" t="s">
        <v>705</v>
      </c>
      <c r="I338" s="192" t="s">
        <v>65</v>
      </c>
      <c r="J338" s="192">
        <v>9.4999998807907104E-2</v>
      </c>
      <c r="K338" s="192">
        <f>VLOOKUP($D338,'RBSA Weights'!$A$2:$C$1406,3,FALSE)</f>
        <v>8559.1039999999994</v>
      </c>
    </row>
    <row r="339" spans="1:11">
      <c r="A339" s="192" t="s">
        <v>703</v>
      </c>
      <c r="B339" s="192">
        <v>0.9</v>
      </c>
      <c r="C339" s="192">
        <v>240138</v>
      </c>
      <c r="D339" s="192">
        <v>10282</v>
      </c>
      <c r="E339" s="192">
        <v>1</v>
      </c>
      <c r="F339" s="192">
        <v>1288</v>
      </c>
      <c r="G339" s="192">
        <v>31</v>
      </c>
      <c r="H339" s="192" t="s">
        <v>700</v>
      </c>
      <c r="I339" s="192" t="s">
        <v>65</v>
      </c>
      <c r="J339" s="192">
        <v>9.4999998807907104E-2</v>
      </c>
      <c r="K339" s="192">
        <f>VLOOKUP($D339,'RBSA Weights'!$A$2:$C$1406,3,FALSE)</f>
        <v>1150.8789999999999</v>
      </c>
    </row>
    <row r="340" spans="1:11">
      <c r="A340" s="192" t="s">
        <v>703</v>
      </c>
      <c r="B340" s="192">
        <v>0.9</v>
      </c>
      <c r="C340" s="192">
        <v>30036</v>
      </c>
      <c r="D340" s="192">
        <v>10978</v>
      </c>
      <c r="E340" s="192">
        <v>1</v>
      </c>
      <c r="F340" s="192">
        <v>880</v>
      </c>
      <c r="G340" s="192">
        <v>10</v>
      </c>
      <c r="H340" s="192" t="s">
        <v>700</v>
      </c>
      <c r="I340" s="192" t="s">
        <v>65</v>
      </c>
      <c r="J340" s="192">
        <v>9.4999998807907104E-2</v>
      </c>
      <c r="K340" s="192">
        <f>VLOOKUP($D340,'RBSA Weights'!$A$2:$C$1406,3,FALSE)</f>
        <v>1524.7619999999999</v>
      </c>
    </row>
    <row r="341" spans="1:11">
      <c r="A341" s="192" t="s">
        <v>703</v>
      </c>
      <c r="B341" s="192">
        <v>0.9</v>
      </c>
      <c r="C341" s="192">
        <v>90149</v>
      </c>
      <c r="D341" s="192">
        <v>12898</v>
      </c>
      <c r="E341" s="192">
        <v>1</v>
      </c>
      <c r="F341" s="192">
        <v>1708</v>
      </c>
      <c r="G341" s="192">
        <v>18</v>
      </c>
      <c r="H341" s="192" t="s">
        <v>697</v>
      </c>
      <c r="I341" s="192" t="s">
        <v>65</v>
      </c>
      <c r="J341" s="192">
        <v>9.4999998807907104E-2</v>
      </c>
      <c r="K341" s="192">
        <f>VLOOKUP($D341,'RBSA Weights'!$A$2:$C$1406,3,FALSE)</f>
        <v>4956.4930000000004</v>
      </c>
    </row>
    <row r="342" spans="1:11">
      <c r="A342" s="192" t="s">
        <v>703</v>
      </c>
      <c r="B342" s="192">
        <v>0.9</v>
      </c>
      <c r="C342" s="192">
        <v>142336</v>
      </c>
      <c r="D342" s="192">
        <v>22352</v>
      </c>
      <c r="E342" s="192">
        <v>1</v>
      </c>
      <c r="F342" s="192">
        <v>787</v>
      </c>
      <c r="G342" s="192">
        <v>18</v>
      </c>
      <c r="H342" s="192" t="s">
        <v>697</v>
      </c>
      <c r="I342" s="192" t="s">
        <v>65</v>
      </c>
      <c r="J342" s="192">
        <v>9.4999998807907104E-2</v>
      </c>
      <c r="K342" s="192">
        <f>VLOOKUP($D342,'RBSA Weights'!$A$2:$C$1406,3,FALSE)</f>
        <v>1192.4649999999999</v>
      </c>
    </row>
    <row r="343" spans="1:11">
      <c r="A343" s="192" t="s">
        <v>703</v>
      </c>
      <c r="B343" s="192">
        <v>0.9</v>
      </c>
      <c r="C343" s="192">
        <v>107943</v>
      </c>
      <c r="D343" s="192">
        <v>10951</v>
      </c>
      <c r="E343" s="192">
        <v>1</v>
      </c>
      <c r="F343" s="192">
        <v>578</v>
      </c>
      <c r="G343" s="192">
        <v>28</v>
      </c>
      <c r="H343" s="192" t="s">
        <v>705</v>
      </c>
      <c r="I343" s="192" t="s">
        <v>65</v>
      </c>
      <c r="J343" s="192">
        <v>9.4999998807907104E-2</v>
      </c>
      <c r="K343" s="192">
        <f>VLOOKUP($D343,'RBSA Weights'!$A$2:$C$1406,3,FALSE)</f>
        <v>4956.4930000000004</v>
      </c>
    </row>
    <row r="344" spans="1:11">
      <c r="A344" s="192" t="s">
        <v>703</v>
      </c>
      <c r="B344" s="192">
        <v>0.9</v>
      </c>
      <c r="C344" s="192">
        <v>90260</v>
      </c>
      <c r="D344" s="192">
        <v>12582</v>
      </c>
      <c r="E344" s="192">
        <v>1</v>
      </c>
      <c r="F344" s="192">
        <v>1610</v>
      </c>
      <c r="G344" s="192">
        <v>20</v>
      </c>
      <c r="H344" s="192" t="s">
        <v>700</v>
      </c>
      <c r="I344" s="192" t="s">
        <v>65</v>
      </c>
      <c r="J344" s="192">
        <v>9.4999998807907104E-2</v>
      </c>
      <c r="K344" s="192">
        <f>VLOOKUP($D344,'RBSA Weights'!$A$2:$C$1406,3,FALSE)</f>
        <v>2003.7159999999999</v>
      </c>
    </row>
    <row r="345" spans="1:11">
      <c r="A345" s="192" t="s">
        <v>703</v>
      </c>
      <c r="B345" s="192">
        <v>0.9</v>
      </c>
      <c r="C345" s="192">
        <v>83006</v>
      </c>
      <c r="D345" s="192">
        <v>12255</v>
      </c>
      <c r="E345" s="192">
        <v>2</v>
      </c>
      <c r="F345" s="192">
        <v>238</v>
      </c>
      <c r="G345" s="192">
        <v>40</v>
      </c>
      <c r="H345" s="192" t="s">
        <v>700</v>
      </c>
      <c r="I345" s="192" t="s">
        <v>65</v>
      </c>
      <c r="J345" s="192">
        <v>9.4999998807907104E-2</v>
      </c>
      <c r="K345" s="192">
        <f>VLOOKUP($D345,'RBSA Weights'!$A$2:$C$1406,3,FALSE)</f>
        <v>1188.027</v>
      </c>
    </row>
    <row r="346" spans="1:11">
      <c r="A346" s="192" t="s">
        <v>703</v>
      </c>
      <c r="B346" s="192">
        <v>0.9</v>
      </c>
      <c r="C346" s="192">
        <v>722931</v>
      </c>
      <c r="D346" s="192">
        <v>12975</v>
      </c>
      <c r="E346" s="192">
        <v>1</v>
      </c>
      <c r="F346" s="192">
        <v>1188</v>
      </c>
      <c r="G346" s="192">
        <v>30</v>
      </c>
      <c r="H346" s="192" t="s">
        <v>705</v>
      </c>
      <c r="I346" s="192" t="s">
        <v>65</v>
      </c>
      <c r="J346" s="192">
        <v>9.4999998807907104E-2</v>
      </c>
      <c r="K346" s="192">
        <f>VLOOKUP($D346,'RBSA Weights'!$A$2:$C$1406,3,FALSE)</f>
        <v>6932.7380000000003</v>
      </c>
    </row>
    <row r="347" spans="1:11">
      <c r="A347" s="192" t="s">
        <v>703</v>
      </c>
      <c r="B347" s="192">
        <v>0.9</v>
      </c>
      <c r="C347" s="192">
        <v>39324</v>
      </c>
      <c r="D347" s="192">
        <v>11549</v>
      </c>
      <c r="E347" s="192">
        <v>1</v>
      </c>
      <c r="F347" s="192">
        <v>870</v>
      </c>
      <c r="G347" s="192">
        <v>20</v>
      </c>
      <c r="H347" s="192" t="s">
        <v>705</v>
      </c>
      <c r="I347" s="192" t="s">
        <v>65</v>
      </c>
      <c r="J347" s="192">
        <v>9.4999998807907104E-2</v>
      </c>
      <c r="K347" s="192">
        <f>VLOOKUP($D347,'RBSA Weights'!$A$2:$C$1406,3,FALSE)</f>
        <v>1524.7619999999999</v>
      </c>
    </row>
    <row r="348" spans="1:11">
      <c r="A348" s="192" t="s">
        <v>703</v>
      </c>
      <c r="B348" s="192">
        <v>0.9</v>
      </c>
      <c r="C348" s="192">
        <v>691927</v>
      </c>
      <c r="D348" s="192">
        <v>20088</v>
      </c>
      <c r="E348" s="192">
        <v>1</v>
      </c>
      <c r="F348" s="192">
        <v>1040</v>
      </c>
      <c r="G348" s="192">
        <v>30</v>
      </c>
      <c r="H348" s="192" t="s">
        <v>699</v>
      </c>
      <c r="I348" s="192" t="s">
        <v>65</v>
      </c>
      <c r="J348" s="192">
        <v>9.4999998807907104E-2</v>
      </c>
      <c r="K348" s="192">
        <f>VLOOKUP($D348,'RBSA Weights'!$A$2:$C$1406,3,FALSE)</f>
        <v>3785.7640000000001</v>
      </c>
    </row>
    <row r="349" spans="1:11">
      <c r="A349" s="192" t="s">
        <v>703</v>
      </c>
      <c r="B349" s="192">
        <v>0.9</v>
      </c>
      <c r="C349" s="192">
        <v>115868</v>
      </c>
      <c r="D349" s="192">
        <v>13514</v>
      </c>
      <c r="E349" s="192">
        <v>1</v>
      </c>
      <c r="F349" s="192">
        <v>960</v>
      </c>
      <c r="G349" s="192">
        <v>20</v>
      </c>
      <c r="H349" s="192" t="s">
        <v>702</v>
      </c>
      <c r="I349" s="192" t="s">
        <v>65</v>
      </c>
      <c r="J349" s="192">
        <v>9.4999998807907104E-2</v>
      </c>
      <c r="K349" s="192">
        <f>VLOOKUP($D349,'RBSA Weights'!$A$2:$C$1406,3,FALSE)</f>
        <v>4956.4930000000004</v>
      </c>
    </row>
    <row r="350" spans="1:11">
      <c r="A350" s="192" t="s">
        <v>703</v>
      </c>
      <c r="B350" s="192">
        <v>0.9</v>
      </c>
      <c r="C350" s="192">
        <v>92725</v>
      </c>
      <c r="D350" s="192">
        <v>11478</v>
      </c>
      <c r="E350" s="192">
        <v>1</v>
      </c>
      <c r="F350" s="192">
        <v>1113</v>
      </c>
      <c r="G350" s="192">
        <v>30</v>
      </c>
      <c r="H350" s="192" t="s">
        <v>699</v>
      </c>
      <c r="I350" s="192" t="s">
        <v>65</v>
      </c>
      <c r="J350" s="192">
        <v>9.4999998807907104E-2</v>
      </c>
      <c r="K350" s="192">
        <f>VLOOKUP($D350,'RBSA Weights'!$A$2:$C$1406,3,FALSE)</f>
        <v>2003.7159999999999</v>
      </c>
    </row>
    <row r="351" spans="1:11">
      <c r="A351" s="192" t="s">
        <v>703</v>
      </c>
      <c r="B351" s="192">
        <v>0.9</v>
      </c>
      <c r="C351" s="192">
        <v>88556</v>
      </c>
      <c r="D351" s="192">
        <v>10986</v>
      </c>
      <c r="E351" s="192">
        <v>1</v>
      </c>
      <c r="F351" s="192">
        <v>1926</v>
      </c>
      <c r="G351" s="192">
        <v>20</v>
      </c>
      <c r="H351" s="192" t="s">
        <v>700</v>
      </c>
      <c r="I351" s="192" t="s">
        <v>65</v>
      </c>
      <c r="J351" s="192">
        <v>9.4999998807907104E-2</v>
      </c>
      <c r="K351" s="192">
        <f>VLOOKUP($D351,'RBSA Weights'!$A$2:$C$1406,3,FALSE)</f>
        <v>2003.7159999999999</v>
      </c>
    </row>
    <row r="352" spans="1:11">
      <c r="A352" s="192" t="s">
        <v>703</v>
      </c>
      <c r="B352" s="192">
        <v>0.9</v>
      </c>
      <c r="C352" s="192">
        <v>37246</v>
      </c>
      <c r="D352" s="192">
        <v>20034</v>
      </c>
      <c r="E352" s="192">
        <v>1</v>
      </c>
      <c r="F352" s="192">
        <v>861</v>
      </c>
      <c r="G352" s="192">
        <v>30</v>
      </c>
      <c r="H352" s="192" t="s">
        <v>697</v>
      </c>
      <c r="I352" s="192" t="s">
        <v>65</v>
      </c>
      <c r="J352" s="192">
        <v>9.4999998807907104E-2</v>
      </c>
      <c r="K352" s="192">
        <f>VLOOKUP($D352,'RBSA Weights'!$A$2:$C$1406,3,FALSE)</f>
        <v>3785.7640000000001</v>
      </c>
    </row>
    <row r="353" spans="1:11">
      <c r="A353" s="192" t="s">
        <v>703</v>
      </c>
      <c r="B353" s="192">
        <v>0.9</v>
      </c>
      <c r="C353" s="192">
        <v>59720</v>
      </c>
      <c r="D353" s="192">
        <v>10567</v>
      </c>
      <c r="E353" s="192">
        <v>1</v>
      </c>
      <c r="F353" s="192">
        <v>710</v>
      </c>
      <c r="G353" s="192">
        <v>10</v>
      </c>
      <c r="H353" s="192" t="s">
        <v>705</v>
      </c>
      <c r="I353" s="192" t="s">
        <v>65</v>
      </c>
      <c r="J353" s="192">
        <v>9.4999998807907104E-2</v>
      </c>
      <c r="K353" s="192">
        <f>VLOOKUP($D353,'RBSA Weights'!$A$2:$C$1406,3,FALSE)</f>
        <v>2003.7159999999999</v>
      </c>
    </row>
    <row r="354" spans="1:11">
      <c r="A354" s="192" t="s">
        <v>703</v>
      </c>
      <c r="B354" s="192">
        <v>0.9</v>
      </c>
      <c r="C354" s="192">
        <v>41756</v>
      </c>
      <c r="D354" s="192">
        <v>12679</v>
      </c>
      <c r="E354" s="192">
        <v>1</v>
      </c>
      <c r="F354" s="192">
        <v>1824</v>
      </c>
      <c r="G354" s="192">
        <v>38</v>
      </c>
      <c r="H354" s="192" t="s">
        <v>697</v>
      </c>
      <c r="I354" s="192" t="s">
        <v>65</v>
      </c>
      <c r="J354" s="192">
        <v>9.4999998807907104E-2</v>
      </c>
      <c r="K354" s="192">
        <f>VLOOKUP($D354,'RBSA Weights'!$A$2:$C$1406,3,FALSE)</f>
        <v>1524.7619999999999</v>
      </c>
    </row>
    <row r="355" spans="1:11">
      <c r="A355" s="192" t="s">
        <v>703</v>
      </c>
      <c r="B355" s="192">
        <v>0.9</v>
      </c>
      <c r="C355" s="192">
        <v>50031</v>
      </c>
      <c r="D355" s="192">
        <v>10848</v>
      </c>
      <c r="E355" s="192">
        <v>1</v>
      </c>
      <c r="F355" s="192">
        <v>983</v>
      </c>
      <c r="G355" s="192">
        <v>50</v>
      </c>
      <c r="H355" s="192" t="s">
        <v>702</v>
      </c>
      <c r="I355" s="192" t="s">
        <v>65</v>
      </c>
      <c r="J355" s="192">
        <v>9.4999998807907104E-2</v>
      </c>
      <c r="K355" s="192">
        <f>VLOOKUP($D355,'RBSA Weights'!$A$2:$C$1406,3,FALSE)</f>
        <v>1524.7619999999999</v>
      </c>
    </row>
    <row r="356" spans="1:11">
      <c r="A356" s="192" t="s">
        <v>703</v>
      </c>
      <c r="B356" s="192">
        <v>0.9</v>
      </c>
      <c r="C356" s="192">
        <v>234954</v>
      </c>
      <c r="D356" s="192">
        <v>11943</v>
      </c>
      <c r="E356" s="192">
        <v>1</v>
      </c>
      <c r="F356" s="192">
        <v>1140</v>
      </c>
      <c r="G356" s="192">
        <v>20</v>
      </c>
      <c r="H356" s="192" t="s">
        <v>697</v>
      </c>
      <c r="I356" s="192" t="s">
        <v>65</v>
      </c>
      <c r="J356" s="192">
        <v>9.4999998807907104E-2</v>
      </c>
      <c r="K356" s="192">
        <f>VLOOKUP($D356,'RBSA Weights'!$A$2:$C$1406,3,FALSE)</f>
        <v>4956.4930000000004</v>
      </c>
    </row>
    <row r="357" spans="1:11">
      <c r="A357" s="192" t="s">
        <v>703</v>
      </c>
      <c r="B357" s="192">
        <v>0.9</v>
      </c>
      <c r="C357" s="192">
        <v>107827</v>
      </c>
      <c r="D357" s="192">
        <v>24451</v>
      </c>
      <c r="E357" s="192">
        <v>1</v>
      </c>
      <c r="F357" s="192">
        <v>1500</v>
      </c>
      <c r="G357" s="192">
        <v>20</v>
      </c>
      <c r="H357" s="192" t="s">
        <v>700</v>
      </c>
      <c r="I357" s="192" t="s">
        <v>65</v>
      </c>
      <c r="J357" s="192">
        <v>9.4999998807907104E-2</v>
      </c>
      <c r="K357" s="192">
        <f>VLOOKUP($D357,'RBSA Weights'!$A$2:$C$1406,3,FALSE)</f>
        <v>2079.9929999999999</v>
      </c>
    </row>
    <row r="358" spans="1:11">
      <c r="A358" s="192" t="s">
        <v>703</v>
      </c>
      <c r="B358" s="192">
        <v>0.9</v>
      </c>
      <c r="C358" s="192">
        <v>58070</v>
      </c>
      <c r="D358" s="192">
        <v>24662</v>
      </c>
      <c r="E358" s="192">
        <v>1</v>
      </c>
      <c r="F358" s="192">
        <v>1820</v>
      </c>
      <c r="H358" s="192" t="s">
        <v>700</v>
      </c>
      <c r="I358" s="192" t="s">
        <v>65</v>
      </c>
      <c r="J358" s="192">
        <v>9.4999998807907104E-2</v>
      </c>
      <c r="K358" s="192">
        <f>VLOOKUP($D358,'RBSA Weights'!$A$2:$C$1406,3,FALSE)</f>
        <v>2079.9929999999999</v>
      </c>
    </row>
    <row r="359" spans="1:11">
      <c r="A359" s="192" t="s">
        <v>703</v>
      </c>
      <c r="B359" s="192">
        <v>0.9</v>
      </c>
      <c r="C359" s="192">
        <v>219677</v>
      </c>
      <c r="D359" s="192">
        <v>11504</v>
      </c>
      <c r="E359" s="192">
        <v>1</v>
      </c>
      <c r="F359" s="192">
        <v>1232</v>
      </c>
      <c r="G359" s="192">
        <v>49</v>
      </c>
      <c r="H359" s="192" t="s">
        <v>705</v>
      </c>
      <c r="I359" s="192" t="s">
        <v>65</v>
      </c>
      <c r="J359" s="192">
        <v>9.4999998807907104E-2</v>
      </c>
      <c r="K359" s="192">
        <f>VLOOKUP($D359,'RBSA Weights'!$A$2:$C$1406,3,FALSE)</f>
        <v>6932.7380000000003</v>
      </c>
    </row>
    <row r="360" spans="1:11">
      <c r="A360" s="192" t="s">
        <v>703</v>
      </c>
      <c r="B360" s="192">
        <v>0.9</v>
      </c>
      <c r="C360" s="192">
        <v>143275</v>
      </c>
      <c r="D360" s="192">
        <v>12889</v>
      </c>
      <c r="E360" s="192">
        <v>1</v>
      </c>
      <c r="F360" s="192">
        <v>988</v>
      </c>
      <c r="G360" s="192">
        <v>10</v>
      </c>
      <c r="H360" s="192" t="s">
        <v>700</v>
      </c>
      <c r="I360" s="192" t="s">
        <v>65</v>
      </c>
      <c r="J360" s="192">
        <v>9.4999998807907104E-2</v>
      </c>
      <c r="K360" s="192">
        <f>VLOOKUP($D360,'RBSA Weights'!$A$2:$C$1406,3,FALSE)</f>
        <v>4956.4930000000004</v>
      </c>
    </row>
    <row r="361" spans="1:11">
      <c r="A361" s="192" t="s">
        <v>703</v>
      </c>
      <c r="B361" s="192">
        <v>0.9</v>
      </c>
      <c r="C361" s="192">
        <v>165893</v>
      </c>
      <c r="D361" s="192">
        <v>14000</v>
      </c>
      <c r="E361" s="192">
        <v>1</v>
      </c>
      <c r="F361" s="192">
        <v>574</v>
      </c>
      <c r="G361" s="192">
        <v>35</v>
      </c>
      <c r="H361" s="192" t="s">
        <v>700</v>
      </c>
      <c r="I361" s="192" t="s">
        <v>65</v>
      </c>
      <c r="J361" s="192">
        <v>9.4999998807907104E-2</v>
      </c>
      <c r="K361" s="192">
        <f>VLOOKUP($D361,'RBSA Weights'!$A$2:$C$1406,3,FALSE)</f>
        <v>1524.7619999999999</v>
      </c>
    </row>
    <row r="362" spans="1:11">
      <c r="A362" s="192" t="s">
        <v>703</v>
      </c>
      <c r="B362" s="192">
        <v>0.9</v>
      </c>
      <c r="C362" s="192">
        <v>27289</v>
      </c>
      <c r="D362" s="192">
        <v>12640</v>
      </c>
      <c r="E362" s="192">
        <v>1</v>
      </c>
      <c r="F362" s="192">
        <v>1240</v>
      </c>
      <c r="G362" s="192">
        <v>30</v>
      </c>
      <c r="H362" s="192" t="s">
        <v>705</v>
      </c>
      <c r="I362" s="192" t="s">
        <v>65</v>
      </c>
      <c r="J362" s="192">
        <v>9.4999998807907104E-2</v>
      </c>
      <c r="K362" s="192">
        <f>VLOOKUP($D362,'RBSA Weights'!$A$2:$C$1406,3,FALSE)</f>
        <v>1150.8789999999999</v>
      </c>
    </row>
    <row r="363" spans="1:11">
      <c r="A363" s="192" t="s">
        <v>703</v>
      </c>
      <c r="B363" s="192">
        <v>0.9</v>
      </c>
      <c r="C363" s="192">
        <v>44457</v>
      </c>
      <c r="D363" s="192">
        <v>22693</v>
      </c>
      <c r="E363" s="192">
        <v>1</v>
      </c>
      <c r="F363" s="192">
        <v>1500</v>
      </c>
      <c r="G363" s="192">
        <v>40</v>
      </c>
      <c r="H363" s="192" t="s">
        <v>702</v>
      </c>
      <c r="I363" s="192" t="s">
        <v>65</v>
      </c>
      <c r="J363" s="192">
        <v>9.4999998807907104E-2</v>
      </c>
      <c r="K363" s="192">
        <f>VLOOKUP($D363,'RBSA Weights'!$A$2:$C$1406,3,FALSE)</f>
        <v>12271.31</v>
      </c>
    </row>
    <row r="364" spans="1:11">
      <c r="A364" s="192" t="s">
        <v>703</v>
      </c>
      <c r="B364" s="192">
        <v>0.9</v>
      </c>
      <c r="C364" s="192">
        <v>93023</v>
      </c>
      <c r="D364" s="192">
        <v>11555</v>
      </c>
      <c r="E364" s="192">
        <v>1</v>
      </c>
      <c r="F364" s="192">
        <v>1300</v>
      </c>
      <c r="G364" s="192">
        <v>18</v>
      </c>
      <c r="H364" s="192" t="s">
        <v>700</v>
      </c>
      <c r="I364" s="192" t="s">
        <v>65</v>
      </c>
      <c r="J364" s="192">
        <v>9.4999998807907104E-2</v>
      </c>
      <c r="K364" s="192">
        <f>VLOOKUP($D364,'RBSA Weights'!$A$2:$C$1406,3,FALSE)</f>
        <v>2003.7159999999999</v>
      </c>
    </row>
    <row r="365" spans="1:11">
      <c r="A365" s="192" t="s">
        <v>703</v>
      </c>
      <c r="B365" s="192">
        <v>0.9</v>
      </c>
      <c r="C365" s="192">
        <v>29457</v>
      </c>
      <c r="D365" s="192">
        <v>10927</v>
      </c>
      <c r="E365" s="192">
        <v>1</v>
      </c>
      <c r="F365" s="192">
        <v>979</v>
      </c>
      <c r="G365" s="192">
        <v>30</v>
      </c>
      <c r="H365" s="192" t="s">
        <v>700</v>
      </c>
      <c r="I365" s="192" t="s">
        <v>65</v>
      </c>
      <c r="J365" s="192">
        <v>9.4999998807907104E-2</v>
      </c>
      <c r="K365" s="192">
        <f>VLOOKUP($D365,'RBSA Weights'!$A$2:$C$1406,3,FALSE)</f>
        <v>1524.7619999999999</v>
      </c>
    </row>
    <row r="366" spans="1:11">
      <c r="A366" s="192" t="s">
        <v>703</v>
      </c>
      <c r="B366" s="192">
        <v>0.9</v>
      </c>
      <c r="C366" s="192">
        <v>239225</v>
      </c>
      <c r="D366" s="192">
        <v>14117</v>
      </c>
      <c r="E366" s="192">
        <v>1</v>
      </c>
      <c r="F366" s="192">
        <v>936</v>
      </c>
      <c r="G366" s="192">
        <v>20</v>
      </c>
      <c r="H366" s="192" t="s">
        <v>697</v>
      </c>
      <c r="I366" s="192" t="s">
        <v>65</v>
      </c>
      <c r="J366" s="192">
        <v>9.4999998807907104E-2</v>
      </c>
      <c r="K366" s="192">
        <f>VLOOKUP($D366,'RBSA Weights'!$A$2:$C$1406,3,FALSE)</f>
        <v>1150.8789999999999</v>
      </c>
    </row>
    <row r="367" spans="1:11">
      <c r="A367" s="192" t="s">
        <v>703</v>
      </c>
      <c r="B367" s="192">
        <v>0.9</v>
      </c>
      <c r="C367" s="192">
        <v>654825</v>
      </c>
      <c r="D367" s="192">
        <v>21974</v>
      </c>
      <c r="E367" s="192">
        <v>1</v>
      </c>
      <c r="F367" s="192">
        <v>1008</v>
      </c>
      <c r="G367" s="192">
        <v>30</v>
      </c>
      <c r="H367" s="192" t="s">
        <v>705</v>
      </c>
      <c r="I367" s="192" t="s">
        <v>65</v>
      </c>
      <c r="J367" s="192">
        <v>9.4999998807907104E-2</v>
      </c>
      <c r="K367" s="192">
        <f>VLOOKUP($D367,'RBSA Weights'!$A$2:$C$1406,3,FALSE)</f>
        <v>3785.7640000000001</v>
      </c>
    </row>
    <row r="368" spans="1:11">
      <c r="A368" s="192" t="s">
        <v>703</v>
      </c>
      <c r="B368" s="192">
        <v>0.9</v>
      </c>
      <c r="C368" s="192">
        <v>689463</v>
      </c>
      <c r="D368" s="192">
        <v>24833</v>
      </c>
      <c r="E368" s="192">
        <v>1</v>
      </c>
      <c r="F368" s="192">
        <v>1494</v>
      </c>
      <c r="G368" s="192">
        <v>34</v>
      </c>
      <c r="H368" s="192" t="s">
        <v>700</v>
      </c>
      <c r="I368" s="192" t="s">
        <v>65</v>
      </c>
      <c r="J368" s="192">
        <v>9.4999998807907104E-2</v>
      </c>
      <c r="K368" s="192">
        <f>VLOOKUP($D368,'RBSA Weights'!$A$2:$C$1406,3,FALSE)</f>
        <v>12271.31</v>
      </c>
    </row>
    <row r="369" spans="1:11">
      <c r="A369" s="192" t="s">
        <v>703</v>
      </c>
      <c r="B369" s="192">
        <v>0.9</v>
      </c>
      <c r="C369" s="192">
        <v>663080</v>
      </c>
      <c r="D369" s="192">
        <v>12372</v>
      </c>
      <c r="E369" s="192">
        <v>1</v>
      </c>
      <c r="F369" s="192">
        <v>730</v>
      </c>
      <c r="G369" s="192">
        <v>20</v>
      </c>
      <c r="H369" s="192" t="s">
        <v>700</v>
      </c>
      <c r="I369" s="192" t="s">
        <v>65</v>
      </c>
      <c r="J369" s="192">
        <v>9.4999998807907104E-2</v>
      </c>
      <c r="K369" s="192">
        <f>VLOOKUP($D369,'RBSA Weights'!$A$2:$C$1406,3,FALSE)</f>
        <v>4956.4930000000004</v>
      </c>
    </row>
    <row r="370" spans="1:11">
      <c r="A370" s="192" t="s">
        <v>703</v>
      </c>
      <c r="B370" s="192">
        <v>0.9</v>
      </c>
      <c r="C370" s="192">
        <v>51308</v>
      </c>
      <c r="D370" s="192">
        <v>23110</v>
      </c>
      <c r="E370" s="192">
        <v>1</v>
      </c>
      <c r="F370" s="192">
        <v>1000</v>
      </c>
      <c r="G370" s="192">
        <v>30</v>
      </c>
      <c r="H370" s="192" t="s">
        <v>699</v>
      </c>
      <c r="I370" s="192" t="s">
        <v>65</v>
      </c>
      <c r="J370" s="192">
        <v>9.4999998807907104E-2</v>
      </c>
      <c r="K370" s="192">
        <f>VLOOKUP($D370,'RBSA Weights'!$A$2:$C$1406,3,FALSE)</f>
        <v>3785.7640000000001</v>
      </c>
    </row>
    <row r="371" spans="1:11">
      <c r="A371" s="192" t="s">
        <v>703</v>
      </c>
      <c r="B371" s="192">
        <v>0.9</v>
      </c>
      <c r="C371" s="192">
        <v>63028</v>
      </c>
      <c r="D371" s="192">
        <v>12483</v>
      </c>
      <c r="E371" s="192">
        <v>1</v>
      </c>
      <c r="F371" s="192">
        <v>884</v>
      </c>
      <c r="G371" s="192">
        <v>25</v>
      </c>
      <c r="H371" s="192" t="s">
        <v>697</v>
      </c>
      <c r="I371" s="192" t="s">
        <v>65</v>
      </c>
      <c r="J371" s="192">
        <v>9.4999998807907104E-2</v>
      </c>
      <c r="K371" s="192">
        <f>VLOOKUP($D371,'RBSA Weights'!$A$2:$C$1406,3,FALSE)</f>
        <v>1188.027</v>
      </c>
    </row>
    <row r="372" spans="1:11">
      <c r="A372" s="192" t="s">
        <v>703</v>
      </c>
      <c r="B372" s="192">
        <v>0.9</v>
      </c>
      <c r="C372" s="192">
        <v>89464</v>
      </c>
      <c r="D372" s="192">
        <v>12524</v>
      </c>
      <c r="E372" s="192">
        <v>1</v>
      </c>
      <c r="F372" s="192">
        <v>600</v>
      </c>
      <c r="G372" s="192">
        <v>10</v>
      </c>
      <c r="H372" s="192" t="s">
        <v>700</v>
      </c>
      <c r="I372" s="192" t="s">
        <v>65</v>
      </c>
      <c r="J372" s="192">
        <v>9.4999998807907104E-2</v>
      </c>
      <c r="K372" s="192">
        <f>VLOOKUP($D372,'RBSA Weights'!$A$2:$C$1406,3,FALSE)</f>
        <v>2003.7159999999999</v>
      </c>
    </row>
    <row r="373" spans="1:11">
      <c r="A373" s="192" t="s">
        <v>703</v>
      </c>
      <c r="B373" s="192">
        <v>0.9</v>
      </c>
      <c r="C373" s="192">
        <v>171525</v>
      </c>
      <c r="D373" s="192">
        <v>21881</v>
      </c>
      <c r="E373" s="192">
        <v>1</v>
      </c>
      <c r="F373" s="192">
        <v>1004</v>
      </c>
      <c r="G373" s="192">
        <v>30</v>
      </c>
      <c r="H373" s="192" t="s">
        <v>697</v>
      </c>
      <c r="I373" s="192" t="s">
        <v>65</v>
      </c>
      <c r="J373" s="192">
        <v>9.4999998807907104E-2</v>
      </c>
      <c r="K373" s="192">
        <f>VLOOKUP($D373,'RBSA Weights'!$A$2:$C$1406,3,FALSE)</f>
        <v>1192.4649999999999</v>
      </c>
    </row>
    <row r="374" spans="1:11">
      <c r="A374" s="192" t="s">
        <v>703</v>
      </c>
      <c r="B374" s="192">
        <v>0.9</v>
      </c>
      <c r="C374" s="192">
        <v>100132</v>
      </c>
      <c r="D374" s="192">
        <v>20445</v>
      </c>
      <c r="E374" s="192">
        <v>1</v>
      </c>
      <c r="F374" s="192">
        <v>1740</v>
      </c>
      <c r="G374" s="192">
        <v>31</v>
      </c>
      <c r="H374" s="192" t="s">
        <v>702</v>
      </c>
      <c r="I374" s="192" t="s">
        <v>65</v>
      </c>
      <c r="J374" s="192">
        <v>9.4999998807907104E-2</v>
      </c>
      <c r="K374" s="192">
        <f>VLOOKUP($D374,'RBSA Weights'!$A$2:$C$1406,3,FALSE)</f>
        <v>1144.6790000000001</v>
      </c>
    </row>
    <row r="375" spans="1:11">
      <c r="A375" s="192" t="s">
        <v>703</v>
      </c>
      <c r="B375" s="192">
        <v>0.9</v>
      </c>
      <c r="C375" s="192">
        <v>50596</v>
      </c>
      <c r="D375" s="192">
        <v>10493</v>
      </c>
      <c r="E375" s="192">
        <v>1</v>
      </c>
      <c r="F375" s="192">
        <v>980</v>
      </c>
      <c r="G375" s="192">
        <v>20</v>
      </c>
      <c r="H375" s="192" t="s">
        <v>700</v>
      </c>
      <c r="I375" s="192" t="s">
        <v>65</v>
      </c>
      <c r="J375" s="192">
        <v>9.4999998807907104E-2</v>
      </c>
      <c r="K375" s="192">
        <f>VLOOKUP($D375,'RBSA Weights'!$A$2:$C$1406,3,FALSE)</f>
        <v>1524.7619999999999</v>
      </c>
    </row>
    <row r="376" spans="1:11">
      <c r="A376" s="192" t="s">
        <v>703</v>
      </c>
      <c r="B376" s="192">
        <v>0.9</v>
      </c>
      <c r="C376" s="192">
        <v>148919</v>
      </c>
      <c r="D376" s="192">
        <v>12944</v>
      </c>
      <c r="E376" s="192">
        <v>1</v>
      </c>
      <c r="F376" s="192">
        <v>1836</v>
      </c>
      <c r="G376" s="192">
        <v>25</v>
      </c>
      <c r="H376" s="192" t="s">
        <v>702</v>
      </c>
      <c r="I376" s="192" t="s">
        <v>65</v>
      </c>
      <c r="J376" s="192">
        <v>9.4999998807907104E-2</v>
      </c>
      <c r="K376" s="192">
        <f>VLOOKUP($D376,'RBSA Weights'!$A$2:$C$1406,3,FALSE)</f>
        <v>4956.4930000000004</v>
      </c>
    </row>
    <row r="377" spans="1:11">
      <c r="A377" s="192" t="s">
        <v>703</v>
      </c>
      <c r="B377" s="192">
        <v>0.9</v>
      </c>
      <c r="C377" s="192">
        <v>122842</v>
      </c>
      <c r="D377" s="192">
        <v>23439</v>
      </c>
      <c r="E377" s="192">
        <v>1</v>
      </c>
      <c r="F377" s="192">
        <v>1336</v>
      </c>
      <c r="G377" s="192">
        <v>31</v>
      </c>
      <c r="H377" s="192" t="s">
        <v>705</v>
      </c>
      <c r="I377" s="192" t="s">
        <v>65</v>
      </c>
      <c r="J377" s="192">
        <v>9.4999998807907104E-2</v>
      </c>
      <c r="K377" s="192">
        <f>VLOOKUP($D377,'RBSA Weights'!$A$2:$C$1406,3,FALSE)</f>
        <v>1925.059</v>
      </c>
    </row>
    <row r="378" spans="1:11">
      <c r="A378" s="192" t="s">
        <v>703</v>
      </c>
      <c r="B378" s="192">
        <v>0.9</v>
      </c>
      <c r="C378" s="192">
        <v>89256</v>
      </c>
      <c r="D378" s="192">
        <v>13265</v>
      </c>
      <c r="E378" s="192">
        <v>1</v>
      </c>
      <c r="F378" s="192">
        <v>1308</v>
      </c>
      <c r="G378" s="192">
        <v>30</v>
      </c>
      <c r="H378" s="192" t="s">
        <v>705</v>
      </c>
      <c r="I378" s="192" t="s">
        <v>65</v>
      </c>
      <c r="J378" s="192">
        <v>9.4999998807907104E-2</v>
      </c>
      <c r="K378" s="192">
        <f>VLOOKUP($D378,'RBSA Weights'!$A$2:$C$1406,3,FALSE)</f>
        <v>2003.7159999999999</v>
      </c>
    </row>
    <row r="379" spans="1:11">
      <c r="A379" s="192" t="s">
        <v>703</v>
      </c>
      <c r="B379" s="192">
        <v>0.9</v>
      </c>
      <c r="C379" s="192">
        <v>110465</v>
      </c>
      <c r="D379" s="192">
        <v>11048</v>
      </c>
      <c r="E379" s="192">
        <v>1</v>
      </c>
      <c r="F379" s="192">
        <v>1150</v>
      </c>
      <c r="G379" s="192">
        <v>20</v>
      </c>
      <c r="H379" s="192" t="s">
        <v>700</v>
      </c>
      <c r="I379" s="192" t="s">
        <v>65</v>
      </c>
      <c r="J379" s="192">
        <v>9.4999998807907104E-2</v>
      </c>
      <c r="K379" s="192">
        <f>VLOOKUP($D379,'RBSA Weights'!$A$2:$C$1406,3,FALSE)</f>
        <v>1464.694</v>
      </c>
    </row>
    <row r="380" spans="1:11">
      <c r="A380" s="192" t="s">
        <v>703</v>
      </c>
      <c r="B380" s="192">
        <v>0.9</v>
      </c>
      <c r="C380" s="192">
        <v>124713</v>
      </c>
      <c r="D380" s="192">
        <v>22919</v>
      </c>
      <c r="E380" s="192">
        <v>1</v>
      </c>
      <c r="F380" s="192">
        <v>1000</v>
      </c>
      <c r="G380" s="192">
        <v>20</v>
      </c>
      <c r="H380" s="192" t="s">
        <v>697</v>
      </c>
      <c r="I380" s="192" t="s">
        <v>65</v>
      </c>
      <c r="J380" s="192">
        <v>9.4999998807907104E-2</v>
      </c>
      <c r="K380" s="192">
        <f>VLOOKUP($D380,'RBSA Weights'!$A$2:$C$1406,3,FALSE)</f>
        <v>2079.9929999999999</v>
      </c>
    </row>
    <row r="381" spans="1:11">
      <c r="A381" s="192" t="s">
        <v>703</v>
      </c>
      <c r="B381" s="192">
        <v>0.9</v>
      </c>
      <c r="C381" s="192">
        <v>202325</v>
      </c>
      <c r="D381" s="192">
        <v>11835</v>
      </c>
      <c r="E381" s="192">
        <v>2</v>
      </c>
      <c r="F381" s="192">
        <v>566</v>
      </c>
      <c r="G381" s="192">
        <v>0</v>
      </c>
      <c r="H381" s="192" t="s">
        <v>700</v>
      </c>
      <c r="I381" s="192" t="s">
        <v>65</v>
      </c>
      <c r="J381" s="192">
        <v>9.4999998807907104E-2</v>
      </c>
      <c r="K381" s="192">
        <f>VLOOKUP($D381,'RBSA Weights'!$A$2:$C$1406,3,FALSE)</f>
        <v>1464.694</v>
      </c>
    </row>
    <row r="382" spans="1:11">
      <c r="A382" s="192" t="s">
        <v>703</v>
      </c>
      <c r="B382" s="192">
        <v>0.9</v>
      </c>
      <c r="C382" s="192">
        <v>678366</v>
      </c>
      <c r="D382" s="192">
        <v>14153</v>
      </c>
      <c r="E382" s="192">
        <v>1</v>
      </c>
      <c r="F382" s="192">
        <v>558</v>
      </c>
      <c r="G382" s="192">
        <v>50</v>
      </c>
      <c r="H382" s="192" t="s">
        <v>700</v>
      </c>
      <c r="I382" s="192" t="s">
        <v>65</v>
      </c>
      <c r="J382" s="192">
        <v>9.4999998807907104E-2</v>
      </c>
      <c r="K382" s="192">
        <f>VLOOKUP($D382,'RBSA Weights'!$A$2:$C$1406,3,FALSE)</f>
        <v>6932.7380000000003</v>
      </c>
    </row>
    <row r="383" spans="1:11">
      <c r="A383" s="192" t="s">
        <v>703</v>
      </c>
      <c r="B383" s="192">
        <v>0.9</v>
      </c>
      <c r="C383" s="192">
        <v>52764</v>
      </c>
      <c r="D383" s="192">
        <v>23482</v>
      </c>
      <c r="E383" s="192">
        <v>1</v>
      </c>
      <c r="F383" s="192">
        <v>1105</v>
      </c>
      <c r="G383" s="192">
        <v>11</v>
      </c>
      <c r="H383" s="192" t="s">
        <v>700</v>
      </c>
      <c r="I383" s="192" t="s">
        <v>65</v>
      </c>
      <c r="J383" s="192">
        <v>9.4999998807907104E-2</v>
      </c>
      <c r="K383" s="192">
        <f>VLOOKUP($D383,'RBSA Weights'!$A$2:$C$1406,3,FALSE)</f>
        <v>2079.9929999999999</v>
      </c>
    </row>
    <row r="384" spans="1:11">
      <c r="A384" s="192" t="s">
        <v>703</v>
      </c>
      <c r="B384" s="192">
        <v>0.9</v>
      </c>
      <c r="C384" s="192">
        <v>109607</v>
      </c>
      <c r="D384" s="192">
        <v>13803</v>
      </c>
      <c r="E384" s="192">
        <v>2</v>
      </c>
      <c r="F384" s="192">
        <v>128</v>
      </c>
      <c r="G384" s="192">
        <v>28</v>
      </c>
      <c r="H384" s="192" t="s">
        <v>702</v>
      </c>
      <c r="I384" s="192" t="s">
        <v>65</v>
      </c>
      <c r="J384" s="192">
        <v>9.4999998807907104E-2</v>
      </c>
      <c r="K384" s="192">
        <f>VLOOKUP($D384,'RBSA Weights'!$A$2:$C$1406,3,FALSE)</f>
        <v>2003.7159999999999</v>
      </c>
    </row>
    <row r="385" spans="1:11">
      <c r="A385" s="192" t="s">
        <v>703</v>
      </c>
      <c r="B385" s="192">
        <v>1</v>
      </c>
      <c r="C385" s="192">
        <v>190852</v>
      </c>
      <c r="D385" s="192">
        <v>23986</v>
      </c>
      <c r="E385" s="192">
        <v>1</v>
      </c>
      <c r="F385" s="192">
        <v>1820</v>
      </c>
      <c r="G385" s="192">
        <v>23</v>
      </c>
      <c r="H385" s="192" t="s">
        <v>702</v>
      </c>
      <c r="I385" s="192" t="s">
        <v>65</v>
      </c>
      <c r="J385" s="192">
        <v>5.000000074505806E-2</v>
      </c>
      <c r="K385" s="192">
        <f>VLOOKUP($D385,'RBSA Weights'!$A$2:$C$1406,3,FALSE)</f>
        <v>2130.886</v>
      </c>
    </row>
    <row r="386" spans="1:11">
      <c r="A386" s="192" t="s">
        <v>703</v>
      </c>
      <c r="B386" s="192">
        <v>1</v>
      </c>
      <c r="C386" s="192">
        <v>139887</v>
      </c>
      <c r="D386" s="192">
        <v>12186</v>
      </c>
      <c r="E386" s="192">
        <v>1</v>
      </c>
      <c r="F386" s="192">
        <v>1200</v>
      </c>
      <c r="G386" s="192">
        <v>18</v>
      </c>
      <c r="H386" s="192" t="s">
        <v>700</v>
      </c>
      <c r="I386" s="192" t="s">
        <v>65</v>
      </c>
      <c r="J386" s="192">
        <v>5.000000074505806E-2</v>
      </c>
      <c r="K386" s="192">
        <f>VLOOKUP($D386,'RBSA Weights'!$A$2:$C$1406,3,FALSE)</f>
        <v>4956.4930000000004</v>
      </c>
    </row>
    <row r="387" spans="1:11">
      <c r="A387" s="192" t="s">
        <v>703</v>
      </c>
      <c r="B387" s="192">
        <v>1</v>
      </c>
      <c r="C387" s="192">
        <v>165739</v>
      </c>
      <c r="D387" s="192">
        <v>13129</v>
      </c>
      <c r="E387" s="192">
        <v>1</v>
      </c>
      <c r="F387" s="192">
        <v>2979</v>
      </c>
      <c r="G387" s="192">
        <v>18</v>
      </c>
      <c r="H387" s="192" t="s">
        <v>700</v>
      </c>
      <c r="I387" s="192" t="s">
        <v>65</v>
      </c>
      <c r="J387" s="192">
        <v>5.000000074505806E-2</v>
      </c>
      <c r="K387" s="192">
        <f>VLOOKUP($D387,'RBSA Weights'!$A$2:$C$1406,3,FALSE)</f>
        <v>4956.4930000000004</v>
      </c>
    </row>
    <row r="388" spans="1:11">
      <c r="A388" s="192" t="s">
        <v>703</v>
      </c>
      <c r="B388" s="192">
        <v>1</v>
      </c>
      <c r="C388" s="192">
        <v>122390</v>
      </c>
      <c r="D388" s="192">
        <v>20902</v>
      </c>
      <c r="E388" s="192">
        <v>1</v>
      </c>
      <c r="F388" s="192">
        <v>1110</v>
      </c>
      <c r="G388" s="192">
        <v>34</v>
      </c>
      <c r="H388" s="192" t="s">
        <v>702</v>
      </c>
      <c r="I388" s="192" t="s">
        <v>65</v>
      </c>
      <c r="J388" s="192">
        <v>5.000000074505806E-2</v>
      </c>
      <c r="K388" s="192">
        <f>VLOOKUP($D388,'RBSA Weights'!$A$2:$C$1406,3,FALSE)</f>
        <v>2130.886</v>
      </c>
    </row>
    <row r="389" spans="1:11">
      <c r="A389" s="192" t="s">
        <v>703</v>
      </c>
      <c r="B389" s="192">
        <v>1</v>
      </c>
      <c r="C389" s="192">
        <v>52313</v>
      </c>
      <c r="D389" s="192">
        <v>12657</v>
      </c>
      <c r="E389" s="192">
        <v>1</v>
      </c>
      <c r="F389" s="192">
        <v>754</v>
      </c>
      <c r="G389" s="192">
        <v>30</v>
      </c>
      <c r="H389" s="192" t="s">
        <v>700</v>
      </c>
      <c r="I389" s="192" t="s">
        <v>65</v>
      </c>
      <c r="J389" s="192">
        <v>5.000000074505806E-2</v>
      </c>
      <c r="K389" s="192">
        <f>VLOOKUP($D389,'RBSA Weights'!$A$2:$C$1406,3,FALSE)</f>
        <v>1524.7619999999999</v>
      </c>
    </row>
    <row r="390" spans="1:11">
      <c r="A390" s="192" t="s">
        <v>703</v>
      </c>
      <c r="B390" s="192">
        <v>1</v>
      </c>
      <c r="C390" s="192">
        <v>168065</v>
      </c>
      <c r="D390" s="192">
        <v>24398</v>
      </c>
      <c r="E390" s="192">
        <v>1</v>
      </c>
      <c r="F390" s="192">
        <v>270</v>
      </c>
      <c r="G390" s="192">
        <v>50</v>
      </c>
      <c r="H390" s="192" t="s">
        <v>700</v>
      </c>
      <c r="I390" s="192" t="s">
        <v>65</v>
      </c>
      <c r="J390" s="192">
        <v>5.000000074505806E-2</v>
      </c>
      <c r="K390" s="192">
        <f>VLOOKUP($D390,'RBSA Weights'!$A$2:$C$1406,3,FALSE)</f>
        <v>1612.692</v>
      </c>
    </row>
    <row r="391" spans="1:11">
      <c r="A391" s="192" t="s">
        <v>703</v>
      </c>
      <c r="B391" s="192">
        <v>1</v>
      </c>
      <c r="C391" s="192">
        <v>85821</v>
      </c>
      <c r="D391" s="192">
        <v>11684</v>
      </c>
      <c r="E391" s="192">
        <v>1</v>
      </c>
      <c r="F391" s="192">
        <v>1334</v>
      </c>
      <c r="G391" s="192">
        <v>18</v>
      </c>
      <c r="H391" s="192" t="s">
        <v>705</v>
      </c>
      <c r="I391" s="192" t="s">
        <v>65</v>
      </c>
      <c r="J391" s="192">
        <v>5.000000074505806E-2</v>
      </c>
      <c r="K391" s="192">
        <f>VLOOKUP($D391,'RBSA Weights'!$A$2:$C$1406,3,FALSE)</f>
        <v>2003.7159999999999</v>
      </c>
    </row>
    <row r="392" spans="1:11">
      <c r="A392" s="192" t="s">
        <v>703</v>
      </c>
      <c r="B392" s="192">
        <v>1</v>
      </c>
      <c r="C392" s="192">
        <v>194616</v>
      </c>
      <c r="D392" s="192">
        <v>20671</v>
      </c>
      <c r="E392" s="192">
        <v>1</v>
      </c>
      <c r="F392" s="192">
        <v>384</v>
      </c>
      <c r="G392" s="192">
        <v>31</v>
      </c>
      <c r="H392" s="192" t="s">
        <v>700</v>
      </c>
      <c r="I392" s="192" t="s">
        <v>65</v>
      </c>
      <c r="J392" s="192">
        <v>5.000000074505806E-2</v>
      </c>
      <c r="K392" s="192">
        <f>VLOOKUP($D392,'RBSA Weights'!$A$2:$C$1406,3,FALSE)</f>
        <v>8264.9449999999997</v>
      </c>
    </row>
    <row r="393" spans="1:11">
      <c r="A393" s="192" t="s">
        <v>703</v>
      </c>
      <c r="B393" s="192">
        <v>1</v>
      </c>
      <c r="C393" s="192">
        <v>50490</v>
      </c>
      <c r="D393" s="192">
        <v>23155</v>
      </c>
      <c r="E393" s="192">
        <v>1</v>
      </c>
      <c r="F393" s="192">
        <v>1024</v>
      </c>
      <c r="G393" s="192">
        <v>15</v>
      </c>
      <c r="H393" s="192" t="s">
        <v>700</v>
      </c>
      <c r="I393" s="192" t="s">
        <v>65</v>
      </c>
      <c r="J393" s="192">
        <v>5.000000074505806E-2</v>
      </c>
      <c r="K393" s="192">
        <f>VLOOKUP($D393,'RBSA Weights'!$A$2:$C$1406,3,FALSE)</f>
        <v>2079.9929999999999</v>
      </c>
    </row>
    <row r="394" spans="1:11">
      <c r="A394" s="192" t="s">
        <v>703</v>
      </c>
      <c r="B394" s="192">
        <v>1</v>
      </c>
      <c r="C394" s="192">
        <v>160710</v>
      </c>
      <c r="D394" s="192">
        <v>11729</v>
      </c>
      <c r="E394" s="192">
        <v>1</v>
      </c>
      <c r="F394" s="192">
        <v>1272</v>
      </c>
      <c r="G394" s="192">
        <v>20</v>
      </c>
      <c r="H394" s="192" t="s">
        <v>705</v>
      </c>
      <c r="I394" s="192" t="s">
        <v>65</v>
      </c>
      <c r="J394" s="192">
        <v>5.000000074505806E-2</v>
      </c>
      <c r="K394" s="192">
        <f>VLOOKUP($D394,'RBSA Weights'!$A$2:$C$1406,3,FALSE)</f>
        <v>6932.7380000000003</v>
      </c>
    </row>
    <row r="395" spans="1:11">
      <c r="A395" s="192" t="s">
        <v>703</v>
      </c>
      <c r="B395" s="192">
        <v>1</v>
      </c>
      <c r="C395" s="192">
        <v>99464</v>
      </c>
      <c r="D395" s="192">
        <v>22432</v>
      </c>
      <c r="E395" s="192">
        <v>1</v>
      </c>
      <c r="F395" s="192">
        <v>2179</v>
      </c>
      <c r="G395" s="192">
        <v>30</v>
      </c>
      <c r="H395" s="192" t="s">
        <v>705</v>
      </c>
      <c r="I395" s="192" t="s">
        <v>65</v>
      </c>
      <c r="J395" s="192">
        <v>5.000000074505806E-2</v>
      </c>
      <c r="K395" s="192">
        <f>VLOOKUP($D395,'RBSA Weights'!$A$2:$C$1406,3,FALSE)</f>
        <v>1925.059</v>
      </c>
    </row>
    <row r="396" spans="1:11">
      <c r="A396" s="192" t="s">
        <v>703</v>
      </c>
      <c r="B396" s="192">
        <v>1</v>
      </c>
      <c r="C396" s="192">
        <v>161561</v>
      </c>
      <c r="D396" s="192">
        <v>24312</v>
      </c>
      <c r="E396" s="192">
        <v>1</v>
      </c>
      <c r="F396" s="192">
        <v>356</v>
      </c>
      <c r="G396" s="192">
        <v>28</v>
      </c>
      <c r="H396" s="192" t="s">
        <v>700</v>
      </c>
      <c r="I396" s="192" t="s">
        <v>65</v>
      </c>
      <c r="J396" s="192">
        <v>5.000000074505806E-2</v>
      </c>
      <c r="K396" s="192">
        <f>VLOOKUP($D396,'RBSA Weights'!$A$2:$C$1406,3,FALSE)</f>
        <v>2079.9929999999999</v>
      </c>
    </row>
    <row r="397" spans="1:11">
      <c r="A397" s="192" t="s">
        <v>703</v>
      </c>
      <c r="B397" s="192">
        <v>1</v>
      </c>
      <c r="C397" s="192">
        <v>687436</v>
      </c>
      <c r="D397" s="192">
        <v>11585</v>
      </c>
      <c r="E397" s="192">
        <v>1</v>
      </c>
      <c r="F397" s="192">
        <v>210</v>
      </c>
      <c r="G397" s="192">
        <v>0</v>
      </c>
      <c r="H397" s="192" t="s">
        <v>700</v>
      </c>
      <c r="I397" s="192" t="s">
        <v>755</v>
      </c>
      <c r="J397" s="192">
        <v>5.000000074505806E-2</v>
      </c>
      <c r="K397" s="192">
        <f>VLOOKUP($D397,'RBSA Weights'!$A$2:$C$1406,3,FALSE)</f>
        <v>1524.7619999999999</v>
      </c>
    </row>
    <row r="398" spans="1:11">
      <c r="A398" s="192" t="s">
        <v>703</v>
      </c>
      <c r="B398" s="192">
        <v>1</v>
      </c>
      <c r="C398" s="192">
        <v>48038</v>
      </c>
      <c r="D398" s="192">
        <v>12054</v>
      </c>
      <c r="E398" s="192">
        <v>2</v>
      </c>
      <c r="F398" s="192">
        <v>1080</v>
      </c>
      <c r="G398" s="192">
        <v>0</v>
      </c>
      <c r="H398" s="192" t="s">
        <v>700</v>
      </c>
      <c r="I398" s="192" t="s">
        <v>65</v>
      </c>
      <c r="J398" s="192">
        <v>5.000000074505806E-2</v>
      </c>
      <c r="K398" s="192">
        <f>VLOOKUP($D398,'RBSA Weights'!$A$2:$C$1406,3,FALSE)</f>
        <v>1524.7619999999999</v>
      </c>
    </row>
    <row r="399" spans="1:11">
      <c r="A399" s="192" t="s">
        <v>703</v>
      </c>
      <c r="B399" s="192">
        <v>1</v>
      </c>
      <c r="C399" s="192">
        <v>139793</v>
      </c>
      <c r="D399" s="192">
        <v>12906</v>
      </c>
      <c r="E399" s="192">
        <v>1</v>
      </c>
      <c r="F399" s="192">
        <v>960</v>
      </c>
      <c r="G399" s="192">
        <v>28</v>
      </c>
      <c r="H399" s="192" t="s">
        <v>700</v>
      </c>
      <c r="I399" s="192" t="s">
        <v>65</v>
      </c>
      <c r="J399" s="192">
        <v>5.000000074505806E-2</v>
      </c>
      <c r="K399" s="192">
        <f>VLOOKUP($D399,'RBSA Weights'!$A$2:$C$1406,3,FALSE)</f>
        <v>4956.4930000000004</v>
      </c>
    </row>
    <row r="400" spans="1:11">
      <c r="A400" s="192" t="s">
        <v>703</v>
      </c>
      <c r="B400" s="192">
        <v>1</v>
      </c>
      <c r="C400" s="192">
        <v>90727</v>
      </c>
      <c r="D400" s="192">
        <v>10229</v>
      </c>
      <c r="E400" s="192">
        <v>1</v>
      </c>
      <c r="F400" s="192">
        <v>1044</v>
      </c>
      <c r="G400" s="192">
        <v>31</v>
      </c>
      <c r="H400" s="192" t="s">
        <v>700</v>
      </c>
      <c r="I400" s="192" t="s">
        <v>65</v>
      </c>
      <c r="J400" s="192">
        <v>5.000000074505806E-2</v>
      </c>
      <c r="K400" s="192">
        <f>VLOOKUP($D400,'RBSA Weights'!$A$2:$C$1406,3,FALSE)</f>
        <v>4956.4930000000004</v>
      </c>
    </row>
    <row r="401" spans="1:11">
      <c r="A401" s="192" t="s">
        <v>703</v>
      </c>
      <c r="B401" s="192">
        <v>1</v>
      </c>
      <c r="C401" s="192">
        <v>121595</v>
      </c>
      <c r="D401" s="192">
        <v>23813</v>
      </c>
      <c r="E401" s="192">
        <v>1</v>
      </c>
      <c r="F401" s="192">
        <v>1670</v>
      </c>
      <c r="G401" s="192">
        <v>49</v>
      </c>
      <c r="H401" s="192" t="s">
        <v>705</v>
      </c>
      <c r="I401" s="192" t="s">
        <v>65</v>
      </c>
      <c r="J401" s="192">
        <v>5.000000074505806E-2</v>
      </c>
      <c r="K401" s="192">
        <f>VLOOKUP($D401,'RBSA Weights'!$A$2:$C$1406,3,FALSE)</f>
        <v>1904.288</v>
      </c>
    </row>
    <row r="402" spans="1:11">
      <c r="A402" s="192" t="s">
        <v>703</v>
      </c>
      <c r="B402" s="192">
        <v>1</v>
      </c>
      <c r="C402" s="192">
        <v>31829</v>
      </c>
      <c r="D402" s="192">
        <v>11032</v>
      </c>
      <c r="E402" s="192">
        <v>1</v>
      </c>
      <c r="F402" s="192">
        <v>186</v>
      </c>
      <c r="G402" s="192">
        <v>0</v>
      </c>
      <c r="H402" s="192" t="s">
        <v>700</v>
      </c>
      <c r="I402" s="192" t="s">
        <v>65</v>
      </c>
      <c r="J402" s="192">
        <v>5.000000074505806E-2</v>
      </c>
      <c r="K402" s="192">
        <f>VLOOKUP($D402,'RBSA Weights'!$A$2:$C$1406,3,FALSE)</f>
        <v>1188.027</v>
      </c>
    </row>
    <row r="403" spans="1:11">
      <c r="A403" s="192" t="s">
        <v>703</v>
      </c>
      <c r="B403" s="192">
        <v>1</v>
      </c>
      <c r="C403" s="192">
        <v>183217</v>
      </c>
      <c r="D403" s="192">
        <v>10430</v>
      </c>
      <c r="E403" s="192">
        <v>2</v>
      </c>
      <c r="F403" s="192">
        <v>374</v>
      </c>
      <c r="G403" s="192">
        <v>0</v>
      </c>
      <c r="H403" s="192" t="s">
        <v>704</v>
      </c>
      <c r="I403" s="192" t="s">
        <v>65</v>
      </c>
      <c r="J403" s="192">
        <v>5.000000074505806E-2</v>
      </c>
      <c r="K403" s="192">
        <f>VLOOKUP($D403,'RBSA Weights'!$A$2:$C$1406,3,FALSE)</f>
        <v>1464.694</v>
      </c>
    </row>
    <row r="404" spans="1:11">
      <c r="A404" s="192" t="s">
        <v>703</v>
      </c>
      <c r="B404" s="192">
        <v>1</v>
      </c>
      <c r="C404" s="192">
        <v>27567</v>
      </c>
      <c r="D404" s="192">
        <v>10595</v>
      </c>
      <c r="E404" s="192">
        <v>1</v>
      </c>
      <c r="F404" s="192">
        <v>1040</v>
      </c>
      <c r="G404" s="192">
        <v>30</v>
      </c>
      <c r="H404" s="192" t="s">
        <v>699</v>
      </c>
      <c r="I404" s="192" t="s">
        <v>65</v>
      </c>
      <c r="J404" s="192">
        <v>5.000000074505806E-2</v>
      </c>
      <c r="K404" s="192">
        <f>VLOOKUP($D404,'RBSA Weights'!$A$2:$C$1406,3,FALSE)</f>
        <v>1524.7619999999999</v>
      </c>
    </row>
    <row r="405" spans="1:11">
      <c r="A405" s="192" t="s">
        <v>703</v>
      </c>
      <c r="B405" s="192">
        <v>1</v>
      </c>
      <c r="C405" s="192">
        <v>88146</v>
      </c>
      <c r="D405" s="192">
        <v>21002</v>
      </c>
      <c r="E405" s="192">
        <v>1</v>
      </c>
      <c r="F405" s="192">
        <v>680</v>
      </c>
      <c r="G405" s="192">
        <v>32</v>
      </c>
      <c r="H405" s="192" t="s">
        <v>699</v>
      </c>
      <c r="I405" s="192" t="s">
        <v>65</v>
      </c>
      <c r="J405" s="192">
        <v>5.000000074505806E-2</v>
      </c>
      <c r="K405" s="192">
        <f>VLOOKUP($D405,'RBSA Weights'!$A$2:$C$1406,3,FALSE)</f>
        <v>1144.6790000000001</v>
      </c>
    </row>
    <row r="406" spans="1:11">
      <c r="A406" s="192" t="s">
        <v>703</v>
      </c>
      <c r="B406" s="192">
        <v>1</v>
      </c>
      <c r="C406" s="192">
        <v>201217</v>
      </c>
      <c r="D406" s="192">
        <v>11282</v>
      </c>
      <c r="E406" s="192">
        <v>2</v>
      </c>
      <c r="F406" s="192">
        <v>64</v>
      </c>
      <c r="G406" s="192">
        <v>0</v>
      </c>
      <c r="H406" s="192" t="s">
        <v>700</v>
      </c>
      <c r="I406" s="192" t="s">
        <v>65</v>
      </c>
      <c r="J406" s="192">
        <v>5.000000074505806E-2</v>
      </c>
      <c r="K406" s="192">
        <f>VLOOKUP($D406,'RBSA Weights'!$A$2:$C$1406,3,FALSE)</f>
        <v>6932.7380000000003</v>
      </c>
    </row>
    <row r="407" spans="1:11">
      <c r="A407" s="192" t="s">
        <v>703</v>
      </c>
      <c r="B407" s="192">
        <v>1</v>
      </c>
      <c r="C407" s="192">
        <v>150676</v>
      </c>
      <c r="D407" s="192">
        <v>24765</v>
      </c>
      <c r="E407" s="192">
        <v>1</v>
      </c>
      <c r="F407" s="192">
        <v>1540</v>
      </c>
      <c r="G407" s="192">
        <v>0</v>
      </c>
      <c r="H407" s="192" t="s">
        <v>700</v>
      </c>
      <c r="I407" s="192" t="s">
        <v>65</v>
      </c>
      <c r="J407" s="192">
        <v>5.000000074505806E-2</v>
      </c>
      <c r="K407" s="192">
        <f>VLOOKUP($D407,'RBSA Weights'!$A$2:$C$1406,3,FALSE)</f>
        <v>1144.6790000000001</v>
      </c>
    </row>
    <row r="408" spans="1:11">
      <c r="A408" s="192" t="s">
        <v>703</v>
      </c>
      <c r="B408" s="192">
        <v>1</v>
      </c>
      <c r="C408" s="192">
        <v>221673</v>
      </c>
      <c r="D408" s="192">
        <v>13974</v>
      </c>
      <c r="E408" s="192">
        <v>1</v>
      </c>
      <c r="F408" s="192">
        <v>1140</v>
      </c>
      <c r="G408" s="192">
        <v>30</v>
      </c>
      <c r="H408" s="192" t="s">
        <v>697</v>
      </c>
      <c r="I408" s="192" t="s">
        <v>65</v>
      </c>
      <c r="J408" s="192">
        <v>5.000000074505806E-2</v>
      </c>
      <c r="K408" s="192">
        <f>VLOOKUP($D408,'RBSA Weights'!$A$2:$C$1406,3,FALSE)</f>
        <v>2003.7159999999999</v>
      </c>
    </row>
    <row r="409" spans="1:11">
      <c r="A409" s="192" t="s">
        <v>703</v>
      </c>
      <c r="B409" s="192">
        <v>1</v>
      </c>
      <c r="C409" s="192">
        <v>180167</v>
      </c>
      <c r="D409" s="192">
        <v>21049</v>
      </c>
      <c r="E409" s="192">
        <v>1</v>
      </c>
      <c r="F409" s="192">
        <v>1452</v>
      </c>
      <c r="G409" s="192">
        <v>30</v>
      </c>
      <c r="H409" s="192" t="s">
        <v>697</v>
      </c>
      <c r="I409" s="192" t="s">
        <v>65</v>
      </c>
      <c r="J409" s="192">
        <v>5.000000074505806E-2</v>
      </c>
      <c r="K409" s="192">
        <f>VLOOKUP($D409,'RBSA Weights'!$A$2:$C$1406,3,FALSE)</f>
        <v>2130.886</v>
      </c>
    </row>
    <row r="410" spans="1:11">
      <c r="A410" s="192" t="s">
        <v>703</v>
      </c>
      <c r="B410" s="192">
        <v>1</v>
      </c>
      <c r="C410" s="192">
        <v>210929</v>
      </c>
      <c r="D410" s="192">
        <v>20440</v>
      </c>
      <c r="E410" s="192">
        <v>1</v>
      </c>
      <c r="F410" s="192">
        <v>784</v>
      </c>
      <c r="G410" s="192">
        <v>50</v>
      </c>
      <c r="H410" s="192" t="s">
        <v>705</v>
      </c>
      <c r="I410" s="192" t="s">
        <v>756</v>
      </c>
      <c r="J410" s="192">
        <v>5.000000074505806E-2</v>
      </c>
      <c r="K410" s="192">
        <f>VLOOKUP($D410,'RBSA Weights'!$A$2:$C$1406,3,FALSE)</f>
        <v>1925.059</v>
      </c>
    </row>
    <row r="411" spans="1:11">
      <c r="A411" s="192" t="s">
        <v>703</v>
      </c>
      <c r="B411" s="192">
        <v>1</v>
      </c>
      <c r="C411" s="192">
        <v>690509</v>
      </c>
      <c r="D411" s="192">
        <v>20433</v>
      </c>
      <c r="E411" s="192">
        <v>1</v>
      </c>
      <c r="F411" s="192">
        <v>1553</v>
      </c>
      <c r="G411" s="192">
        <v>31</v>
      </c>
      <c r="H411" s="192" t="s">
        <v>702</v>
      </c>
      <c r="I411" s="192" t="s">
        <v>65</v>
      </c>
      <c r="J411" s="192">
        <v>5.000000074505806E-2</v>
      </c>
      <c r="K411" s="192">
        <f>VLOOKUP($D411,'RBSA Weights'!$A$2:$C$1406,3,FALSE)</f>
        <v>1612.692</v>
      </c>
    </row>
    <row r="412" spans="1:11">
      <c r="A412" s="192" t="s">
        <v>703</v>
      </c>
      <c r="B412" s="192">
        <v>1</v>
      </c>
      <c r="C412" s="192">
        <v>116647</v>
      </c>
      <c r="D412" s="192">
        <v>10134</v>
      </c>
      <c r="E412" s="192">
        <v>1</v>
      </c>
      <c r="F412" s="192">
        <v>356</v>
      </c>
      <c r="G412" s="192">
        <v>25</v>
      </c>
      <c r="H412" s="192" t="s">
        <v>700</v>
      </c>
      <c r="I412" s="192" t="s">
        <v>65</v>
      </c>
      <c r="J412" s="192">
        <v>5.000000074505806E-2</v>
      </c>
      <c r="K412" s="192">
        <f>VLOOKUP($D412,'RBSA Weights'!$A$2:$C$1406,3,FALSE)</f>
        <v>1464.694</v>
      </c>
    </row>
    <row r="413" spans="1:11">
      <c r="A413" s="192" t="s">
        <v>703</v>
      </c>
      <c r="B413" s="192">
        <v>1</v>
      </c>
      <c r="C413" s="192">
        <v>103480</v>
      </c>
      <c r="D413" s="192">
        <v>21831</v>
      </c>
      <c r="E413" s="192">
        <v>1</v>
      </c>
      <c r="F413" s="192">
        <v>851</v>
      </c>
      <c r="G413" s="192">
        <v>31</v>
      </c>
      <c r="H413" s="192" t="s">
        <v>705</v>
      </c>
      <c r="I413" s="192" t="s">
        <v>65</v>
      </c>
      <c r="J413" s="192">
        <v>5.000000074505806E-2</v>
      </c>
      <c r="K413" s="192">
        <f>VLOOKUP($D413,'RBSA Weights'!$A$2:$C$1406,3,FALSE)</f>
        <v>1144.6790000000001</v>
      </c>
    </row>
    <row r="414" spans="1:11">
      <c r="A414" s="192" t="s">
        <v>703</v>
      </c>
      <c r="B414" s="192">
        <v>1</v>
      </c>
      <c r="C414" s="192">
        <v>34423</v>
      </c>
      <c r="D414" s="192">
        <v>10289</v>
      </c>
      <c r="E414" s="192">
        <v>1</v>
      </c>
      <c r="F414" s="192">
        <v>1200</v>
      </c>
      <c r="G414" s="192">
        <v>30</v>
      </c>
      <c r="H414" s="192" t="s">
        <v>699</v>
      </c>
      <c r="I414" s="192" t="s">
        <v>65</v>
      </c>
      <c r="J414" s="192">
        <v>5.000000074505806E-2</v>
      </c>
      <c r="K414" s="192">
        <f>VLOOKUP($D414,'RBSA Weights'!$A$2:$C$1406,3,FALSE)</f>
        <v>1524.7619999999999</v>
      </c>
    </row>
    <row r="415" spans="1:11">
      <c r="A415" s="192" t="s">
        <v>703</v>
      </c>
      <c r="B415" s="192">
        <v>1</v>
      </c>
      <c r="C415" s="192">
        <v>77854</v>
      </c>
      <c r="D415" s="192">
        <v>23390</v>
      </c>
      <c r="E415" s="192">
        <v>1</v>
      </c>
      <c r="F415" s="192">
        <v>1200</v>
      </c>
      <c r="G415" s="192">
        <v>30</v>
      </c>
      <c r="H415" s="192" t="s">
        <v>700</v>
      </c>
      <c r="I415" s="192" t="s">
        <v>65</v>
      </c>
      <c r="J415" s="192">
        <v>5.000000074505806E-2</v>
      </c>
      <c r="K415" s="192">
        <f>VLOOKUP($D415,'RBSA Weights'!$A$2:$C$1406,3,FALSE)</f>
        <v>2130.886</v>
      </c>
    </row>
    <row r="416" spans="1:11">
      <c r="A416" s="192" t="s">
        <v>703</v>
      </c>
      <c r="B416" s="192">
        <v>1</v>
      </c>
      <c r="C416" s="192">
        <v>200508</v>
      </c>
      <c r="D416" s="192">
        <v>23746</v>
      </c>
      <c r="E416" s="192">
        <v>1</v>
      </c>
      <c r="F416" s="192">
        <v>1289</v>
      </c>
      <c r="G416" s="192">
        <v>31</v>
      </c>
      <c r="H416" s="192" t="s">
        <v>700</v>
      </c>
      <c r="I416" s="192" t="s">
        <v>65</v>
      </c>
      <c r="J416" s="192">
        <v>5.000000074505806E-2</v>
      </c>
      <c r="K416" s="192">
        <f>VLOOKUP($D416,'RBSA Weights'!$A$2:$C$1406,3,FALSE)</f>
        <v>8559.1039999999994</v>
      </c>
    </row>
    <row r="417" spans="1:11">
      <c r="A417" s="192" t="s">
        <v>703</v>
      </c>
      <c r="B417" s="192">
        <v>1</v>
      </c>
      <c r="C417" s="192">
        <v>186933</v>
      </c>
      <c r="D417" s="192">
        <v>10752</v>
      </c>
      <c r="E417" s="192">
        <v>1</v>
      </c>
      <c r="F417" s="192">
        <v>1260</v>
      </c>
      <c r="G417" s="192">
        <v>18</v>
      </c>
      <c r="H417" s="192" t="s">
        <v>700</v>
      </c>
      <c r="I417" s="192" t="s">
        <v>65</v>
      </c>
      <c r="J417" s="192">
        <v>5.000000074505806E-2</v>
      </c>
      <c r="K417" s="192">
        <f>VLOOKUP($D417,'RBSA Weights'!$A$2:$C$1406,3,FALSE)</f>
        <v>4956.4930000000004</v>
      </c>
    </row>
    <row r="418" spans="1:11">
      <c r="A418" s="192" t="s">
        <v>703</v>
      </c>
      <c r="B418" s="192">
        <v>1</v>
      </c>
      <c r="C418" s="192">
        <v>108405</v>
      </c>
      <c r="D418" s="192">
        <v>12247</v>
      </c>
      <c r="E418" s="192">
        <v>1</v>
      </c>
      <c r="F418" s="192">
        <v>743</v>
      </c>
      <c r="G418" s="192">
        <v>30</v>
      </c>
      <c r="H418" s="192" t="s">
        <v>702</v>
      </c>
      <c r="I418" s="192" t="s">
        <v>65</v>
      </c>
      <c r="J418" s="192">
        <v>5.000000074505806E-2</v>
      </c>
      <c r="K418" s="192">
        <f>VLOOKUP($D418,'RBSA Weights'!$A$2:$C$1406,3,FALSE)</f>
        <v>2003.7159999999999</v>
      </c>
    </row>
    <row r="419" spans="1:11">
      <c r="A419" s="192" t="s">
        <v>703</v>
      </c>
      <c r="B419" s="192">
        <v>1</v>
      </c>
      <c r="C419" s="192">
        <v>130743</v>
      </c>
      <c r="D419" s="192">
        <v>12814</v>
      </c>
      <c r="E419" s="192">
        <v>1</v>
      </c>
      <c r="F419" s="192">
        <v>375</v>
      </c>
      <c r="G419" s="192">
        <v>19</v>
      </c>
      <c r="H419" s="192" t="s">
        <v>702</v>
      </c>
      <c r="I419" s="192" t="s">
        <v>65</v>
      </c>
      <c r="J419" s="192">
        <v>5.000000074505806E-2</v>
      </c>
      <c r="K419" s="192">
        <f>VLOOKUP($D419,'RBSA Weights'!$A$2:$C$1406,3,FALSE)</f>
        <v>1524.7619999999999</v>
      </c>
    </row>
    <row r="420" spans="1:11">
      <c r="A420" s="192" t="s">
        <v>703</v>
      </c>
      <c r="B420" s="192">
        <v>1</v>
      </c>
      <c r="C420" s="192">
        <v>30918</v>
      </c>
      <c r="D420" s="192">
        <v>12670</v>
      </c>
      <c r="E420" s="192">
        <v>1</v>
      </c>
      <c r="F420" s="192">
        <v>1044</v>
      </c>
      <c r="G420" s="192">
        <v>10</v>
      </c>
      <c r="H420" s="192" t="s">
        <v>699</v>
      </c>
      <c r="I420" s="192" t="s">
        <v>757</v>
      </c>
      <c r="J420" s="192">
        <v>5.000000074505806E-2</v>
      </c>
      <c r="K420" s="192">
        <f>VLOOKUP($D420,'RBSA Weights'!$A$2:$C$1406,3,FALSE)</f>
        <v>1524.7619999999999</v>
      </c>
    </row>
    <row r="421" spans="1:11">
      <c r="A421" s="192" t="s">
        <v>703</v>
      </c>
      <c r="B421" s="192">
        <v>1</v>
      </c>
      <c r="C421" s="192">
        <v>130656</v>
      </c>
      <c r="D421" s="192">
        <v>12818</v>
      </c>
      <c r="E421" s="192">
        <v>1</v>
      </c>
      <c r="F421" s="192">
        <v>825</v>
      </c>
      <c r="G421" s="192">
        <v>10</v>
      </c>
      <c r="H421" s="192" t="s">
        <v>700</v>
      </c>
      <c r="I421" s="192" t="s">
        <v>65</v>
      </c>
      <c r="J421" s="192">
        <v>5.000000074505806E-2</v>
      </c>
      <c r="K421" s="192">
        <f>VLOOKUP($D421,'RBSA Weights'!$A$2:$C$1406,3,FALSE)</f>
        <v>1524.7619999999999</v>
      </c>
    </row>
    <row r="422" spans="1:11">
      <c r="A422" s="192" t="s">
        <v>703</v>
      </c>
      <c r="B422" s="192">
        <v>1</v>
      </c>
      <c r="C422" s="192">
        <v>43987</v>
      </c>
      <c r="D422" s="192">
        <v>10096</v>
      </c>
      <c r="E422" s="192">
        <v>1</v>
      </c>
      <c r="F422" s="192">
        <v>1664</v>
      </c>
      <c r="G422" s="192">
        <v>0</v>
      </c>
      <c r="H422" s="192" t="s">
        <v>705</v>
      </c>
      <c r="I422" s="192" t="s">
        <v>65</v>
      </c>
      <c r="J422" s="192">
        <v>5.000000074505806E-2</v>
      </c>
      <c r="K422" s="192">
        <f>VLOOKUP($D422,'RBSA Weights'!$A$2:$C$1406,3,FALSE)</f>
        <v>1188.027</v>
      </c>
    </row>
    <row r="423" spans="1:11">
      <c r="A423" s="192" t="s">
        <v>703</v>
      </c>
      <c r="B423" s="192">
        <v>1</v>
      </c>
      <c r="C423" s="192">
        <v>208176</v>
      </c>
      <c r="D423" s="192">
        <v>20758</v>
      </c>
      <c r="E423" s="192">
        <v>1</v>
      </c>
      <c r="F423" s="192">
        <v>1591</v>
      </c>
      <c r="G423" s="192">
        <v>30</v>
      </c>
      <c r="H423" s="192" t="s">
        <v>697</v>
      </c>
      <c r="I423" s="192" t="s">
        <v>65</v>
      </c>
      <c r="J423" s="192">
        <v>5.000000074505806E-2</v>
      </c>
      <c r="K423" s="192">
        <f>VLOOKUP($D423,'RBSA Weights'!$A$2:$C$1406,3,FALSE)</f>
        <v>1904.288</v>
      </c>
    </row>
    <row r="424" spans="1:11">
      <c r="A424" s="192" t="s">
        <v>703</v>
      </c>
      <c r="B424" s="192">
        <v>1</v>
      </c>
      <c r="C424" s="192">
        <v>32735</v>
      </c>
      <c r="D424" s="192">
        <v>12229</v>
      </c>
      <c r="E424" s="192">
        <v>1</v>
      </c>
      <c r="F424" s="192">
        <v>1400</v>
      </c>
      <c r="G424" s="192">
        <v>11</v>
      </c>
      <c r="H424" s="192" t="s">
        <v>697</v>
      </c>
      <c r="I424" s="192" t="s">
        <v>65</v>
      </c>
      <c r="J424" s="192">
        <v>5.000000074505806E-2</v>
      </c>
      <c r="K424" s="192">
        <f>VLOOKUP($D424,'RBSA Weights'!$A$2:$C$1406,3,FALSE)</f>
        <v>1524.7619999999999</v>
      </c>
    </row>
    <row r="425" spans="1:11">
      <c r="A425" s="192" t="s">
        <v>703</v>
      </c>
      <c r="B425" s="192">
        <v>1</v>
      </c>
      <c r="C425" s="192">
        <v>27947</v>
      </c>
      <c r="D425" s="192">
        <v>10172</v>
      </c>
      <c r="E425" s="192">
        <v>1</v>
      </c>
      <c r="F425" s="192">
        <v>576</v>
      </c>
      <c r="G425" s="192">
        <v>49</v>
      </c>
      <c r="H425" s="192" t="s">
        <v>700</v>
      </c>
      <c r="I425" s="192" t="s">
        <v>65</v>
      </c>
      <c r="J425" s="192">
        <v>5.000000074505806E-2</v>
      </c>
      <c r="K425" s="192">
        <f>VLOOKUP($D425,'RBSA Weights'!$A$2:$C$1406,3,FALSE)</f>
        <v>1524.7619999999999</v>
      </c>
    </row>
    <row r="426" spans="1:11">
      <c r="A426" s="192" t="s">
        <v>703</v>
      </c>
      <c r="B426" s="192">
        <v>1</v>
      </c>
      <c r="C426" s="192">
        <v>95820</v>
      </c>
      <c r="D426" s="192">
        <v>24351</v>
      </c>
      <c r="E426" s="192">
        <v>1</v>
      </c>
      <c r="F426" s="192">
        <v>924</v>
      </c>
      <c r="G426" s="192">
        <v>30</v>
      </c>
      <c r="H426" s="192" t="s">
        <v>700</v>
      </c>
      <c r="I426" s="192" t="s">
        <v>65</v>
      </c>
      <c r="J426" s="192">
        <v>5.000000074505806E-2</v>
      </c>
      <c r="K426" s="192">
        <f>VLOOKUP($D426,'RBSA Weights'!$A$2:$C$1406,3,FALSE)</f>
        <v>1144.6790000000001</v>
      </c>
    </row>
    <row r="427" spans="1:11">
      <c r="A427" s="192" t="s">
        <v>703</v>
      </c>
      <c r="B427" s="192">
        <v>1</v>
      </c>
      <c r="C427" s="192">
        <v>102085</v>
      </c>
      <c r="D427" s="192">
        <v>21856</v>
      </c>
      <c r="E427" s="192">
        <v>1</v>
      </c>
      <c r="F427" s="192">
        <v>725</v>
      </c>
      <c r="G427" s="192">
        <v>30</v>
      </c>
      <c r="H427" s="192" t="s">
        <v>705</v>
      </c>
      <c r="I427" s="192" t="s">
        <v>65</v>
      </c>
      <c r="J427" s="192">
        <v>5.000000074505806E-2</v>
      </c>
      <c r="K427" s="192">
        <f>VLOOKUP($D427,'RBSA Weights'!$A$2:$C$1406,3,FALSE)</f>
        <v>2130.886</v>
      </c>
    </row>
    <row r="428" spans="1:11">
      <c r="A428" s="192" t="s">
        <v>703</v>
      </c>
      <c r="B428" s="192">
        <v>1</v>
      </c>
      <c r="C428" s="192">
        <v>166246</v>
      </c>
      <c r="D428" s="192">
        <v>23909</v>
      </c>
      <c r="E428" s="192">
        <v>1</v>
      </c>
      <c r="F428" s="192">
        <v>3000</v>
      </c>
      <c r="G428" s="192">
        <v>0</v>
      </c>
      <c r="H428" s="192" t="s">
        <v>700</v>
      </c>
      <c r="I428" s="192" t="s">
        <v>65</v>
      </c>
      <c r="J428" s="192">
        <v>5.000000074505806E-2</v>
      </c>
      <c r="K428" s="192">
        <f>VLOOKUP($D428,'RBSA Weights'!$A$2:$C$1406,3,FALSE)</f>
        <v>1192.4649999999999</v>
      </c>
    </row>
    <row r="429" spans="1:11">
      <c r="A429" s="192" t="s">
        <v>703</v>
      </c>
      <c r="B429" s="192">
        <v>1</v>
      </c>
      <c r="C429" s="192">
        <v>179983</v>
      </c>
      <c r="D429" s="192">
        <v>22671</v>
      </c>
      <c r="E429" s="192">
        <v>1</v>
      </c>
      <c r="F429" s="192">
        <v>1267</v>
      </c>
      <c r="G429" s="192">
        <v>31</v>
      </c>
      <c r="H429" s="192" t="s">
        <v>705</v>
      </c>
      <c r="I429" s="192" t="s">
        <v>65</v>
      </c>
      <c r="J429" s="192">
        <v>5.000000074505806E-2</v>
      </c>
      <c r="K429" s="192">
        <f>VLOOKUP($D429,'RBSA Weights'!$A$2:$C$1406,3,FALSE)</f>
        <v>1612.692</v>
      </c>
    </row>
    <row r="430" spans="1:11">
      <c r="A430" s="192" t="s">
        <v>703</v>
      </c>
      <c r="B430" s="192">
        <v>1</v>
      </c>
      <c r="C430" s="192">
        <v>72110</v>
      </c>
      <c r="D430" s="192">
        <v>20430</v>
      </c>
      <c r="E430" s="192">
        <v>1</v>
      </c>
      <c r="F430" s="192">
        <v>1404</v>
      </c>
      <c r="G430" s="192">
        <v>20</v>
      </c>
      <c r="H430" s="192" t="s">
        <v>700</v>
      </c>
      <c r="I430" s="192" t="s">
        <v>65</v>
      </c>
      <c r="J430" s="192">
        <v>5.000000074505806E-2</v>
      </c>
      <c r="K430" s="192">
        <f>VLOOKUP($D430,'RBSA Weights'!$A$2:$C$1406,3,FALSE)</f>
        <v>2079.9929999999999</v>
      </c>
    </row>
    <row r="431" spans="1:11">
      <c r="A431" s="192" t="s">
        <v>703</v>
      </c>
      <c r="B431" s="192">
        <v>1</v>
      </c>
      <c r="C431" s="192">
        <v>154061</v>
      </c>
      <c r="D431" s="192">
        <v>23480</v>
      </c>
      <c r="E431" s="192">
        <v>1</v>
      </c>
      <c r="F431" s="192">
        <v>2160</v>
      </c>
      <c r="G431" s="192">
        <v>20</v>
      </c>
      <c r="H431" s="192" t="s">
        <v>705</v>
      </c>
      <c r="I431" s="192" t="s">
        <v>65</v>
      </c>
      <c r="J431" s="192">
        <v>5.000000074505806E-2</v>
      </c>
      <c r="K431" s="192">
        <f>VLOOKUP($D431,'RBSA Weights'!$A$2:$C$1406,3,FALSE)</f>
        <v>1612.692</v>
      </c>
    </row>
    <row r="432" spans="1:11">
      <c r="A432" s="192" t="s">
        <v>703</v>
      </c>
      <c r="B432" s="192">
        <v>1</v>
      </c>
      <c r="C432" s="192">
        <v>105081</v>
      </c>
      <c r="D432" s="192">
        <v>11574</v>
      </c>
      <c r="E432" s="192">
        <v>1</v>
      </c>
      <c r="F432" s="192">
        <v>1620</v>
      </c>
      <c r="G432" s="192">
        <v>0</v>
      </c>
      <c r="H432" s="192" t="s">
        <v>700</v>
      </c>
      <c r="I432" s="192" t="s">
        <v>65</v>
      </c>
      <c r="J432" s="192">
        <v>5.000000074505806E-2</v>
      </c>
      <c r="K432" s="192">
        <f>VLOOKUP($D432,'RBSA Weights'!$A$2:$C$1406,3,FALSE)</f>
        <v>4956.4930000000004</v>
      </c>
    </row>
    <row r="433" spans="1:11">
      <c r="A433" s="192" t="s">
        <v>703</v>
      </c>
      <c r="B433" s="192">
        <v>1</v>
      </c>
      <c r="C433" s="192">
        <v>38230</v>
      </c>
      <c r="D433" s="192">
        <v>21934</v>
      </c>
      <c r="E433" s="192">
        <v>1</v>
      </c>
      <c r="F433" s="192">
        <v>483</v>
      </c>
      <c r="G433" s="192">
        <v>30</v>
      </c>
      <c r="H433" s="192" t="s">
        <v>697</v>
      </c>
      <c r="I433" s="192" t="s">
        <v>65</v>
      </c>
      <c r="J433" s="192">
        <v>5.000000074505806E-2</v>
      </c>
      <c r="K433" s="192">
        <f>VLOOKUP($D433,'RBSA Weights'!$A$2:$C$1406,3,FALSE)</f>
        <v>3785.7640000000001</v>
      </c>
    </row>
    <row r="434" spans="1:11">
      <c r="A434" s="192" t="s">
        <v>703</v>
      </c>
      <c r="B434" s="192">
        <v>1</v>
      </c>
      <c r="C434" s="192">
        <v>128405</v>
      </c>
      <c r="D434" s="192">
        <v>24410</v>
      </c>
      <c r="E434" s="192">
        <v>1</v>
      </c>
      <c r="F434" s="192">
        <v>780</v>
      </c>
      <c r="G434" s="192">
        <v>30</v>
      </c>
      <c r="H434" s="192" t="s">
        <v>700</v>
      </c>
      <c r="I434" s="192" t="s">
        <v>65</v>
      </c>
      <c r="J434" s="192">
        <v>5.000000074505806E-2</v>
      </c>
      <c r="K434" s="192">
        <f>VLOOKUP($D434,'RBSA Weights'!$A$2:$C$1406,3,FALSE)</f>
        <v>1144.6790000000001</v>
      </c>
    </row>
    <row r="435" spans="1:11">
      <c r="A435" s="192" t="s">
        <v>703</v>
      </c>
      <c r="B435" s="192">
        <v>1</v>
      </c>
      <c r="C435" s="192">
        <v>190695</v>
      </c>
      <c r="D435" s="192">
        <v>24242</v>
      </c>
      <c r="E435" s="192">
        <v>1</v>
      </c>
      <c r="F435" s="192">
        <v>756</v>
      </c>
      <c r="G435" s="192">
        <v>30</v>
      </c>
      <c r="H435" s="192" t="s">
        <v>700</v>
      </c>
      <c r="I435" s="192" t="s">
        <v>65</v>
      </c>
      <c r="J435" s="192">
        <v>5.000000074505806E-2</v>
      </c>
      <c r="K435" s="192">
        <f>VLOOKUP($D435,'RBSA Weights'!$A$2:$C$1406,3,FALSE)</f>
        <v>2130.886</v>
      </c>
    </row>
    <row r="436" spans="1:11">
      <c r="A436" s="192" t="s">
        <v>703</v>
      </c>
      <c r="B436" s="192">
        <v>1</v>
      </c>
      <c r="C436" s="192">
        <v>179870</v>
      </c>
      <c r="D436" s="192">
        <v>23704</v>
      </c>
      <c r="E436" s="192">
        <v>1</v>
      </c>
      <c r="F436" s="192">
        <v>2116</v>
      </c>
      <c r="G436" s="192">
        <v>31</v>
      </c>
      <c r="H436" s="192" t="s">
        <v>697</v>
      </c>
      <c r="I436" s="192" t="s">
        <v>65</v>
      </c>
      <c r="J436" s="192">
        <v>5.000000074505806E-2</v>
      </c>
      <c r="K436" s="192">
        <f>VLOOKUP($D436,'RBSA Weights'!$A$2:$C$1406,3,FALSE)</f>
        <v>1612.692</v>
      </c>
    </row>
    <row r="437" spans="1:11">
      <c r="A437" s="192" t="s">
        <v>703</v>
      </c>
      <c r="B437" s="192">
        <v>1</v>
      </c>
      <c r="C437" s="192">
        <v>56249</v>
      </c>
      <c r="D437" s="192">
        <v>21501</v>
      </c>
      <c r="E437" s="192">
        <v>1</v>
      </c>
      <c r="F437" s="192">
        <v>1664</v>
      </c>
      <c r="G437" s="192">
        <v>30</v>
      </c>
      <c r="H437" s="192" t="s">
        <v>697</v>
      </c>
      <c r="I437" s="192" t="s">
        <v>65</v>
      </c>
      <c r="J437" s="192">
        <v>5.000000074505806E-2</v>
      </c>
      <c r="K437" s="192">
        <f>VLOOKUP($D437,'RBSA Weights'!$A$2:$C$1406,3,FALSE)</f>
        <v>3785.7640000000001</v>
      </c>
    </row>
    <row r="438" spans="1:11">
      <c r="A438" s="192" t="s">
        <v>703</v>
      </c>
      <c r="B438" s="192">
        <v>1</v>
      </c>
      <c r="C438" s="192">
        <v>241735</v>
      </c>
      <c r="D438" s="192">
        <v>22580</v>
      </c>
      <c r="E438" s="192">
        <v>1</v>
      </c>
      <c r="F438" s="192">
        <v>1092</v>
      </c>
      <c r="G438" s="192">
        <v>30</v>
      </c>
      <c r="H438" s="192" t="s">
        <v>697</v>
      </c>
      <c r="I438" s="192" t="s">
        <v>65</v>
      </c>
      <c r="J438" s="192">
        <v>5.000000074505806E-2</v>
      </c>
      <c r="K438" s="192">
        <f>VLOOKUP($D438,'RBSA Weights'!$A$2:$C$1406,3,FALSE)</f>
        <v>12271.31</v>
      </c>
    </row>
    <row r="439" spans="1:11">
      <c r="A439" s="192" t="s">
        <v>703</v>
      </c>
      <c r="B439" s="192">
        <v>1</v>
      </c>
      <c r="C439" s="192">
        <v>108788</v>
      </c>
      <c r="D439" s="192">
        <v>21888</v>
      </c>
      <c r="E439" s="192">
        <v>1</v>
      </c>
      <c r="F439" s="192">
        <v>1076</v>
      </c>
      <c r="G439" s="192">
        <v>30</v>
      </c>
      <c r="H439" s="192" t="s">
        <v>699</v>
      </c>
      <c r="I439" s="192" t="s">
        <v>65</v>
      </c>
      <c r="J439" s="192">
        <v>5.000000074505806E-2</v>
      </c>
      <c r="K439" s="192">
        <f>VLOOKUP($D439,'RBSA Weights'!$A$2:$C$1406,3,FALSE)</f>
        <v>8559.1039999999994</v>
      </c>
    </row>
    <row r="440" spans="1:11">
      <c r="A440" s="192" t="s">
        <v>703</v>
      </c>
      <c r="B440" s="192">
        <v>1</v>
      </c>
      <c r="C440" s="192">
        <v>116647</v>
      </c>
      <c r="D440" s="192">
        <v>10134</v>
      </c>
      <c r="E440" s="192">
        <v>2</v>
      </c>
      <c r="F440" s="192">
        <v>252</v>
      </c>
      <c r="G440" s="192">
        <v>25</v>
      </c>
      <c r="H440" s="192" t="s">
        <v>700</v>
      </c>
      <c r="I440" s="192" t="s">
        <v>65</v>
      </c>
      <c r="J440" s="192">
        <v>5.000000074505806E-2</v>
      </c>
      <c r="K440" s="192">
        <f>VLOOKUP($D440,'RBSA Weights'!$A$2:$C$1406,3,FALSE)</f>
        <v>1464.694</v>
      </c>
    </row>
    <row r="441" spans="1:11">
      <c r="A441" s="192" t="s">
        <v>703</v>
      </c>
      <c r="B441" s="192">
        <v>1</v>
      </c>
      <c r="C441" s="192">
        <v>168283</v>
      </c>
      <c r="D441" s="192">
        <v>23724</v>
      </c>
      <c r="E441" s="192">
        <v>1</v>
      </c>
      <c r="F441" s="192">
        <v>1000</v>
      </c>
      <c r="G441" s="192">
        <v>0</v>
      </c>
      <c r="H441" s="192" t="s">
        <v>705</v>
      </c>
      <c r="I441" s="192" t="s">
        <v>65</v>
      </c>
      <c r="J441" s="192">
        <v>5.000000074505806E-2</v>
      </c>
      <c r="K441" s="192">
        <f>VLOOKUP($D441,'RBSA Weights'!$A$2:$C$1406,3,FALSE)</f>
        <v>1612.692</v>
      </c>
    </row>
    <row r="442" spans="1:11">
      <c r="A442" s="192" t="s">
        <v>703</v>
      </c>
      <c r="B442" s="192">
        <v>1</v>
      </c>
      <c r="C442" s="192">
        <v>204713</v>
      </c>
      <c r="D442" s="192">
        <v>10911</v>
      </c>
      <c r="E442" s="192">
        <v>1</v>
      </c>
      <c r="F442" s="192">
        <v>195</v>
      </c>
      <c r="G442" s="192">
        <v>0</v>
      </c>
      <c r="H442" s="192" t="s">
        <v>702</v>
      </c>
      <c r="I442" s="192" t="s">
        <v>65</v>
      </c>
      <c r="J442" s="192">
        <v>5.000000074505806E-2</v>
      </c>
      <c r="K442" s="192">
        <f>VLOOKUP($D442,'RBSA Weights'!$A$2:$C$1406,3,FALSE)</f>
        <v>1464.694</v>
      </c>
    </row>
    <row r="443" spans="1:11">
      <c r="A443" s="192" t="s">
        <v>703</v>
      </c>
      <c r="B443" s="192">
        <v>1</v>
      </c>
      <c r="C443" s="192">
        <v>75653</v>
      </c>
      <c r="D443" s="192">
        <v>11954</v>
      </c>
      <c r="E443" s="192">
        <v>1</v>
      </c>
      <c r="F443" s="192">
        <v>980</v>
      </c>
      <c r="G443" s="192">
        <v>31</v>
      </c>
      <c r="H443" s="192" t="s">
        <v>705</v>
      </c>
      <c r="I443" s="192" t="s">
        <v>65</v>
      </c>
      <c r="J443" s="192">
        <v>5.000000074505806E-2</v>
      </c>
      <c r="K443" s="192">
        <f>VLOOKUP($D443,'RBSA Weights'!$A$2:$C$1406,3,FALSE)</f>
        <v>1524.7619999999999</v>
      </c>
    </row>
    <row r="444" spans="1:11">
      <c r="A444" s="192" t="s">
        <v>703</v>
      </c>
      <c r="B444" s="192">
        <v>1</v>
      </c>
      <c r="C444" s="192">
        <v>83574</v>
      </c>
      <c r="D444" s="192">
        <v>10822</v>
      </c>
      <c r="E444" s="192">
        <v>1</v>
      </c>
      <c r="F444" s="192">
        <v>1976</v>
      </c>
      <c r="G444" s="192">
        <v>30</v>
      </c>
      <c r="H444" s="192" t="s">
        <v>697</v>
      </c>
      <c r="I444" s="192" t="s">
        <v>65</v>
      </c>
      <c r="J444" s="192">
        <v>5.000000074505806E-2</v>
      </c>
      <c r="K444" s="192">
        <f>VLOOKUP($D444,'RBSA Weights'!$A$2:$C$1406,3,FALSE)</f>
        <v>2003.7159999999999</v>
      </c>
    </row>
    <row r="445" spans="1:11">
      <c r="A445" s="192" t="s">
        <v>703</v>
      </c>
      <c r="B445" s="192">
        <v>1</v>
      </c>
      <c r="C445" s="192">
        <v>45870</v>
      </c>
      <c r="D445" s="192">
        <v>21021</v>
      </c>
      <c r="E445" s="192">
        <v>1</v>
      </c>
      <c r="F445" s="192">
        <v>1200</v>
      </c>
      <c r="G445" s="192">
        <v>0</v>
      </c>
      <c r="H445" s="192" t="s">
        <v>700</v>
      </c>
      <c r="I445" s="192" t="s">
        <v>65</v>
      </c>
      <c r="J445" s="192">
        <v>5.000000074505806E-2</v>
      </c>
      <c r="K445" s="192">
        <f>VLOOKUP($D445,'RBSA Weights'!$A$2:$C$1406,3,FALSE)</f>
        <v>8264.9449999999997</v>
      </c>
    </row>
    <row r="446" spans="1:11">
      <c r="A446" s="192" t="s">
        <v>703</v>
      </c>
      <c r="B446" s="192">
        <v>1</v>
      </c>
      <c r="C446" s="192">
        <v>232411</v>
      </c>
      <c r="D446" s="192">
        <v>20646</v>
      </c>
      <c r="E446" s="192">
        <v>1</v>
      </c>
      <c r="F446" s="192">
        <v>841</v>
      </c>
      <c r="G446" s="192">
        <v>19</v>
      </c>
      <c r="H446" s="192" t="s">
        <v>697</v>
      </c>
      <c r="I446" s="192" t="s">
        <v>65</v>
      </c>
      <c r="J446" s="192">
        <v>5.000000074505806E-2</v>
      </c>
      <c r="K446" s="192">
        <f>VLOOKUP($D446,'RBSA Weights'!$A$2:$C$1406,3,FALSE)</f>
        <v>1904.288</v>
      </c>
    </row>
    <row r="447" spans="1:11">
      <c r="A447" s="192" t="s">
        <v>703</v>
      </c>
      <c r="B447" s="192">
        <v>1</v>
      </c>
      <c r="C447" s="192">
        <v>176347</v>
      </c>
      <c r="D447" s="192">
        <v>20303</v>
      </c>
      <c r="E447" s="192">
        <v>1</v>
      </c>
      <c r="F447" s="192">
        <v>1150</v>
      </c>
      <c r="G447" s="192">
        <v>32</v>
      </c>
      <c r="H447" s="192" t="s">
        <v>705</v>
      </c>
      <c r="I447" s="192" t="s">
        <v>65</v>
      </c>
      <c r="J447" s="192">
        <v>5.000000074505806E-2</v>
      </c>
      <c r="K447" s="192">
        <f>VLOOKUP($D447,'RBSA Weights'!$A$2:$C$1406,3,FALSE)</f>
        <v>2130.886</v>
      </c>
    </row>
    <row r="448" spans="1:11">
      <c r="A448" s="192" t="s">
        <v>703</v>
      </c>
      <c r="B448" s="192">
        <v>1</v>
      </c>
      <c r="C448" s="192">
        <v>96584</v>
      </c>
      <c r="D448" s="192">
        <v>11836</v>
      </c>
      <c r="E448" s="192">
        <v>1</v>
      </c>
      <c r="F448" s="192">
        <v>1240</v>
      </c>
      <c r="G448" s="192">
        <v>31</v>
      </c>
      <c r="H448" s="192" t="s">
        <v>699</v>
      </c>
      <c r="I448" s="192" t="s">
        <v>65</v>
      </c>
      <c r="J448" s="192">
        <v>5.000000074505806E-2</v>
      </c>
      <c r="K448" s="192">
        <f>VLOOKUP($D448,'RBSA Weights'!$A$2:$C$1406,3,FALSE)</f>
        <v>2003.7159999999999</v>
      </c>
    </row>
    <row r="449" spans="1:11">
      <c r="A449" s="192" t="s">
        <v>703</v>
      </c>
      <c r="B449" s="192">
        <v>1</v>
      </c>
      <c r="C449" s="192">
        <v>218974</v>
      </c>
      <c r="D449" s="192">
        <v>20894</v>
      </c>
      <c r="E449" s="192">
        <v>1</v>
      </c>
      <c r="F449" s="192">
        <v>735</v>
      </c>
      <c r="G449" s="192">
        <v>49</v>
      </c>
      <c r="H449" s="192" t="s">
        <v>700</v>
      </c>
      <c r="I449" s="192" t="s">
        <v>65</v>
      </c>
      <c r="J449" s="192">
        <v>5.000000074505806E-2</v>
      </c>
      <c r="K449" s="192">
        <f>VLOOKUP($D449,'RBSA Weights'!$A$2:$C$1406,3,FALSE)</f>
        <v>2079.9929999999999</v>
      </c>
    </row>
    <row r="450" spans="1:11">
      <c r="A450" s="192" t="s">
        <v>703</v>
      </c>
      <c r="B450" s="192">
        <v>1</v>
      </c>
      <c r="C450" s="192">
        <v>206732</v>
      </c>
      <c r="D450" s="192">
        <v>12148</v>
      </c>
      <c r="E450" s="192">
        <v>1</v>
      </c>
      <c r="F450" s="192">
        <v>546</v>
      </c>
      <c r="G450" s="192">
        <v>49</v>
      </c>
      <c r="H450" s="192" t="s">
        <v>700</v>
      </c>
      <c r="I450" s="192" t="s">
        <v>65</v>
      </c>
      <c r="J450" s="192">
        <v>5.000000074505806E-2</v>
      </c>
      <c r="K450" s="192">
        <f>VLOOKUP($D450,'RBSA Weights'!$A$2:$C$1406,3,FALSE)</f>
        <v>6932.7380000000003</v>
      </c>
    </row>
    <row r="451" spans="1:11">
      <c r="A451" s="192" t="s">
        <v>703</v>
      </c>
      <c r="B451" s="192">
        <v>1</v>
      </c>
      <c r="C451" s="192">
        <v>57049</v>
      </c>
      <c r="D451" s="192">
        <v>11210</v>
      </c>
      <c r="E451" s="192">
        <v>2</v>
      </c>
      <c r="F451" s="192">
        <v>450</v>
      </c>
      <c r="G451" s="192">
        <v>14</v>
      </c>
      <c r="H451" s="192" t="s">
        <v>698</v>
      </c>
      <c r="I451" s="192" t="s">
        <v>65</v>
      </c>
      <c r="J451" s="192">
        <v>5.000000074505806E-2</v>
      </c>
      <c r="K451" s="192">
        <f>VLOOKUP($D451,'RBSA Weights'!$A$2:$C$1406,3,FALSE)</f>
        <v>1524.7619999999999</v>
      </c>
    </row>
    <row r="452" spans="1:11">
      <c r="A452" s="192" t="s">
        <v>703</v>
      </c>
      <c r="B452" s="192">
        <v>1</v>
      </c>
      <c r="C452" s="192">
        <v>85118</v>
      </c>
      <c r="D452" s="192">
        <v>10565</v>
      </c>
      <c r="E452" s="192">
        <v>1</v>
      </c>
      <c r="F452" s="192">
        <v>2328</v>
      </c>
      <c r="G452" s="192">
        <v>31</v>
      </c>
      <c r="H452" s="192" t="s">
        <v>697</v>
      </c>
      <c r="I452" s="192" t="s">
        <v>65</v>
      </c>
      <c r="J452" s="192">
        <v>5.000000074505806E-2</v>
      </c>
      <c r="K452" s="192">
        <f>VLOOKUP($D452,'RBSA Weights'!$A$2:$C$1406,3,FALSE)</f>
        <v>2003.7159999999999</v>
      </c>
    </row>
    <row r="453" spans="1:11">
      <c r="A453" s="192" t="s">
        <v>703</v>
      </c>
      <c r="B453" s="192">
        <v>1</v>
      </c>
      <c r="C453" s="192">
        <v>32030</v>
      </c>
      <c r="D453" s="192">
        <v>12427</v>
      </c>
      <c r="E453" s="192">
        <v>1</v>
      </c>
      <c r="F453" s="192">
        <v>1290</v>
      </c>
      <c r="G453" s="192">
        <v>48</v>
      </c>
      <c r="H453" s="192" t="s">
        <v>700</v>
      </c>
      <c r="I453" s="192" t="s">
        <v>65</v>
      </c>
      <c r="J453" s="192">
        <v>5.000000074505806E-2</v>
      </c>
      <c r="K453" s="192">
        <f>VLOOKUP($D453,'RBSA Weights'!$A$2:$C$1406,3,FALSE)</f>
        <v>1524.7619999999999</v>
      </c>
    </row>
    <row r="454" spans="1:11">
      <c r="A454" s="192" t="s">
        <v>703</v>
      </c>
      <c r="B454" s="192">
        <v>1</v>
      </c>
      <c r="C454" s="192">
        <v>164447</v>
      </c>
      <c r="D454" s="192">
        <v>12782</v>
      </c>
      <c r="E454" s="192">
        <v>1</v>
      </c>
      <c r="F454" s="192">
        <v>690</v>
      </c>
      <c r="G454" s="192">
        <v>30</v>
      </c>
      <c r="H454" s="192" t="s">
        <v>697</v>
      </c>
      <c r="I454" s="192" t="s">
        <v>65</v>
      </c>
      <c r="J454" s="192">
        <v>5.000000074505806E-2</v>
      </c>
      <c r="K454" s="192">
        <f>VLOOKUP($D454,'RBSA Weights'!$A$2:$C$1406,3,FALSE)</f>
        <v>1524.7619999999999</v>
      </c>
    </row>
    <row r="455" spans="1:11">
      <c r="A455" s="192" t="s">
        <v>703</v>
      </c>
      <c r="B455" s="192">
        <v>1</v>
      </c>
      <c r="C455" s="192">
        <v>78692</v>
      </c>
      <c r="D455" s="192">
        <v>21107</v>
      </c>
      <c r="E455" s="192">
        <v>1</v>
      </c>
      <c r="F455" s="192">
        <v>1410</v>
      </c>
      <c r="G455" s="192">
        <v>31</v>
      </c>
      <c r="H455" s="192" t="s">
        <v>700</v>
      </c>
      <c r="I455" s="192" t="s">
        <v>65</v>
      </c>
      <c r="J455" s="192">
        <v>5.000000074505806E-2</v>
      </c>
      <c r="K455" s="192">
        <f>VLOOKUP($D455,'RBSA Weights'!$A$2:$C$1406,3,FALSE)</f>
        <v>1144.6790000000001</v>
      </c>
    </row>
    <row r="456" spans="1:11">
      <c r="A456" s="192" t="s">
        <v>703</v>
      </c>
      <c r="B456" s="192">
        <v>1</v>
      </c>
      <c r="C456" s="192">
        <v>46575</v>
      </c>
      <c r="D456" s="192">
        <v>20920</v>
      </c>
      <c r="E456" s="192">
        <v>1</v>
      </c>
      <c r="F456" s="192">
        <v>1600</v>
      </c>
      <c r="G456" s="192">
        <v>8</v>
      </c>
      <c r="H456" s="192" t="s">
        <v>705</v>
      </c>
      <c r="I456" s="192" t="s">
        <v>65</v>
      </c>
      <c r="J456" s="192">
        <v>5.000000074505806E-2</v>
      </c>
      <c r="K456" s="192">
        <f>VLOOKUP($D456,'RBSA Weights'!$A$2:$C$1406,3,FALSE)</f>
        <v>2079.9929999999999</v>
      </c>
    </row>
    <row r="457" spans="1:11">
      <c r="A457" s="192" t="s">
        <v>706</v>
      </c>
      <c r="B457" s="192">
        <v>0.75</v>
      </c>
      <c r="C457" s="192">
        <v>49797</v>
      </c>
      <c r="D457" s="192">
        <v>22226</v>
      </c>
      <c r="E457" s="192">
        <v>1</v>
      </c>
      <c r="F457" s="192">
        <v>1810</v>
      </c>
      <c r="G457" s="192">
        <v>35</v>
      </c>
      <c r="H457" s="192" t="s">
        <v>705</v>
      </c>
      <c r="I457" s="192" t="s">
        <v>65</v>
      </c>
      <c r="J457" s="192">
        <v>0.15000000596046448</v>
      </c>
      <c r="K457" s="192">
        <f>VLOOKUP($D457,'RBSA Weights'!$A$2:$C$1406,3,FALSE)</f>
        <v>3785.7640000000001</v>
      </c>
    </row>
    <row r="458" spans="1:11">
      <c r="A458" s="192" t="s">
        <v>706</v>
      </c>
      <c r="B458" s="192">
        <v>0.75</v>
      </c>
      <c r="C458" s="192">
        <v>28882</v>
      </c>
      <c r="D458" s="192">
        <v>12270</v>
      </c>
      <c r="E458" s="192">
        <v>1</v>
      </c>
      <c r="F458" s="192">
        <v>1100</v>
      </c>
      <c r="G458" s="192">
        <v>15</v>
      </c>
      <c r="H458" s="192" t="s">
        <v>697</v>
      </c>
      <c r="I458" s="192" t="s">
        <v>65</v>
      </c>
      <c r="J458" s="192">
        <v>0.15000000596046448</v>
      </c>
      <c r="K458" s="192">
        <f>VLOOKUP($D458,'RBSA Weights'!$A$2:$C$1406,3,FALSE)</f>
        <v>1150.8789999999999</v>
      </c>
    </row>
    <row r="459" spans="1:11">
      <c r="A459" s="192" t="s">
        <v>706</v>
      </c>
      <c r="B459" s="192">
        <v>0.75</v>
      </c>
      <c r="C459" s="192">
        <v>85736</v>
      </c>
      <c r="D459" s="192">
        <v>11993</v>
      </c>
      <c r="E459" s="192">
        <v>1</v>
      </c>
      <c r="F459" s="192">
        <v>875</v>
      </c>
      <c r="G459" s="192">
        <v>23</v>
      </c>
      <c r="H459" s="192" t="s">
        <v>699</v>
      </c>
      <c r="I459" s="192" t="s">
        <v>65</v>
      </c>
      <c r="J459" s="192">
        <v>0.15000000596046448</v>
      </c>
      <c r="K459" s="192">
        <f>VLOOKUP($D459,'RBSA Weights'!$A$2:$C$1406,3,FALSE)</f>
        <v>2003.7159999999999</v>
      </c>
    </row>
    <row r="460" spans="1:11">
      <c r="A460" s="192" t="s">
        <v>706</v>
      </c>
      <c r="B460" s="192">
        <v>0.75</v>
      </c>
      <c r="C460" s="192">
        <v>55847</v>
      </c>
      <c r="D460" s="192">
        <v>10661</v>
      </c>
      <c r="E460" s="192">
        <v>1</v>
      </c>
      <c r="F460" s="192">
        <v>1200</v>
      </c>
      <c r="G460" s="192">
        <v>10</v>
      </c>
      <c r="H460" s="192" t="s">
        <v>700</v>
      </c>
      <c r="I460" s="192" t="s">
        <v>65</v>
      </c>
      <c r="J460" s="192">
        <v>0.15000000596046448</v>
      </c>
      <c r="K460" s="192">
        <f>VLOOKUP($D460,'RBSA Weights'!$A$2:$C$1406,3,FALSE)</f>
        <v>1524.7619999999999</v>
      </c>
    </row>
    <row r="461" spans="1:11">
      <c r="A461" s="192" t="s">
        <v>706</v>
      </c>
      <c r="B461" s="192">
        <v>0.75</v>
      </c>
      <c r="C461" s="192">
        <v>112331</v>
      </c>
      <c r="D461" s="192">
        <v>20707</v>
      </c>
      <c r="E461" s="192">
        <v>1</v>
      </c>
      <c r="F461" s="192">
        <v>1092</v>
      </c>
      <c r="G461" s="192">
        <v>30</v>
      </c>
      <c r="H461" s="192" t="s">
        <v>698</v>
      </c>
      <c r="I461" s="192" t="s">
        <v>65</v>
      </c>
      <c r="J461" s="192">
        <v>0.15000000596046448</v>
      </c>
      <c r="K461" s="192">
        <f>VLOOKUP($D461,'RBSA Weights'!$A$2:$C$1406,3,FALSE)</f>
        <v>3785.7640000000001</v>
      </c>
    </row>
    <row r="462" spans="1:11">
      <c r="A462" s="192" t="s">
        <v>706</v>
      </c>
      <c r="B462" s="192">
        <v>0.75</v>
      </c>
      <c r="C462" s="192">
        <v>170406</v>
      </c>
      <c r="D462" s="192">
        <v>23994</v>
      </c>
      <c r="E462" s="192">
        <v>1</v>
      </c>
      <c r="F462" s="192">
        <v>1887</v>
      </c>
      <c r="G462" s="192">
        <v>26</v>
      </c>
      <c r="H462" s="192" t="s">
        <v>700</v>
      </c>
      <c r="I462" s="192" t="s">
        <v>65</v>
      </c>
      <c r="J462" s="192">
        <v>0.15000000596046448</v>
      </c>
      <c r="K462" s="192">
        <f>VLOOKUP($D462,'RBSA Weights'!$A$2:$C$1406,3,FALSE)</f>
        <v>3785.7640000000001</v>
      </c>
    </row>
    <row r="463" spans="1:11">
      <c r="A463" s="192" t="s">
        <v>706</v>
      </c>
      <c r="B463" s="192">
        <v>0.75</v>
      </c>
      <c r="C463" s="192">
        <v>225883</v>
      </c>
      <c r="D463" s="192">
        <v>12101</v>
      </c>
      <c r="E463" s="192">
        <v>1</v>
      </c>
      <c r="F463" s="192">
        <v>1786</v>
      </c>
      <c r="G463" s="192">
        <v>19</v>
      </c>
      <c r="H463" s="192" t="s">
        <v>700</v>
      </c>
      <c r="I463" s="192" t="s">
        <v>65</v>
      </c>
      <c r="J463" s="192">
        <v>0.15000000596046448</v>
      </c>
      <c r="K463" s="192">
        <f>VLOOKUP($D463,'RBSA Weights'!$A$2:$C$1406,3,FALSE)</f>
        <v>4956.4930000000004</v>
      </c>
    </row>
    <row r="464" spans="1:11">
      <c r="A464" s="192" t="s">
        <v>706</v>
      </c>
      <c r="B464" s="192">
        <v>0.75</v>
      </c>
      <c r="C464" s="192">
        <v>93145</v>
      </c>
      <c r="D464" s="192">
        <v>12035</v>
      </c>
      <c r="E464" s="192">
        <v>1</v>
      </c>
      <c r="F464" s="192">
        <v>1300</v>
      </c>
      <c r="G464" s="192">
        <v>10</v>
      </c>
      <c r="H464" s="192" t="s">
        <v>702</v>
      </c>
      <c r="I464" s="192" t="s">
        <v>65</v>
      </c>
      <c r="J464" s="192">
        <v>0.15000000596046448</v>
      </c>
      <c r="K464" s="192">
        <f>VLOOKUP($D464,'RBSA Weights'!$A$2:$C$1406,3,FALSE)</f>
        <v>2003.7159999999999</v>
      </c>
    </row>
    <row r="465" spans="1:11">
      <c r="A465" s="192" t="s">
        <v>706</v>
      </c>
      <c r="B465" s="192">
        <v>0.75</v>
      </c>
      <c r="C465" s="192">
        <v>144460</v>
      </c>
      <c r="D465" s="192">
        <v>23282</v>
      </c>
      <c r="E465" s="192">
        <v>1</v>
      </c>
      <c r="F465" s="192">
        <v>1534</v>
      </c>
      <c r="G465" s="192">
        <v>30</v>
      </c>
      <c r="H465" s="192" t="s">
        <v>705</v>
      </c>
      <c r="I465" s="192" t="s">
        <v>65</v>
      </c>
      <c r="J465" s="192">
        <v>0.15000000596046448</v>
      </c>
      <c r="K465" s="192">
        <f>VLOOKUP($D465,'RBSA Weights'!$A$2:$C$1406,3,FALSE)</f>
        <v>3785.7640000000001</v>
      </c>
    </row>
    <row r="466" spans="1:11">
      <c r="A466" s="192" t="s">
        <v>706</v>
      </c>
      <c r="B466" s="192">
        <v>0.75</v>
      </c>
      <c r="C466" s="192">
        <v>691821</v>
      </c>
      <c r="D466" s="192">
        <v>21408</v>
      </c>
      <c r="E466" s="192">
        <v>1</v>
      </c>
      <c r="F466" s="192">
        <v>1536</v>
      </c>
      <c r="G466" s="192">
        <v>30</v>
      </c>
      <c r="H466" s="192" t="s">
        <v>697</v>
      </c>
      <c r="I466" s="192" t="s">
        <v>65</v>
      </c>
      <c r="J466" s="192">
        <v>0.15000000596046448</v>
      </c>
      <c r="K466" s="192">
        <f>VLOOKUP($D466,'RBSA Weights'!$A$2:$C$1406,3,FALSE)</f>
        <v>3785.7640000000001</v>
      </c>
    </row>
    <row r="467" spans="1:11">
      <c r="A467" s="192" t="s">
        <v>706</v>
      </c>
      <c r="B467" s="192">
        <v>0.75</v>
      </c>
      <c r="C467" s="192">
        <v>126877</v>
      </c>
      <c r="D467" s="192">
        <v>20814</v>
      </c>
      <c r="E467" s="192">
        <v>1</v>
      </c>
      <c r="F467" s="192">
        <v>1050</v>
      </c>
      <c r="G467" s="192">
        <v>25</v>
      </c>
      <c r="H467" s="192" t="s">
        <v>705</v>
      </c>
      <c r="I467" s="192" t="s">
        <v>65</v>
      </c>
      <c r="J467" s="192">
        <v>0.15000000596046448</v>
      </c>
      <c r="K467" s="192">
        <f>VLOOKUP($D467,'RBSA Weights'!$A$2:$C$1406,3,FALSE)</f>
        <v>2079.9929999999999</v>
      </c>
    </row>
    <row r="468" spans="1:11">
      <c r="A468" s="192" t="s">
        <v>706</v>
      </c>
      <c r="B468" s="192">
        <v>0.75</v>
      </c>
      <c r="C468" s="192">
        <v>187724</v>
      </c>
      <c r="D468" s="192">
        <v>20853</v>
      </c>
      <c r="E468" s="192">
        <v>1</v>
      </c>
      <c r="F468" s="192">
        <v>2127</v>
      </c>
      <c r="G468" s="192">
        <v>30</v>
      </c>
      <c r="H468" s="192" t="s">
        <v>700</v>
      </c>
      <c r="I468" s="192" t="s">
        <v>65</v>
      </c>
      <c r="J468" s="192">
        <v>0.15000000596046448</v>
      </c>
      <c r="K468" s="192">
        <f>VLOOKUP($D468,'RBSA Weights'!$A$2:$C$1406,3,FALSE)</f>
        <v>1612.692</v>
      </c>
    </row>
    <row r="469" spans="1:11">
      <c r="A469" s="192" t="s">
        <v>706</v>
      </c>
      <c r="B469" s="192">
        <v>0.75</v>
      </c>
      <c r="C469" s="192">
        <v>190364</v>
      </c>
      <c r="D469" s="192">
        <v>11352</v>
      </c>
      <c r="E469" s="192">
        <v>1</v>
      </c>
      <c r="F469" s="192">
        <v>986</v>
      </c>
      <c r="G469" s="192">
        <v>49</v>
      </c>
      <c r="H469" s="192" t="s">
        <v>700</v>
      </c>
      <c r="I469" s="192" t="s">
        <v>65</v>
      </c>
      <c r="J469" s="192">
        <v>0.15000000596046448</v>
      </c>
      <c r="K469" s="192">
        <f>VLOOKUP($D469,'RBSA Weights'!$A$2:$C$1406,3,FALSE)</f>
        <v>6932.7380000000003</v>
      </c>
    </row>
    <row r="470" spans="1:11">
      <c r="A470" s="192" t="s">
        <v>706</v>
      </c>
      <c r="B470" s="192">
        <v>0.75</v>
      </c>
      <c r="C470" s="192">
        <v>142855</v>
      </c>
      <c r="D470" s="192">
        <v>21647</v>
      </c>
      <c r="E470" s="192">
        <v>1</v>
      </c>
      <c r="F470" s="192">
        <v>1338</v>
      </c>
      <c r="G470" s="192">
        <v>50</v>
      </c>
      <c r="H470" s="192" t="s">
        <v>700</v>
      </c>
      <c r="I470" s="192" t="s">
        <v>65</v>
      </c>
      <c r="J470" s="192">
        <v>0.15000000596046448</v>
      </c>
      <c r="K470" s="192">
        <f>VLOOKUP($D470,'RBSA Weights'!$A$2:$C$1406,3,FALSE)</f>
        <v>1612.692</v>
      </c>
    </row>
    <row r="471" spans="1:11">
      <c r="A471" s="192" t="s">
        <v>706</v>
      </c>
      <c r="B471" s="192">
        <v>0.75</v>
      </c>
      <c r="C471" s="192">
        <v>219815</v>
      </c>
      <c r="D471" s="192">
        <v>21710</v>
      </c>
      <c r="E471" s="192">
        <v>1</v>
      </c>
      <c r="F471" s="192">
        <v>1426</v>
      </c>
      <c r="G471" s="192">
        <v>49</v>
      </c>
      <c r="H471" s="192" t="s">
        <v>705</v>
      </c>
      <c r="I471" s="192" t="s">
        <v>65</v>
      </c>
      <c r="J471" s="192">
        <v>0.15000000596046448</v>
      </c>
      <c r="K471" s="192">
        <f>VLOOKUP($D471,'RBSA Weights'!$A$2:$C$1406,3,FALSE)</f>
        <v>2079.9929999999999</v>
      </c>
    </row>
    <row r="472" spans="1:11">
      <c r="A472" s="192" t="s">
        <v>706</v>
      </c>
      <c r="B472" s="192">
        <v>0.75</v>
      </c>
      <c r="C472" s="192">
        <v>45107</v>
      </c>
      <c r="D472" s="192">
        <v>14129</v>
      </c>
      <c r="E472" s="192">
        <v>1</v>
      </c>
      <c r="F472" s="192">
        <v>780</v>
      </c>
      <c r="G472" s="192">
        <v>50</v>
      </c>
      <c r="H472" s="192" t="s">
        <v>697</v>
      </c>
      <c r="I472" s="192" t="s">
        <v>65</v>
      </c>
      <c r="J472" s="192">
        <v>0.15000000596046448</v>
      </c>
      <c r="K472" s="192">
        <f>VLOOKUP($D472,'RBSA Weights'!$A$2:$C$1406,3,FALSE)</f>
        <v>1188.027</v>
      </c>
    </row>
    <row r="473" spans="1:11">
      <c r="A473" s="192" t="s">
        <v>706</v>
      </c>
      <c r="B473" s="192">
        <v>0.75</v>
      </c>
      <c r="C473" s="192">
        <v>161475</v>
      </c>
      <c r="D473" s="192">
        <v>13303</v>
      </c>
      <c r="E473" s="192">
        <v>1</v>
      </c>
      <c r="F473" s="192">
        <v>1040</v>
      </c>
      <c r="G473" s="192">
        <v>10</v>
      </c>
      <c r="H473" s="192" t="s">
        <v>700</v>
      </c>
      <c r="I473" s="192" t="s">
        <v>65</v>
      </c>
      <c r="J473" s="192">
        <v>0.15000000596046448</v>
      </c>
      <c r="K473" s="192">
        <f>VLOOKUP($D473,'RBSA Weights'!$A$2:$C$1406,3,FALSE)</f>
        <v>2003.7159999999999</v>
      </c>
    </row>
    <row r="474" spans="1:11">
      <c r="A474" s="192" t="s">
        <v>706</v>
      </c>
      <c r="B474" s="192">
        <v>0.75</v>
      </c>
      <c r="C474" s="192">
        <v>68243</v>
      </c>
      <c r="D474" s="192">
        <v>22721</v>
      </c>
      <c r="E474" s="192">
        <v>1</v>
      </c>
      <c r="F474" s="192">
        <v>819</v>
      </c>
      <c r="G474" s="192">
        <v>25</v>
      </c>
      <c r="H474" s="192" t="s">
        <v>702</v>
      </c>
      <c r="I474" s="192" t="s">
        <v>65</v>
      </c>
      <c r="J474" s="192">
        <v>0.15000000596046448</v>
      </c>
      <c r="K474" s="192">
        <f>VLOOKUP($D474,'RBSA Weights'!$A$2:$C$1406,3,FALSE)</f>
        <v>2130.886</v>
      </c>
    </row>
    <row r="475" spans="1:11">
      <c r="A475" s="192" t="s">
        <v>706</v>
      </c>
      <c r="B475" s="192">
        <v>0.9</v>
      </c>
      <c r="C475" s="192">
        <v>34682</v>
      </c>
      <c r="D475" s="192">
        <v>11988</v>
      </c>
      <c r="E475" s="192">
        <v>1</v>
      </c>
      <c r="F475" s="192">
        <v>1120</v>
      </c>
      <c r="G475" s="192">
        <v>50</v>
      </c>
      <c r="H475" s="192" t="s">
        <v>702</v>
      </c>
      <c r="I475" s="192" t="s">
        <v>65</v>
      </c>
      <c r="J475" s="192">
        <v>9.0000003576278687E-2</v>
      </c>
      <c r="K475" s="192">
        <f>VLOOKUP($D475,'RBSA Weights'!$A$2:$C$1406,3,FALSE)</f>
        <v>1188.027</v>
      </c>
    </row>
    <row r="476" spans="1:11">
      <c r="A476" s="192" t="s">
        <v>706</v>
      </c>
      <c r="B476" s="192">
        <v>0.9</v>
      </c>
      <c r="C476" s="192">
        <v>183336</v>
      </c>
      <c r="D476" s="192">
        <v>23489</v>
      </c>
      <c r="E476" s="192">
        <v>1</v>
      </c>
      <c r="F476" s="192">
        <v>1588</v>
      </c>
      <c r="G476" s="192">
        <v>12</v>
      </c>
      <c r="H476" s="192" t="s">
        <v>702</v>
      </c>
      <c r="I476" s="192" t="s">
        <v>65</v>
      </c>
      <c r="J476" s="192">
        <v>9.0000003576278687E-2</v>
      </c>
      <c r="K476" s="192">
        <f>VLOOKUP($D476,'RBSA Weights'!$A$2:$C$1406,3,FALSE)</f>
        <v>3785.7640000000001</v>
      </c>
    </row>
    <row r="477" spans="1:11">
      <c r="A477" s="192" t="s">
        <v>706</v>
      </c>
      <c r="B477" s="192">
        <v>0.9</v>
      </c>
      <c r="C477" s="192">
        <v>31282</v>
      </c>
      <c r="D477" s="192">
        <v>10580</v>
      </c>
      <c r="E477" s="192">
        <v>1</v>
      </c>
      <c r="F477" s="192">
        <v>1050</v>
      </c>
      <c r="G477" s="192">
        <v>40</v>
      </c>
      <c r="H477" s="192" t="s">
        <v>702</v>
      </c>
      <c r="I477" s="192" t="s">
        <v>65</v>
      </c>
      <c r="J477" s="192">
        <v>9.0000003576278687E-2</v>
      </c>
      <c r="K477" s="192">
        <f>VLOOKUP($D477,'RBSA Weights'!$A$2:$C$1406,3,FALSE)</f>
        <v>1524.7619999999999</v>
      </c>
    </row>
    <row r="478" spans="1:11">
      <c r="A478" s="192" t="s">
        <v>706</v>
      </c>
      <c r="B478" s="192">
        <v>0.9</v>
      </c>
      <c r="C478" s="192">
        <v>86703</v>
      </c>
      <c r="D478" s="192">
        <v>23882</v>
      </c>
      <c r="E478" s="192">
        <v>1</v>
      </c>
      <c r="F478" s="192">
        <v>400</v>
      </c>
      <c r="G478" s="192">
        <v>36</v>
      </c>
      <c r="H478" s="192" t="s">
        <v>700</v>
      </c>
      <c r="I478" s="192" t="s">
        <v>65</v>
      </c>
      <c r="J478" s="192">
        <v>9.0000003576278687E-2</v>
      </c>
      <c r="K478" s="192">
        <f>VLOOKUP($D478,'RBSA Weights'!$A$2:$C$1406,3,FALSE)</f>
        <v>1144.6790000000001</v>
      </c>
    </row>
    <row r="479" spans="1:11">
      <c r="A479" s="192" t="s">
        <v>706</v>
      </c>
      <c r="B479" s="192">
        <v>0.9</v>
      </c>
      <c r="C479" s="192">
        <v>190008</v>
      </c>
      <c r="D479" s="192">
        <v>23262</v>
      </c>
      <c r="E479" s="192">
        <v>1</v>
      </c>
      <c r="F479" s="192">
        <v>1622</v>
      </c>
      <c r="G479" s="192">
        <v>25</v>
      </c>
      <c r="H479" s="192" t="s">
        <v>700</v>
      </c>
      <c r="I479" s="192" t="s">
        <v>65</v>
      </c>
      <c r="J479" s="192">
        <v>9.0000003576278687E-2</v>
      </c>
      <c r="K479" s="192">
        <f>VLOOKUP($D479,'RBSA Weights'!$A$2:$C$1406,3,FALSE)</f>
        <v>1612.692</v>
      </c>
    </row>
    <row r="480" spans="1:11">
      <c r="A480" s="192" t="s">
        <v>706</v>
      </c>
      <c r="B480" s="192">
        <v>0.9</v>
      </c>
      <c r="C480" s="192">
        <v>57683</v>
      </c>
      <c r="D480" s="192">
        <v>24171</v>
      </c>
      <c r="E480" s="192">
        <v>1</v>
      </c>
      <c r="F480" s="192">
        <v>1560</v>
      </c>
      <c r="G480" s="192">
        <v>0</v>
      </c>
      <c r="H480" s="192" t="s">
        <v>700</v>
      </c>
      <c r="I480" s="192" t="s">
        <v>65</v>
      </c>
      <c r="J480" s="192">
        <v>9.0000003576278687E-2</v>
      </c>
      <c r="K480" s="192">
        <f>VLOOKUP($D480,'RBSA Weights'!$A$2:$C$1406,3,FALSE)</f>
        <v>2079.9929999999999</v>
      </c>
    </row>
    <row r="481" spans="1:11">
      <c r="A481" s="192" t="s">
        <v>706</v>
      </c>
      <c r="B481" s="192">
        <v>0.9</v>
      </c>
      <c r="C481" s="192">
        <v>223744</v>
      </c>
      <c r="D481" s="192">
        <v>20466</v>
      </c>
      <c r="E481" s="192">
        <v>1</v>
      </c>
      <c r="F481" s="192">
        <v>1500</v>
      </c>
      <c r="G481" s="192">
        <v>20</v>
      </c>
      <c r="H481" s="192" t="s">
        <v>702</v>
      </c>
      <c r="I481" s="192" t="s">
        <v>65</v>
      </c>
      <c r="J481" s="192">
        <v>9.0000003576278687E-2</v>
      </c>
      <c r="K481" s="192">
        <f>VLOOKUP($D481,'RBSA Weights'!$A$2:$C$1406,3,FALSE)</f>
        <v>2130.886</v>
      </c>
    </row>
    <row r="482" spans="1:11">
      <c r="A482" s="192" t="s">
        <v>706</v>
      </c>
      <c r="B482" s="192">
        <v>0.9</v>
      </c>
      <c r="C482" s="192">
        <v>83985</v>
      </c>
      <c r="D482" s="192">
        <v>21977</v>
      </c>
      <c r="E482" s="192">
        <v>1</v>
      </c>
      <c r="F482" s="192">
        <v>1249</v>
      </c>
      <c r="G482" s="192">
        <v>10</v>
      </c>
      <c r="H482" s="192" t="s">
        <v>702</v>
      </c>
      <c r="I482" s="192" t="s">
        <v>65</v>
      </c>
      <c r="J482" s="192">
        <v>9.0000003576278687E-2</v>
      </c>
      <c r="K482" s="192">
        <f>VLOOKUP($D482,'RBSA Weights'!$A$2:$C$1406,3,FALSE)</f>
        <v>8559.1039999999994</v>
      </c>
    </row>
    <row r="483" spans="1:11">
      <c r="A483" s="192" t="s">
        <v>706</v>
      </c>
      <c r="B483" s="192">
        <v>0.9</v>
      </c>
      <c r="C483" s="192">
        <v>133820</v>
      </c>
      <c r="D483" s="192">
        <v>20619</v>
      </c>
      <c r="E483" s="192">
        <v>1</v>
      </c>
      <c r="F483" s="192">
        <v>1520</v>
      </c>
      <c r="G483" s="192">
        <v>30</v>
      </c>
      <c r="H483" s="192" t="s">
        <v>697</v>
      </c>
      <c r="I483" s="192" t="s">
        <v>65</v>
      </c>
      <c r="J483" s="192">
        <v>9.0000003576278687E-2</v>
      </c>
      <c r="K483" s="192">
        <f>VLOOKUP($D483,'RBSA Weights'!$A$2:$C$1406,3,FALSE)</f>
        <v>2079.9929999999999</v>
      </c>
    </row>
    <row r="484" spans="1:11">
      <c r="A484" s="192" t="s">
        <v>706</v>
      </c>
      <c r="B484" s="192">
        <v>0.9</v>
      </c>
      <c r="C484" s="192">
        <v>67714</v>
      </c>
      <c r="D484" s="192">
        <v>24363</v>
      </c>
      <c r="E484" s="192">
        <v>1</v>
      </c>
      <c r="F484" s="192">
        <v>1400</v>
      </c>
      <c r="G484" s="192">
        <v>20</v>
      </c>
      <c r="H484" s="192" t="s">
        <v>702</v>
      </c>
      <c r="I484" s="192" t="s">
        <v>65</v>
      </c>
      <c r="J484" s="192">
        <v>9.0000003576278687E-2</v>
      </c>
      <c r="K484" s="192">
        <f>VLOOKUP($D484,'RBSA Weights'!$A$2:$C$1406,3,FALSE)</f>
        <v>3785.7640000000001</v>
      </c>
    </row>
    <row r="485" spans="1:11">
      <c r="A485" s="192" t="s">
        <v>706</v>
      </c>
      <c r="B485" s="192">
        <v>0.9</v>
      </c>
      <c r="C485" s="192">
        <v>229086</v>
      </c>
      <c r="D485" s="192">
        <v>14181</v>
      </c>
      <c r="E485" s="192">
        <v>5</v>
      </c>
      <c r="F485" s="192">
        <v>150</v>
      </c>
      <c r="G485" s="192">
        <v>30</v>
      </c>
      <c r="H485" s="192" t="s">
        <v>700</v>
      </c>
      <c r="I485" s="192" t="s">
        <v>65</v>
      </c>
      <c r="J485" s="192">
        <v>9.0000003576278687E-2</v>
      </c>
      <c r="K485" s="192">
        <f>VLOOKUP($D485,'RBSA Weights'!$A$2:$C$1406,3,FALSE)</f>
        <v>1524.7619999999999</v>
      </c>
    </row>
    <row r="486" spans="1:11">
      <c r="A486" s="192" t="s">
        <v>706</v>
      </c>
      <c r="B486" s="192">
        <v>0.9</v>
      </c>
      <c r="C486" s="192">
        <v>240215</v>
      </c>
      <c r="D486" s="192">
        <v>12730</v>
      </c>
      <c r="E486" s="192">
        <v>1</v>
      </c>
      <c r="F486" s="192">
        <v>672</v>
      </c>
      <c r="G486" s="192">
        <v>25</v>
      </c>
      <c r="H486" s="192" t="s">
        <v>705</v>
      </c>
      <c r="I486" s="192" t="s">
        <v>65</v>
      </c>
      <c r="J486" s="192">
        <v>9.0000003576278687E-2</v>
      </c>
      <c r="K486" s="192">
        <f>VLOOKUP($D486,'RBSA Weights'!$A$2:$C$1406,3,FALSE)</f>
        <v>1150.8789999999999</v>
      </c>
    </row>
    <row r="487" spans="1:11">
      <c r="A487" s="192" t="s">
        <v>706</v>
      </c>
      <c r="B487" s="192">
        <v>0.9</v>
      </c>
      <c r="C487" s="192">
        <v>165637</v>
      </c>
      <c r="D487" s="192">
        <v>20618</v>
      </c>
      <c r="E487" s="192">
        <v>1</v>
      </c>
      <c r="F487" s="192">
        <v>910</v>
      </c>
      <c r="G487" s="192">
        <v>50</v>
      </c>
      <c r="H487" s="192" t="s">
        <v>702</v>
      </c>
      <c r="I487" s="192" t="s">
        <v>65</v>
      </c>
      <c r="J487" s="192">
        <v>9.0000003576278687E-2</v>
      </c>
      <c r="K487" s="192">
        <f>VLOOKUP($D487,'RBSA Weights'!$A$2:$C$1406,3,FALSE)</f>
        <v>1612.692</v>
      </c>
    </row>
    <row r="488" spans="1:11">
      <c r="A488" s="192" t="s">
        <v>706</v>
      </c>
      <c r="B488" s="192">
        <v>0.9</v>
      </c>
      <c r="C488" s="192">
        <v>98995</v>
      </c>
      <c r="D488" s="192">
        <v>20324</v>
      </c>
      <c r="E488" s="192">
        <v>1</v>
      </c>
      <c r="F488" s="192">
        <v>1620</v>
      </c>
      <c r="G488" s="192">
        <v>25</v>
      </c>
      <c r="H488" s="192" t="s">
        <v>702</v>
      </c>
      <c r="I488" s="192" t="s">
        <v>65</v>
      </c>
      <c r="J488" s="192">
        <v>9.0000003576278687E-2</v>
      </c>
      <c r="K488" s="192">
        <f>VLOOKUP($D488,'RBSA Weights'!$A$2:$C$1406,3,FALSE)</f>
        <v>1925.059</v>
      </c>
    </row>
    <row r="489" spans="1:11">
      <c r="A489" s="192" t="s">
        <v>706</v>
      </c>
      <c r="B489" s="192">
        <v>0.9</v>
      </c>
      <c r="C489" s="192">
        <v>720010</v>
      </c>
      <c r="D489" s="192">
        <v>22077</v>
      </c>
      <c r="E489" s="192">
        <v>1</v>
      </c>
      <c r="F489" s="192">
        <v>1008</v>
      </c>
      <c r="G489" s="192">
        <v>30</v>
      </c>
      <c r="H489" s="192" t="s">
        <v>697</v>
      </c>
      <c r="I489" s="192" t="s">
        <v>65</v>
      </c>
      <c r="J489" s="192">
        <v>9.0000003576278687E-2</v>
      </c>
      <c r="K489" s="192">
        <f>VLOOKUP($D489,'RBSA Weights'!$A$2:$C$1406,3,FALSE)</f>
        <v>3785.7640000000001</v>
      </c>
    </row>
    <row r="490" spans="1:11">
      <c r="A490" s="192" t="s">
        <v>706</v>
      </c>
      <c r="B490" s="192">
        <v>0.9</v>
      </c>
      <c r="C490" s="192">
        <v>188082</v>
      </c>
      <c r="D490" s="192">
        <v>21155</v>
      </c>
      <c r="E490" s="192">
        <v>1</v>
      </c>
      <c r="F490" s="192">
        <v>1130</v>
      </c>
      <c r="G490" s="192">
        <v>30</v>
      </c>
      <c r="H490" s="192" t="s">
        <v>697</v>
      </c>
      <c r="I490" s="192" t="s">
        <v>65</v>
      </c>
      <c r="J490" s="192">
        <v>9.0000003576278687E-2</v>
      </c>
      <c r="K490" s="192">
        <f>VLOOKUP($D490,'RBSA Weights'!$A$2:$C$1406,3,FALSE)</f>
        <v>1192.4649999999999</v>
      </c>
    </row>
    <row r="491" spans="1:11">
      <c r="A491" s="192" t="s">
        <v>706</v>
      </c>
      <c r="B491" s="192">
        <v>0.9</v>
      </c>
      <c r="C491" s="192">
        <v>123155</v>
      </c>
      <c r="D491" s="192">
        <v>12039</v>
      </c>
      <c r="E491" s="192">
        <v>1</v>
      </c>
      <c r="F491" s="192">
        <v>1820</v>
      </c>
      <c r="G491" s="192">
        <v>10</v>
      </c>
      <c r="H491" s="192" t="s">
        <v>700</v>
      </c>
      <c r="I491" s="192" t="s">
        <v>65</v>
      </c>
      <c r="J491" s="192">
        <v>9.0000003576278687E-2</v>
      </c>
      <c r="K491" s="192">
        <f>VLOOKUP($D491,'RBSA Weights'!$A$2:$C$1406,3,FALSE)</f>
        <v>4956.4930000000004</v>
      </c>
    </row>
    <row r="492" spans="1:11">
      <c r="A492" s="192" t="s">
        <v>706</v>
      </c>
      <c r="B492" s="192">
        <v>0.9</v>
      </c>
      <c r="C492" s="192">
        <v>53180</v>
      </c>
      <c r="D492" s="192">
        <v>22515</v>
      </c>
      <c r="E492" s="192">
        <v>1</v>
      </c>
      <c r="F492" s="192">
        <v>1608</v>
      </c>
      <c r="G492" s="192">
        <v>15</v>
      </c>
      <c r="H492" s="192" t="s">
        <v>700</v>
      </c>
      <c r="I492" s="192" t="s">
        <v>65</v>
      </c>
      <c r="J492" s="192">
        <v>9.0000003576278687E-2</v>
      </c>
      <c r="K492" s="192">
        <f>VLOOKUP($D492,'RBSA Weights'!$A$2:$C$1406,3,FALSE)</f>
        <v>2079.9929999999999</v>
      </c>
    </row>
    <row r="493" spans="1:11">
      <c r="A493" s="192" t="s">
        <v>706</v>
      </c>
      <c r="B493" s="192">
        <v>0.9</v>
      </c>
      <c r="C493" s="192">
        <v>242006</v>
      </c>
      <c r="D493" s="192">
        <v>20702</v>
      </c>
      <c r="E493" s="192">
        <v>1</v>
      </c>
      <c r="F493" s="192">
        <v>1008</v>
      </c>
      <c r="G493" s="192">
        <v>15</v>
      </c>
      <c r="H493" s="192" t="s">
        <v>704</v>
      </c>
      <c r="I493" s="192" t="s">
        <v>758</v>
      </c>
      <c r="J493" s="192">
        <v>9.0000003576278687E-2</v>
      </c>
      <c r="K493" s="192">
        <f>VLOOKUP($D493,'RBSA Weights'!$A$2:$C$1406,3,FALSE)</f>
        <v>2130.886</v>
      </c>
    </row>
    <row r="494" spans="1:11">
      <c r="A494" s="192" t="s">
        <v>706</v>
      </c>
      <c r="B494" s="192">
        <v>0.9</v>
      </c>
      <c r="C494" s="192">
        <v>78305</v>
      </c>
      <c r="D494" s="192">
        <v>23408</v>
      </c>
      <c r="E494" s="192">
        <v>2</v>
      </c>
      <c r="F494" s="192">
        <v>402</v>
      </c>
      <c r="G494" s="192">
        <v>30</v>
      </c>
      <c r="H494" s="192" t="s">
        <v>700</v>
      </c>
      <c r="I494" s="192" t="s">
        <v>65</v>
      </c>
      <c r="J494" s="192">
        <v>9.0000003576278687E-2</v>
      </c>
      <c r="K494" s="192">
        <f>VLOOKUP($D494,'RBSA Weights'!$A$2:$C$1406,3,FALSE)</f>
        <v>3785.7640000000001</v>
      </c>
    </row>
    <row r="495" spans="1:11">
      <c r="A495" s="192" t="s">
        <v>706</v>
      </c>
      <c r="B495" s="192">
        <v>0.9</v>
      </c>
      <c r="C495" s="192">
        <v>76093</v>
      </c>
      <c r="D495" s="192">
        <v>22096</v>
      </c>
      <c r="E495" s="192">
        <v>2</v>
      </c>
      <c r="F495" s="192">
        <v>480</v>
      </c>
      <c r="G495" s="192">
        <v>0</v>
      </c>
      <c r="H495" s="192" t="s">
        <v>700</v>
      </c>
      <c r="I495" s="192" t="s">
        <v>65</v>
      </c>
      <c r="J495" s="192">
        <v>9.0000003576278687E-2</v>
      </c>
      <c r="K495" s="192">
        <f>VLOOKUP($D495,'RBSA Weights'!$A$2:$C$1406,3,FALSE)</f>
        <v>3785.7640000000001</v>
      </c>
    </row>
    <row r="496" spans="1:11">
      <c r="A496" s="192" t="s">
        <v>706</v>
      </c>
      <c r="B496" s="192">
        <v>0.9</v>
      </c>
      <c r="C496" s="192">
        <v>198909</v>
      </c>
      <c r="D496" s="192">
        <v>24795</v>
      </c>
      <c r="E496" s="192">
        <v>1</v>
      </c>
      <c r="F496" s="192">
        <v>2035</v>
      </c>
      <c r="G496" s="192">
        <v>26</v>
      </c>
      <c r="H496" s="192" t="s">
        <v>705</v>
      </c>
      <c r="I496" s="192" t="s">
        <v>65</v>
      </c>
      <c r="J496" s="192">
        <v>9.0000003576278687E-2</v>
      </c>
      <c r="K496" s="192">
        <f>VLOOKUP($D496,'RBSA Weights'!$A$2:$C$1406,3,FALSE)</f>
        <v>2079.9929999999999</v>
      </c>
    </row>
    <row r="497" spans="1:11">
      <c r="A497" s="192" t="s">
        <v>706</v>
      </c>
      <c r="B497" s="192">
        <v>0.9</v>
      </c>
      <c r="C497" s="192">
        <v>159652</v>
      </c>
      <c r="D497" s="192">
        <v>11283</v>
      </c>
      <c r="E497" s="192">
        <v>1</v>
      </c>
      <c r="F497" s="192">
        <v>1400</v>
      </c>
      <c r="G497" s="192">
        <v>15</v>
      </c>
      <c r="H497" s="192" t="s">
        <v>700</v>
      </c>
      <c r="I497" s="192" t="s">
        <v>65</v>
      </c>
      <c r="J497" s="192">
        <v>9.0000003576278687E-2</v>
      </c>
      <c r="K497" s="192">
        <f>VLOOKUP($D497,'RBSA Weights'!$A$2:$C$1406,3,FALSE)</f>
        <v>6932.7380000000003</v>
      </c>
    </row>
    <row r="498" spans="1:11">
      <c r="A498" s="192" t="s">
        <v>706</v>
      </c>
      <c r="B498" s="192">
        <v>0.9</v>
      </c>
      <c r="C498" s="192">
        <v>33436</v>
      </c>
      <c r="D498" s="192">
        <v>20058</v>
      </c>
      <c r="E498" s="192">
        <v>1</v>
      </c>
      <c r="F498" s="192">
        <v>1080</v>
      </c>
      <c r="G498" s="192">
        <v>30</v>
      </c>
      <c r="H498" s="192" t="s">
        <v>705</v>
      </c>
      <c r="I498" s="192" t="s">
        <v>65</v>
      </c>
      <c r="J498" s="192">
        <v>9.0000003576278687E-2</v>
      </c>
      <c r="K498" s="192">
        <f>VLOOKUP($D498,'RBSA Weights'!$A$2:$C$1406,3,FALSE)</f>
        <v>3785.7640000000001</v>
      </c>
    </row>
    <row r="499" spans="1:11">
      <c r="A499" s="192" t="s">
        <v>706</v>
      </c>
      <c r="B499" s="192">
        <v>0.9</v>
      </c>
      <c r="C499" s="192">
        <v>113308</v>
      </c>
      <c r="D499" s="192">
        <v>23003</v>
      </c>
      <c r="E499" s="192">
        <v>1</v>
      </c>
      <c r="F499" s="192">
        <v>850</v>
      </c>
      <c r="G499" s="192">
        <v>20</v>
      </c>
      <c r="H499" s="192" t="s">
        <v>702</v>
      </c>
      <c r="I499" s="192" t="s">
        <v>65</v>
      </c>
      <c r="J499" s="192">
        <v>9.0000003576278687E-2</v>
      </c>
      <c r="K499" s="192">
        <f>VLOOKUP($D499,'RBSA Weights'!$A$2:$C$1406,3,FALSE)</f>
        <v>2079.9929999999999</v>
      </c>
    </row>
    <row r="500" spans="1:11">
      <c r="A500" s="192" t="s">
        <v>706</v>
      </c>
      <c r="B500" s="192">
        <v>0.9</v>
      </c>
      <c r="C500" s="192">
        <v>235845</v>
      </c>
      <c r="D500" s="192">
        <v>21672</v>
      </c>
      <c r="E500" s="192">
        <v>2</v>
      </c>
      <c r="F500" s="192">
        <v>688</v>
      </c>
      <c r="G500" s="192">
        <v>20</v>
      </c>
      <c r="H500" s="192" t="s">
        <v>702</v>
      </c>
      <c r="I500" s="192" t="s">
        <v>65</v>
      </c>
      <c r="J500" s="192">
        <v>9.0000003576278687E-2</v>
      </c>
      <c r="K500" s="192">
        <f>VLOOKUP($D500,'RBSA Weights'!$A$2:$C$1406,3,FALSE)</f>
        <v>1144.6790000000001</v>
      </c>
    </row>
    <row r="501" spans="1:11">
      <c r="A501" s="192" t="s">
        <v>706</v>
      </c>
      <c r="B501" s="192">
        <v>0.9</v>
      </c>
      <c r="C501" s="192">
        <v>192167</v>
      </c>
      <c r="D501" s="192">
        <v>22679</v>
      </c>
      <c r="E501" s="192">
        <v>1</v>
      </c>
      <c r="F501" s="192">
        <v>1315</v>
      </c>
      <c r="G501" s="192">
        <v>25</v>
      </c>
      <c r="H501" s="192" t="s">
        <v>698</v>
      </c>
      <c r="I501" s="192" t="s">
        <v>65</v>
      </c>
      <c r="J501" s="192">
        <v>9.0000003576278687E-2</v>
      </c>
      <c r="K501" s="192">
        <f>VLOOKUP($D501,'RBSA Weights'!$A$2:$C$1406,3,FALSE)</f>
        <v>2130.886</v>
      </c>
    </row>
    <row r="502" spans="1:11">
      <c r="A502" s="192" t="s">
        <v>706</v>
      </c>
      <c r="B502" s="192">
        <v>0.9</v>
      </c>
      <c r="C502" s="192">
        <v>725266</v>
      </c>
      <c r="D502" s="192">
        <v>13188</v>
      </c>
      <c r="E502" s="192">
        <v>1</v>
      </c>
      <c r="F502" s="192">
        <v>738</v>
      </c>
      <c r="G502" s="192">
        <v>10</v>
      </c>
      <c r="H502" s="192" t="s">
        <v>705</v>
      </c>
      <c r="I502" s="192" t="s">
        <v>65</v>
      </c>
      <c r="J502" s="192">
        <v>9.0000003576278687E-2</v>
      </c>
      <c r="K502" s="192">
        <f>VLOOKUP($D502,'RBSA Weights'!$A$2:$C$1406,3,FALSE)</f>
        <v>1524.7619999999999</v>
      </c>
    </row>
    <row r="503" spans="1:11">
      <c r="A503" s="192" t="s">
        <v>706</v>
      </c>
      <c r="B503" s="192">
        <v>0.9</v>
      </c>
      <c r="C503" s="192">
        <v>190111</v>
      </c>
      <c r="D503" s="192">
        <v>23645</v>
      </c>
      <c r="E503" s="192">
        <v>1</v>
      </c>
      <c r="F503" s="192">
        <v>962</v>
      </c>
      <c r="G503" s="192">
        <v>25</v>
      </c>
      <c r="H503" s="192" t="s">
        <v>705</v>
      </c>
      <c r="I503" s="192" t="s">
        <v>65</v>
      </c>
      <c r="J503" s="192">
        <v>9.0000003576278687E-2</v>
      </c>
      <c r="K503" s="192">
        <f>VLOOKUP($D503,'RBSA Weights'!$A$2:$C$1406,3,FALSE)</f>
        <v>1612.692</v>
      </c>
    </row>
    <row r="504" spans="1:11">
      <c r="A504" s="192" t="s">
        <v>706</v>
      </c>
      <c r="B504" s="192">
        <v>0.9</v>
      </c>
      <c r="C504" s="192">
        <v>192612</v>
      </c>
      <c r="D504" s="192">
        <v>24499</v>
      </c>
      <c r="E504" s="192">
        <v>1</v>
      </c>
      <c r="F504" s="192">
        <v>711</v>
      </c>
      <c r="G504" s="192">
        <v>25</v>
      </c>
      <c r="H504" s="192" t="s">
        <v>697</v>
      </c>
      <c r="I504" s="192" t="s">
        <v>65</v>
      </c>
      <c r="J504" s="192">
        <v>9.0000003576278687E-2</v>
      </c>
      <c r="K504" s="192">
        <f>VLOOKUP($D504,'RBSA Weights'!$A$2:$C$1406,3,FALSE)</f>
        <v>1192.4649999999999</v>
      </c>
    </row>
    <row r="505" spans="1:11">
      <c r="A505" s="192" t="s">
        <v>706</v>
      </c>
      <c r="B505" s="192">
        <v>0.9</v>
      </c>
      <c r="C505" s="192">
        <v>128698</v>
      </c>
      <c r="D505" s="192">
        <v>21112</v>
      </c>
      <c r="E505" s="192">
        <v>1</v>
      </c>
      <c r="F505" s="192">
        <v>1615</v>
      </c>
      <c r="G505" s="192">
        <v>15</v>
      </c>
      <c r="H505" s="192" t="s">
        <v>702</v>
      </c>
      <c r="I505" s="192" t="s">
        <v>65</v>
      </c>
      <c r="J505" s="192">
        <v>9.0000003576278687E-2</v>
      </c>
      <c r="K505" s="192">
        <f>VLOOKUP($D505,'RBSA Weights'!$A$2:$C$1406,3,FALSE)</f>
        <v>1612.692</v>
      </c>
    </row>
    <row r="506" spans="1:11">
      <c r="A506" s="192" t="s">
        <v>706</v>
      </c>
      <c r="B506" s="192">
        <v>0.9</v>
      </c>
      <c r="C506" s="192">
        <v>783197</v>
      </c>
      <c r="D506" s="192">
        <v>24311</v>
      </c>
      <c r="E506" s="192">
        <v>1</v>
      </c>
      <c r="F506" s="192">
        <v>1576</v>
      </c>
      <c r="G506" s="192">
        <v>25</v>
      </c>
      <c r="H506" s="192" t="s">
        <v>702</v>
      </c>
      <c r="I506" s="192" t="s">
        <v>65</v>
      </c>
      <c r="J506" s="192">
        <v>9.0000003576278687E-2</v>
      </c>
      <c r="K506" s="192">
        <f>VLOOKUP($D506,'RBSA Weights'!$A$2:$C$1406,3,FALSE)</f>
        <v>8264.9449999999997</v>
      </c>
    </row>
    <row r="507" spans="1:11">
      <c r="A507" s="192" t="s">
        <v>706</v>
      </c>
      <c r="B507" s="192">
        <v>0.9</v>
      </c>
      <c r="C507" s="192">
        <v>206613</v>
      </c>
      <c r="D507" s="192">
        <v>12144</v>
      </c>
      <c r="E507" s="192">
        <v>1</v>
      </c>
      <c r="F507" s="192">
        <v>824</v>
      </c>
      <c r="G507" s="192">
        <v>49</v>
      </c>
      <c r="H507" s="192" t="s">
        <v>705</v>
      </c>
      <c r="I507" s="192" t="s">
        <v>65</v>
      </c>
      <c r="J507" s="192">
        <v>9.0000003576278687E-2</v>
      </c>
      <c r="K507" s="192">
        <f>VLOOKUP($D507,'RBSA Weights'!$A$2:$C$1406,3,FALSE)</f>
        <v>6932.7380000000003</v>
      </c>
    </row>
    <row r="508" spans="1:11">
      <c r="A508" s="192" t="s">
        <v>706</v>
      </c>
      <c r="B508" s="192">
        <v>0.9</v>
      </c>
      <c r="C508" s="192">
        <v>186783</v>
      </c>
      <c r="D508" s="192">
        <v>21411</v>
      </c>
      <c r="E508" s="192">
        <v>1</v>
      </c>
      <c r="F508" s="192">
        <v>1176</v>
      </c>
      <c r="G508" s="192">
        <v>30</v>
      </c>
      <c r="H508" s="192" t="s">
        <v>697</v>
      </c>
      <c r="I508" s="192" t="s">
        <v>65</v>
      </c>
      <c r="J508" s="192">
        <v>9.0000003576278687E-2</v>
      </c>
      <c r="K508" s="192">
        <f>VLOOKUP($D508,'RBSA Weights'!$A$2:$C$1406,3,FALSE)</f>
        <v>2130.886</v>
      </c>
    </row>
    <row r="509" spans="1:11">
      <c r="A509" s="192" t="s">
        <v>706</v>
      </c>
      <c r="B509" s="192">
        <v>0.9</v>
      </c>
      <c r="C509" s="192">
        <v>231749</v>
      </c>
      <c r="D509" s="192">
        <v>23414</v>
      </c>
      <c r="E509" s="192">
        <v>1</v>
      </c>
      <c r="F509" s="192">
        <v>2200</v>
      </c>
      <c r="G509" s="192">
        <v>15</v>
      </c>
      <c r="H509" s="192" t="s">
        <v>700</v>
      </c>
      <c r="I509" s="192" t="s">
        <v>65</v>
      </c>
      <c r="J509" s="192">
        <v>9.0000003576278687E-2</v>
      </c>
      <c r="K509" s="192">
        <f>VLOOKUP($D509,'RBSA Weights'!$A$2:$C$1406,3,FALSE)</f>
        <v>2079.9929999999999</v>
      </c>
    </row>
    <row r="510" spans="1:11">
      <c r="A510" s="192" t="s">
        <v>706</v>
      </c>
      <c r="B510" s="192">
        <v>0.9</v>
      </c>
      <c r="C510" s="192">
        <v>80984</v>
      </c>
      <c r="D510" s="192">
        <v>24296</v>
      </c>
      <c r="E510" s="192">
        <v>1</v>
      </c>
      <c r="F510" s="192">
        <v>1620</v>
      </c>
      <c r="G510" s="192">
        <v>20</v>
      </c>
      <c r="H510" s="192" t="s">
        <v>697</v>
      </c>
      <c r="I510" s="192" t="s">
        <v>65</v>
      </c>
      <c r="J510" s="192">
        <v>9.0000003576278687E-2</v>
      </c>
      <c r="K510" s="192">
        <f>VLOOKUP($D510,'RBSA Weights'!$A$2:$C$1406,3,FALSE)</f>
        <v>3785.7640000000001</v>
      </c>
    </row>
    <row r="511" spans="1:11">
      <c r="A511" s="192" t="s">
        <v>706</v>
      </c>
      <c r="B511" s="192">
        <v>0.9</v>
      </c>
      <c r="C511" s="192">
        <v>97144</v>
      </c>
      <c r="D511" s="192">
        <v>22571</v>
      </c>
      <c r="E511" s="192">
        <v>1</v>
      </c>
      <c r="F511" s="192">
        <v>1974</v>
      </c>
      <c r="G511" s="192">
        <v>30</v>
      </c>
      <c r="H511" s="192" t="s">
        <v>704</v>
      </c>
      <c r="I511" s="192" t="s">
        <v>65</v>
      </c>
      <c r="J511" s="192">
        <v>9.0000003576278687E-2</v>
      </c>
      <c r="K511" s="192">
        <f>VLOOKUP($D511,'RBSA Weights'!$A$2:$C$1406,3,FALSE)</f>
        <v>3785.7640000000001</v>
      </c>
    </row>
    <row r="512" spans="1:11">
      <c r="A512" s="192" t="s">
        <v>706</v>
      </c>
      <c r="B512" s="192">
        <v>0.9</v>
      </c>
      <c r="C512" s="192">
        <v>75979</v>
      </c>
      <c r="D512" s="192">
        <v>20808</v>
      </c>
      <c r="E512" s="192">
        <v>1</v>
      </c>
      <c r="F512" s="192">
        <v>1072</v>
      </c>
      <c r="G512" s="192">
        <v>0</v>
      </c>
      <c r="H512" s="192" t="s">
        <v>705</v>
      </c>
      <c r="I512" s="192" t="s">
        <v>65</v>
      </c>
      <c r="J512" s="192">
        <v>9.0000003576278687E-2</v>
      </c>
      <c r="K512" s="192">
        <f>VLOOKUP($D512,'RBSA Weights'!$A$2:$C$1406,3,FALSE)</f>
        <v>3785.7640000000001</v>
      </c>
    </row>
    <row r="513" spans="1:11">
      <c r="A513" s="192" t="s">
        <v>706</v>
      </c>
      <c r="B513" s="192">
        <v>0.9</v>
      </c>
      <c r="C513" s="192">
        <v>119349</v>
      </c>
      <c r="D513" s="192">
        <v>22458</v>
      </c>
      <c r="E513" s="192">
        <v>1</v>
      </c>
      <c r="F513" s="192">
        <v>1915</v>
      </c>
      <c r="G513" s="192">
        <v>30</v>
      </c>
      <c r="H513" s="192" t="s">
        <v>704</v>
      </c>
      <c r="I513" s="192" t="s">
        <v>65</v>
      </c>
      <c r="J513" s="192">
        <v>9.0000003576278687E-2</v>
      </c>
      <c r="K513" s="192">
        <f>VLOOKUP($D513,'RBSA Weights'!$A$2:$C$1406,3,FALSE)</f>
        <v>3785.7640000000001</v>
      </c>
    </row>
    <row r="514" spans="1:11">
      <c r="A514" s="192" t="s">
        <v>706</v>
      </c>
      <c r="B514" s="192">
        <v>0.9</v>
      </c>
      <c r="C514" s="192">
        <v>185200</v>
      </c>
      <c r="D514" s="192">
        <v>14037</v>
      </c>
      <c r="E514" s="192">
        <v>1</v>
      </c>
      <c r="F514" s="192">
        <v>445</v>
      </c>
      <c r="G514" s="192">
        <v>30</v>
      </c>
      <c r="H514" s="192" t="s">
        <v>702</v>
      </c>
      <c r="I514" s="192" t="s">
        <v>65</v>
      </c>
      <c r="J514" s="192">
        <v>9.0000003576278687E-2</v>
      </c>
      <c r="K514" s="192">
        <f>VLOOKUP($D514,'RBSA Weights'!$A$2:$C$1406,3,FALSE)</f>
        <v>1524.7619999999999</v>
      </c>
    </row>
    <row r="515" spans="1:11">
      <c r="A515" s="192" t="s">
        <v>706</v>
      </c>
      <c r="B515" s="192">
        <v>0.9</v>
      </c>
      <c r="C515" s="192">
        <v>191282</v>
      </c>
      <c r="D515" s="192">
        <v>20085</v>
      </c>
      <c r="E515" s="192">
        <v>1</v>
      </c>
      <c r="F515" s="192">
        <v>2000</v>
      </c>
      <c r="G515" s="192">
        <v>15</v>
      </c>
      <c r="H515" s="192" t="s">
        <v>702</v>
      </c>
      <c r="I515" s="192" t="s">
        <v>65</v>
      </c>
      <c r="J515" s="192">
        <v>9.0000003576278687E-2</v>
      </c>
      <c r="K515" s="192">
        <f>VLOOKUP($D515,'RBSA Weights'!$A$2:$C$1406,3,FALSE)</f>
        <v>4360.1880000000001</v>
      </c>
    </row>
    <row r="516" spans="1:11">
      <c r="A516" s="192" t="s">
        <v>706</v>
      </c>
      <c r="B516" s="192">
        <v>0.9</v>
      </c>
      <c r="C516" s="192">
        <v>42348</v>
      </c>
      <c r="D516" s="192">
        <v>22053</v>
      </c>
      <c r="E516" s="192">
        <v>1</v>
      </c>
      <c r="F516" s="192">
        <v>1700</v>
      </c>
      <c r="G516" s="192">
        <v>10</v>
      </c>
      <c r="H516" s="192" t="s">
        <v>697</v>
      </c>
      <c r="I516" s="192" t="s">
        <v>65</v>
      </c>
      <c r="J516" s="192">
        <v>9.0000003576278687E-2</v>
      </c>
      <c r="K516" s="192">
        <f>VLOOKUP($D516,'RBSA Weights'!$A$2:$C$1406,3,FALSE)</f>
        <v>2079.9929999999999</v>
      </c>
    </row>
    <row r="517" spans="1:11">
      <c r="A517" s="192" t="s">
        <v>706</v>
      </c>
      <c r="B517" s="192">
        <v>0.9</v>
      </c>
      <c r="C517" s="192">
        <v>124600</v>
      </c>
      <c r="D517" s="192">
        <v>21988</v>
      </c>
      <c r="E517" s="192">
        <v>1</v>
      </c>
      <c r="F517" s="192">
        <v>1200</v>
      </c>
      <c r="G517" s="192">
        <v>12</v>
      </c>
      <c r="H517" s="192" t="s">
        <v>705</v>
      </c>
      <c r="I517" s="192" t="s">
        <v>65</v>
      </c>
      <c r="J517" s="192">
        <v>9.0000003576278687E-2</v>
      </c>
      <c r="K517" s="192">
        <f>VLOOKUP($D517,'RBSA Weights'!$A$2:$C$1406,3,FALSE)</f>
        <v>2079.9929999999999</v>
      </c>
    </row>
    <row r="518" spans="1:11">
      <c r="A518" s="192" t="s">
        <v>706</v>
      </c>
      <c r="B518" s="192">
        <v>0.9</v>
      </c>
      <c r="C518" s="192">
        <v>183217</v>
      </c>
      <c r="D518" s="192">
        <v>10430</v>
      </c>
      <c r="E518" s="192">
        <v>1</v>
      </c>
      <c r="F518" s="192">
        <v>1544</v>
      </c>
      <c r="G518" s="192">
        <v>15</v>
      </c>
      <c r="H518" s="192" t="s">
        <v>702</v>
      </c>
      <c r="I518" s="192" t="s">
        <v>65</v>
      </c>
      <c r="J518" s="192">
        <v>9.0000003576278687E-2</v>
      </c>
      <c r="K518" s="192">
        <f>VLOOKUP($D518,'RBSA Weights'!$A$2:$C$1406,3,FALSE)</f>
        <v>1464.694</v>
      </c>
    </row>
    <row r="519" spans="1:11">
      <c r="A519" s="192" t="s">
        <v>706</v>
      </c>
      <c r="B519" s="192">
        <v>0.9</v>
      </c>
      <c r="C519" s="192">
        <v>724324</v>
      </c>
      <c r="D519" s="192">
        <v>11842</v>
      </c>
      <c r="E519" s="192">
        <v>1</v>
      </c>
      <c r="F519" s="192">
        <v>840</v>
      </c>
      <c r="G519" s="192">
        <v>20</v>
      </c>
      <c r="H519" s="192" t="s">
        <v>702</v>
      </c>
      <c r="I519" s="192" t="s">
        <v>65</v>
      </c>
      <c r="J519" s="192">
        <v>9.0000003576278687E-2</v>
      </c>
      <c r="K519" s="192">
        <f>VLOOKUP($D519,'RBSA Weights'!$A$2:$C$1406,3,FALSE)</f>
        <v>4956.4930000000004</v>
      </c>
    </row>
    <row r="520" spans="1:11">
      <c r="A520" s="192" t="s">
        <v>706</v>
      </c>
      <c r="B520" s="192">
        <v>0.9</v>
      </c>
      <c r="C520" s="192">
        <v>674574</v>
      </c>
      <c r="D520" s="192">
        <v>14508</v>
      </c>
      <c r="E520" s="192">
        <v>2</v>
      </c>
      <c r="F520" s="192">
        <v>94</v>
      </c>
      <c r="G520" s="192">
        <v>0</v>
      </c>
      <c r="H520" s="192" t="s">
        <v>705</v>
      </c>
      <c r="I520" s="192" t="s">
        <v>65</v>
      </c>
      <c r="J520" s="192">
        <v>9.0000003576278687E-2</v>
      </c>
      <c r="K520" s="192">
        <f>VLOOKUP($D520,'RBSA Weights'!$A$2:$C$1406,3,FALSE)</f>
        <v>4956.4930000000004</v>
      </c>
    </row>
    <row r="521" spans="1:11">
      <c r="A521" s="192" t="s">
        <v>706</v>
      </c>
      <c r="B521" s="192">
        <v>0.9</v>
      </c>
      <c r="C521" s="192">
        <v>209957</v>
      </c>
      <c r="D521" s="192">
        <v>23511</v>
      </c>
      <c r="E521" s="192">
        <v>1</v>
      </c>
      <c r="F521" s="192">
        <v>1120</v>
      </c>
      <c r="G521" s="192">
        <v>20</v>
      </c>
      <c r="H521" s="192" t="s">
        <v>697</v>
      </c>
      <c r="I521" s="192" t="s">
        <v>65</v>
      </c>
      <c r="J521" s="192">
        <v>9.0000003576278687E-2</v>
      </c>
      <c r="K521" s="192">
        <f>VLOOKUP($D521,'RBSA Weights'!$A$2:$C$1406,3,FALSE)</f>
        <v>3785.7640000000001</v>
      </c>
    </row>
    <row r="522" spans="1:11">
      <c r="A522" s="192" t="s">
        <v>706</v>
      </c>
      <c r="B522" s="192">
        <v>0.9</v>
      </c>
      <c r="C522" s="192">
        <v>58936</v>
      </c>
      <c r="D522" s="192">
        <v>13898</v>
      </c>
      <c r="E522" s="192">
        <v>1</v>
      </c>
      <c r="F522" s="192">
        <v>236</v>
      </c>
      <c r="G522" s="192">
        <v>24</v>
      </c>
      <c r="H522" s="192" t="s">
        <v>705</v>
      </c>
      <c r="I522" s="192" t="s">
        <v>65</v>
      </c>
      <c r="J522" s="192">
        <v>9.0000003576278687E-2</v>
      </c>
      <c r="K522" s="192">
        <f>VLOOKUP($D522,'RBSA Weights'!$A$2:$C$1406,3,FALSE)</f>
        <v>1188.027</v>
      </c>
    </row>
    <row r="523" spans="1:11">
      <c r="A523" s="192" t="s">
        <v>706</v>
      </c>
      <c r="B523" s="192">
        <v>0.9</v>
      </c>
      <c r="C523" s="192">
        <v>94273</v>
      </c>
      <c r="D523" s="192">
        <v>20080</v>
      </c>
      <c r="E523" s="192">
        <v>1</v>
      </c>
      <c r="F523" s="192">
        <v>925</v>
      </c>
      <c r="G523" s="192">
        <v>49</v>
      </c>
      <c r="H523" s="192" t="s">
        <v>697</v>
      </c>
      <c r="I523" s="192" t="s">
        <v>65</v>
      </c>
      <c r="J523" s="192">
        <v>9.0000003576278687E-2</v>
      </c>
      <c r="K523" s="192">
        <f>VLOOKUP($D523,'RBSA Weights'!$A$2:$C$1406,3,FALSE)</f>
        <v>1904.288</v>
      </c>
    </row>
    <row r="524" spans="1:11">
      <c r="A524" s="192" t="s">
        <v>706</v>
      </c>
      <c r="B524" s="192">
        <v>0.9</v>
      </c>
      <c r="C524" s="192">
        <v>33686</v>
      </c>
      <c r="D524" s="192">
        <v>23183</v>
      </c>
      <c r="E524" s="192">
        <v>1</v>
      </c>
      <c r="F524" s="192">
        <v>1702</v>
      </c>
      <c r="G524" s="192">
        <v>5</v>
      </c>
      <c r="H524" s="192" t="s">
        <v>705</v>
      </c>
      <c r="I524" s="192" t="s">
        <v>65</v>
      </c>
      <c r="J524" s="192">
        <v>9.0000003576278687E-2</v>
      </c>
      <c r="K524" s="192">
        <f>VLOOKUP($D524,'RBSA Weights'!$A$2:$C$1406,3,FALSE)</f>
        <v>3785.7640000000001</v>
      </c>
    </row>
    <row r="525" spans="1:11">
      <c r="A525" s="192" t="s">
        <v>706</v>
      </c>
      <c r="B525" s="192">
        <v>0.9</v>
      </c>
      <c r="C525" s="192">
        <v>120325</v>
      </c>
      <c r="D525" s="192">
        <v>10510</v>
      </c>
      <c r="E525" s="192">
        <v>1</v>
      </c>
      <c r="F525" s="192">
        <v>1064</v>
      </c>
      <c r="G525" s="192">
        <v>15</v>
      </c>
      <c r="H525" s="192" t="s">
        <v>702</v>
      </c>
      <c r="I525" s="192" t="s">
        <v>65</v>
      </c>
      <c r="J525" s="192">
        <v>9.0000003576278687E-2</v>
      </c>
      <c r="K525" s="192">
        <f>VLOOKUP($D525,'RBSA Weights'!$A$2:$C$1406,3,FALSE)</f>
        <v>1464.694</v>
      </c>
    </row>
    <row r="526" spans="1:11">
      <c r="A526" s="192" t="s">
        <v>706</v>
      </c>
      <c r="B526" s="192">
        <v>0.9</v>
      </c>
      <c r="C526" s="192">
        <v>83006</v>
      </c>
      <c r="D526" s="192">
        <v>12255</v>
      </c>
      <c r="E526" s="192">
        <v>1</v>
      </c>
      <c r="F526" s="192">
        <v>1265</v>
      </c>
      <c r="G526" s="192">
        <v>25</v>
      </c>
      <c r="H526" s="192" t="s">
        <v>697</v>
      </c>
      <c r="I526" s="192" t="s">
        <v>65</v>
      </c>
      <c r="J526" s="192">
        <v>9.0000003576278687E-2</v>
      </c>
      <c r="K526" s="192">
        <f>VLOOKUP($D526,'RBSA Weights'!$A$2:$C$1406,3,FALSE)</f>
        <v>1188.027</v>
      </c>
    </row>
    <row r="527" spans="1:11">
      <c r="A527" s="192" t="s">
        <v>706</v>
      </c>
      <c r="B527" s="192">
        <v>0.9</v>
      </c>
      <c r="C527" s="192">
        <v>201901</v>
      </c>
      <c r="D527" s="192">
        <v>22087</v>
      </c>
      <c r="E527" s="192">
        <v>1</v>
      </c>
      <c r="F527" s="192">
        <v>723</v>
      </c>
      <c r="G527" s="192">
        <v>30</v>
      </c>
      <c r="H527" s="192" t="s">
        <v>700</v>
      </c>
      <c r="I527" s="192" t="s">
        <v>65</v>
      </c>
      <c r="J527" s="192">
        <v>9.0000003576278687E-2</v>
      </c>
      <c r="K527" s="192">
        <f>VLOOKUP($D527,'RBSA Weights'!$A$2:$C$1406,3,FALSE)</f>
        <v>1612.692</v>
      </c>
    </row>
    <row r="528" spans="1:11">
      <c r="A528" s="192" t="s">
        <v>706</v>
      </c>
      <c r="B528" s="192">
        <v>0.9</v>
      </c>
      <c r="C528" s="192">
        <v>36666</v>
      </c>
      <c r="D528" s="192">
        <v>20995</v>
      </c>
      <c r="E528" s="192">
        <v>1</v>
      </c>
      <c r="F528" s="192">
        <v>784</v>
      </c>
      <c r="G528" s="192">
        <v>40</v>
      </c>
      <c r="H528" s="192" t="s">
        <v>704</v>
      </c>
      <c r="I528" s="192" t="s">
        <v>65</v>
      </c>
      <c r="J528" s="192">
        <v>9.0000003576278687E-2</v>
      </c>
      <c r="K528" s="192">
        <f>VLOOKUP($D528,'RBSA Weights'!$A$2:$C$1406,3,FALSE)</f>
        <v>2130.886</v>
      </c>
    </row>
    <row r="529" spans="1:11">
      <c r="A529" s="192" t="s">
        <v>706</v>
      </c>
      <c r="B529" s="192">
        <v>0.9</v>
      </c>
      <c r="C529" s="192">
        <v>97848</v>
      </c>
      <c r="D529" s="192">
        <v>21038</v>
      </c>
      <c r="E529" s="192">
        <v>1</v>
      </c>
      <c r="F529" s="192">
        <v>840</v>
      </c>
      <c r="G529" s="192">
        <v>49</v>
      </c>
      <c r="H529" s="192" t="s">
        <v>697</v>
      </c>
      <c r="I529" s="192" t="s">
        <v>65</v>
      </c>
      <c r="J529" s="192">
        <v>9.0000003576278687E-2</v>
      </c>
      <c r="K529" s="192">
        <f>VLOOKUP($D529,'RBSA Weights'!$A$2:$C$1406,3,FALSE)</f>
        <v>1904.288</v>
      </c>
    </row>
    <row r="530" spans="1:11">
      <c r="A530" s="192" t="s">
        <v>706</v>
      </c>
      <c r="B530" s="192">
        <v>0.9</v>
      </c>
      <c r="C530" s="192">
        <v>233257</v>
      </c>
      <c r="D530" s="192">
        <v>10915</v>
      </c>
      <c r="E530" s="192">
        <v>1</v>
      </c>
      <c r="F530" s="192">
        <v>1436</v>
      </c>
      <c r="G530" s="192">
        <v>25</v>
      </c>
      <c r="H530" s="192" t="s">
        <v>702</v>
      </c>
      <c r="I530" s="192" t="s">
        <v>65</v>
      </c>
      <c r="J530" s="192">
        <v>9.0000003576278687E-2</v>
      </c>
      <c r="K530" s="192">
        <f>VLOOKUP($D530,'RBSA Weights'!$A$2:$C$1406,3,FALSE)</f>
        <v>1464.694</v>
      </c>
    </row>
    <row r="531" spans="1:11">
      <c r="A531" s="192" t="s">
        <v>706</v>
      </c>
      <c r="B531" s="192">
        <v>0.9</v>
      </c>
      <c r="C531" s="192">
        <v>62088</v>
      </c>
      <c r="D531" s="192">
        <v>12456</v>
      </c>
      <c r="E531" s="192">
        <v>1</v>
      </c>
      <c r="F531" s="192">
        <v>693</v>
      </c>
      <c r="G531" s="192">
        <v>10</v>
      </c>
      <c r="H531" s="192" t="s">
        <v>697</v>
      </c>
      <c r="I531" s="192" t="s">
        <v>65</v>
      </c>
      <c r="J531" s="192">
        <v>9.0000003576278687E-2</v>
      </c>
      <c r="K531" s="192">
        <f>VLOOKUP($D531,'RBSA Weights'!$A$2:$C$1406,3,FALSE)</f>
        <v>2003.7159999999999</v>
      </c>
    </row>
    <row r="532" spans="1:11">
      <c r="A532" s="192" t="s">
        <v>706</v>
      </c>
      <c r="B532" s="192">
        <v>0.9</v>
      </c>
      <c r="C532" s="192">
        <v>220710</v>
      </c>
      <c r="D532" s="192">
        <v>20839</v>
      </c>
      <c r="E532" s="192">
        <v>1</v>
      </c>
      <c r="F532" s="192">
        <v>864</v>
      </c>
      <c r="G532" s="192">
        <v>25</v>
      </c>
      <c r="H532" s="192" t="s">
        <v>702</v>
      </c>
      <c r="I532" s="192" t="s">
        <v>65</v>
      </c>
      <c r="J532" s="192">
        <v>9.0000003576278687E-2</v>
      </c>
      <c r="K532" s="192">
        <f>VLOOKUP($D532,'RBSA Weights'!$A$2:$C$1406,3,FALSE)</f>
        <v>1904.288</v>
      </c>
    </row>
    <row r="533" spans="1:11">
      <c r="A533" s="192" t="s">
        <v>706</v>
      </c>
      <c r="B533" s="192">
        <v>0.9</v>
      </c>
      <c r="C533" s="192">
        <v>96870</v>
      </c>
      <c r="D533" s="192">
        <v>22891</v>
      </c>
      <c r="E533" s="192">
        <v>1</v>
      </c>
      <c r="F533" s="192">
        <v>836</v>
      </c>
      <c r="G533" s="192">
        <v>30</v>
      </c>
      <c r="H533" s="192" t="s">
        <v>697</v>
      </c>
      <c r="I533" s="192" t="s">
        <v>65</v>
      </c>
      <c r="J533" s="192">
        <v>9.0000003576278687E-2</v>
      </c>
      <c r="K533" s="192">
        <f>VLOOKUP($D533,'RBSA Weights'!$A$2:$C$1406,3,FALSE)</f>
        <v>3785.7640000000001</v>
      </c>
    </row>
    <row r="534" spans="1:11">
      <c r="A534" s="192" t="s">
        <v>706</v>
      </c>
      <c r="B534" s="192">
        <v>0.9</v>
      </c>
      <c r="C534" s="192">
        <v>47817</v>
      </c>
      <c r="D534" s="192">
        <v>11273</v>
      </c>
      <c r="E534" s="192">
        <v>1</v>
      </c>
      <c r="F534" s="192">
        <v>542</v>
      </c>
      <c r="G534" s="192">
        <v>0</v>
      </c>
      <c r="H534" s="192" t="s">
        <v>700</v>
      </c>
      <c r="I534" s="192" t="s">
        <v>65</v>
      </c>
      <c r="J534" s="192">
        <v>9.0000003576278687E-2</v>
      </c>
      <c r="K534" s="192">
        <f>VLOOKUP($D534,'RBSA Weights'!$A$2:$C$1406,3,FALSE)</f>
        <v>1524.7619999999999</v>
      </c>
    </row>
    <row r="535" spans="1:11">
      <c r="A535" s="192" t="s">
        <v>706</v>
      </c>
      <c r="B535" s="192">
        <v>0.9</v>
      </c>
      <c r="C535" s="192">
        <v>212844</v>
      </c>
      <c r="D535" s="192">
        <v>10995</v>
      </c>
      <c r="E535" s="192">
        <v>1</v>
      </c>
      <c r="F535" s="192">
        <v>720</v>
      </c>
      <c r="G535" s="192">
        <v>15</v>
      </c>
      <c r="H535" s="192" t="s">
        <v>702</v>
      </c>
      <c r="I535" s="192" t="s">
        <v>65</v>
      </c>
      <c r="J535" s="192">
        <v>9.0000003576278687E-2</v>
      </c>
      <c r="K535" s="192">
        <f>VLOOKUP($D535,'RBSA Weights'!$A$2:$C$1406,3,FALSE)</f>
        <v>4956.4930000000004</v>
      </c>
    </row>
    <row r="536" spans="1:11">
      <c r="A536" s="192" t="s">
        <v>706</v>
      </c>
      <c r="B536" s="192">
        <v>0.9</v>
      </c>
      <c r="C536" s="192">
        <v>101280</v>
      </c>
      <c r="D536" s="192">
        <v>23345</v>
      </c>
      <c r="E536" s="192">
        <v>1</v>
      </c>
      <c r="F536" s="192">
        <v>1500</v>
      </c>
      <c r="G536" s="192">
        <v>20</v>
      </c>
      <c r="H536" s="192" t="s">
        <v>702</v>
      </c>
      <c r="I536" s="192" t="s">
        <v>65</v>
      </c>
      <c r="J536" s="192">
        <v>9.0000003576278687E-2</v>
      </c>
      <c r="K536" s="192">
        <f>VLOOKUP($D536,'RBSA Weights'!$A$2:$C$1406,3,FALSE)</f>
        <v>2079.9929999999999</v>
      </c>
    </row>
    <row r="537" spans="1:11">
      <c r="A537" s="192" t="s">
        <v>706</v>
      </c>
      <c r="B537" s="192">
        <v>1</v>
      </c>
      <c r="C537" s="192">
        <v>46465</v>
      </c>
      <c r="D537" s="192">
        <v>20712</v>
      </c>
      <c r="E537" s="192">
        <v>1</v>
      </c>
      <c r="F537" s="192">
        <v>2375</v>
      </c>
      <c r="G537" s="192">
        <v>8</v>
      </c>
      <c r="H537" s="192" t="s">
        <v>705</v>
      </c>
      <c r="I537" s="192" t="s">
        <v>65</v>
      </c>
      <c r="J537" s="192">
        <v>4.5000001788139343E-2</v>
      </c>
      <c r="K537" s="192">
        <f>VLOOKUP($D537,'RBSA Weights'!$A$2:$C$1406,3,FALSE)</f>
        <v>2079.9929999999999</v>
      </c>
    </row>
    <row r="538" spans="1:11">
      <c r="A538" s="192" t="s">
        <v>706</v>
      </c>
      <c r="B538" s="192">
        <v>1</v>
      </c>
      <c r="C538" s="192">
        <v>126063</v>
      </c>
      <c r="D538" s="192">
        <v>12895</v>
      </c>
      <c r="E538" s="192">
        <v>1</v>
      </c>
      <c r="F538" s="192">
        <v>954</v>
      </c>
      <c r="G538" s="192">
        <v>19</v>
      </c>
      <c r="H538" s="192" t="s">
        <v>700</v>
      </c>
      <c r="I538" s="192" t="s">
        <v>65</v>
      </c>
      <c r="J538" s="192">
        <v>4.5000001788139343E-2</v>
      </c>
      <c r="K538" s="192">
        <f>VLOOKUP($D538,'RBSA Weights'!$A$2:$C$1406,3,FALSE)</f>
        <v>4956.4930000000004</v>
      </c>
    </row>
    <row r="539" spans="1:11">
      <c r="A539" s="192" t="s">
        <v>706</v>
      </c>
      <c r="B539" s="192">
        <v>1</v>
      </c>
      <c r="C539" s="192">
        <v>39714</v>
      </c>
      <c r="D539" s="192">
        <v>12321</v>
      </c>
      <c r="E539" s="192">
        <v>1</v>
      </c>
      <c r="F539" s="192">
        <v>729</v>
      </c>
      <c r="G539" s="192">
        <v>20</v>
      </c>
      <c r="H539" s="192" t="s">
        <v>702</v>
      </c>
      <c r="I539" s="192" t="s">
        <v>65</v>
      </c>
      <c r="J539" s="192">
        <v>4.5000001788139343E-2</v>
      </c>
      <c r="K539" s="192">
        <f>VLOOKUP($D539,'RBSA Weights'!$A$2:$C$1406,3,FALSE)</f>
        <v>1524.7619999999999</v>
      </c>
    </row>
    <row r="540" spans="1:11">
      <c r="A540" s="192" t="s">
        <v>706</v>
      </c>
      <c r="B540" s="192">
        <v>1</v>
      </c>
      <c r="C540" s="192">
        <v>60295</v>
      </c>
      <c r="D540" s="192">
        <v>10561</v>
      </c>
      <c r="E540" s="192">
        <v>1</v>
      </c>
      <c r="F540" s="192">
        <v>940</v>
      </c>
      <c r="G540" s="192">
        <v>29</v>
      </c>
      <c r="H540" s="192" t="s">
        <v>697</v>
      </c>
      <c r="I540" s="192" t="s">
        <v>65</v>
      </c>
      <c r="J540" s="192">
        <v>4.5000001788139343E-2</v>
      </c>
      <c r="K540" s="192">
        <f>VLOOKUP($D540,'RBSA Weights'!$A$2:$C$1406,3,FALSE)</f>
        <v>2003.7159999999999</v>
      </c>
    </row>
    <row r="541" spans="1:11">
      <c r="A541" s="192" t="s">
        <v>706</v>
      </c>
      <c r="B541" s="192">
        <v>1</v>
      </c>
      <c r="C541" s="192">
        <v>724428</v>
      </c>
      <c r="D541" s="192">
        <v>13474</v>
      </c>
      <c r="E541" s="192">
        <v>1</v>
      </c>
      <c r="F541" s="192">
        <v>1472</v>
      </c>
      <c r="G541" s="192">
        <v>19</v>
      </c>
      <c r="H541" s="192" t="s">
        <v>700</v>
      </c>
      <c r="I541" s="192" t="s">
        <v>65</v>
      </c>
      <c r="J541" s="192">
        <v>4.5000001788139343E-2</v>
      </c>
      <c r="K541" s="192">
        <f>VLOOKUP($D541,'RBSA Weights'!$A$2:$C$1406,3,FALSE)</f>
        <v>1524.7619999999999</v>
      </c>
    </row>
    <row r="542" spans="1:11">
      <c r="A542" s="192" t="s">
        <v>706</v>
      </c>
      <c r="B542" s="192">
        <v>1</v>
      </c>
      <c r="C542" s="192">
        <v>224471</v>
      </c>
      <c r="D542" s="192">
        <v>11475</v>
      </c>
      <c r="E542" s="192">
        <v>1</v>
      </c>
      <c r="F542" s="192">
        <v>2666</v>
      </c>
      <c r="G542" s="192">
        <v>12</v>
      </c>
      <c r="H542" s="192" t="s">
        <v>697</v>
      </c>
      <c r="I542" s="192" t="s">
        <v>759</v>
      </c>
      <c r="J542" s="192">
        <v>4.5000001788139343E-2</v>
      </c>
      <c r="K542" s="192">
        <f>VLOOKUP($D542,'RBSA Weights'!$A$2:$C$1406,3,FALSE)</f>
        <v>6932.7380000000003</v>
      </c>
    </row>
    <row r="543" spans="1:11">
      <c r="A543" s="192" t="s">
        <v>706</v>
      </c>
      <c r="B543" s="192">
        <v>1</v>
      </c>
      <c r="C543" s="192">
        <v>49894</v>
      </c>
      <c r="D543" s="192">
        <v>21403</v>
      </c>
      <c r="E543" s="192">
        <v>1</v>
      </c>
      <c r="F543" s="192">
        <v>1266</v>
      </c>
      <c r="G543" s="192">
        <v>49</v>
      </c>
      <c r="H543" s="192" t="s">
        <v>697</v>
      </c>
      <c r="I543" s="192" t="s">
        <v>65</v>
      </c>
      <c r="J543" s="192">
        <v>4.5000001788139343E-2</v>
      </c>
      <c r="K543" s="192">
        <f>VLOOKUP($D543,'RBSA Weights'!$A$2:$C$1406,3,FALSE)</f>
        <v>12271.31</v>
      </c>
    </row>
    <row r="544" spans="1:11">
      <c r="A544" s="192" t="s">
        <v>706</v>
      </c>
      <c r="B544" s="192">
        <v>1</v>
      </c>
      <c r="C544" s="192">
        <v>27103</v>
      </c>
      <c r="D544" s="192">
        <v>11094</v>
      </c>
      <c r="E544" s="192">
        <v>1</v>
      </c>
      <c r="F544" s="192">
        <v>1700</v>
      </c>
      <c r="G544" s="192">
        <v>49</v>
      </c>
      <c r="H544" s="192" t="s">
        <v>702</v>
      </c>
      <c r="I544" s="192" t="s">
        <v>65</v>
      </c>
      <c r="J544" s="192">
        <v>4.5000001788139343E-2</v>
      </c>
      <c r="K544" s="192">
        <f>VLOOKUP($D544,'RBSA Weights'!$A$2:$C$1406,3,FALSE)</f>
        <v>1524.7619999999999</v>
      </c>
    </row>
    <row r="545" spans="1:11">
      <c r="A545" s="192" t="s">
        <v>706</v>
      </c>
      <c r="B545" s="192">
        <v>1</v>
      </c>
      <c r="C545" s="192">
        <v>215680</v>
      </c>
      <c r="D545" s="192">
        <v>22982</v>
      </c>
      <c r="E545" s="192">
        <v>1</v>
      </c>
      <c r="F545" s="192">
        <v>1910</v>
      </c>
      <c r="G545" s="192">
        <v>29</v>
      </c>
      <c r="H545" s="192" t="s">
        <v>705</v>
      </c>
      <c r="I545" s="192" t="s">
        <v>65</v>
      </c>
      <c r="J545" s="192">
        <v>4.5000001788139343E-2</v>
      </c>
      <c r="K545" s="192">
        <f>VLOOKUP($D545,'RBSA Weights'!$A$2:$C$1406,3,FALSE)</f>
        <v>2079.9929999999999</v>
      </c>
    </row>
    <row r="546" spans="1:11">
      <c r="A546" s="192" t="s">
        <v>706</v>
      </c>
      <c r="B546" s="192">
        <v>1</v>
      </c>
      <c r="C546" s="192">
        <v>237947</v>
      </c>
      <c r="D546" s="192">
        <v>14300</v>
      </c>
      <c r="E546" s="192">
        <v>1</v>
      </c>
      <c r="F546" s="192">
        <v>1240</v>
      </c>
      <c r="G546" s="192">
        <v>30</v>
      </c>
      <c r="H546" s="192" t="s">
        <v>705</v>
      </c>
      <c r="I546" s="192" t="s">
        <v>65</v>
      </c>
      <c r="J546" s="192">
        <v>4.5000001788139343E-2</v>
      </c>
      <c r="K546" s="192">
        <f>VLOOKUP($D546,'RBSA Weights'!$A$2:$C$1406,3,FALSE)</f>
        <v>4956.4930000000004</v>
      </c>
    </row>
    <row r="547" spans="1:11">
      <c r="A547" s="192" t="s">
        <v>706</v>
      </c>
      <c r="B547" s="192">
        <v>1</v>
      </c>
      <c r="C547" s="192">
        <v>823336</v>
      </c>
      <c r="D547" s="192">
        <v>13310</v>
      </c>
      <c r="E547" s="192">
        <v>1</v>
      </c>
      <c r="F547" s="192">
        <v>552</v>
      </c>
      <c r="G547" s="192">
        <v>30</v>
      </c>
      <c r="H547" s="192" t="s">
        <v>700</v>
      </c>
      <c r="I547" s="192" t="s">
        <v>760</v>
      </c>
      <c r="J547" s="192">
        <v>4.5000001788139343E-2</v>
      </c>
      <c r="K547" s="192">
        <f>VLOOKUP($D547,'RBSA Weights'!$A$2:$C$1406,3,FALSE)</f>
        <v>2003.7159999999999</v>
      </c>
    </row>
    <row r="548" spans="1:11">
      <c r="A548" s="192" t="s">
        <v>706</v>
      </c>
      <c r="B548" s="192">
        <v>1</v>
      </c>
      <c r="C548" s="192">
        <v>147905</v>
      </c>
      <c r="D548" s="192">
        <v>11317</v>
      </c>
      <c r="E548" s="192">
        <v>1</v>
      </c>
      <c r="F548" s="192">
        <v>1346</v>
      </c>
      <c r="G548" s="192">
        <v>20</v>
      </c>
      <c r="H548" s="192" t="s">
        <v>702</v>
      </c>
      <c r="I548" s="192" t="s">
        <v>65</v>
      </c>
      <c r="J548" s="192">
        <v>4.5000001788139343E-2</v>
      </c>
      <c r="K548" s="192">
        <f>VLOOKUP($D548,'RBSA Weights'!$A$2:$C$1406,3,FALSE)</f>
        <v>6932.7380000000003</v>
      </c>
    </row>
    <row r="549" spans="1:11">
      <c r="A549" s="192" t="s">
        <v>706</v>
      </c>
      <c r="B549" s="192">
        <v>1</v>
      </c>
      <c r="C549" s="192">
        <v>802343</v>
      </c>
      <c r="D549" s="192">
        <v>11953</v>
      </c>
      <c r="E549" s="192">
        <v>1</v>
      </c>
      <c r="F549" s="192">
        <v>1102</v>
      </c>
      <c r="G549" s="192">
        <v>25</v>
      </c>
      <c r="H549" s="192" t="s">
        <v>705</v>
      </c>
      <c r="I549" s="192" t="s">
        <v>65</v>
      </c>
      <c r="J549" s="192">
        <v>4.5000001788139343E-2</v>
      </c>
      <c r="K549" s="192">
        <f>VLOOKUP($D549,'RBSA Weights'!$A$2:$C$1406,3,FALSE)</f>
        <v>2003.7159999999999</v>
      </c>
    </row>
    <row r="550" spans="1:11">
      <c r="A550" s="192" t="s">
        <v>706</v>
      </c>
      <c r="B550" s="192">
        <v>1</v>
      </c>
      <c r="C550" s="192">
        <v>73765</v>
      </c>
      <c r="D550" s="192">
        <v>11533</v>
      </c>
      <c r="E550" s="192">
        <v>1</v>
      </c>
      <c r="F550" s="192">
        <v>1225</v>
      </c>
      <c r="G550" s="192">
        <v>27</v>
      </c>
      <c r="H550" s="192" t="s">
        <v>705</v>
      </c>
      <c r="I550" s="192" t="s">
        <v>65</v>
      </c>
      <c r="J550" s="192">
        <v>4.5000001788139343E-2</v>
      </c>
      <c r="K550" s="192">
        <f>VLOOKUP($D550,'RBSA Weights'!$A$2:$C$1406,3,FALSE)</f>
        <v>2003.7159999999999</v>
      </c>
    </row>
    <row r="551" spans="1:11">
      <c r="A551" s="192" t="s">
        <v>706</v>
      </c>
      <c r="B551" s="192">
        <v>1</v>
      </c>
      <c r="C551" s="192">
        <v>69133</v>
      </c>
      <c r="D551" s="192">
        <v>12404</v>
      </c>
      <c r="E551" s="192">
        <v>1</v>
      </c>
      <c r="F551" s="192">
        <v>1280</v>
      </c>
      <c r="G551" s="192">
        <v>50</v>
      </c>
      <c r="H551" s="192" t="s">
        <v>697</v>
      </c>
      <c r="I551" s="192" t="s">
        <v>65</v>
      </c>
      <c r="J551" s="192">
        <v>4.5000001788139343E-2</v>
      </c>
      <c r="K551" s="192">
        <f>VLOOKUP($D551,'RBSA Weights'!$A$2:$C$1406,3,FALSE)</f>
        <v>2003.7159999999999</v>
      </c>
    </row>
    <row r="552" spans="1:11">
      <c r="A552" s="192" t="s">
        <v>706</v>
      </c>
      <c r="B552" s="192">
        <v>1</v>
      </c>
      <c r="C552" s="192">
        <v>678196</v>
      </c>
      <c r="D552" s="192">
        <v>10887</v>
      </c>
      <c r="E552" s="192">
        <v>1</v>
      </c>
      <c r="F552" s="192">
        <v>400</v>
      </c>
      <c r="G552" s="192">
        <v>25</v>
      </c>
      <c r="H552" s="192" t="s">
        <v>702</v>
      </c>
      <c r="I552" s="192" t="s">
        <v>65</v>
      </c>
      <c r="J552" s="192">
        <v>4.5000001788139343E-2</v>
      </c>
      <c r="K552" s="192">
        <f>VLOOKUP($D552,'RBSA Weights'!$A$2:$C$1406,3,FALSE)</f>
        <v>1464.694</v>
      </c>
    </row>
    <row r="553" spans="1:11">
      <c r="A553" s="192" t="s">
        <v>706</v>
      </c>
      <c r="B553" s="192">
        <v>1</v>
      </c>
      <c r="C553" s="192">
        <v>50815</v>
      </c>
      <c r="D553" s="192">
        <v>11437</v>
      </c>
      <c r="E553" s="192">
        <v>1</v>
      </c>
      <c r="F553" s="192">
        <v>735</v>
      </c>
      <c r="G553" s="192">
        <v>25</v>
      </c>
      <c r="H553" s="192" t="s">
        <v>700</v>
      </c>
      <c r="I553" s="192" t="s">
        <v>761</v>
      </c>
      <c r="J553" s="192">
        <v>4.5000001788139343E-2</v>
      </c>
      <c r="K553" s="192">
        <f>VLOOKUP($D553,'RBSA Weights'!$A$2:$C$1406,3,FALSE)</f>
        <v>1524.7619999999999</v>
      </c>
    </row>
    <row r="554" spans="1:11">
      <c r="A554" s="192" t="s">
        <v>706</v>
      </c>
      <c r="B554" s="192">
        <v>1</v>
      </c>
      <c r="C554" s="192">
        <v>147579</v>
      </c>
      <c r="D554" s="192">
        <v>20340</v>
      </c>
      <c r="E554" s="192">
        <v>1</v>
      </c>
      <c r="F554" s="192">
        <v>816</v>
      </c>
      <c r="G554" s="192">
        <v>26</v>
      </c>
      <c r="H554" s="192" t="s">
        <v>705</v>
      </c>
      <c r="I554" s="192" t="s">
        <v>65</v>
      </c>
      <c r="J554" s="192">
        <v>4.5000001788139343E-2</v>
      </c>
      <c r="K554" s="192">
        <f>VLOOKUP($D554,'RBSA Weights'!$A$2:$C$1406,3,FALSE)</f>
        <v>1612.692</v>
      </c>
    </row>
    <row r="555" spans="1:11">
      <c r="A555" s="192" t="s">
        <v>706</v>
      </c>
      <c r="B555" s="192">
        <v>1</v>
      </c>
      <c r="C555" s="192">
        <v>132966</v>
      </c>
      <c r="D555" s="192">
        <v>23765</v>
      </c>
      <c r="E555" s="192">
        <v>1</v>
      </c>
      <c r="F555" s="192">
        <v>1980</v>
      </c>
      <c r="G555" s="192">
        <v>27</v>
      </c>
      <c r="H555" s="192" t="s">
        <v>702</v>
      </c>
      <c r="I555" s="192" t="s">
        <v>65</v>
      </c>
      <c r="J555" s="192">
        <v>4.5000001788139343E-2</v>
      </c>
      <c r="K555" s="192">
        <f>VLOOKUP($D555,'RBSA Weights'!$A$2:$C$1406,3,FALSE)</f>
        <v>1144.6790000000001</v>
      </c>
    </row>
    <row r="556" spans="1:11">
      <c r="A556" s="192" t="s">
        <v>706</v>
      </c>
      <c r="B556" s="192">
        <v>1</v>
      </c>
      <c r="C556" s="192">
        <v>137950</v>
      </c>
      <c r="D556" s="192">
        <v>23621</v>
      </c>
      <c r="E556" s="192">
        <v>1</v>
      </c>
      <c r="F556" s="192">
        <v>1018</v>
      </c>
      <c r="G556" s="192">
        <v>25</v>
      </c>
      <c r="H556" s="192" t="s">
        <v>697</v>
      </c>
      <c r="I556" s="192" t="s">
        <v>65</v>
      </c>
      <c r="J556" s="192">
        <v>4.5000001788139343E-2</v>
      </c>
      <c r="K556" s="192">
        <f>VLOOKUP($D556,'RBSA Weights'!$A$2:$C$1406,3,FALSE)</f>
        <v>2130.886</v>
      </c>
    </row>
    <row r="557" spans="1:11">
      <c r="A557" s="192" t="s">
        <v>706</v>
      </c>
      <c r="B557" s="192">
        <v>1</v>
      </c>
      <c r="C557" s="192">
        <v>205256</v>
      </c>
      <c r="D557" s="192">
        <v>21707</v>
      </c>
      <c r="E557" s="192">
        <v>1</v>
      </c>
      <c r="F557" s="192">
        <v>2181</v>
      </c>
      <c r="G557" s="192">
        <v>25</v>
      </c>
      <c r="H557" s="192" t="s">
        <v>702</v>
      </c>
      <c r="I557" s="192" t="s">
        <v>65</v>
      </c>
      <c r="J557" s="192">
        <v>4.5000001788139343E-2</v>
      </c>
      <c r="K557" s="192">
        <f>VLOOKUP($D557,'RBSA Weights'!$A$2:$C$1406,3,FALSE)</f>
        <v>1904.288</v>
      </c>
    </row>
    <row r="558" spans="1:11">
      <c r="A558" s="192" t="s">
        <v>706</v>
      </c>
      <c r="B558" s="192">
        <v>1</v>
      </c>
      <c r="C558" s="192">
        <v>79482</v>
      </c>
      <c r="D558" s="192">
        <v>13017</v>
      </c>
      <c r="E558" s="192">
        <v>2</v>
      </c>
      <c r="F558" s="192">
        <v>457</v>
      </c>
      <c r="G558" s="192">
        <v>10</v>
      </c>
      <c r="H558" s="192" t="s">
        <v>697</v>
      </c>
      <c r="I558" s="192" t="s">
        <v>65</v>
      </c>
      <c r="J558" s="192">
        <v>4.5000001788139343E-2</v>
      </c>
      <c r="K558" s="192">
        <f>VLOOKUP($D558,'RBSA Weights'!$A$2:$C$1406,3,FALSE)</f>
        <v>2003.7159999999999</v>
      </c>
    </row>
    <row r="559" spans="1:11">
      <c r="A559" s="192" t="s">
        <v>706</v>
      </c>
      <c r="B559" s="192">
        <v>1</v>
      </c>
      <c r="C559" s="192">
        <v>37864</v>
      </c>
      <c r="D559" s="192">
        <v>11014</v>
      </c>
      <c r="E559" s="192">
        <v>1</v>
      </c>
      <c r="F559" s="192">
        <v>1748</v>
      </c>
      <c r="G559" s="192">
        <v>0</v>
      </c>
      <c r="H559" s="192" t="s">
        <v>705</v>
      </c>
      <c r="I559" s="192" t="s">
        <v>65</v>
      </c>
      <c r="J559" s="192">
        <v>4.5000001788139343E-2</v>
      </c>
      <c r="K559" s="192">
        <f>VLOOKUP($D559,'RBSA Weights'!$A$2:$C$1406,3,FALSE)</f>
        <v>1188.027</v>
      </c>
    </row>
    <row r="560" spans="1:11">
      <c r="A560" s="192" t="s">
        <v>706</v>
      </c>
      <c r="B560" s="192">
        <v>1</v>
      </c>
      <c r="C560" s="192">
        <v>690284</v>
      </c>
      <c r="D560" s="192">
        <v>20250</v>
      </c>
      <c r="E560" s="192">
        <v>1</v>
      </c>
      <c r="F560" s="192">
        <v>1117</v>
      </c>
      <c r="G560" s="192">
        <v>29</v>
      </c>
      <c r="H560" s="192" t="s">
        <v>705</v>
      </c>
      <c r="I560" s="192" t="s">
        <v>65</v>
      </c>
      <c r="J560" s="192">
        <v>4.5000001788139343E-2</v>
      </c>
      <c r="K560" s="192">
        <f>VLOOKUP($D560,'RBSA Weights'!$A$2:$C$1406,3,FALSE)</f>
        <v>12271.31</v>
      </c>
    </row>
    <row r="561" spans="1:11">
      <c r="A561" s="192" t="s">
        <v>706</v>
      </c>
      <c r="B561" s="192">
        <v>1</v>
      </c>
      <c r="C561" s="192">
        <v>86043</v>
      </c>
      <c r="D561" s="192">
        <v>13328</v>
      </c>
      <c r="E561" s="192">
        <v>1</v>
      </c>
      <c r="F561" s="192">
        <v>1050</v>
      </c>
      <c r="G561" s="192">
        <v>24</v>
      </c>
      <c r="H561" s="192" t="s">
        <v>702</v>
      </c>
      <c r="I561" s="192" t="s">
        <v>65</v>
      </c>
      <c r="J561" s="192">
        <v>4.5000001788139343E-2</v>
      </c>
      <c r="K561" s="192">
        <f>VLOOKUP($D561,'RBSA Weights'!$A$2:$C$1406,3,FALSE)</f>
        <v>2003.7159999999999</v>
      </c>
    </row>
    <row r="562" spans="1:11">
      <c r="A562" s="192" t="s">
        <v>706</v>
      </c>
      <c r="B562" s="192">
        <v>1</v>
      </c>
      <c r="C562" s="192">
        <v>672193</v>
      </c>
      <c r="D562" s="192">
        <v>10313</v>
      </c>
      <c r="E562" s="192">
        <v>1</v>
      </c>
      <c r="F562" s="192">
        <v>290</v>
      </c>
      <c r="G562" s="192">
        <v>29</v>
      </c>
      <c r="H562" s="192" t="s">
        <v>705</v>
      </c>
      <c r="I562" s="192" t="s">
        <v>65</v>
      </c>
      <c r="J562" s="192">
        <v>4.5000001788139343E-2</v>
      </c>
      <c r="K562" s="192">
        <f>VLOOKUP($D562,'RBSA Weights'!$A$2:$C$1406,3,FALSE)</f>
        <v>1188.027</v>
      </c>
    </row>
    <row r="563" spans="1:11">
      <c r="A563" s="192" t="s">
        <v>706</v>
      </c>
      <c r="B563" s="192">
        <v>1</v>
      </c>
      <c r="C563" s="192">
        <v>121054</v>
      </c>
      <c r="D563" s="192">
        <v>10087</v>
      </c>
      <c r="E563" s="192">
        <v>1</v>
      </c>
      <c r="F563" s="192">
        <v>750</v>
      </c>
      <c r="G563" s="192">
        <v>12</v>
      </c>
      <c r="H563" s="192" t="s">
        <v>700</v>
      </c>
      <c r="I563" s="192" t="s">
        <v>65</v>
      </c>
      <c r="J563" s="192">
        <v>4.5000001788139343E-2</v>
      </c>
      <c r="K563" s="192">
        <f>VLOOKUP($D563,'RBSA Weights'!$A$2:$C$1406,3,FALSE)</f>
        <v>1464.694</v>
      </c>
    </row>
    <row r="564" spans="1:11">
      <c r="A564" s="192" t="s">
        <v>706</v>
      </c>
      <c r="B564" s="192">
        <v>1</v>
      </c>
      <c r="C564" s="192">
        <v>148669</v>
      </c>
      <c r="D564" s="192">
        <v>23556</v>
      </c>
      <c r="E564" s="192">
        <v>1</v>
      </c>
      <c r="F564" s="192">
        <v>1377</v>
      </c>
      <c r="G564" s="192">
        <v>26</v>
      </c>
      <c r="H564" s="192" t="s">
        <v>702</v>
      </c>
      <c r="I564" s="192" t="s">
        <v>65</v>
      </c>
      <c r="J564" s="192">
        <v>4.5000001788139343E-2</v>
      </c>
      <c r="K564" s="192">
        <f>VLOOKUP($D564,'RBSA Weights'!$A$2:$C$1406,3,FALSE)</f>
        <v>8264.9449999999997</v>
      </c>
    </row>
    <row r="565" spans="1:11">
      <c r="A565" s="192" t="s">
        <v>706</v>
      </c>
      <c r="B565" s="192">
        <v>1</v>
      </c>
      <c r="C565" s="192">
        <v>182585</v>
      </c>
      <c r="D565" s="192">
        <v>23029</v>
      </c>
      <c r="E565" s="192">
        <v>1</v>
      </c>
      <c r="F565" s="192">
        <v>1925</v>
      </c>
      <c r="G565" s="192">
        <v>20</v>
      </c>
      <c r="H565" s="192" t="s">
        <v>700</v>
      </c>
      <c r="I565" s="192" t="s">
        <v>65</v>
      </c>
      <c r="J565" s="192">
        <v>4.5000001788139343E-2</v>
      </c>
      <c r="K565" s="192">
        <f>VLOOKUP($D565,'RBSA Weights'!$A$2:$C$1406,3,FALSE)</f>
        <v>1612.692</v>
      </c>
    </row>
    <row r="566" spans="1:11">
      <c r="A566" s="192" t="s">
        <v>706</v>
      </c>
      <c r="B566" s="192">
        <v>1</v>
      </c>
      <c r="C566" s="192">
        <v>162824</v>
      </c>
      <c r="D566" s="192">
        <v>21460</v>
      </c>
      <c r="E566" s="192">
        <v>1</v>
      </c>
      <c r="F566" s="192">
        <v>1016</v>
      </c>
      <c r="G566" s="192">
        <v>26</v>
      </c>
      <c r="H566" s="192" t="s">
        <v>705</v>
      </c>
      <c r="I566" s="192" t="s">
        <v>65</v>
      </c>
      <c r="J566" s="192">
        <v>4.5000001788139343E-2</v>
      </c>
      <c r="K566" s="192">
        <f>VLOOKUP($D566,'RBSA Weights'!$A$2:$C$1406,3,FALSE)</f>
        <v>3785.7640000000001</v>
      </c>
    </row>
    <row r="567" spans="1:11">
      <c r="A567" s="192" t="s">
        <v>706</v>
      </c>
      <c r="B567" s="192">
        <v>1</v>
      </c>
      <c r="C567" s="192">
        <v>84208</v>
      </c>
      <c r="D567" s="192">
        <v>20878</v>
      </c>
      <c r="E567" s="192">
        <v>1</v>
      </c>
      <c r="F567" s="192">
        <v>1632</v>
      </c>
      <c r="G567" s="192">
        <v>49</v>
      </c>
      <c r="H567" s="192" t="s">
        <v>705</v>
      </c>
      <c r="I567" s="192" t="s">
        <v>65</v>
      </c>
      <c r="J567" s="192">
        <v>4.5000001788139343E-2</v>
      </c>
      <c r="K567" s="192">
        <f>VLOOKUP($D567,'RBSA Weights'!$A$2:$C$1406,3,FALSE)</f>
        <v>1904.288</v>
      </c>
    </row>
    <row r="568" spans="1:11">
      <c r="A568" s="192" t="s">
        <v>706</v>
      </c>
      <c r="B568" s="192">
        <v>1</v>
      </c>
      <c r="C568" s="192">
        <v>199078</v>
      </c>
      <c r="D568" s="192">
        <v>21914</v>
      </c>
      <c r="E568" s="192">
        <v>1</v>
      </c>
      <c r="F568" s="192">
        <v>4190</v>
      </c>
      <c r="G568" s="192">
        <v>26</v>
      </c>
      <c r="H568" s="192" t="s">
        <v>697</v>
      </c>
      <c r="I568" s="192" t="s">
        <v>65</v>
      </c>
      <c r="J568" s="192">
        <v>4.5000001788139343E-2</v>
      </c>
      <c r="K568" s="192">
        <f>VLOOKUP($D568,'RBSA Weights'!$A$2:$C$1406,3,FALSE)</f>
        <v>1612.692</v>
      </c>
    </row>
    <row r="569" spans="1:11">
      <c r="A569" s="192" t="s">
        <v>706</v>
      </c>
      <c r="B569" s="192">
        <v>1</v>
      </c>
      <c r="C569" s="192">
        <v>78817</v>
      </c>
      <c r="D569" s="192">
        <v>20051</v>
      </c>
      <c r="E569" s="192">
        <v>1</v>
      </c>
      <c r="F569" s="192">
        <v>1392</v>
      </c>
      <c r="G569" s="192">
        <v>29</v>
      </c>
      <c r="H569" s="192" t="s">
        <v>705</v>
      </c>
      <c r="I569" s="192" t="s">
        <v>65</v>
      </c>
      <c r="J569" s="192">
        <v>4.5000001788139343E-2</v>
      </c>
      <c r="K569" s="192">
        <f>VLOOKUP($D569,'RBSA Weights'!$A$2:$C$1406,3,FALSE)</f>
        <v>1144.6790000000001</v>
      </c>
    </row>
    <row r="570" spans="1:11">
      <c r="A570" s="192" t="s">
        <v>706</v>
      </c>
      <c r="B570" s="192">
        <v>1</v>
      </c>
      <c r="C570" s="192">
        <v>181327</v>
      </c>
      <c r="D570" s="192">
        <v>10965</v>
      </c>
      <c r="E570" s="192">
        <v>1</v>
      </c>
      <c r="F570" s="192">
        <v>920</v>
      </c>
      <c r="G570" s="192">
        <v>10</v>
      </c>
      <c r="H570" s="192" t="s">
        <v>697</v>
      </c>
      <c r="I570" s="192" t="s">
        <v>65</v>
      </c>
      <c r="J570" s="192">
        <v>4.5000001788139343E-2</v>
      </c>
      <c r="K570" s="192">
        <f>VLOOKUP($D570,'RBSA Weights'!$A$2:$C$1406,3,FALSE)</f>
        <v>4956.4930000000004</v>
      </c>
    </row>
    <row r="571" spans="1:11">
      <c r="A571" s="192" t="s">
        <v>706</v>
      </c>
      <c r="B571" s="192">
        <v>1</v>
      </c>
      <c r="C571" s="192">
        <v>46397</v>
      </c>
      <c r="D571" s="192">
        <v>20111</v>
      </c>
      <c r="E571" s="192">
        <v>1</v>
      </c>
      <c r="F571" s="192">
        <v>770</v>
      </c>
      <c r="G571" s="192">
        <v>10</v>
      </c>
      <c r="H571" s="192" t="s">
        <v>700</v>
      </c>
      <c r="I571" s="192" t="s">
        <v>65</v>
      </c>
      <c r="J571" s="192">
        <v>4.5000001788139343E-2</v>
      </c>
      <c r="K571" s="192">
        <f>VLOOKUP($D571,'RBSA Weights'!$A$2:$C$1406,3,FALSE)</f>
        <v>2079.9929999999999</v>
      </c>
    </row>
    <row r="572" spans="1:11">
      <c r="A572" s="192" t="s">
        <v>706</v>
      </c>
      <c r="B572" s="192">
        <v>1</v>
      </c>
      <c r="C572" s="192">
        <v>232058</v>
      </c>
      <c r="D572" s="192">
        <v>12738</v>
      </c>
      <c r="E572" s="192">
        <v>1</v>
      </c>
      <c r="F572" s="192">
        <v>1345</v>
      </c>
      <c r="G572" s="192">
        <v>10</v>
      </c>
      <c r="H572" s="192" t="s">
        <v>705</v>
      </c>
      <c r="I572" s="192" t="s">
        <v>65</v>
      </c>
      <c r="J572" s="192">
        <v>4.5000001788139343E-2</v>
      </c>
      <c r="K572" s="192">
        <f>VLOOKUP($D572,'RBSA Weights'!$A$2:$C$1406,3,FALSE)</f>
        <v>1464.694</v>
      </c>
    </row>
    <row r="573" spans="1:11">
      <c r="A573" s="192" t="s">
        <v>706</v>
      </c>
      <c r="B573" s="192">
        <v>1</v>
      </c>
      <c r="C573" s="192">
        <v>224072</v>
      </c>
      <c r="D573" s="192">
        <v>10710</v>
      </c>
      <c r="E573" s="192">
        <v>1</v>
      </c>
      <c r="F573" s="192">
        <v>2690</v>
      </c>
      <c r="G573" s="192">
        <v>19</v>
      </c>
      <c r="H573" s="192" t="s">
        <v>702</v>
      </c>
      <c r="I573" s="192" t="s">
        <v>65</v>
      </c>
      <c r="J573" s="192">
        <v>4.5000001788139343E-2</v>
      </c>
      <c r="K573" s="192">
        <f>VLOOKUP($D573,'RBSA Weights'!$A$2:$C$1406,3,FALSE)</f>
        <v>6932.7380000000003</v>
      </c>
    </row>
    <row r="574" spans="1:11">
      <c r="A574" s="192" t="s">
        <v>706</v>
      </c>
      <c r="B574" s="192">
        <v>1</v>
      </c>
      <c r="C574" s="192">
        <v>199742</v>
      </c>
      <c r="D574" s="192">
        <v>12213</v>
      </c>
      <c r="E574" s="192">
        <v>1</v>
      </c>
      <c r="F574" s="192">
        <v>738</v>
      </c>
      <c r="G574" s="192">
        <v>15</v>
      </c>
      <c r="H574" s="192" t="s">
        <v>700</v>
      </c>
      <c r="I574" s="192" t="s">
        <v>65</v>
      </c>
      <c r="J574" s="192">
        <v>4.5000001788139343E-2</v>
      </c>
      <c r="K574" s="192">
        <f>VLOOKUP($D574,'RBSA Weights'!$A$2:$C$1406,3,FALSE)</f>
        <v>1464.694</v>
      </c>
    </row>
    <row r="575" spans="1:11">
      <c r="A575" s="192" t="s">
        <v>706</v>
      </c>
      <c r="B575" s="192">
        <v>1</v>
      </c>
      <c r="C575" s="192">
        <v>45753</v>
      </c>
      <c r="D575" s="192">
        <v>23835</v>
      </c>
      <c r="E575" s="192">
        <v>1</v>
      </c>
      <c r="F575" s="192">
        <v>1020</v>
      </c>
      <c r="G575" s="192">
        <v>10</v>
      </c>
      <c r="H575" s="192" t="s">
        <v>700</v>
      </c>
      <c r="I575" s="192" t="s">
        <v>65</v>
      </c>
      <c r="J575" s="192">
        <v>4.5000001788139343E-2</v>
      </c>
      <c r="K575" s="192">
        <f>VLOOKUP($D575,'RBSA Weights'!$A$2:$C$1406,3,FALSE)</f>
        <v>8264.9449999999997</v>
      </c>
    </row>
    <row r="576" spans="1:11">
      <c r="A576" s="192" t="s">
        <v>706</v>
      </c>
      <c r="B576" s="192">
        <v>1</v>
      </c>
      <c r="C576" s="192">
        <v>91139</v>
      </c>
      <c r="D576" s="192">
        <v>13141</v>
      </c>
      <c r="E576" s="192">
        <v>1</v>
      </c>
      <c r="F576" s="192">
        <v>730</v>
      </c>
      <c r="G576" s="192">
        <v>24</v>
      </c>
      <c r="H576" s="192" t="s">
        <v>705</v>
      </c>
      <c r="I576" s="192" t="s">
        <v>65</v>
      </c>
      <c r="J576" s="192">
        <v>4.5000001788139343E-2</v>
      </c>
      <c r="K576" s="192">
        <f>VLOOKUP($D576,'RBSA Weights'!$A$2:$C$1406,3,FALSE)</f>
        <v>4956.4930000000004</v>
      </c>
    </row>
    <row r="577" spans="1:11">
      <c r="A577" s="192" t="s">
        <v>706</v>
      </c>
      <c r="B577" s="192">
        <v>1</v>
      </c>
      <c r="C577" s="192">
        <v>239393</v>
      </c>
      <c r="D577" s="192">
        <v>23368</v>
      </c>
      <c r="E577" s="192">
        <v>1</v>
      </c>
      <c r="F577" s="192">
        <v>1766</v>
      </c>
      <c r="G577" s="192">
        <v>15</v>
      </c>
      <c r="H577" s="192" t="s">
        <v>705</v>
      </c>
      <c r="I577" s="192" t="s">
        <v>65</v>
      </c>
      <c r="J577" s="192">
        <v>4.5000001788139343E-2</v>
      </c>
      <c r="K577" s="192">
        <f>VLOOKUP($D577,'RBSA Weights'!$A$2:$C$1406,3,FALSE)</f>
        <v>1612.692</v>
      </c>
    </row>
    <row r="578" spans="1:11">
      <c r="A578" s="192" t="s">
        <v>706</v>
      </c>
      <c r="B578" s="192">
        <v>1</v>
      </c>
      <c r="C578" s="192">
        <v>181713</v>
      </c>
      <c r="D578" s="192">
        <v>13019</v>
      </c>
      <c r="E578" s="192">
        <v>1</v>
      </c>
      <c r="F578" s="192">
        <v>2229</v>
      </c>
      <c r="G578" s="192">
        <v>50</v>
      </c>
      <c r="H578" s="192" t="s">
        <v>697</v>
      </c>
      <c r="I578" s="192" t="s">
        <v>65</v>
      </c>
      <c r="J578" s="192">
        <v>4.5000001788139343E-2</v>
      </c>
      <c r="K578" s="192">
        <f>VLOOKUP($D578,'RBSA Weights'!$A$2:$C$1406,3,FALSE)</f>
        <v>6932.7380000000003</v>
      </c>
    </row>
    <row r="579" spans="1:11">
      <c r="A579" s="192" t="s">
        <v>706</v>
      </c>
      <c r="B579" s="192">
        <v>1</v>
      </c>
      <c r="C579" s="192">
        <v>104497</v>
      </c>
      <c r="D579" s="192">
        <v>21469</v>
      </c>
      <c r="E579" s="192">
        <v>1</v>
      </c>
      <c r="F579" s="192">
        <v>1187</v>
      </c>
      <c r="G579" s="192">
        <v>49</v>
      </c>
      <c r="H579" s="192" t="s">
        <v>697</v>
      </c>
      <c r="I579" s="192" t="s">
        <v>65</v>
      </c>
      <c r="J579" s="192">
        <v>4.5000001788139343E-2</v>
      </c>
      <c r="K579" s="192">
        <f>VLOOKUP($D579,'RBSA Weights'!$A$2:$C$1406,3,FALSE)</f>
        <v>1904.288</v>
      </c>
    </row>
    <row r="580" spans="1:11">
      <c r="A580" s="192" t="s">
        <v>706</v>
      </c>
      <c r="B580" s="192">
        <v>1</v>
      </c>
      <c r="C580" s="192">
        <v>140579</v>
      </c>
      <c r="D580" s="192">
        <v>21951</v>
      </c>
      <c r="E580" s="192">
        <v>1</v>
      </c>
      <c r="F580" s="192">
        <v>1370</v>
      </c>
      <c r="G580" s="192">
        <v>26</v>
      </c>
      <c r="H580" s="192" t="s">
        <v>700</v>
      </c>
      <c r="I580" s="192" t="s">
        <v>65</v>
      </c>
      <c r="J580" s="192">
        <v>4.5000001788139343E-2</v>
      </c>
      <c r="K580" s="192">
        <f>VLOOKUP($D580,'RBSA Weights'!$A$2:$C$1406,3,FALSE)</f>
        <v>1192.4649999999999</v>
      </c>
    </row>
    <row r="581" spans="1:11">
      <c r="A581" s="192" t="s">
        <v>706</v>
      </c>
      <c r="B581" s="192">
        <v>1</v>
      </c>
      <c r="C581" s="192">
        <v>683738</v>
      </c>
      <c r="D581" s="192">
        <v>20230</v>
      </c>
      <c r="E581" s="192">
        <v>1</v>
      </c>
      <c r="F581" s="192">
        <v>1239</v>
      </c>
      <c r="G581" s="192">
        <v>24</v>
      </c>
      <c r="H581" s="192" t="s">
        <v>697</v>
      </c>
      <c r="I581" s="192" t="s">
        <v>65</v>
      </c>
      <c r="J581" s="192">
        <v>4.5000001788139343E-2</v>
      </c>
      <c r="K581" s="192">
        <f>VLOOKUP($D581,'RBSA Weights'!$A$2:$C$1406,3,FALSE)</f>
        <v>1144.6790000000001</v>
      </c>
    </row>
    <row r="582" spans="1:11">
      <c r="A582" s="192" t="s">
        <v>706</v>
      </c>
      <c r="B582" s="192">
        <v>1</v>
      </c>
      <c r="C582" s="192">
        <v>803333</v>
      </c>
      <c r="D582" s="192">
        <v>22187</v>
      </c>
      <c r="E582" s="192">
        <v>1</v>
      </c>
      <c r="F582" s="192">
        <v>1574</v>
      </c>
      <c r="G582" s="192">
        <v>25</v>
      </c>
      <c r="H582" s="192" t="s">
        <v>700</v>
      </c>
      <c r="I582" s="192" t="s">
        <v>65</v>
      </c>
      <c r="J582" s="192">
        <v>4.5000001788139343E-2</v>
      </c>
      <c r="K582" s="192">
        <f>VLOOKUP($D582,'RBSA Weights'!$A$2:$C$1406,3,FALSE)</f>
        <v>1612.692</v>
      </c>
    </row>
    <row r="583" spans="1:11">
      <c r="A583" s="192" t="s">
        <v>706</v>
      </c>
      <c r="B583" s="192">
        <v>1</v>
      </c>
      <c r="C583" s="192">
        <v>119026</v>
      </c>
      <c r="D583" s="192">
        <v>24713</v>
      </c>
      <c r="E583" s="192">
        <v>1</v>
      </c>
      <c r="F583" s="192">
        <v>1624</v>
      </c>
      <c r="G583" s="192">
        <v>50</v>
      </c>
      <c r="H583" s="192" t="s">
        <v>697</v>
      </c>
      <c r="I583" s="192" t="s">
        <v>65</v>
      </c>
      <c r="J583" s="192">
        <v>4.5000001788139343E-2</v>
      </c>
      <c r="K583" s="192">
        <f>VLOOKUP($D583,'RBSA Weights'!$A$2:$C$1406,3,FALSE)</f>
        <v>1925.059</v>
      </c>
    </row>
    <row r="584" spans="1:11">
      <c r="A584" s="192" t="s">
        <v>706</v>
      </c>
      <c r="B584" s="192">
        <v>1</v>
      </c>
      <c r="C584" s="192">
        <v>33212</v>
      </c>
      <c r="D584" s="192">
        <v>13451</v>
      </c>
      <c r="E584" s="192">
        <v>1</v>
      </c>
      <c r="F584" s="192">
        <v>1100</v>
      </c>
      <c r="G584" s="192">
        <v>15</v>
      </c>
      <c r="H584" s="192" t="s">
        <v>697</v>
      </c>
      <c r="I584" s="192" t="s">
        <v>65</v>
      </c>
      <c r="J584" s="192">
        <v>4.5000001788139343E-2</v>
      </c>
      <c r="K584" s="192">
        <f>VLOOKUP($D584,'RBSA Weights'!$A$2:$C$1406,3,FALSE)</f>
        <v>1150.8789999999999</v>
      </c>
    </row>
    <row r="585" spans="1:11">
      <c r="A585" s="192" t="s">
        <v>706</v>
      </c>
      <c r="B585" s="192">
        <v>1</v>
      </c>
      <c r="C585" s="192">
        <v>35973</v>
      </c>
      <c r="D585" s="192">
        <v>12307</v>
      </c>
      <c r="E585" s="192">
        <v>1</v>
      </c>
      <c r="F585" s="192">
        <v>1488</v>
      </c>
      <c r="G585" s="192">
        <v>18</v>
      </c>
      <c r="H585" s="192" t="s">
        <v>699</v>
      </c>
      <c r="I585" s="192" t="s">
        <v>762</v>
      </c>
      <c r="J585" s="192">
        <v>4.5000001788139343E-2</v>
      </c>
      <c r="K585" s="192">
        <f>VLOOKUP($D585,'RBSA Weights'!$A$2:$C$1406,3,FALSE)</f>
        <v>1524.7619999999999</v>
      </c>
    </row>
    <row r="586" spans="1:11">
      <c r="A586" s="192" t="s">
        <v>706</v>
      </c>
      <c r="B586" s="192">
        <v>1</v>
      </c>
      <c r="C586" s="192">
        <v>73980</v>
      </c>
      <c r="D586" s="192">
        <v>12956</v>
      </c>
      <c r="E586" s="192">
        <v>1</v>
      </c>
      <c r="F586" s="192">
        <v>2788</v>
      </c>
      <c r="G586" s="192">
        <v>26</v>
      </c>
      <c r="H586" s="192" t="s">
        <v>697</v>
      </c>
      <c r="I586" s="192" t="s">
        <v>65</v>
      </c>
      <c r="J586" s="192">
        <v>4.5000001788139343E-2</v>
      </c>
      <c r="K586" s="192">
        <f>VLOOKUP($D586,'RBSA Weights'!$A$2:$C$1406,3,FALSE)</f>
        <v>2003.7159999999999</v>
      </c>
    </row>
    <row r="587" spans="1:11">
      <c r="A587" s="192" t="s">
        <v>706</v>
      </c>
      <c r="B587" s="192">
        <v>1</v>
      </c>
      <c r="C587" s="192">
        <v>231854</v>
      </c>
      <c r="D587" s="192">
        <v>23446</v>
      </c>
      <c r="E587" s="192">
        <v>1</v>
      </c>
      <c r="F587" s="192">
        <v>1200</v>
      </c>
      <c r="G587" s="192">
        <v>16</v>
      </c>
      <c r="H587" s="192" t="s">
        <v>705</v>
      </c>
      <c r="I587" s="192" t="s">
        <v>65</v>
      </c>
      <c r="J587" s="192">
        <v>4.5000001788139343E-2</v>
      </c>
      <c r="K587" s="192">
        <f>VLOOKUP($D587,'RBSA Weights'!$A$2:$C$1406,3,FALSE)</f>
        <v>2079.9929999999999</v>
      </c>
    </row>
    <row r="588" spans="1:11">
      <c r="A588" s="192" t="s">
        <v>706</v>
      </c>
      <c r="B588" s="192">
        <v>1</v>
      </c>
      <c r="C588" s="192">
        <v>34041</v>
      </c>
      <c r="D588" s="192">
        <v>11645</v>
      </c>
      <c r="E588" s="192">
        <v>1</v>
      </c>
      <c r="F588" s="192">
        <v>1500</v>
      </c>
      <c r="G588" s="192">
        <v>32</v>
      </c>
      <c r="H588" s="192" t="s">
        <v>697</v>
      </c>
      <c r="I588" s="192" t="s">
        <v>65</v>
      </c>
      <c r="J588" s="192">
        <v>4.5000001788139343E-2</v>
      </c>
      <c r="K588" s="192">
        <f>VLOOKUP($D588,'RBSA Weights'!$A$2:$C$1406,3,FALSE)</f>
        <v>1524.7619999999999</v>
      </c>
    </row>
    <row r="589" spans="1:11">
      <c r="A589" s="192" t="s">
        <v>706</v>
      </c>
      <c r="B589" s="192">
        <v>1</v>
      </c>
      <c r="C589" s="192">
        <v>96234</v>
      </c>
      <c r="D589" s="192">
        <v>10174</v>
      </c>
      <c r="E589" s="192">
        <v>1</v>
      </c>
      <c r="F589" s="192">
        <v>1840</v>
      </c>
      <c r="G589" s="192">
        <v>24</v>
      </c>
      <c r="H589" s="192" t="s">
        <v>699</v>
      </c>
      <c r="I589" s="192" t="s">
        <v>65</v>
      </c>
      <c r="J589" s="192">
        <v>4.5000001788139343E-2</v>
      </c>
      <c r="K589" s="192">
        <f>VLOOKUP($D589,'RBSA Weights'!$A$2:$C$1406,3,FALSE)</f>
        <v>4956.4930000000004</v>
      </c>
    </row>
    <row r="590" spans="1:11">
      <c r="A590" s="192" t="s">
        <v>706</v>
      </c>
      <c r="B590" s="192">
        <v>1</v>
      </c>
      <c r="C590" s="192">
        <v>95097</v>
      </c>
      <c r="D590" s="192">
        <v>21233</v>
      </c>
      <c r="E590" s="192">
        <v>1</v>
      </c>
      <c r="F590" s="192">
        <v>884</v>
      </c>
      <c r="G590" s="192">
        <v>5</v>
      </c>
      <c r="H590" s="192" t="s">
        <v>705</v>
      </c>
      <c r="I590" s="192" t="s">
        <v>65</v>
      </c>
      <c r="J590" s="192">
        <v>4.5000001788139343E-2</v>
      </c>
      <c r="K590" s="192">
        <f>VLOOKUP($D590,'RBSA Weights'!$A$2:$C$1406,3,FALSE)</f>
        <v>2130.886</v>
      </c>
    </row>
    <row r="591" spans="1:11">
      <c r="A591" s="192" t="s">
        <v>706</v>
      </c>
      <c r="B591" s="192">
        <v>1</v>
      </c>
      <c r="C591" s="192">
        <v>260629</v>
      </c>
      <c r="D591" s="192">
        <v>23857</v>
      </c>
      <c r="E591" s="192">
        <v>2</v>
      </c>
      <c r="F591" s="192">
        <v>1358</v>
      </c>
      <c r="G591" s="192">
        <v>30</v>
      </c>
      <c r="H591" s="192" t="s">
        <v>705</v>
      </c>
      <c r="I591" s="192" t="s">
        <v>65</v>
      </c>
      <c r="J591" s="192">
        <v>4.5000001788139343E-2</v>
      </c>
      <c r="K591" s="192">
        <f>VLOOKUP($D591,'RBSA Weights'!$A$2:$C$1406,3,FALSE)</f>
        <v>1144.6790000000001</v>
      </c>
    </row>
    <row r="592" spans="1:11">
      <c r="A592" s="192" t="s">
        <v>706</v>
      </c>
      <c r="B592" s="192">
        <v>1</v>
      </c>
      <c r="C592" s="192">
        <v>215814</v>
      </c>
      <c r="D592" s="192">
        <v>24807</v>
      </c>
      <c r="E592" s="192">
        <v>1</v>
      </c>
      <c r="F592" s="192">
        <v>1632</v>
      </c>
      <c r="G592" s="192">
        <v>29</v>
      </c>
      <c r="H592" s="192" t="s">
        <v>700</v>
      </c>
      <c r="I592" s="192" t="s">
        <v>65</v>
      </c>
      <c r="J592" s="192">
        <v>4.5000001788139343E-2</v>
      </c>
      <c r="K592" s="192">
        <f>VLOOKUP($D592,'RBSA Weights'!$A$2:$C$1406,3,FALSE)</f>
        <v>2079.9929999999999</v>
      </c>
    </row>
    <row r="593" spans="1:11">
      <c r="A593" s="192" t="s">
        <v>706</v>
      </c>
      <c r="B593" s="192">
        <v>1</v>
      </c>
      <c r="C593" s="192">
        <v>200182</v>
      </c>
      <c r="D593" s="192">
        <v>21390</v>
      </c>
      <c r="E593" s="192">
        <v>1</v>
      </c>
      <c r="F593" s="192">
        <v>1980</v>
      </c>
      <c r="G593" s="192">
        <v>29</v>
      </c>
      <c r="H593" s="192" t="s">
        <v>702</v>
      </c>
      <c r="I593" s="192" t="s">
        <v>65</v>
      </c>
      <c r="J593" s="192">
        <v>4.5000001788139343E-2</v>
      </c>
      <c r="K593" s="192">
        <f>VLOOKUP($D593,'RBSA Weights'!$A$2:$C$1406,3,FALSE)</f>
        <v>2130.886</v>
      </c>
    </row>
    <row r="594" spans="1:11">
      <c r="A594" s="192" t="s">
        <v>706</v>
      </c>
      <c r="B594" s="192">
        <v>1</v>
      </c>
      <c r="C594" s="192">
        <v>70412</v>
      </c>
      <c r="D594" s="192">
        <v>20360</v>
      </c>
      <c r="E594" s="192">
        <v>1</v>
      </c>
      <c r="F594" s="192">
        <v>1008</v>
      </c>
      <c r="G594" s="192">
        <v>49</v>
      </c>
      <c r="H594" s="192" t="s">
        <v>697</v>
      </c>
      <c r="I594" s="192" t="s">
        <v>65</v>
      </c>
      <c r="J594" s="192">
        <v>4.5000001788139343E-2</v>
      </c>
      <c r="K594" s="192">
        <f>VLOOKUP($D594,'RBSA Weights'!$A$2:$C$1406,3,FALSE)</f>
        <v>1904.288</v>
      </c>
    </row>
    <row r="595" spans="1:11">
      <c r="A595" s="192" t="s">
        <v>706</v>
      </c>
      <c r="B595" s="192">
        <v>1</v>
      </c>
      <c r="C595" s="192">
        <v>189921</v>
      </c>
      <c r="D595" s="192">
        <v>21981</v>
      </c>
      <c r="E595" s="192">
        <v>1</v>
      </c>
      <c r="F595" s="192">
        <v>990</v>
      </c>
      <c r="G595" s="192">
        <v>29</v>
      </c>
      <c r="H595" s="192" t="s">
        <v>700</v>
      </c>
      <c r="I595" s="192" t="s">
        <v>65</v>
      </c>
      <c r="J595" s="192">
        <v>4.5000001788139343E-2</v>
      </c>
      <c r="K595" s="192">
        <f>VLOOKUP($D595,'RBSA Weights'!$A$2:$C$1406,3,FALSE)</f>
        <v>2079.9929999999999</v>
      </c>
    </row>
    <row r="596" spans="1:11">
      <c r="A596" s="192" t="s">
        <v>706</v>
      </c>
      <c r="B596" s="192">
        <v>1</v>
      </c>
      <c r="C596" s="192">
        <v>29934</v>
      </c>
      <c r="D596" s="192">
        <v>14457</v>
      </c>
      <c r="E596" s="192">
        <v>1</v>
      </c>
      <c r="F596" s="192">
        <v>1600</v>
      </c>
      <c r="G596" s="192">
        <v>15</v>
      </c>
      <c r="H596" s="192" t="s">
        <v>700</v>
      </c>
      <c r="I596" s="192" t="s">
        <v>65</v>
      </c>
      <c r="J596" s="192">
        <v>4.5000001788139343E-2</v>
      </c>
      <c r="K596" s="192">
        <f>VLOOKUP($D596,'RBSA Weights'!$A$2:$C$1406,3,FALSE)</f>
        <v>1150.8789999999999</v>
      </c>
    </row>
    <row r="597" spans="1:11">
      <c r="A597" s="192" t="s">
        <v>706</v>
      </c>
      <c r="B597" s="192">
        <v>1</v>
      </c>
      <c r="C597" s="192">
        <v>78305</v>
      </c>
      <c r="D597" s="192">
        <v>23408</v>
      </c>
      <c r="E597" s="192">
        <v>1</v>
      </c>
      <c r="F597" s="192">
        <v>1062</v>
      </c>
      <c r="G597" s="192">
        <v>30</v>
      </c>
      <c r="H597" s="192" t="s">
        <v>705</v>
      </c>
      <c r="I597" s="192" t="s">
        <v>65</v>
      </c>
      <c r="J597" s="192">
        <v>4.5000001788139343E-2</v>
      </c>
      <c r="K597" s="192">
        <f>VLOOKUP($D597,'RBSA Weights'!$A$2:$C$1406,3,FALSE)</f>
        <v>3785.7640000000001</v>
      </c>
    </row>
    <row r="598" spans="1:11">
      <c r="A598" s="192" t="s">
        <v>706</v>
      </c>
      <c r="B598" s="192">
        <v>1</v>
      </c>
      <c r="C598" s="192">
        <v>212964</v>
      </c>
      <c r="D598" s="192">
        <v>11544</v>
      </c>
      <c r="E598" s="192">
        <v>1</v>
      </c>
      <c r="F598" s="192">
        <v>960</v>
      </c>
      <c r="G598" s="192">
        <v>20</v>
      </c>
      <c r="H598" s="192" t="s">
        <v>705</v>
      </c>
      <c r="I598" s="192" t="s">
        <v>65</v>
      </c>
      <c r="J598" s="192">
        <v>4.5000001788139343E-2</v>
      </c>
      <c r="K598" s="192">
        <f>VLOOKUP($D598,'RBSA Weights'!$A$2:$C$1406,3,FALSE)</f>
        <v>4956.4930000000004</v>
      </c>
    </row>
    <row r="599" spans="1:11">
      <c r="A599" s="192" t="s">
        <v>706</v>
      </c>
      <c r="B599" s="192">
        <v>1</v>
      </c>
      <c r="C599" s="192">
        <v>223253</v>
      </c>
      <c r="D599" s="192">
        <v>10696</v>
      </c>
      <c r="E599" s="192">
        <v>1</v>
      </c>
      <c r="F599" s="192">
        <v>1310</v>
      </c>
      <c r="G599" s="192">
        <v>15</v>
      </c>
      <c r="H599" s="192" t="s">
        <v>702</v>
      </c>
      <c r="I599" s="192" t="s">
        <v>65</v>
      </c>
      <c r="J599" s="192">
        <v>4.5000001788139343E-2</v>
      </c>
      <c r="K599" s="192">
        <f>VLOOKUP($D599,'RBSA Weights'!$A$2:$C$1406,3,FALSE)</f>
        <v>1464.694</v>
      </c>
    </row>
    <row r="600" spans="1:11">
      <c r="A600" s="192" t="s">
        <v>706</v>
      </c>
      <c r="B600" s="192">
        <v>1</v>
      </c>
      <c r="C600" s="192">
        <v>223977</v>
      </c>
      <c r="D600" s="192">
        <v>24614</v>
      </c>
      <c r="E600" s="192">
        <v>1</v>
      </c>
      <c r="F600" s="192">
        <v>1968</v>
      </c>
      <c r="G600" s="192">
        <v>39</v>
      </c>
      <c r="H600" s="192" t="s">
        <v>702</v>
      </c>
      <c r="I600" s="192" t="s">
        <v>65</v>
      </c>
      <c r="J600" s="192">
        <v>4.5000001788139343E-2</v>
      </c>
      <c r="K600" s="192">
        <f>VLOOKUP($D600,'RBSA Weights'!$A$2:$C$1406,3,FALSE)</f>
        <v>2079.9929999999999</v>
      </c>
    </row>
    <row r="601" spans="1:11">
      <c r="A601" s="192" t="s">
        <v>706</v>
      </c>
      <c r="B601" s="192">
        <v>1</v>
      </c>
      <c r="C601" s="192">
        <v>137646</v>
      </c>
      <c r="D601" s="192">
        <v>12773</v>
      </c>
      <c r="E601" s="192">
        <v>1</v>
      </c>
      <c r="F601" s="192">
        <v>1163</v>
      </c>
      <c r="G601" s="192">
        <v>20</v>
      </c>
      <c r="H601" s="192" t="s">
        <v>697</v>
      </c>
      <c r="I601" s="192" t="s">
        <v>65</v>
      </c>
      <c r="J601" s="192">
        <v>4.5000001788139343E-2</v>
      </c>
      <c r="K601" s="192">
        <f>VLOOKUP($D601,'RBSA Weights'!$A$2:$C$1406,3,FALSE)</f>
        <v>4956.4930000000004</v>
      </c>
    </row>
    <row r="602" spans="1:11">
      <c r="A602" s="192" t="s">
        <v>706</v>
      </c>
      <c r="B602" s="192">
        <v>1</v>
      </c>
      <c r="C602" s="192">
        <v>676222</v>
      </c>
      <c r="D602" s="192">
        <v>10055</v>
      </c>
      <c r="E602" s="192">
        <v>1</v>
      </c>
      <c r="F602" s="192">
        <v>1185</v>
      </c>
      <c r="G602" s="192">
        <v>19</v>
      </c>
      <c r="H602" s="192" t="s">
        <v>700</v>
      </c>
      <c r="I602" s="192" t="s">
        <v>65</v>
      </c>
      <c r="J602" s="192">
        <v>4.5000001788139343E-2</v>
      </c>
      <c r="K602" s="192">
        <f>VLOOKUP($D602,'RBSA Weights'!$A$2:$C$1406,3,FALSE)</f>
        <v>4956.4930000000004</v>
      </c>
    </row>
    <row r="603" spans="1:11">
      <c r="A603" s="192" t="s">
        <v>706</v>
      </c>
      <c r="B603" s="192">
        <v>1</v>
      </c>
      <c r="C603" s="192">
        <v>70282</v>
      </c>
      <c r="D603" s="192">
        <v>24445</v>
      </c>
      <c r="E603" s="192">
        <v>1</v>
      </c>
      <c r="F603" s="192">
        <v>1080</v>
      </c>
      <c r="G603" s="192">
        <v>49</v>
      </c>
      <c r="H603" s="192" t="s">
        <v>697</v>
      </c>
      <c r="I603" s="192" t="s">
        <v>65</v>
      </c>
      <c r="J603" s="192">
        <v>4.5000001788139343E-2</v>
      </c>
      <c r="K603" s="192">
        <f>VLOOKUP($D603,'RBSA Weights'!$A$2:$C$1406,3,FALSE)</f>
        <v>1904.288</v>
      </c>
    </row>
    <row r="604" spans="1:11">
      <c r="A604" s="192" t="s">
        <v>707</v>
      </c>
      <c r="B604" s="192">
        <v>0.75</v>
      </c>
      <c r="C604" s="192">
        <v>684110</v>
      </c>
      <c r="D604" s="192">
        <v>20553</v>
      </c>
      <c r="E604" s="192">
        <v>1</v>
      </c>
      <c r="F604" s="192">
        <v>1582</v>
      </c>
      <c r="G604" s="192">
        <v>24</v>
      </c>
      <c r="H604" s="192" t="s">
        <v>697</v>
      </c>
      <c r="I604" s="192" t="s">
        <v>65</v>
      </c>
      <c r="J604" s="192">
        <v>0.14499999582767487</v>
      </c>
      <c r="K604" s="192">
        <f>VLOOKUP($D604,'RBSA Weights'!$A$2:$C$1406,3,FALSE)</f>
        <v>3785.7640000000001</v>
      </c>
    </row>
    <row r="605" spans="1:11">
      <c r="A605" s="192" t="s">
        <v>707</v>
      </c>
      <c r="B605" s="192">
        <v>0.75</v>
      </c>
      <c r="C605" s="192">
        <v>36873</v>
      </c>
      <c r="D605" s="192">
        <v>12376</v>
      </c>
      <c r="E605" s="192">
        <v>1</v>
      </c>
      <c r="F605" s="192">
        <v>1000</v>
      </c>
      <c r="G605" s="192">
        <v>50</v>
      </c>
      <c r="H605" s="192" t="s">
        <v>702</v>
      </c>
      <c r="I605" s="192" t="s">
        <v>65</v>
      </c>
      <c r="J605" s="192">
        <v>0.14499999582767487</v>
      </c>
      <c r="K605" s="192">
        <f>VLOOKUP($D605,'RBSA Weights'!$A$2:$C$1406,3,FALSE)</f>
        <v>1188.027</v>
      </c>
    </row>
    <row r="606" spans="1:11">
      <c r="A606" s="192" t="s">
        <v>707</v>
      </c>
      <c r="B606" s="192">
        <v>0.75</v>
      </c>
      <c r="C606" s="192">
        <v>187937</v>
      </c>
      <c r="D606" s="192">
        <v>23119</v>
      </c>
      <c r="E606" s="192">
        <v>1</v>
      </c>
      <c r="F606" s="192">
        <v>696</v>
      </c>
      <c r="G606" s="192">
        <v>20</v>
      </c>
      <c r="H606" s="192" t="s">
        <v>700</v>
      </c>
      <c r="I606" s="192" t="s">
        <v>65</v>
      </c>
      <c r="J606" s="192">
        <v>0.14499999582767487</v>
      </c>
      <c r="K606" s="192">
        <f>VLOOKUP($D606,'RBSA Weights'!$A$2:$C$1406,3,FALSE)</f>
        <v>1612.692</v>
      </c>
    </row>
    <row r="607" spans="1:11">
      <c r="A607" s="192" t="s">
        <v>707</v>
      </c>
      <c r="B607" s="192">
        <v>0.75</v>
      </c>
      <c r="C607" s="192">
        <v>104021</v>
      </c>
      <c r="D607" s="192">
        <v>11512</v>
      </c>
      <c r="E607" s="192">
        <v>1</v>
      </c>
      <c r="F607" s="192">
        <v>147</v>
      </c>
      <c r="G607" s="192">
        <v>20</v>
      </c>
      <c r="H607" s="192" t="s">
        <v>705</v>
      </c>
      <c r="I607" s="192" t="s">
        <v>65</v>
      </c>
      <c r="J607" s="192">
        <v>0.14499999582767487</v>
      </c>
      <c r="K607" s="192">
        <f>VLOOKUP($D607,'RBSA Weights'!$A$2:$C$1406,3,FALSE)</f>
        <v>2003.7159999999999</v>
      </c>
    </row>
    <row r="608" spans="1:11">
      <c r="A608" s="192" t="s">
        <v>707</v>
      </c>
      <c r="B608" s="192">
        <v>0.75</v>
      </c>
      <c r="C608" s="192">
        <v>187583</v>
      </c>
      <c r="D608" s="192">
        <v>24467</v>
      </c>
      <c r="E608" s="192">
        <v>1</v>
      </c>
      <c r="F608" s="192">
        <v>1600</v>
      </c>
      <c r="G608" s="192">
        <v>20</v>
      </c>
      <c r="H608" s="192" t="s">
        <v>705</v>
      </c>
      <c r="I608" s="192" t="s">
        <v>65</v>
      </c>
      <c r="J608" s="192">
        <v>0.14499999582767487</v>
      </c>
      <c r="K608" s="192">
        <f>VLOOKUP($D608,'RBSA Weights'!$A$2:$C$1406,3,FALSE)</f>
        <v>1612.692</v>
      </c>
    </row>
    <row r="609" spans="1:11">
      <c r="A609" s="192" t="s">
        <v>707</v>
      </c>
      <c r="B609" s="192">
        <v>0.75</v>
      </c>
      <c r="C609" s="192">
        <v>218688</v>
      </c>
      <c r="D609" s="192">
        <v>23932</v>
      </c>
      <c r="E609" s="192">
        <v>1</v>
      </c>
      <c r="F609" s="192">
        <v>1133</v>
      </c>
      <c r="G609" s="192">
        <v>30</v>
      </c>
      <c r="H609" s="192" t="s">
        <v>705</v>
      </c>
      <c r="I609" s="192" t="s">
        <v>65</v>
      </c>
      <c r="J609" s="192">
        <v>0.14499999582767487</v>
      </c>
      <c r="K609" s="192">
        <f>VLOOKUP($D609,'RBSA Weights'!$A$2:$C$1406,3,FALSE)</f>
        <v>3785.7640000000001</v>
      </c>
    </row>
    <row r="610" spans="1:11">
      <c r="A610" s="192" t="s">
        <v>707</v>
      </c>
      <c r="B610" s="192">
        <v>0.75</v>
      </c>
      <c r="C610" s="192">
        <v>172623</v>
      </c>
      <c r="D610" s="192">
        <v>10348</v>
      </c>
      <c r="E610" s="192">
        <v>1</v>
      </c>
      <c r="F610" s="192">
        <v>1056</v>
      </c>
      <c r="G610" s="192">
        <v>20</v>
      </c>
      <c r="H610" s="192" t="s">
        <v>705</v>
      </c>
      <c r="I610" s="192" t="s">
        <v>65</v>
      </c>
      <c r="J610" s="192">
        <v>0.14499999582767487</v>
      </c>
      <c r="K610" s="192">
        <f>VLOOKUP($D610,'RBSA Weights'!$A$2:$C$1406,3,FALSE)</f>
        <v>6932.7380000000003</v>
      </c>
    </row>
    <row r="611" spans="1:11">
      <c r="A611" s="192" t="s">
        <v>707</v>
      </c>
      <c r="B611" s="192">
        <v>0.75</v>
      </c>
      <c r="C611" s="192">
        <v>74988</v>
      </c>
      <c r="D611" s="192">
        <v>20930</v>
      </c>
      <c r="E611" s="192">
        <v>1</v>
      </c>
      <c r="F611" s="192">
        <v>2919</v>
      </c>
      <c r="G611" s="192">
        <v>49</v>
      </c>
      <c r="H611" s="192" t="s">
        <v>702</v>
      </c>
      <c r="I611" s="192" t="s">
        <v>65</v>
      </c>
      <c r="J611" s="192">
        <v>0.14499999582767487</v>
      </c>
      <c r="K611" s="192">
        <f>VLOOKUP($D611,'RBSA Weights'!$A$2:$C$1406,3,FALSE)</f>
        <v>1904.288</v>
      </c>
    </row>
    <row r="612" spans="1:11">
      <c r="A612" s="192" t="s">
        <v>707</v>
      </c>
      <c r="B612" s="192">
        <v>0.75</v>
      </c>
      <c r="C612" s="192">
        <v>722484</v>
      </c>
      <c r="D612" s="192">
        <v>22177</v>
      </c>
      <c r="E612" s="192">
        <v>1</v>
      </c>
      <c r="F612" s="192">
        <v>609</v>
      </c>
      <c r="G612" s="192">
        <v>20</v>
      </c>
      <c r="H612" s="192" t="s">
        <v>700</v>
      </c>
      <c r="I612" s="192" t="s">
        <v>763</v>
      </c>
      <c r="J612" s="192">
        <v>0.14499999582767487</v>
      </c>
      <c r="K612" s="192">
        <f>VLOOKUP($D612,'RBSA Weights'!$A$2:$C$1406,3,FALSE)</f>
        <v>1612.692</v>
      </c>
    </row>
    <row r="613" spans="1:11">
      <c r="A613" s="192" t="s">
        <v>707</v>
      </c>
      <c r="B613" s="192">
        <v>0.75</v>
      </c>
      <c r="C613" s="192">
        <v>165079</v>
      </c>
      <c r="D613" s="192">
        <v>20905</v>
      </c>
      <c r="E613" s="192">
        <v>1</v>
      </c>
      <c r="F613" s="192">
        <v>860</v>
      </c>
      <c r="G613" s="192">
        <v>20</v>
      </c>
      <c r="H613" s="192" t="s">
        <v>705</v>
      </c>
      <c r="I613" s="192" t="s">
        <v>65</v>
      </c>
      <c r="J613" s="192">
        <v>0.14499999582767487</v>
      </c>
      <c r="K613" s="192">
        <f>VLOOKUP($D613,'RBSA Weights'!$A$2:$C$1406,3,FALSE)</f>
        <v>8264.9449999999997</v>
      </c>
    </row>
    <row r="614" spans="1:11">
      <c r="A614" s="192" t="s">
        <v>707</v>
      </c>
      <c r="B614" s="192">
        <v>0.75</v>
      </c>
      <c r="C614" s="192">
        <v>170631</v>
      </c>
      <c r="D614" s="192">
        <v>24408</v>
      </c>
      <c r="E614" s="192">
        <v>1</v>
      </c>
      <c r="F614" s="192">
        <v>1094</v>
      </c>
      <c r="G614" s="192">
        <v>25</v>
      </c>
      <c r="H614" s="192" t="s">
        <v>705</v>
      </c>
      <c r="I614" s="192" t="s">
        <v>65</v>
      </c>
      <c r="J614" s="192">
        <v>0.14499999582767487</v>
      </c>
      <c r="K614" s="192">
        <f>VLOOKUP($D614,'RBSA Weights'!$A$2:$C$1406,3,FALSE)</f>
        <v>1612.692</v>
      </c>
    </row>
    <row r="615" spans="1:11">
      <c r="A615" s="192" t="s">
        <v>707</v>
      </c>
      <c r="B615" s="192">
        <v>0.9</v>
      </c>
      <c r="C615" s="192">
        <v>221475</v>
      </c>
      <c r="D615" s="192">
        <v>13956</v>
      </c>
      <c r="E615" s="192">
        <v>1</v>
      </c>
      <c r="F615" s="192">
        <v>1219</v>
      </c>
      <c r="G615" s="192">
        <v>20</v>
      </c>
      <c r="H615" s="192" t="s">
        <v>700</v>
      </c>
      <c r="I615" s="192" t="s">
        <v>65</v>
      </c>
      <c r="J615" s="192">
        <v>7.9999998211860657E-2</v>
      </c>
      <c r="K615" s="192">
        <f>VLOOKUP($D615,'RBSA Weights'!$A$2:$C$1406,3,FALSE)</f>
        <v>1524.7619999999999</v>
      </c>
    </row>
    <row r="616" spans="1:11">
      <c r="A616" s="192" t="s">
        <v>707</v>
      </c>
      <c r="B616" s="192">
        <v>0.9</v>
      </c>
      <c r="C616" s="192">
        <v>158880</v>
      </c>
      <c r="D616" s="192">
        <v>23358</v>
      </c>
      <c r="E616" s="192">
        <v>1</v>
      </c>
      <c r="F616" s="192">
        <v>1200</v>
      </c>
      <c r="G616" s="192">
        <v>20</v>
      </c>
      <c r="H616" s="192" t="s">
        <v>699</v>
      </c>
      <c r="I616" s="192" t="s">
        <v>65</v>
      </c>
      <c r="J616" s="192">
        <v>7.9999998211860657E-2</v>
      </c>
      <c r="K616" s="192">
        <f>VLOOKUP($D616,'RBSA Weights'!$A$2:$C$1406,3,FALSE)</f>
        <v>2130.886</v>
      </c>
    </row>
    <row r="617" spans="1:11">
      <c r="A617" s="192" t="s">
        <v>707</v>
      </c>
      <c r="B617" s="192">
        <v>0.9</v>
      </c>
      <c r="C617" s="192">
        <v>238157</v>
      </c>
      <c r="D617" s="192">
        <v>12478</v>
      </c>
      <c r="E617" s="192">
        <v>1</v>
      </c>
      <c r="F617" s="192">
        <v>1558</v>
      </c>
      <c r="G617" s="192">
        <v>15</v>
      </c>
      <c r="H617" s="192" t="s">
        <v>705</v>
      </c>
      <c r="I617" s="192" t="s">
        <v>65</v>
      </c>
      <c r="J617" s="192">
        <v>7.9999998211860657E-2</v>
      </c>
      <c r="K617" s="192">
        <f>VLOOKUP($D617,'RBSA Weights'!$A$2:$C$1406,3,FALSE)</f>
        <v>1150.8789999999999</v>
      </c>
    </row>
    <row r="618" spans="1:11">
      <c r="A618" s="192" t="s">
        <v>707</v>
      </c>
      <c r="B618" s="192">
        <v>0.9</v>
      </c>
      <c r="C618" s="192">
        <v>81264</v>
      </c>
      <c r="D618" s="192">
        <v>20777</v>
      </c>
      <c r="E618" s="192">
        <v>1</v>
      </c>
      <c r="F618" s="192">
        <v>1300</v>
      </c>
      <c r="G618" s="192">
        <v>0</v>
      </c>
      <c r="H618" s="192" t="s">
        <v>702</v>
      </c>
      <c r="I618" s="192" t="s">
        <v>65</v>
      </c>
      <c r="J618" s="192">
        <v>7.9999998211860657E-2</v>
      </c>
      <c r="K618" s="192">
        <f>VLOOKUP($D618,'RBSA Weights'!$A$2:$C$1406,3,FALSE)</f>
        <v>2079.9929999999999</v>
      </c>
    </row>
    <row r="619" spans="1:11">
      <c r="A619" s="192" t="s">
        <v>707</v>
      </c>
      <c r="B619" s="192">
        <v>0.9</v>
      </c>
      <c r="C619" s="192">
        <v>680487</v>
      </c>
      <c r="D619" s="192">
        <v>13248</v>
      </c>
      <c r="E619" s="192">
        <v>1</v>
      </c>
      <c r="F619" s="192">
        <v>1118</v>
      </c>
      <c r="G619" s="192">
        <v>30</v>
      </c>
      <c r="H619" s="192" t="s">
        <v>705</v>
      </c>
      <c r="I619" s="192" t="s">
        <v>65</v>
      </c>
      <c r="J619" s="192">
        <v>7.9999998211860657E-2</v>
      </c>
      <c r="K619" s="192">
        <f>VLOOKUP($D619,'RBSA Weights'!$A$2:$C$1406,3,FALSE)</f>
        <v>1464.694</v>
      </c>
    </row>
    <row r="620" spans="1:11">
      <c r="A620" s="192" t="s">
        <v>707</v>
      </c>
      <c r="B620" s="192">
        <v>0.9</v>
      </c>
      <c r="C620" s="192">
        <v>125073</v>
      </c>
      <c r="D620" s="192">
        <v>20574</v>
      </c>
      <c r="E620" s="192">
        <v>1</v>
      </c>
      <c r="F620" s="192">
        <v>1325</v>
      </c>
      <c r="G620" s="192">
        <v>0</v>
      </c>
      <c r="H620" s="192" t="s">
        <v>705</v>
      </c>
      <c r="I620" s="192" t="s">
        <v>65</v>
      </c>
      <c r="J620" s="192">
        <v>7.9999998211860657E-2</v>
      </c>
      <c r="K620" s="192">
        <f>VLOOKUP($D620,'RBSA Weights'!$A$2:$C$1406,3,FALSE)</f>
        <v>2079.9929999999999</v>
      </c>
    </row>
    <row r="621" spans="1:11">
      <c r="A621" s="192" t="s">
        <v>707</v>
      </c>
      <c r="B621" s="192">
        <v>0.9</v>
      </c>
      <c r="C621" s="192">
        <v>229086</v>
      </c>
      <c r="D621" s="192">
        <v>14181</v>
      </c>
      <c r="E621" s="192">
        <v>4</v>
      </c>
      <c r="F621" s="192">
        <v>102</v>
      </c>
      <c r="G621" s="192">
        <v>20</v>
      </c>
      <c r="H621" s="192" t="s">
        <v>700</v>
      </c>
      <c r="I621" s="192" t="s">
        <v>65</v>
      </c>
      <c r="J621" s="192">
        <v>7.9999998211860657E-2</v>
      </c>
      <c r="K621" s="192">
        <f>VLOOKUP($D621,'RBSA Weights'!$A$2:$C$1406,3,FALSE)</f>
        <v>1524.7619999999999</v>
      </c>
    </row>
    <row r="622" spans="1:11">
      <c r="A622" s="192" t="s">
        <v>707</v>
      </c>
      <c r="B622" s="192">
        <v>0.9</v>
      </c>
      <c r="C622" s="192">
        <v>116874</v>
      </c>
      <c r="D622" s="192">
        <v>12486</v>
      </c>
      <c r="E622" s="192">
        <v>1</v>
      </c>
      <c r="F622" s="192">
        <v>1276</v>
      </c>
      <c r="G622" s="192">
        <v>20</v>
      </c>
      <c r="H622" s="192" t="s">
        <v>705</v>
      </c>
      <c r="I622" s="192" t="s">
        <v>65</v>
      </c>
      <c r="J622" s="192">
        <v>7.9999998211860657E-2</v>
      </c>
      <c r="K622" s="192">
        <f>VLOOKUP($D622,'RBSA Weights'!$A$2:$C$1406,3,FALSE)</f>
        <v>4956.4930000000004</v>
      </c>
    </row>
    <row r="623" spans="1:11">
      <c r="A623" s="192" t="s">
        <v>707</v>
      </c>
      <c r="B623" s="192">
        <v>0.9</v>
      </c>
      <c r="C623" s="192">
        <v>116773</v>
      </c>
      <c r="D623" s="192">
        <v>11871</v>
      </c>
      <c r="E623" s="192">
        <v>1</v>
      </c>
      <c r="F623" s="192">
        <v>455</v>
      </c>
      <c r="G623" s="192">
        <v>20</v>
      </c>
      <c r="H623" s="192" t="s">
        <v>705</v>
      </c>
      <c r="I623" s="192" t="s">
        <v>65</v>
      </c>
      <c r="J623" s="192">
        <v>7.9999998211860657E-2</v>
      </c>
      <c r="K623" s="192">
        <f>VLOOKUP($D623,'RBSA Weights'!$A$2:$C$1406,3,FALSE)</f>
        <v>4956.4930000000004</v>
      </c>
    </row>
    <row r="624" spans="1:11">
      <c r="A624" s="192" t="s">
        <v>707</v>
      </c>
      <c r="B624" s="192">
        <v>0.9</v>
      </c>
      <c r="C624" s="192">
        <v>680338</v>
      </c>
      <c r="D624" s="192">
        <v>24495</v>
      </c>
      <c r="E624" s="192">
        <v>1</v>
      </c>
      <c r="F624" s="192">
        <v>2395</v>
      </c>
      <c r="G624" s="192">
        <v>20</v>
      </c>
      <c r="H624" s="192" t="s">
        <v>697</v>
      </c>
      <c r="I624" s="192" t="s">
        <v>764</v>
      </c>
      <c r="J624" s="192">
        <v>7.9999998211860657E-2</v>
      </c>
      <c r="K624" s="192">
        <f>VLOOKUP($D624,'RBSA Weights'!$A$2:$C$1406,3,FALSE)</f>
        <v>4360.1880000000001</v>
      </c>
    </row>
    <row r="625" spans="1:11">
      <c r="A625" s="192" t="s">
        <v>707</v>
      </c>
      <c r="B625" s="192">
        <v>0.9</v>
      </c>
      <c r="C625" s="192">
        <v>218205</v>
      </c>
      <c r="D625" s="192">
        <v>23910</v>
      </c>
      <c r="E625" s="192">
        <v>1</v>
      </c>
      <c r="F625" s="192">
        <v>1940</v>
      </c>
      <c r="G625" s="192">
        <v>30</v>
      </c>
      <c r="H625" s="192" t="s">
        <v>705</v>
      </c>
      <c r="I625" s="192" t="s">
        <v>65</v>
      </c>
      <c r="J625" s="192">
        <v>7.9999998211860657E-2</v>
      </c>
      <c r="K625" s="192">
        <f>VLOOKUP($D625,'RBSA Weights'!$A$2:$C$1406,3,FALSE)</f>
        <v>3785.7640000000001</v>
      </c>
    </row>
    <row r="626" spans="1:11">
      <c r="A626" s="192" t="s">
        <v>707</v>
      </c>
      <c r="B626" s="192">
        <v>0.9</v>
      </c>
      <c r="C626" s="192">
        <v>161105</v>
      </c>
      <c r="D626" s="192">
        <v>23870</v>
      </c>
      <c r="E626" s="192">
        <v>1</v>
      </c>
      <c r="F626" s="192">
        <v>427</v>
      </c>
      <c r="G626" s="192">
        <v>20</v>
      </c>
      <c r="H626" s="192" t="s">
        <v>702</v>
      </c>
      <c r="I626" s="192" t="s">
        <v>65</v>
      </c>
      <c r="J626" s="192">
        <v>7.9999998211860657E-2</v>
      </c>
      <c r="K626" s="192">
        <f>VLOOKUP($D626,'RBSA Weights'!$A$2:$C$1406,3,FALSE)</f>
        <v>2130.886</v>
      </c>
    </row>
    <row r="627" spans="1:11">
      <c r="A627" s="192" t="s">
        <v>707</v>
      </c>
      <c r="B627" s="192">
        <v>0.9</v>
      </c>
      <c r="C627" s="192">
        <v>166789</v>
      </c>
      <c r="D627" s="192">
        <v>21353</v>
      </c>
      <c r="E627" s="192">
        <v>1</v>
      </c>
      <c r="F627" s="192">
        <v>1288</v>
      </c>
      <c r="G627" s="192">
        <v>0</v>
      </c>
      <c r="H627" s="192" t="s">
        <v>705</v>
      </c>
      <c r="I627" s="192" t="s">
        <v>65</v>
      </c>
      <c r="J627" s="192">
        <v>7.9999998211860657E-2</v>
      </c>
      <c r="K627" s="192">
        <f>VLOOKUP($D627,'RBSA Weights'!$A$2:$C$1406,3,FALSE)</f>
        <v>1192.4649999999999</v>
      </c>
    </row>
    <row r="628" spans="1:11">
      <c r="A628" s="192" t="s">
        <v>707</v>
      </c>
      <c r="B628" s="192">
        <v>0.9</v>
      </c>
      <c r="C628" s="192">
        <v>194407</v>
      </c>
      <c r="D628" s="192">
        <v>22295</v>
      </c>
      <c r="E628" s="192">
        <v>1</v>
      </c>
      <c r="F628" s="192">
        <v>993</v>
      </c>
      <c r="G628" s="192">
        <v>20</v>
      </c>
      <c r="H628" s="192" t="s">
        <v>705</v>
      </c>
      <c r="I628" s="192" t="s">
        <v>65</v>
      </c>
      <c r="J628" s="192">
        <v>7.9999998211860657E-2</v>
      </c>
      <c r="K628" s="192">
        <f>VLOOKUP($D628,'RBSA Weights'!$A$2:$C$1406,3,FALSE)</f>
        <v>1925.059</v>
      </c>
    </row>
    <row r="629" spans="1:11">
      <c r="A629" s="192" t="s">
        <v>707</v>
      </c>
      <c r="B629" s="192">
        <v>0.9</v>
      </c>
      <c r="C629" s="192">
        <v>139000</v>
      </c>
      <c r="D629" s="192">
        <v>21006</v>
      </c>
      <c r="E629" s="192">
        <v>1</v>
      </c>
      <c r="F629" s="192">
        <v>1272</v>
      </c>
      <c r="G629" s="192">
        <v>20</v>
      </c>
      <c r="H629" s="192" t="s">
        <v>697</v>
      </c>
      <c r="I629" s="192" t="s">
        <v>65</v>
      </c>
      <c r="J629" s="192">
        <v>7.9999998211860657E-2</v>
      </c>
      <c r="K629" s="192">
        <f>VLOOKUP($D629,'RBSA Weights'!$A$2:$C$1406,3,FALSE)</f>
        <v>1192.4649999999999</v>
      </c>
    </row>
    <row r="630" spans="1:11">
      <c r="A630" s="192" t="s">
        <v>707</v>
      </c>
      <c r="B630" s="192">
        <v>0.9</v>
      </c>
      <c r="C630" s="192">
        <v>111591</v>
      </c>
      <c r="D630" s="192">
        <v>21828</v>
      </c>
      <c r="E630" s="192">
        <v>1</v>
      </c>
      <c r="F630" s="192">
        <v>1410</v>
      </c>
      <c r="G630" s="193"/>
      <c r="H630" s="192" t="s">
        <v>65</v>
      </c>
      <c r="I630" s="192" t="s">
        <v>65</v>
      </c>
      <c r="J630" s="192">
        <v>7.9999998211860657E-2</v>
      </c>
      <c r="K630" s="192">
        <f>VLOOKUP($D630,'RBSA Weights'!$A$2:$C$1406,3,FALSE)</f>
        <v>1904.288</v>
      </c>
    </row>
    <row r="631" spans="1:11">
      <c r="A631" s="192" t="s">
        <v>707</v>
      </c>
      <c r="B631" s="192">
        <v>0.9</v>
      </c>
      <c r="C631" s="192">
        <v>71932</v>
      </c>
      <c r="D631" s="192">
        <v>20547</v>
      </c>
      <c r="E631" s="192">
        <v>1</v>
      </c>
      <c r="F631" s="192">
        <v>1968</v>
      </c>
      <c r="G631" s="192">
        <v>0</v>
      </c>
      <c r="H631" s="192" t="s">
        <v>702</v>
      </c>
      <c r="I631" s="192" t="s">
        <v>65</v>
      </c>
      <c r="J631" s="192">
        <v>7.9999998211860657E-2</v>
      </c>
      <c r="K631" s="192">
        <f>VLOOKUP($D631,'RBSA Weights'!$A$2:$C$1406,3,FALSE)</f>
        <v>2079.9929999999999</v>
      </c>
    </row>
    <row r="632" spans="1:11">
      <c r="A632" s="192" t="s">
        <v>707</v>
      </c>
      <c r="B632" s="192">
        <v>0.9</v>
      </c>
      <c r="C632" s="192">
        <v>149470</v>
      </c>
      <c r="D632" s="192">
        <v>21741</v>
      </c>
      <c r="E632" s="192">
        <v>1</v>
      </c>
      <c r="F632" s="192">
        <v>1764</v>
      </c>
      <c r="G632" s="192">
        <v>20</v>
      </c>
      <c r="H632" s="192" t="s">
        <v>705</v>
      </c>
      <c r="I632" s="192" t="s">
        <v>65</v>
      </c>
      <c r="J632" s="192">
        <v>7.9999998211860657E-2</v>
      </c>
      <c r="K632" s="192">
        <f>VLOOKUP($D632,'RBSA Weights'!$A$2:$C$1406,3,FALSE)</f>
        <v>4360.1880000000001</v>
      </c>
    </row>
    <row r="633" spans="1:11">
      <c r="A633" s="192" t="s">
        <v>707</v>
      </c>
      <c r="B633" s="192">
        <v>0.9</v>
      </c>
      <c r="C633" s="192">
        <v>57950</v>
      </c>
      <c r="D633" s="192">
        <v>23241</v>
      </c>
      <c r="E633" s="192">
        <v>1</v>
      </c>
      <c r="F633" s="192">
        <v>1800</v>
      </c>
      <c r="G633" s="192">
        <v>8</v>
      </c>
      <c r="H633" s="192" t="s">
        <v>697</v>
      </c>
      <c r="I633" s="192" t="s">
        <v>65</v>
      </c>
      <c r="J633" s="192">
        <v>7.9999998211860657E-2</v>
      </c>
      <c r="K633" s="192">
        <f>VLOOKUP($D633,'RBSA Weights'!$A$2:$C$1406,3,FALSE)</f>
        <v>2079.9929999999999</v>
      </c>
    </row>
    <row r="634" spans="1:11">
      <c r="A634" s="192" t="s">
        <v>707</v>
      </c>
      <c r="B634" s="192">
        <v>0.9</v>
      </c>
      <c r="C634" s="192">
        <v>92520</v>
      </c>
      <c r="D634" s="192">
        <v>12199</v>
      </c>
      <c r="E634" s="192">
        <v>1</v>
      </c>
      <c r="F634" s="192">
        <v>1172</v>
      </c>
      <c r="G634" s="192">
        <v>20</v>
      </c>
      <c r="H634" s="192" t="s">
        <v>705</v>
      </c>
      <c r="I634" s="192" t="s">
        <v>65</v>
      </c>
      <c r="J634" s="192">
        <v>7.9999998211860657E-2</v>
      </c>
      <c r="K634" s="192">
        <f>VLOOKUP($D634,'RBSA Weights'!$A$2:$C$1406,3,FALSE)</f>
        <v>2003.7159999999999</v>
      </c>
    </row>
    <row r="635" spans="1:11">
      <c r="A635" s="192" t="s">
        <v>707</v>
      </c>
      <c r="B635" s="192">
        <v>0.9</v>
      </c>
      <c r="C635" s="192">
        <v>29773</v>
      </c>
      <c r="D635" s="192">
        <v>10191</v>
      </c>
      <c r="E635" s="192">
        <v>2</v>
      </c>
      <c r="F635" s="192">
        <v>500</v>
      </c>
      <c r="G635" s="192">
        <v>40</v>
      </c>
      <c r="H635" s="192" t="s">
        <v>702</v>
      </c>
      <c r="I635" s="192" t="s">
        <v>65</v>
      </c>
      <c r="J635" s="192">
        <v>7.9999998211860657E-2</v>
      </c>
      <c r="K635" s="192">
        <f>VLOOKUP($D635,'RBSA Weights'!$A$2:$C$1406,3,FALSE)</f>
        <v>1524.7619999999999</v>
      </c>
    </row>
    <row r="636" spans="1:11">
      <c r="A636" s="192" t="s">
        <v>707</v>
      </c>
      <c r="B636" s="192">
        <v>0.9</v>
      </c>
      <c r="C636" s="192">
        <v>103119</v>
      </c>
      <c r="D636" s="192">
        <v>22683</v>
      </c>
      <c r="E636" s="192">
        <v>1</v>
      </c>
      <c r="F636" s="192">
        <v>858</v>
      </c>
      <c r="G636" s="192">
        <v>20</v>
      </c>
      <c r="H636" s="192" t="s">
        <v>700</v>
      </c>
      <c r="I636" s="192" t="s">
        <v>65</v>
      </c>
      <c r="J636" s="192">
        <v>7.9999998211860657E-2</v>
      </c>
      <c r="K636" s="192">
        <f>VLOOKUP($D636,'RBSA Weights'!$A$2:$C$1406,3,FALSE)</f>
        <v>2079.9929999999999</v>
      </c>
    </row>
    <row r="637" spans="1:11">
      <c r="A637" s="192" t="s">
        <v>707</v>
      </c>
      <c r="B637" s="192">
        <v>0.9</v>
      </c>
      <c r="C637" s="192">
        <v>147242</v>
      </c>
      <c r="D637" s="192">
        <v>20792</v>
      </c>
      <c r="E637" s="192">
        <v>1</v>
      </c>
      <c r="F637" s="192">
        <v>1222</v>
      </c>
      <c r="G637" s="192">
        <v>20</v>
      </c>
      <c r="H637" s="192" t="s">
        <v>705</v>
      </c>
      <c r="I637" s="192" t="s">
        <v>65</v>
      </c>
      <c r="J637" s="192">
        <v>7.9999998211860657E-2</v>
      </c>
      <c r="K637" s="192">
        <f>VLOOKUP($D637,'RBSA Weights'!$A$2:$C$1406,3,FALSE)</f>
        <v>1192.4649999999999</v>
      </c>
    </row>
    <row r="638" spans="1:11">
      <c r="A638" s="192" t="s">
        <v>707</v>
      </c>
      <c r="B638" s="192">
        <v>0.9</v>
      </c>
      <c r="C638" s="192">
        <v>235845</v>
      </c>
      <c r="D638" s="192">
        <v>21672</v>
      </c>
      <c r="E638" s="192">
        <v>1</v>
      </c>
      <c r="F638" s="192">
        <v>552</v>
      </c>
      <c r="G638" s="192">
        <v>0</v>
      </c>
      <c r="H638" s="192" t="s">
        <v>700</v>
      </c>
      <c r="I638" s="192" t="s">
        <v>65</v>
      </c>
      <c r="J638" s="192">
        <v>7.9999998211860657E-2</v>
      </c>
      <c r="K638" s="192">
        <f>VLOOKUP($D638,'RBSA Weights'!$A$2:$C$1406,3,FALSE)</f>
        <v>1144.6790000000001</v>
      </c>
    </row>
    <row r="639" spans="1:11">
      <c r="A639" s="192" t="s">
        <v>707</v>
      </c>
      <c r="B639" s="192">
        <v>0.9</v>
      </c>
      <c r="C639" s="192">
        <v>166930</v>
      </c>
      <c r="D639" s="192">
        <v>21464</v>
      </c>
      <c r="E639" s="192">
        <v>1</v>
      </c>
      <c r="F639" s="192">
        <v>1960</v>
      </c>
      <c r="G639" s="192">
        <v>30</v>
      </c>
      <c r="H639" s="192" t="s">
        <v>702</v>
      </c>
      <c r="I639" s="192" t="s">
        <v>65</v>
      </c>
      <c r="J639" s="192">
        <v>7.9999998211860657E-2</v>
      </c>
      <c r="K639" s="192">
        <f>VLOOKUP($D639,'RBSA Weights'!$A$2:$C$1406,3,FALSE)</f>
        <v>1192.4649999999999</v>
      </c>
    </row>
    <row r="640" spans="1:11">
      <c r="A640" s="192" t="s">
        <v>707</v>
      </c>
      <c r="B640" s="192">
        <v>0.9</v>
      </c>
      <c r="C640" s="192">
        <v>94589</v>
      </c>
      <c r="D640" s="192">
        <v>20288</v>
      </c>
      <c r="E640" s="192">
        <v>2</v>
      </c>
      <c r="F640" s="192">
        <v>1296</v>
      </c>
      <c r="G640" s="192">
        <v>23</v>
      </c>
      <c r="H640" s="192" t="s">
        <v>700</v>
      </c>
      <c r="I640" s="192" t="s">
        <v>65</v>
      </c>
      <c r="J640" s="192">
        <v>7.9999998211860657E-2</v>
      </c>
      <c r="K640" s="192">
        <f>VLOOKUP($D640,'RBSA Weights'!$A$2:$C$1406,3,FALSE)</f>
        <v>1144.6790000000001</v>
      </c>
    </row>
    <row r="641" spans="1:11">
      <c r="A641" s="192" t="s">
        <v>707</v>
      </c>
      <c r="B641" s="192">
        <v>0.9</v>
      </c>
      <c r="C641" s="192">
        <v>186470</v>
      </c>
      <c r="D641" s="192">
        <v>12643</v>
      </c>
      <c r="E641" s="192">
        <v>1</v>
      </c>
      <c r="F641" s="192">
        <v>1401</v>
      </c>
      <c r="G641" s="192">
        <v>49</v>
      </c>
      <c r="H641" s="192" t="s">
        <v>705</v>
      </c>
      <c r="I641" s="192" t="s">
        <v>65</v>
      </c>
      <c r="J641" s="192">
        <v>7.9999998211860657E-2</v>
      </c>
      <c r="K641" s="192">
        <f>VLOOKUP($D641,'RBSA Weights'!$A$2:$C$1406,3,FALSE)</f>
        <v>6932.7380000000003</v>
      </c>
    </row>
    <row r="642" spans="1:11">
      <c r="A642" s="192" t="s">
        <v>707</v>
      </c>
      <c r="B642" s="192">
        <v>0.9</v>
      </c>
      <c r="C642" s="192">
        <v>181460</v>
      </c>
      <c r="D642" s="192">
        <v>10306</v>
      </c>
      <c r="E642" s="192">
        <v>1</v>
      </c>
      <c r="F642" s="192">
        <v>1240</v>
      </c>
      <c r="G642" s="192">
        <v>10</v>
      </c>
      <c r="H642" s="192" t="s">
        <v>697</v>
      </c>
      <c r="I642" s="192" t="s">
        <v>65</v>
      </c>
      <c r="J642" s="192">
        <v>7.9999998211860657E-2</v>
      </c>
      <c r="K642" s="192">
        <f>VLOOKUP($D642,'RBSA Weights'!$A$2:$C$1406,3,FALSE)</f>
        <v>4956.4930000000004</v>
      </c>
    </row>
    <row r="643" spans="1:11">
      <c r="A643" s="192" t="s">
        <v>707</v>
      </c>
      <c r="B643" s="192">
        <v>0.9</v>
      </c>
      <c r="C643" s="192">
        <v>101673</v>
      </c>
      <c r="D643" s="192">
        <v>22688</v>
      </c>
      <c r="E643" s="192">
        <v>1</v>
      </c>
      <c r="F643" s="192">
        <v>1896</v>
      </c>
      <c r="G643" s="192">
        <v>20</v>
      </c>
      <c r="H643" s="192" t="s">
        <v>705</v>
      </c>
      <c r="I643" s="192" t="s">
        <v>65</v>
      </c>
      <c r="J643" s="192">
        <v>7.9999998211860657E-2</v>
      </c>
      <c r="K643" s="192">
        <f>VLOOKUP($D643,'RBSA Weights'!$A$2:$C$1406,3,FALSE)</f>
        <v>1925.059</v>
      </c>
    </row>
    <row r="644" spans="1:11">
      <c r="A644" s="192" t="s">
        <v>707</v>
      </c>
      <c r="B644" s="192">
        <v>0.9</v>
      </c>
      <c r="C644" s="192">
        <v>66996</v>
      </c>
      <c r="D644" s="192">
        <v>11910</v>
      </c>
      <c r="E644" s="192">
        <v>1</v>
      </c>
      <c r="F644" s="192">
        <v>1624</v>
      </c>
      <c r="G644" s="192">
        <v>12</v>
      </c>
      <c r="H644" s="192" t="s">
        <v>702</v>
      </c>
      <c r="I644" s="192" t="s">
        <v>65</v>
      </c>
      <c r="J644" s="192">
        <v>7.9999998211860657E-2</v>
      </c>
      <c r="K644" s="192">
        <f>VLOOKUP($D644,'RBSA Weights'!$A$2:$C$1406,3,FALSE)</f>
        <v>2003.7159999999999</v>
      </c>
    </row>
    <row r="645" spans="1:11">
      <c r="A645" s="192" t="s">
        <v>707</v>
      </c>
      <c r="B645" s="192">
        <v>0.9</v>
      </c>
      <c r="C645" s="192">
        <v>117598</v>
      </c>
      <c r="D645" s="192">
        <v>10946</v>
      </c>
      <c r="E645" s="192">
        <v>1</v>
      </c>
      <c r="F645" s="192">
        <v>2953</v>
      </c>
      <c r="G645" s="192">
        <v>20</v>
      </c>
      <c r="H645" s="192" t="s">
        <v>705</v>
      </c>
      <c r="I645" s="192" t="s">
        <v>65</v>
      </c>
      <c r="J645" s="192">
        <v>7.9999998211860657E-2</v>
      </c>
      <c r="K645" s="192">
        <f>VLOOKUP($D645,'RBSA Weights'!$A$2:$C$1406,3,FALSE)</f>
        <v>4956.4930000000004</v>
      </c>
    </row>
    <row r="646" spans="1:11">
      <c r="A646" s="192" t="s">
        <v>707</v>
      </c>
      <c r="B646" s="192">
        <v>0.9</v>
      </c>
      <c r="C646" s="192">
        <v>724997</v>
      </c>
      <c r="D646" s="192">
        <v>13191</v>
      </c>
      <c r="E646" s="192">
        <v>1</v>
      </c>
      <c r="F646" s="192">
        <v>891</v>
      </c>
      <c r="G646" s="192">
        <v>10</v>
      </c>
      <c r="H646" s="192" t="s">
        <v>705</v>
      </c>
      <c r="I646" s="192" t="s">
        <v>65</v>
      </c>
      <c r="J646" s="192">
        <v>7.9999998211860657E-2</v>
      </c>
      <c r="K646" s="192">
        <f>VLOOKUP($D646,'RBSA Weights'!$A$2:$C$1406,3,FALSE)</f>
        <v>1524.7619999999999</v>
      </c>
    </row>
    <row r="647" spans="1:11">
      <c r="A647" s="192" t="s">
        <v>707</v>
      </c>
      <c r="B647" s="192">
        <v>0.9</v>
      </c>
      <c r="C647" s="192">
        <v>121288</v>
      </c>
      <c r="D647" s="192">
        <v>24790</v>
      </c>
      <c r="E647" s="192">
        <v>1</v>
      </c>
      <c r="F647" s="192">
        <v>2120</v>
      </c>
      <c r="G647" s="192">
        <v>20</v>
      </c>
      <c r="H647" s="192" t="s">
        <v>702</v>
      </c>
      <c r="I647" s="192" t="s">
        <v>65</v>
      </c>
      <c r="J647" s="192">
        <v>7.9999998211860657E-2</v>
      </c>
      <c r="K647" s="192">
        <f>VLOOKUP($D647,'RBSA Weights'!$A$2:$C$1406,3,FALSE)</f>
        <v>2079.9929999999999</v>
      </c>
    </row>
    <row r="648" spans="1:11">
      <c r="A648" s="192" t="s">
        <v>707</v>
      </c>
      <c r="B648" s="192">
        <v>0.9</v>
      </c>
      <c r="C648" s="192">
        <v>63489</v>
      </c>
      <c r="D648" s="192">
        <v>10192</v>
      </c>
      <c r="E648" s="192">
        <v>1</v>
      </c>
      <c r="F648" s="192">
        <v>750</v>
      </c>
      <c r="G648" s="192">
        <v>0</v>
      </c>
      <c r="H648" s="192" t="s">
        <v>700</v>
      </c>
      <c r="I648" s="192" t="s">
        <v>65</v>
      </c>
      <c r="J648" s="192">
        <v>7.9999998211860657E-2</v>
      </c>
      <c r="K648" s="192">
        <f>VLOOKUP($D648,'RBSA Weights'!$A$2:$C$1406,3,FALSE)</f>
        <v>1524.7619999999999</v>
      </c>
    </row>
    <row r="649" spans="1:11">
      <c r="A649" s="192" t="s">
        <v>707</v>
      </c>
      <c r="B649" s="192">
        <v>0.9</v>
      </c>
      <c r="C649" s="192">
        <v>726057</v>
      </c>
      <c r="D649" s="192">
        <v>23960</v>
      </c>
      <c r="E649" s="192">
        <v>1</v>
      </c>
      <c r="F649" s="192">
        <v>1280</v>
      </c>
      <c r="G649" s="192">
        <v>20</v>
      </c>
      <c r="H649" s="192" t="s">
        <v>700</v>
      </c>
      <c r="I649" s="192" t="s">
        <v>65</v>
      </c>
      <c r="J649" s="192">
        <v>7.9999998211860657E-2</v>
      </c>
      <c r="K649" s="192">
        <f>VLOOKUP($D649,'RBSA Weights'!$A$2:$C$1406,3,FALSE)</f>
        <v>1192.4649999999999</v>
      </c>
    </row>
    <row r="650" spans="1:11">
      <c r="A650" s="192" t="s">
        <v>707</v>
      </c>
      <c r="B650" s="192">
        <v>0.9</v>
      </c>
      <c r="C650" s="192">
        <v>205433</v>
      </c>
      <c r="D650" s="192">
        <v>24417</v>
      </c>
      <c r="E650" s="192">
        <v>1</v>
      </c>
      <c r="F650" s="192">
        <v>1060</v>
      </c>
      <c r="G650" s="192">
        <v>20</v>
      </c>
      <c r="H650" s="192" t="s">
        <v>700</v>
      </c>
      <c r="I650" s="192" t="s">
        <v>65</v>
      </c>
      <c r="J650" s="192">
        <v>7.9999998211860657E-2</v>
      </c>
      <c r="K650" s="192">
        <f>VLOOKUP($D650,'RBSA Weights'!$A$2:$C$1406,3,FALSE)</f>
        <v>1904.288</v>
      </c>
    </row>
    <row r="651" spans="1:11">
      <c r="A651" s="192" t="s">
        <v>707</v>
      </c>
      <c r="B651" s="192">
        <v>0.9</v>
      </c>
      <c r="C651" s="192">
        <v>802435</v>
      </c>
      <c r="D651" s="192">
        <v>22124</v>
      </c>
      <c r="E651" s="192">
        <v>1</v>
      </c>
      <c r="F651" s="192">
        <v>1454</v>
      </c>
      <c r="G651" s="192">
        <v>20</v>
      </c>
      <c r="H651" s="192" t="s">
        <v>700</v>
      </c>
      <c r="I651" s="192" t="s">
        <v>65</v>
      </c>
      <c r="J651" s="192">
        <v>7.9999998211860657E-2</v>
      </c>
      <c r="K651" s="192">
        <f>VLOOKUP($D651,'RBSA Weights'!$A$2:$C$1406,3,FALSE)</f>
        <v>4360.1880000000001</v>
      </c>
    </row>
    <row r="652" spans="1:11">
      <c r="A652" s="192" t="s">
        <v>707</v>
      </c>
      <c r="B652" s="192">
        <v>0.9</v>
      </c>
      <c r="C652" s="192">
        <v>679558</v>
      </c>
      <c r="D652" s="192">
        <v>10388</v>
      </c>
      <c r="E652" s="192">
        <v>1</v>
      </c>
      <c r="F652" s="192">
        <v>502</v>
      </c>
      <c r="G652" s="192">
        <v>20</v>
      </c>
      <c r="H652" s="192" t="s">
        <v>705</v>
      </c>
      <c r="I652" s="192" t="s">
        <v>65</v>
      </c>
      <c r="J652" s="192">
        <v>7.9999998211860657E-2</v>
      </c>
      <c r="K652" s="192">
        <f>VLOOKUP($D652,'RBSA Weights'!$A$2:$C$1406,3,FALSE)</f>
        <v>1464.694</v>
      </c>
    </row>
    <row r="653" spans="1:11">
      <c r="A653" s="192" t="s">
        <v>707</v>
      </c>
      <c r="B653" s="192">
        <v>0.9</v>
      </c>
      <c r="C653" s="192">
        <v>39983</v>
      </c>
      <c r="D653" s="192">
        <v>13293</v>
      </c>
      <c r="E653" s="192">
        <v>1</v>
      </c>
      <c r="F653" s="192">
        <v>1582</v>
      </c>
      <c r="G653" s="192">
        <v>50</v>
      </c>
      <c r="H653" s="192" t="s">
        <v>697</v>
      </c>
      <c r="I653" s="192" t="s">
        <v>65</v>
      </c>
      <c r="J653" s="192">
        <v>7.9999998211860657E-2</v>
      </c>
      <c r="K653" s="192">
        <f>VLOOKUP($D653,'RBSA Weights'!$A$2:$C$1406,3,FALSE)</f>
        <v>1188.027</v>
      </c>
    </row>
    <row r="654" spans="1:11">
      <c r="A654" s="192" t="s">
        <v>707</v>
      </c>
      <c r="B654" s="192">
        <v>0.9</v>
      </c>
      <c r="C654" s="192">
        <v>164516</v>
      </c>
      <c r="D654" s="192">
        <v>23972</v>
      </c>
      <c r="E654" s="192">
        <v>1</v>
      </c>
      <c r="F654" s="192">
        <v>748</v>
      </c>
      <c r="G654" s="192">
        <v>20</v>
      </c>
      <c r="H654" s="192" t="s">
        <v>704</v>
      </c>
      <c r="I654" s="192" t="s">
        <v>65</v>
      </c>
      <c r="J654" s="192">
        <v>7.9999998211860657E-2</v>
      </c>
      <c r="K654" s="192">
        <f>VLOOKUP($D654,'RBSA Weights'!$A$2:$C$1406,3,FALSE)</f>
        <v>2130.886</v>
      </c>
    </row>
    <row r="655" spans="1:11">
      <c r="A655" s="192" t="s">
        <v>707</v>
      </c>
      <c r="B655" s="192">
        <v>0.9</v>
      </c>
      <c r="C655" s="192">
        <v>122055</v>
      </c>
      <c r="D655" s="192">
        <v>12315</v>
      </c>
      <c r="E655" s="192">
        <v>1</v>
      </c>
      <c r="F655" s="192">
        <v>930</v>
      </c>
      <c r="G655" s="192">
        <v>20</v>
      </c>
      <c r="H655" s="192" t="s">
        <v>705</v>
      </c>
      <c r="I655" s="192" t="s">
        <v>65</v>
      </c>
      <c r="J655" s="192">
        <v>7.9999998211860657E-2</v>
      </c>
      <c r="K655" s="192">
        <f>VLOOKUP($D655,'RBSA Weights'!$A$2:$C$1406,3,FALSE)</f>
        <v>2003.7159999999999</v>
      </c>
    </row>
    <row r="656" spans="1:11">
      <c r="A656" s="192" t="s">
        <v>707</v>
      </c>
      <c r="B656" s="192">
        <v>0.9</v>
      </c>
      <c r="C656" s="192">
        <v>197033</v>
      </c>
      <c r="D656" s="192">
        <v>13863</v>
      </c>
      <c r="E656" s="192">
        <v>1</v>
      </c>
      <c r="F656" s="192">
        <v>1010</v>
      </c>
      <c r="G656" s="192">
        <v>15</v>
      </c>
      <c r="H656" s="192" t="s">
        <v>697</v>
      </c>
      <c r="I656" s="192" t="s">
        <v>65</v>
      </c>
      <c r="J656" s="192">
        <v>7.9999998211860657E-2</v>
      </c>
      <c r="K656" s="192">
        <f>VLOOKUP($D656,'RBSA Weights'!$A$2:$C$1406,3,FALSE)</f>
        <v>1464.694</v>
      </c>
    </row>
    <row r="657" spans="1:11">
      <c r="A657" s="192" t="s">
        <v>707</v>
      </c>
      <c r="B657" s="192">
        <v>0.9</v>
      </c>
      <c r="C657" s="192">
        <v>122978</v>
      </c>
      <c r="D657" s="192">
        <v>24027</v>
      </c>
      <c r="E657" s="192">
        <v>1</v>
      </c>
      <c r="F657" s="192">
        <v>1056</v>
      </c>
      <c r="G657" s="192">
        <v>26</v>
      </c>
      <c r="H657" s="192" t="s">
        <v>700</v>
      </c>
      <c r="I657" s="192" t="s">
        <v>65</v>
      </c>
      <c r="J657" s="192">
        <v>7.9999998211860657E-2</v>
      </c>
      <c r="K657" s="192">
        <f>VLOOKUP($D657,'RBSA Weights'!$A$2:$C$1406,3,FALSE)</f>
        <v>1925.059</v>
      </c>
    </row>
    <row r="658" spans="1:11">
      <c r="A658" s="192" t="s">
        <v>707</v>
      </c>
      <c r="B658" s="192">
        <v>0.9</v>
      </c>
      <c r="C658" s="192">
        <v>136006</v>
      </c>
      <c r="D658" s="192">
        <v>10309</v>
      </c>
      <c r="E658" s="192">
        <v>1</v>
      </c>
      <c r="F658" s="192">
        <v>1013</v>
      </c>
      <c r="G658" s="192">
        <v>20</v>
      </c>
      <c r="H658" s="192" t="s">
        <v>705</v>
      </c>
      <c r="I658" s="192" t="s">
        <v>65</v>
      </c>
      <c r="J658" s="192">
        <v>7.9999998211860657E-2</v>
      </c>
      <c r="K658" s="192">
        <f>VLOOKUP($D658,'RBSA Weights'!$A$2:$C$1406,3,FALSE)</f>
        <v>6932.7380000000003</v>
      </c>
    </row>
    <row r="659" spans="1:11">
      <c r="A659" s="192" t="s">
        <v>707</v>
      </c>
      <c r="B659" s="192">
        <v>0.9</v>
      </c>
      <c r="C659" s="192">
        <v>823622</v>
      </c>
      <c r="D659" s="192">
        <v>12060</v>
      </c>
      <c r="E659" s="192">
        <v>1</v>
      </c>
      <c r="F659" s="192">
        <v>1594</v>
      </c>
      <c r="G659" s="192">
        <v>20</v>
      </c>
      <c r="H659" s="192" t="s">
        <v>702</v>
      </c>
      <c r="I659" s="192" t="s">
        <v>765</v>
      </c>
      <c r="J659" s="192">
        <v>7.9999998211860657E-2</v>
      </c>
      <c r="K659" s="192">
        <f>VLOOKUP($D659,'RBSA Weights'!$A$2:$C$1406,3,FALSE)</f>
        <v>1464.694</v>
      </c>
    </row>
    <row r="660" spans="1:11">
      <c r="A660" s="192" t="s">
        <v>707</v>
      </c>
      <c r="B660" s="192">
        <v>0.9</v>
      </c>
      <c r="C660" s="192">
        <v>105377</v>
      </c>
      <c r="D660" s="192">
        <v>11347</v>
      </c>
      <c r="E660" s="192">
        <v>1</v>
      </c>
      <c r="F660" s="192">
        <v>1380</v>
      </c>
      <c r="G660" s="192">
        <v>20</v>
      </c>
      <c r="H660" s="192" t="s">
        <v>702</v>
      </c>
      <c r="I660" s="192" t="s">
        <v>65</v>
      </c>
      <c r="J660" s="192">
        <v>7.9999998211860657E-2</v>
      </c>
      <c r="K660" s="192">
        <f>VLOOKUP($D660,'RBSA Weights'!$A$2:$C$1406,3,FALSE)</f>
        <v>4956.4930000000004</v>
      </c>
    </row>
    <row r="661" spans="1:11">
      <c r="A661" s="192" t="s">
        <v>707</v>
      </c>
      <c r="B661" s="192">
        <v>0.9</v>
      </c>
      <c r="C661" s="192">
        <v>79122</v>
      </c>
      <c r="D661" s="192">
        <v>22439</v>
      </c>
      <c r="E661" s="192">
        <v>1</v>
      </c>
      <c r="F661" s="192">
        <v>1485</v>
      </c>
      <c r="G661" s="192">
        <v>10</v>
      </c>
      <c r="H661" s="192" t="s">
        <v>697</v>
      </c>
      <c r="I661" s="192" t="s">
        <v>65</v>
      </c>
      <c r="J661" s="192">
        <v>7.9999998211860657E-2</v>
      </c>
      <c r="K661" s="192">
        <f>VLOOKUP($D661,'RBSA Weights'!$A$2:$C$1406,3,FALSE)</f>
        <v>2079.9929999999999</v>
      </c>
    </row>
    <row r="662" spans="1:11">
      <c r="A662" s="192" t="s">
        <v>707</v>
      </c>
      <c r="B662" s="192">
        <v>0.9</v>
      </c>
      <c r="C662" s="192">
        <v>784537</v>
      </c>
      <c r="D662" s="192">
        <v>22273</v>
      </c>
      <c r="E662" s="192">
        <v>1</v>
      </c>
      <c r="F662" s="192">
        <v>1039</v>
      </c>
      <c r="G662" s="192">
        <v>20</v>
      </c>
      <c r="H662" s="192" t="s">
        <v>699</v>
      </c>
      <c r="I662" s="192" t="s">
        <v>65</v>
      </c>
      <c r="J662" s="192">
        <v>7.9999998211860657E-2</v>
      </c>
      <c r="K662" s="192">
        <f>VLOOKUP($D662,'RBSA Weights'!$A$2:$C$1406,3,FALSE)</f>
        <v>1904.288</v>
      </c>
    </row>
    <row r="663" spans="1:11">
      <c r="A663" s="192" t="s">
        <v>707</v>
      </c>
      <c r="B663" s="192">
        <v>0.9</v>
      </c>
      <c r="C663" s="192">
        <v>68097</v>
      </c>
      <c r="D663" s="192">
        <v>22369</v>
      </c>
      <c r="E663" s="192">
        <v>1</v>
      </c>
      <c r="F663" s="192">
        <v>1986</v>
      </c>
      <c r="G663" s="192">
        <v>20</v>
      </c>
      <c r="H663" s="192" t="s">
        <v>702</v>
      </c>
      <c r="I663" s="192" t="s">
        <v>65</v>
      </c>
      <c r="J663" s="192">
        <v>7.9999998211860657E-2</v>
      </c>
      <c r="K663" s="192">
        <f>VLOOKUP($D663,'RBSA Weights'!$A$2:$C$1406,3,FALSE)</f>
        <v>2130.886</v>
      </c>
    </row>
    <row r="664" spans="1:11">
      <c r="A664" s="192" t="s">
        <v>707</v>
      </c>
      <c r="B664" s="192">
        <v>0.9</v>
      </c>
      <c r="C664" s="192">
        <v>220489</v>
      </c>
      <c r="D664" s="192">
        <v>10466</v>
      </c>
      <c r="E664" s="192">
        <v>1</v>
      </c>
      <c r="F664" s="192">
        <v>1066</v>
      </c>
      <c r="G664" s="192">
        <v>10</v>
      </c>
      <c r="H664" s="192" t="s">
        <v>702</v>
      </c>
      <c r="I664" s="192" t="s">
        <v>65</v>
      </c>
      <c r="J664" s="192">
        <v>7.9999998211860657E-2</v>
      </c>
      <c r="K664" s="192">
        <f>VLOOKUP($D664,'RBSA Weights'!$A$2:$C$1406,3,FALSE)</f>
        <v>1464.694</v>
      </c>
    </row>
    <row r="665" spans="1:11">
      <c r="A665" s="192" t="s">
        <v>707</v>
      </c>
      <c r="B665" s="192">
        <v>0.9</v>
      </c>
      <c r="C665" s="192">
        <v>112926</v>
      </c>
      <c r="D665" s="192">
        <v>12489</v>
      </c>
      <c r="E665" s="192">
        <v>1</v>
      </c>
      <c r="F665" s="192">
        <v>1200</v>
      </c>
      <c r="G665" s="192">
        <v>10</v>
      </c>
      <c r="H665" s="192" t="s">
        <v>700</v>
      </c>
      <c r="I665" s="192" t="s">
        <v>65</v>
      </c>
      <c r="J665" s="192">
        <v>7.9999998211860657E-2</v>
      </c>
      <c r="K665" s="192">
        <f>VLOOKUP($D665,'RBSA Weights'!$A$2:$C$1406,3,FALSE)</f>
        <v>4956.4930000000004</v>
      </c>
    </row>
    <row r="666" spans="1:11">
      <c r="A666" s="192" t="s">
        <v>707</v>
      </c>
      <c r="B666" s="192">
        <v>0.9</v>
      </c>
      <c r="C666" s="192">
        <v>823799</v>
      </c>
      <c r="D666" s="192">
        <v>12661</v>
      </c>
      <c r="E666" s="192">
        <v>1</v>
      </c>
      <c r="F666" s="192">
        <v>1177</v>
      </c>
      <c r="G666" s="192">
        <v>20</v>
      </c>
      <c r="H666" s="192" t="s">
        <v>705</v>
      </c>
      <c r="I666" s="192" t="s">
        <v>65</v>
      </c>
      <c r="J666" s="192">
        <v>7.9999998211860657E-2</v>
      </c>
      <c r="K666" s="192">
        <f>VLOOKUP($D666,'RBSA Weights'!$A$2:$C$1406,3,FALSE)</f>
        <v>2003.7159999999999</v>
      </c>
    </row>
    <row r="667" spans="1:11">
      <c r="A667" s="192" t="s">
        <v>707</v>
      </c>
      <c r="B667" s="192">
        <v>0.9</v>
      </c>
      <c r="C667" s="192">
        <v>63129</v>
      </c>
      <c r="D667" s="192">
        <v>10005</v>
      </c>
      <c r="E667" s="192">
        <v>1</v>
      </c>
      <c r="F667" s="192">
        <v>1254</v>
      </c>
      <c r="G667" s="192">
        <v>20</v>
      </c>
      <c r="H667" s="192" t="s">
        <v>705</v>
      </c>
      <c r="I667" s="192" t="s">
        <v>65</v>
      </c>
      <c r="J667" s="192">
        <v>7.9999998211860657E-2</v>
      </c>
      <c r="K667" s="192">
        <f>VLOOKUP($D667,'RBSA Weights'!$A$2:$C$1406,3,FALSE)</f>
        <v>1188.027</v>
      </c>
    </row>
    <row r="668" spans="1:11">
      <c r="A668" s="192" t="s">
        <v>707</v>
      </c>
      <c r="B668" s="192">
        <v>0.9</v>
      </c>
      <c r="C668" s="192">
        <v>100323</v>
      </c>
      <c r="D668" s="192">
        <v>13453</v>
      </c>
      <c r="E668" s="192">
        <v>1</v>
      </c>
      <c r="F668" s="192">
        <v>1070</v>
      </c>
      <c r="G668" s="192">
        <v>10</v>
      </c>
      <c r="H668" s="192" t="s">
        <v>705</v>
      </c>
      <c r="I668" s="192" t="s">
        <v>65</v>
      </c>
      <c r="J668" s="192">
        <v>7.9999998211860657E-2</v>
      </c>
      <c r="K668" s="192">
        <f>VLOOKUP($D668,'RBSA Weights'!$A$2:$C$1406,3,FALSE)</f>
        <v>4956.4930000000004</v>
      </c>
    </row>
    <row r="669" spans="1:11">
      <c r="A669" s="192" t="s">
        <v>707</v>
      </c>
      <c r="B669" s="192">
        <v>0.9</v>
      </c>
      <c r="C669" s="192">
        <v>194239</v>
      </c>
      <c r="D669" s="192">
        <v>20081</v>
      </c>
      <c r="E669" s="192">
        <v>1</v>
      </c>
      <c r="F669" s="192">
        <v>1600</v>
      </c>
      <c r="G669" s="192">
        <v>20</v>
      </c>
      <c r="H669" s="192" t="s">
        <v>705</v>
      </c>
      <c r="I669" s="192" t="s">
        <v>65</v>
      </c>
      <c r="J669" s="192">
        <v>7.9999998211860657E-2</v>
      </c>
      <c r="K669" s="192">
        <f>VLOOKUP($D669,'RBSA Weights'!$A$2:$C$1406,3,FALSE)</f>
        <v>2130.886</v>
      </c>
    </row>
    <row r="670" spans="1:11">
      <c r="A670" s="192" t="s">
        <v>707</v>
      </c>
      <c r="B670" s="192">
        <v>0.9</v>
      </c>
      <c r="C670" s="192">
        <v>120202</v>
      </c>
      <c r="D670" s="192">
        <v>22833</v>
      </c>
      <c r="E670" s="192">
        <v>1</v>
      </c>
      <c r="F670" s="192">
        <v>1290</v>
      </c>
      <c r="G670" s="192">
        <v>30</v>
      </c>
      <c r="H670" s="192" t="s">
        <v>697</v>
      </c>
      <c r="I670" s="192" t="s">
        <v>65</v>
      </c>
      <c r="J670" s="192">
        <v>7.9999998211860657E-2</v>
      </c>
      <c r="K670" s="192">
        <f>VLOOKUP($D670,'RBSA Weights'!$A$2:$C$1406,3,FALSE)</f>
        <v>3785.7640000000001</v>
      </c>
    </row>
    <row r="671" spans="1:11">
      <c r="A671" s="192" t="s">
        <v>707</v>
      </c>
      <c r="B671" s="192">
        <v>0.9</v>
      </c>
      <c r="C671" s="192">
        <v>84447</v>
      </c>
      <c r="D671" s="192">
        <v>10079</v>
      </c>
      <c r="E671" s="192">
        <v>1</v>
      </c>
      <c r="F671" s="192">
        <v>1035</v>
      </c>
      <c r="G671" s="192">
        <v>8</v>
      </c>
      <c r="H671" s="192" t="s">
        <v>700</v>
      </c>
      <c r="I671" s="192" t="s">
        <v>65</v>
      </c>
      <c r="J671" s="192">
        <v>7.9999998211860657E-2</v>
      </c>
      <c r="K671" s="192">
        <f>VLOOKUP($D671,'RBSA Weights'!$A$2:$C$1406,3,FALSE)</f>
        <v>1524.7619999999999</v>
      </c>
    </row>
    <row r="672" spans="1:11">
      <c r="A672" s="192" t="s">
        <v>707</v>
      </c>
      <c r="B672" s="192">
        <v>0.9</v>
      </c>
      <c r="C672" s="192">
        <v>66530</v>
      </c>
      <c r="D672" s="192">
        <v>12724</v>
      </c>
      <c r="E672" s="192">
        <v>1</v>
      </c>
      <c r="F672" s="192">
        <v>1689</v>
      </c>
      <c r="G672" s="192">
        <v>12</v>
      </c>
      <c r="H672" s="192" t="s">
        <v>705</v>
      </c>
      <c r="I672" s="192" t="s">
        <v>65</v>
      </c>
      <c r="J672" s="192">
        <v>7.9999998211860657E-2</v>
      </c>
      <c r="K672" s="192">
        <f>VLOOKUP($D672,'RBSA Weights'!$A$2:$C$1406,3,FALSE)</f>
        <v>2003.7159999999999</v>
      </c>
    </row>
    <row r="673" spans="1:11">
      <c r="A673" s="192" t="s">
        <v>707</v>
      </c>
      <c r="B673" s="192">
        <v>0.9</v>
      </c>
      <c r="C673" s="192">
        <v>803222</v>
      </c>
      <c r="D673" s="192">
        <v>11825</v>
      </c>
      <c r="E673" s="192">
        <v>1</v>
      </c>
      <c r="F673" s="192">
        <v>1080</v>
      </c>
      <c r="G673" s="192">
        <v>20</v>
      </c>
      <c r="H673" s="192" t="s">
        <v>702</v>
      </c>
      <c r="I673" s="192" t="s">
        <v>65</v>
      </c>
      <c r="J673" s="192">
        <v>7.9999998211860657E-2</v>
      </c>
      <c r="K673" s="192">
        <f>VLOOKUP($D673,'RBSA Weights'!$A$2:$C$1406,3,FALSE)</f>
        <v>1464.694</v>
      </c>
    </row>
    <row r="674" spans="1:11">
      <c r="A674" s="192" t="s">
        <v>707</v>
      </c>
      <c r="B674" s="192">
        <v>0.9</v>
      </c>
      <c r="C674" s="192">
        <v>109834</v>
      </c>
      <c r="D674" s="192">
        <v>11788</v>
      </c>
      <c r="E674" s="192">
        <v>1</v>
      </c>
      <c r="F674" s="192">
        <v>1200</v>
      </c>
      <c r="G674" s="192">
        <v>8</v>
      </c>
      <c r="H674" s="192" t="s">
        <v>697</v>
      </c>
      <c r="I674" s="192" t="s">
        <v>65</v>
      </c>
      <c r="J674" s="192">
        <v>7.9999998211860657E-2</v>
      </c>
      <c r="K674" s="192">
        <f>VLOOKUP($D674,'RBSA Weights'!$A$2:$C$1406,3,FALSE)</f>
        <v>4956.4930000000004</v>
      </c>
    </row>
    <row r="675" spans="1:11">
      <c r="A675" s="192" t="s">
        <v>707</v>
      </c>
      <c r="B675" s="192">
        <v>0.9</v>
      </c>
      <c r="C675" s="192">
        <v>79615</v>
      </c>
      <c r="D675" s="192">
        <v>12505</v>
      </c>
      <c r="E675" s="192">
        <v>1</v>
      </c>
      <c r="F675" s="192">
        <v>1377</v>
      </c>
      <c r="G675" s="192">
        <v>19</v>
      </c>
      <c r="H675" s="192" t="s">
        <v>700</v>
      </c>
      <c r="I675" s="192" t="s">
        <v>65</v>
      </c>
      <c r="J675" s="192">
        <v>7.9999998211860657E-2</v>
      </c>
      <c r="K675" s="192">
        <f>VLOOKUP($D675,'RBSA Weights'!$A$2:$C$1406,3,FALSE)</f>
        <v>2003.7159999999999</v>
      </c>
    </row>
    <row r="676" spans="1:11">
      <c r="A676" s="192" t="s">
        <v>707</v>
      </c>
      <c r="B676" s="192">
        <v>0.9</v>
      </c>
      <c r="C676" s="192">
        <v>802095</v>
      </c>
      <c r="D676" s="192">
        <v>24119</v>
      </c>
      <c r="E676" s="192">
        <v>1</v>
      </c>
      <c r="F676" s="192">
        <v>1410</v>
      </c>
      <c r="G676" s="192">
        <v>20</v>
      </c>
      <c r="H676" s="192" t="s">
        <v>702</v>
      </c>
      <c r="I676" s="192" t="s">
        <v>766</v>
      </c>
      <c r="J676" s="192">
        <v>7.9999998211860657E-2</v>
      </c>
      <c r="K676" s="192">
        <f>VLOOKUP($D676,'RBSA Weights'!$A$2:$C$1406,3,FALSE)</f>
        <v>2079.9929999999999</v>
      </c>
    </row>
    <row r="677" spans="1:11">
      <c r="A677" s="192" t="s">
        <v>707</v>
      </c>
      <c r="B677" s="192">
        <v>0.9</v>
      </c>
      <c r="C677" s="192">
        <v>218042</v>
      </c>
      <c r="D677" s="192">
        <v>14285</v>
      </c>
      <c r="E677" s="192">
        <v>1</v>
      </c>
      <c r="F677" s="192">
        <v>1035</v>
      </c>
      <c r="G677" s="192">
        <v>20</v>
      </c>
      <c r="H677" s="192" t="s">
        <v>705</v>
      </c>
      <c r="I677" s="192" t="s">
        <v>65</v>
      </c>
      <c r="J677" s="192">
        <v>7.9999998211860657E-2</v>
      </c>
      <c r="K677" s="192">
        <f>VLOOKUP($D677,'RBSA Weights'!$A$2:$C$1406,3,FALSE)</f>
        <v>1524.7619999999999</v>
      </c>
    </row>
    <row r="678" spans="1:11">
      <c r="A678" s="192" t="s">
        <v>707</v>
      </c>
      <c r="B678" s="192">
        <v>0.9</v>
      </c>
      <c r="C678" s="192">
        <v>232819</v>
      </c>
      <c r="D678" s="192">
        <v>22632</v>
      </c>
      <c r="E678" s="192">
        <v>1</v>
      </c>
      <c r="F678" s="192">
        <v>856</v>
      </c>
      <c r="H678" s="192" t="s">
        <v>702</v>
      </c>
      <c r="I678" s="192" t="s">
        <v>767</v>
      </c>
      <c r="J678" s="192">
        <v>7.9999998211860657E-2</v>
      </c>
      <c r="K678" s="192">
        <f>VLOOKUP($D678,'RBSA Weights'!$A$2:$C$1406,3,FALSE)</f>
        <v>1144.6790000000001</v>
      </c>
    </row>
    <row r="679" spans="1:11">
      <c r="A679" s="192" t="s">
        <v>707</v>
      </c>
      <c r="B679" s="192">
        <v>0.9</v>
      </c>
      <c r="C679" s="192">
        <v>206489</v>
      </c>
      <c r="D679" s="192">
        <v>11904</v>
      </c>
      <c r="E679" s="192">
        <v>1</v>
      </c>
      <c r="F679" s="192">
        <v>1230</v>
      </c>
      <c r="G679" s="192">
        <v>10</v>
      </c>
      <c r="H679" s="192" t="s">
        <v>705</v>
      </c>
      <c r="I679" s="192" t="s">
        <v>65</v>
      </c>
      <c r="J679" s="192">
        <v>7.9999998211860657E-2</v>
      </c>
      <c r="K679" s="192">
        <f>VLOOKUP($D679,'RBSA Weights'!$A$2:$C$1406,3,FALSE)</f>
        <v>1464.694</v>
      </c>
    </row>
    <row r="680" spans="1:11">
      <c r="A680" s="192" t="s">
        <v>707</v>
      </c>
      <c r="B680" s="192">
        <v>0.9</v>
      </c>
      <c r="C680" s="192">
        <v>54290</v>
      </c>
      <c r="D680" s="192">
        <v>11499</v>
      </c>
      <c r="E680" s="192">
        <v>1</v>
      </c>
      <c r="F680" s="192">
        <v>600</v>
      </c>
      <c r="G680" s="192">
        <v>50</v>
      </c>
      <c r="H680" s="192" t="s">
        <v>697</v>
      </c>
      <c r="I680" s="192" t="s">
        <v>65</v>
      </c>
      <c r="J680" s="192">
        <v>7.9999998211860657E-2</v>
      </c>
      <c r="K680" s="192">
        <f>VLOOKUP($D680,'RBSA Weights'!$A$2:$C$1406,3,FALSE)</f>
        <v>1188.027</v>
      </c>
    </row>
    <row r="681" spans="1:11">
      <c r="A681" s="192" t="s">
        <v>707</v>
      </c>
      <c r="B681" s="192">
        <v>0.9</v>
      </c>
      <c r="C681" s="192">
        <v>133488</v>
      </c>
      <c r="D681" s="192">
        <v>23122</v>
      </c>
      <c r="E681" s="192">
        <v>1</v>
      </c>
      <c r="F681" s="192">
        <v>1400</v>
      </c>
      <c r="G681" s="192">
        <v>10</v>
      </c>
      <c r="H681" s="192" t="s">
        <v>705</v>
      </c>
      <c r="I681" s="192" t="s">
        <v>65</v>
      </c>
      <c r="J681" s="192">
        <v>7.9999998211860657E-2</v>
      </c>
      <c r="K681" s="192">
        <f>VLOOKUP($D681,'RBSA Weights'!$A$2:$C$1406,3,FALSE)</f>
        <v>2079.9929999999999</v>
      </c>
    </row>
    <row r="682" spans="1:11">
      <c r="A682" s="192" t="s">
        <v>707</v>
      </c>
      <c r="B682" s="192">
        <v>0.9</v>
      </c>
      <c r="C682" s="192">
        <v>124501</v>
      </c>
      <c r="D682" s="192">
        <v>23734</v>
      </c>
      <c r="E682" s="192">
        <v>1</v>
      </c>
      <c r="F682" s="192">
        <v>1100</v>
      </c>
      <c r="G682" s="192">
        <v>20</v>
      </c>
      <c r="H682" s="192" t="s">
        <v>705</v>
      </c>
      <c r="I682" s="192" t="s">
        <v>65</v>
      </c>
      <c r="J682" s="192">
        <v>7.9999998211860657E-2</v>
      </c>
      <c r="K682" s="192">
        <f>VLOOKUP($D682,'RBSA Weights'!$A$2:$C$1406,3,FALSE)</f>
        <v>2079.9929999999999</v>
      </c>
    </row>
    <row r="683" spans="1:11">
      <c r="A683" s="192" t="s">
        <v>707</v>
      </c>
      <c r="B683" s="192">
        <v>0.9</v>
      </c>
      <c r="C683" s="192">
        <v>241402</v>
      </c>
      <c r="D683" s="192">
        <v>10259</v>
      </c>
      <c r="E683" s="192">
        <v>1</v>
      </c>
      <c r="F683" s="192">
        <v>705</v>
      </c>
      <c r="G683" s="192">
        <v>30</v>
      </c>
      <c r="H683" s="192" t="s">
        <v>697</v>
      </c>
      <c r="I683" s="192" t="s">
        <v>65</v>
      </c>
      <c r="J683" s="192">
        <v>7.9999998211860657E-2</v>
      </c>
      <c r="K683" s="192">
        <f>VLOOKUP($D683,'RBSA Weights'!$A$2:$C$1406,3,FALSE)</f>
        <v>1524.7619999999999</v>
      </c>
    </row>
    <row r="684" spans="1:11">
      <c r="A684" s="192" t="s">
        <v>707</v>
      </c>
      <c r="B684" s="192">
        <v>0.9</v>
      </c>
      <c r="C684" s="192">
        <v>783086</v>
      </c>
      <c r="D684" s="192">
        <v>21684</v>
      </c>
      <c r="E684" s="192">
        <v>1</v>
      </c>
      <c r="F684" s="192">
        <v>2211</v>
      </c>
      <c r="G684" s="192">
        <v>20</v>
      </c>
      <c r="H684" s="192" t="s">
        <v>702</v>
      </c>
      <c r="I684" s="192" t="s">
        <v>65</v>
      </c>
      <c r="J684" s="192">
        <v>7.9999998211860657E-2</v>
      </c>
      <c r="K684" s="192">
        <f>VLOOKUP($D684,'RBSA Weights'!$A$2:$C$1406,3,FALSE)</f>
        <v>8264.9449999999997</v>
      </c>
    </row>
    <row r="685" spans="1:11">
      <c r="A685" s="192" t="s">
        <v>707</v>
      </c>
      <c r="B685" s="192">
        <v>0.9</v>
      </c>
      <c r="C685" s="192">
        <v>119477</v>
      </c>
      <c r="D685" s="192">
        <v>23936</v>
      </c>
      <c r="E685" s="192">
        <v>1</v>
      </c>
      <c r="F685" s="192">
        <v>1245</v>
      </c>
      <c r="G685" s="192">
        <v>30</v>
      </c>
      <c r="H685" s="192" t="s">
        <v>702</v>
      </c>
      <c r="I685" s="192" t="s">
        <v>65</v>
      </c>
      <c r="J685" s="192">
        <v>7.9999998211860657E-2</v>
      </c>
      <c r="K685" s="192">
        <f>VLOOKUP($D685,'RBSA Weights'!$A$2:$C$1406,3,FALSE)</f>
        <v>3785.7640000000001</v>
      </c>
    </row>
    <row r="686" spans="1:11">
      <c r="A686" s="192" t="s">
        <v>707</v>
      </c>
      <c r="B686" s="192">
        <v>1</v>
      </c>
      <c r="C686" s="192">
        <v>232931</v>
      </c>
      <c r="D686" s="192">
        <v>13365</v>
      </c>
      <c r="E686" s="192">
        <v>1</v>
      </c>
      <c r="F686" s="192">
        <v>1710</v>
      </c>
      <c r="G686" s="192">
        <v>10</v>
      </c>
      <c r="H686" s="192" t="s">
        <v>705</v>
      </c>
      <c r="I686" s="192" t="s">
        <v>65</v>
      </c>
      <c r="J686" s="192">
        <v>3.5000000149011612E-2</v>
      </c>
      <c r="K686" s="192">
        <f>VLOOKUP($D686,'RBSA Weights'!$A$2:$C$1406,3,FALSE)</f>
        <v>4956.4930000000004</v>
      </c>
    </row>
    <row r="687" spans="1:11">
      <c r="A687" s="192" t="s">
        <v>707</v>
      </c>
      <c r="B687" s="192">
        <v>1</v>
      </c>
      <c r="C687" s="192">
        <v>205517</v>
      </c>
      <c r="D687" s="192">
        <v>23440</v>
      </c>
      <c r="E687" s="192">
        <v>1</v>
      </c>
      <c r="F687" s="192">
        <v>1356</v>
      </c>
      <c r="G687" s="192">
        <v>20</v>
      </c>
      <c r="H687" s="192" t="s">
        <v>705</v>
      </c>
      <c r="I687" s="192" t="s">
        <v>65</v>
      </c>
      <c r="J687" s="192">
        <v>3.5000000149011612E-2</v>
      </c>
      <c r="K687" s="192">
        <f>VLOOKUP($D687,'RBSA Weights'!$A$2:$C$1406,3,FALSE)</f>
        <v>1904.288</v>
      </c>
    </row>
    <row r="688" spans="1:11">
      <c r="A688" s="192" t="s">
        <v>707</v>
      </c>
      <c r="B688" s="192">
        <v>1</v>
      </c>
      <c r="C688" s="192">
        <v>137842</v>
      </c>
      <c r="D688" s="192">
        <v>23824</v>
      </c>
      <c r="E688" s="192">
        <v>1</v>
      </c>
      <c r="F688" s="192">
        <v>1350</v>
      </c>
      <c r="G688" s="192">
        <v>20</v>
      </c>
      <c r="H688" s="192" t="s">
        <v>700</v>
      </c>
      <c r="I688" s="192" t="s">
        <v>65</v>
      </c>
      <c r="J688" s="192">
        <v>3.5000000149011612E-2</v>
      </c>
      <c r="K688" s="192">
        <f>VLOOKUP($D688,'RBSA Weights'!$A$2:$C$1406,3,FALSE)</f>
        <v>1144.6790000000001</v>
      </c>
    </row>
    <row r="689" spans="1:11">
      <c r="A689" s="192" t="s">
        <v>707</v>
      </c>
      <c r="B689" s="192">
        <v>1</v>
      </c>
      <c r="C689" s="192">
        <v>52012</v>
      </c>
      <c r="D689" s="192">
        <v>24332</v>
      </c>
      <c r="E689" s="192">
        <v>1</v>
      </c>
      <c r="F689" s="192">
        <v>320</v>
      </c>
      <c r="G689" s="192">
        <v>0</v>
      </c>
      <c r="H689" s="192" t="s">
        <v>700</v>
      </c>
      <c r="I689" s="192" t="s">
        <v>65</v>
      </c>
      <c r="J689" s="192">
        <v>3.5000000149011612E-2</v>
      </c>
      <c r="K689" s="192">
        <f>VLOOKUP($D689,'RBSA Weights'!$A$2:$C$1406,3,FALSE)</f>
        <v>2130.886</v>
      </c>
    </row>
    <row r="690" spans="1:11">
      <c r="A690" s="192" t="s">
        <v>707</v>
      </c>
      <c r="B690" s="192">
        <v>1</v>
      </c>
      <c r="C690" s="192">
        <v>48493</v>
      </c>
      <c r="D690" s="192">
        <v>11284</v>
      </c>
      <c r="E690" s="192">
        <v>2</v>
      </c>
      <c r="F690" s="192">
        <v>200</v>
      </c>
      <c r="G690" s="192">
        <v>15</v>
      </c>
      <c r="H690" s="192" t="s">
        <v>700</v>
      </c>
      <c r="I690" s="192" t="s">
        <v>768</v>
      </c>
      <c r="J690" s="192">
        <v>3.5000000149011612E-2</v>
      </c>
      <c r="K690" s="192">
        <f>VLOOKUP($D690,'RBSA Weights'!$A$2:$C$1406,3,FALSE)</f>
        <v>1524.7619999999999</v>
      </c>
    </row>
    <row r="691" spans="1:11">
      <c r="A691" s="192" t="s">
        <v>707</v>
      </c>
      <c r="B691" s="192">
        <v>1</v>
      </c>
      <c r="C691" s="192">
        <v>72724</v>
      </c>
      <c r="D691" s="192">
        <v>10843</v>
      </c>
      <c r="E691" s="192">
        <v>1</v>
      </c>
      <c r="F691" s="192">
        <v>1020</v>
      </c>
      <c r="G691" s="192">
        <v>0</v>
      </c>
      <c r="H691" s="192" t="s">
        <v>700</v>
      </c>
      <c r="I691" s="192" t="s">
        <v>65</v>
      </c>
      <c r="J691" s="192">
        <v>3.5000000149011612E-2</v>
      </c>
      <c r="K691" s="192">
        <f>VLOOKUP($D691,'RBSA Weights'!$A$2:$C$1406,3,FALSE)</f>
        <v>2003.7159999999999</v>
      </c>
    </row>
    <row r="692" spans="1:11">
      <c r="A692" s="192" t="s">
        <v>707</v>
      </c>
      <c r="B692" s="192">
        <v>1</v>
      </c>
      <c r="C692" s="192">
        <v>674574</v>
      </c>
      <c r="D692" s="192">
        <v>14508</v>
      </c>
      <c r="E692" s="192">
        <v>1</v>
      </c>
      <c r="F692" s="192">
        <v>919</v>
      </c>
      <c r="G692" s="192">
        <v>22</v>
      </c>
      <c r="H692" s="192" t="s">
        <v>705</v>
      </c>
      <c r="I692" s="192" t="s">
        <v>65</v>
      </c>
      <c r="J692" s="192">
        <v>3.5000000149011612E-2</v>
      </c>
      <c r="K692" s="192">
        <f>VLOOKUP($D692,'RBSA Weights'!$A$2:$C$1406,3,FALSE)</f>
        <v>4956.4930000000004</v>
      </c>
    </row>
    <row r="693" spans="1:11">
      <c r="A693" s="192" t="s">
        <v>707</v>
      </c>
      <c r="B693" s="192">
        <v>1</v>
      </c>
      <c r="C693" s="192">
        <v>84317</v>
      </c>
      <c r="D693" s="192">
        <v>21264</v>
      </c>
      <c r="E693" s="192">
        <v>1</v>
      </c>
      <c r="F693" s="192">
        <v>1304</v>
      </c>
      <c r="G693" s="192">
        <v>49</v>
      </c>
      <c r="H693" s="192" t="s">
        <v>705</v>
      </c>
      <c r="I693" s="192" t="s">
        <v>65</v>
      </c>
      <c r="J693" s="192">
        <v>3.5000000149011612E-2</v>
      </c>
      <c r="K693" s="192">
        <f>VLOOKUP($D693,'RBSA Weights'!$A$2:$C$1406,3,FALSE)</f>
        <v>1904.288</v>
      </c>
    </row>
    <row r="694" spans="1:11">
      <c r="A694" s="192" t="s">
        <v>707</v>
      </c>
      <c r="B694" s="192">
        <v>1</v>
      </c>
      <c r="C694" s="192">
        <v>135842</v>
      </c>
      <c r="D694" s="192">
        <v>10699</v>
      </c>
      <c r="E694" s="192">
        <v>1</v>
      </c>
      <c r="F694" s="192">
        <v>1134</v>
      </c>
      <c r="G694" s="192">
        <v>0</v>
      </c>
      <c r="H694" s="192" t="s">
        <v>705</v>
      </c>
      <c r="I694" s="192" t="s">
        <v>65</v>
      </c>
      <c r="J694" s="192">
        <v>3.5000000149011612E-2</v>
      </c>
      <c r="K694" s="192">
        <f>VLOOKUP($D694,'RBSA Weights'!$A$2:$C$1406,3,FALSE)</f>
        <v>6932.7380000000003</v>
      </c>
    </row>
    <row r="695" spans="1:11">
      <c r="A695" s="192" t="s">
        <v>707</v>
      </c>
      <c r="B695" s="192">
        <v>1</v>
      </c>
      <c r="C695" s="192">
        <v>183732</v>
      </c>
      <c r="D695" s="192">
        <v>24826</v>
      </c>
      <c r="E695" s="192">
        <v>2</v>
      </c>
      <c r="F695" s="192">
        <v>1256</v>
      </c>
      <c r="G695" s="192">
        <v>20</v>
      </c>
      <c r="H695" s="192" t="s">
        <v>700</v>
      </c>
      <c r="I695" s="192" t="s">
        <v>65</v>
      </c>
      <c r="J695" s="192">
        <v>3.5000000149011612E-2</v>
      </c>
      <c r="K695" s="192">
        <f>VLOOKUP($D695,'RBSA Weights'!$A$2:$C$1406,3,FALSE)</f>
        <v>1612.692</v>
      </c>
    </row>
    <row r="696" spans="1:11">
      <c r="A696" s="192" t="s">
        <v>707</v>
      </c>
      <c r="B696" s="192">
        <v>1</v>
      </c>
      <c r="C696" s="192">
        <v>659440</v>
      </c>
      <c r="D696" s="192">
        <v>13903</v>
      </c>
      <c r="E696" s="192">
        <v>1</v>
      </c>
      <c r="F696" s="192">
        <v>2524</v>
      </c>
      <c r="G696" s="192">
        <v>50</v>
      </c>
      <c r="H696" s="192" t="s">
        <v>702</v>
      </c>
      <c r="I696" s="192" t="s">
        <v>65</v>
      </c>
      <c r="J696" s="192">
        <v>3.5000000149011612E-2</v>
      </c>
      <c r="K696" s="192">
        <f>VLOOKUP($D696,'RBSA Weights'!$A$2:$C$1406,3,FALSE)</f>
        <v>6932.7380000000003</v>
      </c>
    </row>
    <row r="697" spans="1:11">
      <c r="A697" s="192" t="s">
        <v>707</v>
      </c>
      <c r="B697" s="192">
        <v>1</v>
      </c>
      <c r="C697" s="192">
        <v>686847</v>
      </c>
      <c r="D697" s="192">
        <v>23084</v>
      </c>
      <c r="E697" s="192">
        <v>1</v>
      </c>
      <c r="F697" s="192">
        <v>2650</v>
      </c>
      <c r="G697" s="192">
        <v>19</v>
      </c>
      <c r="H697" s="192" t="s">
        <v>705</v>
      </c>
      <c r="I697" s="192" t="s">
        <v>65</v>
      </c>
      <c r="J697" s="192">
        <v>3.5000000149011612E-2</v>
      </c>
      <c r="K697" s="192">
        <f>VLOOKUP($D697,'RBSA Weights'!$A$2:$C$1406,3,FALSE)</f>
        <v>2079.9929999999999</v>
      </c>
    </row>
    <row r="698" spans="1:11">
      <c r="A698" s="192" t="s">
        <v>707</v>
      </c>
      <c r="B698" s="192">
        <v>1</v>
      </c>
      <c r="C698" s="192">
        <v>169304</v>
      </c>
      <c r="D698" s="192">
        <v>22583</v>
      </c>
      <c r="E698" s="192">
        <v>1</v>
      </c>
      <c r="F698" s="192">
        <v>1100</v>
      </c>
      <c r="G698" s="192">
        <v>20</v>
      </c>
      <c r="H698" s="192" t="s">
        <v>698</v>
      </c>
      <c r="I698" s="192" t="s">
        <v>65</v>
      </c>
      <c r="J698" s="192">
        <v>3.5000000149011612E-2</v>
      </c>
      <c r="K698" s="192">
        <f>VLOOKUP($D698,'RBSA Weights'!$A$2:$C$1406,3,FALSE)</f>
        <v>2130.886</v>
      </c>
    </row>
    <row r="699" spans="1:11">
      <c r="A699" s="192" t="s">
        <v>707</v>
      </c>
      <c r="B699" s="192">
        <v>1</v>
      </c>
      <c r="C699" s="192">
        <v>675273</v>
      </c>
      <c r="D699" s="192">
        <v>24822</v>
      </c>
      <c r="E699" s="192">
        <v>1</v>
      </c>
      <c r="F699" s="192">
        <v>1120</v>
      </c>
      <c r="G699" s="192">
        <v>20</v>
      </c>
      <c r="H699" s="192" t="s">
        <v>700</v>
      </c>
      <c r="I699" s="192" t="s">
        <v>769</v>
      </c>
      <c r="J699" s="192">
        <v>3.5000000149011612E-2</v>
      </c>
      <c r="K699" s="192">
        <f>VLOOKUP($D699,'RBSA Weights'!$A$2:$C$1406,3,FALSE)</f>
        <v>1144.6790000000001</v>
      </c>
    </row>
    <row r="700" spans="1:11">
      <c r="A700" s="192" t="s">
        <v>707</v>
      </c>
      <c r="B700" s="192">
        <v>1</v>
      </c>
      <c r="C700" s="192">
        <v>197466</v>
      </c>
      <c r="D700" s="192">
        <v>14277</v>
      </c>
      <c r="E700" s="192">
        <v>1</v>
      </c>
      <c r="F700" s="192">
        <v>774</v>
      </c>
      <c r="G700" s="192">
        <v>20</v>
      </c>
      <c r="H700" s="192" t="s">
        <v>699</v>
      </c>
      <c r="I700" s="192" t="s">
        <v>65</v>
      </c>
      <c r="J700" s="192">
        <v>3.5000000149011612E-2</v>
      </c>
      <c r="K700" s="192">
        <f>VLOOKUP($D700,'RBSA Weights'!$A$2:$C$1406,3,FALSE)</f>
        <v>4956.4930000000004</v>
      </c>
    </row>
    <row r="701" spans="1:11">
      <c r="A701" s="192" t="s">
        <v>707</v>
      </c>
      <c r="B701" s="192">
        <v>1</v>
      </c>
      <c r="C701" s="192">
        <v>85929</v>
      </c>
      <c r="D701" s="192">
        <v>13678</v>
      </c>
      <c r="E701" s="192">
        <v>1</v>
      </c>
      <c r="F701" s="192">
        <v>500</v>
      </c>
      <c r="G701" s="192">
        <v>18</v>
      </c>
      <c r="H701" s="192" t="s">
        <v>705</v>
      </c>
      <c r="I701" s="192" t="s">
        <v>65</v>
      </c>
      <c r="J701" s="192">
        <v>3.5000000149011612E-2</v>
      </c>
      <c r="K701" s="192">
        <f>VLOOKUP($D701,'RBSA Weights'!$A$2:$C$1406,3,FALSE)</f>
        <v>2003.7159999999999</v>
      </c>
    </row>
    <row r="702" spans="1:11">
      <c r="A702" s="192" t="s">
        <v>707</v>
      </c>
      <c r="B702" s="192">
        <v>1</v>
      </c>
      <c r="C702" s="192">
        <v>69871</v>
      </c>
      <c r="D702" s="192">
        <v>22966</v>
      </c>
      <c r="E702" s="192">
        <v>1</v>
      </c>
      <c r="F702" s="192">
        <v>1094</v>
      </c>
      <c r="G702" s="192">
        <v>20</v>
      </c>
      <c r="H702" s="192" t="s">
        <v>700</v>
      </c>
      <c r="I702" s="192" t="s">
        <v>65</v>
      </c>
      <c r="J702" s="192">
        <v>3.5000000149011612E-2</v>
      </c>
      <c r="K702" s="192">
        <f>VLOOKUP($D702,'RBSA Weights'!$A$2:$C$1406,3,FALSE)</f>
        <v>2130.886</v>
      </c>
    </row>
    <row r="703" spans="1:11">
      <c r="A703" s="192" t="s">
        <v>707</v>
      </c>
      <c r="B703" s="192">
        <v>1</v>
      </c>
      <c r="C703" s="192">
        <v>97430</v>
      </c>
      <c r="D703" s="192">
        <v>10630</v>
      </c>
      <c r="E703" s="192">
        <v>1</v>
      </c>
      <c r="F703" s="192">
        <v>1242</v>
      </c>
      <c r="G703" s="192">
        <v>15</v>
      </c>
      <c r="H703" s="192" t="s">
        <v>702</v>
      </c>
      <c r="I703" s="192" t="s">
        <v>65</v>
      </c>
      <c r="J703" s="192">
        <v>3.5000000149011612E-2</v>
      </c>
      <c r="K703" s="192">
        <f>VLOOKUP($D703,'RBSA Weights'!$A$2:$C$1406,3,FALSE)</f>
        <v>4956.4930000000004</v>
      </c>
    </row>
    <row r="704" spans="1:11">
      <c r="A704" s="192" t="s">
        <v>707</v>
      </c>
      <c r="B704" s="192">
        <v>1</v>
      </c>
      <c r="C704" s="192">
        <v>223513</v>
      </c>
      <c r="D704" s="192">
        <v>12341</v>
      </c>
      <c r="E704" s="192">
        <v>1</v>
      </c>
      <c r="F704" s="192">
        <v>414</v>
      </c>
      <c r="G704" s="192">
        <v>15</v>
      </c>
      <c r="H704" s="192" t="s">
        <v>702</v>
      </c>
      <c r="I704" s="192" t="s">
        <v>770</v>
      </c>
      <c r="J704" s="192">
        <v>3.5000000149011612E-2</v>
      </c>
      <c r="K704" s="192">
        <f>VLOOKUP($D704,'RBSA Weights'!$A$2:$C$1406,3,FALSE)</f>
        <v>1464.694</v>
      </c>
    </row>
    <row r="705" spans="1:11">
      <c r="A705" s="192" t="s">
        <v>707</v>
      </c>
      <c r="B705" s="192">
        <v>1</v>
      </c>
      <c r="C705" s="192">
        <v>114240</v>
      </c>
      <c r="D705" s="192">
        <v>22108</v>
      </c>
      <c r="E705" s="192">
        <v>1</v>
      </c>
      <c r="F705" s="192">
        <v>920</v>
      </c>
      <c r="G705" s="192">
        <v>50</v>
      </c>
      <c r="H705" s="192" t="s">
        <v>702</v>
      </c>
      <c r="I705" s="192" t="s">
        <v>65</v>
      </c>
      <c r="J705" s="192">
        <v>3.5000000149011612E-2</v>
      </c>
      <c r="K705" s="192">
        <f>VLOOKUP($D705,'RBSA Weights'!$A$2:$C$1406,3,FALSE)</f>
        <v>1612.692</v>
      </c>
    </row>
    <row r="706" spans="1:11">
      <c r="A706" s="192" t="s">
        <v>707</v>
      </c>
      <c r="B706" s="192">
        <v>1</v>
      </c>
      <c r="C706" s="192">
        <v>61958</v>
      </c>
      <c r="D706" s="192">
        <v>10299</v>
      </c>
      <c r="E706" s="192">
        <v>1</v>
      </c>
      <c r="F706" s="192">
        <v>3398</v>
      </c>
      <c r="G706" s="192">
        <v>50</v>
      </c>
      <c r="H706" s="192" t="s">
        <v>704</v>
      </c>
      <c r="I706" s="192" t="s">
        <v>65</v>
      </c>
      <c r="J706" s="192">
        <v>3.5000000149011612E-2</v>
      </c>
      <c r="K706" s="192">
        <f>VLOOKUP($D706,'RBSA Weights'!$A$2:$C$1406,3,FALSE)</f>
        <v>2003.7159999999999</v>
      </c>
    </row>
    <row r="707" spans="1:11">
      <c r="A707" s="192" t="s">
        <v>707</v>
      </c>
      <c r="B707" s="192">
        <v>1</v>
      </c>
      <c r="C707" s="192">
        <v>727707</v>
      </c>
      <c r="D707" s="192">
        <v>21298</v>
      </c>
      <c r="E707" s="192">
        <v>1</v>
      </c>
      <c r="F707" s="192">
        <v>1675</v>
      </c>
      <c r="G707" s="192">
        <v>20</v>
      </c>
      <c r="H707" s="192" t="s">
        <v>705</v>
      </c>
      <c r="I707" s="192" t="s">
        <v>65</v>
      </c>
      <c r="J707" s="192">
        <v>3.5000000149011612E-2</v>
      </c>
      <c r="K707" s="192">
        <f>VLOOKUP($D707,'RBSA Weights'!$A$2:$C$1406,3,FALSE)</f>
        <v>3785.7640000000001</v>
      </c>
    </row>
    <row r="708" spans="1:11">
      <c r="A708" s="192" t="s">
        <v>707</v>
      </c>
      <c r="B708" s="192">
        <v>1</v>
      </c>
      <c r="C708" s="192">
        <v>212739</v>
      </c>
      <c r="D708" s="192">
        <v>11342</v>
      </c>
      <c r="E708" s="192">
        <v>1</v>
      </c>
      <c r="F708" s="192">
        <v>1580</v>
      </c>
      <c r="G708" s="192">
        <v>8</v>
      </c>
      <c r="H708" s="192" t="s">
        <v>697</v>
      </c>
      <c r="I708" s="192" t="s">
        <v>65</v>
      </c>
      <c r="J708" s="192">
        <v>3.5000000149011612E-2</v>
      </c>
      <c r="K708" s="192">
        <f>VLOOKUP($D708,'RBSA Weights'!$A$2:$C$1406,3,FALSE)</f>
        <v>4956.4930000000004</v>
      </c>
    </row>
    <row r="709" spans="1:11">
      <c r="A709" s="192" t="s">
        <v>707</v>
      </c>
      <c r="B709" s="192">
        <v>1</v>
      </c>
      <c r="C709" s="192">
        <v>182372</v>
      </c>
      <c r="D709" s="192">
        <v>13895</v>
      </c>
      <c r="E709" s="192">
        <v>1</v>
      </c>
      <c r="F709" s="192">
        <v>672</v>
      </c>
      <c r="G709" s="192">
        <v>20</v>
      </c>
      <c r="H709" s="192" t="s">
        <v>697</v>
      </c>
      <c r="I709" s="192" t="s">
        <v>65</v>
      </c>
      <c r="J709" s="192">
        <v>3.5000000149011612E-2</v>
      </c>
      <c r="K709" s="192">
        <f>VLOOKUP($D709,'RBSA Weights'!$A$2:$C$1406,3,FALSE)</f>
        <v>1524.7619999999999</v>
      </c>
    </row>
    <row r="710" spans="1:11">
      <c r="A710" s="192" t="s">
        <v>707</v>
      </c>
      <c r="B710" s="192">
        <v>1</v>
      </c>
      <c r="C710" s="192">
        <v>65229</v>
      </c>
      <c r="D710" s="192">
        <v>24816</v>
      </c>
      <c r="E710" s="192">
        <v>1</v>
      </c>
      <c r="F710" s="192">
        <v>1750</v>
      </c>
      <c r="G710" s="192">
        <v>8</v>
      </c>
      <c r="H710" s="192" t="s">
        <v>702</v>
      </c>
      <c r="I710" s="192" t="s">
        <v>65</v>
      </c>
      <c r="J710" s="192">
        <v>3.5000000149011612E-2</v>
      </c>
      <c r="K710" s="192">
        <f>VLOOKUP($D710,'RBSA Weights'!$A$2:$C$1406,3,FALSE)</f>
        <v>2079.9929999999999</v>
      </c>
    </row>
    <row r="711" spans="1:11">
      <c r="A711" s="192" t="s">
        <v>707</v>
      </c>
      <c r="B711" s="192">
        <v>1</v>
      </c>
      <c r="C711" s="192">
        <v>658878</v>
      </c>
      <c r="D711" s="192">
        <v>12207</v>
      </c>
      <c r="E711" s="192">
        <v>1</v>
      </c>
      <c r="F711" s="192">
        <v>646</v>
      </c>
      <c r="G711" s="192">
        <v>10</v>
      </c>
      <c r="H711" s="192" t="s">
        <v>705</v>
      </c>
      <c r="I711" s="192" t="s">
        <v>65</v>
      </c>
      <c r="J711" s="192">
        <v>3.5000000149011612E-2</v>
      </c>
      <c r="K711" s="192">
        <f>VLOOKUP($D711,'RBSA Weights'!$A$2:$C$1406,3,FALSE)</f>
        <v>4956.4930000000004</v>
      </c>
    </row>
    <row r="712" spans="1:11">
      <c r="A712" s="192" t="s">
        <v>707</v>
      </c>
      <c r="B712" s="192">
        <v>1</v>
      </c>
      <c r="C712" s="192">
        <v>230176</v>
      </c>
      <c r="D712" s="192">
        <v>12203</v>
      </c>
      <c r="E712" s="192">
        <v>1</v>
      </c>
      <c r="F712" s="192">
        <v>816</v>
      </c>
      <c r="G712" s="192">
        <v>0</v>
      </c>
      <c r="H712" s="192" t="s">
        <v>697</v>
      </c>
      <c r="I712" s="192" t="s">
        <v>771</v>
      </c>
      <c r="J712" s="192">
        <v>3.5000000149011612E-2</v>
      </c>
      <c r="K712" s="192">
        <f>VLOOKUP($D712,'RBSA Weights'!$A$2:$C$1406,3,FALSE)</f>
        <v>1524.7619999999999</v>
      </c>
    </row>
    <row r="713" spans="1:11">
      <c r="A713" s="192" t="s">
        <v>707</v>
      </c>
      <c r="B713" s="192">
        <v>1</v>
      </c>
      <c r="C713" s="192">
        <v>46204</v>
      </c>
      <c r="D713" s="192">
        <v>12739</v>
      </c>
      <c r="E713" s="192">
        <v>1</v>
      </c>
      <c r="F713" s="192">
        <v>640</v>
      </c>
      <c r="G713" s="192">
        <v>20</v>
      </c>
      <c r="H713" s="192" t="s">
        <v>700</v>
      </c>
      <c r="I713" s="192" t="s">
        <v>65</v>
      </c>
      <c r="J713" s="192">
        <v>3.5000000149011612E-2</v>
      </c>
      <c r="K713" s="192">
        <f>VLOOKUP($D713,'RBSA Weights'!$A$2:$C$1406,3,FALSE)</f>
        <v>1188.027</v>
      </c>
    </row>
    <row r="714" spans="1:11">
      <c r="A714" s="192" t="s">
        <v>707</v>
      </c>
      <c r="B714" s="192">
        <v>1</v>
      </c>
      <c r="C714" s="192">
        <v>115525</v>
      </c>
      <c r="D714" s="192">
        <v>21160</v>
      </c>
      <c r="E714" s="192">
        <v>1</v>
      </c>
      <c r="F714" s="192">
        <v>1330</v>
      </c>
      <c r="G714" s="192">
        <v>20</v>
      </c>
      <c r="H714" s="192" t="s">
        <v>699</v>
      </c>
      <c r="I714" s="192" t="s">
        <v>65</v>
      </c>
      <c r="J714" s="192">
        <v>3.5000000149011612E-2</v>
      </c>
      <c r="K714" s="192">
        <f>VLOOKUP($D714,'RBSA Weights'!$A$2:$C$1406,3,FALSE)</f>
        <v>1925.059</v>
      </c>
    </row>
    <row r="715" spans="1:11">
      <c r="A715" s="192" t="s">
        <v>707</v>
      </c>
      <c r="B715" s="192">
        <v>1</v>
      </c>
      <c r="C715" s="192">
        <v>70544</v>
      </c>
      <c r="D715" s="192">
        <v>21978</v>
      </c>
      <c r="E715" s="192">
        <v>1</v>
      </c>
      <c r="F715" s="192">
        <v>1596</v>
      </c>
      <c r="G715" s="192">
        <v>49</v>
      </c>
      <c r="H715" s="192" t="s">
        <v>697</v>
      </c>
      <c r="I715" s="192" t="s">
        <v>65</v>
      </c>
      <c r="J715" s="192">
        <v>3.5000000149011612E-2</v>
      </c>
      <c r="K715" s="192">
        <f>VLOOKUP($D715,'RBSA Weights'!$A$2:$C$1406,3,FALSE)</f>
        <v>1904.288</v>
      </c>
    </row>
    <row r="716" spans="1:11">
      <c r="A716" s="192" t="s">
        <v>707</v>
      </c>
      <c r="B716" s="192">
        <v>1</v>
      </c>
      <c r="C716" s="192">
        <v>680634</v>
      </c>
      <c r="D716" s="192">
        <v>12507</v>
      </c>
      <c r="E716" s="192">
        <v>2</v>
      </c>
      <c r="F716" s="192">
        <v>256</v>
      </c>
      <c r="G716" s="192">
        <v>20</v>
      </c>
      <c r="H716" s="192" t="s">
        <v>702</v>
      </c>
      <c r="I716" s="192" t="s">
        <v>65</v>
      </c>
      <c r="J716" s="192">
        <v>3.5000000149011612E-2</v>
      </c>
      <c r="K716" s="192">
        <f>VLOOKUP($D716,'RBSA Weights'!$A$2:$C$1406,3,FALSE)</f>
        <v>1524.7619999999999</v>
      </c>
    </row>
    <row r="717" spans="1:11">
      <c r="A717" s="192" t="s">
        <v>707</v>
      </c>
      <c r="B717" s="192">
        <v>1</v>
      </c>
      <c r="C717" s="192">
        <v>73678</v>
      </c>
      <c r="D717" s="192">
        <v>23546</v>
      </c>
      <c r="E717" s="192">
        <v>1</v>
      </c>
      <c r="F717" s="192">
        <v>1125</v>
      </c>
      <c r="G717" s="192">
        <v>20</v>
      </c>
      <c r="H717" s="192" t="s">
        <v>702</v>
      </c>
      <c r="I717" s="192" t="s">
        <v>65</v>
      </c>
      <c r="J717" s="192">
        <v>3.5000000149011612E-2</v>
      </c>
      <c r="K717" s="192">
        <f>VLOOKUP($D717,'RBSA Weights'!$A$2:$C$1406,3,FALSE)</f>
        <v>2079.9929999999999</v>
      </c>
    </row>
    <row r="718" spans="1:11">
      <c r="A718" s="192" t="s">
        <v>707</v>
      </c>
      <c r="B718" s="192">
        <v>1</v>
      </c>
      <c r="C718" s="192">
        <v>95608</v>
      </c>
      <c r="D718" s="192">
        <v>21883</v>
      </c>
      <c r="E718" s="192">
        <v>1</v>
      </c>
      <c r="F718" s="192">
        <v>70</v>
      </c>
      <c r="G718" s="192">
        <v>20</v>
      </c>
      <c r="H718" s="192" t="s">
        <v>705</v>
      </c>
      <c r="I718" s="192" t="s">
        <v>65</v>
      </c>
      <c r="J718" s="192">
        <v>3.5000000149011612E-2</v>
      </c>
      <c r="K718" s="192">
        <f>VLOOKUP($D718,'RBSA Weights'!$A$2:$C$1406,3,FALSE)</f>
        <v>1144.6790000000001</v>
      </c>
    </row>
    <row r="719" spans="1:11">
      <c r="A719" s="192" t="s">
        <v>707</v>
      </c>
      <c r="B719" s="192">
        <v>1</v>
      </c>
      <c r="C719" s="192">
        <v>231450</v>
      </c>
      <c r="D719" s="192">
        <v>21753</v>
      </c>
      <c r="E719" s="192">
        <v>1</v>
      </c>
      <c r="F719" s="192">
        <v>1375</v>
      </c>
      <c r="G719" s="192">
        <v>10</v>
      </c>
      <c r="H719" s="192" t="s">
        <v>700</v>
      </c>
      <c r="I719" s="192" t="s">
        <v>65</v>
      </c>
      <c r="J719" s="192">
        <v>3.5000000149011612E-2</v>
      </c>
      <c r="K719" s="192">
        <f>VLOOKUP($D719,'RBSA Weights'!$A$2:$C$1406,3,FALSE)</f>
        <v>1612.692</v>
      </c>
    </row>
    <row r="720" spans="1:11">
      <c r="A720" s="192" t="s">
        <v>707</v>
      </c>
      <c r="B720" s="192">
        <v>1</v>
      </c>
      <c r="C720" s="192">
        <v>671688</v>
      </c>
      <c r="D720" s="192">
        <v>12226</v>
      </c>
      <c r="E720" s="192">
        <v>1</v>
      </c>
      <c r="F720" s="192">
        <v>1122</v>
      </c>
      <c r="G720" s="192">
        <v>20</v>
      </c>
      <c r="H720" s="192" t="s">
        <v>705</v>
      </c>
      <c r="I720" s="192" t="s">
        <v>772</v>
      </c>
      <c r="J720" s="192">
        <v>3.5000000149011612E-2</v>
      </c>
      <c r="K720" s="192">
        <f>VLOOKUP($D720,'RBSA Weights'!$A$2:$C$1406,3,FALSE)</f>
        <v>6932.7380000000003</v>
      </c>
    </row>
    <row r="721" spans="1:11">
      <c r="A721" s="192" t="s">
        <v>707</v>
      </c>
      <c r="B721" s="192">
        <v>1</v>
      </c>
      <c r="C721" s="192">
        <v>92627</v>
      </c>
      <c r="D721" s="192">
        <v>12569</v>
      </c>
      <c r="E721" s="192">
        <v>1</v>
      </c>
      <c r="F721" s="192">
        <v>981</v>
      </c>
      <c r="G721" s="192">
        <v>20</v>
      </c>
      <c r="H721" s="192" t="s">
        <v>702</v>
      </c>
      <c r="I721" s="192" t="s">
        <v>65</v>
      </c>
      <c r="J721" s="192">
        <v>3.5000000149011612E-2</v>
      </c>
      <c r="K721" s="192">
        <f>VLOOKUP($D721,'RBSA Weights'!$A$2:$C$1406,3,FALSE)</f>
        <v>2003.7159999999999</v>
      </c>
    </row>
    <row r="722" spans="1:11">
      <c r="A722" s="192" t="s">
        <v>707</v>
      </c>
      <c r="B722" s="192">
        <v>1</v>
      </c>
      <c r="C722" s="192">
        <v>95719</v>
      </c>
      <c r="D722" s="192">
        <v>23502</v>
      </c>
      <c r="E722" s="192">
        <v>1</v>
      </c>
      <c r="F722" s="192">
        <v>1188</v>
      </c>
      <c r="G722" s="192">
        <v>20</v>
      </c>
      <c r="H722" s="192" t="s">
        <v>700</v>
      </c>
      <c r="I722" s="192" t="s">
        <v>65</v>
      </c>
      <c r="J722" s="192">
        <v>3.5000000149011612E-2</v>
      </c>
      <c r="K722" s="192">
        <f>VLOOKUP($D722,'RBSA Weights'!$A$2:$C$1406,3,FALSE)</f>
        <v>1144.6790000000001</v>
      </c>
    </row>
    <row r="723" spans="1:11">
      <c r="A723" s="192" t="s">
        <v>707</v>
      </c>
      <c r="B723" s="192">
        <v>1</v>
      </c>
      <c r="C723" s="192">
        <v>182075</v>
      </c>
      <c r="D723" s="192">
        <v>10801</v>
      </c>
      <c r="E723" s="192">
        <v>1</v>
      </c>
      <c r="F723" s="192">
        <v>1725</v>
      </c>
      <c r="G723" s="192">
        <v>0</v>
      </c>
      <c r="H723" s="192" t="s">
        <v>697</v>
      </c>
      <c r="I723" s="192" t="s">
        <v>65</v>
      </c>
      <c r="J723" s="192">
        <v>3.5000000149011612E-2</v>
      </c>
      <c r="K723" s="192">
        <f>VLOOKUP($D723,'RBSA Weights'!$A$2:$C$1406,3,FALSE)</f>
        <v>4956.4930000000004</v>
      </c>
    </row>
    <row r="724" spans="1:11">
      <c r="A724" s="192" t="s">
        <v>707</v>
      </c>
      <c r="B724" s="192">
        <v>1</v>
      </c>
      <c r="C724" s="192">
        <v>174290</v>
      </c>
      <c r="D724" s="192">
        <v>10398</v>
      </c>
      <c r="E724" s="192">
        <v>1</v>
      </c>
      <c r="F724" s="192">
        <v>1920</v>
      </c>
      <c r="G724" s="192">
        <v>20</v>
      </c>
      <c r="H724" s="192" t="s">
        <v>705</v>
      </c>
      <c r="I724" s="192" t="s">
        <v>65</v>
      </c>
      <c r="J724" s="192">
        <v>3.5000000149011612E-2</v>
      </c>
      <c r="K724" s="192">
        <f>VLOOKUP($D724,'RBSA Weights'!$A$2:$C$1406,3,FALSE)</f>
        <v>6932.7380000000003</v>
      </c>
    </row>
    <row r="725" spans="1:11">
      <c r="A725" s="192" t="s">
        <v>707</v>
      </c>
      <c r="B725" s="192">
        <v>1</v>
      </c>
      <c r="C725" s="192">
        <v>126199</v>
      </c>
      <c r="D725" s="192">
        <v>22205</v>
      </c>
      <c r="E725" s="192">
        <v>1</v>
      </c>
      <c r="F725" s="192">
        <v>1388</v>
      </c>
      <c r="H725" s="192" t="s">
        <v>705</v>
      </c>
      <c r="I725" s="192" t="s">
        <v>65</v>
      </c>
      <c r="J725" s="192">
        <v>3.5000000149011612E-2</v>
      </c>
      <c r="K725" s="192">
        <f>VLOOKUP($D725,'RBSA Weights'!$A$2:$C$1406,3,FALSE)</f>
        <v>1904.288</v>
      </c>
    </row>
    <row r="726" spans="1:11">
      <c r="A726" s="192" t="s">
        <v>707</v>
      </c>
      <c r="B726" s="192">
        <v>1</v>
      </c>
      <c r="C726" s="192">
        <v>194676</v>
      </c>
      <c r="D726" s="192">
        <v>21783</v>
      </c>
      <c r="E726" s="192">
        <v>1</v>
      </c>
      <c r="F726" s="192">
        <v>1440</v>
      </c>
      <c r="G726" s="192">
        <v>50</v>
      </c>
      <c r="H726" s="192" t="s">
        <v>698</v>
      </c>
      <c r="I726" s="192" t="s">
        <v>65</v>
      </c>
      <c r="J726" s="192">
        <v>3.5000000149011612E-2</v>
      </c>
      <c r="K726" s="192">
        <f>VLOOKUP($D726,'RBSA Weights'!$A$2:$C$1406,3,FALSE)</f>
        <v>8264.9449999999997</v>
      </c>
    </row>
    <row r="727" spans="1:11">
      <c r="A727" s="192" t="s">
        <v>707</v>
      </c>
      <c r="B727" s="192">
        <v>1</v>
      </c>
      <c r="C727" s="192">
        <v>690172</v>
      </c>
      <c r="D727" s="192">
        <v>22625</v>
      </c>
      <c r="E727" s="192">
        <v>1</v>
      </c>
      <c r="F727" s="192">
        <v>720</v>
      </c>
      <c r="G727" s="192">
        <v>20</v>
      </c>
      <c r="H727" s="192" t="s">
        <v>705</v>
      </c>
      <c r="I727" s="192" t="s">
        <v>65</v>
      </c>
      <c r="J727" s="192">
        <v>3.5000000149011612E-2</v>
      </c>
      <c r="K727" s="192">
        <f>VLOOKUP($D727,'RBSA Weights'!$A$2:$C$1406,3,FALSE)</f>
        <v>1904.288</v>
      </c>
    </row>
    <row r="728" spans="1:11">
      <c r="A728" s="192" t="s">
        <v>707</v>
      </c>
      <c r="B728" s="192">
        <v>1</v>
      </c>
      <c r="C728" s="192">
        <v>183615</v>
      </c>
      <c r="D728" s="192">
        <v>23889</v>
      </c>
      <c r="E728" s="192">
        <v>1</v>
      </c>
      <c r="F728" s="192">
        <v>1366</v>
      </c>
      <c r="G728" s="192">
        <v>12</v>
      </c>
      <c r="H728" s="192" t="s">
        <v>705</v>
      </c>
      <c r="I728" s="192" t="s">
        <v>65</v>
      </c>
      <c r="J728" s="192">
        <v>3.5000000149011612E-2</v>
      </c>
      <c r="K728" s="192">
        <f>VLOOKUP($D728,'RBSA Weights'!$A$2:$C$1406,3,FALSE)</f>
        <v>1612.692</v>
      </c>
    </row>
    <row r="729" spans="1:11">
      <c r="A729" s="192" t="s">
        <v>707</v>
      </c>
      <c r="B729" s="192">
        <v>1</v>
      </c>
      <c r="C729" s="192">
        <v>170528</v>
      </c>
      <c r="D729" s="192">
        <v>21089</v>
      </c>
      <c r="E729" s="192">
        <v>1</v>
      </c>
      <c r="F729" s="192">
        <v>1293</v>
      </c>
      <c r="G729" s="192">
        <v>20</v>
      </c>
      <c r="H729" s="192" t="s">
        <v>705</v>
      </c>
      <c r="I729" s="192" t="s">
        <v>65</v>
      </c>
      <c r="J729" s="192">
        <v>3.5000000149011612E-2</v>
      </c>
      <c r="K729" s="192">
        <f>VLOOKUP($D729,'RBSA Weights'!$A$2:$C$1406,3,FALSE)</f>
        <v>3785.7640000000001</v>
      </c>
    </row>
    <row r="730" spans="1:11">
      <c r="A730" s="192" t="s">
        <v>707</v>
      </c>
      <c r="B730" s="192">
        <v>1</v>
      </c>
      <c r="C730" s="192">
        <v>85929</v>
      </c>
      <c r="D730" s="192">
        <v>13678</v>
      </c>
      <c r="E730" s="192">
        <v>2</v>
      </c>
      <c r="F730" s="192">
        <v>352</v>
      </c>
      <c r="G730" s="192">
        <v>18</v>
      </c>
      <c r="H730" s="192" t="s">
        <v>705</v>
      </c>
      <c r="I730" s="192" t="s">
        <v>65</v>
      </c>
      <c r="J730" s="192">
        <v>3.5000000149011612E-2</v>
      </c>
      <c r="K730" s="192">
        <f>VLOOKUP($D730,'RBSA Weights'!$A$2:$C$1406,3,FALSE)</f>
        <v>2003.7159999999999</v>
      </c>
    </row>
    <row r="731" spans="1:11">
      <c r="A731" s="192" t="s">
        <v>707</v>
      </c>
      <c r="B731" s="192">
        <v>1</v>
      </c>
      <c r="C731" s="192">
        <v>144272</v>
      </c>
      <c r="D731" s="192">
        <v>21494</v>
      </c>
      <c r="E731" s="192">
        <v>1</v>
      </c>
      <c r="F731" s="192">
        <v>482</v>
      </c>
      <c r="G731" s="192">
        <v>13</v>
      </c>
      <c r="H731" s="192" t="s">
        <v>697</v>
      </c>
      <c r="I731" s="192" t="s">
        <v>65</v>
      </c>
      <c r="J731" s="192">
        <v>3.5000000149011612E-2</v>
      </c>
      <c r="K731" s="192">
        <f>VLOOKUP($D731,'RBSA Weights'!$A$2:$C$1406,3,FALSE)</f>
        <v>2130.886</v>
      </c>
    </row>
    <row r="732" spans="1:11">
      <c r="A732" s="192" t="s">
        <v>707</v>
      </c>
      <c r="B732" s="192">
        <v>1</v>
      </c>
      <c r="C732" s="192">
        <v>176112</v>
      </c>
      <c r="D732" s="192">
        <v>23387</v>
      </c>
      <c r="E732" s="192">
        <v>1</v>
      </c>
      <c r="F732" s="192">
        <v>3700</v>
      </c>
      <c r="G732" s="192">
        <v>12</v>
      </c>
      <c r="H732" s="192" t="s">
        <v>697</v>
      </c>
      <c r="I732" s="192" t="s">
        <v>65</v>
      </c>
      <c r="J732" s="192">
        <v>3.5000000149011612E-2</v>
      </c>
      <c r="K732" s="192">
        <f>VLOOKUP($D732,'RBSA Weights'!$A$2:$C$1406,3,FALSE)</f>
        <v>1144.6790000000001</v>
      </c>
    </row>
    <row r="733" spans="1:11">
      <c r="A733" s="192" t="s">
        <v>707</v>
      </c>
      <c r="B733" s="192">
        <v>1</v>
      </c>
      <c r="C733" s="192">
        <v>208073</v>
      </c>
      <c r="D733" s="192">
        <v>12029</v>
      </c>
      <c r="E733" s="192">
        <v>1</v>
      </c>
      <c r="F733" s="192">
        <v>472</v>
      </c>
      <c r="G733" s="192">
        <v>0</v>
      </c>
      <c r="H733" s="192" t="s">
        <v>697</v>
      </c>
      <c r="I733" s="192" t="s">
        <v>65</v>
      </c>
      <c r="J733" s="192">
        <v>3.5000000149011612E-2</v>
      </c>
      <c r="K733" s="192">
        <f>VLOOKUP($D733,'RBSA Weights'!$A$2:$C$1406,3,FALSE)</f>
        <v>1464.694</v>
      </c>
    </row>
    <row r="734" spans="1:11">
      <c r="A734" s="192" t="s">
        <v>707</v>
      </c>
      <c r="B734" s="192">
        <v>1</v>
      </c>
      <c r="C734" s="192">
        <v>42591</v>
      </c>
      <c r="D734" s="192">
        <v>23213</v>
      </c>
      <c r="E734" s="192">
        <v>1</v>
      </c>
      <c r="F734" s="192">
        <v>1440</v>
      </c>
      <c r="G734" s="192">
        <v>0</v>
      </c>
      <c r="H734" s="192" t="s">
        <v>697</v>
      </c>
      <c r="I734" s="192" t="s">
        <v>65</v>
      </c>
      <c r="J734" s="192">
        <v>3.5000000149011612E-2</v>
      </c>
      <c r="K734" s="192">
        <f>VLOOKUP($D734,'RBSA Weights'!$A$2:$C$1406,3,FALSE)</f>
        <v>2130.886</v>
      </c>
    </row>
    <row r="735" spans="1:11">
      <c r="A735" s="192" t="s">
        <v>707</v>
      </c>
      <c r="B735" s="192">
        <v>1</v>
      </c>
      <c r="C735" s="192">
        <v>108898</v>
      </c>
      <c r="D735" s="192">
        <v>11633</v>
      </c>
      <c r="E735" s="192">
        <v>1</v>
      </c>
      <c r="F735" s="192">
        <v>1276</v>
      </c>
      <c r="G735" s="192">
        <v>20</v>
      </c>
      <c r="H735" s="192" t="s">
        <v>704</v>
      </c>
      <c r="I735" s="192" t="s">
        <v>65</v>
      </c>
      <c r="J735" s="192">
        <v>3.5000000149011612E-2</v>
      </c>
      <c r="K735" s="192">
        <f>VLOOKUP($D735,'RBSA Weights'!$A$2:$C$1406,3,FALSE)</f>
        <v>4956.4930000000004</v>
      </c>
    </row>
    <row r="736" spans="1:11">
      <c r="A736" s="192" t="s">
        <v>707</v>
      </c>
      <c r="B736" s="192">
        <v>1</v>
      </c>
      <c r="C736" s="192">
        <v>42236</v>
      </c>
      <c r="D736" s="192">
        <v>20166</v>
      </c>
      <c r="E736" s="192">
        <v>1</v>
      </c>
      <c r="F736" s="192">
        <v>1843</v>
      </c>
      <c r="G736" s="192">
        <v>7</v>
      </c>
      <c r="H736" s="192" t="s">
        <v>697</v>
      </c>
      <c r="I736" s="192" t="s">
        <v>65</v>
      </c>
      <c r="J736" s="192">
        <v>3.5000000149011612E-2</v>
      </c>
      <c r="K736" s="192">
        <f>VLOOKUP($D736,'RBSA Weights'!$A$2:$C$1406,3,FALSE)</f>
        <v>2079.9929999999999</v>
      </c>
    </row>
    <row r="737" spans="1:11">
      <c r="A737" s="192" t="s">
        <v>707</v>
      </c>
      <c r="B737" s="192">
        <v>1</v>
      </c>
      <c r="C737" s="192">
        <v>37353</v>
      </c>
      <c r="D737" s="192">
        <v>23151</v>
      </c>
      <c r="E737" s="192">
        <v>1</v>
      </c>
      <c r="F737" s="192">
        <v>1386</v>
      </c>
      <c r="G737" s="192">
        <v>49</v>
      </c>
      <c r="H737" s="192" t="s">
        <v>705</v>
      </c>
      <c r="I737" s="192" t="s">
        <v>65</v>
      </c>
      <c r="J737" s="192">
        <v>3.5000000149011612E-2</v>
      </c>
      <c r="K737" s="192">
        <f>VLOOKUP($D737,'RBSA Weights'!$A$2:$C$1406,3,FALSE)</f>
        <v>12271.31</v>
      </c>
    </row>
    <row r="738" spans="1:11">
      <c r="A738" s="192" t="s">
        <v>707</v>
      </c>
      <c r="B738" s="192">
        <v>1</v>
      </c>
      <c r="C738" s="192">
        <v>164664</v>
      </c>
      <c r="D738" s="192">
        <v>22993</v>
      </c>
      <c r="E738" s="192">
        <v>1</v>
      </c>
      <c r="F738" s="192">
        <v>1048</v>
      </c>
      <c r="G738" s="192">
        <v>20</v>
      </c>
      <c r="H738" s="192" t="s">
        <v>700</v>
      </c>
      <c r="I738" s="192" t="s">
        <v>65</v>
      </c>
      <c r="J738" s="192">
        <v>3.5000000149011612E-2</v>
      </c>
      <c r="K738" s="192">
        <f>VLOOKUP($D738,'RBSA Weights'!$A$2:$C$1406,3,FALSE)</f>
        <v>8264.9449999999997</v>
      </c>
    </row>
    <row r="739" spans="1:11">
      <c r="A739" s="192" t="s">
        <v>707</v>
      </c>
      <c r="B739" s="192">
        <v>1</v>
      </c>
      <c r="C739" s="192">
        <v>682824</v>
      </c>
      <c r="D739" s="192">
        <v>22938</v>
      </c>
      <c r="E739" s="192">
        <v>1</v>
      </c>
      <c r="F739" s="192">
        <v>1100</v>
      </c>
      <c r="G739" s="192">
        <v>22</v>
      </c>
      <c r="H739" s="192" t="s">
        <v>705</v>
      </c>
      <c r="I739" s="192" t="s">
        <v>65</v>
      </c>
      <c r="J739" s="192">
        <v>3.5000000149011612E-2</v>
      </c>
      <c r="K739" s="192">
        <f>VLOOKUP($D739,'RBSA Weights'!$A$2:$C$1406,3,FALSE)</f>
        <v>12271.31</v>
      </c>
    </row>
    <row r="740" spans="1:11">
      <c r="A740" s="192" t="s">
        <v>707</v>
      </c>
      <c r="B740" s="192">
        <v>1</v>
      </c>
      <c r="C740" s="192">
        <v>33372</v>
      </c>
      <c r="D740" s="192">
        <v>21605</v>
      </c>
      <c r="E740" s="192">
        <v>1</v>
      </c>
      <c r="F740" s="192">
        <v>1200</v>
      </c>
      <c r="G740" s="192">
        <v>0</v>
      </c>
      <c r="H740" s="192" t="s">
        <v>705</v>
      </c>
      <c r="I740" s="192" t="s">
        <v>65</v>
      </c>
      <c r="J740" s="192">
        <v>3.5000000149011612E-2</v>
      </c>
      <c r="K740" s="192">
        <f>VLOOKUP($D740,'RBSA Weights'!$A$2:$C$1406,3,FALSE)</f>
        <v>2130.886</v>
      </c>
    </row>
    <row r="741" spans="1:11">
      <c r="A741" s="192" t="s">
        <v>707</v>
      </c>
      <c r="B741" s="192">
        <v>1</v>
      </c>
      <c r="C741" s="192">
        <v>227331</v>
      </c>
      <c r="D741" s="192">
        <v>12977</v>
      </c>
      <c r="E741" s="192">
        <v>1</v>
      </c>
      <c r="F741" s="192">
        <v>1250</v>
      </c>
      <c r="G741" s="192">
        <v>0</v>
      </c>
      <c r="H741" s="192" t="s">
        <v>705</v>
      </c>
      <c r="I741" s="192" t="s">
        <v>65</v>
      </c>
      <c r="J741" s="192">
        <v>3.5000000149011612E-2</v>
      </c>
      <c r="K741" s="192">
        <f>VLOOKUP($D741,'RBSA Weights'!$A$2:$C$1406,3,FALSE)</f>
        <v>4956.4930000000004</v>
      </c>
    </row>
    <row r="742" spans="1:11">
      <c r="A742" s="192" t="s">
        <v>707</v>
      </c>
      <c r="B742" s="192">
        <v>1</v>
      </c>
      <c r="C742" s="192">
        <v>209711</v>
      </c>
      <c r="D742" s="192">
        <v>13495</v>
      </c>
      <c r="E742" s="192">
        <v>1</v>
      </c>
      <c r="F742" s="192">
        <v>1156</v>
      </c>
      <c r="G742" s="192">
        <v>10</v>
      </c>
      <c r="H742" s="192" t="s">
        <v>705</v>
      </c>
      <c r="I742" s="192" t="s">
        <v>65</v>
      </c>
      <c r="J742" s="192">
        <v>3.5000000149011612E-2</v>
      </c>
      <c r="K742" s="192">
        <f>VLOOKUP($D742,'RBSA Weights'!$A$2:$C$1406,3,FALSE)</f>
        <v>1464.694</v>
      </c>
    </row>
    <row r="743" spans="1:11">
      <c r="A743" s="192" t="s">
        <v>707</v>
      </c>
      <c r="B743" s="192">
        <v>1</v>
      </c>
      <c r="C743" s="192">
        <v>108175</v>
      </c>
      <c r="D743" s="192">
        <v>10425</v>
      </c>
      <c r="E743" s="192">
        <v>1</v>
      </c>
      <c r="F743" s="192">
        <v>2134</v>
      </c>
      <c r="G743" s="192">
        <v>16</v>
      </c>
      <c r="H743" s="192" t="s">
        <v>705</v>
      </c>
      <c r="I743" s="192" t="s">
        <v>65</v>
      </c>
      <c r="J743" s="192">
        <v>3.5000000149011612E-2</v>
      </c>
      <c r="K743" s="192">
        <f>VLOOKUP($D743,'RBSA Weights'!$A$2:$C$1406,3,FALSE)</f>
        <v>4956.4930000000004</v>
      </c>
    </row>
    <row r="744" spans="1:11">
      <c r="A744" s="192" t="s">
        <v>707</v>
      </c>
      <c r="B744" s="192">
        <v>1</v>
      </c>
      <c r="C744" s="192">
        <v>119716</v>
      </c>
      <c r="D744" s="192">
        <v>10658</v>
      </c>
      <c r="E744" s="192">
        <v>1</v>
      </c>
      <c r="F744" s="192">
        <v>750</v>
      </c>
      <c r="G744" s="192">
        <v>0</v>
      </c>
      <c r="H744" s="192" t="s">
        <v>702</v>
      </c>
      <c r="I744" s="192" t="s">
        <v>65</v>
      </c>
      <c r="J744" s="192">
        <v>3.5000000149011612E-2</v>
      </c>
      <c r="K744" s="192">
        <f>VLOOKUP($D744,'RBSA Weights'!$A$2:$C$1406,3,FALSE)</f>
        <v>1464.694</v>
      </c>
    </row>
    <row r="745" spans="1:11">
      <c r="A745" s="192" t="s">
        <v>707</v>
      </c>
      <c r="B745" s="192">
        <v>1</v>
      </c>
      <c r="C745" s="192">
        <v>77784</v>
      </c>
      <c r="D745" s="192">
        <v>22570</v>
      </c>
      <c r="E745" s="192">
        <v>1</v>
      </c>
      <c r="F745" s="192">
        <v>1315</v>
      </c>
      <c r="G745" s="192">
        <v>20</v>
      </c>
      <c r="H745" s="192" t="s">
        <v>700</v>
      </c>
      <c r="I745" s="192" t="s">
        <v>65</v>
      </c>
      <c r="J745" s="192">
        <v>3.5000000149011612E-2</v>
      </c>
      <c r="K745" s="192">
        <f>VLOOKUP($D745,'RBSA Weights'!$A$2:$C$1406,3,FALSE)</f>
        <v>1144.6790000000001</v>
      </c>
    </row>
    <row r="746" spans="1:11">
      <c r="A746" s="192" t="s">
        <v>707</v>
      </c>
      <c r="B746" s="192">
        <v>1</v>
      </c>
      <c r="C746" s="192">
        <v>186618</v>
      </c>
      <c r="D746" s="192">
        <v>20825</v>
      </c>
      <c r="E746" s="192">
        <v>1</v>
      </c>
      <c r="F746" s="192">
        <v>798</v>
      </c>
      <c r="G746" s="192">
        <v>49</v>
      </c>
      <c r="H746" s="192" t="s">
        <v>705</v>
      </c>
      <c r="I746" s="192" t="s">
        <v>65</v>
      </c>
      <c r="J746" s="192">
        <v>3.5000000149011612E-2</v>
      </c>
      <c r="K746" s="192">
        <f>VLOOKUP($D746,'RBSA Weights'!$A$2:$C$1406,3,FALSE)</f>
        <v>2079.9929999999999</v>
      </c>
    </row>
    <row r="747" spans="1:11">
      <c r="A747" s="192" t="s">
        <v>707</v>
      </c>
      <c r="B747" s="192">
        <v>1</v>
      </c>
      <c r="C747" s="192">
        <v>174626</v>
      </c>
      <c r="D747" s="192">
        <v>22175</v>
      </c>
      <c r="E747" s="192">
        <v>1</v>
      </c>
      <c r="F747" s="192">
        <v>1946</v>
      </c>
      <c r="G747" s="192">
        <v>20</v>
      </c>
      <c r="H747" s="192" t="s">
        <v>705</v>
      </c>
      <c r="I747" s="192" t="s">
        <v>65</v>
      </c>
      <c r="J747" s="192">
        <v>3.5000000149011612E-2</v>
      </c>
      <c r="K747" s="192">
        <f>VLOOKUP($D747,'RBSA Weights'!$A$2:$C$1406,3,FALSE)</f>
        <v>2079.9929999999999</v>
      </c>
    </row>
    <row r="748" spans="1:11">
      <c r="A748" s="192" t="s">
        <v>707</v>
      </c>
      <c r="B748" s="192">
        <v>1</v>
      </c>
      <c r="C748" s="192">
        <v>87206</v>
      </c>
      <c r="D748" s="192">
        <v>10144</v>
      </c>
      <c r="E748" s="192">
        <v>1</v>
      </c>
      <c r="F748" s="192">
        <v>1150</v>
      </c>
      <c r="G748" s="192">
        <v>8</v>
      </c>
      <c r="H748" s="192" t="s">
        <v>702</v>
      </c>
      <c r="I748" s="192" t="s">
        <v>65</v>
      </c>
      <c r="J748" s="192">
        <v>3.5000000149011612E-2</v>
      </c>
      <c r="K748" s="192">
        <f>VLOOKUP($D748,'RBSA Weights'!$A$2:$C$1406,3,FALSE)</f>
        <v>2003.7159999999999</v>
      </c>
    </row>
    <row r="749" spans="1:11">
      <c r="A749" s="192" t="s">
        <v>707</v>
      </c>
      <c r="B749" s="192">
        <v>1</v>
      </c>
      <c r="C749" s="192">
        <v>133095</v>
      </c>
      <c r="D749" s="192">
        <v>20078</v>
      </c>
      <c r="E749" s="192">
        <v>1</v>
      </c>
      <c r="F749" s="192">
        <v>1287</v>
      </c>
      <c r="G749" s="192">
        <v>20</v>
      </c>
      <c r="H749" s="192" t="s">
        <v>702</v>
      </c>
      <c r="I749" s="192" t="s">
        <v>65</v>
      </c>
      <c r="J749" s="192">
        <v>3.5000000149011612E-2</v>
      </c>
      <c r="K749" s="192">
        <f>VLOOKUP($D749,'RBSA Weights'!$A$2:$C$1406,3,FALSE)</f>
        <v>1144.6790000000001</v>
      </c>
    </row>
    <row r="750" spans="1:11">
      <c r="A750" s="192" t="s">
        <v>707</v>
      </c>
      <c r="B750" s="192">
        <v>1</v>
      </c>
      <c r="C750" s="192">
        <v>111247</v>
      </c>
      <c r="D750" s="192">
        <v>22404</v>
      </c>
      <c r="E750" s="192">
        <v>1</v>
      </c>
      <c r="F750" s="192">
        <v>825</v>
      </c>
      <c r="G750" s="192">
        <v>10</v>
      </c>
      <c r="H750" s="192" t="s">
        <v>705</v>
      </c>
      <c r="I750" s="192" t="s">
        <v>65</v>
      </c>
      <c r="J750" s="192">
        <v>3.5000000149011612E-2</v>
      </c>
      <c r="K750" s="192">
        <f>VLOOKUP($D750,'RBSA Weights'!$A$2:$C$1406,3,FALSE)</f>
        <v>2079.9929999999999</v>
      </c>
    </row>
    <row r="751" spans="1:11">
      <c r="A751" s="192" t="s">
        <v>707</v>
      </c>
      <c r="B751" s="192">
        <v>1</v>
      </c>
      <c r="C751" s="192">
        <v>198810</v>
      </c>
      <c r="D751" s="192">
        <v>11967</v>
      </c>
      <c r="E751" s="192">
        <v>1</v>
      </c>
      <c r="F751" s="192">
        <v>1624</v>
      </c>
      <c r="G751" s="192">
        <v>12</v>
      </c>
      <c r="H751" s="192" t="s">
        <v>702</v>
      </c>
      <c r="I751" s="192" t="s">
        <v>65</v>
      </c>
      <c r="J751" s="192">
        <v>3.5000000149011612E-2</v>
      </c>
      <c r="K751" s="192">
        <f>VLOOKUP($D751,'RBSA Weights'!$A$2:$C$1406,3,FALSE)</f>
        <v>6932.7380000000003</v>
      </c>
    </row>
    <row r="752" spans="1:11">
      <c r="A752" s="192" t="s">
        <v>707</v>
      </c>
      <c r="B752" s="192">
        <v>1</v>
      </c>
      <c r="C752" s="192">
        <v>68641</v>
      </c>
      <c r="D752" s="192">
        <v>23721</v>
      </c>
      <c r="E752" s="192">
        <v>1</v>
      </c>
      <c r="F752" s="192">
        <v>1053</v>
      </c>
      <c r="G752" s="192">
        <v>20</v>
      </c>
      <c r="H752" s="192" t="s">
        <v>700</v>
      </c>
      <c r="I752" s="192" t="s">
        <v>65</v>
      </c>
      <c r="J752" s="192">
        <v>3.5000000149011612E-2</v>
      </c>
      <c r="K752" s="192">
        <f>VLOOKUP($D752,'RBSA Weights'!$A$2:$C$1406,3,FALSE)</f>
        <v>1144.6790000000001</v>
      </c>
    </row>
    <row r="753" spans="1:11">
      <c r="A753" s="192" t="s">
        <v>707</v>
      </c>
      <c r="B753" s="192">
        <v>1</v>
      </c>
      <c r="C753" s="192">
        <v>106218</v>
      </c>
      <c r="D753" s="192">
        <v>24342</v>
      </c>
      <c r="E753" s="192">
        <v>1</v>
      </c>
      <c r="F753" s="192">
        <v>1025</v>
      </c>
      <c r="G753" s="192">
        <v>23</v>
      </c>
      <c r="H753" s="192" t="s">
        <v>700</v>
      </c>
      <c r="I753" s="192" t="s">
        <v>65</v>
      </c>
      <c r="J753" s="192">
        <v>3.5000000149011612E-2</v>
      </c>
      <c r="K753" s="192">
        <f>VLOOKUP($D753,'RBSA Weights'!$A$2:$C$1406,3,FALSE)</f>
        <v>2130.886</v>
      </c>
    </row>
    <row r="754" spans="1:11">
      <c r="A754" s="192" t="s">
        <v>707</v>
      </c>
      <c r="B754" s="192">
        <v>1</v>
      </c>
      <c r="C754" s="192">
        <v>86521</v>
      </c>
      <c r="D754" s="192">
        <v>12114</v>
      </c>
      <c r="E754" s="192">
        <v>1</v>
      </c>
      <c r="F754" s="192">
        <v>1316</v>
      </c>
      <c r="G754" s="192">
        <v>22</v>
      </c>
      <c r="H754" s="192" t="s">
        <v>705</v>
      </c>
      <c r="I754" s="192" t="s">
        <v>773</v>
      </c>
      <c r="J754" s="192">
        <v>3.5000000149011612E-2</v>
      </c>
      <c r="K754" s="192">
        <f>VLOOKUP($D754,'RBSA Weights'!$A$2:$C$1406,3,FALSE)</f>
        <v>2003.7159999999999</v>
      </c>
    </row>
    <row r="755" spans="1:11">
      <c r="A755" s="192" t="s">
        <v>707</v>
      </c>
      <c r="B755" s="192">
        <v>1</v>
      </c>
      <c r="C755" s="192">
        <v>203966</v>
      </c>
      <c r="D755" s="192">
        <v>14140</v>
      </c>
      <c r="E755" s="192">
        <v>1</v>
      </c>
      <c r="F755" s="192">
        <v>1182</v>
      </c>
      <c r="G755" s="192">
        <v>0</v>
      </c>
      <c r="H755" s="192" t="s">
        <v>700</v>
      </c>
      <c r="I755" s="192" t="s">
        <v>65</v>
      </c>
      <c r="J755" s="192">
        <v>3.5000000149011612E-2</v>
      </c>
      <c r="K755" s="192">
        <f>VLOOKUP($D755,'RBSA Weights'!$A$2:$C$1406,3,FALSE)</f>
        <v>2003.7159999999999</v>
      </c>
    </row>
    <row r="756" spans="1:11">
      <c r="A756" s="192" t="s">
        <v>707</v>
      </c>
      <c r="B756" s="192">
        <v>1</v>
      </c>
      <c r="C756" s="192">
        <v>220590</v>
      </c>
      <c r="D756" s="192">
        <v>22475</v>
      </c>
      <c r="E756" s="192">
        <v>1</v>
      </c>
      <c r="F756" s="192">
        <v>1250</v>
      </c>
      <c r="G756" s="192">
        <v>15</v>
      </c>
      <c r="H756" s="192" t="s">
        <v>697</v>
      </c>
      <c r="I756" s="192" t="s">
        <v>65</v>
      </c>
      <c r="J756" s="192">
        <v>3.5000000149011612E-2</v>
      </c>
      <c r="K756" s="192">
        <f>VLOOKUP($D756,'RBSA Weights'!$A$2:$C$1406,3,FALSE)</f>
        <v>2130.886</v>
      </c>
    </row>
    <row r="757" spans="1:11">
      <c r="A757" s="192" t="s">
        <v>707</v>
      </c>
      <c r="B757" s="192">
        <v>1</v>
      </c>
      <c r="C757" s="192">
        <v>153592</v>
      </c>
      <c r="D757" s="192">
        <v>24221</v>
      </c>
      <c r="E757" s="192">
        <v>1</v>
      </c>
      <c r="F757" s="192">
        <v>2060</v>
      </c>
      <c r="G757" s="192">
        <v>20</v>
      </c>
      <c r="H757" s="192" t="s">
        <v>705</v>
      </c>
      <c r="I757" s="192" t="s">
        <v>65</v>
      </c>
      <c r="J757" s="192">
        <v>3.5000000149011612E-2</v>
      </c>
      <c r="K757" s="192">
        <f>VLOOKUP($D757,'RBSA Weights'!$A$2:$C$1406,3,FALSE)</f>
        <v>1192.4649999999999</v>
      </c>
    </row>
    <row r="758" spans="1:11">
      <c r="A758" s="192" t="s">
        <v>707</v>
      </c>
      <c r="B758" s="192">
        <v>1</v>
      </c>
      <c r="C758" s="192">
        <v>202325</v>
      </c>
      <c r="D758" s="192">
        <v>11835</v>
      </c>
      <c r="E758" s="192">
        <v>1</v>
      </c>
      <c r="F758" s="192">
        <v>414</v>
      </c>
      <c r="G758" s="192">
        <v>0</v>
      </c>
      <c r="H758" s="192" t="s">
        <v>697</v>
      </c>
      <c r="I758" s="192" t="s">
        <v>65</v>
      </c>
      <c r="J758" s="192">
        <v>3.5000000149011612E-2</v>
      </c>
      <c r="K758" s="192">
        <f>VLOOKUP($D758,'RBSA Weights'!$A$2:$C$1406,3,FALSE)</f>
        <v>1464.694</v>
      </c>
    </row>
    <row r="759" spans="1:11">
      <c r="A759" s="192" t="s">
        <v>707</v>
      </c>
      <c r="B759" s="192">
        <v>1</v>
      </c>
      <c r="C759" s="192">
        <v>723059</v>
      </c>
      <c r="D759" s="192">
        <v>21355</v>
      </c>
      <c r="E759" s="192">
        <v>1</v>
      </c>
      <c r="F759" s="192">
        <v>1040</v>
      </c>
      <c r="G759" s="192">
        <v>20</v>
      </c>
      <c r="H759" s="192" t="s">
        <v>705</v>
      </c>
      <c r="I759" s="192" t="s">
        <v>65</v>
      </c>
      <c r="J759" s="192">
        <v>3.5000000149011612E-2</v>
      </c>
      <c r="K759" s="192">
        <f>VLOOKUP($D759,'RBSA Weights'!$A$2:$C$1406,3,FALSE)</f>
        <v>8264.9449999999997</v>
      </c>
    </row>
    <row r="760" spans="1:11">
      <c r="A760" s="192" t="s">
        <v>707</v>
      </c>
      <c r="B760" s="192">
        <v>1</v>
      </c>
      <c r="C760" s="192">
        <v>91974</v>
      </c>
      <c r="D760" s="192">
        <v>20936</v>
      </c>
      <c r="E760" s="192">
        <v>1</v>
      </c>
      <c r="F760" s="192">
        <v>1874</v>
      </c>
      <c r="G760" s="192">
        <v>49</v>
      </c>
      <c r="H760" s="192" t="s">
        <v>699</v>
      </c>
      <c r="I760" s="192" t="s">
        <v>65</v>
      </c>
      <c r="J760" s="192">
        <v>3.5000000149011612E-2</v>
      </c>
      <c r="K760" s="192">
        <f>VLOOKUP($D760,'RBSA Weights'!$A$2:$C$1406,3,FALSE)</f>
        <v>1904.288</v>
      </c>
    </row>
    <row r="761" spans="1:11">
      <c r="A761" s="192" t="s">
        <v>707</v>
      </c>
      <c r="B761" s="192">
        <v>1</v>
      </c>
      <c r="C761" s="192">
        <v>197736</v>
      </c>
      <c r="D761" s="192">
        <v>14273</v>
      </c>
      <c r="E761" s="192">
        <v>1</v>
      </c>
      <c r="F761" s="192">
        <v>727</v>
      </c>
      <c r="G761" s="192">
        <v>20</v>
      </c>
      <c r="H761" s="192" t="s">
        <v>705</v>
      </c>
      <c r="I761" s="192" t="s">
        <v>65</v>
      </c>
      <c r="J761" s="192">
        <v>3.5000000149011612E-2</v>
      </c>
      <c r="K761" s="192">
        <f>VLOOKUP($D761,'RBSA Weights'!$A$2:$C$1406,3,FALSE)</f>
        <v>4956.4930000000004</v>
      </c>
    </row>
    <row r="762" spans="1:11">
      <c r="A762" s="192" t="s">
        <v>707</v>
      </c>
      <c r="B762" s="192">
        <v>1</v>
      </c>
      <c r="C762" s="192">
        <v>81373</v>
      </c>
      <c r="D762" s="192">
        <v>22897</v>
      </c>
      <c r="E762" s="192">
        <v>1</v>
      </c>
      <c r="F762" s="192">
        <v>1440</v>
      </c>
      <c r="G762" s="192">
        <v>10</v>
      </c>
      <c r="H762" s="192" t="s">
        <v>705</v>
      </c>
      <c r="I762" s="192" t="s">
        <v>65</v>
      </c>
      <c r="J762" s="192">
        <v>3.5000000149011612E-2</v>
      </c>
      <c r="K762" s="192">
        <f>VLOOKUP($D762,'RBSA Weights'!$A$2:$C$1406,3,FALSE)</f>
        <v>2079.9929999999999</v>
      </c>
    </row>
    <row r="763" spans="1:11">
      <c r="A763" s="192" t="s">
        <v>707</v>
      </c>
      <c r="B763" s="192">
        <v>1</v>
      </c>
      <c r="C763" s="192">
        <v>165515</v>
      </c>
      <c r="D763" s="192">
        <v>24540</v>
      </c>
      <c r="E763" s="192">
        <v>1</v>
      </c>
      <c r="F763" s="192">
        <v>934</v>
      </c>
      <c r="G763" s="192">
        <v>50</v>
      </c>
      <c r="H763" s="192" t="s">
        <v>700</v>
      </c>
      <c r="I763" s="192" t="s">
        <v>65</v>
      </c>
      <c r="J763" s="192">
        <v>3.5000000149011612E-2</v>
      </c>
      <c r="K763" s="192">
        <f>VLOOKUP($D763,'RBSA Weights'!$A$2:$C$1406,3,FALSE)</f>
        <v>1612.692</v>
      </c>
    </row>
    <row r="764" spans="1:11">
      <c r="A764" s="192" t="s">
        <v>707</v>
      </c>
      <c r="B764" s="192">
        <v>1</v>
      </c>
      <c r="C764" s="192">
        <v>32891</v>
      </c>
      <c r="D764" s="192">
        <v>10852</v>
      </c>
      <c r="E764" s="192">
        <v>1</v>
      </c>
      <c r="F764" s="192">
        <v>800</v>
      </c>
      <c r="G764" s="192">
        <v>50</v>
      </c>
      <c r="H764" s="192" t="s">
        <v>697</v>
      </c>
      <c r="I764" s="192" t="s">
        <v>65</v>
      </c>
      <c r="J764" s="192">
        <v>3.5000000149011612E-2</v>
      </c>
      <c r="K764" s="192">
        <f>VLOOKUP($D764,'RBSA Weights'!$A$2:$C$1406,3,FALSE)</f>
        <v>1188.027</v>
      </c>
    </row>
    <row r="765" spans="1:11">
      <c r="A765" s="192" t="s">
        <v>707</v>
      </c>
      <c r="B765" s="192">
        <v>1</v>
      </c>
      <c r="C765" s="192">
        <v>62173</v>
      </c>
      <c r="D765" s="192">
        <v>12759</v>
      </c>
      <c r="E765" s="192">
        <v>1</v>
      </c>
      <c r="F765" s="192">
        <v>1450</v>
      </c>
      <c r="G765" s="192">
        <v>0</v>
      </c>
      <c r="H765" s="192" t="s">
        <v>697</v>
      </c>
      <c r="I765" s="192" t="s">
        <v>65</v>
      </c>
      <c r="J765" s="192">
        <v>3.5000000149011612E-2</v>
      </c>
      <c r="K765" s="192">
        <f>VLOOKUP($D765,'RBSA Weights'!$A$2:$C$1406,3,FALSE)</f>
        <v>2003.7159999999999</v>
      </c>
    </row>
    <row r="766" spans="1:11">
      <c r="A766" s="192" t="s">
        <v>707</v>
      </c>
      <c r="B766" s="192">
        <v>1</v>
      </c>
      <c r="C766" s="192">
        <v>199596</v>
      </c>
      <c r="D766" s="192">
        <v>13829</v>
      </c>
      <c r="E766" s="192">
        <v>1</v>
      </c>
      <c r="F766" s="192">
        <v>1240</v>
      </c>
      <c r="G766" s="192">
        <v>10</v>
      </c>
      <c r="H766" s="192" t="s">
        <v>702</v>
      </c>
      <c r="I766" s="192" t="s">
        <v>65</v>
      </c>
      <c r="J766" s="192">
        <v>3.5000000149011612E-2</v>
      </c>
      <c r="K766" s="192">
        <f>VLOOKUP($D766,'RBSA Weights'!$A$2:$C$1406,3,FALSE)</f>
        <v>1464.694</v>
      </c>
    </row>
    <row r="767" spans="1:11">
      <c r="A767" s="192" t="s">
        <v>707</v>
      </c>
      <c r="B767" s="192">
        <v>1</v>
      </c>
      <c r="C767" s="192">
        <v>182210</v>
      </c>
      <c r="D767" s="192">
        <v>14015</v>
      </c>
      <c r="E767" s="192">
        <v>1</v>
      </c>
      <c r="F767" s="192">
        <v>1685</v>
      </c>
      <c r="G767" s="192">
        <v>22</v>
      </c>
      <c r="H767" s="192" t="s">
        <v>705</v>
      </c>
      <c r="I767" s="192" t="s">
        <v>65</v>
      </c>
      <c r="J767" s="192">
        <v>3.5000000149011612E-2</v>
      </c>
      <c r="K767" s="192">
        <f>VLOOKUP($D767,'RBSA Weights'!$A$2:$C$1406,3,FALSE)</f>
        <v>4956.4930000000004</v>
      </c>
    </row>
    <row r="768" spans="1:11">
      <c r="A768" s="192" t="s">
        <v>707</v>
      </c>
      <c r="B768" s="192">
        <v>1</v>
      </c>
      <c r="C768" s="192">
        <v>47190</v>
      </c>
      <c r="D768" s="192">
        <v>11653</v>
      </c>
      <c r="E768" s="192">
        <v>1</v>
      </c>
      <c r="F768" s="192">
        <v>360</v>
      </c>
      <c r="G768" s="192">
        <v>0</v>
      </c>
      <c r="H768" s="192" t="s">
        <v>700</v>
      </c>
      <c r="I768" s="192" t="s">
        <v>65</v>
      </c>
      <c r="J768" s="192">
        <v>3.5000000149011612E-2</v>
      </c>
      <c r="K768" s="192">
        <f>VLOOKUP($D768,'RBSA Weights'!$A$2:$C$1406,3,FALSE)</f>
        <v>1524.7619999999999</v>
      </c>
    </row>
    <row r="769" spans="1:11">
      <c r="A769" s="192" t="s">
        <v>707</v>
      </c>
      <c r="B769" s="192">
        <v>1</v>
      </c>
      <c r="C769" s="192">
        <v>77196</v>
      </c>
      <c r="D769" s="192">
        <v>22319</v>
      </c>
      <c r="E769" s="192">
        <v>1</v>
      </c>
      <c r="F769" s="192">
        <v>1364</v>
      </c>
      <c r="G769" s="192">
        <v>20</v>
      </c>
      <c r="H769" s="192" t="s">
        <v>705</v>
      </c>
      <c r="I769" s="192" t="s">
        <v>65</v>
      </c>
      <c r="J769" s="192">
        <v>3.5000000149011612E-2</v>
      </c>
      <c r="K769" s="192">
        <f>VLOOKUP($D769,'RBSA Weights'!$A$2:$C$1406,3,FALSE)</f>
        <v>3785.7640000000001</v>
      </c>
    </row>
    <row r="770" spans="1:11">
      <c r="A770" s="192" t="s">
        <v>707</v>
      </c>
      <c r="B770" s="192">
        <v>1</v>
      </c>
      <c r="C770" s="192">
        <v>659853</v>
      </c>
      <c r="D770" s="192">
        <v>11762</v>
      </c>
      <c r="E770" s="192">
        <v>1</v>
      </c>
      <c r="F770" s="192">
        <v>644</v>
      </c>
      <c r="G770" s="192">
        <v>18</v>
      </c>
      <c r="H770" s="192" t="s">
        <v>705</v>
      </c>
      <c r="I770" s="192" t="s">
        <v>774</v>
      </c>
      <c r="J770" s="192">
        <v>3.5000000149011612E-2</v>
      </c>
      <c r="K770" s="192">
        <f>VLOOKUP($D770,'RBSA Weights'!$A$2:$C$1406,3,FALSE)</f>
        <v>1464.694</v>
      </c>
    </row>
    <row r="771" spans="1:11">
      <c r="A771" s="192" t="s">
        <v>707</v>
      </c>
      <c r="B771" s="192">
        <v>1</v>
      </c>
      <c r="C771" s="192">
        <v>31577</v>
      </c>
      <c r="D771" s="192">
        <v>12153</v>
      </c>
      <c r="E771" s="192">
        <v>1</v>
      </c>
      <c r="F771" s="192">
        <v>736</v>
      </c>
      <c r="G771" s="192">
        <v>20</v>
      </c>
      <c r="H771" s="192" t="s">
        <v>705</v>
      </c>
      <c r="I771" s="192" t="s">
        <v>65</v>
      </c>
      <c r="J771" s="192">
        <v>3.5000000149011612E-2</v>
      </c>
      <c r="K771" s="192">
        <f>VLOOKUP($D771,'RBSA Weights'!$A$2:$C$1406,3,FALSE)</f>
        <v>1524.7619999999999</v>
      </c>
    </row>
    <row r="772" spans="1:11">
      <c r="A772" s="192" t="s">
        <v>707</v>
      </c>
      <c r="B772" s="192">
        <v>1</v>
      </c>
      <c r="C772" s="192">
        <v>68905</v>
      </c>
      <c r="D772" s="192">
        <v>21367</v>
      </c>
      <c r="E772" s="192">
        <v>1</v>
      </c>
      <c r="F772" s="192">
        <v>893</v>
      </c>
      <c r="G772" s="192">
        <v>20</v>
      </c>
      <c r="H772" s="192" t="s">
        <v>700</v>
      </c>
      <c r="I772" s="192" t="s">
        <v>65</v>
      </c>
      <c r="J772" s="192">
        <v>3.5000000149011612E-2</v>
      </c>
      <c r="K772" s="192">
        <f>VLOOKUP($D772,'RBSA Weights'!$A$2:$C$1406,3,FALSE)</f>
        <v>2130.886</v>
      </c>
    </row>
    <row r="773" spans="1:11">
      <c r="A773" s="192" t="s">
        <v>707</v>
      </c>
      <c r="B773" s="192">
        <v>1</v>
      </c>
      <c r="C773" s="192">
        <v>227560</v>
      </c>
      <c r="D773" s="192">
        <v>10705</v>
      </c>
      <c r="E773" s="192">
        <v>1</v>
      </c>
      <c r="F773" s="192">
        <v>1330</v>
      </c>
      <c r="G773" s="192">
        <v>15</v>
      </c>
      <c r="H773" s="192" t="s">
        <v>702</v>
      </c>
      <c r="I773" s="192" t="s">
        <v>65</v>
      </c>
      <c r="J773" s="192">
        <v>3.5000000149011612E-2</v>
      </c>
      <c r="K773" s="192">
        <f>VLOOKUP($D773,'RBSA Weights'!$A$2:$C$1406,3,FALSE)</f>
        <v>1464.694</v>
      </c>
    </row>
    <row r="774" spans="1:11">
      <c r="A774" s="192" t="s">
        <v>707</v>
      </c>
      <c r="B774" s="192">
        <v>1</v>
      </c>
      <c r="C774" s="192">
        <v>74624</v>
      </c>
      <c r="D774" s="192">
        <v>20200</v>
      </c>
      <c r="E774" s="192">
        <v>1</v>
      </c>
      <c r="F774" s="192">
        <v>850</v>
      </c>
      <c r="G774" s="192">
        <v>30</v>
      </c>
      <c r="H774" s="192" t="s">
        <v>697</v>
      </c>
      <c r="I774" s="192" t="s">
        <v>65</v>
      </c>
      <c r="J774" s="192">
        <v>3.5000000149011612E-2</v>
      </c>
      <c r="K774" s="192">
        <f>VLOOKUP($D774,'RBSA Weights'!$A$2:$C$1406,3,FALSE)</f>
        <v>1925.059</v>
      </c>
    </row>
    <row r="775" spans="1:11">
      <c r="A775" s="192" t="s">
        <v>707</v>
      </c>
      <c r="B775" s="192">
        <v>1</v>
      </c>
      <c r="C775" s="192">
        <v>658760</v>
      </c>
      <c r="D775" s="192">
        <v>12049</v>
      </c>
      <c r="E775" s="192">
        <v>1</v>
      </c>
      <c r="F775" s="192">
        <v>389</v>
      </c>
      <c r="G775" s="192">
        <v>18</v>
      </c>
      <c r="H775" s="192" t="s">
        <v>702</v>
      </c>
      <c r="I775" s="192" t="s">
        <v>65</v>
      </c>
      <c r="J775" s="192">
        <v>3.5000000149011612E-2</v>
      </c>
      <c r="K775" s="192">
        <f>VLOOKUP($D775,'RBSA Weights'!$A$2:$C$1406,3,FALSE)</f>
        <v>1464.694</v>
      </c>
    </row>
    <row r="776" spans="1:11">
      <c r="A776" s="192" t="s">
        <v>707</v>
      </c>
      <c r="B776" s="192">
        <v>1</v>
      </c>
      <c r="C776" s="192">
        <v>235845</v>
      </c>
      <c r="D776" s="192">
        <v>21672</v>
      </c>
      <c r="E776" s="192">
        <v>3</v>
      </c>
      <c r="F776" s="192">
        <v>416</v>
      </c>
      <c r="G776" s="192">
        <v>20</v>
      </c>
      <c r="H776" s="192" t="s">
        <v>705</v>
      </c>
      <c r="I776" s="192" t="s">
        <v>65</v>
      </c>
      <c r="J776" s="192">
        <v>3.5000000149011612E-2</v>
      </c>
      <c r="K776" s="192">
        <f>VLOOKUP($D776,'RBSA Weights'!$A$2:$C$1406,3,FALSE)</f>
        <v>1144.6790000000001</v>
      </c>
    </row>
    <row r="777" spans="1:11">
      <c r="A777" s="192" t="s">
        <v>707</v>
      </c>
      <c r="B777" s="192">
        <v>1</v>
      </c>
      <c r="C777" s="192">
        <v>156822</v>
      </c>
      <c r="D777" s="192">
        <v>24607</v>
      </c>
      <c r="E777" s="192">
        <v>1</v>
      </c>
      <c r="F777" s="192">
        <v>1189</v>
      </c>
      <c r="G777" s="192">
        <v>20</v>
      </c>
      <c r="H777" s="192" t="s">
        <v>697</v>
      </c>
      <c r="I777" s="192" t="s">
        <v>65</v>
      </c>
      <c r="J777" s="192">
        <v>3.5000000149011612E-2</v>
      </c>
      <c r="K777" s="192">
        <f>VLOOKUP($D777,'RBSA Weights'!$A$2:$C$1406,3,FALSE)</f>
        <v>1192.4649999999999</v>
      </c>
    </row>
    <row r="778" spans="1:11">
      <c r="A778" s="192" t="s">
        <v>707</v>
      </c>
      <c r="B778" s="192">
        <v>1</v>
      </c>
      <c r="C778" s="192">
        <v>129691</v>
      </c>
      <c r="D778" s="192">
        <v>12745</v>
      </c>
      <c r="E778" s="192">
        <v>1</v>
      </c>
      <c r="F778" s="192">
        <v>900</v>
      </c>
      <c r="G778" s="192">
        <v>0</v>
      </c>
      <c r="H778" s="192" t="s">
        <v>697</v>
      </c>
      <c r="I778" s="192" t="s">
        <v>65</v>
      </c>
      <c r="J778" s="192">
        <v>3.5000000149011612E-2</v>
      </c>
      <c r="K778" s="192">
        <f>VLOOKUP($D778,'RBSA Weights'!$A$2:$C$1406,3,FALSE)</f>
        <v>1524.7619999999999</v>
      </c>
    </row>
    <row r="779" spans="1:11">
      <c r="A779" s="192" t="s">
        <v>707</v>
      </c>
      <c r="B779" s="192">
        <v>1</v>
      </c>
      <c r="C779" s="192">
        <v>90005</v>
      </c>
      <c r="D779" s="192">
        <v>13275</v>
      </c>
      <c r="E779" s="192">
        <v>1</v>
      </c>
      <c r="F779" s="192">
        <v>1092</v>
      </c>
      <c r="G779" s="192">
        <v>20</v>
      </c>
      <c r="H779" s="192" t="s">
        <v>697</v>
      </c>
      <c r="I779" s="192" t="s">
        <v>65</v>
      </c>
      <c r="J779" s="192">
        <v>3.5000000149011612E-2</v>
      </c>
      <c r="K779" s="192">
        <f>VLOOKUP($D779,'RBSA Weights'!$A$2:$C$1406,3,FALSE)</f>
        <v>2003.7159999999999</v>
      </c>
    </row>
    <row r="780" spans="1:11">
      <c r="A780" s="192" t="s">
        <v>707</v>
      </c>
      <c r="B780" s="192">
        <v>1</v>
      </c>
      <c r="C780" s="192">
        <v>99886</v>
      </c>
      <c r="D780" s="192">
        <v>12939</v>
      </c>
      <c r="E780" s="192">
        <v>1</v>
      </c>
      <c r="F780" s="192">
        <v>825</v>
      </c>
      <c r="H780" s="192" t="s">
        <v>65</v>
      </c>
      <c r="I780" s="192" t="s">
        <v>775</v>
      </c>
      <c r="J780" s="192">
        <v>3.5000000149011612E-2</v>
      </c>
      <c r="K780" s="192">
        <f>VLOOKUP($D780,'RBSA Weights'!$A$2:$C$1406,3,FALSE)</f>
        <v>2003.7159999999999</v>
      </c>
    </row>
    <row r="781" spans="1:11">
      <c r="A781" s="192" t="s">
        <v>707</v>
      </c>
      <c r="B781" s="192">
        <v>1</v>
      </c>
      <c r="C781" s="192">
        <v>65936</v>
      </c>
      <c r="D781" s="192">
        <v>21350</v>
      </c>
      <c r="E781" s="192">
        <v>1</v>
      </c>
      <c r="F781" s="192">
        <v>1200</v>
      </c>
      <c r="G781" s="192">
        <v>0</v>
      </c>
      <c r="H781" s="192" t="s">
        <v>700</v>
      </c>
      <c r="I781" s="192" t="s">
        <v>65</v>
      </c>
      <c r="J781" s="192">
        <v>3.5000000149011612E-2</v>
      </c>
      <c r="K781" s="192">
        <f>VLOOKUP($D781,'RBSA Weights'!$A$2:$C$1406,3,FALSE)</f>
        <v>8264.9449999999997</v>
      </c>
    </row>
    <row r="782" spans="1:11">
      <c r="A782" s="192" t="s">
        <v>707</v>
      </c>
      <c r="B782" s="192">
        <v>1</v>
      </c>
      <c r="C782" s="192">
        <v>260629</v>
      </c>
      <c r="D782" s="192">
        <v>23857</v>
      </c>
      <c r="E782" s="192">
        <v>1</v>
      </c>
      <c r="F782" s="192">
        <v>297</v>
      </c>
      <c r="G782" s="192">
        <v>0</v>
      </c>
      <c r="H782" s="192" t="s">
        <v>700</v>
      </c>
      <c r="I782" s="192" t="s">
        <v>65</v>
      </c>
      <c r="J782" s="192">
        <v>3.5000000149011612E-2</v>
      </c>
      <c r="K782" s="192">
        <f>VLOOKUP($D782,'RBSA Weights'!$A$2:$C$1406,3,FALSE)</f>
        <v>1144.6790000000001</v>
      </c>
    </row>
    <row r="783" spans="1:11">
      <c r="A783" s="192" t="s">
        <v>707</v>
      </c>
      <c r="B783" s="192">
        <v>1</v>
      </c>
      <c r="C783" s="192">
        <v>102170</v>
      </c>
      <c r="D783" s="192">
        <v>21612</v>
      </c>
      <c r="E783" s="192">
        <v>1</v>
      </c>
      <c r="F783" s="192">
        <v>225</v>
      </c>
      <c r="G783" s="192">
        <v>20</v>
      </c>
      <c r="H783" s="192" t="s">
        <v>705</v>
      </c>
      <c r="I783" s="192" t="s">
        <v>65</v>
      </c>
      <c r="J783" s="192">
        <v>3.5000000149011612E-2</v>
      </c>
      <c r="K783" s="192">
        <f>VLOOKUP($D783,'RBSA Weights'!$A$2:$C$1406,3,FALSE)</f>
        <v>2130.886</v>
      </c>
    </row>
    <row r="784" spans="1:11">
      <c r="A784" s="192" t="s">
        <v>707</v>
      </c>
      <c r="B784" s="192">
        <v>1</v>
      </c>
      <c r="C784" s="192">
        <v>84885</v>
      </c>
      <c r="D784" s="192">
        <v>12621</v>
      </c>
      <c r="E784" s="192">
        <v>1</v>
      </c>
      <c r="F784" s="192">
        <v>1700</v>
      </c>
      <c r="G784" s="192">
        <v>8</v>
      </c>
      <c r="H784" s="192" t="s">
        <v>697</v>
      </c>
      <c r="I784" s="192" t="s">
        <v>65</v>
      </c>
      <c r="J784" s="192">
        <v>3.5000000149011612E-2</v>
      </c>
      <c r="K784" s="192">
        <f>VLOOKUP($D784,'RBSA Weights'!$A$2:$C$1406,3,FALSE)</f>
        <v>2003.7159999999999</v>
      </c>
    </row>
    <row r="785" spans="1:11">
      <c r="A785" s="192" t="s">
        <v>707</v>
      </c>
      <c r="B785" s="192">
        <v>1</v>
      </c>
      <c r="C785" s="192">
        <v>43629</v>
      </c>
      <c r="D785" s="192">
        <v>21366</v>
      </c>
      <c r="E785" s="192">
        <v>1</v>
      </c>
      <c r="F785" s="192">
        <v>2800</v>
      </c>
      <c r="G785" s="192">
        <v>24</v>
      </c>
      <c r="H785" s="192" t="s">
        <v>697</v>
      </c>
      <c r="I785" s="192" t="s">
        <v>65</v>
      </c>
      <c r="J785" s="192">
        <v>3.5000000149011612E-2</v>
      </c>
      <c r="K785" s="192">
        <f>VLOOKUP($D785,'RBSA Weights'!$A$2:$C$1406,3,FALSE)</f>
        <v>2130.886</v>
      </c>
    </row>
    <row r="786" spans="1:11">
      <c r="A786" s="192" t="s">
        <v>707</v>
      </c>
      <c r="B786" s="192">
        <v>1</v>
      </c>
      <c r="C786" s="192">
        <v>86186</v>
      </c>
      <c r="D786" s="192">
        <v>11377</v>
      </c>
      <c r="E786" s="192">
        <v>1</v>
      </c>
      <c r="F786" s="192">
        <v>1152</v>
      </c>
      <c r="G786" s="192">
        <v>18</v>
      </c>
      <c r="H786" s="192" t="s">
        <v>705</v>
      </c>
      <c r="I786" s="192" t="s">
        <v>65</v>
      </c>
      <c r="J786" s="192">
        <v>3.5000000149011612E-2</v>
      </c>
      <c r="K786" s="192">
        <f>VLOOKUP($D786,'RBSA Weights'!$A$2:$C$1406,3,FALSE)</f>
        <v>4956.4930000000004</v>
      </c>
    </row>
    <row r="787" spans="1:11">
      <c r="A787" s="192" t="s">
        <v>707</v>
      </c>
      <c r="B787" s="192">
        <v>1</v>
      </c>
      <c r="C787" s="192">
        <v>233697</v>
      </c>
      <c r="D787" s="192">
        <v>11602</v>
      </c>
      <c r="E787" s="192">
        <v>1</v>
      </c>
      <c r="F787" s="192">
        <v>1456</v>
      </c>
      <c r="G787" s="192">
        <v>0</v>
      </c>
      <c r="H787" s="192" t="s">
        <v>704</v>
      </c>
      <c r="I787" s="192" t="s">
        <v>776</v>
      </c>
      <c r="J787" s="192">
        <v>3.5000000149011612E-2</v>
      </c>
      <c r="K787" s="192">
        <f>VLOOKUP($D787,'RBSA Weights'!$A$2:$C$1406,3,FALSE)</f>
        <v>1150.8789999999999</v>
      </c>
    </row>
    <row r="788" spans="1:11">
      <c r="A788" s="192" t="s">
        <v>707</v>
      </c>
      <c r="B788" s="192">
        <v>1</v>
      </c>
      <c r="C788" s="192">
        <v>224219</v>
      </c>
      <c r="D788" s="192">
        <v>23381</v>
      </c>
      <c r="E788" s="192">
        <v>1</v>
      </c>
      <c r="F788" s="192">
        <v>1473</v>
      </c>
      <c r="G788" s="192">
        <v>20</v>
      </c>
      <c r="H788" s="192" t="s">
        <v>697</v>
      </c>
      <c r="I788" s="192" t="s">
        <v>65</v>
      </c>
      <c r="J788" s="192">
        <v>3.5000000149011612E-2</v>
      </c>
      <c r="K788" s="192">
        <f>VLOOKUP($D788,'RBSA Weights'!$A$2:$C$1406,3,FALSE)</f>
        <v>2079.9929999999999</v>
      </c>
    </row>
    <row r="789" spans="1:11">
      <c r="A789" s="192" t="s">
        <v>707</v>
      </c>
      <c r="B789" s="192">
        <v>1</v>
      </c>
      <c r="C789" s="192">
        <v>37715</v>
      </c>
      <c r="D789" s="192">
        <v>11779</v>
      </c>
      <c r="E789" s="192">
        <v>2</v>
      </c>
      <c r="F789" s="192">
        <v>250</v>
      </c>
      <c r="G789" s="192">
        <v>0</v>
      </c>
      <c r="H789" s="192" t="s">
        <v>700</v>
      </c>
      <c r="I789" s="192" t="s">
        <v>65</v>
      </c>
      <c r="J789" s="192">
        <v>3.5000000149011612E-2</v>
      </c>
      <c r="K789" s="192">
        <f>VLOOKUP($D789,'RBSA Weights'!$A$2:$C$1406,3,FALSE)</f>
        <v>1524.7619999999999</v>
      </c>
    </row>
    <row r="790" spans="1:11">
      <c r="A790" s="192" t="s">
        <v>707</v>
      </c>
      <c r="B790" s="192">
        <v>1</v>
      </c>
      <c r="C790" s="192">
        <v>96780</v>
      </c>
      <c r="D790" s="192">
        <v>12414</v>
      </c>
      <c r="E790" s="192">
        <v>1</v>
      </c>
      <c r="F790" s="192">
        <v>972</v>
      </c>
      <c r="G790" s="192">
        <v>23</v>
      </c>
      <c r="H790" s="192" t="s">
        <v>777</v>
      </c>
      <c r="I790" s="192" t="s">
        <v>65</v>
      </c>
      <c r="J790" s="192">
        <v>3.5000000149011612E-2</v>
      </c>
      <c r="K790" s="192">
        <f>VLOOKUP($D790,'RBSA Weights'!$A$2:$C$1406,3,FALSE)</f>
        <v>1524.7619999999999</v>
      </c>
    </row>
    <row r="791" spans="1:11">
      <c r="A791" s="192" t="s">
        <v>707</v>
      </c>
      <c r="B791" s="192">
        <v>1</v>
      </c>
      <c r="C791" s="192">
        <v>724074</v>
      </c>
      <c r="D791" s="192">
        <v>10052</v>
      </c>
      <c r="E791" s="192">
        <v>1</v>
      </c>
      <c r="F791" s="192">
        <v>1350</v>
      </c>
      <c r="G791" s="192">
        <v>10</v>
      </c>
      <c r="H791" s="192" t="s">
        <v>705</v>
      </c>
      <c r="I791" s="192" t="s">
        <v>65</v>
      </c>
      <c r="J791" s="192">
        <v>3.5000000149011612E-2</v>
      </c>
      <c r="K791" s="192">
        <f>VLOOKUP($D791,'RBSA Weights'!$A$2:$C$1406,3,FALSE)</f>
        <v>4956.4930000000004</v>
      </c>
    </row>
    <row r="792" spans="1:11">
      <c r="A792" s="192" t="s">
        <v>707</v>
      </c>
      <c r="B792" s="192">
        <v>1</v>
      </c>
      <c r="C792" s="192">
        <v>33975</v>
      </c>
      <c r="D792" s="192">
        <v>23123</v>
      </c>
      <c r="E792" s="192">
        <v>1</v>
      </c>
      <c r="F792" s="192">
        <v>693</v>
      </c>
      <c r="G792" s="192">
        <v>0</v>
      </c>
      <c r="H792" s="192" t="s">
        <v>700</v>
      </c>
      <c r="I792" s="192" t="s">
        <v>65</v>
      </c>
      <c r="J792" s="192">
        <v>3.5000000149011612E-2</v>
      </c>
      <c r="K792" s="192">
        <f>VLOOKUP($D792,'RBSA Weights'!$A$2:$C$1406,3,FALSE)</f>
        <v>2130.886</v>
      </c>
    </row>
    <row r="793" spans="1:11">
      <c r="A793" s="192" t="s">
        <v>707</v>
      </c>
      <c r="B793" s="192">
        <v>1</v>
      </c>
      <c r="C793" s="192">
        <v>216548</v>
      </c>
      <c r="D793" s="192">
        <v>10421</v>
      </c>
      <c r="E793" s="192">
        <v>1</v>
      </c>
      <c r="F793" s="192">
        <v>600</v>
      </c>
      <c r="G793" s="192">
        <v>10</v>
      </c>
      <c r="H793" s="192" t="s">
        <v>697</v>
      </c>
      <c r="I793" s="192" t="s">
        <v>65</v>
      </c>
      <c r="J793" s="192">
        <v>3.5000000149011612E-2</v>
      </c>
      <c r="K793" s="192">
        <f>VLOOKUP($D793,'RBSA Weights'!$A$2:$C$1406,3,FALSE)</f>
        <v>1464.694</v>
      </c>
    </row>
    <row r="794" spans="1:11">
      <c r="A794" s="192" t="s">
        <v>707</v>
      </c>
      <c r="B794" s="192">
        <v>1</v>
      </c>
      <c r="C794" s="192">
        <v>33299</v>
      </c>
      <c r="D794" s="192">
        <v>21045</v>
      </c>
      <c r="E794" s="192">
        <v>1</v>
      </c>
      <c r="F794" s="192">
        <v>480</v>
      </c>
      <c r="G794" s="192">
        <v>20</v>
      </c>
      <c r="H794" s="192" t="s">
        <v>697</v>
      </c>
      <c r="I794" s="192" t="s">
        <v>65</v>
      </c>
      <c r="J794" s="192">
        <v>3.5000000149011612E-2</v>
      </c>
      <c r="K794" s="192">
        <f>VLOOKUP($D794,'RBSA Weights'!$A$2:$C$1406,3,FALSE)</f>
        <v>2130.886</v>
      </c>
    </row>
    <row r="795" spans="1:11">
      <c r="A795" s="192" t="s">
        <v>707</v>
      </c>
      <c r="B795" s="192">
        <v>1</v>
      </c>
      <c r="C795" s="192">
        <v>666815</v>
      </c>
      <c r="D795" s="192">
        <v>14331</v>
      </c>
      <c r="E795" s="192">
        <v>1</v>
      </c>
      <c r="F795" s="192">
        <v>1892</v>
      </c>
      <c r="G795" s="192">
        <v>50</v>
      </c>
      <c r="H795" s="192" t="s">
        <v>699</v>
      </c>
      <c r="I795" s="192" t="s">
        <v>65</v>
      </c>
      <c r="J795" s="192">
        <v>3.5000000149011612E-2</v>
      </c>
      <c r="K795" s="192">
        <f>VLOOKUP($D795,'RBSA Weights'!$A$2:$C$1406,3,FALSE)</f>
        <v>6932.7380000000003</v>
      </c>
    </row>
    <row r="796" spans="1:11">
      <c r="A796" s="192" t="s">
        <v>707</v>
      </c>
      <c r="B796" s="192">
        <v>1</v>
      </c>
      <c r="C796" s="192">
        <v>42854</v>
      </c>
      <c r="D796" s="192">
        <v>11375</v>
      </c>
      <c r="E796" s="192">
        <v>1</v>
      </c>
      <c r="F796" s="192">
        <v>1164</v>
      </c>
      <c r="G796" s="192">
        <v>0</v>
      </c>
      <c r="H796" s="192" t="s">
        <v>705</v>
      </c>
      <c r="I796" s="192" t="s">
        <v>65</v>
      </c>
      <c r="J796" s="192">
        <v>3.5000000149011612E-2</v>
      </c>
      <c r="K796" s="192">
        <f>VLOOKUP($D796,'RBSA Weights'!$A$2:$C$1406,3,FALSE)</f>
        <v>1524.7619999999999</v>
      </c>
    </row>
    <row r="797" spans="1:11">
      <c r="A797" s="192" t="s">
        <v>707</v>
      </c>
      <c r="B797" s="192">
        <v>1</v>
      </c>
      <c r="C797" s="192">
        <v>71708</v>
      </c>
      <c r="D797" s="192">
        <v>21012</v>
      </c>
      <c r="E797" s="192">
        <v>1</v>
      </c>
      <c r="F797" s="192">
        <v>800</v>
      </c>
      <c r="G797" s="192">
        <v>30</v>
      </c>
      <c r="H797" s="192" t="s">
        <v>705</v>
      </c>
      <c r="I797" s="192" t="s">
        <v>65</v>
      </c>
      <c r="J797" s="192">
        <v>3.5000000149011612E-2</v>
      </c>
      <c r="K797" s="192">
        <f>VLOOKUP($D797,'RBSA Weights'!$A$2:$C$1406,3,FALSE)</f>
        <v>3785.7640000000001</v>
      </c>
    </row>
    <row r="798" spans="1:11">
      <c r="A798" s="192" t="s">
        <v>707</v>
      </c>
      <c r="B798" s="192">
        <v>1</v>
      </c>
      <c r="C798" s="192">
        <v>125182</v>
      </c>
      <c r="D798" s="192">
        <v>20457</v>
      </c>
      <c r="E798" s="192">
        <v>1</v>
      </c>
      <c r="F798" s="192">
        <v>2250</v>
      </c>
      <c r="G798" s="192">
        <v>10</v>
      </c>
      <c r="H798" s="192" t="s">
        <v>705</v>
      </c>
      <c r="I798" s="192" t="s">
        <v>65</v>
      </c>
      <c r="J798" s="192">
        <v>3.5000000149011612E-2</v>
      </c>
      <c r="K798" s="192">
        <f>VLOOKUP($D798,'RBSA Weights'!$A$2:$C$1406,3,FALSE)</f>
        <v>1612.692</v>
      </c>
    </row>
    <row r="799" spans="1:11">
      <c r="A799" s="192" t="s">
        <v>707</v>
      </c>
      <c r="B799" s="192">
        <v>1</v>
      </c>
      <c r="C799" s="192">
        <v>153362</v>
      </c>
      <c r="D799" s="192">
        <v>13242</v>
      </c>
      <c r="E799" s="192">
        <v>1</v>
      </c>
      <c r="F799" s="192">
        <v>1280</v>
      </c>
      <c r="G799" s="192">
        <v>9</v>
      </c>
      <c r="H799" s="192" t="s">
        <v>702</v>
      </c>
      <c r="I799" s="192" t="s">
        <v>65</v>
      </c>
      <c r="J799" s="192">
        <v>3.5000000149011612E-2</v>
      </c>
      <c r="K799" s="192">
        <f>VLOOKUP($D799,'RBSA Weights'!$A$2:$C$1406,3,FALSE)</f>
        <v>4956.4930000000004</v>
      </c>
    </row>
    <row r="800" spans="1:11">
      <c r="A800" s="192" t="s">
        <v>707</v>
      </c>
      <c r="B800" s="192">
        <v>1</v>
      </c>
      <c r="C800" s="192">
        <v>97702</v>
      </c>
      <c r="D800" s="192">
        <v>23428</v>
      </c>
      <c r="E800" s="192">
        <v>1</v>
      </c>
      <c r="F800" s="192">
        <v>1718</v>
      </c>
      <c r="G800" s="192">
        <v>49</v>
      </c>
      <c r="H800" s="192" t="s">
        <v>705</v>
      </c>
      <c r="I800" s="192" t="s">
        <v>65</v>
      </c>
      <c r="J800" s="192">
        <v>3.5000000149011612E-2</v>
      </c>
      <c r="K800" s="192">
        <f>VLOOKUP($D800,'RBSA Weights'!$A$2:$C$1406,3,FALSE)</f>
        <v>12271.31</v>
      </c>
    </row>
    <row r="801" spans="1:11">
      <c r="A801" s="192" t="s">
        <v>707</v>
      </c>
      <c r="B801" s="192">
        <v>1</v>
      </c>
      <c r="C801" s="192">
        <v>79482</v>
      </c>
      <c r="D801" s="192">
        <v>13017</v>
      </c>
      <c r="E801" s="192">
        <v>1</v>
      </c>
      <c r="F801" s="192">
        <v>189</v>
      </c>
      <c r="G801" s="192">
        <v>0</v>
      </c>
      <c r="H801" s="192" t="s">
        <v>697</v>
      </c>
      <c r="I801" s="192" t="s">
        <v>65</v>
      </c>
      <c r="J801" s="192">
        <v>3.5000000149011612E-2</v>
      </c>
      <c r="K801" s="192">
        <f>VLOOKUP($D801,'RBSA Weights'!$A$2:$C$1406,3,FALSE)</f>
        <v>2003.7159999999999</v>
      </c>
    </row>
    <row r="802" spans="1:11">
      <c r="A802" s="192" t="s">
        <v>707</v>
      </c>
      <c r="B802" s="192">
        <v>1</v>
      </c>
      <c r="C802" s="192">
        <v>198688</v>
      </c>
      <c r="D802" s="192">
        <v>12230</v>
      </c>
      <c r="E802" s="192">
        <v>1</v>
      </c>
      <c r="F802" s="192">
        <v>1352</v>
      </c>
      <c r="G802" s="192">
        <v>20</v>
      </c>
      <c r="H802" s="192" t="s">
        <v>700</v>
      </c>
      <c r="I802" s="192" t="s">
        <v>65</v>
      </c>
      <c r="J802" s="192">
        <v>3.5000000149011612E-2</v>
      </c>
      <c r="K802" s="192">
        <f>VLOOKUP($D802,'RBSA Weights'!$A$2:$C$1406,3,FALSE)</f>
        <v>6932.7380000000003</v>
      </c>
    </row>
    <row r="803" spans="1:11">
      <c r="A803" s="192" t="s">
        <v>707</v>
      </c>
      <c r="B803" s="192">
        <v>1</v>
      </c>
      <c r="C803" s="192">
        <v>34321</v>
      </c>
      <c r="D803" s="192">
        <v>21225</v>
      </c>
      <c r="E803" s="192">
        <v>1</v>
      </c>
      <c r="F803" s="192">
        <v>450</v>
      </c>
      <c r="G803" s="192">
        <v>20</v>
      </c>
      <c r="H803" s="192" t="s">
        <v>700</v>
      </c>
      <c r="I803" s="192" t="s">
        <v>65</v>
      </c>
      <c r="J803" s="192">
        <v>3.5000000149011612E-2</v>
      </c>
      <c r="K803" s="192">
        <f>VLOOKUP($D803,'RBSA Weights'!$A$2:$C$1406,3,FALSE)</f>
        <v>2130.886</v>
      </c>
    </row>
    <row r="804" spans="1:11">
      <c r="A804" s="192" t="s">
        <v>707</v>
      </c>
      <c r="B804" s="192">
        <v>1</v>
      </c>
      <c r="C804" s="192">
        <v>196031</v>
      </c>
      <c r="D804" s="192">
        <v>11332</v>
      </c>
      <c r="E804" s="192">
        <v>1</v>
      </c>
      <c r="F804" s="192">
        <v>1326</v>
      </c>
      <c r="G804" s="192">
        <v>8</v>
      </c>
      <c r="H804" s="192" t="s">
        <v>705</v>
      </c>
      <c r="I804" s="192" t="s">
        <v>65</v>
      </c>
      <c r="J804" s="192">
        <v>3.5000000149011612E-2</v>
      </c>
      <c r="K804" s="192">
        <f>VLOOKUP($D804,'RBSA Weights'!$A$2:$C$1406,3,FALSE)</f>
        <v>4956.4930000000004</v>
      </c>
    </row>
    <row r="805" spans="1:11">
      <c r="A805" s="192" t="s">
        <v>707</v>
      </c>
      <c r="B805" s="192">
        <v>1</v>
      </c>
      <c r="C805" s="192">
        <v>74872</v>
      </c>
      <c r="D805" s="192">
        <v>22059</v>
      </c>
      <c r="E805" s="192">
        <v>1</v>
      </c>
      <c r="F805" s="192">
        <v>1208</v>
      </c>
      <c r="G805" s="192">
        <v>49</v>
      </c>
      <c r="H805" s="192" t="s">
        <v>697</v>
      </c>
      <c r="I805" s="192" t="s">
        <v>65</v>
      </c>
      <c r="J805" s="192">
        <v>3.5000000149011612E-2</v>
      </c>
      <c r="K805" s="192">
        <f>VLOOKUP($D805,'RBSA Weights'!$A$2:$C$1406,3,FALSE)</f>
        <v>1904.288</v>
      </c>
    </row>
    <row r="806" spans="1:11">
      <c r="A806" s="192" t="s">
        <v>707</v>
      </c>
      <c r="B806" s="192">
        <v>1</v>
      </c>
      <c r="C806" s="192">
        <v>204176</v>
      </c>
      <c r="D806" s="192">
        <v>24623</v>
      </c>
      <c r="E806" s="192">
        <v>1</v>
      </c>
      <c r="F806" s="192">
        <v>1533</v>
      </c>
      <c r="G806" s="192">
        <v>20</v>
      </c>
      <c r="H806" s="192" t="s">
        <v>697</v>
      </c>
      <c r="I806" s="192" t="s">
        <v>65</v>
      </c>
      <c r="J806" s="192">
        <v>3.5000000149011612E-2</v>
      </c>
      <c r="K806" s="192">
        <f>VLOOKUP($D806,'RBSA Weights'!$A$2:$C$1406,3,FALSE)</f>
        <v>1612.692</v>
      </c>
    </row>
    <row r="807" spans="1:11">
      <c r="A807" s="192" t="s">
        <v>707</v>
      </c>
      <c r="B807" s="192">
        <v>1</v>
      </c>
      <c r="C807" s="192">
        <v>95274</v>
      </c>
      <c r="D807" s="192">
        <v>21777</v>
      </c>
      <c r="E807" s="192">
        <v>1</v>
      </c>
      <c r="F807" s="192">
        <v>1416</v>
      </c>
      <c r="G807" s="192">
        <v>20</v>
      </c>
      <c r="H807" s="192" t="s">
        <v>700</v>
      </c>
      <c r="I807" s="192" t="s">
        <v>65</v>
      </c>
      <c r="J807" s="192">
        <v>3.5000000149011612E-2</v>
      </c>
      <c r="K807" s="192">
        <f>VLOOKUP($D807,'RBSA Weights'!$A$2:$C$1406,3,FALSE)</f>
        <v>2130.886</v>
      </c>
    </row>
    <row r="808" spans="1:11">
      <c r="A808" s="192" t="s">
        <v>707</v>
      </c>
      <c r="B808" s="192">
        <v>1</v>
      </c>
      <c r="C808" s="192">
        <v>681001</v>
      </c>
      <c r="D808" s="192">
        <v>13445</v>
      </c>
      <c r="E808" s="192">
        <v>1</v>
      </c>
      <c r="F808" s="192">
        <v>936</v>
      </c>
      <c r="G808" s="192">
        <v>20</v>
      </c>
      <c r="H808" s="192" t="s">
        <v>705</v>
      </c>
      <c r="I808" s="192" t="s">
        <v>65</v>
      </c>
      <c r="J808" s="192">
        <v>3.5000000149011612E-2</v>
      </c>
      <c r="K808" s="192">
        <f>VLOOKUP($D808,'RBSA Weights'!$A$2:$C$1406,3,FALSE)</f>
        <v>4956.4930000000004</v>
      </c>
    </row>
    <row r="809" spans="1:11">
      <c r="A809" s="192" t="s">
        <v>707</v>
      </c>
      <c r="B809" s="192">
        <v>1</v>
      </c>
      <c r="C809" s="192">
        <v>100852</v>
      </c>
      <c r="D809" s="192">
        <v>13165</v>
      </c>
      <c r="E809" s="192">
        <v>1</v>
      </c>
      <c r="F809" s="192">
        <v>1445</v>
      </c>
      <c r="G809" s="192">
        <v>10</v>
      </c>
      <c r="H809" s="192" t="s">
        <v>705</v>
      </c>
      <c r="I809" s="192" t="s">
        <v>65</v>
      </c>
      <c r="J809" s="192">
        <v>3.5000000149011612E-2</v>
      </c>
      <c r="K809" s="192">
        <f>VLOOKUP($D809,'RBSA Weights'!$A$2:$C$1406,3,FALSE)</f>
        <v>4956.4930000000004</v>
      </c>
    </row>
    <row r="810" spans="1:11">
      <c r="A810" s="192" t="s">
        <v>707</v>
      </c>
      <c r="B810" s="192">
        <v>1</v>
      </c>
      <c r="C810" s="192">
        <v>77535</v>
      </c>
      <c r="D810" s="192">
        <v>11838</v>
      </c>
      <c r="E810" s="192">
        <v>1</v>
      </c>
      <c r="F810" s="192">
        <v>2000</v>
      </c>
      <c r="G810" s="192">
        <v>11</v>
      </c>
      <c r="H810" s="192" t="s">
        <v>700</v>
      </c>
      <c r="I810" s="192" t="s">
        <v>65</v>
      </c>
      <c r="J810" s="192">
        <v>3.5000000149011612E-2</v>
      </c>
      <c r="K810" s="192">
        <f>VLOOKUP($D810,'RBSA Weights'!$A$2:$C$1406,3,FALSE)</f>
        <v>2003.7159999999999</v>
      </c>
    </row>
    <row r="811" spans="1:11">
      <c r="A811" s="192" t="s">
        <v>707</v>
      </c>
      <c r="B811" s="192">
        <v>1</v>
      </c>
      <c r="C811" s="192">
        <v>93592</v>
      </c>
      <c r="D811" s="192">
        <v>13323</v>
      </c>
      <c r="E811" s="192">
        <v>2</v>
      </c>
      <c r="F811" s="192">
        <v>251</v>
      </c>
      <c r="G811" s="192">
        <v>0</v>
      </c>
      <c r="H811" s="192" t="s">
        <v>700</v>
      </c>
      <c r="I811" s="192" t="s">
        <v>65</v>
      </c>
      <c r="J811" s="192">
        <v>3.5000000149011612E-2</v>
      </c>
      <c r="K811" s="192">
        <f>VLOOKUP($D811,'RBSA Weights'!$A$2:$C$1406,3,FALSE)</f>
        <v>1524.7619999999999</v>
      </c>
    </row>
    <row r="812" spans="1:11">
      <c r="A812" s="192" t="s">
        <v>707</v>
      </c>
      <c r="B812" s="192">
        <v>1</v>
      </c>
      <c r="C812" s="192">
        <v>124958</v>
      </c>
      <c r="D812" s="192">
        <v>20770</v>
      </c>
      <c r="E812" s="192">
        <v>1</v>
      </c>
      <c r="F812" s="192">
        <v>1100</v>
      </c>
      <c r="G812" s="192">
        <v>10</v>
      </c>
      <c r="H812" s="192" t="s">
        <v>705</v>
      </c>
      <c r="I812" s="192" t="s">
        <v>65</v>
      </c>
      <c r="J812" s="192">
        <v>3.5000000149011612E-2</v>
      </c>
      <c r="K812" s="192">
        <f>VLOOKUP($D812,'RBSA Weights'!$A$2:$C$1406,3,FALSE)</f>
        <v>2079.9929999999999</v>
      </c>
    </row>
    <row r="813" spans="1:11">
      <c r="A813" s="192" t="s">
        <v>707</v>
      </c>
      <c r="B813" s="192">
        <v>1</v>
      </c>
      <c r="C813" s="192">
        <v>149056</v>
      </c>
      <c r="D813" s="192">
        <v>12743</v>
      </c>
      <c r="E813" s="192">
        <v>1</v>
      </c>
      <c r="F813" s="192">
        <v>196</v>
      </c>
      <c r="G813" s="192">
        <v>20</v>
      </c>
      <c r="H813" s="192" t="s">
        <v>700</v>
      </c>
      <c r="I813" s="192" t="s">
        <v>65</v>
      </c>
      <c r="J813" s="192">
        <v>3.5000000149011612E-2</v>
      </c>
      <c r="K813" s="192">
        <f>VLOOKUP($D813,'RBSA Weights'!$A$2:$C$1406,3,FALSE)</f>
        <v>4956.4930000000004</v>
      </c>
    </row>
    <row r="814" spans="1:11">
      <c r="A814" s="192" t="s">
        <v>707</v>
      </c>
      <c r="B814" s="192">
        <v>1</v>
      </c>
      <c r="C814" s="192">
        <v>47094</v>
      </c>
      <c r="D814" s="192">
        <v>12263</v>
      </c>
      <c r="E814" s="192">
        <v>1</v>
      </c>
      <c r="F814" s="192">
        <v>825</v>
      </c>
      <c r="G814" s="192">
        <v>0</v>
      </c>
      <c r="H814" s="192" t="s">
        <v>700</v>
      </c>
      <c r="I814" s="192" t="s">
        <v>65</v>
      </c>
      <c r="J814" s="192">
        <v>3.5000000149011612E-2</v>
      </c>
      <c r="K814" s="192">
        <f>VLOOKUP($D814,'RBSA Weights'!$A$2:$C$1406,3,FALSE)</f>
        <v>1524.7619999999999</v>
      </c>
    </row>
    <row r="815" spans="1:11">
      <c r="A815" s="192" t="s">
        <v>707</v>
      </c>
      <c r="B815" s="192">
        <v>1</v>
      </c>
      <c r="C815" s="192">
        <v>113068</v>
      </c>
      <c r="D815" s="192">
        <v>22694</v>
      </c>
      <c r="E815" s="192">
        <v>1</v>
      </c>
      <c r="F815" s="192">
        <v>1600</v>
      </c>
      <c r="G815" s="192">
        <v>10</v>
      </c>
      <c r="H815" s="192" t="s">
        <v>705</v>
      </c>
      <c r="I815" s="192" t="s">
        <v>65</v>
      </c>
      <c r="J815" s="192">
        <v>3.5000000149011612E-2</v>
      </c>
      <c r="K815" s="192">
        <f>VLOOKUP($D815,'RBSA Weights'!$A$2:$C$1406,3,FALSE)</f>
        <v>2079.9929999999999</v>
      </c>
    </row>
    <row r="816" spans="1:11">
      <c r="A816" s="192" t="s">
        <v>707</v>
      </c>
      <c r="B816" s="192">
        <v>1</v>
      </c>
      <c r="C816" s="192">
        <v>718804</v>
      </c>
      <c r="D816" s="192">
        <v>13494</v>
      </c>
      <c r="E816" s="192">
        <v>1</v>
      </c>
      <c r="F816" s="192">
        <v>552</v>
      </c>
      <c r="G816" s="192">
        <v>0</v>
      </c>
      <c r="H816" s="192" t="s">
        <v>697</v>
      </c>
      <c r="I816" s="192" t="s">
        <v>65</v>
      </c>
      <c r="J816" s="192">
        <v>3.5000000149011612E-2</v>
      </c>
      <c r="K816" s="192">
        <f>VLOOKUP($D816,'RBSA Weights'!$A$2:$C$1406,3,FALSE)</f>
        <v>2003.7159999999999</v>
      </c>
    </row>
    <row r="817" spans="1:11">
      <c r="A817" s="192" t="s">
        <v>707</v>
      </c>
      <c r="B817" s="192">
        <v>1</v>
      </c>
      <c r="C817" s="192">
        <v>681581</v>
      </c>
      <c r="D817" s="192">
        <v>12434</v>
      </c>
      <c r="E817" s="192">
        <v>1</v>
      </c>
      <c r="F817" s="192">
        <v>1477</v>
      </c>
      <c r="G817" s="192">
        <v>20</v>
      </c>
      <c r="H817" s="192" t="s">
        <v>702</v>
      </c>
      <c r="I817" s="192" t="s">
        <v>65</v>
      </c>
      <c r="J817" s="192">
        <v>3.5000000149011612E-2</v>
      </c>
      <c r="K817" s="192">
        <f>VLOOKUP($D817,'RBSA Weights'!$A$2:$C$1406,3,FALSE)</f>
        <v>6932.7380000000003</v>
      </c>
    </row>
    <row r="818" spans="1:11">
      <c r="A818" s="192" t="s">
        <v>707</v>
      </c>
      <c r="B818" s="192">
        <v>1</v>
      </c>
      <c r="C818" s="192">
        <v>724792</v>
      </c>
      <c r="D818" s="192">
        <v>11021</v>
      </c>
      <c r="E818" s="192">
        <v>1</v>
      </c>
      <c r="F818" s="192">
        <v>1011</v>
      </c>
      <c r="G818" s="192">
        <v>18</v>
      </c>
      <c r="H818" s="192" t="s">
        <v>702</v>
      </c>
      <c r="I818" s="192" t="s">
        <v>65</v>
      </c>
      <c r="J818" s="192">
        <v>3.5000000149011612E-2</v>
      </c>
      <c r="K818" s="192">
        <f>VLOOKUP($D818,'RBSA Weights'!$A$2:$C$1406,3,FALSE)</f>
        <v>1464.694</v>
      </c>
    </row>
    <row r="819" spans="1:11">
      <c r="A819" s="192" t="s">
        <v>707</v>
      </c>
      <c r="B819" s="192">
        <v>1</v>
      </c>
      <c r="C819" s="192">
        <v>200673</v>
      </c>
      <c r="D819" s="192">
        <v>20863</v>
      </c>
      <c r="E819" s="192">
        <v>1</v>
      </c>
      <c r="F819" s="192">
        <v>1450</v>
      </c>
      <c r="G819" s="192">
        <v>20</v>
      </c>
      <c r="H819" s="192" t="s">
        <v>700</v>
      </c>
      <c r="I819" s="192" t="s">
        <v>65</v>
      </c>
      <c r="J819" s="192">
        <v>3.5000000149011612E-2</v>
      </c>
      <c r="K819" s="192">
        <f>VLOOKUP($D819,'RBSA Weights'!$A$2:$C$1406,3,FALSE)</f>
        <v>8559.1039999999994</v>
      </c>
    </row>
    <row r="820" spans="1:11">
      <c r="A820" s="192" t="s">
        <v>707</v>
      </c>
      <c r="B820" s="192">
        <v>1</v>
      </c>
      <c r="C820" s="192">
        <v>112056</v>
      </c>
      <c r="D820" s="192">
        <v>20613</v>
      </c>
      <c r="E820" s="192">
        <v>1</v>
      </c>
      <c r="F820" s="192">
        <v>1981</v>
      </c>
      <c r="G820" s="192">
        <v>49</v>
      </c>
      <c r="H820" s="192" t="s">
        <v>697</v>
      </c>
      <c r="I820" s="192" t="s">
        <v>65</v>
      </c>
      <c r="J820" s="192">
        <v>3.5000000149011612E-2</v>
      </c>
      <c r="K820" s="192">
        <f>VLOOKUP($D820,'RBSA Weights'!$A$2:$C$1406,3,FALSE)</f>
        <v>1904.288</v>
      </c>
    </row>
    <row r="821" spans="1:11">
      <c r="A821" s="192" t="s">
        <v>707</v>
      </c>
      <c r="B821" s="192">
        <v>1</v>
      </c>
      <c r="C821" s="192">
        <v>69947</v>
      </c>
      <c r="D821" s="192">
        <v>20290</v>
      </c>
      <c r="E821" s="192">
        <v>1</v>
      </c>
      <c r="F821" s="192">
        <v>946</v>
      </c>
      <c r="G821" s="192">
        <v>20</v>
      </c>
      <c r="H821" s="192" t="s">
        <v>700</v>
      </c>
      <c r="I821" s="192" t="s">
        <v>65</v>
      </c>
      <c r="J821" s="192">
        <v>3.5000000149011612E-2</v>
      </c>
      <c r="K821" s="192">
        <f>VLOOKUP($D821,'RBSA Weights'!$A$2:$C$1406,3,FALSE)</f>
        <v>1144.6790000000001</v>
      </c>
    </row>
    <row r="822" spans="1:11">
      <c r="A822" s="192" t="s">
        <v>709</v>
      </c>
      <c r="B822" s="192">
        <v>0.5</v>
      </c>
      <c r="C822" s="192">
        <v>118260</v>
      </c>
      <c r="D822" s="192">
        <v>10525</v>
      </c>
      <c r="E822" s="192">
        <v>2</v>
      </c>
      <c r="F822" s="192">
        <v>146</v>
      </c>
      <c r="G822" s="192">
        <v>17</v>
      </c>
      <c r="H822" s="192" t="s">
        <v>700</v>
      </c>
      <c r="I822" s="192" t="s">
        <v>65</v>
      </c>
      <c r="J822" s="192">
        <v>0.23999999463558197</v>
      </c>
      <c r="K822" s="192">
        <f>VLOOKUP($D822,'RBSA Weights'!$A$2:$C$1406,3,FALSE)</f>
        <v>1464.694</v>
      </c>
    </row>
    <row r="823" spans="1:11">
      <c r="A823" s="192" t="s">
        <v>709</v>
      </c>
      <c r="B823" s="192">
        <v>0.5</v>
      </c>
      <c r="C823" s="192">
        <v>118260</v>
      </c>
      <c r="D823" s="192">
        <v>10525</v>
      </c>
      <c r="E823" s="192">
        <v>1</v>
      </c>
      <c r="F823" s="192">
        <v>322</v>
      </c>
      <c r="G823" s="192">
        <v>17</v>
      </c>
      <c r="H823" s="192" t="s">
        <v>700</v>
      </c>
      <c r="I823" s="192" t="s">
        <v>65</v>
      </c>
      <c r="J823" s="192">
        <v>0.23999999463558197</v>
      </c>
      <c r="K823" s="192">
        <f>VLOOKUP($D823,'RBSA Weights'!$A$2:$C$1406,3,FALSE)</f>
        <v>1464.694</v>
      </c>
    </row>
    <row r="824" spans="1:11">
      <c r="A824" s="192" t="s">
        <v>709</v>
      </c>
      <c r="B824" s="192">
        <v>0.75</v>
      </c>
      <c r="C824" s="192">
        <v>152775</v>
      </c>
      <c r="D824" s="192">
        <v>22607</v>
      </c>
      <c r="E824" s="192">
        <v>1</v>
      </c>
      <c r="F824" s="192">
        <v>1191</v>
      </c>
      <c r="G824" s="192">
        <v>12</v>
      </c>
      <c r="H824" s="192" t="s">
        <v>705</v>
      </c>
      <c r="I824" s="192" t="s">
        <v>65</v>
      </c>
      <c r="J824" s="192">
        <v>0.14499999582767487</v>
      </c>
      <c r="K824" s="192">
        <f>VLOOKUP($D824,'RBSA Weights'!$A$2:$C$1406,3,FALSE)</f>
        <v>1612.692</v>
      </c>
    </row>
    <row r="825" spans="1:11">
      <c r="A825" s="192" t="s">
        <v>709</v>
      </c>
      <c r="B825" s="192">
        <v>0.75</v>
      </c>
      <c r="C825" s="192">
        <v>55136</v>
      </c>
      <c r="D825" s="192">
        <v>23501</v>
      </c>
      <c r="E825" s="192">
        <v>1</v>
      </c>
      <c r="F825" s="192">
        <v>1412</v>
      </c>
      <c r="G825" s="192">
        <v>0</v>
      </c>
      <c r="H825" s="192" t="s">
        <v>702</v>
      </c>
      <c r="I825" s="192" t="s">
        <v>65</v>
      </c>
      <c r="J825" s="192">
        <v>0.14499999582767487</v>
      </c>
      <c r="K825" s="192">
        <f>VLOOKUP($D825,'RBSA Weights'!$A$2:$C$1406,3,FALSE)</f>
        <v>2079.9929999999999</v>
      </c>
    </row>
    <row r="826" spans="1:11">
      <c r="A826" s="192" t="s">
        <v>709</v>
      </c>
      <c r="B826" s="192">
        <v>0.75</v>
      </c>
      <c r="C826" s="192">
        <v>82371</v>
      </c>
      <c r="D826" s="192">
        <v>21796</v>
      </c>
      <c r="E826" s="192">
        <v>1</v>
      </c>
      <c r="F826" s="192">
        <v>3390</v>
      </c>
      <c r="G826" s="192">
        <v>20</v>
      </c>
      <c r="H826" s="192" t="s">
        <v>699</v>
      </c>
      <c r="I826" s="192" t="s">
        <v>65</v>
      </c>
      <c r="J826" s="192">
        <v>0.14499999582767487</v>
      </c>
      <c r="K826" s="192">
        <f>VLOOKUP($D826,'RBSA Weights'!$A$2:$C$1406,3,FALSE)</f>
        <v>1192.4649999999999</v>
      </c>
    </row>
    <row r="827" spans="1:11">
      <c r="A827" s="192" t="s">
        <v>709</v>
      </c>
      <c r="B827" s="192">
        <v>0.75</v>
      </c>
      <c r="C827" s="192">
        <v>193642</v>
      </c>
      <c r="D827" s="192">
        <v>20206</v>
      </c>
      <c r="E827" s="192">
        <v>1</v>
      </c>
      <c r="F827" s="192">
        <v>1500</v>
      </c>
      <c r="G827" s="192">
        <v>50</v>
      </c>
      <c r="H827" s="192" t="s">
        <v>697</v>
      </c>
      <c r="I827" s="192" t="s">
        <v>65</v>
      </c>
      <c r="J827" s="192">
        <v>0.14499999582767487</v>
      </c>
      <c r="K827" s="192">
        <f>VLOOKUP($D827,'RBSA Weights'!$A$2:$C$1406,3,FALSE)</f>
        <v>1612.692</v>
      </c>
    </row>
    <row r="828" spans="1:11">
      <c r="A828" s="192" t="s">
        <v>709</v>
      </c>
      <c r="B828" s="192">
        <v>0.75</v>
      </c>
      <c r="C828" s="192">
        <v>101571</v>
      </c>
      <c r="D828" s="192">
        <v>22957</v>
      </c>
      <c r="E828" s="192">
        <v>1</v>
      </c>
      <c r="F828" s="192">
        <v>1316</v>
      </c>
      <c r="G828" s="192">
        <v>15</v>
      </c>
      <c r="H828" s="192" t="s">
        <v>705</v>
      </c>
      <c r="I828" s="192" t="s">
        <v>65</v>
      </c>
      <c r="J828" s="192">
        <v>0.14499999582767487</v>
      </c>
      <c r="K828" s="192">
        <f>VLOOKUP($D828,'RBSA Weights'!$A$2:$C$1406,3,FALSE)</f>
        <v>1925.059</v>
      </c>
    </row>
    <row r="829" spans="1:11">
      <c r="A829" s="192" t="s">
        <v>709</v>
      </c>
      <c r="B829" s="192">
        <v>0.75</v>
      </c>
      <c r="C829" s="192">
        <v>229356</v>
      </c>
      <c r="D829" s="192">
        <v>13359</v>
      </c>
      <c r="E829" s="192">
        <v>1</v>
      </c>
      <c r="F829" s="192">
        <v>1040</v>
      </c>
      <c r="G829" s="192">
        <v>49</v>
      </c>
      <c r="H829" s="192" t="s">
        <v>705</v>
      </c>
      <c r="I829" s="192" t="s">
        <v>65</v>
      </c>
      <c r="J829" s="192">
        <v>0.14499999582767487</v>
      </c>
      <c r="K829" s="192">
        <f>VLOOKUP($D829,'RBSA Weights'!$A$2:$C$1406,3,FALSE)</f>
        <v>1150.8789999999999</v>
      </c>
    </row>
    <row r="830" spans="1:11">
      <c r="A830" s="192" t="s">
        <v>709</v>
      </c>
      <c r="B830" s="192">
        <v>0.75</v>
      </c>
      <c r="C830" s="192">
        <v>52205</v>
      </c>
      <c r="D830" s="192">
        <v>21936</v>
      </c>
      <c r="E830" s="192">
        <v>1</v>
      </c>
      <c r="F830" s="192">
        <v>750</v>
      </c>
      <c r="G830" s="192">
        <v>0</v>
      </c>
      <c r="H830" s="192" t="s">
        <v>705</v>
      </c>
      <c r="I830" s="192" t="s">
        <v>65</v>
      </c>
      <c r="J830" s="192">
        <v>0.14499999582767487</v>
      </c>
      <c r="K830" s="192">
        <f>VLOOKUP($D830,'RBSA Weights'!$A$2:$C$1406,3,FALSE)</f>
        <v>2130.886</v>
      </c>
    </row>
    <row r="831" spans="1:11">
      <c r="A831" s="192" t="s">
        <v>709</v>
      </c>
      <c r="B831" s="192">
        <v>0.75</v>
      </c>
      <c r="C831" s="192">
        <v>238267</v>
      </c>
      <c r="D831" s="192">
        <v>23710</v>
      </c>
      <c r="E831" s="192">
        <v>1</v>
      </c>
      <c r="F831" s="192">
        <v>3078</v>
      </c>
      <c r="G831" s="192">
        <v>8</v>
      </c>
      <c r="H831" s="192" t="s">
        <v>705</v>
      </c>
      <c r="I831" s="192" t="s">
        <v>65</v>
      </c>
      <c r="J831" s="192">
        <v>0.14499999582767487</v>
      </c>
      <c r="K831" s="192">
        <f>VLOOKUP($D831,'RBSA Weights'!$A$2:$C$1406,3,FALSE)</f>
        <v>2079.9929999999999</v>
      </c>
    </row>
    <row r="832" spans="1:11">
      <c r="A832" s="192" t="s">
        <v>709</v>
      </c>
      <c r="B832" s="192">
        <v>0.75</v>
      </c>
      <c r="C832" s="192">
        <v>240851</v>
      </c>
      <c r="D832" s="192">
        <v>23624</v>
      </c>
      <c r="E832" s="192">
        <v>1</v>
      </c>
      <c r="F832" s="192">
        <v>1386</v>
      </c>
      <c r="G832" s="192">
        <v>30</v>
      </c>
      <c r="H832" s="192" t="s">
        <v>705</v>
      </c>
      <c r="I832" s="192" t="s">
        <v>65</v>
      </c>
      <c r="J832" s="192">
        <v>0.14499999582767487</v>
      </c>
      <c r="K832" s="192">
        <f>VLOOKUP($D832,'RBSA Weights'!$A$2:$C$1406,3,FALSE)</f>
        <v>3785.7640000000001</v>
      </c>
    </row>
    <row r="833" spans="1:11">
      <c r="A833" s="192" t="s">
        <v>709</v>
      </c>
      <c r="B833" s="192">
        <v>0.75</v>
      </c>
      <c r="C833" s="192">
        <v>231616</v>
      </c>
      <c r="D833" s="192">
        <v>21546</v>
      </c>
      <c r="E833" s="192">
        <v>1</v>
      </c>
      <c r="F833" s="192">
        <v>2765</v>
      </c>
      <c r="G833" s="192">
        <v>5</v>
      </c>
      <c r="H833" s="192" t="s">
        <v>700</v>
      </c>
      <c r="I833" s="192" t="s">
        <v>778</v>
      </c>
      <c r="J833" s="192">
        <v>0.14499999582767487</v>
      </c>
      <c r="K833" s="192">
        <f>VLOOKUP($D833,'RBSA Weights'!$A$2:$C$1406,3,FALSE)</f>
        <v>1612.692</v>
      </c>
    </row>
    <row r="834" spans="1:11">
      <c r="A834" s="192" t="s">
        <v>709</v>
      </c>
      <c r="B834" s="192">
        <v>0.75</v>
      </c>
      <c r="C834" s="192">
        <v>148443</v>
      </c>
      <c r="D834" s="192">
        <v>20559</v>
      </c>
      <c r="E834" s="192">
        <v>1</v>
      </c>
      <c r="F834" s="192">
        <v>756</v>
      </c>
      <c r="G834" s="192">
        <v>20</v>
      </c>
      <c r="H834" s="192" t="s">
        <v>700</v>
      </c>
      <c r="I834" s="192" t="s">
        <v>65</v>
      </c>
      <c r="J834" s="192">
        <v>0.14499999582767487</v>
      </c>
      <c r="K834" s="192">
        <f>VLOOKUP($D834,'RBSA Weights'!$A$2:$C$1406,3,FALSE)</f>
        <v>1192.4649999999999</v>
      </c>
    </row>
    <row r="835" spans="1:11">
      <c r="A835" s="192" t="s">
        <v>709</v>
      </c>
      <c r="B835" s="192">
        <v>0.75</v>
      </c>
      <c r="C835" s="192">
        <v>67925</v>
      </c>
      <c r="D835" s="192">
        <v>21720</v>
      </c>
      <c r="E835" s="192">
        <v>1</v>
      </c>
      <c r="F835" s="192">
        <v>1450</v>
      </c>
      <c r="G835" s="192">
        <v>20</v>
      </c>
      <c r="H835" s="192" t="s">
        <v>699</v>
      </c>
      <c r="I835" s="192" t="s">
        <v>65</v>
      </c>
      <c r="J835" s="192">
        <v>0.14499999582767487</v>
      </c>
      <c r="K835" s="192">
        <f>VLOOKUP($D835,'RBSA Weights'!$A$2:$C$1406,3,FALSE)</f>
        <v>3785.7640000000001</v>
      </c>
    </row>
    <row r="836" spans="1:11">
      <c r="A836" s="192" t="s">
        <v>709</v>
      </c>
      <c r="B836" s="192">
        <v>0.75</v>
      </c>
      <c r="C836" s="192">
        <v>203792</v>
      </c>
      <c r="D836" s="192">
        <v>20106</v>
      </c>
      <c r="E836" s="192">
        <v>1</v>
      </c>
      <c r="F836" s="192">
        <v>1008</v>
      </c>
      <c r="G836" s="192">
        <v>12</v>
      </c>
      <c r="H836" s="192" t="s">
        <v>705</v>
      </c>
      <c r="I836" s="192" t="s">
        <v>65</v>
      </c>
      <c r="J836" s="192">
        <v>0.14499999582767487</v>
      </c>
      <c r="K836" s="192">
        <f>VLOOKUP($D836,'RBSA Weights'!$A$2:$C$1406,3,FALSE)</f>
        <v>3785.7640000000001</v>
      </c>
    </row>
    <row r="837" spans="1:11">
      <c r="A837" s="192" t="s">
        <v>709</v>
      </c>
      <c r="B837" s="192">
        <v>0.75</v>
      </c>
      <c r="C837" s="192">
        <v>185740</v>
      </c>
      <c r="D837" s="192">
        <v>24536</v>
      </c>
      <c r="E837" s="192">
        <v>1</v>
      </c>
      <c r="F837" s="192">
        <v>800</v>
      </c>
      <c r="G837" s="192">
        <v>20</v>
      </c>
      <c r="H837" s="192" t="s">
        <v>700</v>
      </c>
      <c r="I837" s="192" t="s">
        <v>65</v>
      </c>
      <c r="J837" s="192">
        <v>0.14499999582767487</v>
      </c>
      <c r="K837" s="192">
        <f>VLOOKUP($D837,'RBSA Weights'!$A$2:$C$1406,3,FALSE)</f>
        <v>1192.4649999999999</v>
      </c>
    </row>
    <row r="838" spans="1:11">
      <c r="A838" s="192" t="s">
        <v>709</v>
      </c>
      <c r="B838" s="192">
        <v>0.75</v>
      </c>
      <c r="C838" s="192">
        <v>720101</v>
      </c>
      <c r="D838" s="192">
        <v>22086</v>
      </c>
      <c r="E838" s="192">
        <v>1</v>
      </c>
      <c r="F838" s="192">
        <v>1092</v>
      </c>
      <c r="G838" s="192">
        <v>20</v>
      </c>
      <c r="H838" s="192" t="s">
        <v>705</v>
      </c>
      <c r="I838" s="192" t="s">
        <v>65</v>
      </c>
      <c r="J838" s="192">
        <v>0.14499999582767487</v>
      </c>
      <c r="K838" s="192">
        <f>VLOOKUP($D838,'RBSA Weights'!$A$2:$C$1406,3,FALSE)</f>
        <v>3785.7640000000001</v>
      </c>
    </row>
    <row r="839" spans="1:11">
      <c r="A839" s="192" t="s">
        <v>709</v>
      </c>
      <c r="B839" s="192">
        <v>0.75</v>
      </c>
      <c r="C839" s="192">
        <v>229591</v>
      </c>
      <c r="D839" s="192">
        <v>21391</v>
      </c>
      <c r="E839" s="192">
        <v>1</v>
      </c>
      <c r="F839" s="192">
        <v>1418</v>
      </c>
      <c r="G839" s="192">
        <v>20</v>
      </c>
      <c r="H839" s="192" t="s">
        <v>705</v>
      </c>
      <c r="I839" s="192" t="s">
        <v>65</v>
      </c>
      <c r="J839" s="192">
        <v>0.14499999582767487</v>
      </c>
      <c r="K839" s="192">
        <f>VLOOKUP($D839,'RBSA Weights'!$A$2:$C$1406,3,FALSE)</f>
        <v>3785.7640000000001</v>
      </c>
    </row>
    <row r="840" spans="1:11">
      <c r="A840" s="192" t="s">
        <v>709</v>
      </c>
      <c r="B840" s="192">
        <v>0.75</v>
      </c>
      <c r="C840" s="192">
        <v>49186</v>
      </c>
      <c r="D840" s="192">
        <v>21471</v>
      </c>
      <c r="E840" s="192">
        <v>1</v>
      </c>
      <c r="F840" s="192">
        <v>2646</v>
      </c>
      <c r="G840" s="192">
        <v>10</v>
      </c>
      <c r="H840" s="192" t="s">
        <v>705</v>
      </c>
      <c r="I840" s="192" t="s">
        <v>65</v>
      </c>
      <c r="J840" s="192">
        <v>0.14499999582767487</v>
      </c>
      <c r="K840" s="192">
        <f>VLOOKUP($D840,'RBSA Weights'!$A$2:$C$1406,3,FALSE)</f>
        <v>2079.9929999999999</v>
      </c>
    </row>
    <row r="841" spans="1:11">
      <c r="A841" s="192" t="s">
        <v>709</v>
      </c>
      <c r="B841" s="192">
        <v>0.75</v>
      </c>
      <c r="C841" s="192">
        <v>213953</v>
      </c>
      <c r="D841" s="192">
        <v>23952</v>
      </c>
      <c r="E841" s="192">
        <v>1</v>
      </c>
      <c r="F841" s="192">
        <v>2168</v>
      </c>
      <c r="G841" s="192">
        <v>50</v>
      </c>
      <c r="H841" s="192" t="s">
        <v>697</v>
      </c>
      <c r="I841" s="192" t="s">
        <v>65</v>
      </c>
      <c r="J841" s="192">
        <v>0.14499999582767487</v>
      </c>
      <c r="K841" s="192">
        <f>VLOOKUP($D841,'RBSA Weights'!$A$2:$C$1406,3,FALSE)</f>
        <v>1612.692</v>
      </c>
    </row>
    <row r="842" spans="1:11">
      <c r="A842" s="192" t="s">
        <v>709</v>
      </c>
      <c r="B842" s="192">
        <v>0.75</v>
      </c>
      <c r="C842" s="192">
        <v>203690</v>
      </c>
      <c r="D842" s="192">
        <v>24850</v>
      </c>
      <c r="E842" s="192">
        <v>1</v>
      </c>
      <c r="F842" s="192">
        <v>1760</v>
      </c>
      <c r="G842" s="192">
        <v>20</v>
      </c>
      <c r="H842" s="192" t="s">
        <v>699</v>
      </c>
      <c r="I842" s="192" t="s">
        <v>65</v>
      </c>
      <c r="J842" s="192">
        <v>0.14499999582767487</v>
      </c>
      <c r="K842" s="192">
        <f>VLOOKUP($D842,'RBSA Weights'!$A$2:$C$1406,3,FALSE)</f>
        <v>1192.4649999999999</v>
      </c>
    </row>
    <row r="843" spans="1:11">
      <c r="A843" s="192" t="s">
        <v>709</v>
      </c>
      <c r="B843" s="192">
        <v>0.75</v>
      </c>
      <c r="C843" s="192">
        <v>144706</v>
      </c>
      <c r="D843" s="192">
        <v>23696</v>
      </c>
      <c r="E843" s="192">
        <v>1</v>
      </c>
      <c r="F843" s="192">
        <v>1200</v>
      </c>
      <c r="G843" s="192">
        <v>30</v>
      </c>
      <c r="H843" s="192" t="s">
        <v>705</v>
      </c>
      <c r="I843" s="192" t="s">
        <v>65</v>
      </c>
      <c r="J843" s="192">
        <v>0.14499999582767487</v>
      </c>
      <c r="K843" s="192">
        <f>VLOOKUP($D843,'RBSA Weights'!$A$2:$C$1406,3,FALSE)</f>
        <v>3785.7640000000001</v>
      </c>
    </row>
    <row r="844" spans="1:11">
      <c r="A844" s="192" t="s">
        <v>709</v>
      </c>
      <c r="B844" s="192">
        <v>0.75</v>
      </c>
      <c r="C844" s="192">
        <v>106293</v>
      </c>
      <c r="D844" s="192">
        <v>20688</v>
      </c>
      <c r="E844" s="192">
        <v>1</v>
      </c>
      <c r="F844" s="192">
        <v>1360</v>
      </c>
      <c r="G844" s="192">
        <v>20</v>
      </c>
      <c r="H844" s="192" t="s">
        <v>705</v>
      </c>
      <c r="I844" s="192" t="s">
        <v>65</v>
      </c>
      <c r="J844" s="192">
        <v>0.14499999582767487</v>
      </c>
      <c r="K844" s="192">
        <f>VLOOKUP($D844,'RBSA Weights'!$A$2:$C$1406,3,FALSE)</f>
        <v>3785.7640000000001</v>
      </c>
    </row>
    <row r="845" spans="1:11">
      <c r="A845" s="192" t="s">
        <v>709</v>
      </c>
      <c r="B845" s="192">
        <v>0.75</v>
      </c>
      <c r="C845" s="192">
        <v>76662</v>
      </c>
      <c r="D845" s="192">
        <v>13292</v>
      </c>
      <c r="E845" s="192">
        <v>1</v>
      </c>
      <c r="F845" s="192">
        <v>697</v>
      </c>
      <c r="G845" s="192">
        <v>14</v>
      </c>
      <c r="H845" s="192" t="s">
        <v>702</v>
      </c>
      <c r="I845" s="192" t="s">
        <v>65</v>
      </c>
      <c r="J845" s="192">
        <v>0.14499999582767487</v>
      </c>
      <c r="K845" s="192">
        <f>VLOOKUP($D845,'RBSA Weights'!$A$2:$C$1406,3,FALSE)</f>
        <v>2003.7159999999999</v>
      </c>
    </row>
    <row r="846" spans="1:11">
      <c r="A846" s="192" t="s">
        <v>709</v>
      </c>
      <c r="B846" s="192">
        <v>0.75</v>
      </c>
      <c r="C846" s="192">
        <v>156215</v>
      </c>
      <c r="D846" s="192">
        <v>22228</v>
      </c>
      <c r="E846" s="192">
        <v>1</v>
      </c>
      <c r="F846" s="192">
        <v>2192</v>
      </c>
      <c r="G846" s="192">
        <v>12</v>
      </c>
      <c r="H846" s="192" t="s">
        <v>705</v>
      </c>
      <c r="I846" s="192" t="s">
        <v>65</v>
      </c>
      <c r="J846" s="192">
        <v>0.14499999582767487</v>
      </c>
      <c r="K846" s="192">
        <f>VLOOKUP($D846,'RBSA Weights'!$A$2:$C$1406,3,FALSE)</f>
        <v>1612.692</v>
      </c>
    </row>
    <row r="847" spans="1:11">
      <c r="A847" s="192" t="s">
        <v>709</v>
      </c>
      <c r="B847" s="192">
        <v>0.75</v>
      </c>
      <c r="C847" s="192">
        <v>130296</v>
      </c>
      <c r="D847" s="192">
        <v>13401</v>
      </c>
      <c r="E847" s="192">
        <v>1</v>
      </c>
      <c r="F847" s="192">
        <v>1162</v>
      </c>
      <c r="G847" s="192">
        <v>15</v>
      </c>
      <c r="H847" s="192" t="s">
        <v>702</v>
      </c>
      <c r="I847" s="192" t="s">
        <v>65</v>
      </c>
      <c r="J847" s="192">
        <v>0.14499999582767487</v>
      </c>
      <c r="K847" s="192">
        <f>VLOOKUP($D847,'RBSA Weights'!$A$2:$C$1406,3,FALSE)</f>
        <v>4956.4930000000004</v>
      </c>
    </row>
    <row r="848" spans="1:11">
      <c r="A848" s="192" t="s">
        <v>709</v>
      </c>
      <c r="B848" s="192">
        <v>0.75</v>
      </c>
      <c r="C848" s="192">
        <v>208782</v>
      </c>
      <c r="D848" s="192">
        <v>23145</v>
      </c>
      <c r="E848" s="192">
        <v>1</v>
      </c>
      <c r="F848" s="192">
        <v>1482</v>
      </c>
      <c r="G848" s="192">
        <v>20</v>
      </c>
      <c r="H848" s="192" t="s">
        <v>705</v>
      </c>
      <c r="I848" s="192" t="s">
        <v>65</v>
      </c>
      <c r="J848" s="192">
        <v>0.14499999582767487</v>
      </c>
      <c r="K848" s="192">
        <f>VLOOKUP($D848,'RBSA Weights'!$A$2:$C$1406,3,FALSE)</f>
        <v>3785.7640000000001</v>
      </c>
    </row>
    <row r="849" spans="1:11">
      <c r="A849" s="192" t="s">
        <v>709</v>
      </c>
      <c r="B849" s="192">
        <v>0.75</v>
      </c>
      <c r="C849" s="192">
        <v>179020</v>
      </c>
      <c r="D849" s="192">
        <v>22225</v>
      </c>
      <c r="E849" s="192">
        <v>1</v>
      </c>
      <c r="F849" s="192">
        <v>1100</v>
      </c>
      <c r="G849" s="192">
        <v>50</v>
      </c>
      <c r="H849" s="192" t="s">
        <v>697</v>
      </c>
      <c r="I849" s="192" t="s">
        <v>65</v>
      </c>
      <c r="J849" s="192">
        <v>0.14499999582767487</v>
      </c>
      <c r="K849" s="192">
        <f>VLOOKUP($D849,'RBSA Weights'!$A$2:$C$1406,3,FALSE)</f>
        <v>1925.059</v>
      </c>
    </row>
    <row r="850" spans="1:11">
      <c r="A850" s="192" t="s">
        <v>709</v>
      </c>
      <c r="B850" s="192">
        <v>0.75</v>
      </c>
      <c r="C850" s="192">
        <v>89366</v>
      </c>
      <c r="D850" s="192">
        <v>11520</v>
      </c>
      <c r="E850" s="192">
        <v>1</v>
      </c>
      <c r="F850" s="192">
        <v>1456</v>
      </c>
      <c r="G850" s="192">
        <v>10</v>
      </c>
      <c r="H850" s="192" t="s">
        <v>702</v>
      </c>
      <c r="I850" s="192" t="s">
        <v>65</v>
      </c>
      <c r="J850" s="192">
        <v>0.14499999582767487</v>
      </c>
      <c r="K850" s="192">
        <f>VLOOKUP($D850,'RBSA Weights'!$A$2:$C$1406,3,FALSE)</f>
        <v>2003.7159999999999</v>
      </c>
    </row>
    <row r="851" spans="1:11">
      <c r="A851" s="192" t="s">
        <v>709</v>
      </c>
      <c r="B851" s="192">
        <v>0.9</v>
      </c>
      <c r="C851" s="192">
        <v>197605</v>
      </c>
      <c r="D851" s="192">
        <v>13975</v>
      </c>
      <c r="E851" s="192">
        <v>1</v>
      </c>
      <c r="F851" s="192">
        <v>810</v>
      </c>
      <c r="G851" s="192">
        <v>10</v>
      </c>
      <c r="H851" s="192" t="s">
        <v>705</v>
      </c>
      <c r="I851" s="192" t="s">
        <v>65</v>
      </c>
      <c r="J851" s="192">
        <v>7.5000002980232239E-2</v>
      </c>
      <c r="K851" s="192">
        <f>VLOOKUP($D851,'RBSA Weights'!$A$2:$C$1406,3,FALSE)</f>
        <v>4956.4930000000004</v>
      </c>
    </row>
    <row r="852" spans="1:11">
      <c r="A852" s="192" t="s">
        <v>709</v>
      </c>
      <c r="B852" s="192">
        <v>0.9</v>
      </c>
      <c r="C852" s="192">
        <v>89577</v>
      </c>
      <c r="D852" s="192">
        <v>23674</v>
      </c>
      <c r="E852" s="192">
        <v>1</v>
      </c>
      <c r="F852" s="192">
        <v>972</v>
      </c>
      <c r="G852" s="192">
        <v>12</v>
      </c>
      <c r="H852" s="192" t="s">
        <v>705</v>
      </c>
      <c r="I852" s="192" t="s">
        <v>65</v>
      </c>
      <c r="J852" s="192">
        <v>7.5000002980232239E-2</v>
      </c>
      <c r="K852" s="192">
        <f>VLOOKUP($D852,'RBSA Weights'!$A$2:$C$1406,3,FALSE)</f>
        <v>1144.6790000000001</v>
      </c>
    </row>
    <row r="853" spans="1:11">
      <c r="A853" s="192" t="s">
        <v>709</v>
      </c>
      <c r="B853" s="192">
        <v>0.9</v>
      </c>
      <c r="C853" s="192">
        <v>142617</v>
      </c>
      <c r="D853" s="192">
        <v>20188</v>
      </c>
      <c r="E853" s="192">
        <v>1</v>
      </c>
      <c r="F853" s="192">
        <v>1305</v>
      </c>
      <c r="G853" s="192">
        <v>10</v>
      </c>
      <c r="H853" s="192" t="s">
        <v>705</v>
      </c>
      <c r="I853" s="192" t="s">
        <v>65</v>
      </c>
      <c r="J853" s="192">
        <v>7.5000002980232239E-2</v>
      </c>
      <c r="K853" s="192">
        <f>VLOOKUP($D853,'RBSA Weights'!$A$2:$C$1406,3,FALSE)</f>
        <v>1612.692</v>
      </c>
    </row>
    <row r="854" spans="1:11">
      <c r="A854" s="192" t="s">
        <v>709</v>
      </c>
      <c r="B854" s="192">
        <v>0.9</v>
      </c>
      <c r="C854" s="192">
        <v>193508</v>
      </c>
      <c r="D854" s="192">
        <v>20472</v>
      </c>
      <c r="E854" s="192">
        <v>2</v>
      </c>
      <c r="F854" s="192">
        <v>377</v>
      </c>
      <c r="G854" s="192">
        <v>50</v>
      </c>
      <c r="H854" s="192" t="s">
        <v>697</v>
      </c>
      <c r="I854" s="192" t="s">
        <v>65</v>
      </c>
      <c r="J854" s="192">
        <v>7.5000002980232239E-2</v>
      </c>
      <c r="K854" s="192">
        <f>VLOOKUP($D854,'RBSA Weights'!$A$2:$C$1406,3,FALSE)</f>
        <v>1612.692</v>
      </c>
    </row>
    <row r="855" spans="1:11">
      <c r="A855" s="192" t="s">
        <v>709</v>
      </c>
      <c r="B855" s="192">
        <v>0.9</v>
      </c>
      <c r="C855" s="192">
        <v>211461</v>
      </c>
      <c r="D855" s="192">
        <v>21070</v>
      </c>
      <c r="E855" s="192">
        <v>1</v>
      </c>
      <c r="F855" s="192">
        <v>1380</v>
      </c>
      <c r="G855" s="192">
        <v>12</v>
      </c>
      <c r="H855" s="192" t="s">
        <v>705</v>
      </c>
      <c r="I855" s="192" t="s">
        <v>65</v>
      </c>
      <c r="J855" s="192">
        <v>7.5000002980232239E-2</v>
      </c>
      <c r="K855" s="192">
        <f>VLOOKUP($D855,'RBSA Weights'!$A$2:$C$1406,3,FALSE)</f>
        <v>1904.288</v>
      </c>
    </row>
    <row r="856" spans="1:11">
      <c r="A856" s="192" t="s">
        <v>709</v>
      </c>
      <c r="B856" s="192">
        <v>0.9</v>
      </c>
      <c r="C856" s="192">
        <v>67601</v>
      </c>
      <c r="D856" s="192">
        <v>20076</v>
      </c>
      <c r="E856" s="192">
        <v>1</v>
      </c>
      <c r="F856" s="192">
        <v>2136</v>
      </c>
      <c r="G856" s="192">
        <v>5</v>
      </c>
      <c r="H856" s="192" t="s">
        <v>705</v>
      </c>
      <c r="I856" s="192" t="s">
        <v>65</v>
      </c>
      <c r="J856" s="192">
        <v>7.5000002980232239E-2</v>
      </c>
      <c r="K856" s="192">
        <f>VLOOKUP($D856,'RBSA Weights'!$A$2:$C$1406,3,FALSE)</f>
        <v>3785.7640000000001</v>
      </c>
    </row>
    <row r="857" spans="1:11">
      <c r="A857" s="192" t="s">
        <v>709</v>
      </c>
      <c r="B857" s="192">
        <v>0.9</v>
      </c>
      <c r="C857" s="192">
        <v>168483</v>
      </c>
      <c r="D857" s="192">
        <v>10245</v>
      </c>
      <c r="E857" s="192">
        <v>1</v>
      </c>
      <c r="F857" s="192">
        <v>1850</v>
      </c>
      <c r="G857" s="192">
        <v>0</v>
      </c>
      <c r="H857" s="192" t="s">
        <v>705</v>
      </c>
      <c r="I857" s="192" t="s">
        <v>65</v>
      </c>
      <c r="J857" s="192">
        <v>7.5000002980232239E-2</v>
      </c>
      <c r="K857" s="192">
        <f>VLOOKUP($D857,'RBSA Weights'!$A$2:$C$1406,3,FALSE)</f>
        <v>6932.7380000000003</v>
      </c>
    </row>
    <row r="858" spans="1:11">
      <c r="A858" s="192" t="s">
        <v>709</v>
      </c>
      <c r="B858" s="192">
        <v>0.9</v>
      </c>
      <c r="C858" s="192">
        <v>209010</v>
      </c>
      <c r="D858" s="192">
        <v>22179</v>
      </c>
      <c r="E858" s="192">
        <v>1</v>
      </c>
      <c r="F858" s="192">
        <v>900</v>
      </c>
      <c r="G858" s="192">
        <v>10</v>
      </c>
      <c r="H858" s="192" t="s">
        <v>697</v>
      </c>
      <c r="I858" s="192" t="s">
        <v>65</v>
      </c>
      <c r="J858" s="192">
        <v>7.5000002980232239E-2</v>
      </c>
      <c r="K858" s="192">
        <f>VLOOKUP($D858,'RBSA Weights'!$A$2:$C$1406,3,FALSE)</f>
        <v>3785.7640000000001</v>
      </c>
    </row>
    <row r="859" spans="1:11">
      <c r="A859" s="192" t="s">
        <v>709</v>
      </c>
      <c r="B859" s="192">
        <v>0.9</v>
      </c>
      <c r="C859" s="192">
        <v>116549</v>
      </c>
      <c r="D859" s="192">
        <v>22212</v>
      </c>
      <c r="E859" s="192">
        <v>1</v>
      </c>
      <c r="F859" s="192">
        <v>1632</v>
      </c>
      <c r="G859" s="192">
        <v>12</v>
      </c>
      <c r="H859" s="192" t="s">
        <v>702</v>
      </c>
      <c r="I859" s="192" t="s">
        <v>65</v>
      </c>
      <c r="J859" s="192">
        <v>7.5000002980232239E-2</v>
      </c>
      <c r="K859" s="192">
        <f>VLOOKUP($D859,'RBSA Weights'!$A$2:$C$1406,3,FALSE)</f>
        <v>1612.692</v>
      </c>
    </row>
    <row r="860" spans="1:11">
      <c r="A860" s="192" t="s">
        <v>709</v>
      </c>
      <c r="B860" s="192">
        <v>0.9</v>
      </c>
      <c r="C860" s="192">
        <v>70052</v>
      </c>
      <c r="D860" s="192">
        <v>21459</v>
      </c>
      <c r="E860" s="192">
        <v>1</v>
      </c>
      <c r="F860" s="192">
        <v>625</v>
      </c>
      <c r="H860" s="192" t="s">
        <v>65</v>
      </c>
      <c r="I860" s="192" t="s">
        <v>779</v>
      </c>
      <c r="J860" s="192">
        <v>7.5000002980232239E-2</v>
      </c>
      <c r="K860" s="192">
        <f>VLOOKUP($D860,'RBSA Weights'!$A$2:$C$1406,3,FALSE)</f>
        <v>1144.6790000000001</v>
      </c>
    </row>
    <row r="861" spans="1:11">
      <c r="A861" s="192" t="s">
        <v>709</v>
      </c>
      <c r="B861" s="192">
        <v>0.9</v>
      </c>
      <c r="C861" s="192">
        <v>192513</v>
      </c>
      <c r="D861" s="192">
        <v>13490</v>
      </c>
      <c r="E861" s="192">
        <v>1</v>
      </c>
      <c r="F861" s="192">
        <v>1560</v>
      </c>
      <c r="G861" s="192">
        <v>0</v>
      </c>
      <c r="H861" s="192" t="s">
        <v>697</v>
      </c>
      <c r="I861" s="192" t="s">
        <v>65</v>
      </c>
      <c r="J861" s="192">
        <v>7.5000002980232239E-2</v>
      </c>
      <c r="K861" s="192">
        <f>VLOOKUP($D861,'RBSA Weights'!$A$2:$C$1406,3,FALSE)</f>
        <v>1464.694</v>
      </c>
    </row>
    <row r="862" spans="1:11">
      <c r="A862" s="192" t="s">
        <v>709</v>
      </c>
      <c r="B862" s="192">
        <v>0.9</v>
      </c>
      <c r="C862" s="192">
        <v>59059</v>
      </c>
      <c r="D862" s="192">
        <v>10401</v>
      </c>
      <c r="E862" s="192">
        <v>1</v>
      </c>
      <c r="F862" s="192">
        <v>1488</v>
      </c>
      <c r="G862" s="192">
        <v>15</v>
      </c>
      <c r="H862" s="192" t="s">
        <v>702</v>
      </c>
      <c r="I862" s="192" t="s">
        <v>65</v>
      </c>
      <c r="J862" s="192">
        <v>7.5000002980232239E-2</v>
      </c>
      <c r="K862" s="192">
        <f>VLOOKUP($D862,'RBSA Weights'!$A$2:$C$1406,3,FALSE)</f>
        <v>2003.7159999999999</v>
      </c>
    </row>
    <row r="863" spans="1:11">
      <c r="A863" s="192" t="s">
        <v>709</v>
      </c>
      <c r="B863" s="192">
        <v>0.9</v>
      </c>
      <c r="C863" s="192">
        <v>159065</v>
      </c>
      <c r="D863" s="192">
        <v>11914</v>
      </c>
      <c r="E863" s="192">
        <v>1</v>
      </c>
      <c r="F863" s="192">
        <v>1500</v>
      </c>
      <c r="G863" s="192">
        <v>0</v>
      </c>
      <c r="H863" s="192" t="s">
        <v>697</v>
      </c>
      <c r="I863" s="192" t="s">
        <v>65</v>
      </c>
      <c r="J863" s="192">
        <v>7.5000002980232239E-2</v>
      </c>
      <c r="K863" s="192">
        <f>VLOOKUP($D863,'RBSA Weights'!$A$2:$C$1406,3,FALSE)</f>
        <v>6932.7380000000003</v>
      </c>
    </row>
    <row r="864" spans="1:11">
      <c r="A864" s="192" t="s">
        <v>709</v>
      </c>
      <c r="B864" s="192">
        <v>0.9</v>
      </c>
      <c r="C864" s="192">
        <v>180302</v>
      </c>
      <c r="D864" s="192">
        <v>24093</v>
      </c>
      <c r="E864" s="192">
        <v>1</v>
      </c>
      <c r="F864" s="192">
        <v>1241</v>
      </c>
      <c r="G864" s="192">
        <v>20</v>
      </c>
      <c r="H864" s="192" t="s">
        <v>705</v>
      </c>
      <c r="I864" s="192" t="s">
        <v>65</v>
      </c>
      <c r="J864" s="192">
        <v>7.5000002980232239E-2</v>
      </c>
      <c r="K864" s="192">
        <f>VLOOKUP($D864,'RBSA Weights'!$A$2:$C$1406,3,FALSE)</f>
        <v>1192.4649999999999</v>
      </c>
    </row>
    <row r="865" spans="1:11">
      <c r="A865" s="192" t="s">
        <v>709</v>
      </c>
      <c r="B865" s="192">
        <v>0.9</v>
      </c>
      <c r="C865" s="192">
        <v>201901</v>
      </c>
      <c r="D865" s="192">
        <v>22087</v>
      </c>
      <c r="E865" s="192">
        <v>2</v>
      </c>
      <c r="F865" s="192">
        <v>860</v>
      </c>
      <c r="G865" s="192">
        <v>12</v>
      </c>
      <c r="H865" s="192" t="s">
        <v>700</v>
      </c>
      <c r="I865" s="192" t="s">
        <v>65</v>
      </c>
      <c r="J865" s="192">
        <v>7.5000002980232239E-2</v>
      </c>
      <c r="K865" s="192">
        <f>VLOOKUP($D865,'RBSA Weights'!$A$2:$C$1406,3,FALSE)</f>
        <v>1612.692</v>
      </c>
    </row>
    <row r="866" spans="1:11">
      <c r="A866" s="192" t="s">
        <v>709</v>
      </c>
      <c r="B866" s="192">
        <v>0.9</v>
      </c>
      <c r="C866" s="192">
        <v>209139</v>
      </c>
      <c r="D866" s="192">
        <v>23233</v>
      </c>
      <c r="E866" s="192">
        <v>1</v>
      </c>
      <c r="F866" s="192">
        <v>1972</v>
      </c>
      <c r="G866" s="192">
        <v>12</v>
      </c>
      <c r="H866" s="192" t="s">
        <v>705</v>
      </c>
      <c r="I866" s="192" t="s">
        <v>65</v>
      </c>
      <c r="J866" s="192">
        <v>7.5000002980232239E-2</v>
      </c>
      <c r="K866" s="192">
        <f>VLOOKUP($D866,'RBSA Weights'!$A$2:$C$1406,3,FALSE)</f>
        <v>1904.288</v>
      </c>
    </row>
    <row r="867" spans="1:11">
      <c r="A867" s="192" t="s">
        <v>709</v>
      </c>
      <c r="B867" s="192">
        <v>0.9</v>
      </c>
      <c r="C867" s="192">
        <v>203403</v>
      </c>
      <c r="D867" s="192">
        <v>20976</v>
      </c>
      <c r="E867" s="192">
        <v>1</v>
      </c>
      <c r="F867" s="192">
        <v>1050</v>
      </c>
      <c r="G867" s="192">
        <v>12</v>
      </c>
      <c r="H867" s="192" t="s">
        <v>702</v>
      </c>
      <c r="I867" s="192" t="s">
        <v>65</v>
      </c>
      <c r="J867" s="192">
        <v>7.5000002980232239E-2</v>
      </c>
      <c r="K867" s="192">
        <f>VLOOKUP($D867,'RBSA Weights'!$A$2:$C$1406,3,FALSE)</f>
        <v>1192.4649999999999</v>
      </c>
    </row>
    <row r="868" spans="1:11">
      <c r="A868" s="192" t="s">
        <v>709</v>
      </c>
      <c r="B868" s="192">
        <v>0.9</v>
      </c>
      <c r="C868" s="192">
        <v>41514</v>
      </c>
      <c r="D868" s="192">
        <v>11971</v>
      </c>
      <c r="E868" s="192">
        <v>1</v>
      </c>
      <c r="F868" s="192">
        <v>1400</v>
      </c>
      <c r="G868" s="192">
        <v>24</v>
      </c>
      <c r="H868" s="192" t="s">
        <v>699</v>
      </c>
      <c r="I868" s="192" t="s">
        <v>65</v>
      </c>
      <c r="J868" s="192">
        <v>7.5000002980232239E-2</v>
      </c>
      <c r="K868" s="192">
        <f>VLOOKUP($D868,'RBSA Weights'!$A$2:$C$1406,3,FALSE)</f>
        <v>1524.7619999999999</v>
      </c>
    </row>
    <row r="869" spans="1:11">
      <c r="A869" s="192" t="s">
        <v>709</v>
      </c>
      <c r="B869" s="192">
        <v>0.9</v>
      </c>
      <c r="C869" s="192">
        <v>39591</v>
      </c>
      <c r="D869" s="192">
        <v>12242</v>
      </c>
      <c r="E869" s="192">
        <v>1</v>
      </c>
      <c r="F869" s="192">
        <v>834</v>
      </c>
      <c r="G869" s="192">
        <v>10</v>
      </c>
      <c r="H869" s="192" t="s">
        <v>702</v>
      </c>
      <c r="I869" s="192" t="s">
        <v>65</v>
      </c>
      <c r="J869" s="192">
        <v>7.5000002980232239E-2</v>
      </c>
      <c r="K869" s="192">
        <f>VLOOKUP($D869,'RBSA Weights'!$A$2:$C$1406,3,FALSE)</f>
        <v>1524.7619999999999</v>
      </c>
    </row>
    <row r="870" spans="1:11">
      <c r="A870" s="192" t="s">
        <v>709</v>
      </c>
      <c r="B870" s="192">
        <v>0.9</v>
      </c>
      <c r="C870" s="192">
        <v>116222</v>
      </c>
      <c r="D870" s="192">
        <v>13154</v>
      </c>
      <c r="E870" s="192">
        <v>1</v>
      </c>
      <c r="F870" s="192">
        <v>1435</v>
      </c>
      <c r="G870" s="192">
        <v>5</v>
      </c>
      <c r="H870" s="192" t="s">
        <v>705</v>
      </c>
      <c r="I870" s="192" t="s">
        <v>65</v>
      </c>
      <c r="J870" s="192">
        <v>7.5000002980232239E-2</v>
      </c>
      <c r="K870" s="192">
        <f>VLOOKUP($D870,'RBSA Weights'!$A$2:$C$1406,3,FALSE)</f>
        <v>4956.4930000000004</v>
      </c>
    </row>
    <row r="871" spans="1:11">
      <c r="A871" s="192" t="s">
        <v>709</v>
      </c>
      <c r="B871" s="192">
        <v>0.9</v>
      </c>
      <c r="C871" s="192">
        <v>173875</v>
      </c>
      <c r="D871" s="192">
        <v>22024</v>
      </c>
      <c r="E871" s="192">
        <v>1</v>
      </c>
      <c r="F871" s="192">
        <v>1540</v>
      </c>
      <c r="G871" s="192">
        <v>12</v>
      </c>
      <c r="H871" s="192" t="s">
        <v>702</v>
      </c>
      <c r="I871" s="192" t="s">
        <v>65</v>
      </c>
      <c r="J871" s="192">
        <v>7.5000002980232239E-2</v>
      </c>
      <c r="K871" s="192">
        <f>VLOOKUP($D871,'RBSA Weights'!$A$2:$C$1406,3,FALSE)</f>
        <v>1192.4649999999999</v>
      </c>
    </row>
    <row r="872" spans="1:11">
      <c r="A872" s="192" t="s">
        <v>709</v>
      </c>
      <c r="B872" s="192">
        <v>0.9</v>
      </c>
      <c r="C872" s="192">
        <v>213625</v>
      </c>
      <c r="D872" s="192">
        <v>23830</v>
      </c>
      <c r="E872" s="192">
        <v>1</v>
      </c>
      <c r="F872" s="192">
        <v>1968</v>
      </c>
      <c r="G872" s="192">
        <v>50</v>
      </c>
      <c r="H872" s="192" t="s">
        <v>702</v>
      </c>
      <c r="I872" s="192" t="s">
        <v>65</v>
      </c>
      <c r="J872" s="192">
        <v>7.5000002980232239E-2</v>
      </c>
      <c r="K872" s="192">
        <f>VLOOKUP($D872,'RBSA Weights'!$A$2:$C$1406,3,FALSE)</f>
        <v>1612.692</v>
      </c>
    </row>
    <row r="873" spans="1:11">
      <c r="A873" s="192" t="s">
        <v>709</v>
      </c>
      <c r="B873" s="192">
        <v>0.9</v>
      </c>
      <c r="C873" s="192">
        <v>220365</v>
      </c>
      <c r="D873" s="192">
        <v>23640</v>
      </c>
      <c r="E873" s="192">
        <v>1</v>
      </c>
      <c r="F873" s="192">
        <v>788</v>
      </c>
      <c r="G873" s="192">
        <v>15</v>
      </c>
      <c r="H873" s="192" t="s">
        <v>705</v>
      </c>
      <c r="I873" s="192" t="s">
        <v>65</v>
      </c>
      <c r="J873" s="192">
        <v>7.5000002980232239E-2</v>
      </c>
      <c r="K873" s="192">
        <f>VLOOKUP($D873,'RBSA Weights'!$A$2:$C$1406,3,FALSE)</f>
        <v>2130.886</v>
      </c>
    </row>
    <row r="874" spans="1:11">
      <c r="A874" s="192" t="s">
        <v>709</v>
      </c>
      <c r="B874" s="192">
        <v>0.9</v>
      </c>
      <c r="C874" s="192">
        <v>172715</v>
      </c>
      <c r="D874" s="192">
        <v>11675</v>
      </c>
      <c r="E874" s="192">
        <v>1</v>
      </c>
      <c r="F874" s="192">
        <v>1622</v>
      </c>
      <c r="G874" s="192">
        <v>15</v>
      </c>
      <c r="H874" s="192" t="s">
        <v>702</v>
      </c>
      <c r="I874" s="192" t="s">
        <v>65</v>
      </c>
      <c r="J874" s="192">
        <v>7.5000002980232239E-2</v>
      </c>
      <c r="K874" s="192">
        <f>VLOOKUP($D874,'RBSA Weights'!$A$2:$C$1406,3,FALSE)</f>
        <v>6932.7380000000003</v>
      </c>
    </row>
    <row r="875" spans="1:11">
      <c r="A875" s="192" t="s">
        <v>709</v>
      </c>
      <c r="B875" s="192">
        <v>0.9</v>
      </c>
      <c r="C875" s="192">
        <v>163967</v>
      </c>
      <c r="D875" s="192">
        <v>24559</v>
      </c>
      <c r="E875" s="192">
        <v>1</v>
      </c>
      <c r="F875" s="192">
        <v>1500</v>
      </c>
      <c r="G875" s="192">
        <v>20</v>
      </c>
      <c r="H875" s="192" t="s">
        <v>702</v>
      </c>
      <c r="I875" s="192" t="s">
        <v>65</v>
      </c>
      <c r="J875" s="192">
        <v>7.5000002980232239E-2</v>
      </c>
      <c r="K875" s="192">
        <f>VLOOKUP($D875,'RBSA Weights'!$A$2:$C$1406,3,FALSE)</f>
        <v>2130.886</v>
      </c>
    </row>
    <row r="876" spans="1:11">
      <c r="A876" s="192" t="s">
        <v>709</v>
      </c>
      <c r="B876" s="192">
        <v>0.9</v>
      </c>
      <c r="C876" s="192">
        <v>161361</v>
      </c>
      <c r="D876" s="192">
        <v>20593</v>
      </c>
      <c r="E876" s="192">
        <v>1</v>
      </c>
      <c r="F876" s="192">
        <v>2455</v>
      </c>
      <c r="G876" s="192">
        <v>0</v>
      </c>
      <c r="H876" s="192" t="s">
        <v>705</v>
      </c>
      <c r="I876" s="192" t="s">
        <v>65</v>
      </c>
      <c r="J876" s="192">
        <v>7.5000002980232239E-2</v>
      </c>
      <c r="K876" s="192">
        <f>VLOOKUP($D876,'RBSA Weights'!$A$2:$C$1406,3,FALSE)</f>
        <v>2130.886</v>
      </c>
    </row>
    <row r="877" spans="1:11">
      <c r="A877" s="192" t="s">
        <v>709</v>
      </c>
      <c r="B877" s="192">
        <v>0.9</v>
      </c>
      <c r="C877" s="192">
        <v>41063</v>
      </c>
      <c r="D877" s="192">
        <v>14017</v>
      </c>
      <c r="E877" s="192">
        <v>1</v>
      </c>
      <c r="F877" s="192">
        <v>1218</v>
      </c>
      <c r="G877" s="192">
        <v>8</v>
      </c>
      <c r="H877" s="192" t="s">
        <v>705</v>
      </c>
      <c r="I877" s="192" t="s">
        <v>65</v>
      </c>
      <c r="J877" s="192">
        <v>7.5000002980232239E-2</v>
      </c>
      <c r="K877" s="192">
        <f>VLOOKUP($D877,'RBSA Weights'!$A$2:$C$1406,3,FALSE)</f>
        <v>1188.027</v>
      </c>
    </row>
    <row r="878" spans="1:11">
      <c r="A878" s="192" t="s">
        <v>709</v>
      </c>
      <c r="B878" s="192">
        <v>0.9</v>
      </c>
      <c r="C878" s="192">
        <v>156022</v>
      </c>
      <c r="D878" s="192">
        <v>20408</v>
      </c>
      <c r="E878" s="192">
        <v>1</v>
      </c>
      <c r="F878" s="192">
        <v>1075</v>
      </c>
      <c r="G878" s="192">
        <v>12</v>
      </c>
      <c r="H878" s="192" t="s">
        <v>705</v>
      </c>
      <c r="I878" s="192" t="s">
        <v>65</v>
      </c>
      <c r="J878" s="192">
        <v>7.5000002980232239E-2</v>
      </c>
      <c r="K878" s="192">
        <f>VLOOKUP($D878,'RBSA Weights'!$A$2:$C$1406,3,FALSE)</f>
        <v>2079.9929999999999</v>
      </c>
    </row>
    <row r="879" spans="1:11">
      <c r="A879" s="192" t="s">
        <v>709</v>
      </c>
      <c r="B879" s="192">
        <v>0.9</v>
      </c>
      <c r="C879" s="192">
        <v>68795</v>
      </c>
      <c r="D879" s="192">
        <v>20716</v>
      </c>
      <c r="E879" s="192">
        <v>1</v>
      </c>
      <c r="F879" s="192">
        <v>822</v>
      </c>
      <c r="G879" s="192">
        <v>20</v>
      </c>
      <c r="H879" s="192" t="s">
        <v>705</v>
      </c>
      <c r="I879" s="192" t="s">
        <v>65</v>
      </c>
      <c r="J879" s="192">
        <v>7.5000002980232239E-2</v>
      </c>
      <c r="K879" s="192">
        <f>VLOOKUP($D879,'RBSA Weights'!$A$2:$C$1406,3,FALSE)</f>
        <v>1144.6790000000001</v>
      </c>
    </row>
    <row r="880" spans="1:11">
      <c r="A880" s="192" t="s">
        <v>709</v>
      </c>
      <c r="B880" s="192">
        <v>0.9</v>
      </c>
      <c r="C880" s="192">
        <v>230280</v>
      </c>
      <c r="D880" s="192">
        <v>21003</v>
      </c>
      <c r="E880" s="192">
        <v>1</v>
      </c>
      <c r="F880" s="192">
        <v>2513</v>
      </c>
      <c r="G880" s="192">
        <v>49</v>
      </c>
      <c r="H880" s="192" t="s">
        <v>705</v>
      </c>
      <c r="I880" s="192" t="s">
        <v>65</v>
      </c>
      <c r="J880" s="192">
        <v>7.5000002980232239E-2</v>
      </c>
      <c r="K880" s="192">
        <f>VLOOKUP($D880,'RBSA Weights'!$A$2:$C$1406,3,FALSE)</f>
        <v>2079.9929999999999</v>
      </c>
    </row>
    <row r="881" spans="1:11">
      <c r="A881" s="192" t="s">
        <v>709</v>
      </c>
      <c r="B881" s="192">
        <v>0.9</v>
      </c>
      <c r="C881" s="192">
        <v>242119</v>
      </c>
      <c r="D881" s="192">
        <v>22854</v>
      </c>
      <c r="E881" s="192">
        <v>1</v>
      </c>
      <c r="F881" s="192">
        <v>1222</v>
      </c>
      <c r="H881" s="192" t="s">
        <v>65</v>
      </c>
      <c r="I881" s="192" t="s">
        <v>780</v>
      </c>
      <c r="J881" s="192">
        <v>7.5000002980232239E-2</v>
      </c>
      <c r="K881" s="192">
        <f>VLOOKUP($D881,'RBSA Weights'!$A$2:$C$1406,3,FALSE)</f>
        <v>1144.6790000000001</v>
      </c>
    </row>
    <row r="882" spans="1:11">
      <c r="A882" s="192" t="s">
        <v>709</v>
      </c>
      <c r="B882" s="192">
        <v>0.9</v>
      </c>
      <c r="C882" s="192">
        <v>803121</v>
      </c>
      <c r="D882" s="192">
        <v>14143</v>
      </c>
      <c r="E882" s="192">
        <v>1</v>
      </c>
      <c r="F882" s="192">
        <v>1152</v>
      </c>
      <c r="G882" s="192">
        <v>12</v>
      </c>
      <c r="H882" s="192" t="s">
        <v>705</v>
      </c>
      <c r="I882" s="192" t="s">
        <v>65</v>
      </c>
      <c r="J882" s="192">
        <v>7.5000002980232239E-2</v>
      </c>
      <c r="K882" s="192">
        <f>VLOOKUP($D882,'RBSA Weights'!$A$2:$C$1406,3,FALSE)</f>
        <v>1464.694</v>
      </c>
    </row>
    <row r="883" spans="1:11">
      <c r="A883" s="192" t="s">
        <v>709</v>
      </c>
      <c r="B883" s="192">
        <v>0.9</v>
      </c>
      <c r="C883" s="192">
        <v>802994</v>
      </c>
      <c r="D883" s="192">
        <v>12111</v>
      </c>
      <c r="E883" s="192">
        <v>2</v>
      </c>
      <c r="F883" s="192">
        <v>300</v>
      </c>
      <c r="G883" s="192">
        <v>12</v>
      </c>
      <c r="H883" s="192" t="s">
        <v>705</v>
      </c>
      <c r="I883" s="192" t="s">
        <v>65</v>
      </c>
      <c r="J883" s="192">
        <v>7.5000002980232239E-2</v>
      </c>
      <c r="K883" s="192">
        <f>VLOOKUP($D883,'RBSA Weights'!$A$2:$C$1406,3,FALSE)</f>
        <v>1464.694</v>
      </c>
    </row>
    <row r="884" spans="1:11">
      <c r="A884" s="192" t="s">
        <v>709</v>
      </c>
      <c r="B884" s="192">
        <v>0.9</v>
      </c>
      <c r="C884" s="192">
        <v>80879</v>
      </c>
      <c r="D884" s="192">
        <v>23178</v>
      </c>
      <c r="E884" s="192">
        <v>1</v>
      </c>
      <c r="F884" s="192">
        <v>1188</v>
      </c>
      <c r="G884" s="192">
        <v>20</v>
      </c>
      <c r="H884" s="192" t="s">
        <v>697</v>
      </c>
      <c r="I884" s="192" t="s">
        <v>65</v>
      </c>
      <c r="J884" s="192">
        <v>7.5000002980232239E-2</v>
      </c>
      <c r="K884" s="192">
        <f>VLOOKUP($D884,'RBSA Weights'!$A$2:$C$1406,3,FALSE)</f>
        <v>3785.7640000000001</v>
      </c>
    </row>
    <row r="885" spans="1:11">
      <c r="A885" s="192" t="s">
        <v>709</v>
      </c>
      <c r="B885" s="192">
        <v>0.9</v>
      </c>
      <c r="C885" s="192">
        <v>229812</v>
      </c>
      <c r="D885" s="192">
        <v>24770</v>
      </c>
      <c r="E885" s="192">
        <v>1</v>
      </c>
      <c r="F885" s="192">
        <v>1532</v>
      </c>
      <c r="G885" s="192">
        <v>20</v>
      </c>
      <c r="H885" s="192" t="s">
        <v>705</v>
      </c>
      <c r="I885" s="192" t="s">
        <v>65</v>
      </c>
      <c r="J885" s="192">
        <v>7.5000002980232239E-2</v>
      </c>
      <c r="K885" s="192">
        <f>VLOOKUP($D885,'RBSA Weights'!$A$2:$C$1406,3,FALSE)</f>
        <v>3785.7640000000001</v>
      </c>
    </row>
    <row r="886" spans="1:11">
      <c r="A886" s="192" t="s">
        <v>709</v>
      </c>
      <c r="B886" s="192">
        <v>0.9</v>
      </c>
      <c r="C886" s="192">
        <v>98607</v>
      </c>
      <c r="D886" s="192">
        <v>20185</v>
      </c>
      <c r="E886" s="192">
        <v>1</v>
      </c>
      <c r="F886" s="192">
        <v>1008</v>
      </c>
      <c r="G886" s="192">
        <v>49</v>
      </c>
      <c r="H886" s="192" t="s">
        <v>697</v>
      </c>
      <c r="I886" s="192" t="s">
        <v>65</v>
      </c>
      <c r="J886" s="192">
        <v>7.5000002980232239E-2</v>
      </c>
      <c r="K886" s="192">
        <f>VLOOKUP($D886,'RBSA Weights'!$A$2:$C$1406,3,FALSE)</f>
        <v>1904.288</v>
      </c>
    </row>
    <row r="887" spans="1:11">
      <c r="A887" s="192" t="s">
        <v>709</v>
      </c>
      <c r="B887" s="192">
        <v>0.9</v>
      </c>
      <c r="C887" s="192">
        <v>677473</v>
      </c>
      <c r="D887" s="192">
        <v>13131</v>
      </c>
      <c r="E887" s="192">
        <v>1</v>
      </c>
      <c r="F887" s="192">
        <v>1324</v>
      </c>
      <c r="G887" s="192">
        <v>10</v>
      </c>
      <c r="H887" s="192" t="s">
        <v>702</v>
      </c>
      <c r="I887" s="192" t="s">
        <v>781</v>
      </c>
      <c r="J887" s="192">
        <v>7.5000002980232239E-2</v>
      </c>
      <c r="K887" s="192">
        <f>VLOOKUP($D887,'RBSA Weights'!$A$2:$C$1406,3,FALSE)</f>
        <v>1464.694</v>
      </c>
    </row>
    <row r="888" spans="1:11">
      <c r="A888" s="192" t="s">
        <v>709</v>
      </c>
      <c r="B888" s="192">
        <v>0.9</v>
      </c>
      <c r="C888" s="192">
        <v>195921</v>
      </c>
      <c r="D888" s="192">
        <v>22302</v>
      </c>
      <c r="E888" s="192">
        <v>1</v>
      </c>
      <c r="F888" s="192">
        <v>1953</v>
      </c>
      <c r="G888" s="192">
        <v>12</v>
      </c>
      <c r="H888" s="192" t="s">
        <v>705</v>
      </c>
      <c r="I888" s="192" t="s">
        <v>65</v>
      </c>
      <c r="J888" s="192">
        <v>7.5000002980232239E-2</v>
      </c>
      <c r="K888" s="192">
        <f>VLOOKUP($D888,'RBSA Weights'!$A$2:$C$1406,3,FALSE)</f>
        <v>1612.692</v>
      </c>
    </row>
    <row r="889" spans="1:11">
      <c r="A889" s="192" t="s">
        <v>709</v>
      </c>
      <c r="B889" s="192">
        <v>0.9</v>
      </c>
      <c r="C889" s="192">
        <v>229812</v>
      </c>
      <c r="D889" s="192">
        <v>24770</v>
      </c>
      <c r="E889" s="192">
        <v>2</v>
      </c>
      <c r="F889" s="192">
        <v>78</v>
      </c>
      <c r="G889" s="192">
        <v>0</v>
      </c>
      <c r="H889" s="192" t="s">
        <v>705</v>
      </c>
      <c r="I889" s="192" t="s">
        <v>782</v>
      </c>
      <c r="J889" s="192">
        <v>7.5000002980232239E-2</v>
      </c>
      <c r="K889" s="192">
        <f>VLOOKUP($D889,'RBSA Weights'!$A$2:$C$1406,3,FALSE)</f>
        <v>3785.7640000000001</v>
      </c>
    </row>
    <row r="890" spans="1:11">
      <c r="A890" s="192" t="s">
        <v>709</v>
      </c>
      <c r="B890" s="192">
        <v>0.9</v>
      </c>
      <c r="C890" s="192">
        <v>71482</v>
      </c>
      <c r="D890" s="192">
        <v>21436</v>
      </c>
      <c r="E890" s="192">
        <v>1</v>
      </c>
      <c r="F890" s="192">
        <v>816</v>
      </c>
      <c r="G890" s="192">
        <v>20</v>
      </c>
      <c r="H890" s="192" t="s">
        <v>705</v>
      </c>
      <c r="I890" s="192" t="s">
        <v>65</v>
      </c>
      <c r="J890" s="192">
        <v>7.5000002980232239E-2</v>
      </c>
      <c r="K890" s="192">
        <f>VLOOKUP($D890,'RBSA Weights'!$A$2:$C$1406,3,FALSE)</f>
        <v>3785.7640000000001</v>
      </c>
    </row>
    <row r="891" spans="1:11">
      <c r="A891" s="192" t="s">
        <v>709</v>
      </c>
      <c r="B891" s="192">
        <v>0.9</v>
      </c>
      <c r="C891" s="192">
        <v>143079</v>
      </c>
      <c r="D891" s="192">
        <v>21176</v>
      </c>
      <c r="E891" s="192">
        <v>1</v>
      </c>
      <c r="F891" s="192">
        <v>789</v>
      </c>
      <c r="G891" s="192">
        <v>20</v>
      </c>
      <c r="H891" s="192" t="s">
        <v>705</v>
      </c>
      <c r="I891" s="192" t="s">
        <v>65</v>
      </c>
      <c r="J891" s="192">
        <v>7.5000002980232239E-2</v>
      </c>
      <c r="K891" s="192">
        <f>VLOOKUP($D891,'RBSA Weights'!$A$2:$C$1406,3,FALSE)</f>
        <v>1192.4649999999999</v>
      </c>
    </row>
    <row r="892" spans="1:11">
      <c r="A892" s="192" t="s">
        <v>709</v>
      </c>
      <c r="B892" s="192">
        <v>0.9</v>
      </c>
      <c r="C892" s="192">
        <v>205939</v>
      </c>
      <c r="D892" s="192">
        <v>22181</v>
      </c>
      <c r="E892" s="192">
        <v>2</v>
      </c>
      <c r="F892" s="192">
        <v>638</v>
      </c>
      <c r="G892" s="192">
        <v>10</v>
      </c>
      <c r="H892" s="192" t="s">
        <v>705</v>
      </c>
      <c r="I892" s="192" t="s">
        <v>65</v>
      </c>
      <c r="J892" s="192">
        <v>7.5000002980232239E-2</v>
      </c>
      <c r="K892" s="192">
        <f>VLOOKUP($D892,'RBSA Weights'!$A$2:$C$1406,3,FALSE)</f>
        <v>1192.4649999999999</v>
      </c>
    </row>
    <row r="893" spans="1:11">
      <c r="A893" s="192" t="s">
        <v>709</v>
      </c>
      <c r="B893" s="192">
        <v>0.9</v>
      </c>
      <c r="C893" s="192">
        <v>202228</v>
      </c>
      <c r="D893" s="192">
        <v>20156</v>
      </c>
      <c r="E893" s="192">
        <v>1</v>
      </c>
      <c r="F893" s="192">
        <v>691</v>
      </c>
      <c r="G893" s="192">
        <v>12</v>
      </c>
      <c r="H893" s="192" t="s">
        <v>702</v>
      </c>
      <c r="I893" s="192" t="s">
        <v>65</v>
      </c>
      <c r="J893" s="192">
        <v>7.5000002980232239E-2</v>
      </c>
      <c r="K893" s="192">
        <f>VLOOKUP($D893,'RBSA Weights'!$A$2:$C$1406,3,FALSE)</f>
        <v>1612.692</v>
      </c>
    </row>
    <row r="894" spans="1:11">
      <c r="A894" s="192" t="s">
        <v>709</v>
      </c>
      <c r="B894" s="192">
        <v>0.9</v>
      </c>
      <c r="C894" s="192">
        <v>184889</v>
      </c>
      <c r="D894" s="192">
        <v>20154</v>
      </c>
      <c r="E894" s="192">
        <v>1</v>
      </c>
      <c r="F894" s="192">
        <v>1620</v>
      </c>
      <c r="G894" s="192">
        <v>12</v>
      </c>
      <c r="H894" s="192" t="s">
        <v>705</v>
      </c>
      <c r="I894" s="192" t="s">
        <v>65</v>
      </c>
      <c r="J894" s="192">
        <v>7.5000002980232239E-2</v>
      </c>
      <c r="K894" s="192">
        <f>VLOOKUP($D894,'RBSA Weights'!$A$2:$C$1406,3,FALSE)</f>
        <v>3785.7640000000001</v>
      </c>
    </row>
    <row r="895" spans="1:11">
      <c r="A895" s="192" t="s">
        <v>709</v>
      </c>
      <c r="B895" s="192">
        <v>0.9</v>
      </c>
      <c r="C895" s="192">
        <v>48886</v>
      </c>
      <c r="D895" s="192">
        <v>22612</v>
      </c>
      <c r="E895" s="192">
        <v>1</v>
      </c>
      <c r="F895" s="192">
        <v>1900</v>
      </c>
      <c r="G895" s="192">
        <v>38</v>
      </c>
      <c r="H895" s="192" t="s">
        <v>705</v>
      </c>
      <c r="I895" s="192" t="s">
        <v>65</v>
      </c>
      <c r="J895" s="192">
        <v>7.5000002980232239E-2</v>
      </c>
      <c r="K895" s="192">
        <f>VLOOKUP($D895,'RBSA Weights'!$A$2:$C$1406,3,FALSE)</f>
        <v>3785.7640000000001</v>
      </c>
    </row>
    <row r="896" spans="1:11">
      <c r="A896" s="192" t="s">
        <v>709</v>
      </c>
      <c r="B896" s="192">
        <v>0.9</v>
      </c>
      <c r="C896" s="192">
        <v>722484</v>
      </c>
      <c r="D896" s="192">
        <v>22177</v>
      </c>
      <c r="E896" s="192">
        <v>2</v>
      </c>
      <c r="F896" s="192">
        <v>960</v>
      </c>
      <c r="G896" s="192">
        <v>10</v>
      </c>
      <c r="H896" s="192" t="s">
        <v>700</v>
      </c>
      <c r="I896" s="192" t="s">
        <v>763</v>
      </c>
      <c r="J896" s="192">
        <v>7.5000002980232239E-2</v>
      </c>
      <c r="K896" s="192">
        <f>VLOOKUP($D896,'RBSA Weights'!$A$2:$C$1406,3,FALSE)</f>
        <v>1612.692</v>
      </c>
    </row>
    <row r="897" spans="1:11">
      <c r="A897" s="192" t="s">
        <v>709</v>
      </c>
      <c r="B897" s="192">
        <v>0.9</v>
      </c>
      <c r="C897" s="192">
        <v>229086</v>
      </c>
      <c r="D897" s="192">
        <v>14181</v>
      </c>
      <c r="E897" s="192">
        <v>3</v>
      </c>
      <c r="F897" s="192">
        <v>66</v>
      </c>
      <c r="G897" s="192">
        <v>20</v>
      </c>
      <c r="H897" s="192" t="s">
        <v>700</v>
      </c>
      <c r="I897" s="192" t="s">
        <v>65</v>
      </c>
      <c r="J897" s="192">
        <v>7.5000002980232239E-2</v>
      </c>
      <c r="K897" s="192">
        <f>VLOOKUP($D897,'RBSA Weights'!$A$2:$C$1406,3,FALSE)</f>
        <v>1524.7619999999999</v>
      </c>
    </row>
    <row r="898" spans="1:11">
      <c r="A898" s="192" t="s">
        <v>709</v>
      </c>
      <c r="B898" s="192">
        <v>0.9</v>
      </c>
      <c r="C898" s="192">
        <v>113483</v>
      </c>
      <c r="D898" s="192">
        <v>23946</v>
      </c>
      <c r="E898" s="192">
        <v>1</v>
      </c>
      <c r="F898" s="192">
        <v>832</v>
      </c>
      <c r="G898" s="192">
        <v>12</v>
      </c>
      <c r="H898" s="192" t="s">
        <v>705</v>
      </c>
      <c r="I898" s="192" t="s">
        <v>65</v>
      </c>
      <c r="J898" s="192">
        <v>7.5000002980232239E-2</v>
      </c>
      <c r="K898" s="192">
        <f>VLOOKUP($D898,'RBSA Weights'!$A$2:$C$1406,3,FALSE)</f>
        <v>2079.9929999999999</v>
      </c>
    </row>
    <row r="899" spans="1:11">
      <c r="A899" s="192" t="s">
        <v>709</v>
      </c>
      <c r="B899" s="192">
        <v>0.9</v>
      </c>
      <c r="C899" s="192">
        <v>121950</v>
      </c>
      <c r="D899" s="192">
        <v>24245</v>
      </c>
      <c r="E899" s="192">
        <v>1</v>
      </c>
      <c r="F899" s="192">
        <v>864</v>
      </c>
      <c r="G899" s="192">
        <v>12</v>
      </c>
      <c r="H899" s="192" t="s">
        <v>705</v>
      </c>
      <c r="I899" s="192" t="s">
        <v>65</v>
      </c>
      <c r="J899" s="192">
        <v>7.5000002980232239E-2</v>
      </c>
      <c r="K899" s="192">
        <f>VLOOKUP($D899,'RBSA Weights'!$A$2:$C$1406,3,FALSE)</f>
        <v>1612.692</v>
      </c>
    </row>
    <row r="900" spans="1:11">
      <c r="A900" s="192" t="s">
        <v>709</v>
      </c>
      <c r="B900" s="192">
        <v>0.9</v>
      </c>
      <c r="C900" s="192">
        <v>168197</v>
      </c>
      <c r="D900" s="192">
        <v>21791</v>
      </c>
      <c r="E900" s="192">
        <v>1</v>
      </c>
      <c r="F900" s="192">
        <v>1350</v>
      </c>
      <c r="G900" s="192">
        <v>8</v>
      </c>
      <c r="H900" s="192" t="s">
        <v>705</v>
      </c>
      <c r="I900" s="192" t="s">
        <v>65</v>
      </c>
      <c r="J900" s="192">
        <v>7.5000002980232239E-2</v>
      </c>
      <c r="K900" s="192">
        <f>VLOOKUP($D900,'RBSA Weights'!$A$2:$C$1406,3,FALSE)</f>
        <v>1612.692</v>
      </c>
    </row>
    <row r="901" spans="1:11">
      <c r="A901" s="192" t="s">
        <v>709</v>
      </c>
      <c r="B901" s="192">
        <v>0.9</v>
      </c>
      <c r="C901" s="192">
        <v>142538</v>
      </c>
      <c r="D901" s="192">
        <v>20184</v>
      </c>
      <c r="E901" s="192">
        <v>1</v>
      </c>
      <c r="F901" s="192">
        <v>1135</v>
      </c>
      <c r="G901" s="192">
        <v>15</v>
      </c>
      <c r="H901" s="192" t="s">
        <v>700</v>
      </c>
      <c r="I901" s="192" t="s">
        <v>65</v>
      </c>
      <c r="J901" s="192">
        <v>7.5000002980232239E-2</v>
      </c>
      <c r="K901" s="192">
        <f>VLOOKUP($D901,'RBSA Weights'!$A$2:$C$1406,3,FALSE)</f>
        <v>1612.692</v>
      </c>
    </row>
    <row r="902" spans="1:11">
      <c r="A902" s="192" t="s">
        <v>709</v>
      </c>
      <c r="B902" s="192">
        <v>0.9</v>
      </c>
      <c r="C902" s="192">
        <v>151314</v>
      </c>
      <c r="D902" s="192">
        <v>20448</v>
      </c>
      <c r="E902" s="192">
        <v>1</v>
      </c>
      <c r="F902" s="192">
        <v>1921</v>
      </c>
      <c r="G902" s="192">
        <v>12</v>
      </c>
      <c r="H902" s="192" t="s">
        <v>700</v>
      </c>
      <c r="I902" s="192" t="s">
        <v>65</v>
      </c>
      <c r="J902" s="192">
        <v>7.5000002980232239E-2</v>
      </c>
      <c r="K902" s="192">
        <f>VLOOKUP($D902,'RBSA Weights'!$A$2:$C$1406,3,FALSE)</f>
        <v>1612.692</v>
      </c>
    </row>
    <row r="903" spans="1:11">
      <c r="A903" s="192" t="s">
        <v>709</v>
      </c>
      <c r="B903" s="192">
        <v>0.9</v>
      </c>
      <c r="C903" s="192">
        <v>45192</v>
      </c>
      <c r="D903" s="192">
        <v>21016</v>
      </c>
      <c r="E903" s="192">
        <v>1</v>
      </c>
      <c r="F903" s="192">
        <v>988</v>
      </c>
      <c r="G903" s="192">
        <v>20</v>
      </c>
      <c r="H903" s="192" t="s">
        <v>705</v>
      </c>
      <c r="I903" s="192" t="s">
        <v>65</v>
      </c>
      <c r="J903" s="192">
        <v>7.5000002980232239E-2</v>
      </c>
      <c r="K903" s="192">
        <f>VLOOKUP($D903,'RBSA Weights'!$A$2:$C$1406,3,FALSE)</f>
        <v>3785.7640000000001</v>
      </c>
    </row>
    <row r="904" spans="1:11">
      <c r="A904" s="192" t="s">
        <v>709</v>
      </c>
      <c r="B904" s="192">
        <v>0.9</v>
      </c>
      <c r="C904" s="192">
        <v>84545</v>
      </c>
      <c r="D904" s="192">
        <v>13752</v>
      </c>
      <c r="E904" s="192">
        <v>1</v>
      </c>
      <c r="F904" s="192">
        <v>1800</v>
      </c>
      <c r="G904" s="192">
        <v>0</v>
      </c>
      <c r="H904" s="192" t="s">
        <v>705</v>
      </c>
      <c r="I904" s="192" t="s">
        <v>65</v>
      </c>
      <c r="J904" s="192">
        <v>7.5000002980232239E-2</v>
      </c>
      <c r="K904" s="192">
        <f>VLOOKUP($D904,'RBSA Weights'!$A$2:$C$1406,3,FALSE)</f>
        <v>2003.7159999999999</v>
      </c>
    </row>
    <row r="905" spans="1:11">
      <c r="A905" s="192" t="s">
        <v>709</v>
      </c>
      <c r="B905" s="192">
        <v>0.9</v>
      </c>
      <c r="C905" s="192">
        <v>229701</v>
      </c>
      <c r="D905" s="192">
        <v>20108</v>
      </c>
      <c r="E905" s="192">
        <v>1</v>
      </c>
      <c r="F905" s="192">
        <v>1345</v>
      </c>
      <c r="G905" s="192">
        <v>20</v>
      </c>
      <c r="H905" s="192" t="s">
        <v>705</v>
      </c>
      <c r="I905" s="192" t="s">
        <v>65</v>
      </c>
      <c r="J905" s="192">
        <v>7.5000002980232239E-2</v>
      </c>
      <c r="K905" s="192">
        <f>VLOOKUP($D905,'RBSA Weights'!$A$2:$C$1406,3,FALSE)</f>
        <v>3785.7640000000001</v>
      </c>
    </row>
    <row r="906" spans="1:11">
      <c r="A906" s="192" t="s">
        <v>709</v>
      </c>
      <c r="B906" s="192">
        <v>0.9</v>
      </c>
      <c r="C906" s="192">
        <v>210199</v>
      </c>
      <c r="D906" s="192">
        <v>12303</v>
      </c>
      <c r="E906" s="192">
        <v>1</v>
      </c>
      <c r="F906" s="192">
        <v>2376</v>
      </c>
      <c r="G906" s="192">
        <v>10</v>
      </c>
      <c r="H906" s="192" t="s">
        <v>705</v>
      </c>
      <c r="I906" s="192" t="s">
        <v>65</v>
      </c>
      <c r="J906" s="192">
        <v>7.5000002980232239E-2</v>
      </c>
      <c r="K906" s="192">
        <f>VLOOKUP($D906,'RBSA Weights'!$A$2:$C$1406,3,FALSE)</f>
        <v>1464.694</v>
      </c>
    </row>
    <row r="907" spans="1:11">
      <c r="A907" s="192" t="s">
        <v>709</v>
      </c>
      <c r="B907" s="192">
        <v>0.9</v>
      </c>
      <c r="C907" s="192">
        <v>36324</v>
      </c>
      <c r="D907" s="192">
        <v>13756</v>
      </c>
      <c r="E907" s="192">
        <v>1</v>
      </c>
      <c r="F907" s="192">
        <v>1363</v>
      </c>
      <c r="G907" s="192">
        <v>0</v>
      </c>
      <c r="H907" s="192" t="s">
        <v>697</v>
      </c>
      <c r="I907" s="192" t="s">
        <v>65</v>
      </c>
      <c r="J907" s="192">
        <v>7.5000002980232239E-2</v>
      </c>
      <c r="K907" s="192">
        <f>VLOOKUP($D907,'RBSA Weights'!$A$2:$C$1406,3,FALSE)</f>
        <v>1188.027</v>
      </c>
    </row>
    <row r="908" spans="1:11">
      <c r="A908" s="192" t="s">
        <v>709</v>
      </c>
      <c r="B908" s="192">
        <v>0.9</v>
      </c>
      <c r="C908" s="192">
        <v>177097</v>
      </c>
      <c r="D908" s="192">
        <v>23355</v>
      </c>
      <c r="E908" s="192">
        <v>1</v>
      </c>
      <c r="F908" s="192">
        <v>2064</v>
      </c>
      <c r="G908" s="192">
        <v>12</v>
      </c>
      <c r="H908" s="192" t="s">
        <v>705</v>
      </c>
      <c r="I908" s="192" t="s">
        <v>65</v>
      </c>
      <c r="J908" s="192">
        <v>7.5000002980232239E-2</v>
      </c>
      <c r="K908" s="192">
        <f>VLOOKUP($D908,'RBSA Weights'!$A$2:$C$1406,3,FALSE)</f>
        <v>1192.4649999999999</v>
      </c>
    </row>
    <row r="909" spans="1:11">
      <c r="A909" s="192" t="s">
        <v>709</v>
      </c>
      <c r="B909" s="192">
        <v>0.9</v>
      </c>
      <c r="C909" s="192">
        <v>128292</v>
      </c>
      <c r="D909" s="192">
        <v>22333</v>
      </c>
      <c r="E909" s="192">
        <v>1</v>
      </c>
      <c r="F909" s="192">
        <v>927</v>
      </c>
      <c r="G909" s="192">
        <v>14</v>
      </c>
      <c r="H909" s="192" t="s">
        <v>700</v>
      </c>
      <c r="I909" s="192" t="s">
        <v>65</v>
      </c>
      <c r="J909" s="192">
        <v>7.5000002980232239E-2</v>
      </c>
      <c r="K909" s="192">
        <f>VLOOKUP($D909,'RBSA Weights'!$A$2:$C$1406,3,FALSE)</f>
        <v>1144.6790000000001</v>
      </c>
    </row>
    <row r="910" spans="1:11">
      <c r="A910" s="192" t="s">
        <v>709</v>
      </c>
      <c r="B910" s="192">
        <v>0.9</v>
      </c>
      <c r="C910" s="192">
        <v>96069</v>
      </c>
      <c r="D910" s="192">
        <v>14051</v>
      </c>
      <c r="E910" s="192">
        <v>1</v>
      </c>
      <c r="F910" s="192">
        <v>1344</v>
      </c>
      <c r="G910" s="192">
        <v>20</v>
      </c>
      <c r="H910" s="192" t="s">
        <v>702</v>
      </c>
      <c r="I910" s="192" t="s">
        <v>65</v>
      </c>
      <c r="J910" s="192">
        <v>7.5000002980232239E-2</v>
      </c>
      <c r="K910" s="192">
        <f>VLOOKUP($D910,'RBSA Weights'!$A$2:$C$1406,3,FALSE)</f>
        <v>1188.027</v>
      </c>
    </row>
    <row r="911" spans="1:11">
      <c r="A911" s="192" t="s">
        <v>709</v>
      </c>
      <c r="B911" s="192">
        <v>0.9</v>
      </c>
      <c r="C911" s="192">
        <v>118358</v>
      </c>
      <c r="D911" s="192">
        <v>12214</v>
      </c>
      <c r="E911" s="192">
        <v>1</v>
      </c>
      <c r="F911" s="192">
        <v>1100</v>
      </c>
      <c r="G911" s="192">
        <v>0</v>
      </c>
      <c r="H911" s="192" t="s">
        <v>702</v>
      </c>
      <c r="I911" s="192" t="s">
        <v>65</v>
      </c>
      <c r="J911" s="192">
        <v>7.5000002980232239E-2</v>
      </c>
      <c r="K911" s="192">
        <f>VLOOKUP($D911,'RBSA Weights'!$A$2:$C$1406,3,FALSE)</f>
        <v>4956.4930000000004</v>
      </c>
    </row>
    <row r="912" spans="1:11">
      <c r="A912" s="192" t="s">
        <v>709</v>
      </c>
      <c r="B912" s="192">
        <v>0.9</v>
      </c>
      <c r="C912" s="192">
        <v>684002</v>
      </c>
      <c r="D912" s="192">
        <v>21414</v>
      </c>
      <c r="E912" s="192">
        <v>1</v>
      </c>
      <c r="F912" s="192">
        <v>1369</v>
      </c>
      <c r="G912" s="192">
        <v>12</v>
      </c>
      <c r="H912" s="192" t="s">
        <v>705</v>
      </c>
      <c r="I912" s="192" t="s">
        <v>65</v>
      </c>
      <c r="J912" s="192">
        <v>7.5000002980232239E-2</v>
      </c>
      <c r="K912" s="192">
        <f>VLOOKUP($D912,'RBSA Weights'!$A$2:$C$1406,3,FALSE)</f>
        <v>12271.31</v>
      </c>
    </row>
    <row r="913" spans="1:11">
      <c r="A913" s="192" t="s">
        <v>709</v>
      </c>
      <c r="B913" s="192">
        <v>0.9</v>
      </c>
      <c r="C913" s="192">
        <v>211273</v>
      </c>
      <c r="D913" s="192">
        <v>21483</v>
      </c>
      <c r="E913" s="192">
        <v>1</v>
      </c>
      <c r="F913" s="192">
        <v>1836</v>
      </c>
      <c r="G913" s="192">
        <v>12</v>
      </c>
      <c r="H913" s="192" t="s">
        <v>705</v>
      </c>
      <c r="I913" s="192" t="s">
        <v>65</v>
      </c>
      <c r="J913" s="192">
        <v>7.5000002980232239E-2</v>
      </c>
      <c r="K913" s="192">
        <f>VLOOKUP($D913,'RBSA Weights'!$A$2:$C$1406,3,FALSE)</f>
        <v>1904.288</v>
      </c>
    </row>
    <row r="914" spans="1:11">
      <c r="A914" s="192" t="s">
        <v>709</v>
      </c>
      <c r="B914" s="192">
        <v>0.9</v>
      </c>
      <c r="C914" s="192">
        <v>222586</v>
      </c>
      <c r="D914" s="192">
        <v>24563</v>
      </c>
      <c r="E914" s="192">
        <v>1</v>
      </c>
      <c r="F914" s="192">
        <v>1412</v>
      </c>
      <c r="G914" s="192">
        <v>38</v>
      </c>
      <c r="H914" s="192" t="s">
        <v>705</v>
      </c>
      <c r="I914" s="192" t="s">
        <v>65</v>
      </c>
      <c r="J914" s="192">
        <v>7.5000002980232239E-2</v>
      </c>
      <c r="K914" s="192">
        <f>VLOOKUP($D914,'RBSA Weights'!$A$2:$C$1406,3,FALSE)</f>
        <v>3785.7640000000001</v>
      </c>
    </row>
    <row r="915" spans="1:11">
      <c r="A915" s="192" t="s">
        <v>709</v>
      </c>
      <c r="B915" s="192">
        <v>0.9</v>
      </c>
      <c r="C915" s="192">
        <v>208895</v>
      </c>
      <c r="D915" s="192">
        <v>21484</v>
      </c>
      <c r="E915" s="192">
        <v>1</v>
      </c>
      <c r="F915" s="192">
        <v>991</v>
      </c>
      <c r="G915" s="192">
        <v>20</v>
      </c>
      <c r="H915" s="192" t="s">
        <v>697</v>
      </c>
      <c r="I915" s="192" t="s">
        <v>65</v>
      </c>
      <c r="J915" s="192">
        <v>7.5000002980232239E-2</v>
      </c>
      <c r="K915" s="192">
        <f>VLOOKUP($D915,'RBSA Weights'!$A$2:$C$1406,3,FALSE)</f>
        <v>3785.7640000000001</v>
      </c>
    </row>
    <row r="916" spans="1:11">
      <c r="A916" s="192" t="s">
        <v>709</v>
      </c>
      <c r="B916" s="192">
        <v>0.9</v>
      </c>
      <c r="C916" s="192">
        <v>677818</v>
      </c>
      <c r="D916" s="192">
        <v>22909</v>
      </c>
      <c r="E916" s="192">
        <v>1</v>
      </c>
      <c r="F916" s="192">
        <v>1160</v>
      </c>
      <c r="G916" s="192">
        <v>10</v>
      </c>
      <c r="H916" s="192" t="s">
        <v>705</v>
      </c>
      <c r="I916" s="192" t="s">
        <v>65</v>
      </c>
      <c r="J916" s="192">
        <v>7.5000002980232239E-2</v>
      </c>
      <c r="K916" s="192">
        <f>VLOOKUP($D916,'RBSA Weights'!$A$2:$C$1406,3,FALSE)</f>
        <v>3785.7640000000001</v>
      </c>
    </row>
    <row r="917" spans="1:11">
      <c r="A917" s="192" t="s">
        <v>709</v>
      </c>
      <c r="B917" s="192">
        <v>0.9</v>
      </c>
      <c r="C917" s="192">
        <v>221796</v>
      </c>
      <c r="D917" s="192">
        <v>13912</v>
      </c>
      <c r="E917" s="192">
        <v>1</v>
      </c>
      <c r="F917" s="192">
        <v>1192</v>
      </c>
      <c r="G917" s="192">
        <v>22</v>
      </c>
      <c r="H917" s="192" t="s">
        <v>705</v>
      </c>
      <c r="I917" s="192" t="s">
        <v>65</v>
      </c>
      <c r="J917" s="192">
        <v>7.5000002980232239E-2</v>
      </c>
      <c r="K917" s="192">
        <f>VLOOKUP($D917,'RBSA Weights'!$A$2:$C$1406,3,FALSE)</f>
        <v>2003.7159999999999</v>
      </c>
    </row>
    <row r="918" spans="1:11">
      <c r="A918" s="192" t="s">
        <v>709</v>
      </c>
      <c r="B918" s="192">
        <v>0.9</v>
      </c>
      <c r="C918" s="192">
        <v>184651</v>
      </c>
      <c r="D918" s="192">
        <v>21733</v>
      </c>
      <c r="E918" s="192">
        <v>1</v>
      </c>
      <c r="F918" s="192">
        <v>851</v>
      </c>
      <c r="G918" s="192">
        <v>20</v>
      </c>
      <c r="H918" s="192" t="s">
        <v>705</v>
      </c>
      <c r="I918" s="192" t="s">
        <v>65</v>
      </c>
      <c r="J918" s="192">
        <v>7.5000002980232239E-2</v>
      </c>
      <c r="K918" s="192">
        <f>VLOOKUP($D918,'RBSA Weights'!$A$2:$C$1406,3,FALSE)</f>
        <v>1192.4649999999999</v>
      </c>
    </row>
    <row r="919" spans="1:11">
      <c r="A919" s="192" t="s">
        <v>709</v>
      </c>
      <c r="B919" s="192">
        <v>0.9</v>
      </c>
      <c r="C919" s="192">
        <v>220979</v>
      </c>
      <c r="D919" s="192">
        <v>24227</v>
      </c>
      <c r="E919" s="192">
        <v>1</v>
      </c>
      <c r="F919" s="192">
        <v>1260</v>
      </c>
      <c r="G919" s="192">
        <v>15</v>
      </c>
      <c r="H919" s="192" t="s">
        <v>697</v>
      </c>
      <c r="I919" s="192" t="s">
        <v>65</v>
      </c>
      <c r="J919" s="192">
        <v>7.5000002980232239E-2</v>
      </c>
      <c r="K919" s="192">
        <f>VLOOKUP($D919,'RBSA Weights'!$A$2:$C$1406,3,FALSE)</f>
        <v>2130.886</v>
      </c>
    </row>
    <row r="920" spans="1:11">
      <c r="A920" s="192" t="s">
        <v>709</v>
      </c>
      <c r="B920" s="192">
        <v>0.9</v>
      </c>
      <c r="C920" s="192">
        <v>44967</v>
      </c>
      <c r="D920" s="192">
        <v>14052</v>
      </c>
      <c r="E920" s="192">
        <v>1</v>
      </c>
      <c r="F920" s="192">
        <v>1978</v>
      </c>
      <c r="G920" s="192">
        <v>50</v>
      </c>
      <c r="H920" s="192" t="s">
        <v>702</v>
      </c>
      <c r="I920" s="192" t="s">
        <v>65</v>
      </c>
      <c r="J920" s="192">
        <v>7.5000002980232239E-2</v>
      </c>
      <c r="K920" s="192">
        <f>VLOOKUP($D920,'RBSA Weights'!$A$2:$C$1406,3,FALSE)</f>
        <v>1188.027</v>
      </c>
    </row>
    <row r="921" spans="1:11">
      <c r="A921" s="192" t="s">
        <v>709</v>
      </c>
      <c r="B921" s="192">
        <v>0.9</v>
      </c>
      <c r="C921" s="192">
        <v>802596</v>
      </c>
      <c r="D921" s="192">
        <v>10068</v>
      </c>
      <c r="E921" s="192">
        <v>1</v>
      </c>
      <c r="F921" s="192">
        <v>1537</v>
      </c>
      <c r="G921" s="192">
        <v>15</v>
      </c>
      <c r="H921" s="192" t="s">
        <v>697</v>
      </c>
      <c r="I921" s="192" t="s">
        <v>65</v>
      </c>
      <c r="J921" s="192">
        <v>7.5000002980232239E-2</v>
      </c>
      <c r="K921" s="192">
        <f>VLOOKUP($D921,'RBSA Weights'!$A$2:$C$1406,3,FALSE)</f>
        <v>2003.7159999999999</v>
      </c>
    </row>
    <row r="922" spans="1:11">
      <c r="A922" s="192" t="s">
        <v>709</v>
      </c>
      <c r="B922" s="192">
        <v>0.9</v>
      </c>
      <c r="C922" s="192">
        <v>161218</v>
      </c>
      <c r="D922" s="192">
        <v>22950</v>
      </c>
      <c r="E922" s="192">
        <v>1</v>
      </c>
      <c r="F922" s="192">
        <v>1740</v>
      </c>
      <c r="G922" s="192">
        <v>20</v>
      </c>
      <c r="H922" s="192" t="s">
        <v>705</v>
      </c>
      <c r="I922" s="192" t="s">
        <v>65</v>
      </c>
      <c r="J922" s="192">
        <v>7.5000002980232239E-2</v>
      </c>
      <c r="K922" s="192">
        <f>VLOOKUP($D922,'RBSA Weights'!$A$2:$C$1406,3,FALSE)</f>
        <v>2130.886</v>
      </c>
    </row>
    <row r="923" spans="1:11">
      <c r="A923" s="192" t="s">
        <v>709</v>
      </c>
      <c r="B923" s="192">
        <v>0.9</v>
      </c>
      <c r="C923" s="192">
        <v>204915</v>
      </c>
      <c r="D923" s="192">
        <v>22869</v>
      </c>
      <c r="E923" s="192">
        <v>1</v>
      </c>
      <c r="F923" s="192">
        <v>1106</v>
      </c>
      <c r="G923" s="192">
        <v>12</v>
      </c>
      <c r="H923" s="192" t="s">
        <v>700</v>
      </c>
      <c r="I923" s="192" t="s">
        <v>65</v>
      </c>
      <c r="J923" s="192">
        <v>7.5000002980232239E-2</v>
      </c>
      <c r="K923" s="192">
        <f>VLOOKUP($D923,'RBSA Weights'!$A$2:$C$1406,3,FALSE)</f>
        <v>2079.9929999999999</v>
      </c>
    </row>
    <row r="924" spans="1:11">
      <c r="A924" s="192" t="s">
        <v>709</v>
      </c>
      <c r="B924" s="192">
        <v>0.9</v>
      </c>
      <c r="C924" s="192">
        <v>189026</v>
      </c>
      <c r="D924" s="192">
        <v>23335</v>
      </c>
      <c r="E924" s="192">
        <v>1</v>
      </c>
      <c r="F924" s="192">
        <v>1719</v>
      </c>
      <c r="G924" s="192">
        <v>20</v>
      </c>
      <c r="H924" s="192" t="s">
        <v>705</v>
      </c>
      <c r="I924" s="192" t="s">
        <v>65</v>
      </c>
      <c r="J924" s="192">
        <v>7.5000002980232239E-2</v>
      </c>
      <c r="K924" s="192">
        <f>VLOOKUP($D924,'RBSA Weights'!$A$2:$C$1406,3,FALSE)</f>
        <v>1192.4649999999999</v>
      </c>
    </row>
    <row r="925" spans="1:11">
      <c r="A925" s="192" t="s">
        <v>709</v>
      </c>
      <c r="B925" s="192">
        <v>0.9</v>
      </c>
      <c r="C925" s="192">
        <v>151436</v>
      </c>
      <c r="D925" s="192">
        <v>22566</v>
      </c>
      <c r="E925" s="192">
        <v>1</v>
      </c>
      <c r="F925" s="192">
        <v>849</v>
      </c>
      <c r="G925" s="192">
        <v>11</v>
      </c>
      <c r="H925" s="192" t="s">
        <v>700</v>
      </c>
      <c r="I925" s="192" t="s">
        <v>65</v>
      </c>
      <c r="J925" s="192">
        <v>7.5000002980232239E-2</v>
      </c>
      <c r="K925" s="192">
        <f>VLOOKUP($D925,'RBSA Weights'!$A$2:$C$1406,3,FALSE)</f>
        <v>1144.6790000000001</v>
      </c>
    </row>
    <row r="926" spans="1:11">
      <c r="A926" s="192" t="s">
        <v>709</v>
      </c>
      <c r="B926" s="192">
        <v>0.9</v>
      </c>
      <c r="C926" s="192">
        <v>172366</v>
      </c>
      <c r="D926" s="192">
        <v>20485</v>
      </c>
      <c r="E926" s="192">
        <v>1</v>
      </c>
      <c r="F926" s="192">
        <v>2696</v>
      </c>
      <c r="G926" s="192">
        <v>20</v>
      </c>
      <c r="H926" s="192" t="s">
        <v>702</v>
      </c>
      <c r="I926" s="192" t="s">
        <v>65</v>
      </c>
      <c r="J926" s="192">
        <v>7.5000002980232239E-2</v>
      </c>
      <c r="K926" s="192">
        <f>VLOOKUP($D926,'RBSA Weights'!$A$2:$C$1406,3,FALSE)</f>
        <v>3785.7640000000001</v>
      </c>
    </row>
    <row r="927" spans="1:11">
      <c r="A927" s="192" t="s">
        <v>709</v>
      </c>
      <c r="B927" s="192">
        <v>0.9</v>
      </c>
      <c r="C927" s="192">
        <v>102910</v>
      </c>
      <c r="D927" s="192">
        <v>21320</v>
      </c>
      <c r="E927" s="192">
        <v>1</v>
      </c>
      <c r="F927" s="192">
        <v>1953</v>
      </c>
      <c r="G927" s="192">
        <v>10</v>
      </c>
      <c r="H927" s="192" t="s">
        <v>705</v>
      </c>
      <c r="I927" s="192" t="s">
        <v>65</v>
      </c>
      <c r="J927" s="192">
        <v>7.5000002980232239E-2</v>
      </c>
      <c r="K927" s="192">
        <f>VLOOKUP($D927,'RBSA Weights'!$A$2:$C$1406,3,FALSE)</f>
        <v>2079.9929999999999</v>
      </c>
    </row>
    <row r="928" spans="1:11">
      <c r="A928" s="192" t="s">
        <v>709</v>
      </c>
      <c r="B928" s="192">
        <v>0.9</v>
      </c>
      <c r="C928" s="192">
        <v>691695</v>
      </c>
      <c r="D928" s="192">
        <v>22413</v>
      </c>
      <c r="E928" s="192">
        <v>1</v>
      </c>
      <c r="F928" s="192">
        <v>1218</v>
      </c>
      <c r="G928" s="192">
        <v>12</v>
      </c>
      <c r="H928" s="192" t="s">
        <v>705</v>
      </c>
      <c r="I928" s="192" t="s">
        <v>65</v>
      </c>
      <c r="J928" s="192">
        <v>7.5000002980232239E-2</v>
      </c>
      <c r="K928" s="192">
        <f>VLOOKUP($D928,'RBSA Weights'!$A$2:$C$1406,3,FALSE)</f>
        <v>3785.7640000000001</v>
      </c>
    </row>
    <row r="929" spans="1:11">
      <c r="A929" s="192" t="s">
        <v>709</v>
      </c>
      <c r="B929" s="192">
        <v>0.9</v>
      </c>
      <c r="C929" s="192">
        <v>168833</v>
      </c>
      <c r="D929" s="192">
        <v>20861</v>
      </c>
      <c r="E929" s="192">
        <v>1</v>
      </c>
      <c r="F929" s="192">
        <v>960</v>
      </c>
      <c r="G929" s="192">
        <v>0</v>
      </c>
      <c r="H929" s="192" t="s">
        <v>702</v>
      </c>
      <c r="I929" s="192" t="s">
        <v>65</v>
      </c>
      <c r="J929" s="192">
        <v>7.5000002980232239E-2</v>
      </c>
      <c r="K929" s="192">
        <f>VLOOKUP($D929,'RBSA Weights'!$A$2:$C$1406,3,FALSE)</f>
        <v>2130.886</v>
      </c>
    </row>
    <row r="930" spans="1:11">
      <c r="A930" s="192" t="s">
        <v>709</v>
      </c>
      <c r="B930" s="192">
        <v>0.9</v>
      </c>
      <c r="C930" s="192">
        <v>219677</v>
      </c>
      <c r="D930" s="192">
        <v>11504</v>
      </c>
      <c r="E930" s="192">
        <v>2</v>
      </c>
      <c r="F930" s="192">
        <v>506</v>
      </c>
      <c r="G930" s="192">
        <v>49</v>
      </c>
      <c r="H930" s="192" t="s">
        <v>700</v>
      </c>
      <c r="I930" s="192" t="s">
        <v>65</v>
      </c>
      <c r="J930" s="192">
        <v>7.5000002980232239E-2</v>
      </c>
      <c r="K930" s="192">
        <f>VLOOKUP($D930,'RBSA Weights'!$A$2:$C$1406,3,FALSE)</f>
        <v>6932.7380000000003</v>
      </c>
    </row>
    <row r="931" spans="1:11">
      <c r="A931" s="192" t="s">
        <v>709</v>
      </c>
      <c r="B931" s="192">
        <v>0.9</v>
      </c>
      <c r="C931" s="192">
        <v>74724</v>
      </c>
      <c r="D931" s="192">
        <v>20066</v>
      </c>
      <c r="E931" s="192">
        <v>1</v>
      </c>
      <c r="F931" s="192">
        <v>2300</v>
      </c>
      <c r="G931" s="192">
        <v>5</v>
      </c>
      <c r="H931" s="192" t="s">
        <v>700</v>
      </c>
      <c r="I931" s="192" t="s">
        <v>65</v>
      </c>
      <c r="J931" s="192">
        <v>7.5000002980232239E-2</v>
      </c>
      <c r="K931" s="192">
        <f>VLOOKUP($D931,'RBSA Weights'!$A$2:$C$1406,3,FALSE)</f>
        <v>2079.9929999999999</v>
      </c>
    </row>
    <row r="932" spans="1:11">
      <c r="A932" s="192" t="s">
        <v>709</v>
      </c>
      <c r="B932" s="192">
        <v>0.9</v>
      </c>
      <c r="C932" s="192">
        <v>30141</v>
      </c>
      <c r="D932" s="192">
        <v>10288</v>
      </c>
      <c r="E932" s="192">
        <v>1</v>
      </c>
      <c r="F932" s="192">
        <v>1077</v>
      </c>
      <c r="G932" s="192">
        <v>12</v>
      </c>
      <c r="H932" s="192" t="s">
        <v>705</v>
      </c>
      <c r="I932" s="192" t="s">
        <v>65</v>
      </c>
      <c r="J932" s="192">
        <v>7.5000002980232239E-2</v>
      </c>
      <c r="K932" s="192">
        <f>VLOOKUP($D932,'RBSA Weights'!$A$2:$C$1406,3,FALSE)</f>
        <v>1524.7619999999999</v>
      </c>
    </row>
    <row r="933" spans="1:11">
      <c r="A933" s="192" t="s">
        <v>709</v>
      </c>
      <c r="B933" s="192">
        <v>0.9</v>
      </c>
      <c r="C933" s="192">
        <v>96480</v>
      </c>
      <c r="D933" s="192">
        <v>22233</v>
      </c>
      <c r="E933" s="192">
        <v>1</v>
      </c>
      <c r="F933" s="192">
        <v>1728</v>
      </c>
      <c r="G933" s="192">
        <v>12</v>
      </c>
      <c r="H933" s="192" t="s">
        <v>705</v>
      </c>
      <c r="I933" s="192" t="s">
        <v>65</v>
      </c>
      <c r="J933" s="192">
        <v>7.5000002980232239E-2</v>
      </c>
      <c r="K933" s="192">
        <f>VLOOKUP($D933,'RBSA Weights'!$A$2:$C$1406,3,FALSE)</f>
        <v>1925.059</v>
      </c>
    </row>
    <row r="934" spans="1:11">
      <c r="A934" s="192" t="s">
        <v>709</v>
      </c>
      <c r="B934" s="192">
        <v>0.9</v>
      </c>
      <c r="C934" s="192">
        <v>65588</v>
      </c>
      <c r="D934" s="192">
        <v>11980</v>
      </c>
      <c r="E934" s="192">
        <v>1</v>
      </c>
      <c r="F934" s="192">
        <v>395</v>
      </c>
      <c r="G934" s="192">
        <v>10</v>
      </c>
      <c r="H934" s="192" t="s">
        <v>699</v>
      </c>
      <c r="I934" s="192" t="s">
        <v>65</v>
      </c>
      <c r="J934" s="192">
        <v>7.5000002980232239E-2</v>
      </c>
      <c r="K934" s="192">
        <f>VLOOKUP($D934,'RBSA Weights'!$A$2:$C$1406,3,FALSE)</f>
        <v>1524.7619999999999</v>
      </c>
    </row>
    <row r="935" spans="1:11">
      <c r="A935" s="192" t="s">
        <v>709</v>
      </c>
      <c r="B935" s="192">
        <v>0.9</v>
      </c>
      <c r="C935" s="192">
        <v>229439</v>
      </c>
      <c r="D935" s="192">
        <v>21961</v>
      </c>
      <c r="E935" s="192">
        <v>1</v>
      </c>
      <c r="F935" s="192">
        <v>1056</v>
      </c>
      <c r="G935" s="192">
        <v>49</v>
      </c>
      <c r="H935" s="192" t="s">
        <v>702</v>
      </c>
      <c r="I935" s="192" t="s">
        <v>783</v>
      </c>
      <c r="J935" s="192">
        <v>7.5000002980232239E-2</v>
      </c>
      <c r="K935" s="192">
        <f>VLOOKUP($D935,'RBSA Weights'!$A$2:$C$1406,3,FALSE)</f>
        <v>2079.9929999999999</v>
      </c>
    </row>
    <row r="936" spans="1:11">
      <c r="A936" s="192" t="s">
        <v>709</v>
      </c>
      <c r="B936" s="192">
        <v>0.9</v>
      </c>
      <c r="C936" s="192">
        <v>171802</v>
      </c>
      <c r="D936" s="192">
        <v>21374</v>
      </c>
      <c r="E936" s="192">
        <v>1</v>
      </c>
      <c r="F936" s="192">
        <v>1289</v>
      </c>
      <c r="G936" s="192">
        <v>50</v>
      </c>
      <c r="H936" s="192" t="s">
        <v>705</v>
      </c>
      <c r="I936" s="192" t="s">
        <v>65</v>
      </c>
      <c r="J936" s="192">
        <v>7.5000002980232239E-2</v>
      </c>
      <c r="K936" s="192">
        <f>VLOOKUP($D936,'RBSA Weights'!$A$2:$C$1406,3,FALSE)</f>
        <v>1612.692</v>
      </c>
    </row>
    <row r="937" spans="1:11">
      <c r="A937" s="192" t="s">
        <v>709</v>
      </c>
      <c r="B937" s="192">
        <v>0.9</v>
      </c>
      <c r="C937" s="192">
        <v>231292</v>
      </c>
      <c r="D937" s="192">
        <v>12146</v>
      </c>
      <c r="E937" s="192">
        <v>1</v>
      </c>
      <c r="F937" s="192">
        <v>2216</v>
      </c>
      <c r="G937" s="192">
        <v>0</v>
      </c>
      <c r="H937" s="192" t="s">
        <v>697</v>
      </c>
      <c r="I937" s="192" t="s">
        <v>65</v>
      </c>
      <c r="J937" s="192">
        <v>7.5000002980232239E-2</v>
      </c>
      <c r="K937" s="192">
        <f>VLOOKUP($D937,'RBSA Weights'!$A$2:$C$1406,3,FALSE)</f>
        <v>1464.694</v>
      </c>
    </row>
    <row r="938" spans="1:11">
      <c r="A938" s="192" t="s">
        <v>709</v>
      </c>
      <c r="B938" s="192">
        <v>0.9</v>
      </c>
      <c r="C938" s="192">
        <v>205033</v>
      </c>
      <c r="D938" s="192">
        <v>20970</v>
      </c>
      <c r="E938" s="192">
        <v>1</v>
      </c>
      <c r="F938" s="192">
        <v>1327</v>
      </c>
      <c r="G938" s="192">
        <v>12</v>
      </c>
      <c r="H938" s="192" t="s">
        <v>705</v>
      </c>
      <c r="I938" s="192" t="s">
        <v>65</v>
      </c>
      <c r="J938" s="192">
        <v>7.5000002980232239E-2</v>
      </c>
      <c r="K938" s="192">
        <f>VLOOKUP($D938,'RBSA Weights'!$A$2:$C$1406,3,FALSE)</f>
        <v>2079.9929999999999</v>
      </c>
    </row>
    <row r="939" spans="1:11">
      <c r="A939" s="192" t="s">
        <v>709</v>
      </c>
      <c r="B939" s="192">
        <v>0.9</v>
      </c>
      <c r="C939" s="192">
        <v>147338</v>
      </c>
      <c r="D939" s="192">
        <v>20958</v>
      </c>
      <c r="E939" s="192">
        <v>1</v>
      </c>
      <c r="F939" s="192">
        <v>1200</v>
      </c>
      <c r="G939" s="192">
        <v>30</v>
      </c>
      <c r="H939" s="192" t="s">
        <v>697</v>
      </c>
      <c r="I939" s="192" t="s">
        <v>65</v>
      </c>
      <c r="J939" s="192">
        <v>7.5000002980232239E-2</v>
      </c>
      <c r="K939" s="192">
        <f>VLOOKUP($D939,'RBSA Weights'!$A$2:$C$1406,3,FALSE)</f>
        <v>1192.4649999999999</v>
      </c>
    </row>
    <row r="940" spans="1:11">
      <c r="A940" s="192" t="s">
        <v>709</v>
      </c>
      <c r="B940" s="192">
        <v>0.9</v>
      </c>
      <c r="C940" s="192">
        <v>158163</v>
      </c>
      <c r="D940" s="192">
        <v>20155</v>
      </c>
      <c r="E940" s="192">
        <v>1</v>
      </c>
      <c r="F940" s="192">
        <v>1676</v>
      </c>
      <c r="G940" s="192">
        <v>50</v>
      </c>
      <c r="H940" s="192" t="s">
        <v>702</v>
      </c>
      <c r="I940" s="192" t="s">
        <v>65</v>
      </c>
      <c r="J940" s="192">
        <v>7.5000002980232239E-2</v>
      </c>
      <c r="K940" s="192">
        <f>VLOOKUP($D940,'RBSA Weights'!$A$2:$C$1406,3,FALSE)</f>
        <v>1612.692</v>
      </c>
    </row>
    <row r="941" spans="1:11">
      <c r="A941" s="192" t="s">
        <v>709</v>
      </c>
      <c r="B941" s="192">
        <v>0.9</v>
      </c>
      <c r="C941" s="192">
        <v>32175</v>
      </c>
      <c r="D941" s="192">
        <v>20363</v>
      </c>
      <c r="E941" s="192">
        <v>1</v>
      </c>
      <c r="F941" s="192">
        <v>1386</v>
      </c>
      <c r="G941" s="192">
        <v>40</v>
      </c>
      <c r="H941" s="192" t="s">
        <v>705</v>
      </c>
      <c r="I941" s="192" t="s">
        <v>65</v>
      </c>
      <c r="J941" s="192">
        <v>7.5000002980232239E-2</v>
      </c>
      <c r="K941" s="192">
        <f>VLOOKUP($D941,'RBSA Weights'!$A$2:$C$1406,3,FALSE)</f>
        <v>2130.886</v>
      </c>
    </row>
    <row r="942" spans="1:11">
      <c r="A942" s="192" t="s">
        <v>709</v>
      </c>
      <c r="B942" s="192">
        <v>0.9</v>
      </c>
      <c r="C942" s="192">
        <v>720240</v>
      </c>
      <c r="D942" s="192">
        <v>20411</v>
      </c>
      <c r="E942" s="192">
        <v>1</v>
      </c>
      <c r="F942" s="192">
        <v>1134</v>
      </c>
      <c r="G942" s="192">
        <v>12</v>
      </c>
      <c r="H942" s="192" t="s">
        <v>705</v>
      </c>
      <c r="I942" s="192" t="s">
        <v>65</v>
      </c>
      <c r="J942" s="192">
        <v>7.5000002980232239E-2</v>
      </c>
      <c r="K942" s="192">
        <f>VLOOKUP($D942,'RBSA Weights'!$A$2:$C$1406,3,FALSE)</f>
        <v>3785.7640000000001</v>
      </c>
    </row>
    <row r="943" spans="1:11">
      <c r="A943" s="192" t="s">
        <v>709</v>
      </c>
      <c r="B943" s="192">
        <v>0.9</v>
      </c>
      <c r="C943" s="192">
        <v>103331</v>
      </c>
      <c r="D943" s="192">
        <v>20325</v>
      </c>
      <c r="E943" s="192">
        <v>1</v>
      </c>
      <c r="F943" s="192">
        <v>1107</v>
      </c>
      <c r="G943" s="192">
        <v>12</v>
      </c>
      <c r="H943" s="192" t="s">
        <v>65</v>
      </c>
      <c r="I943" s="192" t="s">
        <v>784</v>
      </c>
      <c r="J943" s="192">
        <v>7.5000002980232239E-2</v>
      </c>
      <c r="K943" s="192">
        <f>VLOOKUP($D943,'RBSA Weights'!$A$2:$C$1406,3,FALSE)</f>
        <v>1925.059</v>
      </c>
    </row>
    <row r="944" spans="1:11">
      <c r="A944" s="192" t="s">
        <v>709</v>
      </c>
      <c r="B944" s="192">
        <v>1</v>
      </c>
      <c r="C944" s="192">
        <v>195500</v>
      </c>
      <c r="D944" s="192">
        <v>13055</v>
      </c>
      <c r="E944" s="192">
        <v>1</v>
      </c>
      <c r="F944" s="192">
        <v>1622</v>
      </c>
      <c r="G944" s="192">
        <v>0</v>
      </c>
      <c r="H944" s="192" t="s">
        <v>697</v>
      </c>
      <c r="I944" s="192" t="s">
        <v>65</v>
      </c>
      <c r="J944" s="192">
        <v>2.500000037252903E-2</v>
      </c>
      <c r="K944" s="192">
        <f>VLOOKUP($D944,'RBSA Weights'!$A$2:$C$1406,3,FALSE)</f>
        <v>4956.4930000000004</v>
      </c>
    </row>
    <row r="945" spans="1:11">
      <c r="A945" s="192" t="s">
        <v>709</v>
      </c>
      <c r="B945" s="192">
        <v>1</v>
      </c>
      <c r="C945" s="192">
        <v>233964</v>
      </c>
      <c r="D945" s="192">
        <v>10411</v>
      </c>
      <c r="E945" s="192">
        <v>1</v>
      </c>
      <c r="F945" s="192">
        <v>1516</v>
      </c>
      <c r="G945" s="192">
        <v>12</v>
      </c>
      <c r="H945" s="192" t="s">
        <v>702</v>
      </c>
      <c r="I945" s="192" t="s">
        <v>785</v>
      </c>
      <c r="J945" s="192">
        <v>2.500000037252903E-2</v>
      </c>
      <c r="K945" s="192">
        <f>VLOOKUP($D945,'RBSA Weights'!$A$2:$C$1406,3,FALSE)</f>
        <v>1150.8789999999999</v>
      </c>
    </row>
    <row r="946" spans="1:11">
      <c r="A946" s="192" t="s">
        <v>709</v>
      </c>
      <c r="B946" s="192">
        <v>1</v>
      </c>
      <c r="C946" s="192">
        <v>58469</v>
      </c>
      <c r="D946" s="192">
        <v>11289</v>
      </c>
      <c r="E946" s="192">
        <v>1</v>
      </c>
      <c r="F946" s="192">
        <v>801</v>
      </c>
      <c r="G946" s="192">
        <v>0</v>
      </c>
      <c r="H946" s="192" t="s">
        <v>702</v>
      </c>
      <c r="I946" s="192" t="s">
        <v>65</v>
      </c>
      <c r="J946" s="192">
        <v>2.500000037252903E-2</v>
      </c>
      <c r="K946" s="192">
        <f>VLOOKUP($D946,'RBSA Weights'!$A$2:$C$1406,3,FALSE)</f>
        <v>1524.7619999999999</v>
      </c>
    </row>
    <row r="947" spans="1:11">
      <c r="A947" s="192" t="s">
        <v>709</v>
      </c>
      <c r="B947" s="192">
        <v>1</v>
      </c>
      <c r="C947" s="192">
        <v>35702</v>
      </c>
      <c r="D947" s="192">
        <v>12614</v>
      </c>
      <c r="E947" s="192">
        <v>1</v>
      </c>
      <c r="F947" s="192">
        <v>384</v>
      </c>
      <c r="G947" s="192">
        <v>49</v>
      </c>
      <c r="H947" s="192" t="s">
        <v>700</v>
      </c>
      <c r="I947" s="192" t="s">
        <v>65</v>
      </c>
      <c r="J947" s="192">
        <v>2.500000037252903E-2</v>
      </c>
      <c r="K947" s="192">
        <f>VLOOKUP($D947,'RBSA Weights'!$A$2:$C$1406,3,FALSE)</f>
        <v>1524.7619999999999</v>
      </c>
    </row>
    <row r="948" spans="1:11">
      <c r="A948" s="192" t="s">
        <v>709</v>
      </c>
      <c r="B948" s="192">
        <v>1</v>
      </c>
      <c r="C948" s="192">
        <v>235694</v>
      </c>
      <c r="D948" s="192">
        <v>13166</v>
      </c>
      <c r="E948" s="192">
        <v>1</v>
      </c>
      <c r="F948" s="192">
        <v>335</v>
      </c>
      <c r="G948" s="192">
        <v>0</v>
      </c>
      <c r="H948" s="192" t="s">
        <v>705</v>
      </c>
      <c r="I948" s="192" t="s">
        <v>65</v>
      </c>
      <c r="J948" s="192">
        <v>2.500000037252903E-2</v>
      </c>
      <c r="K948" s="192">
        <f>VLOOKUP($D948,'RBSA Weights'!$A$2:$C$1406,3,FALSE)</f>
        <v>1524.7619999999999</v>
      </c>
    </row>
    <row r="949" spans="1:11">
      <c r="A949" s="192" t="s">
        <v>709</v>
      </c>
      <c r="B949" s="192">
        <v>1</v>
      </c>
      <c r="C949" s="192">
        <v>172917</v>
      </c>
      <c r="D949" s="192">
        <v>13127</v>
      </c>
      <c r="E949" s="192">
        <v>1</v>
      </c>
      <c r="F949" s="192">
        <v>684</v>
      </c>
      <c r="G949" s="192">
        <v>0</v>
      </c>
      <c r="H949" s="192" t="s">
        <v>705</v>
      </c>
      <c r="I949" s="192" t="s">
        <v>65</v>
      </c>
      <c r="J949" s="192">
        <v>2.500000037252903E-2</v>
      </c>
      <c r="K949" s="192">
        <f>VLOOKUP($D949,'RBSA Weights'!$A$2:$C$1406,3,FALSE)</f>
        <v>4956.4930000000004</v>
      </c>
    </row>
    <row r="950" spans="1:11">
      <c r="A950" s="192" t="s">
        <v>709</v>
      </c>
      <c r="B950" s="192">
        <v>1</v>
      </c>
      <c r="C950" s="192">
        <v>140764</v>
      </c>
      <c r="D950" s="192">
        <v>23504</v>
      </c>
      <c r="E950" s="192">
        <v>1</v>
      </c>
      <c r="F950" s="192">
        <v>1176</v>
      </c>
      <c r="G950" s="192">
        <v>50</v>
      </c>
      <c r="H950" s="192" t="s">
        <v>697</v>
      </c>
      <c r="I950" s="192" t="s">
        <v>65</v>
      </c>
      <c r="J950" s="192">
        <v>2.500000037252903E-2</v>
      </c>
      <c r="K950" s="192">
        <f>VLOOKUP($D950,'RBSA Weights'!$A$2:$C$1406,3,FALSE)</f>
        <v>1612.692</v>
      </c>
    </row>
    <row r="951" spans="1:11">
      <c r="A951" s="192" t="s">
        <v>709</v>
      </c>
      <c r="B951" s="192">
        <v>1</v>
      </c>
      <c r="C951" s="192">
        <v>206960</v>
      </c>
      <c r="D951" s="192">
        <v>11774</v>
      </c>
      <c r="E951" s="192">
        <v>1</v>
      </c>
      <c r="F951" s="192">
        <v>1386</v>
      </c>
      <c r="G951" s="192">
        <v>49</v>
      </c>
      <c r="H951" s="192" t="s">
        <v>702</v>
      </c>
      <c r="I951" s="192" t="s">
        <v>65</v>
      </c>
      <c r="J951" s="192">
        <v>2.500000037252903E-2</v>
      </c>
      <c r="K951" s="192">
        <f>VLOOKUP($D951,'RBSA Weights'!$A$2:$C$1406,3,FALSE)</f>
        <v>6932.7380000000003</v>
      </c>
    </row>
    <row r="952" spans="1:11">
      <c r="A952" s="192" t="s">
        <v>709</v>
      </c>
      <c r="B952" s="192">
        <v>1</v>
      </c>
      <c r="C952" s="192">
        <v>222470</v>
      </c>
      <c r="D952" s="192">
        <v>14577</v>
      </c>
      <c r="E952" s="192">
        <v>1</v>
      </c>
      <c r="F952" s="192">
        <v>1292</v>
      </c>
      <c r="G952" s="192">
        <v>50</v>
      </c>
      <c r="H952" s="192" t="s">
        <v>702</v>
      </c>
      <c r="I952" s="192" t="s">
        <v>65</v>
      </c>
      <c r="J952" s="192">
        <v>2.500000037252903E-2</v>
      </c>
      <c r="K952" s="192">
        <f>VLOOKUP($D952,'RBSA Weights'!$A$2:$C$1406,3,FALSE)</f>
        <v>6932.7380000000003</v>
      </c>
    </row>
    <row r="953" spans="1:11">
      <c r="A953" s="192" t="s">
        <v>709</v>
      </c>
      <c r="B953" s="192">
        <v>1</v>
      </c>
      <c r="C953" s="192">
        <v>112196</v>
      </c>
      <c r="D953" s="192">
        <v>24341</v>
      </c>
      <c r="E953" s="192">
        <v>1</v>
      </c>
      <c r="F953" s="192">
        <v>1888</v>
      </c>
      <c r="G953" s="192">
        <v>49</v>
      </c>
      <c r="H953" s="192" t="s">
        <v>705</v>
      </c>
      <c r="I953" s="192" t="s">
        <v>65</v>
      </c>
      <c r="J953" s="192">
        <v>2.500000037252903E-2</v>
      </c>
      <c r="K953" s="192">
        <f>VLOOKUP($D953,'RBSA Weights'!$A$2:$C$1406,3,FALSE)</f>
        <v>1904.288</v>
      </c>
    </row>
    <row r="954" spans="1:11">
      <c r="A954" s="192" t="s">
        <v>709</v>
      </c>
      <c r="B954" s="192">
        <v>1</v>
      </c>
      <c r="C954" s="192">
        <v>103188</v>
      </c>
      <c r="D954" s="192">
        <v>10305</v>
      </c>
      <c r="E954" s="192">
        <v>1</v>
      </c>
      <c r="F954" s="192">
        <v>1695</v>
      </c>
      <c r="G954" s="192">
        <v>0</v>
      </c>
      <c r="H954" s="192" t="s">
        <v>705</v>
      </c>
      <c r="I954" s="192" t="s">
        <v>65</v>
      </c>
      <c r="J954" s="192">
        <v>2.500000037252903E-2</v>
      </c>
      <c r="K954" s="192">
        <f>VLOOKUP($D954,'RBSA Weights'!$A$2:$C$1406,3,FALSE)</f>
        <v>2003.7159999999999</v>
      </c>
    </row>
    <row r="955" spans="1:11">
      <c r="A955" s="192" t="s">
        <v>709</v>
      </c>
      <c r="B955" s="192">
        <v>1</v>
      </c>
      <c r="C955" s="192">
        <v>158509</v>
      </c>
      <c r="D955" s="192">
        <v>11808</v>
      </c>
      <c r="E955" s="192">
        <v>1</v>
      </c>
      <c r="F955" s="192">
        <v>1000</v>
      </c>
      <c r="G955" s="192">
        <v>0</v>
      </c>
      <c r="H955" s="192" t="s">
        <v>702</v>
      </c>
      <c r="I955" s="192" t="s">
        <v>65</v>
      </c>
      <c r="J955" s="192">
        <v>2.500000037252903E-2</v>
      </c>
      <c r="K955" s="192">
        <f>VLOOKUP($D955,'RBSA Weights'!$A$2:$C$1406,3,FALSE)</f>
        <v>4956.4930000000004</v>
      </c>
    </row>
    <row r="956" spans="1:11">
      <c r="A956" s="192" t="s">
        <v>709</v>
      </c>
      <c r="B956" s="192">
        <v>1</v>
      </c>
      <c r="C956" s="192">
        <v>60171</v>
      </c>
      <c r="D956" s="192">
        <v>10605</v>
      </c>
      <c r="E956" s="192">
        <v>1</v>
      </c>
      <c r="F956" s="192">
        <v>1455</v>
      </c>
      <c r="G956" s="192">
        <v>0</v>
      </c>
      <c r="H956" s="192" t="s">
        <v>705</v>
      </c>
      <c r="I956" s="192" t="s">
        <v>65</v>
      </c>
      <c r="J956" s="192">
        <v>2.500000037252903E-2</v>
      </c>
      <c r="K956" s="192">
        <f>VLOOKUP($D956,'RBSA Weights'!$A$2:$C$1406,3,FALSE)</f>
        <v>2003.7159999999999</v>
      </c>
    </row>
    <row r="957" spans="1:11">
      <c r="A957" s="192" t="s">
        <v>709</v>
      </c>
      <c r="B957" s="192">
        <v>1</v>
      </c>
      <c r="C957" s="192">
        <v>681686</v>
      </c>
      <c r="D957" s="192">
        <v>20028</v>
      </c>
      <c r="E957" s="192">
        <v>1</v>
      </c>
      <c r="F957" s="192">
        <v>1722</v>
      </c>
      <c r="G957" s="192">
        <v>12</v>
      </c>
      <c r="H957" s="192" t="s">
        <v>705</v>
      </c>
      <c r="I957" s="192" t="s">
        <v>65</v>
      </c>
      <c r="J957" s="192">
        <v>2.500000037252903E-2</v>
      </c>
      <c r="K957" s="192">
        <f>VLOOKUP($D957,'RBSA Weights'!$A$2:$C$1406,3,FALSE)</f>
        <v>6932.7380000000003</v>
      </c>
    </row>
    <row r="958" spans="1:11">
      <c r="A958" s="192" t="s">
        <v>709</v>
      </c>
      <c r="B958" s="192">
        <v>1</v>
      </c>
      <c r="C958" s="192">
        <v>143275</v>
      </c>
      <c r="D958" s="192">
        <v>12889</v>
      </c>
      <c r="E958" s="192">
        <v>2</v>
      </c>
      <c r="F958" s="192">
        <v>822</v>
      </c>
      <c r="G958" s="192">
        <v>0</v>
      </c>
      <c r="H958" s="192" t="s">
        <v>702</v>
      </c>
      <c r="I958" s="192" t="s">
        <v>65</v>
      </c>
      <c r="J958" s="192">
        <v>2.500000037252903E-2</v>
      </c>
      <c r="K958" s="192">
        <f>VLOOKUP($D958,'RBSA Weights'!$A$2:$C$1406,3,FALSE)</f>
        <v>4956.4930000000004</v>
      </c>
    </row>
    <row r="959" spans="1:11">
      <c r="A959" s="192" t="s">
        <v>709</v>
      </c>
      <c r="B959" s="192">
        <v>1</v>
      </c>
      <c r="C959" s="192">
        <v>192926</v>
      </c>
      <c r="D959" s="192">
        <v>21638</v>
      </c>
      <c r="E959" s="192">
        <v>1</v>
      </c>
      <c r="F959" s="192">
        <v>956</v>
      </c>
      <c r="G959" s="192">
        <v>20</v>
      </c>
      <c r="H959" s="192" t="s">
        <v>704</v>
      </c>
      <c r="I959" s="192" t="s">
        <v>65</v>
      </c>
      <c r="J959" s="192">
        <v>2.500000037252903E-2</v>
      </c>
      <c r="K959" s="192">
        <f>VLOOKUP($D959,'RBSA Weights'!$A$2:$C$1406,3,FALSE)</f>
        <v>2130.886</v>
      </c>
    </row>
    <row r="960" spans="1:11">
      <c r="A960" s="192" t="s">
        <v>709</v>
      </c>
      <c r="B960" s="192">
        <v>1</v>
      </c>
      <c r="C960" s="192">
        <v>110147</v>
      </c>
      <c r="D960" s="192">
        <v>24224</v>
      </c>
      <c r="E960" s="192">
        <v>1</v>
      </c>
      <c r="F960" s="192">
        <v>1131</v>
      </c>
      <c r="G960" s="192">
        <v>49</v>
      </c>
      <c r="H960" s="192" t="s">
        <v>705</v>
      </c>
      <c r="I960" s="192" t="s">
        <v>65</v>
      </c>
      <c r="J960" s="192">
        <v>2.500000037252903E-2</v>
      </c>
      <c r="K960" s="192">
        <f>VLOOKUP($D960,'RBSA Weights'!$A$2:$C$1406,3,FALSE)</f>
        <v>1904.288</v>
      </c>
    </row>
    <row r="961" spans="1:11">
      <c r="A961" s="192" t="s">
        <v>709</v>
      </c>
      <c r="B961" s="192">
        <v>1</v>
      </c>
      <c r="C961" s="192">
        <v>672094</v>
      </c>
      <c r="D961" s="192">
        <v>22703</v>
      </c>
      <c r="E961" s="192">
        <v>1</v>
      </c>
      <c r="F961" s="192">
        <v>806</v>
      </c>
      <c r="G961" s="192">
        <v>12</v>
      </c>
      <c r="H961" s="192" t="s">
        <v>705</v>
      </c>
      <c r="I961" s="192" t="s">
        <v>786</v>
      </c>
      <c r="J961" s="192">
        <v>2.500000037252903E-2</v>
      </c>
      <c r="K961" s="192">
        <f>VLOOKUP($D961,'RBSA Weights'!$A$2:$C$1406,3,FALSE)</f>
        <v>2079.9929999999999</v>
      </c>
    </row>
    <row r="962" spans="1:11">
      <c r="A962" s="192" t="s">
        <v>709</v>
      </c>
      <c r="B962" s="192">
        <v>1</v>
      </c>
      <c r="C962" s="192">
        <v>205642</v>
      </c>
      <c r="D962" s="192">
        <v>14211</v>
      </c>
      <c r="E962" s="192">
        <v>1</v>
      </c>
      <c r="F962" s="192">
        <v>990</v>
      </c>
      <c r="G962" s="192">
        <v>12</v>
      </c>
      <c r="H962" s="192" t="s">
        <v>702</v>
      </c>
      <c r="I962" s="192" t="s">
        <v>65</v>
      </c>
      <c r="J962" s="192">
        <v>2.500000037252903E-2</v>
      </c>
      <c r="K962" s="192">
        <f>VLOOKUP($D962,'RBSA Weights'!$A$2:$C$1406,3,FALSE)</f>
        <v>1524.7619999999999</v>
      </c>
    </row>
    <row r="963" spans="1:11">
      <c r="A963" s="192" t="s">
        <v>709</v>
      </c>
      <c r="B963" s="192">
        <v>1</v>
      </c>
      <c r="C963" s="192">
        <v>169969</v>
      </c>
      <c r="D963" s="192">
        <v>23886</v>
      </c>
      <c r="E963" s="192">
        <v>1</v>
      </c>
      <c r="F963" s="192">
        <v>1091</v>
      </c>
      <c r="G963" s="192">
        <v>9</v>
      </c>
      <c r="H963" s="192" t="s">
        <v>700</v>
      </c>
      <c r="I963" s="192" t="s">
        <v>65</v>
      </c>
      <c r="J963" s="192">
        <v>2.500000037252903E-2</v>
      </c>
      <c r="K963" s="192">
        <f>VLOOKUP($D963,'RBSA Weights'!$A$2:$C$1406,3,FALSE)</f>
        <v>1192.4649999999999</v>
      </c>
    </row>
    <row r="964" spans="1:11">
      <c r="A964" s="192" t="s">
        <v>709</v>
      </c>
      <c r="B964" s="192">
        <v>1</v>
      </c>
      <c r="C964" s="192">
        <v>47406</v>
      </c>
      <c r="D964" s="192">
        <v>12398</v>
      </c>
      <c r="E964" s="192">
        <v>1</v>
      </c>
      <c r="F964" s="192">
        <v>1000</v>
      </c>
      <c r="G964" s="192">
        <v>0</v>
      </c>
      <c r="H964" s="192" t="s">
        <v>702</v>
      </c>
      <c r="I964" s="192" t="s">
        <v>65</v>
      </c>
      <c r="J964" s="192">
        <v>2.500000037252903E-2</v>
      </c>
      <c r="K964" s="192">
        <f>VLOOKUP($D964,'RBSA Weights'!$A$2:$C$1406,3,FALSE)</f>
        <v>1524.7619999999999</v>
      </c>
    </row>
    <row r="965" spans="1:11">
      <c r="A965" s="192" t="s">
        <v>709</v>
      </c>
      <c r="B965" s="192">
        <v>1</v>
      </c>
      <c r="C965" s="192">
        <v>83238</v>
      </c>
      <c r="D965" s="192">
        <v>12278</v>
      </c>
      <c r="E965" s="192">
        <v>1</v>
      </c>
      <c r="F965" s="192">
        <v>990</v>
      </c>
      <c r="G965" s="192">
        <v>12</v>
      </c>
      <c r="H965" s="192" t="s">
        <v>705</v>
      </c>
      <c r="I965" s="192" t="s">
        <v>65</v>
      </c>
      <c r="J965" s="192">
        <v>2.500000037252903E-2</v>
      </c>
      <c r="K965" s="192">
        <f>VLOOKUP($D965,'RBSA Weights'!$A$2:$C$1406,3,FALSE)</f>
        <v>2003.7159999999999</v>
      </c>
    </row>
    <row r="966" spans="1:11">
      <c r="A966" s="192" t="s">
        <v>709</v>
      </c>
      <c r="B966" s="192">
        <v>1</v>
      </c>
      <c r="C966" s="192">
        <v>682943</v>
      </c>
      <c r="D966" s="192">
        <v>20807</v>
      </c>
      <c r="E966" s="192">
        <v>1</v>
      </c>
      <c r="F966" s="192">
        <v>2610</v>
      </c>
      <c r="G966" s="192">
        <v>12</v>
      </c>
      <c r="H966" s="192" t="s">
        <v>705</v>
      </c>
      <c r="I966" s="192" t="s">
        <v>65</v>
      </c>
      <c r="J966" s="192">
        <v>2.500000037252903E-2</v>
      </c>
      <c r="K966" s="192">
        <f>VLOOKUP($D966,'RBSA Weights'!$A$2:$C$1406,3,FALSE)</f>
        <v>12271.31</v>
      </c>
    </row>
    <row r="967" spans="1:11">
      <c r="A967" s="192" t="s">
        <v>709</v>
      </c>
      <c r="B967" s="192">
        <v>1</v>
      </c>
      <c r="C967" s="192">
        <v>89647</v>
      </c>
      <c r="D967" s="192">
        <v>24655</v>
      </c>
      <c r="E967" s="192">
        <v>1</v>
      </c>
      <c r="F967" s="192">
        <v>648</v>
      </c>
      <c r="G967" s="192">
        <v>12</v>
      </c>
      <c r="H967" s="192" t="s">
        <v>697</v>
      </c>
      <c r="I967" s="192" t="s">
        <v>65</v>
      </c>
      <c r="J967" s="192">
        <v>2.500000037252903E-2</v>
      </c>
      <c r="K967" s="192">
        <f>VLOOKUP($D967,'RBSA Weights'!$A$2:$C$1406,3,FALSE)</f>
        <v>1144.6790000000001</v>
      </c>
    </row>
    <row r="968" spans="1:11">
      <c r="A968" s="192" t="s">
        <v>709</v>
      </c>
      <c r="B968" s="192">
        <v>1</v>
      </c>
      <c r="C968" s="192">
        <v>726805</v>
      </c>
      <c r="D968" s="192">
        <v>20612</v>
      </c>
      <c r="E968" s="192">
        <v>1</v>
      </c>
      <c r="F968" s="192">
        <v>1602</v>
      </c>
      <c r="G968" s="192">
        <v>10</v>
      </c>
      <c r="H968" s="192" t="s">
        <v>702</v>
      </c>
      <c r="I968" s="192" t="s">
        <v>65</v>
      </c>
      <c r="J968" s="192">
        <v>2.500000037252903E-2</v>
      </c>
      <c r="K968" s="192">
        <f>VLOOKUP($D968,'RBSA Weights'!$A$2:$C$1406,3,FALSE)</f>
        <v>2079.9929999999999</v>
      </c>
    </row>
    <row r="969" spans="1:11">
      <c r="A969" s="192" t="s">
        <v>709</v>
      </c>
      <c r="B969" s="192">
        <v>1</v>
      </c>
      <c r="C969" s="192">
        <v>61410</v>
      </c>
      <c r="D969" s="192">
        <v>10657</v>
      </c>
      <c r="E969" s="192">
        <v>1</v>
      </c>
      <c r="F969" s="192">
        <v>1140</v>
      </c>
      <c r="G969" s="192">
        <v>10</v>
      </c>
      <c r="H969" s="192" t="s">
        <v>700</v>
      </c>
      <c r="I969" s="192" t="s">
        <v>65</v>
      </c>
      <c r="J969" s="192">
        <v>2.500000037252903E-2</v>
      </c>
      <c r="K969" s="192">
        <f>VLOOKUP($D969,'RBSA Weights'!$A$2:$C$1406,3,FALSE)</f>
        <v>1524.7619999999999</v>
      </c>
    </row>
    <row r="970" spans="1:11">
      <c r="A970" s="192" t="s">
        <v>709</v>
      </c>
      <c r="B970" s="192">
        <v>1</v>
      </c>
      <c r="C970" s="192">
        <v>216905</v>
      </c>
      <c r="D970" s="192">
        <v>10728</v>
      </c>
      <c r="E970" s="192">
        <v>1</v>
      </c>
      <c r="F970" s="192">
        <v>810</v>
      </c>
      <c r="G970" s="192">
        <v>10</v>
      </c>
      <c r="H970" s="192" t="s">
        <v>702</v>
      </c>
      <c r="I970" s="192" t="s">
        <v>65</v>
      </c>
      <c r="J970" s="192">
        <v>2.500000037252903E-2</v>
      </c>
      <c r="K970" s="192">
        <f>VLOOKUP($D970,'RBSA Weights'!$A$2:$C$1406,3,FALSE)</f>
        <v>2003.7159999999999</v>
      </c>
    </row>
    <row r="971" spans="1:11">
      <c r="A971" s="192" t="s">
        <v>709</v>
      </c>
      <c r="B971" s="192">
        <v>1</v>
      </c>
      <c r="C971" s="192">
        <v>157919</v>
      </c>
      <c r="D971" s="192">
        <v>12825</v>
      </c>
      <c r="E971" s="192">
        <v>1</v>
      </c>
      <c r="F971" s="192">
        <v>791</v>
      </c>
      <c r="G971" s="192">
        <v>0</v>
      </c>
      <c r="H971" s="192" t="s">
        <v>702</v>
      </c>
      <c r="I971" s="192" t="s">
        <v>65</v>
      </c>
      <c r="J971" s="192">
        <v>2.500000037252903E-2</v>
      </c>
      <c r="K971" s="192">
        <f>VLOOKUP($D971,'RBSA Weights'!$A$2:$C$1406,3,FALSE)</f>
        <v>1524.7619999999999</v>
      </c>
    </row>
    <row r="972" spans="1:11">
      <c r="A972" s="192" t="s">
        <v>709</v>
      </c>
      <c r="B972" s="192">
        <v>1</v>
      </c>
      <c r="C972" s="192">
        <v>48246</v>
      </c>
      <c r="D972" s="192">
        <v>22855</v>
      </c>
      <c r="E972" s="192">
        <v>1</v>
      </c>
      <c r="F972" s="192">
        <v>1520</v>
      </c>
      <c r="G972" s="192">
        <v>0</v>
      </c>
      <c r="H972" s="192" t="s">
        <v>697</v>
      </c>
      <c r="I972" s="192" t="s">
        <v>65</v>
      </c>
      <c r="J972" s="192">
        <v>2.500000037252903E-2</v>
      </c>
      <c r="K972" s="192">
        <f>VLOOKUP($D972,'RBSA Weights'!$A$2:$C$1406,3,FALSE)</f>
        <v>2079.9929999999999</v>
      </c>
    </row>
    <row r="973" spans="1:11">
      <c r="A973" s="192" t="s">
        <v>709</v>
      </c>
      <c r="B973" s="192">
        <v>1</v>
      </c>
      <c r="C973" s="192">
        <v>64495</v>
      </c>
      <c r="D973" s="192">
        <v>11896</v>
      </c>
      <c r="E973" s="192">
        <v>1</v>
      </c>
      <c r="F973" s="192">
        <v>760</v>
      </c>
      <c r="G973" s="192">
        <v>0</v>
      </c>
      <c r="H973" s="192" t="s">
        <v>700</v>
      </c>
      <c r="I973" s="192" t="s">
        <v>65</v>
      </c>
      <c r="J973" s="192">
        <v>2.500000037252903E-2</v>
      </c>
      <c r="K973" s="192">
        <f>VLOOKUP($D973,'RBSA Weights'!$A$2:$C$1406,3,FALSE)</f>
        <v>2003.7159999999999</v>
      </c>
    </row>
    <row r="974" spans="1:11">
      <c r="A974" s="192" t="s">
        <v>709</v>
      </c>
      <c r="B974" s="192">
        <v>1</v>
      </c>
      <c r="C974" s="192">
        <v>31445</v>
      </c>
      <c r="D974" s="192">
        <v>22245</v>
      </c>
      <c r="E974" s="192">
        <v>1</v>
      </c>
      <c r="F974" s="192">
        <v>952</v>
      </c>
      <c r="G974" s="192">
        <v>0</v>
      </c>
      <c r="H974" s="192" t="s">
        <v>697</v>
      </c>
      <c r="I974" s="192" t="s">
        <v>65</v>
      </c>
      <c r="J974" s="192">
        <v>2.500000037252903E-2</v>
      </c>
      <c r="K974" s="192">
        <f>VLOOKUP($D974,'RBSA Weights'!$A$2:$C$1406,3,FALSE)</f>
        <v>12271.31</v>
      </c>
    </row>
    <row r="975" spans="1:11">
      <c r="A975" s="192" t="s">
        <v>709</v>
      </c>
      <c r="B975" s="192">
        <v>1</v>
      </c>
      <c r="C975" s="192">
        <v>53543</v>
      </c>
      <c r="D975" s="192">
        <v>10254</v>
      </c>
      <c r="E975" s="192">
        <v>1</v>
      </c>
      <c r="F975" s="192">
        <v>2498</v>
      </c>
      <c r="G975" s="192">
        <v>14</v>
      </c>
      <c r="H975" s="192" t="s">
        <v>700</v>
      </c>
      <c r="I975" s="192" t="s">
        <v>65</v>
      </c>
      <c r="J975" s="192">
        <v>2.500000037252903E-2</v>
      </c>
      <c r="K975" s="192">
        <f>VLOOKUP($D975,'RBSA Weights'!$A$2:$C$1406,3,FALSE)</f>
        <v>1188.027</v>
      </c>
    </row>
    <row r="976" spans="1:11">
      <c r="A976" s="192" t="s">
        <v>709</v>
      </c>
      <c r="B976" s="192">
        <v>1</v>
      </c>
      <c r="C976" s="192">
        <v>181870</v>
      </c>
      <c r="D976" s="192">
        <v>13880</v>
      </c>
      <c r="E976" s="192">
        <v>1</v>
      </c>
      <c r="F976" s="192">
        <v>1300</v>
      </c>
      <c r="G976" s="192">
        <v>12</v>
      </c>
      <c r="H976" s="192" t="s">
        <v>705</v>
      </c>
      <c r="I976" s="192" t="s">
        <v>65</v>
      </c>
      <c r="J976" s="192">
        <v>2.500000037252903E-2</v>
      </c>
      <c r="K976" s="192">
        <f>VLOOKUP($D976,'RBSA Weights'!$A$2:$C$1406,3,FALSE)</f>
        <v>4956.4930000000004</v>
      </c>
    </row>
    <row r="977" spans="1:11">
      <c r="A977" s="192" t="s">
        <v>709</v>
      </c>
      <c r="B977" s="192">
        <v>1</v>
      </c>
      <c r="C977" s="192">
        <v>217174</v>
      </c>
      <c r="D977" s="192">
        <v>12183</v>
      </c>
      <c r="E977" s="192">
        <v>1</v>
      </c>
      <c r="F977" s="192">
        <v>559</v>
      </c>
      <c r="G977" s="192">
        <v>10</v>
      </c>
      <c r="H977" s="192" t="s">
        <v>705</v>
      </c>
      <c r="I977" s="192" t="s">
        <v>65</v>
      </c>
      <c r="J977" s="192">
        <v>2.500000037252903E-2</v>
      </c>
      <c r="K977" s="192">
        <f>VLOOKUP($D977,'RBSA Weights'!$A$2:$C$1406,3,FALSE)</f>
        <v>4956.4930000000004</v>
      </c>
    </row>
    <row r="978" spans="1:11">
      <c r="A978" s="192" t="s">
        <v>709</v>
      </c>
      <c r="B978" s="192">
        <v>1</v>
      </c>
      <c r="C978" s="192">
        <v>36761</v>
      </c>
      <c r="D978" s="192">
        <v>22445</v>
      </c>
      <c r="E978" s="192">
        <v>1</v>
      </c>
      <c r="F978" s="192">
        <v>1800</v>
      </c>
      <c r="G978" s="192">
        <v>50</v>
      </c>
      <c r="H978" s="192" t="s">
        <v>705</v>
      </c>
      <c r="I978" s="192" t="s">
        <v>65</v>
      </c>
      <c r="J978" s="192">
        <v>2.500000037252903E-2</v>
      </c>
      <c r="K978" s="192">
        <f>VLOOKUP($D978,'RBSA Weights'!$A$2:$C$1406,3,FALSE)</f>
        <v>12271.31</v>
      </c>
    </row>
    <row r="979" spans="1:11">
      <c r="A979" s="192" t="s">
        <v>709</v>
      </c>
      <c r="B979" s="192">
        <v>1</v>
      </c>
      <c r="C979" s="192">
        <v>178152</v>
      </c>
      <c r="D979" s="192">
        <v>20819</v>
      </c>
      <c r="E979" s="192">
        <v>1</v>
      </c>
      <c r="F979" s="192">
        <v>1350</v>
      </c>
      <c r="G979" s="192">
        <v>12</v>
      </c>
      <c r="H979" s="192" t="s">
        <v>705</v>
      </c>
      <c r="I979" s="192" t="s">
        <v>65</v>
      </c>
      <c r="J979" s="192">
        <v>2.500000037252903E-2</v>
      </c>
      <c r="K979" s="192">
        <f>VLOOKUP($D979,'RBSA Weights'!$A$2:$C$1406,3,FALSE)</f>
        <v>1192.4649999999999</v>
      </c>
    </row>
    <row r="980" spans="1:11">
      <c r="A980" s="192" t="s">
        <v>709</v>
      </c>
      <c r="B980" s="192">
        <v>1</v>
      </c>
      <c r="C980" s="192">
        <v>66711</v>
      </c>
      <c r="D980" s="192">
        <v>10435</v>
      </c>
      <c r="E980" s="192">
        <v>1</v>
      </c>
      <c r="F980" s="192">
        <v>1398</v>
      </c>
      <c r="G980" s="192">
        <v>12</v>
      </c>
      <c r="H980" s="192" t="s">
        <v>702</v>
      </c>
      <c r="I980" s="192" t="s">
        <v>65</v>
      </c>
      <c r="J980" s="192">
        <v>2.500000037252903E-2</v>
      </c>
      <c r="K980" s="192">
        <f>VLOOKUP($D980,'RBSA Weights'!$A$2:$C$1406,3,FALSE)</f>
        <v>1524.7619999999999</v>
      </c>
    </row>
    <row r="981" spans="1:11">
      <c r="A981" s="192" t="s">
        <v>709</v>
      </c>
      <c r="B981" s="192">
        <v>1</v>
      </c>
      <c r="C981" s="192">
        <v>193268</v>
      </c>
      <c r="D981" s="192">
        <v>22291</v>
      </c>
      <c r="E981" s="192">
        <v>1</v>
      </c>
      <c r="F981" s="192">
        <v>1380</v>
      </c>
      <c r="G981" s="192">
        <v>12</v>
      </c>
      <c r="H981" s="192" t="s">
        <v>705</v>
      </c>
      <c r="I981" s="192" t="s">
        <v>65</v>
      </c>
      <c r="J981" s="192">
        <v>2.500000037252903E-2</v>
      </c>
      <c r="K981" s="192">
        <f>VLOOKUP($D981,'RBSA Weights'!$A$2:$C$1406,3,FALSE)</f>
        <v>1192.4649999999999</v>
      </c>
    </row>
    <row r="982" spans="1:11">
      <c r="A982" s="192" t="s">
        <v>709</v>
      </c>
      <c r="B982" s="192">
        <v>1</v>
      </c>
      <c r="C982" s="192">
        <v>689946</v>
      </c>
      <c r="D982" s="192">
        <v>21188</v>
      </c>
      <c r="E982" s="192">
        <v>1</v>
      </c>
      <c r="F982" s="192">
        <v>1311</v>
      </c>
      <c r="G982" s="192">
        <v>12</v>
      </c>
      <c r="H982" s="192" t="s">
        <v>702</v>
      </c>
      <c r="I982" s="192" t="s">
        <v>65</v>
      </c>
      <c r="J982" s="192">
        <v>2.500000037252903E-2</v>
      </c>
      <c r="K982" s="192">
        <f>VLOOKUP($D982,'RBSA Weights'!$A$2:$C$1406,3,FALSE)</f>
        <v>4360.1880000000001</v>
      </c>
    </row>
    <row r="983" spans="1:11">
      <c r="A983" s="192" t="s">
        <v>709</v>
      </c>
      <c r="B983" s="192">
        <v>1</v>
      </c>
      <c r="C983" s="192">
        <v>121726</v>
      </c>
      <c r="D983" s="192">
        <v>20626</v>
      </c>
      <c r="E983" s="192">
        <v>1</v>
      </c>
      <c r="F983" s="192">
        <v>1400</v>
      </c>
      <c r="G983" s="192">
        <v>49</v>
      </c>
      <c r="H983" s="192" t="s">
        <v>705</v>
      </c>
      <c r="I983" s="192" t="s">
        <v>65</v>
      </c>
      <c r="J983" s="192">
        <v>2.500000037252903E-2</v>
      </c>
      <c r="K983" s="192">
        <f>VLOOKUP($D983,'RBSA Weights'!$A$2:$C$1406,3,FALSE)</f>
        <v>1904.288</v>
      </c>
    </row>
    <row r="984" spans="1:11">
      <c r="A984" s="192" t="s">
        <v>709</v>
      </c>
      <c r="B984" s="192">
        <v>1</v>
      </c>
      <c r="C984" s="192">
        <v>110603</v>
      </c>
      <c r="D984" s="192">
        <v>21503</v>
      </c>
      <c r="E984" s="192">
        <v>1</v>
      </c>
      <c r="F984" s="192">
        <v>1600</v>
      </c>
      <c r="G984" s="192">
        <v>0</v>
      </c>
      <c r="H984" s="192" t="s">
        <v>705</v>
      </c>
      <c r="I984" s="192" t="s">
        <v>65</v>
      </c>
      <c r="J984" s="192">
        <v>2.500000037252903E-2</v>
      </c>
      <c r="K984" s="192">
        <f>VLOOKUP($D984,'RBSA Weights'!$A$2:$C$1406,3,FALSE)</f>
        <v>2079.9929999999999</v>
      </c>
    </row>
    <row r="985" spans="1:11">
      <c r="A985" s="192" t="s">
        <v>709</v>
      </c>
      <c r="B985" s="192">
        <v>1</v>
      </c>
      <c r="C985" s="192">
        <v>180463</v>
      </c>
      <c r="D985" s="192">
        <v>24733</v>
      </c>
      <c r="E985" s="192">
        <v>1</v>
      </c>
      <c r="F985" s="192">
        <v>1140</v>
      </c>
      <c r="G985" s="192">
        <v>0</v>
      </c>
      <c r="H985" s="192" t="s">
        <v>697</v>
      </c>
      <c r="I985" s="192" t="s">
        <v>65</v>
      </c>
      <c r="J985" s="192">
        <v>2.500000037252903E-2</v>
      </c>
      <c r="K985" s="192">
        <f>VLOOKUP($D985,'RBSA Weights'!$A$2:$C$1406,3,FALSE)</f>
        <v>4360.1880000000001</v>
      </c>
    </row>
    <row r="986" spans="1:11">
      <c r="A986" s="192" t="s">
        <v>709</v>
      </c>
      <c r="B986" s="192">
        <v>1</v>
      </c>
      <c r="C986" s="192">
        <v>62395</v>
      </c>
      <c r="D986" s="192">
        <v>10866</v>
      </c>
      <c r="E986" s="192">
        <v>1</v>
      </c>
      <c r="F986" s="192">
        <v>2256</v>
      </c>
      <c r="G986" s="192">
        <v>38</v>
      </c>
      <c r="H986" s="192" t="s">
        <v>697</v>
      </c>
      <c r="I986" s="192" t="s">
        <v>65</v>
      </c>
      <c r="J986" s="192">
        <v>2.500000037252903E-2</v>
      </c>
      <c r="K986" s="192">
        <f>VLOOKUP($D986,'RBSA Weights'!$A$2:$C$1406,3,FALSE)</f>
        <v>2003.7159999999999</v>
      </c>
    </row>
    <row r="987" spans="1:11">
      <c r="A987" s="192" t="s">
        <v>709</v>
      </c>
      <c r="B987" s="192">
        <v>1</v>
      </c>
      <c r="C987" s="192">
        <v>114097</v>
      </c>
      <c r="D987" s="192">
        <v>20895</v>
      </c>
      <c r="E987" s="192">
        <v>1</v>
      </c>
      <c r="F987" s="192">
        <v>1192</v>
      </c>
      <c r="G987" s="192">
        <v>50</v>
      </c>
      <c r="H987" s="192" t="s">
        <v>702</v>
      </c>
      <c r="I987" s="192" t="s">
        <v>65</v>
      </c>
      <c r="J987" s="192">
        <v>2.500000037252903E-2</v>
      </c>
      <c r="K987" s="192">
        <f>VLOOKUP($D987,'RBSA Weights'!$A$2:$C$1406,3,FALSE)</f>
        <v>1612.692</v>
      </c>
    </row>
    <row r="988" spans="1:11">
      <c r="A988" s="192" t="s">
        <v>709</v>
      </c>
      <c r="B988" s="192">
        <v>1</v>
      </c>
      <c r="C988" s="192">
        <v>229933</v>
      </c>
      <c r="D988" s="192">
        <v>21678</v>
      </c>
      <c r="E988" s="192">
        <v>1</v>
      </c>
      <c r="F988" s="192">
        <v>1756</v>
      </c>
      <c r="G988" s="192">
        <v>12</v>
      </c>
      <c r="H988" s="192" t="s">
        <v>705</v>
      </c>
      <c r="I988" s="192" t="s">
        <v>65</v>
      </c>
      <c r="J988" s="192">
        <v>2.500000037252903E-2</v>
      </c>
      <c r="K988" s="192">
        <f>VLOOKUP($D988,'RBSA Weights'!$A$2:$C$1406,3,FALSE)</f>
        <v>3785.7640000000001</v>
      </c>
    </row>
    <row r="989" spans="1:11">
      <c r="A989" s="192" t="s">
        <v>709</v>
      </c>
      <c r="B989" s="192">
        <v>1</v>
      </c>
      <c r="C989" s="192">
        <v>105499</v>
      </c>
      <c r="D989" s="192">
        <v>12755</v>
      </c>
      <c r="E989" s="192">
        <v>1</v>
      </c>
      <c r="F989" s="192">
        <v>1622</v>
      </c>
      <c r="G989" s="192">
        <v>15</v>
      </c>
      <c r="H989" s="192" t="s">
        <v>705</v>
      </c>
      <c r="I989" s="192" t="s">
        <v>65</v>
      </c>
      <c r="J989" s="192">
        <v>2.500000037252903E-2</v>
      </c>
      <c r="K989" s="192">
        <f>VLOOKUP($D989,'RBSA Weights'!$A$2:$C$1406,3,FALSE)</f>
        <v>4956.4930000000004</v>
      </c>
    </row>
    <row r="990" spans="1:11">
      <c r="A990" s="192" t="s">
        <v>709</v>
      </c>
      <c r="B990" s="192">
        <v>1</v>
      </c>
      <c r="C990" s="192">
        <v>68314</v>
      </c>
      <c r="D990" s="192">
        <v>22673</v>
      </c>
      <c r="E990" s="192">
        <v>2</v>
      </c>
      <c r="F990" s="192">
        <v>930</v>
      </c>
      <c r="G990" s="192">
        <v>0</v>
      </c>
      <c r="H990" s="192" t="s">
        <v>705</v>
      </c>
      <c r="I990" s="192" t="s">
        <v>65</v>
      </c>
      <c r="J990" s="192">
        <v>2.500000037252903E-2</v>
      </c>
      <c r="K990" s="192">
        <f>VLOOKUP($D990,'RBSA Weights'!$A$2:$C$1406,3,FALSE)</f>
        <v>1144.6790000000001</v>
      </c>
    </row>
    <row r="991" spans="1:11">
      <c r="A991" s="192" t="s">
        <v>709</v>
      </c>
      <c r="B991" s="192">
        <v>1</v>
      </c>
      <c r="C991" s="192">
        <v>102521</v>
      </c>
      <c r="D991" s="192">
        <v>11496</v>
      </c>
      <c r="E991" s="192">
        <v>1</v>
      </c>
      <c r="F991" s="192">
        <v>980</v>
      </c>
      <c r="G991" s="192">
        <v>0</v>
      </c>
      <c r="H991" s="192" t="s">
        <v>697</v>
      </c>
      <c r="I991" s="192" t="s">
        <v>65</v>
      </c>
      <c r="J991" s="192">
        <v>2.500000037252903E-2</v>
      </c>
      <c r="K991" s="192">
        <f>VLOOKUP($D991,'RBSA Weights'!$A$2:$C$1406,3,FALSE)</f>
        <v>4956.4930000000004</v>
      </c>
    </row>
    <row r="992" spans="1:11">
      <c r="A992" s="192" t="s">
        <v>709</v>
      </c>
      <c r="B992" s="192">
        <v>1</v>
      </c>
      <c r="C992" s="192">
        <v>156333</v>
      </c>
      <c r="D992" s="192">
        <v>13427</v>
      </c>
      <c r="E992" s="192">
        <v>1</v>
      </c>
      <c r="F992" s="192">
        <v>1653</v>
      </c>
      <c r="H992" s="192" t="s">
        <v>700</v>
      </c>
      <c r="I992" s="192" t="s">
        <v>787</v>
      </c>
      <c r="J992" s="192">
        <v>2.500000037252903E-2</v>
      </c>
      <c r="K992" s="192">
        <f>VLOOKUP($D992,'RBSA Weights'!$A$2:$C$1406,3,FALSE)</f>
        <v>4956.4930000000004</v>
      </c>
    </row>
    <row r="993" spans="1:11">
      <c r="A993" s="192" t="s">
        <v>709</v>
      </c>
      <c r="B993" s="192">
        <v>1</v>
      </c>
      <c r="C993" s="192">
        <v>93750</v>
      </c>
      <c r="D993" s="192">
        <v>21263</v>
      </c>
      <c r="E993" s="192">
        <v>1</v>
      </c>
      <c r="F993" s="192">
        <v>1164</v>
      </c>
      <c r="G993" s="192">
        <v>49</v>
      </c>
      <c r="H993" s="192" t="s">
        <v>705</v>
      </c>
      <c r="I993" s="192" t="s">
        <v>65</v>
      </c>
      <c r="J993" s="192">
        <v>2.500000037252903E-2</v>
      </c>
      <c r="K993" s="192">
        <f>VLOOKUP($D993,'RBSA Weights'!$A$2:$C$1406,3,FALSE)</f>
        <v>1904.288</v>
      </c>
    </row>
    <row r="994" spans="1:11">
      <c r="A994" s="192" t="s">
        <v>709</v>
      </c>
      <c r="B994" s="192">
        <v>1</v>
      </c>
      <c r="C994" s="192">
        <v>110795</v>
      </c>
      <c r="D994" s="192">
        <v>21578</v>
      </c>
      <c r="E994" s="192">
        <v>1</v>
      </c>
      <c r="F994" s="192">
        <v>1600</v>
      </c>
      <c r="G994" s="192">
        <v>0</v>
      </c>
      <c r="H994" s="192" t="s">
        <v>705</v>
      </c>
      <c r="I994" s="192" t="s">
        <v>65</v>
      </c>
      <c r="J994" s="192">
        <v>2.500000037252903E-2</v>
      </c>
      <c r="K994" s="192">
        <f>VLOOKUP($D994,'RBSA Weights'!$A$2:$C$1406,3,FALSE)</f>
        <v>2079.9929999999999</v>
      </c>
    </row>
    <row r="995" spans="1:11">
      <c r="A995" s="192" t="s">
        <v>709</v>
      </c>
      <c r="B995" s="192">
        <v>1</v>
      </c>
      <c r="C995" s="192">
        <v>94411</v>
      </c>
      <c r="D995" s="192">
        <v>20477</v>
      </c>
      <c r="E995" s="192">
        <v>1</v>
      </c>
      <c r="F995" s="192">
        <v>1741</v>
      </c>
      <c r="G995" s="192">
        <v>49</v>
      </c>
      <c r="H995" s="192" t="s">
        <v>697</v>
      </c>
      <c r="I995" s="192" t="s">
        <v>65</v>
      </c>
      <c r="J995" s="192">
        <v>2.500000037252903E-2</v>
      </c>
      <c r="K995" s="192">
        <f>VLOOKUP($D995,'RBSA Weights'!$A$2:$C$1406,3,FALSE)</f>
        <v>1904.288</v>
      </c>
    </row>
    <row r="996" spans="1:11">
      <c r="A996" s="192" t="s">
        <v>709</v>
      </c>
      <c r="B996" s="192">
        <v>1</v>
      </c>
      <c r="C996" s="192">
        <v>45660</v>
      </c>
      <c r="D996" s="192">
        <v>20395</v>
      </c>
      <c r="E996" s="192">
        <v>1</v>
      </c>
      <c r="F996" s="192">
        <v>1000</v>
      </c>
      <c r="G996" s="192">
        <v>0</v>
      </c>
      <c r="H996" s="192" t="s">
        <v>705</v>
      </c>
      <c r="I996" s="192" t="s">
        <v>65</v>
      </c>
      <c r="J996" s="192">
        <v>2.500000037252903E-2</v>
      </c>
      <c r="K996" s="192">
        <f>VLOOKUP($D996,'RBSA Weights'!$A$2:$C$1406,3,FALSE)</f>
        <v>8264.9449999999997</v>
      </c>
    </row>
    <row r="997" spans="1:11">
      <c r="A997" s="192" t="s">
        <v>709</v>
      </c>
      <c r="B997" s="192">
        <v>1</v>
      </c>
      <c r="C997" s="192">
        <v>718027</v>
      </c>
      <c r="D997" s="192">
        <v>11894</v>
      </c>
      <c r="E997" s="192">
        <v>1</v>
      </c>
      <c r="F997" s="192">
        <v>1127</v>
      </c>
      <c r="G997" s="192">
        <v>0</v>
      </c>
      <c r="H997" s="192" t="s">
        <v>705</v>
      </c>
      <c r="I997" s="192" t="s">
        <v>65</v>
      </c>
      <c r="J997" s="192">
        <v>2.500000037252903E-2</v>
      </c>
      <c r="K997" s="192">
        <f>VLOOKUP($D997,'RBSA Weights'!$A$2:$C$1406,3,FALSE)</f>
        <v>4956.4930000000004</v>
      </c>
    </row>
    <row r="998" spans="1:11">
      <c r="A998" s="192" t="s">
        <v>709</v>
      </c>
      <c r="B998" s="192">
        <v>1</v>
      </c>
      <c r="C998" s="192">
        <v>91819</v>
      </c>
      <c r="D998" s="192">
        <v>23192</v>
      </c>
      <c r="E998" s="192">
        <v>1</v>
      </c>
      <c r="F998" s="192">
        <v>1612</v>
      </c>
      <c r="G998" s="192">
        <v>49</v>
      </c>
      <c r="H998" s="192" t="s">
        <v>705</v>
      </c>
      <c r="I998" s="192" t="s">
        <v>65</v>
      </c>
      <c r="J998" s="192">
        <v>2.500000037252903E-2</v>
      </c>
      <c r="K998" s="192">
        <f>VLOOKUP($D998,'RBSA Weights'!$A$2:$C$1406,3,FALSE)</f>
        <v>1904.288</v>
      </c>
    </row>
    <row r="999" spans="1:11">
      <c r="A999" s="192" t="s">
        <v>709</v>
      </c>
      <c r="B999" s="192">
        <v>1</v>
      </c>
      <c r="C999" s="192">
        <v>66218</v>
      </c>
      <c r="D999" s="192">
        <v>10681</v>
      </c>
      <c r="E999" s="192">
        <v>1</v>
      </c>
      <c r="F999" s="192">
        <v>1960</v>
      </c>
      <c r="G999" s="192">
        <v>38</v>
      </c>
      <c r="H999" s="192" t="s">
        <v>700</v>
      </c>
      <c r="I999" s="192" t="s">
        <v>65</v>
      </c>
      <c r="J999" s="192">
        <v>2.500000037252903E-2</v>
      </c>
      <c r="K999" s="192">
        <f>VLOOKUP($D999,'RBSA Weights'!$A$2:$C$1406,3,FALSE)</f>
        <v>2003.7159999999999</v>
      </c>
    </row>
    <row r="1000" spans="1:11">
      <c r="A1000" s="192" t="s">
        <v>709</v>
      </c>
      <c r="B1000" s="192">
        <v>1</v>
      </c>
      <c r="C1000" s="192">
        <v>100977</v>
      </c>
      <c r="D1000" s="192">
        <v>11769</v>
      </c>
      <c r="E1000" s="192">
        <v>1</v>
      </c>
      <c r="F1000" s="192">
        <v>1400</v>
      </c>
      <c r="G1000" s="192">
        <v>0</v>
      </c>
      <c r="H1000" s="192" t="s">
        <v>702</v>
      </c>
      <c r="I1000" s="192" t="s">
        <v>65</v>
      </c>
      <c r="J1000" s="192">
        <v>2.500000037252903E-2</v>
      </c>
      <c r="K1000" s="192">
        <f>VLOOKUP($D1000,'RBSA Weights'!$A$2:$C$1406,3,FALSE)</f>
        <v>4956.4930000000004</v>
      </c>
    </row>
    <row r="1001" spans="1:11">
      <c r="A1001" s="192" t="s">
        <v>709</v>
      </c>
      <c r="B1001" s="192">
        <v>1</v>
      </c>
      <c r="C1001" s="192">
        <v>240611</v>
      </c>
      <c r="D1001" s="192">
        <v>14012</v>
      </c>
      <c r="E1001" s="192">
        <v>1</v>
      </c>
      <c r="F1001" s="192">
        <v>1490</v>
      </c>
      <c r="G1001" s="192">
        <v>12</v>
      </c>
      <c r="H1001" s="192" t="s">
        <v>705</v>
      </c>
      <c r="I1001" s="192" t="s">
        <v>65</v>
      </c>
      <c r="J1001" s="192">
        <v>2.500000037252903E-2</v>
      </c>
      <c r="K1001" s="192">
        <f>VLOOKUP($D1001,'RBSA Weights'!$A$2:$C$1406,3,FALSE)</f>
        <v>2003.7159999999999</v>
      </c>
    </row>
    <row r="1002" spans="1:11">
      <c r="A1002" s="192" t="s">
        <v>709</v>
      </c>
      <c r="B1002" s="192">
        <v>1</v>
      </c>
      <c r="C1002" s="192">
        <v>98331</v>
      </c>
      <c r="D1002" s="192">
        <v>20095</v>
      </c>
      <c r="E1002" s="192">
        <v>1</v>
      </c>
      <c r="F1002" s="192">
        <v>1247</v>
      </c>
      <c r="G1002" s="192">
        <v>49</v>
      </c>
      <c r="H1002" s="192" t="s">
        <v>705</v>
      </c>
      <c r="I1002" s="192" t="s">
        <v>65</v>
      </c>
      <c r="J1002" s="192">
        <v>2.500000037252903E-2</v>
      </c>
      <c r="K1002" s="192">
        <f>VLOOKUP($D1002,'RBSA Weights'!$A$2:$C$1406,3,FALSE)</f>
        <v>1904.288</v>
      </c>
    </row>
    <row r="1003" spans="1:11">
      <c r="A1003" s="192" t="s">
        <v>709</v>
      </c>
      <c r="B1003" s="192">
        <v>1</v>
      </c>
      <c r="C1003" s="192">
        <v>54535</v>
      </c>
      <c r="D1003" s="192">
        <v>23196</v>
      </c>
      <c r="E1003" s="192">
        <v>1</v>
      </c>
      <c r="F1003" s="192">
        <v>1512</v>
      </c>
      <c r="G1003" s="192">
        <v>0</v>
      </c>
      <c r="H1003" s="192" t="s">
        <v>702</v>
      </c>
      <c r="I1003" s="192" t="s">
        <v>65</v>
      </c>
      <c r="J1003" s="192">
        <v>2.500000037252903E-2</v>
      </c>
      <c r="K1003" s="192">
        <f>VLOOKUP($D1003,'RBSA Weights'!$A$2:$C$1406,3,FALSE)</f>
        <v>2079.9929999999999</v>
      </c>
    </row>
    <row r="1004" spans="1:11">
      <c r="A1004" s="192" t="s">
        <v>709</v>
      </c>
      <c r="B1004" s="192">
        <v>1</v>
      </c>
      <c r="C1004" s="192">
        <v>169821</v>
      </c>
      <c r="D1004" s="192">
        <v>23788</v>
      </c>
      <c r="E1004" s="192">
        <v>1</v>
      </c>
      <c r="F1004" s="192">
        <v>1004</v>
      </c>
      <c r="G1004" s="192">
        <v>12</v>
      </c>
      <c r="H1004" s="192" t="s">
        <v>705</v>
      </c>
      <c r="I1004" s="192" t="s">
        <v>65</v>
      </c>
      <c r="J1004" s="192">
        <v>2.500000037252903E-2</v>
      </c>
      <c r="K1004" s="192">
        <f>VLOOKUP($D1004,'RBSA Weights'!$A$2:$C$1406,3,FALSE)</f>
        <v>1192.4649999999999</v>
      </c>
    </row>
    <row r="1005" spans="1:11">
      <c r="A1005" s="192" t="s">
        <v>709</v>
      </c>
      <c r="B1005" s="192">
        <v>1</v>
      </c>
      <c r="C1005" s="192">
        <v>155315</v>
      </c>
      <c r="D1005" s="192">
        <v>22739</v>
      </c>
      <c r="E1005" s="192">
        <v>1</v>
      </c>
      <c r="F1005" s="192">
        <v>1140</v>
      </c>
      <c r="G1005" s="192">
        <v>12</v>
      </c>
      <c r="H1005" s="192" t="s">
        <v>702</v>
      </c>
      <c r="I1005" s="192" t="s">
        <v>65</v>
      </c>
      <c r="J1005" s="192">
        <v>2.500000037252903E-2</v>
      </c>
      <c r="K1005" s="192">
        <f>VLOOKUP($D1005,'RBSA Weights'!$A$2:$C$1406,3,FALSE)</f>
        <v>1192.4649999999999</v>
      </c>
    </row>
    <row r="1006" spans="1:11">
      <c r="A1006" s="192" t="s">
        <v>709</v>
      </c>
      <c r="B1006" s="192">
        <v>1</v>
      </c>
      <c r="C1006" s="192">
        <v>675687</v>
      </c>
      <c r="D1006" s="192">
        <v>22514</v>
      </c>
      <c r="E1006" s="192">
        <v>1</v>
      </c>
      <c r="F1006" s="192">
        <v>1108</v>
      </c>
      <c r="G1006" s="192">
        <v>12</v>
      </c>
      <c r="H1006" s="192" t="s">
        <v>705</v>
      </c>
      <c r="I1006" s="192" t="s">
        <v>65</v>
      </c>
      <c r="J1006" s="192">
        <v>2.500000037252903E-2</v>
      </c>
      <c r="K1006" s="192">
        <f>VLOOKUP($D1006,'RBSA Weights'!$A$2:$C$1406,3,FALSE)</f>
        <v>3785.7640000000001</v>
      </c>
    </row>
    <row r="1007" spans="1:11">
      <c r="A1007" s="192" t="s">
        <v>709</v>
      </c>
      <c r="B1007" s="192">
        <v>1</v>
      </c>
      <c r="C1007" s="192">
        <v>234274</v>
      </c>
      <c r="D1007" s="192">
        <v>11118</v>
      </c>
      <c r="E1007" s="192">
        <v>1</v>
      </c>
      <c r="F1007" s="192">
        <v>1870</v>
      </c>
      <c r="G1007" s="192">
        <v>12</v>
      </c>
      <c r="H1007" s="192" t="s">
        <v>702</v>
      </c>
      <c r="I1007" s="192" t="s">
        <v>65</v>
      </c>
      <c r="J1007" s="192">
        <v>2.500000037252903E-2</v>
      </c>
      <c r="K1007" s="192">
        <f>VLOOKUP($D1007,'RBSA Weights'!$A$2:$C$1406,3,FALSE)</f>
        <v>1150.8789999999999</v>
      </c>
    </row>
    <row r="1008" spans="1:11">
      <c r="A1008" s="192" t="s">
        <v>709</v>
      </c>
      <c r="B1008" s="192">
        <v>1</v>
      </c>
      <c r="C1008" s="192">
        <v>683219</v>
      </c>
      <c r="D1008" s="192">
        <v>21905</v>
      </c>
      <c r="E1008" s="192">
        <v>1</v>
      </c>
      <c r="F1008" s="192">
        <v>2099</v>
      </c>
      <c r="G1008" s="192">
        <v>12</v>
      </c>
      <c r="H1008" s="192" t="s">
        <v>697</v>
      </c>
      <c r="I1008" s="192" t="s">
        <v>65</v>
      </c>
      <c r="J1008" s="192">
        <v>2.500000037252903E-2</v>
      </c>
      <c r="K1008" s="192">
        <f>VLOOKUP($D1008,'RBSA Weights'!$A$2:$C$1406,3,FALSE)</f>
        <v>12271.31</v>
      </c>
    </row>
    <row r="1009" spans="1:11">
      <c r="A1009" s="192" t="s">
        <v>709</v>
      </c>
      <c r="B1009" s="192">
        <v>1</v>
      </c>
      <c r="C1009" s="192">
        <v>142235</v>
      </c>
      <c r="D1009" s="192">
        <v>21417</v>
      </c>
      <c r="E1009" s="192">
        <v>1</v>
      </c>
      <c r="F1009" s="192">
        <v>2130</v>
      </c>
      <c r="G1009" s="192">
        <v>12</v>
      </c>
      <c r="H1009" s="192" t="s">
        <v>705</v>
      </c>
      <c r="I1009" s="192" t="s">
        <v>65</v>
      </c>
      <c r="J1009" s="192">
        <v>2.500000037252903E-2</v>
      </c>
      <c r="K1009" s="192">
        <f>VLOOKUP($D1009,'RBSA Weights'!$A$2:$C$1406,3,FALSE)</f>
        <v>1192.4649999999999</v>
      </c>
    </row>
    <row r="1010" spans="1:11">
      <c r="A1010" s="192" t="s">
        <v>709</v>
      </c>
      <c r="B1010" s="192">
        <v>1</v>
      </c>
      <c r="C1010" s="192">
        <v>51676</v>
      </c>
      <c r="D1010" s="192">
        <v>12458</v>
      </c>
      <c r="E1010" s="192">
        <v>1</v>
      </c>
      <c r="F1010" s="192">
        <v>1082</v>
      </c>
      <c r="G1010" s="192">
        <v>12</v>
      </c>
      <c r="H1010" s="192" t="s">
        <v>705</v>
      </c>
      <c r="I1010" s="192" t="s">
        <v>788</v>
      </c>
      <c r="J1010" s="192">
        <v>2.500000037252903E-2</v>
      </c>
      <c r="K1010" s="192">
        <f>VLOOKUP($D1010,'RBSA Weights'!$A$2:$C$1406,3,FALSE)</f>
        <v>1188.027</v>
      </c>
    </row>
    <row r="1011" spans="1:11">
      <c r="A1011" s="192" t="s">
        <v>709</v>
      </c>
      <c r="B1011" s="192">
        <v>1</v>
      </c>
      <c r="C1011" s="192">
        <v>107502</v>
      </c>
      <c r="D1011" s="192">
        <v>23607</v>
      </c>
      <c r="E1011" s="192">
        <v>1</v>
      </c>
      <c r="F1011" s="192">
        <v>2400</v>
      </c>
      <c r="G1011" s="192">
        <v>5</v>
      </c>
      <c r="H1011" s="192" t="s">
        <v>705</v>
      </c>
      <c r="I1011" s="192" t="s">
        <v>65</v>
      </c>
      <c r="J1011" s="192">
        <v>2.500000037252903E-2</v>
      </c>
      <c r="K1011" s="192">
        <f>VLOOKUP($D1011,'RBSA Weights'!$A$2:$C$1406,3,FALSE)</f>
        <v>2079.9929999999999</v>
      </c>
    </row>
    <row r="1012" spans="1:11">
      <c r="A1012" s="192" t="s">
        <v>709</v>
      </c>
      <c r="B1012" s="192">
        <v>1</v>
      </c>
      <c r="C1012" s="192">
        <v>185981</v>
      </c>
      <c r="D1012" s="192">
        <v>24207</v>
      </c>
      <c r="E1012" s="192">
        <v>1</v>
      </c>
      <c r="F1012" s="192">
        <v>910</v>
      </c>
      <c r="G1012" s="192">
        <v>12</v>
      </c>
      <c r="H1012" s="192" t="s">
        <v>705</v>
      </c>
      <c r="I1012" s="192" t="s">
        <v>65</v>
      </c>
      <c r="J1012" s="192">
        <v>2.500000037252903E-2</v>
      </c>
      <c r="K1012" s="192">
        <f>VLOOKUP($D1012,'RBSA Weights'!$A$2:$C$1406,3,FALSE)</f>
        <v>1925.059</v>
      </c>
    </row>
    <row r="1013" spans="1:11">
      <c r="A1013" s="192" t="s">
        <v>709</v>
      </c>
      <c r="B1013" s="192">
        <v>1</v>
      </c>
      <c r="C1013" s="192">
        <v>233400</v>
      </c>
      <c r="D1013" s="192">
        <v>22138</v>
      </c>
      <c r="E1013" s="192">
        <v>1</v>
      </c>
      <c r="F1013" s="192">
        <v>1608</v>
      </c>
      <c r="G1013" s="192">
        <v>50</v>
      </c>
      <c r="H1013" s="192" t="s">
        <v>705</v>
      </c>
      <c r="I1013" s="192" t="s">
        <v>65</v>
      </c>
      <c r="J1013" s="192">
        <v>2.500000037252903E-2</v>
      </c>
      <c r="K1013" s="192">
        <f>VLOOKUP($D1013,'RBSA Weights'!$A$2:$C$1406,3,FALSE)</f>
        <v>3785.7640000000001</v>
      </c>
    </row>
    <row r="1014" spans="1:11">
      <c r="A1014" s="192" t="s">
        <v>709</v>
      </c>
      <c r="B1014" s="192">
        <v>1</v>
      </c>
      <c r="C1014" s="192">
        <v>128551</v>
      </c>
      <c r="D1014" s="192">
        <v>24347</v>
      </c>
      <c r="E1014" s="192">
        <v>1</v>
      </c>
      <c r="F1014" s="192">
        <v>1532</v>
      </c>
      <c r="G1014" s="192">
        <v>12</v>
      </c>
      <c r="H1014" s="192" t="s">
        <v>705</v>
      </c>
      <c r="I1014" s="192" t="s">
        <v>65</v>
      </c>
      <c r="J1014" s="192">
        <v>2.500000037252903E-2</v>
      </c>
      <c r="K1014" s="192">
        <f>VLOOKUP($D1014,'RBSA Weights'!$A$2:$C$1406,3,FALSE)</f>
        <v>1904.288</v>
      </c>
    </row>
    <row r="1015" spans="1:11">
      <c r="A1015" s="192" t="s">
        <v>709</v>
      </c>
      <c r="B1015" s="192">
        <v>1</v>
      </c>
      <c r="C1015" s="192">
        <v>143818</v>
      </c>
      <c r="D1015" s="192">
        <v>21137</v>
      </c>
      <c r="E1015" s="192">
        <v>1</v>
      </c>
      <c r="F1015" s="192">
        <v>1064</v>
      </c>
      <c r="G1015" s="192">
        <v>12</v>
      </c>
      <c r="H1015" s="192" t="s">
        <v>699</v>
      </c>
      <c r="I1015" s="192" t="s">
        <v>65</v>
      </c>
      <c r="J1015" s="192">
        <v>2.500000037252903E-2</v>
      </c>
      <c r="K1015" s="192">
        <f>VLOOKUP($D1015,'RBSA Weights'!$A$2:$C$1406,3,FALSE)</f>
        <v>2130.886</v>
      </c>
    </row>
    <row r="1016" spans="1:11">
      <c r="A1016" s="192" t="s">
        <v>709</v>
      </c>
      <c r="B1016" s="192">
        <v>1</v>
      </c>
      <c r="C1016" s="192">
        <v>96677</v>
      </c>
      <c r="D1016" s="192">
        <v>12266</v>
      </c>
      <c r="E1016" s="192">
        <v>1</v>
      </c>
      <c r="F1016" s="192">
        <v>680</v>
      </c>
      <c r="G1016" s="192">
        <v>14</v>
      </c>
      <c r="H1016" s="192" t="s">
        <v>700</v>
      </c>
      <c r="I1016" s="192" t="s">
        <v>65</v>
      </c>
      <c r="J1016" s="192">
        <v>2.500000037252903E-2</v>
      </c>
      <c r="K1016" s="192">
        <f>VLOOKUP($D1016,'RBSA Weights'!$A$2:$C$1406,3,FALSE)</f>
        <v>4956.4930000000004</v>
      </c>
    </row>
    <row r="1017" spans="1:11">
      <c r="A1017" s="192" t="s">
        <v>709</v>
      </c>
      <c r="B1017" s="192">
        <v>1</v>
      </c>
      <c r="C1017" s="192">
        <v>107170</v>
      </c>
      <c r="D1017" s="192">
        <v>11417</v>
      </c>
      <c r="E1017" s="192">
        <v>1</v>
      </c>
      <c r="F1017" s="192">
        <v>898</v>
      </c>
      <c r="G1017" s="192">
        <v>10</v>
      </c>
      <c r="H1017" s="192" t="s">
        <v>697</v>
      </c>
      <c r="I1017" s="192" t="s">
        <v>789</v>
      </c>
      <c r="J1017" s="192">
        <v>2.500000037252903E-2</v>
      </c>
      <c r="K1017" s="192">
        <f>VLOOKUP($D1017,'RBSA Weights'!$A$2:$C$1406,3,FALSE)</f>
        <v>4956.4930000000004</v>
      </c>
    </row>
    <row r="1018" spans="1:11">
      <c r="A1018" s="192" t="s">
        <v>709</v>
      </c>
      <c r="B1018" s="192">
        <v>1</v>
      </c>
      <c r="C1018" s="192">
        <v>204822</v>
      </c>
      <c r="D1018" s="192">
        <v>21701</v>
      </c>
      <c r="E1018" s="192">
        <v>1</v>
      </c>
      <c r="F1018" s="192">
        <v>826</v>
      </c>
      <c r="G1018" s="192">
        <v>10</v>
      </c>
      <c r="H1018" s="192" t="s">
        <v>702</v>
      </c>
      <c r="I1018" s="192" t="s">
        <v>65</v>
      </c>
      <c r="J1018" s="192">
        <v>2.500000037252903E-2</v>
      </c>
      <c r="K1018" s="192">
        <f>VLOOKUP($D1018,'RBSA Weights'!$A$2:$C$1406,3,FALSE)</f>
        <v>1144.6790000000001</v>
      </c>
    </row>
    <row r="1019" spans="1:11">
      <c r="A1019" s="192" t="s">
        <v>709</v>
      </c>
      <c r="B1019" s="192">
        <v>1</v>
      </c>
      <c r="C1019" s="192">
        <v>689830</v>
      </c>
      <c r="D1019" s="192">
        <v>21531</v>
      </c>
      <c r="E1019" s="192">
        <v>1</v>
      </c>
      <c r="F1019" s="192">
        <v>1582</v>
      </c>
      <c r="G1019" s="192">
        <v>12</v>
      </c>
      <c r="H1019" s="192" t="s">
        <v>705</v>
      </c>
      <c r="I1019" s="192" t="s">
        <v>65</v>
      </c>
      <c r="J1019" s="192">
        <v>2.500000037252903E-2</v>
      </c>
      <c r="K1019" s="192">
        <f>VLOOKUP($D1019,'RBSA Weights'!$A$2:$C$1406,3,FALSE)</f>
        <v>4360.1880000000001</v>
      </c>
    </row>
    <row r="1020" spans="1:11">
      <c r="A1020" s="192" t="s">
        <v>709</v>
      </c>
      <c r="B1020" s="192">
        <v>1</v>
      </c>
      <c r="C1020" s="192">
        <v>195258</v>
      </c>
      <c r="D1020" s="192">
        <v>22756</v>
      </c>
      <c r="E1020" s="192">
        <v>1</v>
      </c>
      <c r="F1020" s="192">
        <v>1343</v>
      </c>
      <c r="G1020" s="192">
        <v>11</v>
      </c>
      <c r="H1020" s="192" t="s">
        <v>705</v>
      </c>
      <c r="I1020" s="192" t="s">
        <v>65</v>
      </c>
      <c r="J1020" s="192">
        <v>2.500000037252903E-2</v>
      </c>
      <c r="K1020" s="192">
        <f>VLOOKUP($D1020,'RBSA Weights'!$A$2:$C$1406,3,FALSE)</f>
        <v>1904.288</v>
      </c>
    </row>
    <row r="1021" spans="1:11">
      <c r="A1021" s="192" t="s">
        <v>709</v>
      </c>
      <c r="B1021" s="192">
        <v>1</v>
      </c>
      <c r="C1021" s="192">
        <v>167687</v>
      </c>
      <c r="D1021" s="192">
        <v>22724</v>
      </c>
      <c r="E1021" s="192">
        <v>1</v>
      </c>
      <c r="F1021" s="192">
        <v>641</v>
      </c>
      <c r="G1021" s="192">
        <v>12</v>
      </c>
      <c r="H1021" s="192" t="s">
        <v>705</v>
      </c>
      <c r="I1021" s="192" t="s">
        <v>65</v>
      </c>
      <c r="J1021" s="192">
        <v>2.500000037252903E-2</v>
      </c>
      <c r="K1021" s="192">
        <f>VLOOKUP($D1021,'RBSA Weights'!$A$2:$C$1406,3,FALSE)</f>
        <v>3785.7640000000001</v>
      </c>
    </row>
    <row r="1022" spans="1:11">
      <c r="A1022" s="192" t="s">
        <v>709</v>
      </c>
      <c r="B1022" s="192">
        <v>1</v>
      </c>
      <c r="C1022" s="192">
        <v>56350</v>
      </c>
      <c r="D1022" s="192">
        <v>22955</v>
      </c>
      <c r="E1022" s="192">
        <v>1</v>
      </c>
      <c r="F1022" s="192">
        <v>1097</v>
      </c>
      <c r="G1022" s="192">
        <v>20</v>
      </c>
      <c r="H1022" s="192" t="s">
        <v>705</v>
      </c>
      <c r="I1022" s="192" t="s">
        <v>65</v>
      </c>
      <c r="J1022" s="192">
        <v>2.500000037252903E-2</v>
      </c>
      <c r="K1022" s="192">
        <f>VLOOKUP($D1022,'RBSA Weights'!$A$2:$C$1406,3,FALSE)</f>
        <v>3785.7640000000001</v>
      </c>
    </row>
    <row r="1023" spans="1:11">
      <c r="A1023" s="192" t="s">
        <v>709</v>
      </c>
      <c r="B1023" s="192">
        <v>1</v>
      </c>
      <c r="C1023" s="192">
        <v>76221</v>
      </c>
      <c r="D1023" s="192">
        <v>21294</v>
      </c>
      <c r="E1023" s="192">
        <v>1</v>
      </c>
      <c r="F1023" s="192">
        <v>2600</v>
      </c>
      <c r="G1023" s="192">
        <v>0</v>
      </c>
      <c r="H1023" s="192" t="s">
        <v>700</v>
      </c>
      <c r="I1023" s="192" t="s">
        <v>65</v>
      </c>
      <c r="J1023" s="192">
        <v>2.500000037252903E-2</v>
      </c>
      <c r="K1023" s="192">
        <f>VLOOKUP($D1023,'RBSA Weights'!$A$2:$C$1406,3,FALSE)</f>
        <v>2079.9929999999999</v>
      </c>
    </row>
    <row r="1024" spans="1:11">
      <c r="A1024" s="192" t="s">
        <v>709</v>
      </c>
      <c r="B1024" s="192">
        <v>1</v>
      </c>
      <c r="C1024" s="192">
        <v>87479</v>
      </c>
      <c r="D1024" s="192">
        <v>20344</v>
      </c>
      <c r="E1024" s="192">
        <v>1</v>
      </c>
      <c r="F1024" s="192">
        <v>1368</v>
      </c>
      <c r="G1024" s="192">
        <v>12</v>
      </c>
      <c r="H1024" s="192" t="s">
        <v>697</v>
      </c>
      <c r="I1024" s="192" t="s">
        <v>65</v>
      </c>
      <c r="J1024" s="192">
        <v>2.500000037252903E-2</v>
      </c>
      <c r="K1024" s="192">
        <f>VLOOKUP($D1024,'RBSA Weights'!$A$2:$C$1406,3,FALSE)</f>
        <v>1144.6790000000001</v>
      </c>
    </row>
    <row r="1025" spans="1:11">
      <c r="A1025" s="192" t="s">
        <v>709</v>
      </c>
      <c r="B1025" s="192">
        <v>1</v>
      </c>
      <c r="C1025" s="192">
        <v>225615</v>
      </c>
      <c r="D1025" s="192">
        <v>21122</v>
      </c>
      <c r="E1025" s="192">
        <v>1</v>
      </c>
      <c r="F1025" s="192">
        <v>1144</v>
      </c>
      <c r="G1025" s="192">
        <v>12</v>
      </c>
      <c r="H1025" s="192" t="s">
        <v>705</v>
      </c>
      <c r="I1025" s="192" t="s">
        <v>65</v>
      </c>
      <c r="J1025" s="192">
        <v>2.500000037252903E-2</v>
      </c>
      <c r="K1025" s="192">
        <f>VLOOKUP($D1025,'RBSA Weights'!$A$2:$C$1406,3,FALSE)</f>
        <v>1904.288</v>
      </c>
    </row>
    <row r="1026" spans="1:11">
      <c r="A1026" s="192" t="s">
        <v>709</v>
      </c>
      <c r="B1026" s="192">
        <v>1</v>
      </c>
      <c r="C1026" s="192">
        <v>208409</v>
      </c>
      <c r="D1026" s="192">
        <v>23756</v>
      </c>
      <c r="E1026" s="192">
        <v>1</v>
      </c>
      <c r="F1026" s="192">
        <v>1005</v>
      </c>
      <c r="G1026" s="192">
        <v>12</v>
      </c>
      <c r="H1026" s="192" t="s">
        <v>700</v>
      </c>
      <c r="I1026" s="192" t="s">
        <v>65</v>
      </c>
      <c r="J1026" s="192">
        <v>2.500000037252903E-2</v>
      </c>
      <c r="K1026" s="192">
        <f>VLOOKUP($D1026,'RBSA Weights'!$A$2:$C$1406,3,FALSE)</f>
        <v>1904.288</v>
      </c>
    </row>
    <row r="1027" spans="1:11">
      <c r="A1027" s="192" t="s">
        <v>709</v>
      </c>
      <c r="B1027" s="192">
        <v>1</v>
      </c>
      <c r="C1027" s="192">
        <v>221673</v>
      </c>
      <c r="D1027" s="192">
        <v>13974</v>
      </c>
      <c r="E1027" s="192">
        <v>2</v>
      </c>
      <c r="F1027" s="192">
        <v>100</v>
      </c>
      <c r="G1027" s="192">
        <v>12</v>
      </c>
      <c r="H1027" s="192" t="s">
        <v>702</v>
      </c>
      <c r="I1027" s="192" t="s">
        <v>790</v>
      </c>
      <c r="J1027" s="192">
        <v>2.500000037252903E-2</v>
      </c>
      <c r="K1027" s="192">
        <f>VLOOKUP($D1027,'RBSA Weights'!$A$2:$C$1406,3,FALSE)</f>
        <v>2003.7159999999999</v>
      </c>
    </row>
    <row r="1028" spans="1:11">
      <c r="A1028" s="192" t="s">
        <v>709</v>
      </c>
      <c r="B1028" s="192">
        <v>1</v>
      </c>
      <c r="C1028" s="192">
        <v>234145</v>
      </c>
      <c r="D1028" s="192">
        <v>21487</v>
      </c>
      <c r="E1028" s="192">
        <v>1</v>
      </c>
      <c r="F1028" s="192">
        <v>623</v>
      </c>
      <c r="G1028" s="192">
        <v>11</v>
      </c>
      <c r="H1028" s="192" t="s">
        <v>702</v>
      </c>
      <c r="I1028" s="192" t="s">
        <v>791</v>
      </c>
      <c r="J1028" s="192">
        <v>2.500000037252903E-2</v>
      </c>
      <c r="K1028" s="192">
        <f>VLOOKUP($D1028,'RBSA Weights'!$A$2:$C$1406,3,FALSE)</f>
        <v>8264.9449999999997</v>
      </c>
    </row>
    <row r="1029" spans="1:11">
      <c r="A1029" s="192" t="s">
        <v>709</v>
      </c>
      <c r="B1029" s="192">
        <v>1</v>
      </c>
      <c r="C1029" s="192">
        <v>168944</v>
      </c>
      <c r="D1029" s="192">
        <v>22960</v>
      </c>
      <c r="E1029" s="192">
        <v>1</v>
      </c>
      <c r="F1029" s="192">
        <v>480</v>
      </c>
      <c r="G1029" s="192">
        <v>20</v>
      </c>
      <c r="H1029" s="192" t="s">
        <v>697</v>
      </c>
      <c r="I1029" s="192" t="s">
        <v>65</v>
      </c>
      <c r="J1029" s="192">
        <v>2.500000037252903E-2</v>
      </c>
      <c r="K1029" s="192">
        <f>VLOOKUP($D1029,'RBSA Weights'!$A$2:$C$1406,3,FALSE)</f>
        <v>2130.886</v>
      </c>
    </row>
    <row r="1030" spans="1:11">
      <c r="A1030" s="192" t="s">
        <v>709</v>
      </c>
      <c r="B1030" s="192">
        <v>1</v>
      </c>
      <c r="C1030" s="192">
        <v>80120</v>
      </c>
      <c r="D1030" s="192">
        <v>21242</v>
      </c>
      <c r="E1030" s="192">
        <v>1</v>
      </c>
      <c r="F1030" s="192">
        <v>1200</v>
      </c>
      <c r="G1030" s="192">
        <v>10</v>
      </c>
      <c r="H1030" s="192" t="s">
        <v>697</v>
      </c>
      <c r="I1030" s="192" t="s">
        <v>65</v>
      </c>
      <c r="J1030" s="192">
        <v>2.500000037252903E-2</v>
      </c>
      <c r="K1030" s="192">
        <f>VLOOKUP($D1030,'RBSA Weights'!$A$2:$C$1406,3,FALSE)</f>
        <v>1925.059</v>
      </c>
    </row>
    <row r="1031" spans="1:11">
      <c r="A1031" s="192" t="s">
        <v>709</v>
      </c>
      <c r="B1031" s="192">
        <v>1</v>
      </c>
      <c r="C1031" s="192">
        <v>725078</v>
      </c>
      <c r="D1031" s="192">
        <v>11346</v>
      </c>
      <c r="E1031" s="192">
        <v>1</v>
      </c>
      <c r="F1031" s="192">
        <v>1700</v>
      </c>
      <c r="G1031" s="192">
        <v>0</v>
      </c>
      <c r="H1031" s="192" t="s">
        <v>705</v>
      </c>
      <c r="I1031" s="192" t="s">
        <v>65</v>
      </c>
      <c r="J1031" s="192">
        <v>2.500000037252903E-2</v>
      </c>
      <c r="K1031" s="192">
        <f>VLOOKUP($D1031,'RBSA Weights'!$A$2:$C$1406,3,FALSE)</f>
        <v>4956.4930000000004</v>
      </c>
    </row>
    <row r="1032" spans="1:11">
      <c r="A1032" s="192" t="s">
        <v>709</v>
      </c>
      <c r="B1032" s="192">
        <v>1</v>
      </c>
      <c r="C1032" s="192">
        <v>84083</v>
      </c>
      <c r="D1032" s="192">
        <v>20182</v>
      </c>
      <c r="E1032" s="192">
        <v>1</v>
      </c>
      <c r="F1032" s="192">
        <v>1280</v>
      </c>
      <c r="G1032" s="192">
        <v>50</v>
      </c>
      <c r="H1032" s="192" t="s">
        <v>705</v>
      </c>
      <c r="I1032" s="192" t="s">
        <v>65</v>
      </c>
      <c r="J1032" s="192">
        <v>2.500000037252903E-2</v>
      </c>
      <c r="K1032" s="192">
        <f>VLOOKUP($D1032,'RBSA Weights'!$A$2:$C$1406,3,FALSE)</f>
        <v>8559.1039999999994</v>
      </c>
    </row>
    <row r="1033" spans="1:11">
      <c r="A1033" s="192" t="s">
        <v>709</v>
      </c>
      <c r="B1033" s="192">
        <v>1</v>
      </c>
      <c r="C1033" s="192">
        <v>227443</v>
      </c>
      <c r="D1033" s="192">
        <v>21787</v>
      </c>
      <c r="E1033" s="192">
        <v>1</v>
      </c>
      <c r="F1033" s="192">
        <v>800</v>
      </c>
      <c r="G1033" s="192">
        <v>0</v>
      </c>
      <c r="H1033" s="192" t="s">
        <v>697</v>
      </c>
      <c r="I1033" s="192" t="s">
        <v>65</v>
      </c>
      <c r="J1033" s="192">
        <v>2.500000037252903E-2</v>
      </c>
      <c r="K1033" s="192">
        <f>VLOOKUP($D1033,'RBSA Weights'!$A$2:$C$1406,3,FALSE)</f>
        <v>4360.1880000000001</v>
      </c>
    </row>
    <row r="1034" spans="1:11">
      <c r="A1034" s="192" t="s">
        <v>709</v>
      </c>
      <c r="B1034" s="192">
        <v>1</v>
      </c>
      <c r="C1034" s="192">
        <v>83706</v>
      </c>
      <c r="D1034" s="192">
        <v>13023</v>
      </c>
      <c r="E1034" s="192">
        <v>1</v>
      </c>
      <c r="F1034" s="192">
        <v>377</v>
      </c>
      <c r="G1034" s="192">
        <v>15</v>
      </c>
      <c r="H1034" s="192" t="s">
        <v>700</v>
      </c>
      <c r="I1034" s="192" t="s">
        <v>65</v>
      </c>
      <c r="J1034" s="192">
        <v>2.500000037252903E-2</v>
      </c>
      <c r="K1034" s="192">
        <f>VLOOKUP($D1034,'RBSA Weights'!$A$2:$C$1406,3,FALSE)</f>
        <v>2003.7159999999999</v>
      </c>
    </row>
    <row r="1035" spans="1:11">
      <c r="A1035" s="192" t="s">
        <v>709</v>
      </c>
      <c r="B1035" s="192">
        <v>1</v>
      </c>
      <c r="C1035" s="192">
        <v>123072</v>
      </c>
      <c r="D1035" s="192">
        <v>12656</v>
      </c>
      <c r="E1035" s="192">
        <v>1</v>
      </c>
      <c r="F1035" s="192">
        <v>864</v>
      </c>
      <c r="G1035" s="192">
        <v>0</v>
      </c>
      <c r="H1035" s="192" t="s">
        <v>705</v>
      </c>
      <c r="I1035" s="192" t="s">
        <v>65</v>
      </c>
      <c r="J1035" s="192">
        <v>2.500000037252903E-2</v>
      </c>
      <c r="K1035" s="192">
        <f>VLOOKUP($D1035,'RBSA Weights'!$A$2:$C$1406,3,FALSE)</f>
        <v>2003.7159999999999</v>
      </c>
    </row>
    <row r="1036" spans="1:11">
      <c r="A1036" s="192" t="s">
        <v>709</v>
      </c>
      <c r="B1036" s="192">
        <v>1</v>
      </c>
      <c r="C1036" s="192">
        <v>211948</v>
      </c>
      <c r="D1036" s="192">
        <v>11794</v>
      </c>
      <c r="E1036" s="192">
        <v>1</v>
      </c>
      <c r="F1036" s="192">
        <v>700</v>
      </c>
      <c r="G1036" s="192">
        <v>0</v>
      </c>
      <c r="H1036" s="192" t="s">
        <v>697</v>
      </c>
      <c r="I1036" s="192" t="s">
        <v>65</v>
      </c>
      <c r="J1036" s="192">
        <v>2.500000037252903E-2</v>
      </c>
      <c r="K1036" s="192">
        <f>VLOOKUP($D1036,'RBSA Weights'!$A$2:$C$1406,3,FALSE)</f>
        <v>1464.694</v>
      </c>
    </row>
    <row r="1037" spans="1:11">
      <c r="A1037" s="192" t="s">
        <v>709</v>
      </c>
      <c r="B1037" s="192">
        <v>1</v>
      </c>
      <c r="C1037" s="192">
        <v>233781</v>
      </c>
      <c r="D1037" s="192">
        <v>12460</v>
      </c>
      <c r="E1037" s="192">
        <v>1</v>
      </c>
      <c r="F1037" s="192">
        <v>1846</v>
      </c>
      <c r="G1037" s="192">
        <v>11</v>
      </c>
      <c r="H1037" s="192" t="s">
        <v>702</v>
      </c>
      <c r="I1037" s="192" t="s">
        <v>65</v>
      </c>
      <c r="J1037" s="192">
        <v>2.500000037252903E-2</v>
      </c>
      <c r="K1037" s="192">
        <f>VLOOKUP($D1037,'RBSA Weights'!$A$2:$C$1406,3,FALSE)</f>
        <v>1150.8789999999999</v>
      </c>
    </row>
    <row r="1038" spans="1:11">
      <c r="A1038" s="192" t="s">
        <v>709</v>
      </c>
      <c r="B1038" s="192">
        <v>1</v>
      </c>
      <c r="C1038" s="192">
        <v>27365</v>
      </c>
      <c r="D1038" s="192">
        <v>10459</v>
      </c>
      <c r="E1038" s="192">
        <v>1</v>
      </c>
      <c r="F1038" s="192">
        <v>200</v>
      </c>
      <c r="G1038" s="192">
        <v>20</v>
      </c>
      <c r="H1038" s="192" t="s">
        <v>700</v>
      </c>
      <c r="I1038" s="192" t="s">
        <v>65</v>
      </c>
      <c r="J1038" s="192">
        <v>2.500000037252903E-2</v>
      </c>
      <c r="K1038" s="192">
        <f>VLOOKUP($D1038,'RBSA Weights'!$A$2:$C$1406,3,FALSE)</f>
        <v>1524.7619999999999</v>
      </c>
    </row>
    <row r="1039" spans="1:11">
      <c r="A1039" s="192" t="s">
        <v>709</v>
      </c>
      <c r="B1039" s="192">
        <v>1</v>
      </c>
      <c r="C1039" s="192">
        <v>55400</v>
      </c>
      <c r="D1039" s="192">
        <v>20294</v>
      </c>
      <c r="E1039" s="192">
        <v>1</v>
      </c>
      <c r="F1039" s="192">
        <v>3087</v>
      </c>
      <c r="G1039" s="192">
        <v>0</v>
      </c>
      <c r="H1039" s="192" t="s">
        <v>700</v>
      </c>
      <c r="I1039" s="192" t="s">
        <v>65</v>
      </c>
      <c r="J1039" s="192">
        <v>2.500000037252903E-2</v>
      </c>
      <c r="K1039" s="192">
        <f>VLOOKUP($D1039,'RBSA Weights'!$A$2:$C$1406,3,FALSE)</f>
        <v>2079.9929999999999</v>
      </c>
    </row>
    <row r="1040" spans="1:11">
      <c r="A1040" s="192" t="s">
        <v>709</v>
      </c>
      <c r="B1040" s="192">
        <v>1</v>
      </c>
      <c r="C1040" s="192">
        <v>89647</v>
      </c>
      <c r="D1040" s="192">
        <v>24655</v>
      </c>
      <c r="E1040" s="192">
        <v>2</v>
      </c>
      <c r="F1040" s="192">
        <v>891</v>
      </c>
      <c r="G1040" s="192">
        <v>14</v>
      </c>
      <c r="H1040" s="192" t="s">
        <v>697</v>
      </c>
      <c r="I1040" s="192" t="s">
        <v>65</v>
      </c>
      <c r="J1040" s="192">
        <v>2.500000037252903E-2</v>
      </c>
      <c r="K1040" s="192">
        <f>VLOOKUP($D1040,'RBSA Weights'!$A$2:$C$1406,3,FALSE)</f>
        <v>1144.6790000000001</v>
      </c>
    </row>
    <row r="1041" spans="1:11">
      <c r="A1041" s="192" t="s">
        <v>709</v>
      </c>
      <c r="B1041" s="192">
        <v>1</v>
      </c>
      <c r="C1041" s="192">
        <v>200953</v>
      </c>
      <c r="D1041" s="192">
        <v>22246</v>
      </c>
      <c r="E1041" s="192">
        <v>1</v>
      </c>
      <c r="F1041" s="192">
        <v>1402</v>
      </c>
      <c r="G1041" s="192">
        <v>50</v>
      </c>
      <c r="H1041" s="192" t="s">
        <v>697</v>
      </c>
      <c r="I1041" s="192" t="s">
        <v>65</v>
      </c>
      <c r="J1041" s="192">
        <v>2.500000037252903E-2</v>
      </c>
      <c r="K1041" s="192">
        <f>VLOOKUP($D1041,'RBSA Weights'!$A$2:$C$1406,3,FALSE)</f>
        <v>1925.059</v>
      </c>
    </row>
    <row r="1042" spans="1:11">
      <c r="A1042" s="192" t="s">
        <v>709</v>
      </c>
      <c r="B1042" s="192">
        <v>1</v>
      </c>
      <c r="C1042" s="192">
        <v>221160</v>
      </c>
      <c r="D1042" s="192">
        <v>21384</v>
      </c>
      <c r="E1042" s="192">
        <v>1</v>
      </c>
      <c r="F1042" s="192">
        <v>1832</v>
      </c>
      <c r="G1042" s="192">
        <v>0</v>
      </c>
      <c r="H1042" s="192" t="s">
        <v>702</v>
      </c>
      <c r="I1042" s="192" t="s">
        <v>65</v>
      </c>
      <c r="J1042" s="192">
        <v>2.500000037252903E-2</v>
      </c>
      <c r="K1042" s="192">
        <f>VLOOKUP($D1042,'RBSA Weights'!$A$2:$C$1406,3,FALSE)</f>
        <v>1904.288</v>
      </c>
    </row>
    <row r="1043" spans="1:11">
      <c r="A1043" s="192" t="s">
        <v>709</v>
      </c>
      <c r="B1043" s="192">
        <v>1</v>
      </c>
      <c r="C1043" s="192">
        <v>657944</v>
      </c>
      <c r="D1043" s="192">
        <v>11780</v>
      </c>
      <c r="E1043" s="192">
        <v>1</v>
      </c>
      <c r="F1043" s="192">
        <v>1600</v>
      </c>
      <c r="G1043" s="192">
        <v>38</v>
      </c>
      <c r="H1043" s="192" t="s">
        <v>700</v>
      </c>
      <c r="I1043" s="192" t="s">
        <v>65</v>
      </c>
      <c r="J1043" s="192">
        <v>2.500000037252903E-2</v>
      </c>
      <c r="K1043" s="192">
        <f>VLOOKUP($D1043,'RBSA Weights'!$A$2:$C$1406,3,FALSE)</f>
        <v>1150.8789999999999</v>
      </c>
    </row>
    <row r="1044" spans="1:11">
      <c r="A1044" s="192" t="s">
        <v>709</v>
      </c>
      <c r="B1044" s="192">
        <v>1</v>
      </c>
      <c r="C1044" s="192">
        <v>91016</v>
      </c>
      <c r="D1044" s="192">
        <v>10585</v>
      </c>
      <c r="E1044" s="192">
        <v>1</v>
      </c>
      <c r="F1044" s="192">
        <v>1577</v>
      </c>
      <c r="G1044" s="192">
        <v>14</v>
      </c>
      <c r="H1044" s="192" t="s">
        <v>702</v>
      </c>
      <c r="I1044" s="192" t="s">
        <v>65</v>
      </c>
      <c r="J1044" s="192">
        <v>2.500000037252903E-2</v>
      </c>
      <c r="K1044" s="192">
        <f>VLOOKUP($D1044,'RBSA Weights'!$A$2:$C$1406,3,FALSE)</f>
        <v>2003.7159999999999</v>
      </c>
    </row>
    <row r="1045" spans="1:11">
      <c r="A1045" s="192" t="s">
        <v>709</v>
      </c>
      <c r="B1045" s="192">
        <v>1</v>
      </c>
      <c r="C1045" s="192">
        <v>91552</v>
      </c>
      <c r="D1045" s="192">
        <v>11236</v>
      </c>
      <c r="E1045" s="192">
        <v>1</v>
      </c>
      <c r="F1045" s="192">
        <v>1794</v>
      </c>
      <c r="G1045" s="192">
        <v>10</v>
      </c>
      <c r="H1045" s="192" t="s">
        <v>705</v>
      </c>
      <c r="I1045" s="192" t="s">
        <v>65</v>
      </c>
      <c r="J1045" s="192">
        <v>2.500000037252903E-2</v>
      </c>
      <c r="K1045" s="192">
        <f>VLOOKUP($D1045,'RBSA Weights'!$A$2:$C$1406,3,FALSE)</f>
        <v>4956.4930000000004</v>
      </c>
    </row>
    <row r="1046" spans="1:11">
      <c r="A1046" s="192" t="s">
        <v>709</v>
      </c>
      <c r="B1046" s="192">
        <v>1</v>
      </c>
      <c r="C1046" s="192">
        <v>53306</v>
      </c>
      <c r="D1046" s="192">
        <v>21746</v>
      </c>
      <c r="E1046" s="192">
        <v>1</v>
      </c>
      <c r="F1046" s="192">
        <v>1600</v>
      </c>
      <c r="G1046" s="192">
        <v>0</v>
      </c>
      <c r="H1046" s="192" t="s">
        <v>702</v>
      </c>
      <c r="I1046" s="192" t="s">
        <v>65</v>
      </c>
      <c r="J1046" s="192">
        <v>2.500000037252903E-2</v>
      </c>
      <c r="K1046" s="192">
        <f>VLOOKUP($D1046,'RBSA Weights'!$A$2:$C$1406,3,FALSE)</f>
        <v>8264.9449999999997</v>
      </c>
    </row>
    <row r="1047" spans="1:11">
      <c r="A1047" s="192" t="s">
        <v>709</v>
      </c>
      <c r="B1047" s="192">
        <v>1</v>
      </c>
      <c r="C1047" s="192">
        <v>726949</v>
      </c>
      <c r="D1047" s="192">
        <v>12190</v>
      </c>
      <c r="E1047" s="192">
        <v>4</v>
      </c>
      <c r="F1047" s="192">
        <v>180</v>
      </c>
      <c r="G1047" s="192">
        <v>10</v>
      </c>
      <c r="H1047" s="192" t="s">
        <v>705</v>
      </c>
      <c r="I1047" s="192" t="s">
        <v>792</v>
      </c>
      <c r="J1047" s="192">
        <v>2.500000037252903E-2</v>
      </c>
      <c r="K1047" s="192">
        <f>VLOOKUP($D1047,'RBSA Weights'!$A$2:$C$1406,3,FALSE)</f>
        <v>4956.4930000000004</v>
      </c>
    </row>
    <row r="1048" spans="1:11">
      <c r="A1048" s="192" t="s">
        <v>709</v>
      </c>
      <c r="B1048" s="192">
        <v>1</v>
      </c>
      <c r="C1048" s="192">
        <v>88677</v>
      </c>
      <c r="D1048" s="192">
        <v>22203</v>
      </c>
      <c r="E1048" s="192">
        <v>1</v>
      </c>
      <c r="F1048" s="192">
        <v>1250</v>
      </c>
      <c r="G1048" s="192">
        <v>12</v>
      </c>
      <c r="H1048" s="192" t="s">
        <v>705</v>
      </c>
      <c r="I1048" s="192" t="s">
        <v>65</v>
      </c>
      <c r="J1048" s="192">
        <v>2.500000037252903E-2</v>
      </c>
      <c r="K1048" s="192">
        <f>VLOOKUP($D1048,'RBSA Weights'!$A$2:$C$1406,3,FALSE)</f>
        <v>1925.059</v>
      </c>
    </row>
    <row r="1049" spans="1:11">
      <c r="A1049" s="192" t="s">
        <v>709</v>
      </c>
      <c r="B1049" s="192">
        <v>1</v>
      </c>
      <c r="C1049" s="192">
        <v>681879</v>
      </c>
      <c r="D1049" s="192">
        <v>20311</v>
      </c>
      <c r="E1049" s="192">
        <v>1</v>
      </c>
      <c r="F1049" s="192">
        <v>1279</v>
      </c>
      <c r="G1049" s="192">
        <v>12</v>
      </c>
      <c r="H1049" s="192" t="s">
        <v>705</v>
      </c>
      <c r="I1049" s="192" t="s">
        <v>65</v>
      </c>
      <c r="J1049" s="192">
        <v>2.500000037252903E-2</v>
      </c>
      <c r="K1049" s="192">
        <f>VLOOKUP($D1049,'RBSA Weights'!$A$2:$C$1406,3,FALSE)</f>
        <v>1612.692</v>
      </c>
    </row>
    <row r="1050" spans="1:11">
      <c r="A1050" s="192" t="s">
        <v>709</v>
      </c>
      <c r="B1050" s="192">
        <v>1</v>
      </c>
      <c r="C1050" s="192">
        <v>71584</v>
      </c>
      <c r="D1050" s="192">
        <v>20974</v>
      </c>
      <c r="E1050" s="192">
        <v>1</v>
      </c>
      <c r="F1050" s="192">
        <v>2074</v>
      </c>
      <c r="G1050" s="192">
        <v>30</v>
      </c>
      <c r="H1050" s="192" t="s">
        <v>697</v>
      </c>
      <c r="I1050" s="192" t="s">
        <v>65</v>
      </c>
      <c r="J1050" s="192">
        <v>2.500000037252903E-2</v>
      </c>
      <c r="K1050" s="192">
        <f>VLOOKUP($D1050,'RBSA Weights'!$A$2:$C$1406,3,FALSE)</f>
        <v>3785.7640000000001</v>
      </c>
    </row>
    <row r="1051" spans="1:11">
      <c r="A1051" s="192" t="s">
        <v>709</v>
      </c>
      <c r="B1051" s="192">
        <v>1</v>
      </c>
      <c r="C1051" s="192">
        <v>78978</v>
      </c>
      <c r="D1051" s="192">
        <v>21214</v>
      </c>
      <c r="E1051" s="192">
        <v>1</v>
      </c>
      <c r="F1051" s="192">
        <v>612</v>
      </c>
      <c r="G1051" s="192">
        <v>15</v>
      </c>
      <c r="H1051" s="192" t="s">
        <v>705</v>
      </c>
      <c r="I1051" s="192" t="s">
        <v>65</v>
      </c>
      <c r="J1051" s="192">
        <v>2.500000037252903E-2</v>
      </c>
      <c r="K1051" s="192">
        <f>VLOOKUP($D1051,'RBSA Weights'!$A$2:$C$1406,3,FALSE)</f>
        <v>1144.6790000000001</v>
      </c>
    </row>
    <row r="1052" spans="1:11">
      <c r="A1052" s="192" t="s">
        <v>709</v>
      </c>
      <c r="B1052" s="192">
        <v>1</v>
      </c>
      <c r="C1052" s="192">
        <v>126429</v>
      </c>
      <c r="D1052" s="192">
        <v>24205</v>
      </c>
      <c r="E1052" s="192">
        <v>1</v>
      </c>
      <c r="F1052" s="192">
        <v>1796</v>
      </c>
      <c r="G1052" s="192">
        <v>49</v>
      </c>
      <c r="H1052" s="192" t="s">
        <v>705</v>
      </c>
      <c r="I1052" s="192" t="s">
        <v>65</v>
      </c>
      <c r="J1052" s="192">
        <v>2.500000037252903E-2</v>
      </c>
      <c r="K1052" s="192">
        <f>VLOOKUP($D1052,'RBSA Weights'!$A$2:$C$1406,3,FALSE)</f>
        <v>1192.4649999999999</v>
      </c>
    </row>
    <row r="1053" spans="1:11">
      <c r="A1053" s="192" t="s">
        <v>709</v>
      </c>
      <c r="B1053" s="192">
        <v>1</v>
      </c>
      <c r="C1053" s="192">
        <v>141019</v>
      </c>
      <c r="D1053" s="192">
        <v>13051</v>
      </c>
      <c r="E1053" s="192">
        <v>1</v>
      </c>
      <c r="F1053" s="192">
        <v>904</v>
      </c>
      <c r="G1053" s="192">
        <v>0</v>
      </c>
      <c r="H1053" s="192" t="s">
        <v>697</v>
      </c>
      <c r="I1053" s="192" t="s">
        <v>65</v>
      </c>
      <c r="J1053" s="192">
        <v>2.500000037252903E-2</v>
      </c>
      <c r="K1053" s="192">
        <f>VLOOKUP($D1053,'RBSA Weights'!$A$2:$C$1406,3,FALSE)</f>
        <v>4956.4930000000004</v>
      </c>
    </row>
    <row r="1054" spans="1:11">
      <c r="A1054" s="192" t="s">
        <v>709</v>
      </c>
      <c r="B1054" s="192">
        <v>1</v>
      </c>
      <c r="C1054" s="192">
        <v>115747</v>
      </c>
      <c r="D1054" s="192">
        <v>10552</v>
      </c>
      <c r="E1054" s="192">
        <v>1</v>
      </c>
      <c r="F1054" s="192">
        <v>675</v>
      </c>
      <c r="G1054" s="192">
        <v>0</v>
      </c>
      <c r="H1054" s="192" t="s">
        <v>705</v>
      </c>
      <c r="I1054" s="192" t="s">
        <v>65</v>
      </c>
      <c r="J1054" s="192">
        <v>2.500000037252903E-2</v>
      </c>
      <c r="K1054" s="192">
        <f>VLOOKUP($D1054,'RBSA Weights'!$A$2:$C$1406,3,FALSE)</f>
        <v>1464.694</v>
      </c>
    </row>
    <row r="1055" spans="1:11">
      <c r="A1055" s="192" t="s">
        <v>709</v>
      </c>
      <c r="B1055" s="192">
        <v>1</v>
      </c>
      <c r="C1055" s="192">
        <v>77960</v>
      </c>
      <c r="D1055" s="192">
        <v>10235</v>
      </c>
      <c r="E1055" s="192">
        <v>1</v>
      </c>
      <c r="F1055" s="192">
        <v>1465</v>
      </c>
      <c r="G1055" s="192">
        <v>0</v>
      </c>
      <c r="H1055" s="192" t="s">
        <v>702</v>
      </c>
      <c r="I1055" s="192" t="s">
        <v>65</v>
      </c>
      <c r="J1055" s="192">
        <v>2.500000037252903E-2</v>
      </c>
      <c r="K1055" s="192">
        <f>VLOOKUP($D1055,'RBSA Weights'!$A$2:$C$1406,3,FALSE)</f>
        <v>2003.7159999999999</v>
      </c>
    </row>
    <row r="1056" spans="1:11">
      <c r="A1056" s="192" t="s">
        <v>709</v>
      </c>
      <c r="B1056" s="192">
        <v>1</v>
      </c>
      <c r="C1056" s="192">
        <v>239929</v>
      </c>
      <c r="D1056" s="192">
        <v>21394</v>
      </c>
      <c r="E1056" s="192">
        <v>1</v>
      </c>
      <c r="F1056" s="192">
        <v>1063</v>
      </c>
      <c r="G1056" s="192">
        <v>0</v>
      </c>
      <c r="H1056" s="192" t="s">
        <v>705</v>
      </c>
      <c r="I1056" s="192" t="s">
        <v>65</v>
      </c>
      <c r="J1056" s="192">
        <v>2.500000037252903E-2</v>
      </c>
      <c r="K1056" s="192">
        <f>VLOOKUP($D1056,'RBSA Weights'!$A$2:$C$1406,3,FALSE)</f>
        <v>2079.9929999999999</v>
      </c>
    </row>
    <row r="1057" spans="1:11">
      <c r="A1057" s="192" t="s">
        <v>709</v>
      </c>
      <c r="B1057" s="192">
        <v>1</v>
      </c>
      <c r="C1057" s="192">
        <v>40530</v>
      </c>
      <c r="D1057" s="192">
        <v>10807</v>
      </c>
      <c r="E1057" s="192">
        <v>1</v>
      </c>
      <c r="F1057" s="192">
        <v>1349</v>
      </c>
      <c r="G1057" s="192">
        <v>45</v>
      </c>
      <c r="H1057" s="192" t="s">
        <v>697</v>
      </c>
      <c r="I1057" s="192" t="s">
        <v>65</v>
      </c>
      <c r="J1057" s="192">
        <v>2.500000037252903E-2</v>
      </c>
      <c r="K1057" s="192">
        <f>VLOOKUP($D1057,'RBSA Weights'!$A$2:$C$1406,3,FALSE)</f>
        <v>1524.7619999999999</v>
      </c>
    </row>
    <row r="1058" spans="1:11">
      <c r="A1058" s="192" t="s">
        <v>709</v>
      </c>
      <c r="B1058" s="192">
        <v>1</v>
      </c>
      <c r="C1058" s="192">
        <v>72606</v>
      </c>
      <c r="D1058" s="192">
        <v>11119</v>
      </c>
      <c r="E1058" s="192">
        <v>1</v>
      </c>
      <c r="F1058" s="192">
        <v>1600</v>
      </c>
      <c r="G1058" s="192">
        <v>0</v>
      </c>
      <c r="H1058" s="192" t="s">
        <v>700</v>
      </c>
      <c r="I1058" s="192" t="s">
        <v>65</v>
      </c>
      <c r="J1058" s="192">
        <v>2.500000037252903E-2</v>
      </c>
      <c r="K1058" s="192">
        <f>VLOOKUP($D1058,'RBSA Weights'!$A$2:$C$1406,3,FALSE)</f>
        <v>2003.7159999999999</v>
      </c>
    </row>
    <row r="1059" spans="1:11">
      <c r="A1059" s="192" t="s">
        <v>709</v>
      </c>
      <c r="B1059" s="192">
        <v>1</v>
      </c>
      <c r="C1059" s="192">
        <v>40074</v>
      </c>
      <c r="D1059" s="192">
        <v>12853</v>
      </c>
      <c r="E1059" s="192">
        <v>1</v>
      </c>
      <c r="F1059" s="192">
        <v>1300</v>
      </c>
      <c r="G1059" s="192">
        <v>8</v>
      </c>
      <c r="H1059" s="192" t="s">
        <v>705</v>
      </c>
      <c r="I1059" s="192" t="s">
        <v>65</v>
      </c>
      <c r="J1059" s="192">
        <v>2.500000037252903E-2</v>
      </c>
      <c r="K1059" s="192">
        <f>VLOOKUP($D1059,'RBSA Weights'!$A$2:$C$1406,3,FALSE)</f>
        <v>1188.027</v>
      </c>
    </row>
    <row r="1060" spans="1:11">
      <c r="A1060" s="192" t="s">
        <v>709</v>
      </c>
      <c r="B1060" s="192">
        <v>1</v>
      </c>
      <c r="C1060" s="192">
        <v>110352</v>
      </c>
      <c r="D1060" s="192">
        <v>24249</v>
      </c>
      <c r="E1060" s="192">
        <v>1</v>
      </c>
      <c r="F1060" s="192">
        <v>1421</v>
      </c>
      <c r="G1060" s="192">
        <v>49</v>
      </c>
      <c r="H1060" s="192" t="s">
        <v>702</v>
      </c>
      <c r="I1060" s="192" t="s">
        <v>65</v>
      </c>
      <c r="J1060" s="192">
        <v>2.500000037252903E-2</v>
      </c>
      <c r="K1060" s="192">
        <f>VLOOKUP($D1060,'RBSA Weights'!$A$2:$C$1406,3,FALSE)</f>
        <v>1904.288</v>
      </c>
    </row>
    <row r="1061" spans="1:11">
      <c r="A1061" s="192" t="s">
        <v>709</v>
      </c>
      <c r="B1061" s="192">
        <v>1</v>
      </c>
      <c r="C1061" s="192">
        <v>232503</v>
      </c>
      <c r="D1061" s="192">
        <v>22479</v>
      </c>
      <c r="E1061" s="192">
        <v>1</v>
      </c>
      <c r="F1061" s="192">
        <v>2944</v>
      </c>
      <c r="G1061" s="192">
        <v>0</v>
      </c>
      <c r="H1061" s="192" t="s">
        <v>702</v>
      </c>
      <c r="I1061" s="192" t="s">
        <v>65</v>
      </c>
      <c r="J1061" s="192">
        <v>2.500000037252903E-2</v>
      </c>
      <c r="K1061" s="192">
        <f>VLOOKUP($D1061,'RBSA Weights'!$A$2:$C$1406,3,FALSE)</f>
        <v>1904.288</v>
      </c>
    </row>
    <row r="1062" spans="1:11">
      <c r="A1062" s="192" t="s">
        <v>709</v>
      </c>
      <c r="B1062" s="192">
        <v>1</v>
      </c>
      <c r="C1062" s="192">
        <v>201387</v>
      </c>
      <c r="D1062" s="192">
        <v>12295</v>
      </c>
      <c r="E1062" s="192">
        <v>1</v>
      </c>
      <c r="F1062" s="192">
        <v>1337</v>
      </c>
      <c r="G1062" s="192">
        <v>49</v>
      </c>
      <c r="H1062" s="192" t="s">
        <v>697</v>
      </c>
      <c r="I1062" s="192" t="s">
        <v>65</v>
      </c>
      <c r="J1062" s="192">
        <v>2.500000037252903E-2</v>
      </c>
      <c r="K1062" s="192">
        <f>VLOOKUP($D1062,'RBSA Weights'!$A$2:$C$1406,3,FALSE)</f>
        <v>6932.7380000000003</v>
      </c>
    </row>
    <row r="1063" spans="1:11">
      <c r="A1063" s="192" t="s">
        <v>709</v>
      </c>
      <c r="B1063" s="192">
        <v>1</v>
      </c>
      <c r="C1063" s="192">
        <v>152641</v>
      </c>
      <c r="D1063" s="192">
        <v>24699</v>
      </c>
      <c r="E1063" s="192">
        <v>1</v>
      </c>
      <c r="F1063" s="192">
        <v>660</v>
      </c>
      <c r="G1063" s="192">
        <v>7</v>
      </c>
      <c r="H1063" s="192" t="s">
        <v>704</v>
      </c>
      <c r="I1063" s="192" t="s">
        <v>793</v>
      </c>
      <c r="J1063" s="192">
        <v>2.500000037252903E-2</v>
      </c>
      <c r="K1063" s="192">
        <f>VLOOKUP($D1063,'RBSA Weights'!$A$2:$C$1406,3,FALSE)</f>
        <v>1144.6790000000001</v>
      </c>
    </row>
    <row r="1064" spans="1:11">
      <c r="A1064" s="192" t="s">
        <v>709</v>
      </c>
      <c r="B1064" s="192">
        <v>1</v>
      </c>
      <c r="C1064" s="192">
        <v>118131</v>
      </c>
      <c r="D1064" s="192">
        <v>12556</v>
      </c>
      <c r="E1064" s="192">
        <v>1</v>
      </c>
      <c r="F1064" s="192">
        <v>2360</v>
      </c>
      <c r="G1064" s="192">
        <v>0</v>
      </c>
      <c r="H1064" s="192" t="s">
        <v>705</v>
      </c>
      <c r="I1064" s="192" t="s">
        <v>65</v>
      </c>
      <c r="J1064" s="192">
        <v>2.500000037252903E-2</v>
      </c>
      <c r="K1064" s="192">
        <f>VLOOKUP($D1064,'RBSA Weights'!$A$2:$C$1406,3,FALSE)</f>
        <v>4956.4930000000004</v>
      </c>
    </row>
    <row r="1065" spans="1:11">
      <c r="A1065" s="192" t="s">
        <v>709</v>
      </c>
      <c r="B1065" s="192">
        <v>1</v>
      </c>
      <c r="C1065" s="192">
        <v>82663</v>
      </c>
      <c r="D1065" s="192">
        <v>21259</v>
      </c>
      <c r="E1065" s="192">
        <v>1</v>
      </c>
      <c r="F1065" s="192">
        <v>1530</v>
      </c>
      <c r="G1065" s="192">
        <v>10</v>
      </c>
      <c r="H1065" s="192" t="s">
        <v>705</v>
      </c>
      <c r="I1065" s="192" t="s">
        <v>65</v>
      </c>
      <c r="J1065" s="192">
        <v>2.500000037252903E-2</v>
      </c>
      <c r="K1065" s="192">
        <f>VLOOKUP($D1065,'RBSA Weights'!$A$2:$C$1406,3,FALSE)</f>
        <v>3785.7640000000001</v>
      </c>
    </row>
    <row r="1066" spans="1:11">
      <c r="A1066" s="192" t="s">
        <v>709</v>
      </c>
      <c r="B1066" s="192">
        <v>1</v>
      </c>
      <c r="C1066" s="192">
        <v>726949</v>
      </c>
      <c r="D1066" s="192">
        <v>12190</v>
      </c>
      <c r="E1066" s="192">
        <v>2</v>
      </c>
      <c r="F1066" s="192">
        <v>504</v>
      </c>
      <c r="G1066" s="192">
        <v>10</v>
      </c>
      <c r="H1066" s="192" t="s">
        <v>705</v>
      </c>
      <c r="I1066" s="192" t="s">
        <v>65</v>
      </c>
      <c r="J1066" s="192">
        <v>2.500000037252903E-2</v>
      </c>
      <c r="K1066" s="192">
        <f>VLOOKUP($D1066,'RBSA Weights'!$A$2:$C$1406,3,FALSE)</f>
        <v>4956.4930000000004</v>
      </c>
    </row>
    <row r="1067" spans="1:11">
      <c r="A1067" s="192" t="s">
        <v>709</v>
      </c>
      <c r="B1067" s="192">
        <v>1</v>
      </c>
      <c r="C1067" s="192">
        <v>91407</v>
      </c>
      <c r="D1067" s="192">
        <v>13455</v>
      </c>
      <c r="E1067" s="192">
        <v>1</v>
      </c>
      <c r="F1067" s="192">
        <v>2469</v>
      </c>
      <c r="G1067" s="192">
        <v>12</v>
      </c>
      <c r="H1067" s="192" t="s">
        <v>702</v>
      </c>
      <c r="I1067" s="192" t="s">
        <v>65</v>
      </c>
      <c r="J1067" s="192">
        <v>2.500000037252903E-2</v>
      </c>
      <c r="K1067" s="192">
        <f>VLOOKUP($D1067,'RBSA Weights'!$A$2:$C$1406,3,FALSE)</f>
        <v>2003.7159999999999</v>
      </c>
    </row>
    <row r="1068" spans="1:11">
      <c r="A1068" s="192" t="s">
        <v>709</v>
      </c>
      <c r="B1068" s="192">
        <v>1</v>
      </c>
      <c r="C1068" s="192">
        <v>91016</v>
      </c>
      <c r="D1068" s="192">
        <v>10585</v>
      </c>
      <c r="E1068" s="192">
        <v>2</v>
      </c>
      <c r="F1068" s="192">
        <v>484</v>
      </c>
      <c r="G1068" s="192">
        <v>14</v>
      </c>
      <c r="H1068" s="192" t="s">
        <v>702</v>
      </c>
      <c r="I1068" s="192" t="s">
        <v>65</v>
      </c>
      <c r="J1068" s="192">
        <v>2.500000037252903E-2</v>
      </c>
      <c r="K1068" s="192">
        <f>VLOOKUP($D1068,'RBSA Weights'!$A$2:$C$1406,3,FALSE)</f>
        <v>2003.7159999999999</v>
      </c>
    </row>
    <row r="1069" spans="1:11">
      <c r="A1069" s="192" t="s">
        <v>709</v>
      </c>
      <c r="B1069" s="192">
        <v>1</v>
      </c>
      <c r="C1069" s="192">
        <v>225718</v>
      </c>
      <c r="D1069" s="192">
        <v>24373</v>
      </c>
      <c r="E1069" s="192">
        <v>1</v>
      </c>
      <c r="F1069" s="192">
        <v>1737</v>
      </c>
      <c r="G1069" s="192">
        <v>12</v>
      </c>
      <c r="H1069" s="192" t="s">
        <v>705</v>
      </c>
      <c r="I1069" s="192" t="s">
        <v>65</v>
      </c>
      <c r="J1069" s="192">
        <v>2.500000037252903E-2</v>
      </c>
      <c r="K1069" s="192">
        <f>VLOOKUP($D1069,'RBSA Weights'!$A$2:$C$1406,3,FALSE)</f>
        <v>1904.288</v>
      </c>
    </row>
    <row r="1070" spans="1:11">
      <c r="A1070" s="192" t="s">
        <v>709</v>
      </c>
      <c r="B1070" s="192">
        <v>1</v>
      </c>
      <c r="C1070" s="192">
        <v>219951</v>
      </c>
      <c r="D1070" s="192">
        <v>24016</v>
      </c>
      <c r="E1070" s="192">
        <v>1</v>
      </c>
      <c r="F1070" s="192">
        <v>1073</v>
      </c>
      <c r="G1070" s="192">
        <v>12</v>
      </c>
      <c r="H1070" s="192" t="s">
        <v>705</v>
      </c>
      <c r="I1070" s="192" t="s">
        <v>65</v>
      </c>
      <c r="J1070" s="192">
        <v>2.500000037252903E-2</v>
      </c>
      <c r="K1070" s="192">
        <f>VLOOKUP($D1070,'RBSA Weights'!$A$2:$C$1406,3,FALSE)</f>
        <v>12271.31</v>
      </c>
    </row>
    <row r="1071" spans="1:11">
      <c r="A1071" s="192" t="s">
        <v>709</v>
      </c>
      <c r="B1071" s="192">
        <v>1</v>
      </c>
      <c r="C1071" s="192">
        <v>171642</v>
      </c>
      <c r="D1071" s="192">
        <v>22322</v>
      </c>
      <c r="E1071" s="192">
        <v>1</v>
      </c>
      <c r="F1071" s="192">
        <v>1913</v>
      </c>
      <c r="G1071" s="192">
        <v>50</v>
      </c>
      <c r="H1071" s="192" t="s">
        <v>705</v>
      </c>
      <c r="I1071" s="192" t="s">
        <v>65</v>
      </c>
      <c r="J1071" s="192">
        <v>2.500000037252903E-2</v>
      </c>
      <c r="K1071" s="192">
        <f>VLOOKUP($D1071,'RBSA Weights'!$A$2:$C$1406,3,FALSE)</f>
        <v>1612.692</v>
      </c>
    </row>
    <row r="1072" spans="1:11">
      <c r="A1072" s="192" t="s">
        <v>709</v>
      </c>
      <c r="B1072" s="192">
        <v>1</v>
      </c>
      <c r="C1072" s="192">
        <v>676108</v>
      </c>
      <c r="D1072" s="192">
        <v>24684</v>
      </c>
      <c r="E1072" s="192">
        <v>1</v>
      </c>
      <c r="F1072" s="192">
        <v>2091</v>
      </c>
      <c r="G1072" s="192">
        <v>12</v>
      </c>
      <c r="H1072" s="192" t="s">
        <v>705</v>
      </c>
      <c r="I1072" s="192" t="s">
        <v>65</v>
      </c>
      <c r="J1072" s="192">
        <v>2.500000037252903E-2</v>
      </c>
      <c r="K1072" s="192">
        <f>VLOOKUP($D1072,'RBSA Weights'!$A$2:$C$1406,3,FALSE)</f>
        <v>1904.288</v>
      </c>
    </row>
    <row r="1073" spans="1:11">
      <c r="A1073" s="192" t="s">
        <v>709</v>
      </c>
      <c r="B1073" s="192">
        <v>1</v>
      </c>
      <c r="C1073" s="192">
        <v>74361</v>
      </c>
      <c r="D1073" s="192">
        <v>22774</v>
      </c>
      <c r="E1073" s="192">
        <v>1</v>
      </c>
      <c r="F1073" s="192">
        <v>975</v>
      </c>
      <c r="G1073" s="192">
        <v>12</v>
      </c>
      <c r="H1073" s="192" t="s">
        <v>705</v>
      </c>
      <c r="I1073" s="192" t="s">
        <v>65</v>
      </c>
      <c r="J1073" s="192">
        <v>2.500000037252903E-2</v>
      </c>
      <c r="K1073" s="192">
        <f>VLOOKUP($D1073,'RBSA Weights'!$A$2:$C$1406,3,FALSE)</f>
        <v>1144.6790000000001</v>
      </c>
    </row>
    <row r="1074" spans="1:11">
      <c r="A1074" s="192" t="s">
        <v>709</v>
      </c>
      <c r="B1074" s="192">
        <v>1</v>
      </c>
      <c r="C1074" s="192">
        <v>677342</v>
      </c>
      <c r="D1074" s="192">
        <v>10011</v>
      </c>
      <c r="E1074" s="192">
        <v>1</v>
      </c>
      <c r="F1074" s="192">
        <v>256</v>
      </c>
      <c r="G1074" s="192">
        <v>10</v>
      </c>
      <c r="H1074" s="192" t="s">
        <v>697</v>
      </c>
      <c r="I1074" s="192" t="s">
        <v>65</v>
      </c>
      <c r="J1074" s="192">
        <v>2.500000037252903E-2</v>
      </c>
      <c r="K1074" s="192">
        <f>VLOOKUP($D1074,'RBSA Weights'!$A$2:$C$1406,3,FALSE)</f>
        <v>4956.4930000000004</v>
      </c>
    </row>
    <row r="1075" spans="1:11">
      <c r="A1075" s="192" t="s">
        <v>709</v>
      </c>
      <c r="B1075" s="192">
        <v>1</v>
      </c>
      <c r="C1075" s="192">
        <v>77646</v>
      </c>
      <c r="D1075" s="192">
        <v>10319</v>
      </c>
      <c r="E1075" s="192">
        <v>1</v>
      </c>
      <c r="F1075" s="192">
        <v>2035</v>
      </c>
      <c r="G1075" s="192">
        <v>0</v>
      </c>
      <c r="H1075" s="192" t="s">
        <v>697</v>
      </c>
      <c r="I1075" s="192" t="s">
        <v>65</v>
      </c>
      <c r="J1075" s="192">
        <v>2.500000037252903E-2</v>
      </c>
      <c r="K1075" s="192">
        <f>VLOOKUP($D1075,'RBSA Weights'!$A$2:$C$1406,3,FALSE)</f>
        <v>2003.7159999999999</v>
      </c>
    </row>
    <row r="1076" spans="1:11">
      <c r="A1076" s="192" t="s">
        <v>709</v>
      </c>
      <c r="B1076" s="192">
        <v>1</v>
      </c>
      <c r="C1076" s="192">
        <v>131321</v>
      </c>
      <c r="D1076" s="192">
        <v>21228</v>
      </c>
      <c r="E1076" s="192">
        <v>1</v>
      </c>
      <c r="F1076" s="192">
        <v>961</v>
      </c>
      <c r="G1076" s="192">
        <v>12</v>
      </c>
      <c r="H1076" s="192" t="s">
        <v>699</v>
      </c>
      <c r="I1076" s="192" t="s">
        <v>65</v>
      </c>
      <c r="J1076" s="192">
        <v>2.500000037252903E-2</v>
      </c>
      <c r="K1076" s="192">
        <f>VLOOKUP($D1076,'RBSA Weights'!$A$2:$C$1406,3,FALSE)</f>
        <v>3785.7640000000001</v>
      </c>
    </row>
    <row r="1077" spans="1:11">
      <c r="A1077" s="192" t="s">
        <v>709</v>
      </c>
      <c r="B1077" s="192">
        <v>1</v>
      </c>
      <c r="C1077" s="192">
        <v>210339</v>
      </c>
      <c r="D1077" s="192">
        <v>21132</v>
      </c>
      <c r="E1077" s="192">
        <v>1</v>
      </c>
      <c r="F1077" s="192">
        <v>1157</v>
      </c>
      <c r="G1077" s="192">
        <v>12</v>
      </c>
      <c r="H1077" s="192" t="s">
        <v>705</v>
      </c>
      <c r="I1077" s="192" t="s">
        <v>65</v>
      </c>
      <c r="J1077" s="192">
        <v>2.500000037252903E-2</v>
      </c>
      <c r="K1077" s="192">
        <f>VLOOKUP($D1077,'RBSA Weights'!$A$2:$C$1406,3,FALSE)</f>
        <v>2079.9929999999999</v>
      </c>
    </row>
    <row r="1078" spans="1:11">
      <c r="A1078" s="192" t="s">
        <v>709</v>
      </c>
      <c r="B1078" s="192">
        <v>1</v>
      </c>
      <c r="C1078" s="192">
        <v>184088</v>
      </c>
      <c r="D1078" s="192">
        <v>22153</v>
      </c>
      <c r="E1078" s="192">
        <v>1</v>
      </c>
      <c r="F1078" s="192">
        <v>1402</v>
      </c>
      <c r="G1078" s="192">
        <v>12</v>
      </c>
      <c r="H1078" s="192" t="s">
        <v>705</v>
      </c>
      <c r="I1078" s="192" t="s">
        <v>65</v>
      </c>
      <c r="J1078" s="192">
        <v>2.500000037252903E-2</v>
      </c>
      <c r="K1078" s="192">
        <f>VLOOKUP($D1078,'RBSA Weights'!$A$2:$C$1406,3,FALSE)</f>
        <v>1192.4649999999999</v>
      </c>
    </row>
    <row r="1079" spans="1:11">
      <c r="A1079" s="192" t="s">
        <v>709</v>
      </c>
      <c r="B1079" s="192">
        <v>1</v>
      </c>
      <c r="C1079" s="192">
        <v>113173</v>
      </c>
      <c r="D1079" s="192">
        <v>22652</v>
      </c>
      <c r="E1079" s="192">
        <v>1</v>
      </c>
      <c r="F1079" s="192">
        <v>2000</v>
      </c>
      <c r="G1079" s="192">
        <v>10</v>
      </c>
      <c r="H1079" s="192" t="s">
        <v>705</v>
      </c>
      <c r="I1079" s="192" t="s">
        <v>65</v>
      </c>
      <c r="J1079" s="192">
        <v>2.500000037252903E-2</v>
      </c>
      <c r="K1079" s="192">
        <f>VLOOKUP($D1079,'RBSA Weights'!$A$2:$C$1406,3,FALSE)</f>
        <v>2079.9929999999999</v>
      </c>
    </row>
    <row r="1080" spans="1:11">
      <c r="A1080" s="192" t="s">
        <v>709</v>
      </c>
      <c r="B1080" s="192">
        <v>1</v>
      </c>
      <c r="C1080" s="192">
        <v>173996</v>
      </c>
      <c r="D1080" s="192">
        <v>21180</v>
      </c>
      <c r="E1080" s="192">
        <v>1</v>
      </c>
      <c r="F1080" s="192">
        <v>2275</v>
      </c>
      <c r="G1080" s="192">
        <v>0</v>
      </c>
      <c r="H1080" s="192" t="s">
        <v>697</v>
      </c>
      <c r="I1080" s="192" t="s">
        <v>65</v>
      </c>
      <c r="J1080" s="192">
        <v>2.500000037252903E-2</v>
      </c>
      <c r="K1080" s="192">
        <f>VLOOKUP($D1080,'RBSA Weights'!$A$2:$C$1406,3,FALSE)</f>
        <v>2079.9929999999999</v>
      </c>
    </row>
    <row r="1081" spans="1:11">
      <c r="A1081" s="192" t="s">
        <v>709</v>
      </c>
      <c r="B1081" s="192">
        <v>1</v>
      </c>
      <c r="C1081" s="192">
        <v>227118</v>
      </c>
      <c r="D1081" s="192">
        <v>22702</v>
      </c>
      <c r="E1081" s="192">
        <v>1</v>
      </c>
      <c r="F1081" s="192">
        <v>3565</v>
      </c>
      <c r="G1081" s="192">
        <v>0</v>
      </c>
      <c r="H1081" s="192" t="s">
        <v>705</v>
      </c>
      <c r="I1081" s="192" t="s">
        <v>65</v>
      </c>
      <c r="J1081" s="192">
        <v>2.500000037252903E-2</v>
      </c>
      <c r="K1081" s="192">
        <f>VLOOKUP($D1081,'RBSA Weights'!$A$2:$C$1406,3,FALSE)</f>
        <v>4360.1880000000001</v>
      </c>
    </row>
    <row r="1082" spans="1:11">
      <c r="A1082" s="192" t="s">
        <v>709</v>
      </c>
      <c r="B1082" s="192">
        <v>1</v>
      </c>
      <c r="C1082" s="192">
        <v>105618</v>
      </c>
      <c r="D1082" s="192">
        <v>10701</v>
      </c>
      <c r="E1082" s="192">
        <v>1</v>
      </c>
      <c r="F1082" s="192">
        <v>1590</v>
      </c>
      <c r="G1082" s="192">
        <v>12</v>
      </c>
      <c r="H1082" s="192" t="s">
        <v>705</v>
      </c>
      <c r="I1082" s="192" t="s">
        <v>65</v>
      </c>
      <c r="J1082" s="192">
        <v>2.500000037252903E-2</v>
      </c>
      <c r="K1082" s="192">
        <f>VLOOKUP($D1082,'RBSA Weights'!$A$2:$C$1406,3,FALSE)</f>
        <v>4956.4930000000004</v>
      </c>
    </row>
    <row r="1083" spans="1:11">
      <c r="A1083" s="192" t="s">
        <v>709</v>
      </c>
      <c r="B1083" s="192">
        <v>1</v>
      </c>
      <c r="C1083" s="192">
        <v>110915</v>
      </c>
      <c r="D1083" s="192">
        <v>22944</v>
      </c>
      <c r="E1083" s="192">
        <v>1</v>
      </c>
      <c r="F1083" s="192">
        <v>1090</v>
      </c>
      <c r="G1083" s="192">
        <v>10</v>
      </c>
      <c r="H1083" s="192" t="s">
        <v>705</v>
      </c>
      <c r="I1083" s="192" t="s">
        <v>65</v>
      </c>
      <c r="J1083" s="192">
        <v>2.500000037252903E-2</v>
      </c>
      <c r="K1083" s="192">
        <f>VLOOKUP($D1083,'RBSA Weights'!$A$2:$C$1406,3,FALSE)</f>
        <v>2079.9929999999999</v>
      </c>
    </row>
    <row r="1084" spans="1:11">
      <c r="A1084" s="192" t="s">
        <v>709</v>
      </c>
      <c r="B1084" s="192">
        <v>1</v>
      </c>
      <c r="C1084" s="192">
        <v>196711</v>
      </c>
      <c r="D1084" s="192">
        <v>13094</v>
      </c>
      <c r="E1084" s="192">
        <v>1</v>
      </c>
      <c r="F1084" s="192">
        <v>1625</v>
      </c>
      <c r="G1084" s="192">
        <v>0</v>
      </c>
      <c r="H1084" s="192" t="s">
        <v>697</v>
      </c>
      <c r="I1084" s="192" t="s">
        <v>65</v>
      </c>
      <c r="J1084" s="192">
        <v>2.500000037252903E-2</v>
      </c>
      <c r="K1084" s="192">
        <f>VLOOKUP($D1084,'RBSA Weights'!$A$2:$C$1406,3,FALSE)</f>
        <v>4956.4930000000004</v>
      </c>
    </row>
    <row r="1085" spans="1:11">
      <c r="A1085" s="192" t="s">
        <v>709</v>
      </c>
      <c r="B1085" s="192">
        <v>1</v>
      </c>
      <c r="C1085" s="192">
        <v>43538</v>
      </c>
      <c r="D1085" s="192">
        <v>13746</v>
      </c>
      <c r="E1085" s="192">
        <v>1</v>
      </c>
      <c r="F1085" s="192">
        <v>650</v>
      </c>
      <c r="G1085" s="192">
        <v>50</v>
      </c>
      <c r="H1085" s="192" t="s">
        <v>705</v>
      </c>
      <c r="I1085" s="192" t="s">
        <v>65</v>
      </c>
      <c r="J1085" s="192">
        <v>2.500000037252903E-2</v>
      </c>
      <c r="K1085" s="192">
        <f>VLOOKUP($D1085,'RBSA Weights'!$A$2:$C$1406,3,FALSE)</f>
        <v>1188.027</v>
      </c>
    </row>
    <row r="1086" spans="1:11">
      <c r="A1086" s="192" t="s">
        <v>709</v>
      </c>
      <c r="B1086" s="192">
        <v>1</v>
      </c>
      <c r="C1086" s="192">
        <v>42103</v>
      </c>
      <c r="D1086" s="192">
        <v>24436</v>
      </c>
      <c r="E1086" s="192">
        <v>1</v>
      </c>
      <c r="F1086" s="192">
        <v>1700</v>
      </c>
      <c r="G1086" s="192">
        <v>35</v>
      </c>
      <c r="H1086" s="192" t="s">
        <v>697</v>
      </c>
      <c r="I1086" s="192" t="s">
        <v>65</v>
      </c>
      <c r="J1086" s="192">
        <v>2.500000037252903E-2</v>
      </c>
      <c r="K1086" s="192">
        <f>VLOOKUP($D1086,'RBSA Weights'!$A$2:$C$1406,3,FALSE)</f>
        <v>2079.9929999999999</v>
      </c>
    </row>
    <row r="1087" spans="1:11">
      <c r="A1087" s="192" t="s">
        <v>709</v>
      </c>
      <c r="B1087" s="192">
        <v>1</v>
      </c>
      <c r="C1087" s="192">
        <v>202424</v>
      </c>
      <c r="D1087" s="192">
        <v>21722</v>
      </c>
      <c r="E1087" s="192">
        <v>1</v>
      </c>
      <c r="F1087" s="192">
        <v>800</v>
      </c>
      <c r="G1087" s="192">
        <v>10</v>
      </c>
      <c r="H1087" s="192" t="s">
        <v>697</v>
      </c>
      <c r="I1087" s="192" t="s">
        <v>65</v>
      </c>
      <c r="J1087" s="192">
        <v>2.500000037252903E-2</v>
      </c>
      <c r="K1087" s="192">
        <f>VLOOKUP($D1087,'RBSA Weights'!$A$2:$C$1406,3,FALSE)</f>
        <v>2130.886</v>
      </c>
    </row>
    <row r="1088" spans="1:11">
      <c r="A1088" s="192" t="s">
        <v>709</v>
      </c>
      <c r="B1088" s="192">
        <v>1</v>
      </c>
      <c r="C1088" s="192">
        <v>111346</v>
      </c>
      <c r="D1088" s="192">
        <v>21922</v>
      </c>
      <c r="E1088" s="192">
        <v>1</v>
      </c>
      <c r="F1088" s="192">
        <v>1090</v>
      </c>
      <c r="G1088" s="192">
        <v>12</v>
      </c>
      <c r="H1088" s="192" t="s">
        <v>705</v>
      </c>
      <c r="I1088" s="192" t="s">
        <v>65</v>
      </c>
      <c r="J1088" s="192">
        <v>2.500000037252903E-2</v>
      </c>
      <c r="K1088" s="192">
        <f>VLOOKUP($D1088,'RBSA Weights'!$A$2:$C$1406,3,FALSE)</f>
        <v>1904.288</v>
      </c>
    </row>
    <row r="1089" spans="1:11">
      <c r="A1089" s="192" t="s">
        <v>709</v>
      </c>
      <c r="B1089" s="192">
        <v>1</v>
      </c>
      <c r="C1089" s="192">
        <v>159356</v>
      </c>
      <c r="D1089" s="192">
        <v>10540</v>
      </c>
      <c r="E1089" s="192">
        <v>1</v>
      </c>
      <c r="F1089" s="192">
        <v>1200</v>
      </c>
      <c r="G1089" s="192">
        <v>48</v>
      </c>
      <c r="H1089" s="192" t="s">
        <v>702</v>
      </c>
      <c r="I1089" s="192" t="s">
        <v>65</v>
      </c>
      <c r="J1089" s="192">
        <v>2.500000037252903E-2</v>
      </c>
      <c r="K1089" s="192">
        <f>VLOOKUP($D1089,'RBSA Weights'!$A$2:$C$1406,3,FALSE)</f>
        <v>6932.7380000000003</v>
      </c>
    </row>
    <row r="1090" spans="1:11">
      <c r="A1090" s="192" t="s">
        <v>709</v>
      </c>
      <c r="B1090" s="192">
        <v>1</v>
      </c>
      <c r="C1090" s="192">
        <v>683112</v>
      </c>
      <c r="D1090" s="192">
        <v>21615</v>
      </c>
      <c r="E1090" s="192">
        <v>1</v>
      </c>
      <c r="F1090" s="192">
        <v>1743</v>
      </c>
      <c r="G1090" s="192">
        <v>12</v>
      </c>
      <c r="H1090" s="192" t="s">
        <v>705</v>
      </c>
      <c r="I1090" s="192" t="s">
        <v>65</v>
      </c>
      <c r="J1090" s="192">
        <v>2.500000037252903E-2</v>
      </c>
      <c r="K1090" s="192">
        <f>VLOOKUP($D1090,'RBSA Weights'!$A$2:$C$1406,3,FALSE)</f>
        <v>12271.31</v>
      </c>
    </row>
    <row r="1091" spans="1:11">
      <c r="A1091" s="192" t="s">
        <v>709</v>
      </c>
      <c r="B1091" s="192">
        <v>1</v>
      </c>
      <c r="C1091" s="192">
        <v>229217</v>
      </c>
      <c r="D1091" s="192">
        <v>23619</v>
      </c>
      <c r="E1091" s="192">
        <v>1</v>
      </c>
      <c r="F1091" s="192">
        <v>1315</v>
      </c>
      <c r="G1091" s="192">
        <v>49</v>
      </c>
      <c r="H1091" s="192" t="s">
        <v>705</v>
      </c>
      <c r="I1091" s="192" t="s">
        <v>65</v>
      </c>
      <c r="J1091" s="192">
        <v>2.500000037252903E-2</v>
      </c>
      <c r="K1091" s="192">
        <f>VLOOKUP($D1091,'RBSA Weights'!$A$2:$C$1406,3,FALSE)</f>
        <v>2079.9929999999999</v>
      </c>
    </row>
    <row r="1092" spans="1:11">
      <c r="A1092" s="192" t="s">
        <v>709</v>
      </c>
      <c r="B1092" s="192">
        <v>1</v>
      </c>
      <c r="C1092" s="192">
        <v>192843</v>
      </c>
      <c r="D1092" s="192">
        <v>22222</v>
      </c>
      <c r="E1092" s="192">
        <v>1</v>
      </c>
      <c r="F1092" s="192">
        <v>728</v>
      </c>
      <c r="G1092" s="192">
        <v>10</v>
      </c>
      <c r="H1092" s="192" t="s">
        <v>705</v>
      </c>
      <c r="I1092" s="192" t="s">
        <v>65</v>
      </c>
      <c r="J1092" s="192">
        <v>2.500000037252903E-2</v>
      </c>
      <c r="K1092" s="192">
        <f>VLOOKUP($D1092,'RBSA Weights'!$A$2:$C$1406,3,FALSE)</f>
        <v>1904.288</v>
      </c>
    </row>
    <row r="1093" spans="1:11">
      <c r="A1093" s="192" t="s">
        <v>709</v>
      </c>
      <c r="B1093" s="192">
        <v>1</v>
      </c>
      <c r="C1093" s="192">
        <v>35319</v>
      </c>
      <c r="D1093" s="192">
        <v>10741</v>
      </c>
      <c r="E1093" s="192">
        <v>1</v>
      </c>
      <c r="F1093" s="192">
        <v>725</v>
      </c>
      <c r="G1093" s="192">
        <v>0</v>
      </c>
      <c r="H1093" s="192" t="s">
        <v>697</v>
      </c>
      <c r="I1093" s="192" t="s">
        <v>65</v>
      </c>
      <c r="J1093" s="192">
        <v>2.500000037252903E-2</v>
      </c>
      <c r="K1093" s="192">
        <f>VLOOKUP($D1093,'RBSA Weights'!$A$2:$C$1406,3,FALSE)</f>
        <v>1524.7619999999999</v>
      </c>
    </row>
    <row r="1094" spans="1:11">
      <c r="A1094" s="192" t="s">
        <v>709</v>
      </c>
      <c r="B1094" s="192">
        <v>1</v>
      </c>
      <c r="C1094" s="192">
        <v>114571</v>
      </c>
      <c r="D1094" s="192">
        <v>24689</v>
      </c>
      <c r="E1094" s="192">
        <v>1</v>
      </c>
      <c r="F1094" s="192">
        <v>1784</v>
      </c>
      <c r="G1094" s="192">
        <v>49</v>
      </c>
      <c r="H1094" s="192" t="s">
        <v>705</v>
      </c>
      <c r="I1094" s="192" t="s">
        <v>65</v>
      </c>
      <c r="J1094" s="192">
        <v>2.500000037252903E-2</v>
      </c>
      <c r="K1094" s="192">
        <f>VLOOKUP($D1094,'RBSA Weights'!$A$2:$C$1406,3,FALSE)</f>
        <v>1904.288</v>
      </c>
    </row>
    <row r="1095" spans="1:11">
      <c r="A1095" s="192" t="s">
        <v>709</v>
      </c>
      <c r="B1095" s="192">
        <v>1</v>
      </c>
      <c r="C1095" s="192">
        <v>200370</v>
      </c>
      <c r="D1095" s="192">
        <v>21950</v>
      </c>
      <c r="E1095" s="192">
        <v>1</v>
      </c>
      <c r="F1095" s="192">
        <v>2125</v>
      </c>
      <c r="G1095" s="192">
        <v>15</v>
      </c>
      <c r="H1095" s="192" t="s">
        <v>705</v>
      </c>
      <c r="I1095" s="192" t="s">
        <v>65</v>
      </c>
      <c r="J1095" s="192">
        <v>2.500000037252903E-2</v>
      </c>
      <c r="K1095" s="192">
        <f>VLOOKUP($D1095,'RBSA Weights'!$A$2:$C$1406,3,FALSE)</f>
        <v>2130.886</v>
      </c>
    </row>
    <row r="1096" spans="1:11">
      <c r="A1096" s="192" t="s">
        <v>709</v>
      </c>
      <c r="B1096" s="192">
        <v>1</v>
      </c>
      <c r="C1096" s="192">
        <v>73052</v>
      </c>
      <c r="D1096" s="192">
        <v>22474</v>
      </c>
      <c r="E1096" s="192">
        <v>1</v>
      </c>
      <c r="F1096" s="192">
        <v>2053</v>
      </c>
      <c r="G1096" s="192">
        <v>49</v>
      </c>
      <c r="H1096" s="192" t="s">
        <v>697</v>
      </c>
      <c r="I1096" s="192" t="s">
        <v>65</v>
      </c>
      <c r="J1096" s="192">
        <v>2.500000037252903E-2</v>
      </c>
      <c r="K1096" s="192">
        <f>VLOOKUP($D1096,'RBSA Weights'!$A$2:$C$1406,3,FALSE)</f>
        <v>1904.288</v>
      </c>
    </row>
    <row r="1097" spans="1:11">
      <c r="A1097" s="192" t="s">
        <v>709</v>
      </c>
      <c r="B1097" s="192">
        <v>1</v>
      </c>
      <c r="C1097" s="192">
        <v>169888</v>
      </c>
      <c r="D1097" s="192">
        <v>23926</v>
      </c>
      <c r="E1097" s="192">
        <v>1</v>
      </c>
      <c r="F1097" s="192">
        <v>1107</v>
      </c>
      <c r="G1097" s="192">
        <v>11</v>
      </c>
      <c r="H1097" s="192" t="s">
        <v>705</v>
      </c>
      <c r="I1097" s="192" t="s">
        <v>65</v>
      </c>
      <c r="J1097" s="192">
        <v>2.500000037252903E-2</v>
      </c>
      <c r="K1097" s="192">
        <f>VLOOKUP($D1097,'RBSA Weights'!$A$2:$C$1406,3,FALSE)</f>
        <v>3785.7640000000001</v>
      </c>
    </row>
    <row r="1098" spans="1:11">
      <c r="A1098" s="192" t="s">
        <v>709</v>
      </c>
      <c r="B1098" s="192">
        <v>1</v>
      </c>
      <c r="C1098" s="192">
        <v>75741</v>
      </c>
      <c r="D1098" s="192">
        <v>10811</v>
      </c>
      <c r="E1098" s="192">
        <v>1</v>
      </c>
      <c r="F1098" s="192">
        <v>1308</v>
      </c>
      <c r="G1098" s="192">
        <v>50</v>
      </c>
      <c r="H1098" s="192" t="s">
        <v>702</v>
      </c>
      <c r="I1098" s="192" t="s">
        <v>65</v>
      </c>
      <c r="J1098" s="192">
        <v>2.500000037252903E-2</v>
      </c>
      <c r="K1098" s="192">
        <f>VLOOKUP($D1098,'RBSA Weights'!$A$2:$C$1406,3,FALSE)</f>
        <v>2003.7159999999999</v>
      </c>
    </row>
    <row r="1099" spans="1:11">
      <c r="A1099" s="192" t="s">
        <v>709</v>
      </c>
      <c r="B1099" s="192">
        <v>1</v>
      </c>
      <c r="C1099" s="192">
        <v>93896</v>
      </c>
      <c r="D1099" s="192">
        <v>22039</v>
      </c>
      <c r="E1099" s="192">
        <v>1</v>
      </c>
      <c r="F1099" s="192">
        <v>1440</v>
      </c>
      <c r="G1099" s="192">
        <v>49</v>
      </c>
      <c r="H1099" s="192" t="s">
        <v>705</v>
      </c>
      <c r="I1099" s="192" t="s">
        <v>65</v>
      </c>
      <c r="J1099" s="192">
        <v>2.500000037252903E-2</v>
      </c>
      <c r="K1099" s="192">
        <f>VLOOKUP($D1099,'RBSA Weights'!$A$2:$C$1406,3,FALSE)</f>
        <v>1904.288</v>
      </c>
    </row>
    <row r="1100" spans="1:11">
      <c r="A1100" s="192" t="s">
        <v>709</v>
      </c>
      <c r="B1100" s="192">
        <v>1</v>
      </c>
      <c r="C1100" s="192">
        <v>107634</v>
      </c>
      <c r="D1100" s="192">
        <v>24033</v>
      </c>
      <c r="E1100" s="192">
        <v>1</v>
      </c>
      <c r="F1100" s="192">
        <v>1100</v>
      </c>
      <c r="G1100" s="192">
        <v>5</v>
      </c>
      <c r="H1100" s="192" t="s">
        <v>705</v>
      </c>
      <c r="I1100" s="192" t="s">
        <v>65</v>
      </c>
      <c r="J1100" s="192">
        <v>2.500000037252903E-2</v>
      </c>
      <c r="K1100" s="192">
        <f>VLOOKUP($D1100,'RBSA Weights'!$A$2:$C$1406,3,FALSE)</f>
        <v>2079.9929999999999</v>
      </c>
    </row>
    <row r="1101" spans="1:11">
      <c r="A1101" s="192" t="s">
        <v>709</v>
      </c>
      <c r="B1101" s="192">
        <v>1</v>
      </c>
      <c r="C1101" s="192">
        <v>104198</v>
      </c>
      <c r="D1101" s="192">
        <v>12176</v>
      </c>
      <c r="E1101" s="192">
        <v>1</v>
      </c>
      <c r="F1101" s="192">
        <v>711</v>
      </c>
      <c r="G1101" s="192">
        <v>19</v>
      </c>
      <c r="H1101" s="192" t="s">
        <v>700</v>
      </c>
      <c r="I1101" s="192" t="s">
        <v>65</v>
      </c>
      <c r="J1101" s="192">
        <v>2.500000037252903E-2</v>
      </c>
      <c r="K1101" s="192">
        <f>VLOOKUP($D1101,'RBSA Weights'!$A$2:$C$1406,3,FALSE)</f>
        <v>1524.7619999999999</v>
      </c>
    </row>
    <row r="1102" spans="1:11">
      <c r="A1102" s="192" t="s">
        <v>709</v>
      </c>
      <c r="B1102" s="192">
        <v>1</v>
      </c>
      <c r="C1102" s="192">
        <v>101977</v>
      </c>
      <c r="D1102" s="192">
        <v>24547</v>
      </c>
      <c r="E1102" s="192">
        <v>1</v>
      </c>
      <c r="F1102" s="192">
        <v>1260</v>
      </c>
      <c r="G1102" s="192">
        <v>10</v>
      </c>
      <c r="H1102" s="192" t="s">
        <v>705</v>
      </c>
      <c r="I1102" s="192" t="s">
        <v>65</v>
      </c>
      <c r="J1102" s="192">
        <v>2.500000037252903E-2</v>
      </c>
      <c r="K1102" s="192">
        <f>VLOOKUP($D1102,'RBSA Weights'!$A$2:$C$1406,3,FALSE)</f>
        <v>1144.6790000000001</v>
      </c>
    </row>
    <row r="1103" spans="1:11">
      <c r="A1103" s="192" t="s">
        <v>709</v>
      </c>
      <c r="B1103" s="192">
        <v>1</v>
      </c>
      <c r="C1103" s="192">
        <v>62277</v>
      </c>
      <c r="D1103" s="192">
        <v>11416</v>
      </c>
      <c r="E1103" s="192">
        <v>1</v>
      </c>
      <c r="F1103" s="192">
        <v>1230</v>
      </c>
      <c r="G1103" s="192">
        <v>0</v>
      </c>
      <c r="H1103" s="192" t="s">
        <v>705</v>
      </c>
      <c r="I1103" s="192" t="s">
        <v>65</v>
      </c>
      <c r="J1103" s="192">
        <v>2.500000037252903E-2</v>
      </c>
      <c r="K1103" s="192">
        <f>VLOOKUP($D1103,'RBSA Weights'!$A$2:$C$1406,3,FALSE)</f>
        <v>2003.7159999999999</v>
      </c>
    </row>
    <row r="1104" spans="1:11">
      <c r="A1104" s="192" t="s">
        <v>709</v>
      </c>
      <c r="B1104" s="192">
        <v>1</v>
      </c>
      <c r="C1104" s="192">
        <v>167768</v>
      </c>
      <c r="D1104" s="192">
        <v>20603</v>
      </c>
      <c r="E1104" s="192">
        <v>1</v>
      </c>
      <c r="F1104" s="192">
        <v>1495</v>
      </c>
      <c r="G1104" s="192">
        <v>12</v>
      </c>
      <c r="H1104" s="192" t="s">
        <v>705</v>
      </c>
      <c r="I1104" s="192" t="s">
        <v>65</v>
      </c>
      <c r="J1104" s="192">
        <v>2.500000037252903E-2</v>
      </c>
      <c r="K1104" s="192">
        <f>VLOOKUP($D1104,'RBSA Weights'!$A$2:$C$1406,3,FALSE)</f>
        <v>1192.4649999999999</v>
      </c>
    </row>
    <row r="1105" spans="1:11">
      <c r="A1105" s="192" t="s">
        <v>709</v>
      </c>
      <c r="B1105" s="192">
        <v>1</v>
      </c>
      <c r="C1105" s="192">
        <v>196826</v>
      </c>
      <c r="D1105" s="192">
        <v>24866</v>
      </c>
      <c r="E1105" s="192">
        <v>1</v>
      </c>
      <c r="F1105" s="192">
        <v>1508</v>
      </c>
      <c r="G1105" s="192">
        <v>0</v>
      </c>
      <c r="H1105" s="192" t="s">
        <v>697</v>
      </c>
      <c r="I1105" s="192" t="s">
        <v>65</v>
      </c>
      <c r="J1105" s="192">
        <v>2.500000037252903E-2</v>
      </c>
      <c r="K1105" s="192">
        <f>VLOOKUP($D1105,'RBSA Weights'!$A$2:$C$1406,3,FALSE)</f>
        <v>4360.1880000000001</v>
      </c>
    </row>
    <row r="1106" spans="1:11">
      <c r="A1106" s="192" t="s">
        <v>709</v>
      </c>
      <c r="B1106" s="192">
        <v>1</v>
      </c>
      <c r="C1106" s="192">
        <v>96677</v>
      </c>
      <c r="D1106" s="192">
        <v>12266</v>
      </c>
      <c r="E1106" s="192">
        <v>2</v>
      </c>
      <c r="F1106" s="192">
        <v>264</v>
      </c>
      <c r="G1106" s="192">
        <v>14</v>
      </c>
      <c r="H1106" s="192" t="s">
        <v>700</v>
      </c>
      <c r="I1106" s="192" t="s">
        <v>65</v>
      </c>
      <c r="J1106" s="192">
        <v>2.500000037252903E-2</v>
      </c>
      <c r="K1106" s="192">
        <f>VLOOKUP($D1106,'RBSA Weights'!$A$2:$C$1406,3,FALSE)</f>
        <v>4956.4930000000004</v>
      </c>
    </row>
    <row r="1107" spans="1:11">
      <c r="A1107" s="192" t="s">
        <v>709</v>
      </c>
      <c r="B1107" s="192">
        <v>1</v>
      </c>
      <c r="C1107" s="192">
        <v>81568</v>
      </c>
      <c r="D1107" s="192">
        <v>21668</v>
      </c>
      <c r="E1107" s="192">
        <v>1</v>
      </c>
      <c r="F1107" s="192">
        <v>920</v>
      </c>
      <c r="G1107" s="192">
        <v>5</v>
      </c>
      <c r="H1107" s="192" t="s">
        <v>697</v>
      </c>
      <c r="I1107" s="192" t="s">
        <v>65</v>
      </c>
      <c r="J1107" s="192">
        <v>2.500000037252903E-2</v>
      </c>
      <c r="K1107" s="192">
        <f>VLOOKUP($D1107,'RBSA Weights'!$A$2:$C$1406,3,FALSE)</f>
        <v>3785.7640000000001</v>
      </c>
    </row>
    <row r="1108" spans="1:11">
      <c r="A1108" s="192" t="s">
        <v>709</v>
      </c>
      <c r="B1108" s="192">
        <v>1</v>
      </c>
      <c r="C1108" s="192">
        <v>241895</v>
      </c>
      <c r="D1108" s="192">
        <v>22280</v>
      </c>
      <c r="E1108" s="192">
        <v>1</v>
      </c>
      <c r="F1108" s="192">
        <v>1428</v>
      </c>
      <c r="G1108" s="192">
        <v>12</v>
      </c>
      <c r="H1108" s="192" t="s">
        <v>705</v>
      </c>
      <c r="I1108" s="192" t="s">
        <v>65</v>
      </c>
      <c r="J1108" s="192">
        <v>2.500000037252903E-2</v>
      </c>
      <c r="K1108" s="192">
        <f>VLOOKUP($D1108,'RBSA Weights'!$A$2:$C$1406,3,FALSE)</f>
        <v>12271.31</v>
      </c>
    </row>
    <row r="1109" spans="1:11">
      <c r="A1109" s="192" t="s">
        <v>709</v>
      </c>
      <c r="B1109" s="192">
        <v>1</v>
      </c>
      <c r="C1109" s="192">
        <v>223381</v>
      </c>
      <c r="D1109" s="192">
        <v>13867</v>
      </c>
      <c r="E1109" s="192">
        <v>1</v>
      </c>
      <c r="F1109" s="192">
        <v>2619</v>
      </c>
      <c r="G1109" s="192">
        <v>0</v>
      </c>
      <c r="H1109" s="192" t="s">
        <v>702</v>
      </c>
      <c r="I1109" s="192" t="s">
        <v>65</v>
      </c>
      <c r="J1109" s="192">
        <v>2.500000037252903E-2</v>
      </c>
      <c r="K1109" s="192">
        <f>VLOOKUP($D1109,'RBSA Weights'!$A$2:$C$1406,3,FALSE)</f>
        <v>1464.694</v>
      </c>
    </row>
    <row r="1110" spans="1:11">
      <c r="A1110" s="192" t="s">
        <v>709</v>
      </c>
      <c r="B1110" s="192">
        <v>1</v>
      </c>
      <c r="C1110" s="192">
        <v>240012</v>
      </c>
      <c r="D1110" s="192">
        <v>22576</v>
      </c>
      <c r="E1110" s="192">
        <v>1</v>
      </c>
      <c r="F1110" s="192">
        <v>1779</v>
      </c>
      <c r="G1110" s="192">
        <v>0</v>
      </c>
      <c r="H1110" s="192" t="s">
        <v>705</v>
      </c>
      <c r="I1110" s="192" t="s">
        <v>65</v>
      </c>
      <c r="J1110" s="192">
        <v>2.500000037252903E-2</v>
      </c>
      <c r="K1110" s="192">
        <f>VLOOKUP($D1110,'RBSA Weights'!$A$2:$C$1406,3,FALSE)</f>
        <v>2079.9929999999999</v>
      </c>
    </row>
    <row r="1111" spans="1:11">
      <c r="A1111" s="192" t="s">
        <v>709</v>
      </c>
      <c r="B1111" s="192">
        <v>1</v>
      </c>
      <c r="C1111" s="192">
        <v>97943</v>
      </c>
      <c r="D1111" s="192">
        <v>23744</v>
      </c>
      <c r="E1111" s="192">
        <v>1</v>
      </c>
      <c r="F1111" s="192">
        <v>1353</v>
      </c>
      <c r="G1111" s="192">
        <v>49</v>
      </c>
      <c r="H1111" s="192" t="s">
        <v>705</v>
      </c>
      <c r="I1111" s="192" t="s">
        <v>65</v>
      </c>
      <c r="J1111" s="192">
        <v>2.500000037252903E-2</v>
      </c>
      <c r="K1111" s="192">
        <f>VLOOKUP($D1111,'RBSA Weights'!$A$2:$C$1406,3,FALSE)</f>
        <v>1904.288</v>
      </c>
    </row>
    <row r="1112" spans="1:11">
      <c r="A1112" s="192" t="s">
        <v>709</v>
      </c>
      <c r="B1112" s="192">
        <v>1</v>
      </c>
      <c r="C1112" s="192">
        <v>675821</v>
      </c>
      <c r="D1112" s="192">
        <v>20998</v>
      </c>
      <c r="E1112" s="192">
        <v>1</v>
      </c>
      <c r="F1112" s="192">
        <v>1947</v>
      </c>
      <c r="G1112" s="192">
        <v>12</v>
      </c>
      <c r="H1112" s="192" t="s">
        <v>705</v>
      </c>
      <c r="I1112" s="192" t="s">
        <v>65</v>
      </c>
      <c r="J1112" s="192">
        <v>2.500000037252903E-2</v>
      </c>
      <c r="K1112" s="192">
        <f>VLOOKUP($D1112,'RBSA Weights'!$A$2:$C$1406,3,FALSE)</f>
        <v>3785.7640000000001</v>
      </c>
    </row>
    <row r="1113" spans="1:11">
      <c r="A1113" s="192" t="s">
        <v>709</v>
      </c>
      <c r="B1113" s="192">
        <v>1</v>
      </c>
      <c r="C1113" s="192">
        <v>168944</v>
      </c>
      <c r="D1113" s="192">
        <v>22960</v>
      </c>
      <c r="E1113" s="192">
        <v>2</v>
      </c>
      <c r="F1113" s="192">
        <v>450</v>
      </c>
      <c r="G1113" s="192">
        <v>10</v>
      </c>
      <c r="H1113" s="192" t="s">
        <v>697</v>
      </c>
      <c r="I1113" s="192" t="s">
        <v>65</v>
      </c>
      <c r="J1113" s="192">
        <v>2.500000037252903E-2</v>
      </c>
      <c r="K1113" s="192">
        <f>VLOOKUP($D1113,'RBSA Weights'!$A$2:$C$1406,3,FALSE)</f>
        <v>2130.886</v>
      </c>
    </row>
    <row r="1114" spans="1:11">
      <c r="A1114" s="192" t="s">
        <v>709</v>
      </c>
      <c r="B1114" s="192">
        <v>1</v>
      </c>
      <c r="C1114" s="192">
        <v>206204</v>
      </c>
      <c r="D1114" s="192">
        <v>10627</v>
      </c>
      <c r="E1114" s="192">
        <v>1</v>
      </c>
      <c r="F1114" s="192">
        <v>1026</v>
      </c>
      <c r="G1114" s="192">
        <v>49</v>
      </c>
      <c r="H1114" s="192" t="s">
        <v>705</v>
      </c>
      <c r="I1114" s="192" t="s">
        <v>65</v>
      </c>
      <c r="J1114" s="192">
        <v>2.500000037252903E-2</v>
      </c>
      <c r="K1114" s="192">
        <f>VLOOKUP($D1114,'RBSA Weights'!$A$2:$C$1406,3,FALSE)</f>
        <v>6932.7380000000003</v>
      </c>
    </row>
    <row r="1115" spans="1:11">
      <c r="A1115" s="192" t="s">
        <v>709</v>
      </c>
      <c r="B1115" s="192">
        <v>1</v>
      </c>
      <c r="C1115" s="192">
        <v>106404</v>
      </c>
      <c r="D1115" s="192">
        <v>22743</v>
      </c>
      <c r="E1115" s="192">
        <v>1</v>
      </c>
      <c r="F1115" s="192">
        <v>1458</v>
      </c>
      <c r="G1115" s="192">
        <v>20</v>
      </c>
      <c r="H1115" s="192" t="s">
        <v>705</v>
      </c>
      <c r="I1115" s="192" t="s">
        <v>65</v>
      </c>
      <c r="J1115" s="192">
        <v>2.500000037252903E-2</v>
      </c>
      <c r="K1115" s="192">
        <f>VLOOKUP($D1115,'RBSA Weights'!$A$2:$C$1406,3,FALSE)</f>
        <v>3785.7640000000001</v>
      </c>
    </row>
    <row r="1116" spans="1:11">
      <c r="A1116" s="192" t="s">
        <v>709</v>
      </c>
      <c r="B1116" s="192">
        <v>1</v>
      </c>
      <c r="C1116" s="192">
        <v>202976</v>
      </c>
      <c r="D1116" s="192">
        <v>11639</v>
      </c>
      <c r="E1116" s="192">
        <v>1</v>
      </c>
      <c r="F1116" s="192">
        <v>1620</v>
      </c>
      <c r="G1116" s="192">
        <v>0</v>
      </c>
      <c r="H1116" s="192" t="s">
        <v>705</v>
      </c>
      <c r="I1116" s="192" t="s">
        <v>65</v>
      </c>
      <c r="J1116" s="192">
        <v>2.500000037252903E-2</v>
      </c>
      <c r="K1116" s="192">
        <f>VLOOKUP($D1116,'RBSA Weights'!$A$2:$C$1406,3,FALSE)</f>
        <v>1464.694</v>
      </c>
    </row>
    <row r="1117" spans="1:11">
      <c r="A1117" s="192" t="s">
        <v>709</v>
      </c>
      <c r="B1117" s="192">
        <v>1</v>
      </c>
      <c r="C1117" s="192">
        <v>211125</v>
      </c>
      <c r="D1117" s="192">
        <v>22109</v>
      </c>
      <c r="E1117" s="192">
        <v>1</v>
      </c>
      <c r="F1117" s="192">
        <v>1971</v>
      </c>
      <c r="G1117" s="192">
        <v>12</v>
      </c>
      <c r="H1117" s="192" t="s">
        <v>702</v>
      </c>
      <c r="I1117" s="192" t="s">
        <v>65</v>
      </c>
      <c r="J1117" s="192">
        <v>2.500000037252903E-2</v>
      </c>
      <c r="K1117" s="192">
        <f>VLOOKUP($D1117,'RBSA Weights'!$A$2:$C$1406,3,FALSE)</f>
        <v>1904.288</v>
      </c>
    </row>
    <row r="1118" spans="1:11">
      <c r="A1118" s="192" t="s">
        <v>709</v>
      </c>
      <c r="B1118" s="192">
        <v>1</v>
      </c>
      <c r="C1118" s="192">
        <v>216905</v>
      </c>
      <c r="D1118" s="192">
        <v>10728</v>
      </c>
      <c r="E1118" s="192">
        <v>2</v>
      </c>
      <c r="F1118" s="192">
        <v>540</v>
      </c>
      <c r="G1118" s="192">
        <v>10</v>
      </c>
      <c r="H1118" s="192" t="s">
        <v>702</v>
      </c>
      <c r="I1118" s="192" t="s">
        <v>65</v>
      </c>
      <c r="J1118" s="192">
        <v>2.500000037252903E-2</v>
      </c>
      <c r="K1118" s="192">
        <f>VLOOKUP($D1118,'RBSA Weights'!$A$2:$C$1406,3,FALSE)</f>
        <v>2003.7159999999999</v>
      </c>
    </row>
    <row r="1119" spans="1:11">
      <c r="A1119" s="192" t="s">
        <v>709</v>
      </c>
      <c r="B1119" s="192">
        <v>1</v>
      </c>
      <c r="C1119" s="192">
        <v>204326</v>
      </c>
      <c r="D1119" s="192">
        <v>22969</v>
      </c>
      <c r="E1119" s="192">
        <v>1</v>
      </c>
      <c r="F1119" s="192">
        <v>1424</v>
      </c>
      <c r="G1119" s="192">
        <v>18</v>
      </c>
      <c r="H1119" s="192" t="s">
        <v>702</v>
      </c>
      <c r="I1119" s="192" t="s">
        <v>65</v>
      </c>
      <c r="J1119" s="192">
        <v>2.500000037252903E-2</v>
      </c>
      <c r="K1119" s="192">
        <f>VLOOKUP($D1119,'RBSA Weights'!$A$2:$C$1406,3,FALSE)</f>
        <v>2079.9929999999999</v>
      </c>
    </row>
    <row r="1120" spans="1:11">
      <c r="A1120" s="192" t="s">
        <v>709</v>
      </c>
      <c r="B1120" s="192">
        <v>1</v>
      </c>
      <c r="C1120" s="192">
        <v>29163</v>
      </c>
      <c r="D1120" s="192">
        <v>13871</v>
      </c>
      <c r="E1120" s="192">
        <v>1</v>
      </c>
      <c r="F1120" s="192">
        <v>2222</v>
      </c>
      <c r="G1120" s="192">
        <v>9</v>
      </c>
      <c r="H1120" s="192" t="s">
        <v>702</v>
      </c>
      <c r="I1120" s="192" t="s">
        <v>65</v>
      </c>
      <c r="J1120" s="192">
        <v>2.500000037252903E-2</v>
      </c>
      <c r="K1120" s="192">
        <f>VLOOKUP($D1120,'RBSA Weights'!$A$2:$C$1406,3,FALSE)</f>
        <v>1150.8789999999999</v>
      </c>
    </row>
    <row r="1121" spans="1:11">
      <c r="A1121" s="192" t="s">
        <v>709</v>
      </c>
      <c r="B1121" s="192">
        <v>1</v>
      </c>
      <c r="C1121" s="192">
        <v>45531</v>
      </c>
      <c r="D1121" s="192">
        <v>13713</v>
      </c>
      <c r="E1121" s="192">
        <v>1</v>
      </c>
      <c r="F1121" s="192">
        <v>1269</v>
      </c>
      <c r="G1121" s="192">
        <v>0</v>
      </c>
      <c r="H1121" s="192" t="s">
        <v>702</v>
      </c>
      <c r="I1121" s="192" t="s">
        <v>794</v>
      </c>
      <c r="J1121" s="192">
        <v>2.500000037252903E-2</v>
      </c>
      <c r="K1121" s="192">
        <f>VLOOKUP($D1121,'RBSA Weights'!$A$2:$C$1406,3,FALSE)</f>
        <v>1150.8789999999999</v>
      </c>
    </row>
    <row r="1122" spans="1:11">
      <c r="A1122" s="192" t="s">
        <v>709</v>
      </c>
      <c r="B1122" s="192">
        <v>1</v>
      </c>
      <c r="C1122" s="192">
        <v>669340</v>
      </c>
      <c r="D1122" s="192">
        <v>21143</v>
      </c>
      <c r="E1122" s="192">
        <v>1</v>
      </c>
      <c r="F1122" s="192">
        <v>1366</v>
      </c>
      <c r="G1122" s="192">
        <v>50</v>
      </c>
      <c r="H1122" s="192" t="s">
        <v>700</v>
      </c>
      <c r="I1122" s="192" t="s">
        <v>65</v>
      </c>
      <c r="J1122" s="192">
        <v>2.500000037252903E-2</v>
      </c>
      <c r="K1122" s="192">
        <f>VLOOKUP($D1122,'RBSA Weights'!$A$2:$C$1406,3,FALSE)</f>
        <v>1612.692</v>
      </c>
    </row>
    <row r="1123" spans="1:11">
      <c r="A1123" s="192" t="s">
        <v>709</v>
      </c>
      <c r="B1123" s="192">
        <v>1</v>
      </c>
      <c r="C1123" s="192">
        <v>93592</v>
      </c>
      <c r="D1123" s="192">
        <v>13323</v>
      </c>
      <c r="E1123" s="192">
        <v>1</v>
      </c>
      <c r="F1123" s="192">
        <v>392</v>
      </c>
      <c r="G1123" s="192">
        <v>10</v>
      </c>
      <c r="H1123" s="192" t="s">
        <v>705</v>
      </c>
      <c r="I1123" s="192" t="s">
        <v>65</v>
      </c>
      <c r="J1123" s="192">
        <v>2.500000037252903E-2</v>
      </c>
      <c r="K1123" s="192">
        <f>VLOOKUP($D1123,'RBSA Weights'!$A$2:$C$1406,3,FALSE)</f>
        <v>1524.7619999999999</v>
      </c>
    </row>
    <row r="1124" spans="1:11">
      <c r="A1124" s="192" t="s">
        <v>709</v>
      </c>
      <c r="B1124" s="192">
        <v>1</v>
      </c>
      <c r="C1124" s="192">
        <v>76747</v>
      </c>
      <c r="D1124" s="192">
        <v>12514</v>
      </c>
      <c r="E1124" s="192">
        <v>1</v>
      </c>
      <c r="F1124" s="192">
        <v>1012</v>
      </c>
      <c r="G1124" s="192">
        <v>50</v>
      </c>
      <c r="H1124" s="192" t="s">
        <v>705</v>
      </c>
      <c r="I1124" s="192" t="s">
        <v>65</v>
      </c>
      <c r="J1124" s="192">
        <v>2.500000037252903E-2</v>
      </c>
      <c r="K1124" s="192">
        <f>VLOOKUP($D1124,'RBSA Weights'!$A$2:$C$1406,3,FALSE)</f>
        <v>1524.7619999999999</v>
      </c>
    </row>
    <row r="1125" spans="1:11">
      <c r="A1125" s="192" t="s">
        <v>709</v>
      </c>
      <c r="B1125" s="192">
        <v>1</v>
      </c>
      <c r="C1125" s="192">
        <v>79717</v>
      </c>
      <c r="D1125" s="192">
        <v>13232</v>
      </c>
      <c r="E1125" s="192">
        <v>1</v>
      </c>
      <c r="F1125" s="192">
        <v>1404</v>
      </c>
      <c r="G1125" s="192">
        <v>10</v>
      </c>
      <c r="H1125" s="192" t="s">
        <v>697</v>
      </c>
      <c r="I1125" s="192" t="s">
        <v>65</v>
      </c>
      <c r="J1125" s="192">
        <v>2.500000037252903E-2</v>
      </c>
      <c r="K1125" s="192">
        <f>VLOOKUP($D1125,'RBSA Weights'!$A$2:$C$1406,3,FALSE)</f>
        <v>2003.7159999999999</v>
      </c>
    </row>
    <row r="1126" spans="1:11">
      <c r="A1126" s="192" t="s">
        <v>709</v>
      </c>
      <c r="B1126" s="192">
        <v>1</v>
      </c>
      <c r="C1126" s="192">
        <v>66384</v>
      </c>
      <c r="D1126" s="192">
        <v>20859</v>
      </c>
      <c r="E1126" s="192">
        <v>1</v>
      </c>
      <c r="F1126" s="192">
        <v>1250</v>
      </c>
      <c r="G1126" s="192">
        <v>0</v>
      </c>
      <c r="H1126" s="192" t="s">
        <v>697</v>
      </c>
      <c r="I1126" s="192" t="s">
        <v>65</v>
      </c>
      <c r="J1126" s="192">
        <v>2.500000037252903E-2</v>
      </c>
      <c r="K1126" s="192">
        <f>VLOOKUP($D1126,'RBSA Weights'!$A$2:$C$1406,3,FALSE)</f>
        <v>2079.9929999999999</v>
      </c>
    </row>
    <row r="1127" spans="1:11">
      <c r="A1127" s="192" t="s">
        <v>709</v>
      </c>
      <c r="B1127" s="192">
        <v>1</v>
      </c>
      <c r="C1127" s="192">
        <v>45322</v>
      </c>
      <c r="D1127" s="192">
        <v>11873</v>
      </c>
      <c r="E1127" s="192">
        <v>1</v>
      </c>
      <c r="F1127" s="192">
        <v>902</v>
      </c>
      <c r="G1127" s="192">
        <v>10</v>
      </c>
      <c r="H1127" s="192" t="s">
        <v>702</v>
      </c>
      <c r="I1127" s="192" t="s">
        <v>65</v>
      </c>
      <c r="J1127" s="192">
        <v>2.500000037252903E-2</v>
      </c>
      <c r="K1127" s="192">
        <f>VLOOKUP($D1127,'RBSA Weights'!$A$2:$C$1406,3,FALSE)</f>
        <v>1524.7619999999999</v>
      </c>
    </row>
    <row r="1128" spans="1:11">
      <c r="A1128" s="192" t="s">
        <v>709</v>
      </c>
      <c r="B1128" s="192">
        <v>1</v>
      </c>
      <c r="C1128" s="192">
        <v>207861</v>
      </c>
      <c r="D1128" s="192">
        <v>23666</v>
      </c>
      <c r="E1128" s="192">
        <v>1</v>
      </c>
      <c r="F1128" s="192">
        <v>1332</v>
      </c>
      <c r="G1128" s="192">
        <v>12</v>
      </c>
      <c r="H1128" s="192" t="s">
        <v>705</v>
      </c>
      <c r="I1128" s="192" t="s">
        <v>65</v>
      </c>
      <c r="J1128" s="192">
        <v>2.500000037252903E-2</v>
      </c>
      <c r="K1128" s="192">
        <f>VLOOKUP($D1128,'RBSA Weights'!$A$2:$C$1406,3,FALSE)</f>
        <v>1904.288</v>
      </c>
    </row>
    <row r="1129" spans="1:11">
      <c r="A1129" s="192" t="s">
        <v>709</v>
      </c>
      <c r="B1129" s="192">
        <v>1</v>
      </c>
      <c r="C1129" s="192">
        <v>134922</v>
      </c>
      <c r="D1129" s="192">
        <v>20748</v>
      </c>
      <c r="E1129" s="192">
        <v>1</v>
      </c>
      <c r="F1129" s="192">
        <v>2323</v>
      </c>
      <c r="G1129" s="192">
        <v>12</v>
      </c>
      <c r="H1129" s="192" t="s">
        <v>705</v>
      </c>
      <c r="I1129" s="192" t="s">
        <v>65</v>
      </c>
      <c r="J1129" s="192">
        <v>2.500000037252903E-2</v>
      </c>
      <c r="K1129" s="192">
        <f>VLOOKUP($D1129,'RBSA Weights'!$A$2:$C$1406,3,FALSE)</f>
        <v>1192.4649999999999</v>
      </c>
    </row>
    <row r="1130" spans="1:11">
      <c r="A1130" s="192" t="s">
        <v>709</v>
      </c>
      <c r="B1130" s="192">
        <v>1</v>
      </c>
      <c r="C1130" s="192">
        <v>57812</v>
      </c>
      <c r="D1130" s="192">
        <v>24488</v>
      </c>
      <c r="E1130" s="192">
        <v>1</v>
      </c>
      <c r="F1130" s="192">
        <v>2035</v>
      </c>
      <c r="G1130" s="192">
        <v>0</v>
      </c>
      <c r="H1130" s="192" t="s">
        <v>697</v>
      </c>
      <c r="I1130" s="192" t="s">
        <v>65</v>
      </c>
      <c r="J1130" s="192">
        <v>2.500000037252903E-2</v>
      </c>
      <c r="K1130" s="192">
        <f>VLOOKUP($D1130,'RBSA Weights'!$A$2:$C$1406,3,FALSE)</f>
        <v>2079.9929999999999</v>
      </c>
    </row>
    <row r="1131" spans="1:11">
      <c r="A1131" s="192" t="s">
        <v>709</v>
      </c>
      <c r="B1131" s="192">
        <v>1</v>
      </c>
      <c r="C1131" s="192">
        <v>110702</v>
      </c>
      <c r="D1131" s="192">
        <v>10322</v>
      </c>
      <c r="E1131" s="192">
        <v>1</v>
      </c>
      <c r="F1131" s="192">
        <v>1400</v>
      </c>
      <c r="G1131" s="192">
        <v>0</v>
      </c>
      <c r="H1131" s="192" t="s">
        <v>705</v>
      </c>
      <c r="I1131" s="192" t="s">
        <v>65</v>
      </c>
      <c r="J1131" s="192">
        <v>2.500000037252903E-2</v>
      </c>
      <c r="K1131" s="192">
        <f>VLOOKUP($D1131,'RBSA Weights'!$A$2:$C$1406,3,FALSE)</f>
        <v>4956.4930000000004</v>
      </c>
    </row>
    <row r="1132" spans="1:11">
      <c r="A1132" s="192" t="s">
        <v>709</v>
      </c>
      <c r="B1132" s="192">
        <v>1</v>
      </c>
      <c r="C1132" s="192">
        <v>88783</v>
      </c>
      <c r="D1132" s="192">
        <v>24671</v>
      </c>
      <c r="E1132" s="192">
        <v>1</v>
      </c>
      <c r="F1132" s="192">
        <v>1314</v>
      </c>
      <c r="G1132" s="192">
        <v>12</v>
      </c>
      <c r="H1132" s="192" t="s">
        <v>705</v>
      </c>
      <c r="I1132" s="192" t="s">
        <v>65</v>
      </c>
      <c r="J1132" s="192">
        <v>2.500000037252903E-2</v>
      </c>
      <c r="K1132" s="192">
        <f>VLOOKUP($D1132,'RBSA Weights'!$A$2:$C$1406,3,FALSE)</f>
        <v>1925.059</v>
      </c>
    </row>
    <row r="1133" spans="1:11">
      <c r="A1133" s="192" t="s">
        <v>709</v>
      </c>
      <c r="B1133" s="192">
        <v>1</v>
      </c>
      <c r="C1133" s="192">
        <v>683571</v>
      </c>
      <c r="D1133" s="192">
        <v>20775</v>
      </c>
      <c r="E1133" s="192">
        <v>1</v>
      </c>
      <c r="F1133" s="192">
        <v>1965</v>
      </c>
      <c r="G1133" s="192">
        <v>12</v>
      </c>
      <c r="H1133" s="192" t="s">
        <v>705</v>
      </c>
      <c r="I1133" s="192" t="s">
        <v>65</v>
      </c>
      <c r="J1133" s="192">
        <v>2.500000037252903E-2</v>
      </c>
      <c r="K1133" s="192">
        <f>VLOOKUP($D1133,'RBSA Weights'!$A$2:$C$1406,3,FALSE)</f>
        <v>2130.886</v>
      </c>
    </row>
    <row r="1134" spans="1:11">
      <c r="A1134" s="192" t="s">
        <v>709</v>
      </c>
      <c r="B1134" s="192">
        <v>1</v>
      </c>
      <c r="C1134" s="192">
        <v>198073</v>
      </c>
      <c r="D1134" s="192">
        <v>14222</v>
      </c>
      <c r="E1134" s="192">
        <v>1</v>
      </c>
      <c r="F1134" s="192">
        <v>1630</v>
      </c>
      <c r="G1134" s="192">
        <v>12</v>
      </c>
      <c r="H1134" s="192" t="s">
        <v>705</v>
      </c>
      <c r="I1134" s="192" t="s">
        <v>65</v>
      </c>
      <c r="J1134" s="192">
        <v>2.500000037252903E-2</v>
      </c>
      <c r="K1134" s="192">
        <f>VLOOKUP($D1134,'RBSA Weights'!$A$2:$C$1406,3,FALSE)</f>
        <v>1524.7619999999999</v>
      </c>
    </row>
    <row r="1135" spans="1:11">
      <c r="A1135" s="192" t="s">
        <v>709</v>
      </c>
      <c r="B1135" s="192">
        <v>1</v>
      </c>
      <c r="C1135" s="192">
        <v>87393</v>
      </c>
      <c r="D1135" s="192">
        <v>23846</v>
      </c>
      <c r="E1135" s="192">
        <v>1</v>
      </c>
      <c r="F1135" s="192">
        <v>996</v>
      </c>
      <c r="G1135" s="192">
        <v>12</v>
      </c>
      <c r="H1135" s="192" t="s">
        <v>697</v>
      </c>
      <c r="I1135" s="192" t="s">
        <v>65</v>
      </c>
      <c r="J1135" s="192">
        <v>2.500000037252903E-2</v>
      </c>
      <c r="K1135" s="192">
        <f>VLOOKUP($D1135,'RBSA Weights'!$A$2:$C$1406,3,FALSE)</f>
        <v>1144.6790000000001</v>
      </c>
    </row>
    <row r="1136" spans="1:11">
      <c r="A1136" s="192" t="s">
        <v>709</v>
      </c>
      <c r="B1136" s="192">
        <v>1</v>
      </c>
      <c r="C1136" s="192">
        <v>111426</v>
      </c>
      <c r="D1136" s="192">
        <v>21967</v>
      </c>
      <c r="E1136" s="192">
        <v>1</v>
      </c>
      <c r="F1136" s="192">
        <v>2926</v>
      </c>
      <c r="G1136" s="192">
        <v>20</v>
      </c>
      <c r="H1136" s="192" t="s">
        <v>705</v>
      </c>
      <c r="I1136" s="192" t="s">
        <v>65</v>
      </c>
      <c r="J1136" s="192">
        <v>2.500000037252903E-2</v>
      </c>
      <c r="K1136" s="192">
        <f>VLOOKUP($D1136,'RBSA Weights'!$A$2:$C$1406,3,FALSE)</f>
        <v>1904.288</v>
      </c>
    </row>
    <row r="1137" spans="1:11">
      <c r="A1137" s="192" t="s">
        <v>709</v>
      </c>
      <c r="B1137" s="192">
        <v>1</v>
      </c>
      <c r="C1137" s="192">
        <v>160807</v>
      </c>
      <c r="D1137" s="192">
        <v>10795</v>
      </c>
      <c r="E1137" s="192">
        <v>1</v>
      </c>
      <c r="F1137" s="192">
        <v>988</v>
      </c>
      <c r="G1137" s="192">
        <v>0</v>
      </c>
      <c r="H1137" s="192" t="s">
        <v>705</v>
      </c>
      <c r="I1137" s="192" t="s">
        <v>65</v>
      </c>
      <c r="J1137" s="192">
        <v>2.500000037252903E-2</v>
      </c>
      <c r="K1137" s="192">
        <f>VLOOKUP($D1137,'RBSA Weights'!$A$2:$C$1406,3,FALSE)</f>
        <v>6932.7380000000003</v>
      </c>
    </row>
    <row r="1138" spans="1:11">
      <c r="A1138" s="192" t="s">
        <v>709</v>
      </c>
      <c r="B1138" s="192">
        <v>1</v>
      </c>
      <c r="C1138" s="192">
        <v>61143</v>
      </c>
      <c r="D1138" s="192">
        <v>12271</v>
      </c>
      <c r="E1138" s="192">
        <v>1</v>
      </c>
      <c r="F1138" s="192">
        <v>680</v>
      </c>
      <c r="G1138" s="192">
        <v>10</v>
      </c>
      <c r="H1138" s="192" t="s">
        <v>705</v>
      </c>
      <c r="I1138" s="192" t="s">
        <v>65</v>
      </c>
      <c r="J1138" s="192">
        <v>2.500000037252903E-2</v>
      </c>
      <c r="K1138" s="192">
        <f>VLOOKUP($D1138,'RBSA Weights'!$A$2:$C$1406,3,FALSE)</f>
        <v>1524.7619999999999</v>
      </c>
    </row>
    <row r="1139" spans="1:11">
      <c r="A1139" s="192" t="s">
        <v>709</v>
      </c>
      <c r="B1139" s="192">
        <v>1</v>
      </c>
      <c r="C1139" s="192">
        <v>98820</v>
      </c>
      <c r="D1139" s="192">
        <v>11194</v>
      </c>
      <c r="E1139" s="192">
        <v>1</v>
      </c>
      <c r="F1139" s="192">
        <v>832</v>
      </c>
      <c r="G1139" s="192">
        <v>12</v>
      </c>
      <c r="H1139" s="192" t="s">
        <v>698</v>
      </c>
      <c r="I1139" s="192" t="s">
        <v>65</v>
      </c>
      <c r="J1139" s="192">
        <v>2.500000037252903E-2</v>
      </c>
      <c r="K1139" s="192">
        <f>VLOOKUP($D1139,'RBSA Weights'!$A$2:$C$1406,3,FALSE)</f>
        <v>4956.4930000000004</v>
      </c>
    </row>
    <row r="1140" spans="1:11">
      <c r="A1140" s="192" t="s">
        <v>709</v>
      </c>
      <c r="B1140" s="192">
        <v>1</v>
      </c>
      <c r="C1140" s="192">
        <v>72317</v>
      </c>
      <c r="D1140" s="192">
        <v>13347</v>
      </c>
      <c r="E1140" s="192">
        <v>1</v>
      </c>
      <c r="F1140" s="192">
        <v>2394</v>
      </c>
      <c r="G1140" s="192">
        <v>0</v>
      </c>
      <c r="H1140" s="192" t="s">
        <v>705</v>
      </c>
      <c r="I1140" s="192" t="s">
        <v>65</v>
      </c>
      <c r="J1140" s="192">
        <v>2.500000037252903E-2</v>
      </c>
      <c r="K1140" s="192">
        <f>VLOOKUP($D1140,'RBSA Weights'!$A$2:$C$1406,3,FALSE)</f>
        <v>2003.7159999999999</v>
      </c>
    </row>
    <row r="1141" spans="1:11">
      <c r="A1141" s="192" t="s">
        <v>709</v>
      </c>
      <c r="B1141" s="192">
        <v>1</v>
      </c>
      <c r="C1141" s="192">
        <v>42998</v>
      </c>
      <c r="D1141" s="192">
        <v>10369</v>
      </c>
      <c r="E1141" s="192">
        <v>1</v>
      </c>
      <c r="F1141" s="192">
        <v>576</v>
      </c>
      <c r="G1141" s="192">
        <v>10</v>
      </c>
      <c r="H1141" s="192" t="s">
        <v>705</v>
      </c>
      <c r="I1141" s="192" t="s">
        <v>65</v>
      </c>
      <c r="J1141" s="192">
        <v>2.500000037252903E-2</v>
      </c>
      <c r="K1141" s="192">
        <f>VLOOKUP($D1141,'RBSA Weights'!$A$2:$C$1406,3,FALSE)</f>
        <v>1524.7619999999999</v>
      </c>
    </row>
    <row r="1142" spans="1:11">
      <c r="A1142" s="192" t="s">
        <v>709</v>
      </c>
      <c r="B1142" s="192">
        <v>1</v>
      </c>
      <c r="C1142" s="192">
        <v>219055</v>
      </c>
      <c r="D1142" s="192">
        <v>13336</v>
      </c>
      <c r="E1142" s="192">
        <v>1</v>
      </c>
      <c r="F1142" s="192">
        <v>690</v>
      </c>
      <c r="G1142" s="192">
        <v>50</v>
      </c>
      <c r="H1142" s="192" t="s">
        <v>705</v>
      </c>
      <c r="I1142" s="192" t="s">
        <v>65</v>
      </c>
      <c r="J1142" s="192">
        <v>2.500000037252903E-2</v>
      </c>
      <c r="K1142" s="192">
        <f>VLOOKUP($D1142,'RBSA Weights'!$A$2:$C$1406,3,FALSE)</f>
        <v>6932.7380000000003</v>
      </c>
    </row>
    <row r="1143" spans="1:11">
      <c r="A1143" s="192" t="s">
        <v>709</v>
      </c>
      <c r="B1143" s="192">
        <v>1</v>
      </c>
      <c r="C1143" s="192">
        <v>82879</v>
      </c>
      <c r="D1143" s="192">
        <v>21293</v>
      </c>
      <c r="E1143" s="192">
        <v>1</v>
      </c>
      <c r="F1143" s="192">
        <v>1240</v>
      </c>
      <c r="G1143" s="192">
        <v>10</v>
      </c>
      <c r="H1143" s="192" t="s">
        <v>699</v>
      </c>
      <c r="I1143" s="192" t="s">
        <v>65</v>
      </c>
      <c r="J1143" s="192">
        <v>2.500000037252903E-2</v>
      </c>
      <c r="K1143" s="192">
        <f>VLOOKUP($D1143,'RBSA Weights'!$A$2:$C$1406,3,FALSE)</f>
        <v>3785.7640000000001</v>
      </c>
    </row>
    <row r="1144" spans="1:11">
      <c r="A1144" s="192" t="s">
        <v>709</v>
      </c>
      <c r="B1144" s="192">
        <v>1</v>
      </c>
      <c r="C1144" s="192">
        <v>170847</v>
      </c>
      <c r="D1144" s="192">
        <v>20180</v>
      </c>
      <c r="E1144" s="192">
        <v>1</v>
      </c>
      <c r="F1144" s="192">
        <v>1608</v>
      </c>
      <c r="G1144" s="192">
        <v>12</v>
      </c>
      <c r="H1144" s="192" t="s">
        <v>700</v>
      </c>
      <c r="I1144" s="192" t="s">
        <v>65</v>
      </c>
      <c r="J1144" s="192">
        <v>2.500000037252903E-2</v>
      </c>
      <c r="K1144" s="192">
        <f>VLOOKUP($D1144,'RBSA Weights'!$A$2:$C$1406,3,FALSE)</f>
        <v>1612.692</v>
      </c>
    </row>
    <row r="1145" spans="1:11">
      <c r="A1145" s="192" t="s">
        <v>709</v>
      </c>
      <c r="B1145" s="192">
        <v>1</v>
      </c>
      <c r="C1145" s="192">
        <v>260520</v>
      </c>
      <c r="D1145" s="192">
        <v>22284</v>
      </c>
      <c r="E1145" s="192">
        <v>1</v>
      </c>
      <c r="F1145" s="192">
        <v>2434</v>
      </c>
      <c r="G1145" s="192">
        <v>12</v>
      </c>
      <c r="H1145" s="192" t="s">
        <v>705</v>
      </c>
      <c r="I1145" s="192" t="s">
        <v>65</v>
      </c>
      <c r="J1145" s="192">
        <v>2.500000037252903E-2</v>
      </c>
      <c r="K1145" s="192">
        <f>VLOOKUP($D1145,'RBSA Weights'!$A$2:$C$1406,3,FALSE)</f>
        <v>1144.6790000000001</v>
      </c>
    </row>
    <row r="1146" spans="1:11">
      <c r="A1146" s="192" t="s">
        <v>709</v>
      </c>
      <c r="B1146" s="192">
        <v>1</v>
      </c>
      <c r="C1146" s="192">
        <v>209484</v>
      </c>
      <c r="D1146" s="192">
        <v>10244</v>
      </c>
      <c r="E1146" s="192">
        <v>1</v>
      </c>
      <c r="F1146" s="192">
        <v>688</v>
      </c>
      <c r="G1146" s="192">
        <v>49</v>
      </c>
      <c r="H1146" s="192" t="s">
        <v>705</v>
      </c>
      <c r="I1146" s="192" t="s">
        <v>65</v>
      </c>
      <c r="J1146" s="192">
        <v>2.500000037252903E-2</v>
      </c>
      <c r="K1146" s="192">
        <f>VLOOKUP($D1146,'RBSA Weights'!$A$2:$C$1406,3,FALSE)</f>
        <v>6932.7380000000003</v>
      </c>
    </row>
    <row r="1147" spans="1:11">
      <c r="A1147" s="192" t="s">
        <v>709</v>
      </c>
      <c r="B1147" s="192">
        <v>1</v>
      </c>
      <c r="C1147" s="192">
        <v>54637</v>
      </c>
      <c r="D1147" s="192">
        <v>12105</v>
      </c>
      <c r="E1147" s="192">
        <v>1</v>
      </c>
      <c r="F1147" s="192">
        <v>2200</v>
      </c>
      <c r="G1147" s="192">
        <v>10</v>
      </c>
      <c r="H1147" s="192" t="s">
        <v>705</v>
      </c>
      <c r="I1147" s="192" t="s">
        <v>65</v>
      </c>
      <c r="J1147" s="192">
        <v>2.500000037252903E-2</v>
      </c>
      <c r="K1147" s="192">
        <f>VLOOKUP($D1147,'RBSA Weights'!$A$2:$C$1406,3,FALSE)</f>
        <v>1188.027</v>
      </c>
    </row>
    <row r="1148" spans="1:11">
      <c r="A1148" s="192" t="s">
        <v>709</v>
      </c>
      <c r="B1148" s="192">
        <v>1</v>
      </c>
      <c r="C1148" s="192">
        <v>226902</v>
      </c>
      <c r="D1148" s="192">
        <v>13113</v>
      </c>
      <c r="E1148" s="192">
        <v>1</v>
      </c>
      <c r="F1148" s="192">
        <v>700</v>
      </c>
      <c r="G1148" s="192">
        <v>0</v>
      </c>
      <c r="H1148" s="192" t="s">
        <v>697</v>
      </c>
      <c r="I1148" s="192" t="s">
        <v>65</v>
      </c>
      <c r="J1148" s="192">
        <v>2.500000037252903E-2</v>
      </c>
      <c r="K1148" s="192">
        <f>VLOOKUP($D1148,'RBSA Weights'!$A$2:$C$1406,3,FALSE)</f>
        <v>1464.694</v>
      </c>
    </row>
    <row r="1149" spans="1:11">
      <c r="A1149" s="192" t="s">
        <v>709</v>
      </c>
      <c r="B1149" s="192">
        <v>1</v>
      </c>
      <c r="C1149" s="192">
        <v>726949</v>
      </c>
      <c r="D1149" s="192">
        <v>12190</v>
      </c>
      <c r="E1149" s="192">
        <v>1</v>
      </c>
      <c r="F1149" s="192">
        <v>617</v>
      </c>
      <c r="G1149" s="192">
        <v>10</v>
      </c>
      <c r="H1149" s="192" t="s">
        <v>705</v>
      </c>
      <c r="I1149" s="192" t="s">
        <v>65</v>
      </c>
      <c r="J1149" s="192">
        <v>2.500000037252903E-2</v>
      </c>
      <c r="K1149" s="192">
        <f>VLOOKUP($D1149,'RBSA Weights'!$A$2:$C$1406,3,FALSE)</f>
        <v>4956.4930000000004</v>
      </c>
    </row>
    <row r="1150" spans="1:11">
      <c r="A1150" s="192" t="s">
        <v>709</v>
      </c>
      <c r="B1150" s="192">
        <v>1</v>
      </c>
      <c r="C1150" s="192">
        <v>784415</v>
      </c>
      <c r="D1150" s="192">
        <v>21899</v>
      </c>
      <c r="E1150" s="192">
        <v>1</v>
      </c>
      <c r="F1150" s="192">
        <v>1980</v>
      </c>
      <c r="G1150" s="192">
        <v>38</v>
      </c>
      <c r="H1150" s="192" t="s">
        <v>705</v>
      </c>
      <c r="I1150" s="192" t="s">
        <v>65</v>
      </c>
      <c r="J1150" s="192">
        <v>2.500000037252903E-2</v>
      </c>
      <c r="K1150" s="192">
        <f>VLOOKUP($D1150,'RBSA Weights'!$A$2:$C$1406,3,FALSE)</f>
        <v>8264.9449999999997</v>
      </c>
    </row>
    <row r="1151" spans="1:11">
      <c r="A1151" s="192" t="s">
        <v>709</v>
      </c>
      <c r="B1151" s="192">
        <v>1</v>
      </c>
      <c r="C1151" s="192">
        <v>81481</v>
      </c>
      <c r="D1151" s="192">
        <v>20414</v>
      </c>
      <c r="E1151" s="192">
        <v>1</v>
      </c>
      <c r="F1151" s="192">
        <v>900</v>
      </c>
      <c r="G1151" s="192">
        <v>0</v>
      </c>
      <c r="H1151" s="192" t="s">
        <v>700</v>
      </c>
      <c r="I1151" s="192" t="s">
        <v>65</v>
      </c>
      <c r="J1151" s="192">
        <v>2.500000037252903E-2</v>
      </c>
      <c r="K1151" s="192">
        <f>VLOOKUP($D1151,'RBSA Weights'!$A$2:$C$1406,3,FALSE)</f>
        <v>2079.9929999999999</v>
      </c>
    </row>
    <row r="1152" spans="1:11">
      <c r="A1152" s="192" t="s">
        <v>709</v>
      </c>
      <c r="B1152" s="192">
        <v>1</v>
      </c>
      <c r="C1152" s="192">
        <v>101179</v>
      </c>
      <c r="D1152" s="192">
        <v>22557</v>
      </c>
      <c r="E1152" s="192">
        <v>1</v>
      </c>
      <c r="F1152" s="192">
        <v>1530</v>
      </c>
      <c r="G1152" s="192">
        <v>12</v>
      </c>
      <c r="H1152" s="192" t="s">
        <v>705</v>
      </c>
      <c r="I1152" s="192" t="s">
        <v>65</v>
      </c>
      <c r="J1152" s="192">
        <v>2.500000037252903E-2</v>
      </c>
      <c r="K1152" s="192">
        <f>VLOOKUP($D1152,'RBSA Weights'!$A$2:$C$1406,3,FALSE)</f>
        <v>2079.9929999999999</v>
      </c>
    </row>
    <row r="1153" spans="1:11">
      <c r="A1153" s="192" t="s">
        <v>709</v>
      </c>
      <c r="B1153" s="192">
        <v>1</v>
      </c>
      <c r="C1153" s="192">
        <v>678776</v>
      </c>
      <c r="D1153" s="192">
        <v>10490</v>
      </c>
      <c r="E1153" s="192">
        <v>1</v>
      </c>
      <c r="F1153" s="192">
        <v>1208</v>
      </c>
      <c r="G1153" s="192">
        <v>0</v>
      </c>
      <c r="H1153" s="192" t="s">
        <v>700</v>
      </c>
      <c r="I1153" s="192" t="s">
        <v>65</v>
      </c>
      <c r="J1153" s="192">
        <v>2.500000037252903E-2</v>
      </c>
      <c r="K1153" s="192">
        <f>VLOOKUP($D1153,'RBSA Weights'!$A$2:$C$1406,3,FALSE)</f>
        <v>4956.4930000000004</v>
      </c>
    </row>
    <row r="1154" spans="1:11">
      <c r="A1154" s="192" t="s">
        <v>709</v>
      </c>
      <c r="B1154" s="192">
        <v>1</v>
      </c>
      <c r="C1154" s="192">
        <v>135622</v>
      </c>
      <c r="D1154" s="192">
        <v>22375</v>
      </c>
      <c r="E1154" s="192">
        <v>1</v>
      </c>
      <c r="F1154" s="192">
        <v>2030</v>
      </c>
      <c r="G1154" s="192">
        <v>0</v>
      </c>
      <c r="H1154" s="192" t="s">
        <v>702</v>
      </c>
      <c r="I1154" s="192" t="s">
        <v>65</v>
      </c>
      <c r="J1154" s="192">
        <v>2.500000037252903E-2</v>
      </c>
      <c r="K1154" s="192">
        <f>VLOOKUP($D1154,'RBSA Weights'!$A$2:$C$1406,3,FALSE)</f>
        <v>1612.692</v>
      </c>
    </row>
    <row r="1155" spans="1:11">
      <c r="A1155" s="192" t="s">
        <v>709</v>
      </c>
      <c r="B1155" s="192">
        <v>1</v>
      </c>
      <c r="C1155" s="192">
        <v>51475</v>
      </c>
      <c r="D1155" s="192">
        <v>12033</v>
      </c>
      <c r="E1155" s="192">
        <v>1</v>
      </c>
      <c r="F1155" s="192">
        <v>979</v>
      </c>
      <c r="G1155" s="192">
        <v>12</v>
      </c>
      <c r="H1155" s="192" t="s">
        <v>705</v>
      </c>
      <c r="I1155" s="192" t="s">
        <v>65</v>
      </c>
      <c r="J1155" s="192">
        <v>2.500000037252903E-2</v>
      </c>
      <c r="K1155" s="192">
        <f>VLOOKUP($D1155,'RBSA Weights'!$A$2:$C$1406,3,FALSE)</f>
        <v>1188.027</v>
      </c>
    </row>
    <row r="1156" spans="1:11">
      <c r="A1156" s="192" t="s">
        <v>709</v>
      </c>
      <c r="B1156" s="192">
        <v>1</v>
      </c>
      <c r="C1156" s="192">
        <v>115371</v>
      </c>
      <c r="D1156" s="192">
        <v>21889</v>
      </c>
      <c r="E1156" s="192">
        <v>1</v>
      </c>
      <c r="F1156" s="192">
        <v>1836</v>
      </c>
      <c r="G1156" s="192">
        <v>13</v>
      </c>
      <c r="H1156" s="192" t="s">
        <v>699</v>
      </c>
      <c r="I1156" s="192" t="s">
        <v>65</v>
      </c>
      <c r="J1156" s="192">
        <v>2.500000037252903E-2</v>
      </c>
      <c r="K1156" s="192">
        <f>VLOOKUP($D1156,'RBSA Weights'!$A$2:$C$1406,3,FALSE)</f>
        <v>1925.059</v>
      </c>
    </row>
    <row r="1157" spans="1:11">
      <c r="A1157" s="192" t="s">
        <v>709</v>
      </c>
      <c r="B1157" s="192">
        <v>1</v>
      </c>
      <c r="C1157" s="192">
        <v>164288</v>
      </c>
      <c r="D1157" s="192">
        <v>22902</v>
      </c>
      <c r="E1157" s="192">
        <v>1</v>
      </c>
      <c r="F1157" s="192">
        <v>912</v>
      </c>
      <c r="G1157" s="192">
        <v>15</v>
      </c>
      <c r="H1157" s="192" t="s">
        <v>697</v>
      </c>
      <c r="I1157" s="192" t="s">
        <v>65</v>
      </c>
      <c r="J1157" s="192">
        <v>2.500000037252903E-2</v>
      </c>
      <c r="K1157" s="192">
        <f>VLOOKUP($D1157,'RBSA Weights'!$A$2:$C$1406,3,FALSE)</f>
        <v>2130.886</v>
      </c>
    </row>
    <row r="1158" spans="1:11">
      <c r="A1158" s="192" t="s">
        <v>709</v>
      </c>
      <c r="B1158" s="192">
        <v>1</v>
      </c>
      <c r="C1158" s="192">
        <v>125935</v>
      </c>
      <c r="D1158" s="192">
        <v>11233</v>
      </c>
      <c r="E1158" s="192">
        <v>1</v>
      </c>
      <c r="F1158" s="192">
        <v>1145</v>
      </c>
      <c r="G1158" s="192">
        <v>0</v>
      </c>
      <c r="H1158" s="192" t="s">
        <v>705</v>
      </c>
      <c r="I1158" s="192" t="s">
        <v>65</v>
      </c>
      <c r="J1158" s="192">
        <v>2.500000037252903E-2</v>
      </c>
      <c r="K1158" s="192">
        <f>VLOOKUP($D1158,'RBSA Weights'!$A$2:$C$1406,3,FALSE)</f>
        <v>4956.4930000000004</v>
      </c>
    </row>
    <row r="1159" spans="1:11">
      <c r="A1159" s="192" t="s">
        <v>709</v>
      </c>
      <c r="B1159" s="192">
        <v>1</v>
      </c>
      <c r="C1159" s="192">
        <v>241580</v>
      </c>
      <c r="D1159" s="192">
        <v>21405</v>
      </c>
      <c r="E1159" s="192">
        <v>1</v>
      </c>
      <c r="F1159" s="192">
        <v>2459</v>
      </c>
      <c r="G1159" s="192">
        <v>12</v>
      </c>
      <c r="H1159" s="192" t="s">
        <v>705</v>
      </c>
      <c r="I1159" s="192" t="s">
        <v>65</v>
      </c>
      <c r="J1159" s="192">
        <v>2.500000037252903E-2</v>
      </c>
      <c r="K1159" s="192">
        <f>VLOOKUP($D1159,'RBSA Weights'!$A$2:$C$1406,3,FALSE)</f>
        <v>12271.31</v>
      </c>
    </row>
    <row r="1160" spans="1:11">
      <c r="A1160" s="192" t="s">
        <v>709</v>
      </c>
      <c r="B1160" s="192">
        <v>1</v>
      </c>
      <c r="C1160" s="192">
        <v>87060</v>
      </c>
      <c r="D1160" s="192">
        <v>24686</v>
      </c>
      <c r="E1160" s="192">
        <v>1</v>
      </c>
      <c r="F1160" s="192">
        <v>1200</v>
      </c>
      <c r="G1160" s="192">
        <v>15</v>
      </c>
      <c r="H1160" s="192" t="s">
        <v>697</v>
      </c>
      <c r="I1160" s="192" t="s">
        <v>65</v>
      </c>
      <c r="J1160" s="192">
        <v>2.500000037252903E-2</v>
      </c>
      <c r="K1160" s="192">
        <f>VLOOKUP($D1160,'RBSA Weights'!$A$2:$C$1406,3,FALSE)</f>
        <v>1144.6790000000001</v>
      </c>
    </row>
    <row r="1161" spans="1:11">
      <c r="A1161" s="192" t="s">
        <v>709</v>
      </c>
      <c r="B1161" s="192">
        <v>1</v>
      </c>
      <c r="C1161" s="192">
        <v>221081</v>
      </c>
      <c r="D1161" s="192">
        <v>24785</v>
      </c>
      <c r="E1161" s="192">
        <v>1</v>
      </c>
      <c r="F1161" s="192">
        <v>880</v>
      </c>
      <c r="G1161" s="192">
        <v>0</v>
      </c>
      <c r="H1161" s="192" t="s">
        <v>700</v>
      </c>
      <c r="I1161" s="192" t="s">
        <v>65</v>
      </c>
      <c r="J1161" s="192">
        <v>2.500000037252903E-2</v>
      </c>
      <c r="K1161" s="192">
        <f>VLOOKUP($D1161,'RBSA Weights'!$A$2:$C$1406,3,FALSE)</f>
        <v>1904.288</v>
      </c>
    </row>
    <row r="1162" spans="1:11">
      <c r="A1162" s="192" t="s">
        <v>709</v>
      </c>
      <c r="B1162" s="192">
        <v>1</v>
      </c>
      <c r="C1162" s="192">
        <v>163547</v>
      </c>
      <c r="D1162" s="192">
        <v>10809</v>
      </c>
      <c r="E1162" s="192">
        <v>1</v>
      </c>
      <c r="F1162" s="192">
        <v>766</v>
      </c>
      <c r="G1162" s="192">
        <v>0</v>
      </c>
      <c r="H1162" s="192" t="s">
        <v>700</v>
      </c>
      <c r="I1162" s="192" t="s">
        <v>65</v>
      </c>
      <c r="J1162" s="192">
        <v>2.500000037252903E-2</v>
      </c>
      <c r="K1162" s="192">
        <f>VLOOKUP($D1162,'RBSA Weights'!$A$2:$C$1406,3,FALSE)</f>
        <v>4956.4930000000004</v>
      </c>
    </row>
    <row r="1163" spans="1:11">
      <c r="A1163" s="192" t="s">
        <v>709</v>
      </c>
      <c r="B1163" s="192">
        <v>1</v>
      </c>
      <c r="C1163" s="192">
        <v>120761</v>
      </c>
      <c r="D1163" s="192">
        <v>12018</v>
      </c>
      <c r="E1163" s="192">
        <v>1</v>
      </c>
      <c r="F1163" s="192">
        <v>1555</v>
      </c>
      <c r="G1163" s="192">
        <v>10</v>
      </c>
      <c r="H1163" s="192" t="s">
        <v>705</v>
      </c>
      <c r="I1163" s="192" t="s">
        <v>65</v>
      </c>
      <c r="J1163" s="192">
        <v>2.500000037252903E-2</v>
      </c>
      <c r="K1163" s="192">
        <f>VLOOKUP($D1163,'RBSA Weights'!$A$2:$C$1406,3,FALSE)</f>
        <v>6932.7380000000003</v>
      </c>
    </row>
    <row r="1164" spans="1:11">
      <c r="A1164" s="192" t="s">
        <v>709</v>
      </c>
      <c r="B1164" s="192">
        <v>1</v>
      </c>
      <c r="C1164" s="192">
        <v>140860</v>
      </c>
      <c r="D1164" s="192">
        <v>11414</v>
      </c>
      <c r="E1164" s="192">
        <v>1</v>
      </c>
      <c r="F1164" s="192">
        <v>1440</v>
      </c>
      <c r="G1164" s="192">
        <v>6</v>
      </c>
      <c r="H1164" s="192" t="s">
        <v>702</v>
      </c>
      <c r="I1164" s="192" t="s">
        <v>65</v>
      </c>
      <c r="J1164" s="192">
        <v>2.500000037252903E-2</v>
      </c>
      <c r="K1164" s="192">
        <f>VLOOKUP($D1164,'RBSA Weights'!$A$2:$C$1406,3,FALSE)</f>
        <v>4956.4930000000004</v>
      </c>
    </row>
    <row r="1165" spans="1:11">
      <c r="A1165" s="192" t="s">
        <v>709</v>
      </c>
      <c r="B1165" s="192">
        <v>1</v>
      </c>
      <c r="C1165" s="192">
        <v>38948</v>
      </c>
      <c r="D1165" s="192">
        <v>10413</v>
      </c>
      <c r="E1165" s="192">
        <v>1</v>
      </c>
      <c r="F1165" s="192">
        <v>921</v>
      </c>
      <c r="G1165" s="192">
        <v>10</v>
      </c>
      <c r="H1165" s="192" t="s">
        <v>702</v>
      </c>
      <c r="I1165" s="192" t="s">
        <v>65</v>
      </c>
      <c r="J1165" s="192">
        <v>2.500000037252903E-2</v>
      </c>
      <c r="K1165" s="192">
        <f>VLOOKUP($D1165,'RBSA Weights'!$A$2:$C$1406,3,FALSE)</f>
        <v>1524.7619999999999</v>
      </c>
    </row>
    <row r="1166" spans="1:11">
      <c r="A1166" s="192" t="s">
        <v>709</v>
      </c>
      <c r="B1166" s="192">
        <v>1</v>
      </c>
      <c r="C1166" s="192">
        <v>162383</v>
      </c>
      <c r="D1166" s="192">
        <v>23314</v>
      </c>
      <c r="E1166" s="192">
        <v>1</v>
      </c>
      <c r="F1166" s="192">
        <v>1458</v>
      </c>
      <c r="G1166" s="192">
        <v>15</v>
      </c>
      <c r="H1166" s="192" t="s">
        <v>702</v>
      </c>
      <c r="I1166" s="192" t="s">
        <v>65</v>
      </c>
      <c r="J1166" s="192">
        <v>2.500000037252903E-2</v>
      </c>
      <c r="K1166" s="192">
        <f>VLOOKUP($D1166,'RBSA Weights'!$A$2:$C$1406,3,FALSE)</f>
        <v>2130.886</v>
      </c>
    </row>
    <row r="1167" spans="1:11">
      <c r="A1167" s="192" t="s">
        <v>709</v>
      </c>
      <c r="B1167" s="192">
        <v>1</v>
      </c>
      <c r="C1167" s="192">
        <v>117162</v>
      </c>
      <c r="D1167" s="192">
        <v>24706</v>
      </c>
      <c r="E1167" s="192">
        <v>1</v>
      </c>
      <c r="F1167" s="192">
        <v>414</v>
      </c>
      <c r="G1167" s="192">
        <v>50</v>
      </c>
      <c r="H1167" s="192" t="s">
        <v>697</v>
      </c>
      <c r="I1167" s="192" t="s">
        <v>65</v>
      </c>
      <c r="J1167" s="192">
        <v>2.500000037252903E-2</v>
      </c>
      <c r="K1167" s="192">
        <f>VLOOKUP($D1167,'RBSA Weights'!$A$2:$C$1406,3,FALSE)</f>
        <v>1612.692</v>
      </c>
    </row>
    <row r="1168" spans="1:11">
      <c r="A1168" s="192" t="s">
        <v>709</v>
      </c>
      <c r="B1168" s="192">
        <v>1</v>
      </c>
      <c r="C1168" s="192">
        <v>88237</v>
      </c>
      <c r="D1168" s="192">
        <v>22005</v>
      </c>
      <c r="E1168" s="192">
        <v>1</v>
      </c>
      <c r="F1168" s="192">
        <v>2200</v>
      </c>
      <c r="G1168" s="192">
        <v>10</v>
      </c>
      <c r="H1168" s="192" t="s">
        <v>705</v>
      </c>
      <c r="I1168" s="192" t="s">
        <v>65</v>
      </c>
      <c r="J1168" s="192">
        <v>2.500000037252903E-2</v>
      </c>
      <c r="K1168" s="192">
        <f>VLOOKUP($D1168,'RBSA Weights'!$A$2:$C$1406,3,FALSE)</f>
        <v>1144.6790000000001</v>
      </c>
    </row>
    <row r="1169" spans="1:11">
      <c r="A1169" s="192" t="s">
        <v>709</v>
      </c>
      <c r="B1169" s="192">
        <v>1</v>
      </c>
      <c r="C1169" s="192">
        <v>235477</v>
      </c>
      <c r="D1169" s="192">
        <v>24203</v>
      </c>
      <c r="E1169" s="192">
        <v>1</v>
      </c>
      <c r="F1169" s="192">
        <v>1008</v>
      </c>
      <c r="G1169" s="192">
        <v>12</v>
      </c>
      <c r="H1169" s="192" t="s">
        <v>705</v>
      </c>
      <c r="I1169" s="192" t="s">
        <v>65</v>
      </c>
      <c r="J1169" s="192">
        <v>2.500000037252903E-2</v>
      </c>
      <c r="K1169" s="192">
        <f>VLOOKUP($D1169,'RBSA Weights'!$A$2:$C$1406,3,FALSE)</f>
        <v>1904.288</v>
      </c>
    </row>
    <row r="1170" spans="1:11">
      <c r="A1170" s="192" t="s">
        <v>709</v>
      </c>
      <c r="B1170" s="192">
        <v>1</v>
      </c>
      <c r="C1170" s="192">
        <v>107401</v>
      </c>
      <c r="D1170" s="192">
        <v>23913</v>
      </c>
      <c r="E1170" s="192">
        <v>1</v>
      </c>
      <c r="F1170" s="192">
        <v>900</v>
      </c>
      <c r="G1170" s="192">
        <v>0</v>
      </c>
      <c r="H1170" s="192" t="s">
        <v>705</v>
      </c>
      <c r="I1170" s="192" t="s">
        <v>65</v>
      </c>
      <c r="J1170" s="192">
        <v>2.500000037252903E-2</v>
      </c>
      <c r="K1170" s="192">
        <f>VLOOKUP($D1170,'RBSA Weights'!$A$2:$C$1406,3,FALSE)</f>
        <v>2079.9929999999999</v>
      </c>
    </row>
    <row r="1171" spans="1:11">
      <c r="A1171" s="192" t="s">
        <v>709</v>
      </c>
      <c r="B1171" s="192">
        <v>1</v>
      </c>
      <c r="C1171" s="192">
        <v>690065</v>
      </c>
      <c r="D1171" s="192">
        <v>24310</v>
      </c>
      <c r="E1171" s="192">
        <v>1</v>
      </c>
      <c r="F1171" s="192">
        <v>1442</v>
      </c>
      <c r="G1171" s="192">
        <v>12</v>
      </c>
      <c r="H1171" s="192" t="s">
        <v>705</v>
      </c>
      <c r="I1171" s="192" t="s">
        <v>65</v>
      </c>
      <c r="J1171" s="192">
        <v>2.500000037252903E-2</v>
      </c>
      <c r="K1171" s="192">
        <f>VLOOKUP($D1171,'RBSA Weights'!$A$2:$C$1406,3,FALSE)</f>
        <v>1904.288</v>
      </c>
    </row>
    <row r="1172" spans="1:11">
      <c r="A1172" s="192" t="s">
        <v>709</v>
      </c>
      <c r="B1172" s="192">
        <v>1</v>
      </c>
      <c r="C1172" s="192">
        <v>216191</v>
      </c>
      <c r="D1172" s="192">
        <v>10713</v>
      </c>
      <c r="E1172" s="192">
        <v>1</v>
      </c>
      <c r="F1172" s="192">
        <v>2992</v>
      </c>
      <c r="G1172" s="192">
        <v>12</v>
      </c>
      <c r="H1172" s="192" t="s">
        <v>705</v>
      </c>
      <c r="I1172" s="192" t="s">
        <v>65</v>
      </c>
      <c r="J1172" s="192">
        <v>2.500000037252903E-2</v>
      </c>
      <c r="K1172" s="192">
        <f>VLOOKUP($D1172,'RBSA Weights'!$A$2:$C$1406,3,FALSE)</f>
        <v>6932.7380000000003</v>
      </c>
    </row>
    <row r="1173" spans="1:11">
      <c r="A1173" s="192" t="s">
        <v>709</v>
      </c>
      <c r="B1173" s="192">
        <v>1</v>
      </c>
      <c r="C1173" s="192">
        <v>207110</v>
      </c>
      <c r="D1173" s="192">
        <v>12572</v>
      </c>
      <c r="E1173" s="192">
        <v>1</v>
      </c>
      <c r="F1173" s="192">
        <v>425</v>
      </c>
      <c r="G1173" s="192">
        <v>49</v>
      </c>
      <c r="H1173" s="192" t="s">
        <v>700</v>
      </c>
      <c r="I1173" s="192" t="s">
        <v>65</v>
      </c>
      <c r="J1173" s="192">
        <v>2.500000037252903E-2</v>
      </c>
      <c r="K1173" s="192">
        <f>VLOOKUP($D1173,'RBSA Weights'!$A$2:$C$1406,3,FALSE)</f>
        <v>6932.7380000000003</v>
      </c>
    </row>
    <row r="1174" spans="1:11">
      <c r="A1174" s="192" t="s">
        <v>709</v>
      </c>
      <c r="B1174" s="192">
        <v>1</v>
      </c>
      <c r="C1174" s="192">
        <v>168735</v>
      </c>
      <c r="D1174" s="192">
        <v>23538</v>
      </c>
      <c r="E1174" s="192">
        <v>1</v>
      </c>
      <c r="F1174" s="192">
        <v>1800</v>
      </c>
      <c r="G1174" s="192">
        <v>0</v>
      </c>
      <c r="H1174" s="192" t="s">
        <v>700</v>
      </c>
      <c r="I1174" s="192" t="s">
        <v>65</v>
      </c>
      <c r="J1174" s="192">
        <v>2.500000037252903E-2</v>
      </c>
      <c r="K1174" s="192">
        <f>VLOOKUP($D1174,'RBSA Weights'!$A$2:$C$1406,3,FALSE)</f>
        <v>4360.1880000000001</v>
      </c>
    </row>
    <row r="1175" spans="1:11">
      <c r="A1175" s="192" t="s">
        <v>709</v>
      </c>
      <c r="B1175" s="192">
        <v>1</v>
      </c>
      <c r="C1175" s="192">
        <v>69692</v>
      </c>
      <c r="D1175" s="192">
        <v>11908</v>
      </c>
      <c r="E1175" s="192">
        <v>1</v>
      </c>
      <c r="F1175" s="192">
        <v>1200</v>
      </c>
      <c r="G1175" s="192">
        <v>0</v>
      </c>
      <c r="H1175" s="192" t="s">
        <v>700</v>
      </c>
      <c r="I1175" s="192" t="s">
        <v>65</v>
      </c>
      <c r="J1175" s="192">
        <v>2.500000037252903E-2</v>
      </c>
      <c r="K1175" s="192">
        <f>VLOOKUP($D1175,'RBSA Weights'!$A$2:$C$1406,3,FALSE)</f>
        <v>2003.7159999999999</v>
      </c>
    </row>
    <row r="1176" spans="1:11">
      <c r="A1176" s="192" t="s">
        <v>709</v>
      </c>
      <c r="B1176" s="192">
        <v>1</v>
      </c>
      <c r="C1176" s="192">
        <v>176658</v>
      </c>
      <c r="D1176" s="192">
        <v>23211</v>
      </c>
      <c r="E1176" s="192">
        <v>1</v>
      </c>
      <c r="F1176" s="192">
        <v>3019</v>
      </c>
      <c r="G1176" s="192">
        <v>10</v>
      </c>
      <c r="H1176" s="192" t="s">
        <v>702</v>
      </c>
      <c r="I1176" s="192" t="s">
        <v>65</v>
      </c>
      <c r="J1176" s="192">
        <v>2.500000037252903E-2</v>
      </c>
      <c r="K1176" s="192">
        <f>VLOOKUP($D1176,'RBSA Weights'!$A$2:$C$1406,3,FALSE)</f>
        <v>2130.886</v>
      </c>
    </row>
    <row r="1177" spans="1:11">
      <c r="A1177" s="192" t="s">
        <v>709</v>
      </c>
      <c r="B1177" s="192">
        <v>1</v>
      </c>
      <c r="C1177" s="192">
        <v>687327</v>
      </c>
      <c r="D1177" s="192">
        <v>11418</v>
      </c>
      <c r="E1177" s="192">
        <v>1</v>
      </c>
      <c r="F1177" s="192">
        <v>1326</v>
      </c>
      <c r="G1177" s="192">
        <v>50</v>
      </c>
      <c r="H1177" s="192" t="s">
        <v>702</v>
      </c>
      <c r="I1177" s="192" t="s">
        <v>65</v>
      </c>
      <c r="J1177" s="192">
        <v>2.500000037252903E-2</v>
      </c>
      <c r="K1177" s="192">
        <f>VLOOKUP($D1177,'RBSA Weights'!$A$2:$C$1406,3,FALSE)</f>
        <v>6932.7380000000003</v>
      </c>
    </row>
    <row r="1178" spans="1:11">
      <c r="A1178" s="192" t="s">
        <v>709</v>
      </c>
      <c r="B1178" s="192">
        <v>1</v>
      </c>
      <c r="C1178" s="192">
        <v>88875</v>
      </c>
      <c r="D1178" s="192">
        <v>11753</v>
      </c>
      <c r="E1178" s="192">
        <v>1</v>
      </c>
      <c r="F1178" s="192">
        <v>2670</v>
      </c>
      <c r="G1178" s="192">
        <v>0</v>
      </c>
      <c r="H1178" s="192" t="s">
        <v>700</v>
      </c>
      <c r="I1178" s="192" t="s">
        <v>65</v>
      </c>
      <c r="J1178" s="192">
        <v>2.500000037252903E-2</v>
      </c>
      <c r="K1178" s="192">
        <f>VLOOKUP($D1178,'RBSA Weights'!$A$2:$C$1406,3,FALSE)</f>
        <v>2003.7159999999999</v>
      </c>
    </row>
    <row r="1179" spans="1:11">
      <c r="A1179" s="192" t="s">
        <v>709</v>
      </c>
      <c r="B1179" s="192">
        <v>1</v>
      </c>
      <c r="C1179" s="192">
        <v>194766</v>
      </c>
      <c r="D1179" s="192">
        <v>21219</v>
      </c>
      <c r="E1179" s="192">
        <v>1</v>
      </c>
      <c r="F1179" s="192">
        <v>949</v>
      </c>
      <c r="G1179" s="192">
        <v>12</v>
      </c>
      <c r="H1179" s="192" t="s">
        <v>705</v>
      </c>
      <c r="I1179" s="192" t="s">
        <v>65</v>
      </c>
      <c r="J1179" s="192">
        <v>2.500000037252903E-2</v>
      </c>
      <c r="K1179" s="192">
        <f>VLOOKUP($D1179,'RBSA Weights'!$A$2:$C$1406,3,FALSE)</f>
        <v>8559.1039999999994</v>
      </c>
    </row>
    <row r="1180" spans="1:11">
      <c r="A1180" s="192" t="s">
        <v>709</v>
      </c>
      <c r="B1180" s="192">
        <v>1</v>
      </c>
      <c r="C1180" s="192">
        <v>46087</v>
      </c>
      <c r="D1180" s="192">
        <v>11536</v>
      </c>
      <c r="E1180" s="192">
        <v>1</v>
      </c>
      <c r="F1180" s="192">
        <v>1104</v>
      </c>
      <c r="G1180" s="192">
        <v>10</v>
      </c>
      <c r="H1180" s="192" t="s">
        <v>697</v>
      </c>
      <c r="I1180" s="192" t="s">
        <v>65</v>
      </c>
      <c r="J1180" s="192">
        <v>2.500000037252903E-2</v>
      </c>
      <c r="K1180" s="192">
        <f>VLOOKUP($D1180,'RBSA Weights'!$A$2:$C$1406,3,FALSE)</f>
        <v>1188.027</v>
      </c>
    </row>
    <row r="1181" spans="1:11">
      <c r="A1181" s="192" t="s">
        <v>709</v>
      </c>
      <c r="B1181" s="192">
        <v>1</v>
      </c>
      <c r="C1181" s="192">
        <v>154476</v>
      </c>
      <c r="D1181" s="192">
        <v>22985</v>
      </c>
      <c r="E1181" s="192">
        <v>1</v>
      </c>
      <c r="F1181" s="192">
        <v>2400</v>
      </c>
      <c r="G1181" s="192">
        <v>10</v>
      </c>
      <c r="H1181" s="192" t="s">
        <v>702</v>
      </c>
      <c r="I1181" s="192" t="s">
        <v>65</v>
      </c>
      <c r="J1181" s="192">
        <v>2.500000037252903E-2</v>
      </c>
      <c r="K1181" s="192">
        <f>VLOOKUP($D1181,'RBSA Weights'!$A$2:$C$1406,3,FALSE)</f>
        <v>6932.7380000000003</v>
      </c>
    </row>
    <row r="1182" spans="1:11">
      <c r="A1182" s="192" t="s">
        <v>709</v>
      </c>
      <c r="B1182" s="192">
        <v>1</v>
      </c>
      <c r="C1182" s="192">
        <v>226636</v>
      </c>
      <c r="D1182" s="192">
        <v>22061</v>
      </c>
      <c r="E1182" s="192">
        <v>1</v>
      </c>
      <c r="F1182" s="192">
        <v>1352</v>
      </c>
      <c r="G1182" s="192">
        <v>0</v>
      </c>
      <c r="H1182" s="192" t="s">
        <v>702</v>
      </c>
      <c r="I1182" s="192" t="s">
        <v>795</v>
      </c>
      <c r="J1182" s="192">
        <v>2.500000037252903E-2</v>
      </c>
      <c r="K1182" s="192">
        <f>VLOOKUP($D1182,'RBSA Weights'!$A$2:$C$1406,3,FALSE)</f>
        <v>1904.288</v>
      </c>
    </row>
    <row r="1183" spans="1:11">
      <c r="A1183" s="192" t="s">
        <v>709</v>
      </c>
      <c r="B1183" s="192">
        <v>1</v>
      </c>
      <c r="C1183" s="192">
        <v>207297</v>
      </c>
      <c r="D1183" s="192">
        <v>23138</v>
      </c>
      <c r="E1183" s="192">
        <v>1</v>
      </c>
      <c r="F1183" s="192">
        <v>1262</v>
      </c>
      <c r="G1183" s="192">
        <v>12</v>
      </c>
      <c r="H1183" s="192" t="s">
        <v>702</v>
      </c>
      <c r="I1183" s="192" t="s">
        <v>65</v>
      </c>
      <c r="J1183" s="192">
        <v>2.500000037252903E-2</v>
      </c>
      <c r="K1183" s="192">
        <f>VLOOKUP($D1183,'RBSA Weights'!$A$2:$C$1406,3,FALSE)</f>
        <v>1904.288</v>
      </c>
    </row>
    <row r="1184" spans="1:11">
      <c r="A1184" s="192" t="s">
        <v>709</v>
      </c>
      <c r="B1184" s="192">
        <v>1</v>
      </c>
      <c r="C1184" s="192">
        <v>191828</v>
      </c>
      <c r="D1184" s="192">
        <v>20215</v>
      </c>
      <c r="E1184" s="192">
        <v>1</v>
      </c>
      <c r="F1184" s="192">
        <v>1790</v>
      </c>
      <c r="G1184" s="192">
        <v>50</v>
      </c>
      <c r="H1184" s="192" t="s">
        <v>705</v>
      </c>
      <c r="I1184" s="192" t="s">
        <v>65</v>
      </c>
      <c r="J1184" s="192">
        <v>2.500000037252903E-2</v>
      </c>
      <c r="K1184" s="192">
        <f>VLOOKUP($D1184,'RBSA Weights'!$A$2:$C$1406,3,FALSE)</f>
        <v>1612.692</v>
      </c>
    </row>
    <row r="1185" spans="1:11">
      <c r="A1185" s="192" t="s">
        <v>709</v>
      </c>
      <c r="B1185" s="192">
        <v>1</v>
      </c>
      <c r="C1185" s="192">
        <v>154144</v>
      </c>
      <c r="D1185" s="192">
        <v>23705</v>
      </c>
      <c r="E1185" s="192">
        <v>1</v>
      </c>
      <c r="F1185" s="192">
        <v>1350</v>
      </c>
      <c r="G1185" s="192">
        <v>0</v>
      </c>
      <c r="H1185" s="192" t="s">
        <v>697</v>
      </c>
      <c r="I1185" s="192" t="s">
        <v>65</v>
      </c>
      <c r="J1185" s="192">
        <v>2.500000037252903E-2</v>
      </c>
      <c r="K1185" s="192">
        <f>VLOOKUP($D1185,'RBSA Weights'!$A$2:$C$1406,3,FALSE)</f>
        <v>1612.692</v>
      </c>
    </row>
    <row r="1186" spans="1:11">
      <c r="A1186" s="192" t="s">
        <v>709</v>
      </c>
      <c r="B1186" s="192">
        <v>1</v>
      </c>
      <c r="C1186" s="192">
        <v>65814</v>
      </c>
      <c r="D1186" s="192">
        <v>12108</v>
      </c>
      <c r="E1186" s="192">
        <v>1</v>
      </c>
      <c r="F1186" s="192">
        <v>1200</v>
      </c>
      <c r="G1186" s="192">
        <v>0</v>
      </c>
      <c r="H1186" s="192" t="s">
        <v>700</v>
      </c>
      <c r="I1186" s="192" t="s">
        <v>65</v>
      </c>
      <c r="J1186" s="192">
        <v>2.500000037252903E-2</v>
      </c>
      <c r="K1186" s="192">
        <f>VLOOKUP($D1186,'RBSA Weights'!$A$2:$C$1406,3,FALSE)</f>
        <v>1524.7619999999999</v>
      </c>
    </row>
    <row r="1187" spans="1:11">
      <c r="A1187" s="192" t="s">
        <v>709</v>
      </c>
      <c r="B1187" s="192">
        <v>1</v>
      </c>
      <c r="C1187" s="192">
        <v>718148</v>
      </c>
      <c r="D1187" s="192">
        <v>22198</v>
      </c>
      <c r="E1187" s="192">
        <v>1</v>
      </c>
      <c r="F1187" s="192">
        <v>1577</v>
      </c>
      <c r="G1187" s="192">
        <v>12</v>
      </c>
      <c r="H1187" s="192" t="s">
        <v>705</v>
      </c>
      <c r="I1187" s="192" t="s">
        <v>65</v>
      </c>
      <c r="J1187" s="192">
        <v>2.500000037252903E-2</v>
      </c>
      <c r="K1187" s="192">
        <f>VLOOKUP($D1187,'RBSA Weights'!$A$2:$C$1406,3,FALSE)</f>
        <v>3785.7640000000001</v>
      </c>
    </row>
    <row r="1188" spans="1:11">
      <c r="A1188" s="192" t="s">
        <v>709</v>
      </c>
      <c r="B1188" s="192">
        <v>1</v>
      </c>
      <c r="C1188" s="192">
        <v>115246</v>
      </c>
      <c r="D1188" s="192">
        <v>21109</v>
      </c>
      <c r="E1188" s="192">
        <v>1</v>
      </c>
      <c r="F1188" s="192">
        <v>1716</v>
      </c>
      <c r="G1188" s="192">
        <v>13</v>
      </c>
      <c r="H1188" s="192" t="s">
        <v>705</v>
      </c>
      <c r="I1188" s="192" t="s">
        <v>65</v>
      </c>
      <c r="J1188" s="192">
        <v>2.500000037252903E-2</v>
      </c>
      <c r="K1188" s="192">
        <f>VLOOKUP($D1188,'RBSA Weights'!$A$2:$C$1406,3,FALSE)</f>
        <v>1925.059</v>
      </c>
    </row>
    <row r="1189" spans="1:11">
      <c r="A1189" s="192" t="s">
        <v>709</v>
      </c>
      <c r="B1189" s="192">
        <v>1</v>
      </c>
      <c r="C1189" s="192">
        <v>94104</v>
      </c>
      <c r="D1189" s="192">
        <v>22602</v>
      </c>
      <c r="E1189" s="192">
        <v>1</v>
      </c>
      <c r="F1189" s="192">
        <v>1619</v>
      </c>
      <c r="G1189" s="192">
        <v>38</v>
      </c>
      <c r="H1189" s="192" t="s">
        <v>705</v>
      </c>
      <c r="I1189" s="192" t="s">
        <v>65</v>
      </c>
      <c r="J1189" s="192">
        <v>2.500000037252903E-2</v>
      </c>
      <c r="K1189" s="192">
        <f>VLOOKUP($D1189,'RBSA Weights'!$A$2:$C$1406,3,FALSE)</f>
        <v>1904.288</v>
      </c>
    </row>
    <row r="1190" spans="1:11">
      <c r="A1190" s="192" t="s">
        <v>709</v>
      </c>
      <c r="B1190" s="192">
        <v>1</v>
      </c>
      <c r="C1190" s="192">
        <v>104754</v>
      </c>
      <c r="D1190" s="192">
        <v>12992</v>
      </c>
      <c r="E1190" s="192">
        <v>1</v>
      </c>
      <c r="F1190" s="192">
        <v>1300</v>
      </c>
      <c r="G1190" s="192">
        <v>0</v>
      </c>
      <c r="H1190" s="192" t="s">
        <v>705</v>
      </c>
      <c r="I1190" s="192" t="s">
        <v>65</v>
      </c>
      <c r="J1190" s="192">
        <v>2.500000037252903E-2</v>
      </c>
      <c r="K1190" s="192">
        <f>VLOOKUP($D1190,'RBSA Weights'!$A$2:$C$1406,3,FALSE)</f>
        <v>4956.4930000000004</v>
      </c>
    </row>
    <row r="1191" spans="1:11">
      <c r="A1191" s="192" t="s">
        <v>709</v>
      </c>
      <c r="B1191" s="192">
        <v>1</v>
      </c>
      <c r="C1191" s="192">
        <v>139128</v>
      </c>
      <c r="D1191" s="192">
        <v>22681</v>
      </c>
      <c r="E1191" s="192">
        <v>1</v>
      </c>
      <c r="F1191" s="192">
        <v>1522</v>
      </c>
      <c r="G1191" s="192">
        <v>12</v>
      </c>
      <c r="H1191" s="192" t="s">
        <v>705</v>
      </c>
      <c r="I1191" s="192" t="s">
        <v>65</v>
      </c>
      <c r="J1191" s="192">
        <v>2.500000037252903E-2</v>
      </c>
      <c r="K1191" s="192">
        <f>VLOOKUP($D1191,'RBSA Weights'!$A$2:$C$1406,3,FALSE)</f>
        <v>1192.4649999999999</v>
      </c>
    </row>
    <row r="1192" spans="1:11">
      <c r="A1192" s="192" t="s">
        <v>709</v>
      </c>
      <c r="B1192" s="192">
        <v>1</v>
      </c>
      <c r="C1192" s="192">
        <v>181601</v>
      </c>
      <c r="D1192" s="192">
        <v>11145</v>
      </c>
      <c r="E1192" s="192">
        <v>1</v>
      </c>
      <c r="F1192" s="192">
        <v>1500</v>
      </c>
      <c r="G1192" s="192">
        <v>0</v>
      </c>
      <c r="H1192" s="192" t="s">
        <v>697</v>
      </c>
      <c r="I1192" s="192" t="s">
        <v>65</v>
      </c>
      <c r="J1192" s="192">
        <v>2.500000037252903E-2</v>
      </c>
      <c r="K1192" s="192">
        <f>VLOOKUP($D1192,'RBSA Weights'!$A$2:$C$1406,3,FALSE)</f>
        <v>4956.4930000000004</v>
      </c>
    </row>
    <row r="1193" spans="1:11">
      <c r="A1193" s="192" t="s">
        <v>709</v>
      </c>
      <c r="B1193" s="192">
        <v>1</v>
      </c>
      <c r="C1193" s="192">
        <v>208510</v>
      </c>
      <c r="D1193" s="192">
        <v>12264</v>
      </c>
      <c r="E1193" s="192">
        <v>1</v>
      </c>
      <c r="F1193" s="192">
        <v>2001</v>
      </c>
      <c r="G1193" s="192">
        <v>5</v>
      </c>
      <c r="H1193" s="192" t="s">
        <v>702</v>
      </c>
      <c r="I1193" s="192" t="s">
        <v>65</v>
      </c>
      <c r="J1193" s="192">
        <v>2.500000037252903E-2</v>
      </c>
      <c r="K1193" s="192">
        <f>VLOOKUP($D1193,'RBSA Weights'!$A$2:$C$1406,3,FALSE)</f>
        <v>1464.694</v>
      </c>
    </row>
    <row r="1194" spans="1:11">
      <c r="A1194" s="192" t="s">
        <v>709</v>
      </c>
      <c r="B1194" s="192">
        <v>1</v>
      </c>
      <c r="C1194" s="192">
        <v>48038</v>
      </c>
      <c r="D1194" s="192">
        <v>12054</v>
      </c>
      <c r="E1194" s="192">
        <v>1</v>
      </c>
      <c r="F1194" s="192">
        <v>510</v>
      </c>
      <c r="G1194" s="192">
        <v>10</v>
      </c>
      <c r="H1194" s="192" t="s">
        <v>697</v>
      </c>
      <c r="I1194" s="192" t="s">
        <v>65</v>
      </c>
      <c r="J1194" s="192">
        <v>2.500000037252903E-2</v>
      </c>
      <c r="K1194" s="192">
        <f>VLOOKUP($D1194,'RBSA Weights'!$A$2:$C$1406,3,FALSE)</f>
        <v>1524.7619999999999</v>
      </c>
    </row>
    <row r="1195" spans="1:11">
      <c r="A1195" s="192" t="s">
        <v>709</v>
      </c>
      <c r="B1195" s="192">
        <v>1</v>
      </c>
      <c r="C1195" s="192">
        <v>671947</v>
      </c>
      <c r="D1195" s="192">
        <v>10384</v>
      </c>
      <c r="E1195" s="192">
        <v>1</v>
      </c>
      <c r="F1195" s="192">
        <v>1258</v>
      </c>
      <c r="G1195" s="192">
        <v>12</v>
      </c>
      <c r="H1195" s="192" t="s">
        <v>705</v>
      </c>
      <c r="I1195" s="192" t="s">
        <v>65</v>
      </c>
      <c r="J1195" s="192">
        <v>2.500000037252903E-2</v>
      </c>
      <c r="K1195" s="192">
        <f>VLOOKUP($D1195,'RBSA Weights'!$A$2:$C$1406,3,FALSE)</f>
        <v>6932.7380000000003</v>
      </c>
    </row>
    <row r="1196" spans="1:11">
      <c r="A1196" s="192" t="s">
        <v>709</v>
      </c>
      <c r="B1196" s="192">
        <v>1</v>
      </c>
      <c r="C1196" s="192">
        <v>198229</v>
      </c>
      <c r="D1196" s="192">
        <v>14102</v>
      </c>
      <c r="E1196" s="192">
        <v>1</v>
      </c>
      <c r="F1196" s="192">
        <v>1615</v>
      </c>
      <c r="G1196" s="192">
        <v>10</v>
      </c>
      <c r="H1196" s="192" t="s">
        <v>705</v>
      </c>
      <c r="I1196" s="192" t="s">
        <v>65</v>
      </c>
      <c r="J1196" s="192">
        <v>2.500000037252903E-2</v>
      </c>
      <c r="K1196" s="192">
        <f>VLOOKUP($D1196,'RBSA Weights'!$A$2:$C$1406,3,FALSE)</f>
        <v>4956.4930000000004</v>
      </c>
    </row>
    <row r="1197" spans="1:11">
      <c r="A1197" s="192" t="s">
        <v>709</v>
      </c>
      <c r="B1197" s="192">
        <v>1</v>
      </c>
      <c r="C1197" s="192">
        <v>135745</v>
      </c>
      <c r="D1197" s="192">
        <v>10612</v>
      </c>
      <c r="E1197" s="192">
        <v>1</v>
      </c>
      <c r="F1197" s="192">
        <v>1748</v>
      </c>
      <c r="G1197" s="192">
        <v>0</v>
      </c>
      <c r="H1197" s="192" t="s">
        <v>702</v>
      </c>
      <c r="I1197" s="192" t="s">
        <v>65</v>
      </c>
      <c r="J1197" s="192">
        <v>2.500000037252903E-2</v>
      </c>
      <c r="K1197" s="192">
        <f>VLOOKUP($D1197,'RBSA Weights'!$A$2:$C$1406,3,FALSE)</f>
        <v>6932.7380000000003</v>
      </c>
    </row>
    <row r="1198" spans="1:11">
      <c r="A1198" s="192" t="s">
        <v>709</v>
      </c>
      <c r="B1198" s="192">
        <v>1</v>
      </c>
      <c r="C1198" s="192">
        <v>123249</v>
      </c>
      <c r="D1198" s="192">
        <v>21372</v>
      </c>
      <c r="E1198" s="192">
        <v>1</v>
      </c>
      <c r="F1198" s="192">
        <v>3096</v>
      </c>
      <c r="G1198" s="192">
        <v>50</v>
      </c>
      <c r="H1198" s="192" t="s">
        <v>700</v>
      </c>
      <c r="I1198" s="192" t="s">
        <v>65</v>
      </c>
      <c r="J1198" s="192">
        <v>2.500000037252903E-2</v>
      </c>
      <c r="K1198" s="192">
        <f>VLOOKUP($D1198,'RBSA Weights'!$A$2:$C$1406,3,FALSE)</f>
        <v>1612.692</v>
      </c>
    </row>
    <row r="1199" spans="1:11">
      <c r="A1199" s="192" t="s">
        <v>709</v>
      </c>
      <c r="B1199" s="192">
        <v>1</v>
      </c>
      <c r="C1199" s="192">
        <v>189276</v>
      </c>
      <c r="D1199" s="192">
        <v>22965</v>
      </c>
      <c r="E1199" s="192">
        <v>1</v>
      </c>
      <c r="F1199" s="192">
        <v>1540</v>
      </c>
      <c r="G1199" s="192">
        <v>12</v>
      </c>
      <c r="H1199" s="192" t="s">
        <v>697</v>
      </c>
      <c r="I1199" s="192" t="s">
        <v>65</v>
      </c>
      <c r="J1199" s="192">
        <v>2.500000037252903E-2</v>
      </c>
      <c r="K1199" s="192">
        <f>VLOOKUP($D1199,'RBSA Weights'!$A$2:$C$1406,3,FALSE)</f>
        <v>1612.692</v>
      </c>
    </row>
    <row r="1200" spans="1:11">
      <c r="A1200" s="192" t="s">
        <v>709</v>
      </c>
      <c r="B1200" s="192">
        <v>1</v>
      </c>
      <c r="C1200" s="192">
        <v>81661</v>
      </c>
      <c r="D1200" s="192">
        <v>22977</v>
      </c>
      <c r="E1200" s="192">
        <v>1</v>
      </c>
      <c r="F1200" s="192">
        <v>525</v>
      </c>
      <c r="G1200" s="192">
        <v>50</v>
      </c>
      <c r="H1200" s="192" t="s">
        <v>697</v>
      </c>
      <c r="I1200" s="192" t="s">
        <v>65</v>
      </c>
      <c r="J1200" s="192">
        <v>2.500000037252903E-2</v>
      </c>
      <c r="K1200" s="192">
        <f>VLOOKUP($D1200,'RBSA Weights'!$A$2:$C$1406,3,FALSE)</f>
        <v>1925.059</v>
      </c>
    </row>
    <row r="1201" spans="1:11">
      <c r="A1201" s="192" t="s">
        <v>709</v>
      </c>
      <c r="B1201" s="192">
        <v>1</v>
      </c>
      <c r="C1201" s="192">
        <v>108061</v>
      </c>
      <c r="D1201" s="192">
        <v>10338</v>
      </c>
      <c r="E1201" s="192">
        <v>1</v>
      </c>
      <c r="F1201" s="192">
        <v>1482</v>
      </c>
      <c r="G1201" s="192">
        <v>10</v>
      </c>
      <c r="H1201" s="192" t="s">
        <v>702</v>
      </c>
      <c r="I1201" s="192" t="s">
        <v>65</v>
      </c>
      <c r="J1201" s="192">
        <v>2.500000037252903E-2</v>
      </c>
      <c r="K1201" s="192">
        <f>VLOOKUP($D1201,'RBSA Weights'!$A$2:$C$1406,3,FALSE)</f>
        <v>4956.4930000000004</v>
      </c>
    </row>
    <row r="1202" spans="1:11">
      <c r="A1202" s="192" t="s">
        <v>709</v>
      </c>
      <c r="B1202" s="192">
        <v>1</v>
      </c>
      <c r="C1202" s="192">
        <v>205132</v>
      </c>
      <c r="D1202" s="192">
        <v>20305</v>
      </c>
      <c r="E1202" s="192">
        <v>1</v>
      </c>
      <c r="F1202" s="192">
        <v>1922</v>
      </c>
      <c r="G1202" s="192">
        <v>11</v>
      </c>
      <c r="H1202" s="192" t="s">
        <v>705</v>
      </c>
      <c r="I1202" s="192" t="s">
        <v>65</v>
      </c>
      <c r="J1202" s="192">
        <v>2.500000037252903E-2</v>
      </c>
      <c r="K1202" s="192">
        <f>VLOOKUP($D1202,'RBSA Weights'!$A$2:$C$1406,3,FALSE)</f>
        <v>1192.4649999999999</v>
      </c>
    </row>
    <row r="1203" spans="1:11">
      <c r="A1203" s="192" t="s">
        <v>709</v>
      </c>
      <c r="B1203" s="192">
        <v>1</v>
      </c>
      <c r="C1203" s="192">
        <v>726949</v>
      </c>
      <c r="D1203" s="192">
        <v>12190</v>
      </c>
      <c r="E1203" s="192">
        <v>3</v>
      </c>
      <c r="F1203" s="192">
        <v>1004</v>
      </c>
      <c r="G1203" s="192">
        <v>0</v>
      </c>
      <c r="H1203" s="192" t="s">
        <v>700</v>
      </c>
      <c r="I1203" s="192" t="s">
        <v>796</v>
      </c>
      <c r="J1203" s="192">
        <v>2.500000037252903E-2</v>
      </c>
      <c r="K1203" s="192">
        <f>VLOOKUP($D1203,'RBSA Weights'!$A$2:$C$1406,3,FALSE)</f>
        <v>4956.4930000000004</v>
      </c>
    </row>
    <row r="1204" spans="1:11">
      <c r="A1204" s="192" t="s">
        <v>709</v>
      </c>
      <c r="B1204" s="192">
        <v>1</v>
      </c>
      <c r="C1204" s="192">
        <v>106836</v>
      </c>
      <c r="D1204" s="192">
        <v>22903</v>
      </c>
      <c r="E1204" s="192">
        <v>1</v>
      </c>
      <c r="F1204" s="192">
        <v>2378</v>
      </c>
      <c r="G1204" s="192">
        <v>49</v>
      </c>
      <c r="H1204" s="192" t="s">
        <v>705</v>
      </c>
      <c r="I1204" s="192" t="s">
        <v>65</v>
      </c>
      <c r="J1204" s="192">
        <v>2.500000037252903E-2</v>
      </c>
      <c r="K1204" s="192">
        <f>VLOOKUP($D1204,'RBSA Weights'!$A$2:$C$1406,3,FALSE)</f>
        <v>1904.288</v>
      </c>
    </row>
    <row r="1205" spans="1:11">
      <c r="A1205" s="192" t="s">
        <v>709</v>
      </c>
      <c r="B1205" s="192">
        <v>1</v>
      </c>
      <c r="C1205" s="192">
        <v>126323</v>
      </c>
      <c r="D1205" s="192">
        <v>23554</v>
      </c>
      <c r="E1205" s="192">
        <v>1</v>
      </c>
      <c r="F1205" s="192">
        <v>2156</v>
      </c>
      <c r="G1205" s="192">
        <v>49</v>
      </c>
      <c r="H1205" s="192" t="s">
        <v>705</v>
      </c>
      <c r="I1205" s="192" t="s">
        <v>65</v>
      </c>
      <c r="J1205" s="192">
        <v>2.500000037252903E-2</v>
      </c>
      <c r="K1205" s="192">
        <f>VLOOKUP($D1205,'RBSA Weights'!$A$2:$C$1406,3,FALSE)</f>
        <v>1192.4649999999999</v>
      </c>
    </row>
    <row r="1206" spans="1:11">
      <c r="A1206" s="192" t="s">
        <v>709</v>
      </c>
      <c r="B1206" s="192">
        <v>1</v>
      </c>
      <c r="C1206" s="192">
        <v>178503</v>
      </c>
      <c r="D1206" s="192">
        <v>23034</v>
      </c>
      <c r="E1206" s="192">
        <v>1</v>
      </c>
      <c r="F1206" s="192">
        <v>2303</v>
      </c>
      <c r="G1206" s="192">
        <v>12</v>
      </c>
      <c r="H1206" s="192" t="s">
        <v>705</v>
      </c>
      <c r="I1206" s="192" t="s">
        <v>65</v>
      </c>
      <c r="J1206" s="192">
        <v>2.500000037252903E-2</v>
      </c>
      <c r="K1206" s="192">
        <f>VLOOKUP($D1206,'RBSA Weights'!$A$2:$C$1406,3,FALSE)</f>
        <v>1192.4649999999999</v>
      </c>
    </row>
    <row r="1207" spans="1:11">
      <c r="A1207" s="192" t="s">
        <v>709</v>
      </c>
      <c r="B1207" s="192">
        <v>1</v>
      </c>
      <c r="C1207" s="192">
        <v>157371</v>
      </c>
      <c r="D1207" s="192">
        <v>21862</v>
      </c>
      <c r="E1207" s="192">
        <v>1</v>
      </c>
      <c r="F1207" s="192">
        <v>3413</v>
      </c>
      <c r="G1207" s="192">
        <v>12</v>
      </c>
      <c r="H1207" s="192" t="s">
        <v>705</v>
      </c>
      <c r="I1207" s="192" t="s">
        <v>65</v>
      </c>
      <c r="J1207" s="192">
        <v>2.500000037252903E-2</v>
      </c>
      <c r="K1207" s="192">
        <f>VLOOKUP($D1207,'RBSA Weights'!$A$2:$C$1406,3,FALSE)</f>
        <v>1192.4649999999999</v>
      </c>
    </row>
    <row r="1208" spans="1:11">
      <c r="A1208" s="192" t="s">
        <v>709</v>
      </c>
      <c r="B1208" s="192">
        <v>1</v>
      </c>
      <c r="C1208" s="192">
        <v>39714</v>
      </c>
      <c r="D1208" s="192">
        <v>12321</v>
      </c>
      <c r="E1208" s="192">
        <v>2</v>
      </c>
      <c r="F1208" s="192">
        <v>642</v>
      </c>
      <c r="G1208" s="192">
        <v>10</v>
      </c>
      <c r="H1208" s="192" t="s">
        <v>705</v>
      </c>
      <c r="I1208" s="192" t="s">
        <v>797</v>
      </c>
      <c r="J1208" s="192">
        <v>2.500000037252903E-2</v>
      </c>
      <c r="K1208" s="192">
        <f>VLOOKUP($D1208,'RBSA Weights'!$A$2:$C$1406,3,FALSE)</f>
        <v>1524.7619999999999</v>
      </c>
    </row>
    <row r="1209" spans="1:11">
      <c r="A1209" s="192" t="s">
        <v>709</v>
      </c>
      <c r="B1209" s="192">
        <v>1</v>
      </c>
      <c r="C1209" s="192">
        <v>163848</v>
      </c>
      <c r="D1209" s="192">
        <v>23547</v>
      </c>
      <c r="E1209" s="192">
        <v>1</v>
      </c>
      <c r="F1209" s="192">
        <v>552</v>
      </c>
      <c r="G1209" s="192">
        <v>20</v>
      </c>
      <c r="H1209" s="192" t="s">
        <v>698</v>
      </c>
      <c r="I1209" s="192" t="s">
        <v>65</v>
      </c>
      <c r="J1209" s="192">
        <v>2.500000037252903E-2</v>
      </c>
      <c r="K1209" s="192">
        <f>VLOOKUP($D1209,'RBSA Weights'!$A$2:$C$1406,3,FALSE)</f>
        <v>2130.886</v>
      </c>
    </row>
    <row r="1210" spans="1:11">
      <c r="A1210" s="192" t="s">
        <v>709</v>
      </c>
      <c r="B1210" s="192">
        <v>1</v>
      </c>
      <c r="C1210" s="192">
        <v>248412</v>
      </c>
      <c r="D1210" s="192">
        <v>22615</v>
      </c>
      <c r="E1210" s="192">
        <v>1</v>
      </c>
      <c r="F1210" s="192">
        <v>1729</v>
      </c>
      <c r="G1210" s="192">
        <v>12</v>
      </c>
      <c r="H1210" s="192" t="s">
        <v>705</v>
      </c>
      <c r="I1210" s="192" t="s">
        <v>65</v>
      </c>
      <c r="J1210" s="192">
        <v>2.500000037252903E-2</v>
      </c>
      <c r="K1210" s="192">
        <f>VLOOKUP($D1210,'RBSA Weights'!$A$2:$C$1406,3,FALSE)</f>
        <v>2130.886</v>
      </c>
    </row>
    <row r="1211" spans="1:11">
      <c r="A1211" s="192" t="s">
        <v>709</v>
      </c>
      <c r="B1211" s="192">
        <v>1</v>
      </c>
      <c r="C1211" s="192">
        <v>690390</v>
      </c>
      <c r="D1211" s="192">
        <v>24366</v>
      </c>
      <c r="E1211" s="192">
        <v>1</v>
      </c>
      <c r="F1211" s="192">
        <v>1486</v>
      </c>
      <c r="G1211" s="192">
        <v>12</v>
      </c>
      <c r="H1211" s="192" t="s">
        <v>705</v>
      </c>
      <c r="I1211" s="192" t="s">
        <v>65</v>
      </c>
      <c r="J1211" s="192">
        <v>2.500000037252903E-2</v>
      </c>
      <c r="K1211" s="192">
        <f>VLOOKUP($D1211,'RBSA Weights'!$A$2:$C$1406,3,FALSE)</f>
        <v>12271.31</v>
      </c>
    </row>
    <row r="1212" spans="1:11">
      <c r="A1212" s="192" t="s">
        <v>709</v>
      </c>
      <c r="B1212" s="192">
        <v>1</v>
      </c>
      <c r="C1212" s="192">
        <v>232312</v>
      </c>
      <c r="D1212" s="192">
        <v>23112</v>
      </c>
      <c r="E1212" s="192">
        <v>1</v>
      </c>
      <c r="F1212" s="192">
        <v>1880</v>
      </c>
      <c r="G1212" s="192">
        <v>0</v>
      </c>
      <c r="H1212" s="192" t="s">
        <v>700</v>
      </c>
      <c r="I1212" s="192" t="s">
        <v>65</v>
      </c>
      <c r="J1212" s="192">
        <v>2.500000037252903E-2</v>
      </c>
      <c r="K1212" s="192">
        <f>VLOOKUP($D1212,'RBSA Weights'!$A$2:$C$1406,3,FALSE)</f>
        <v>1904.288</v>
      </c>
    </row>
    <row r="1213" spans="1:11">
      <c r="A1213" s="192" t="s">
        <v>709</v>
      </c>
      <c r="B1213" s="192">
        <v>1</v>
      </c>
      <c r="C1213" s="192">
        <v>234827</v>
      </c>
      <c r="D1213" s="192">
        <v>22288</v>
      </c>
      <c r="E1213" s="192">
        <v>1</v>
      </c>
      <c r="F1213" s="192">
        <v>2294</v>
      </c>
      <c r="G1213" s="192">
        <v>12</v>
      </c>
      <c r="H1213" s="192" t="s">
        <v>705</v>
      </c>
      <c r="I1213" s="192" t="s">
        <v>65</v>
      </c>
      <c r="J1213" s="192">
        <v>2.500000037252903E-2</v>
      </c>
      <c r="K1213" s="192">
        <f>VLOOKUP($D1213,'RBSA Weights'!$A$2:$C$1406,3,FALSE)</f>
        <v>2079.9929999999999</v>
      </c>
    </row>
    <row r="1214" spans="1:11">
      <c r="A1214" s="192" t="s">
        <v>709</v>
      </c>
      <c r="B1214" s="192">
        <v>1</v>
      </c>
      <c r="C1214" s="192">
        <v>74451</v>
      </c>
      <c r="D1214" s="192">
        <v>23931</v>
      </c>
      <c r="E1214" s="192">
        <v>1</v>
      </c>
      <c r="F1214" s="192">
        <v>699</v>
      </c>
      <c r="G1214" s="192">
        <v>20</v>
      </c>
      <c r="H1214" s="192" t="s">
        <v>705</v>
      </c>
      <c r="I1214" s="192" t="s">
        <v>65</v>
      </c>
      <c r="J1214" s="192">
        <v>2.500000037252903E-2</v>
      </c>
      <c r="K1214" s="192">
        <f>VLOOKUP($D1214,'RBSA Weights'!$A$2:$C$1406,3,FALSE)</f>
        <v>1144.6790000000001</v>
      </c>
    </row>
    <row r="1215" spans="1:11">
      <c r="A1215" s="192" t="s">
        <v>709</v>
      </c>
      <c r="B1215" s="192">
        <v>1</v>
      </c>
      <c r="C1215" s="192">
        <v>141640</v>
      </c>
      <c r="D1215" s="192">
        <v>23449</v>
      </c>
      <c r="E1215" s="192">
        <v>1</v>
      </c>
      <c r="F1215" s="192">
        <v>646</v>
      </c>
      <c r="G1215" s="192">
        <v>12</v>
      </c>
      <c r="H1215" s="192" t="s">
        <v>705</v>
      </c>
      <c r="I1215" s="192" t="s">
        <v>65</v>
      </c>
      <c r="J1215" s="192">
        <v>2.500000037252903E-2</v>
      </c>
      <c r="K1215" s="192">
        <f>VLOOKUP($D1215,'RBSA Weights'!$A$2:$C$1406,3,FALSE)</f>
        <v>8264.9449999999997</v>
      </c>
    </row>
    <row r="1216" spans="1:11">
      <c r="A1216" s="192" t="s">
        <v>709</v>
      </c>
      <c r="B1216" s="192">
        <v>1</v>
      </c>
      <c r="C1216" s="192">
        <v>90393</v>
      </c>
      <c r="D1216" s="192">
        <v>13250</v>
      </c>
      <c r="E1216" s="192">
        <v>1</v>
      </c>
      <c r="F1216" s="192">
        <v>1024</v>
      </c>
      <c r="G1216" s="192">
        <v>0</v>
      </c>
      <c r="H1216" s="192" t="s">
        <v>702</v>
      </c>
      <c r="I1216" s="192" t="s">
        <v>65</v>
      </c>
      <c r="J1216" s="192">
        <v>2.500000037252903E-2</v>
      </c>
      <c r="K1216" s="192">
        <f>VLOOKUP($D1216,'RBSA Weights'!$A$2:$C$1406,3,FALSE)</f>
        <v>2003.7159999999999</v>
      </c>
    </row>
    <row r="1217" spans="1:11">
      <c r="A1217" s="192" t="s">
        <v>709</v>
      </c>
      <c r="B1217" s="192">
        <v>1</v>
      </c>
      <c r="C1217" s="192">
        <v>28014</v>
      </c>
      <c r="D1217" s="192">
        <v>12496</v>
      </c>
      <c r="E1217" s="192">
        <v>1</v>
      </c>
      <c r="F1217" s="192">
        <v>975</v>
      </c>
      <c r="G1217" s="192">
        <v>12</v>
      </c>
      <c r="H1217" s="192" t="s">
        <v>705</v>
      </c>
      <c r="I1217" s="192" t="s">
        <v>65</v>
      </c>
      <c r="J1217" s="192">
        <v>2.500000037252903E-2</v>
      </c>
      <c r="K1217" s="192">
        <f>VLOOKUP($D1217,'RBSA Weights'!$A$2:$C$1406,3,FALSE)</f>
        <v>1150.8789999999999</v>
      </c>
    </row>
    <row r="1218" spans="1:11">
      <c r="A1218" s="192" t="s">
        <v>709</v>
      </c>
      <c r="B1218" s="192">
        <v>1</v>
      </c>
      <c r="C1218" s="192">
        <v>720710</v>
      </c>
      <c r="D1218" s="192">
        <v>11219</v>
      </c>
      <c r="E1218" s="192">
        <v>1</v>
      </c>
      <c r="F1218" s="192">
        <v>1412</v>
      </c>
      <c r="G1218" s="192">
        <v>10</v>
      </c>
      <c r="H1218" s="192" t="s">
        <v>697</v>
      </c>
      <c r="I1218" s="192" t="s">
        <v>798</v>
      </c>
      <c r="J1218" s="192">
        <v>2.500000037252903E-2</v>
      </c>
      <c r="K1218" s="192">
        <f>VLOOKUP($D1218,'RBSA Weights'!$A$2:$C$1406,3,FALSE)</f>
        <v>4956.4930000000004</v>
      </c>
    </row>
    <row r="1219" spans="1:11">
      <c r="A1219" s="192" t="s">
        <v>709</v>
      </c>
      <c r="B1219" s="192">
        <v>1</v>
      </c>
      <c r="C1219" s="192">
        <v>55703</v>
      </c>
      <c r="D1219" s="192">
        <v>10709</v>
      </c>
      <c r="E1219" s="192">
        <v>1</v>
      </c>
      <c r="F1219" s="192">
        <v>1208</v>
      </c>
      <c r="G1219" s="192">
        <v>0</v>
      </c>
      <c r="H1219" s="192" t="s">
        <v>700</v>
      </c>
      <c r="I1219" s="192" t="s">
        <v>65</v>
      </c>
      <c r="J1219" s="192">
        <v>2.500000037252903E-2</v>
      </c>
      <c r="K1219" s="192">
        <f>VLOOKUP($D1219,'RBSA Weights'!$A$2:$C$1406,3,FALSE)</f>
        <v>1524.7619999999999</v>
      </c>
    </row>
    <row r="1220" spans="1:11">
      <c r="A1220" s="192" t="s">
        <v>709</v>
      </c>
      <c r="B1220" s="192">
        <v>1</v>
      </c>
      <c r="C1220" s="192">
        <v>199232</v>
      </c>
      <c r="D1220" s="192">
        <v>11349</v>
      </c>
      <c r="E1220" s="192">
        <v>1</v>
      </c>
      <c r="F1220" s="192">
        <v>944</v>
      </c>
      <c r="G1220" s="192">
        <v>0</v>
      </c>
      <c r="H1220" s="192" t="s">
        <v>705</v>
      </c>
      <c r="I1220" s="192" t="s">
        <v>65</v>
      </c>
      <c r="J1220" s="192">
        <v>2.500000037252903E-2</v>
      </c>
      <c r="K1220" s="192">
        <f>VLOOKUP($D1220,'RBSA Weights'!$A$2:$C$1406,3,FALSE)</f>
        <v>4956.4930000000004</v>
      </c>
    </row>
    <row r="1221" spans="1:11">
      <c r="A1221" s="192" t="s">
        <v>709</v>
      </c>
      <c r="B1221" s="192">
        <v>1</v>
      </c>
      <c r="C1221" s="192">
        <v>230043</v>
      </c>
      <c r="D1221" s="192">
        <v>20020</v>
      </c>
      <c r="E1221" s="192">
        <v>1</v>
      </c>
      <c r="F1221" s="192">
        <v>2026</v>
      </c>
      <c r="G1221" s="192">
        <v>12</v>
      </c>
      <c r="H1221" s="192" t="s">
        <v>705</v>
      </c>
      <c r="I1221" s="192" t="s">
        <v>65</v>
      </c>
      <c r="J1221" s="192">
        <v>2.500000037252903E-2</v>
      </c>
      <c r="K1221" s="192">
        <f>VLOOKUP($D1221,'RBSA Weights'!$A$2:$C$1406,3,FALSE)</f>
        <v>1904.288</v>
      </c>
    </row>
    <row r="1222" spans="1:11">
      <c r="A1222" s="192" t="s">
        <v>709</v>
      </c>
      <c r="B1222" s="192">
        <v>1</v>
      </c>
      <c r="C1222" s="192">
        <v>191734</v>
      </c>
      <c r="D1222" s="192">
        <v>14545</v>
      </c>
      <c r="E1222" s="192">
        <v>1</v>
      </c>
      <c r="F1222" s="192">
        <v>1300</v>
      </c>
      <c r="G1222" s="192">
        <v>50</v>
      </c>
      <c r="H1222" s="192" t="s">
        <v>705</v>
      </c>
      <c r="I1222" s="192" t="s">
        <v>65</v>
      </c>
      <c r="J1222" s="192">
        <v>2.500000037252903E-2</v>
      </c>
      <c r="K1222" s="192">
        <f>VLOOKUP($D1222,'RBSA Weights'!$A$2:$C$1406,3,FALSE)</f>
        <v>1188.027</v>
      </c>
    </row>
    <row r="1223" spans="1:11">
      <c r="A1223" s="192" t="s">
        <v>709</v>
      </c>
      <c r="B1223" s="192">
        <v>1</v>
      </c>
      <c r="C1223" s="192">
        <v>106959</v>
      </c>
      <c r="D1223" s="192">
        <v>22186</v>
      </c>
      <c r="E1223" s="192">
        <v>1</v>
      </c>
      <c r="F1223" s="192">
        <v>1400</v>
      </c>
      <c r="G1223" s="192">
        <v>20</v>
      </c>
      <c r="H1223" s="192" t="s">
        <v>705</v>
      </c>
      <c r="I1223" s="192" t="s">
        <v>65</v>
      </c>
      <c r="J1223" s="192">
        <v>2.500000037252903E-2</v>
      </c>
      <c r="K1223" s="192">
        <f>VLOOKUP($D1223,'RBSA Weights'!$A$2:$C$1406,3,FALSE)</f>
        <v>3785.7640000000001</v>
      </c>
    </row>
    <row r="1224" spans="1:11">
      <c r="A1224" s="192" t="s">
        <v>709</v>
      </c>
      <c r="B1224" s="192">
        <v>1</v>
      </c>
      <c r="C1224" s="192">
        <v>64021</v>
      </c>
      <c r="D1224" s="192">
        <v>22019</v>
      </c>
      <c r="E1224" s="192">
        <v>1</v>
      </c>
      <c r="F1224" s="192">
        <v>984</v>
      </c>
      <c r="G1224" s="192">
        <v>49</v>
      </c>
      <c r="H1224" s="192" t="s">
        <v>705</v>
      </c>
      <c r="I1224" s="192" t="s">
        <v>65</v>
      </c>
      <c r="J1224" s="192">
        <v>2.500000037252903E-2</v>
      </c>
      <c r="K1224" s="192">
        <f>VLOOKUP($D1224,'RBSA Weights'!$A$2:$C$1406,3,FALSE)</f>
        <v>1904.288</v>
      </c>
    </row>
    <row r="1225" spans="1:11">
      <c r="A1225" s="192" t="s">
        <v>709</v>
      </c>
      <c r="B1225" s="192">
        <v>1</v>
      </c>
      <c r="C1225" s="192">
        <v>104345</v>
      </c>
      <c r="D1225" s="192">
        <v>10030</v>
      </c>
      <c r="E1225" s="192">
        <v>1</v>
      </c>
      <c r="F1225" s="192">
        <v>1449</v>
      </c>
      <c r="G1225" s="192">
        <v>14</v>
      </c>
      <c r="H1225" s="192" t="s">
        <v>702</v>
      </c>
      <c r="I1225" s="192" t="s">
        <v>65</v>
      </c>
      <c r="J1225" s="192">
        <v>2.500000037252903E-2</v>
      </c>
      <c r="K1225" s="192">
        <f>VLOOKUP($D1225,'RBSA Weights'!$A$2:$C$1406,3,FALSE)</f>
        <v>4956.4930000000004</v>
      </c>
    </row>
    <row r="1226" spans="1:11">
      <c r="A1226" s="192" t="s">
        <v>709</v>
      </c>
      <c r="B1226" s="192">
        <v>1</v>
      </c>
      <c r="C1226" s="192">
        <v>212301</v>
      </c>
      <c r="D1226" s="192">
        <v>20516</v>
      </c>
      <c r="E1226" s="192">
        <v>1</v>
      </c>
      <c r="F1226" s="192">
        <v>1400</v>
      </c>
      <c r="G1226" s="192">
        <v>0</v>
      </c>
      <c r="H1226" s="192" t="s">
        <v>705</v>
      </c>
      <c r="I1226" s="192" t="s">
        <v>65</v>
      </c>
      <c r="J1226" s="192">
        <v>2.500000037252903E-2</v>
      </c>
      <c r="K1226" s="192">
        <f>VLOOKUP($D1226,'RBSA Weights'!$A$2:$C$1406,3,FALSE)</f>
        <v>2079.9929999999999</v>
      </c>
    </row>
    <row r="1227" spans="1:11">
      <c r="A1227" s="192" t="s">
        <v>709</v>
      </c>
      <c r="B1227" s="192">
        <v>1</v>
      </c>
      <c r="C1227" s="192">
        <v>125441</v>
      </c>
      <c r="D1227" s="192">
        <v>12693</v>
      </c>
      <c r="E1227" s="192">
        <v>1</v>
      </c>
      <c r="F1227" s="192">
        <v>1272</v>
      </c>
      <c r="G1227" s="192">
        <v>10</v>
      </c>
      <c r="H1227" s="192" t="s">
        <v>705</v>
      </c>
      <c r="I1227" s="192" t="s">
        <v>65</v>
      </c>
      <c r="J1227" s="192">
        <v>2.500000037252903E-2</v>
      </c>
      <c r="K1227" s="192">
        <f>VLOOKUP($D1227,'RBSA Weights'!$A$2:$C$1406,3,FALSE)</f>
        <v>4956.4930000000004</v>
      </c>
    </row>
    <row r="1228" spans="1:11">
      <c r="A1228" s="192" t="s">
        <v>709</v>
      </c>
      <c r="B1228" s="192">
        <v>1</v>
      </c>
      <c r="C1228" s="192">
        <v>46304</v>
      </c>
      <c r="D1228" s="192">
        <v>12064</v>
      </c>
      <c r="E1228" s="192">
        <v>1</v>
      </c>
      <c r="F1228" s="192">
        <v>950</v>
      </c>
      <c r="G1228" s="192">
        <v>0</v>
      </c>
      <c r="H1228" s="192" t="s">
        <v>697</v>
      </c>
      <c r="I1228" s="192" t="s">
        <v>65</v>
      </c>
      <c r="J1228" s="192">
        <v>2.500000037252903E-2</v>
      </c>
      <c r="K1228" s="192">
        <f>VLOOKUP($D1228,'RBSA Weights'!$A$2:$C$1406,3,FALSE)</f>
        <v>1524.7619999999999</v>
      </c>
    </row>
    <row r="1229" spans="1:11">
      <c r="A1229" s="192" t="s">
        <v>709</v>
      </c>
      <c r="B1229" s="192">
        <v>1</v>
      </c>
      <c r="C1229" s="192">
        <v>689715</v>
      </c>
      <c r="D1229" s="192">
        <v>10715</v>
      </c>
      <c r="E1229" s="192">
        <v>1</v>
      </c>
      <c r="F1229" s="192">
        <v>2352</v>
      </c>
      <c r="G1229" s="192">
        <v>12</v>
      </c>
      <c r="H1229" s="192" t="s">
        <v>705</v>
      </c>
      <c r="I1229" s="192" t="s">
        <v>65</v>
      </c>
      <c r="J1229" s="192">
        <v>2.500000037252903E-2</v>
      </c>
      <c r="K1229" s="192">
        <f>VLOOKUP($D1229,'RBSA Weights'!$A$2:$C$1406,3,FALSE)</f>
        <v>4956.4930000000004</v>
      </c>
    </row>
    <row r="1230" spans="1:11">
      <c r="A1230" s="192" t="s">
        <v>709</v>
      </c>
      <c r="B1230" s="192">
        <v>1</v>
      </c>
      <c r="C1230" s="192">
        <v>683397</v>
      </c>
      <c r="D1230" s="192">
        <v>23028</v>
      </c>
      <c r="E1230" s="192">
        <v>1</v>
      </c>
      <c r="F1230" s="192">
        <v>1510</v>
      </c>
      <c r="G1230" s="192">
        <v>12</v>
      </c>
      <c r="H1230" s="192" t="s">
        <v>705</v>
      </c>
      <c r="I1230" s="192" t="s">
        <v>65</v>
      </c>
      <c r="J1230" s="192">
        <v>2.500000037252903E-2</v>
      </c>
      <c r="K1230" s="192">
        <f>VLOOKUP($D1230,'RBSA Weights'!$A$2:$C$1406,3,FALSE)</f>
        <v>12271.31</v>
      </c>
    </row>
    <row r="1231" spans="1:11">
      <c r="A1231" s="192" t="s">
        <v>709</v>
      </c>
      <c r="B1231" s="192">
        <v>1</v>
      </c>
      <c r="C1231" s="192">
        <v>226274</v>
      </c>
      <c r="D1231" s="192">
        <v>22052</v>
      </c>
      <c r="E1231" s="192">
        <v>1</v>
      </c>
      <c r="F1231" s="192">
        <v>1644</v>
      </c>
      <c r="G1231" s="192">
        <v>0</v>
      </c>
      <c r="H1231" s="192" t="s">
        <v>697</v>
      </c>
      <c r="I1231" s="192" t="s">
        <v>65</v>
      </c>
      <c r="J1231" s="192">
        <v>2.500000037252903E-2</v>
      </c>
      <c r="K1231" s="192">
        <f>VLOOKUP($D1231,'RBSA Weights'!$A$2:$C$1406,3,FALSE)</f>
        <v>1904.288</v>
      </c>
    </row>
    <row r="1232" spans="1:11">
      <c r="A1232" s="192" t="s">
        <v>709</v>
      </c>
      <c r="B1232" s="192">
        <v>1</v>
      </c>
      <c r="C1232" s="192">
        <v>50114</v>
      </c>
      <c r="D1232" s="192">
        <v>22215</v>
      </c>
      <c r="E1232" s="192">
        <v>1</v>
      </c>
      <c r="F1232" s="192">
        <v>2200</v>
      </c>
      <c r="G1232" s="192">
        <v>40</v>
      </c>
      <c r="H1232" s="192" t="s">
        <v>697</v>
      </c>
      <c r="I1232" s="192" t="s">
        <v>65</v>
      </c>
      <c r="J1232" s="192">
        <v>2.500000037252903E-2</v>
      </c>
      <c r="K1232" s="192">
        <f>VLOOKUP($D1232,'RBSA Weights'!$A$2:$C$1406,3,FALSE)</f>
        <v>3785.7640000000001</v>
      </c>
    </row>
    <row r="1233" spans="1:11">
      <c r="A1233" s="192" t="s">
        <v>709</v>
      </c>
      <c r="B1233" s="192">
        <v>1</v>
      </c>
      <c r="C1233" s="192">
        <v>187174</v>
      </c>
      <c r="D1233" s="192">
        <v>12955</v>
      </c>
      <c r="E1233" s="192">
        <v>1</v>
      </c>
      <c r="F1233" s="192">
        <v>600</v>
      </c>
      <c r="G1233" s="192">
        <v>0</v>
      </c>
      <c r="H1233" s="192" t="s">
        <v>697</v>
      </c>
      <c r="I1233" s="192" t="s">
        <v>65</v>
      </c>
      <c r="J1233" s="192">
        <v>2.500000037252903E-2</v>
      </c>
      <c r="K1233" s="192">
        <f>VLOOKUP($D1233,'RBSA Weights'!$A$2:$C$1406,3,FALSE)</f>
        <v>1524.7619999999999</v>
      </c>
    </row>
    <row r="1234" spans="1:11">
      <c r="A1234" s="192" t="s">
        <v>709</v>
      </c>
      <c r="B1234" s="192">
        <v>1</v>
      </c>
      <c r="C1234" s="192">
        <v>162696</v>
      </c>
      <c r="D1234" s="192">
        <v>24672</v>
      </c>
      <c r="E1234" s="192">
        <v>1</v>
      </c>
      <c r="F1234" s="192">
        <v>1938</v>
      </c>
      <c r="G1234" s="192">
        <v>38</v>
      </c>
      <c r="H1234" s="192" t="s">
        <v>705</v>
      </c>
      <c r="I1234" s="192" t="s">
        <v>65</v>
      </c>
      <c r="J1234" s="192">
        <v>2.500000037252903E-2</v>
      </c>
      <c r="K1234" s="192">
        <f>VLOOKUP($D1234,'RBSA Weights'!$A$2:$C$1406,3,FALSE)</f>
        <v>3785.7640000000001</v>
      </c>
    </row>
    <row r="1235" spans="1:11">
      <c r="A1235" s="192" t="s">
        <v>709</v>
      </c>
      <c r="B1235" s="192">
        <v>1</v>
      </c>
      <c r="C1235" s="192">
        <v>54762</v>
      </c>
      <c r="D1235" s="192">
        <v>11409</v>
      </c>
      <c r="E1235" s="192">
        <v>1</v>
      </c>
      <c r="F1235" s="192">
        <v>606</v>
      </c>
      <c r="G1235" s="192">
        <v>10</v>
      </c>
      <c r="H1235" s="192" t="s">
        <v>705</v>
      </c>
      <c r="I1235" s="192" t="s">
        <v>65</v>
      </c>
      <c r="J1235" s="192">
        <v>2.500000037252903E-2</v>
      </c>
      <c r="K1235" s="192">
        <f>VLOOKUP($D1235,'RBSA Weights'!$A$2:$C$1406,3,FALSE)</f>
        <v>1188.027</v>
      </c>
    </row>
    <row r="1236" spans="1:11">
      <c r="A1236" s="192" t="s">
        <v>709</v>
      </c>
      <c r="B1236" s="192">
        <v>1</v>
      </c>
      <c r="C1236" s="192">
        <v>227000</v>
      </c>
      <c r="D1236" s="192">
        <v>11925</v>
      </c>
      <c r="E1236" s="192">
        <v>1</v>
      </c>
      <c r="F1236" s="192">
        <v>2010</v>
      </c>
      <c r="G1236" s="192">
        <v>0</v>
      </c>
      <c r="H1236" s="192" t="s">
        <v>697</v>
      </c>
      <c r="I1236" s="192" t="s">
        <v>65</v>
      </c>
      <c r="J1236" s="192">
        <v>2.500000037252903E-2</v>
      </c>
      <c r="K1236" s="192">
        <f>VLOOKUP($D1236,'RBSA Weights'!$A$2:$C$1406,3,FALSE)</f>
        <v>4956.4930000000004</v>
      </c>
    </row>
    <row r="1237" spans="1:11">
      <c r="A1237" s="192" t="s">
        <v>709</v>
      </c>
      <c r="B1237" s="192">
        <v>1</v>
      </c>
      <c r="C1237" s="192">
        <v>182731</v>
      </c>
      <c r="D1237" s="192">
        <v>11679</v>
      </c>
      <c r="E1237" s="192">
        <v>1</v>
      </c>
      <c r="F1237" s="192">
        <v>2173</v>
      </c>
      <c r="G1237" s="192">
        <v>15</v>
      </c>
      <c r="H1237" s="192" t="s">
        <v>705</v>
      </c>
      <c r="I1237" s="192" t="s">
        <v>65</v>
      </c>
      <c r="J1237" s="192">
        <v>2.500000037252903E-2</v>
      </c>
      <c r="K1237" s="192">
        <f>VLOOKUP($D1237,'RBSA Weights'!$A$2:$C$1406,3,FALSE)</f>
        <v>6932.7380000000003</v>
      </c>
    </row>
    <row r="1238" spans="1:11">
      <c r="A1238" s="192" t="s">
        <v>709</v>
      </c>
      <c r="B1238" s="192">
        <v>1</v>
      </c>
      <c r="C1238" s="192">
        <v>724536</v>
      </c>
      <c r="D1238" s="192">
        <v>11503</v>
      </c>
      <c r="E1238" s="192">
        <v>1</v>
      </c>
      <c r="F1238" s="192">
        <v>850</v>
      </c>
      <c r="G1238" s="192">
        <v>0</v>
      </c>
      <c r="H1238" s="192" t="s">
        <v>705</v>
      </c>
      <c r="I1238" s="192" t="s">
        <v>65</v>
      </c>
      <c r="J1238" s="192">
        <v>2.500000037252903E-2</v>
      </c>
      <c r="K1238" s="192">
        <f>VLOOKUP($D1238,'RBSA Weights'!$A$2:$C$1406,3,FALSE)</f>
        <v>1524.7619999999999</v>
      </c>
    </row>
    <row r="1239" spans="1:11">
      <c r="A1239" s="192" t="s">
        <v>709</v>
      </c>
      <c r="B1239" s="192">
        <v>1</v>
      </c>
      <c r="C1239" s="192">
        <v>98193</v>
      </c>
      <c r="D1239" s="192">
        <v>24209</v>
      </c>
      <c r="E1239" s="192">
        <v>1</v>
      </c>
      <c r="F1239" s="192">
        <v>1120</v>
      </c>
      <c r="G1239" s="192">
        <v>49</v>
      </c>
      <c r="H1239" s="192" t="s">
        <v>697</v>
      </c>
      <c r="I1239" s="192" t="s">
        <v>65</v>
      </c>
      <c r="J1239" s="192">
        <v>2.500000037252903E-2</v>
      </c>
      <c r="K1239" s="192">
        <f>VLOOKUP($D1239,'RBSA Weights'!$A$2:$C$1406,3,FALSE)</f>
        <v>1904.288</v>
      </c>
    </row>
    <row r="1240" spans="1:11">
      <c r="A1240" s="192" t="s">
        <v>709</v>
      </c>
      <c r="B1240" s="192">
        <v>1</v>
      </c>
      <c r="C1240" s="192">
        <v>239692</v>
      </c>
      <c r="D1240" s="192">
        <v>23879</v>
      </c>
      <c r="E1240" s="192">
        <v>1</v>
      </c>
      <c r="F1240" s="192">
        <v>1402</v>
      </c>
      <c r="G1240" s="192">
        <v>10</v>
      </c>
      <c r="H1240" s="192" t="s">
        <v>705</v>
      </c>
      <c r="I1240" s="192" t="s">
        <v>799</v>
      </c>
      <c r="J1240" s="192">
        <v>2.500000037252903E-2</v>
      </c>
      <c r="K1240" s="192">
        <f>VLOOKUP($D1240,'RBSA Weights'!$A$2:$C$1406,3,FALSE)</f>
        <v>2079.9929999999999</v>
      </c>
    </row>
    <row r="1241" spans="1:11">
      <c r="A1241" s="192" t="s">
        <v>709</v>
      </c>
      <c r="B1241" s="192">
        <v>1</v>
      </c>
      <c r="C1241" s="192">
        <v>660178</v>
      </c>
      <c r="D1241" s="192">
        <v>12063</v>
      </c>
      <c r="E1241" s="192">
        <v>1</v>
      </c>
      <c r="F1241" s="192">
        <v>1402</v>
      </c>
      <c r="G1241" s="192">
        <v>12</v>
      </c>
      <c r="H1241" s="192" t="s">
        <v>702</v>
      </c>
      <c r="I1241" s="192" t="s">
        <v>65</v>
      </c>
      <c r="J1241" s="192">
        <v>2.500000037252903E-2</v>
      </c>
      <c r="K1241" s="192">
        <f>VLOOKUP($D1241,'RBSA Weights'!$A$2:$C$1406,3,FALSE)</f>
        <v>1464.694</v>
      </c>
    </row>
    <row r="1242" spans="1:11">
      <c r="A1242" s="192" t="s">
        <v>709</v>
      </c>
      <c r="B1242" s="192">
        <v>1</v>
      </c>
      <c r="C1242" s="192">
        <v>178597</v>
      </c>
      <c r="D1242" s="192">
        <v>23283</v>
      </c>
      <c r="E1242" s="192">
        <v>1</v>
      </c>
      <c r="F1242" s="192">
        <v>736</v>
      </c>
      <c r="G1242" s="192">
        <v>50</v>
      </c>
      <c r="H1242" s="192" t="s">
        <v>697</v>
      </c>
      <c r="I1242" s="192" t="s">
        <v>65</v>
      </c>
      <c r="J1242" s="192">
        <v>2.500000037252903E-2</v>
      </c>
      <c r="K1242" s="192">
        <f>VLOOKUP($D1242,'RBSA Weights'!$A$2:$C$1406,3,FALSE)</f>
        <v>1925.059</v>
      </c>
    </row>
    <row r="1243" spans="1:11">
      <c r="A1243" s="192" t="s">
        <v>709</v>
      </c>
      <c r="B1243" s="192">
        <v>1</v>
      </c>
      <c r="C1243" s="192">
        <v>139258</v>
      </c>
      <c r="D1243" s="192">
        <v>20565</v>
      </c>
      <c r="E1243" s="192">
        <v>1</v>
      </c>
      <c r="F1243" s="192">
        <v>1431</v>
      </c>
      <c r="G1243" s="192">
        <v>12</v>
      </c>
      <c r="H1243" s="192" t="s">
        <v>705</v>
      </c>
      <c r="I1243" s="192" t="s">
        <v>65</v>
      </c>
      <c r="J1243" s="192">
        <v>2.500000037252903E-2</v>
      </c>
      <c r="K1243" s="192">
        <f>VLOOKUP($D1243,'RBSA Weights'!$A$2:$C$1406,3,FALSE)</f>
        <v>1192.4649999999999</v>
      </c>
    </row>
    <row r="1244" spans="1:11">
      <c r="A1244" s="192" t="s">
        <v>709</v>
      </c>
      <c r="B1244" s="192">
        <v>1</v>
      </c>
      <c r="C1244" s="192">
        <v>182875</v>
      </c>
      <c r="D1244" s="192">
        <v>11815</v>
      </c>
      <c r="E1244" s="192">
        <v>1</v>
      </c>
      <c r="F1244" s="192">
        <v>2702</v>
      </c>
      <c r="G1244" s="192">
        <v>12</v>
      </c>
      <c r="H1244" s="192" t="s">
        <v>697</v>
      </c>
      <c r="I1244" s="192" t="s">
        <v>65</v>
      </c>
      <c r="J1244" s="192">
        <v>2.500000037252903E-2</v>
      </c>
      <c r="K1244" s="192">
        <f>VLOOKUP($D1244,'RBSA Weights'!$A$2:$C$1406,3,FALSE)</f>
        <v>6932.7380000000003</v>
      </c>
    </row>
    <row r="1245" spans="1:11">
      <c r="A1245" s="192" t="s">
        <v>709</v>
      </c>
      <c r="B1245" s="192">
        <v>1</v>
      </c>
      <c r="C1245" s="192">
        <v>214075</v>
      </c>
      <c r="D1245" s="192">
        <v>12086</v>
      </c>
      <c r="E1245" s="192">
        <v>1</v>
      </c>
      <c r="F1245" s="192">
        <v>1250</v>
      </c>
      <c r="G1245" s="192">
        <v>0</v>
      </c>
      <c r="H1245" s="192" t="s">
        <v>697</v>
      </c>
      <c r="I1245" s="192" t="s">
        <v>65</v>
      </c>
      <c r="J1245" s="192">
        <v>2.500000037252903E-2</v>
      </c>
      <c r="K1245" s="192">
        <f>VLOOKUP($D1245,'RBSA Weights'!$A$2:$C$1406,3,FALSE)</f>
        <v>1464.694</v>
      </c>
    </row>
    <row r="1246" spans="1:11">
      <c r="A1246" s="192" t="s">
        <v>709</v>
      </c>
      <c r="B1246" s="192">
        <v>1</v>
      </c>
      <c r="C1246" s="192">
        <v>178742</v>
      </c>
      <c r="D1246" s="192">
        <v>22733</v>
      </c>
      <c r="E1246" s="192">
        <v>1</v>
      </c>
      <c r="F1246" s="192">
        <v>1789</v>
      </c>
      <c r="G1246" s="192">
        <v>12</v>
      </c>
      <c r="H1246" s="192" t="s">
        <v>705</v>
      </c>
      <c r="I1246" s="192" t="s">
        <v>65</v>
      </c>
      <c r="J1246" s="192">
        <v>2.500000037252903E-2</v>
      </c>
      <c r="K1246" s="192">
        <f>VLOOKUP($D1246,'RBSA Weights'!$A$2:$C$1406,3,FALSE)</f>
        <v>1192.4649999999999</v>
      </c>
    </row>
    <row r="1247" spans="1:11">
      <c r="A1247" s="192" t="s">
        <v>709</v>
      </c>
      <c r="B1247" s="192">
        <v>1</v>
      </c>
      <c r="C1247" s="192">
        <v>231174</v>
      </c>
      <c r="D1247" s="192">
        <v>22214</v>
      </c>
      <c r="E1247" s="192">
        <v>1</v>
      </c>
      <c r="F1247" s="192">
        <v>1036</v>
      </c>
      <c r="G1247" s="192">
        <v>10</v>
      </c>
      <c r="H1247" s="192" t="s">
        <v>702</v>
      </c>
      <c r="I1247" s="192" t="s">
        <v>65</v>
      </c>
      <c r="J1247" s="192">
        <v>2.500000037252903E-2</v>
      </c>
      <c r="K1247" s="192">
        <f>VLOOKUP($D1247,'RBSA Weights'!$A$2:$C$1406,3,FALSE)</f>
        <v>2130.886</v>
      </c>
    </row>
    <row r="1248" spans="1:11">
      <c r="A1248" s="192" t="s">
        <v>709</v>
      </c>
      <c r="B1248" s="192">
        <v>1</v>
      </c>
      <c r="C1248" s="192">
        <v>104975</v>
      </c>
      <c r="D1248" s="192">
        <v>22047</v>
      </c>
      <c r="E1248" s="192">
        <v>1</v>
      </c>
      <c r="F1248" s="192">
        <v>912</v>
      </c>
      <c r="G1248" s="192">
        <v>20</v>
      </c>
      <c r="H1248" s="192" t="s">
        <v>697</v>
      </c>
      <c r="I1248" s="192" t="s">
        <v>65</v>
      </c>
      <c r="J1248" s="192">
        <v>2.500000037252903E-2</v>
      </c>
      <c r="K1248" s="192">
        <f>VLOOKUP($D1248,'RBSA Weights'!$A$2:$C$1406,3,FALSE)</f>
        <v>3785.7640000000001</v>
      </c>
    </row>
    <row r="1249" spans="1:11">
      <c r="A1249" s="192" t="s">
        <v>709</v>
      </c>
      <c r="B1249" s="192">
        <v>1</v>
      </c>
      <c r="C1249" s="192">
        <v>78580</v>
      </c>
      <c r="D1249" s="192">
        <v>12215</v>
      </c>
      <c r="E1249" s="192">
        <v>1</v>
      </c>
      <c r="F1249" s="192">
        <v>1089</v>
      </c>
      <c r="G1249" s="192">
        <v>5</v>
      </c>
      <c r="H1249" s="192" t="s">
        <v>699</v>
      </c>
      <c r="I1249" s="192" t="s">
        <v>65</v>
      </c>
      <c r="J1249" s="192">
        <v>2.500000037252903E-2</v>
      </c>
      <c r="K1249" s="192">
        <f>VLOOKUP($D1249,'RBSA Weights'!$A$2:$C$1406,3,FALSE)</f>
        <v>2003.7159999999999</v>
      </c>
    </row>
    <row r="1250" spans="1:11">
      <c r="A1250" s="192" t="s">
        <v>709</v>
      </c>
      <c r="B1250" s="192">
        <v>1</v>
      </c>
      <c r="C1250" s="192">
        <v>184223</v>
      </c>
      <c r="D1250" s="192">
        <v>22872</v>
      </c>
      <c r="E1250" s="192">
        <v>1</v>
      </c>
      <c r="F1250" s="192">
        <v>754</v>
      </c>
      <c r="G1250" s="192">
        <v>12</v>
      </c>
      <c r="H1250" s="192" t="s">
        <v>705</v>
      </c>
      <c r="I1250" s="192" t="s">
        <v>65</v>
      </c>
      <c r="J1250" s="192">
        <v>2.500000037252903E-2</v>
      </c>
      <c r="K1250" s="192">
        <f>VLOOKUP($D1250,'RBSA Weights'!$A$2:$C$1406,3,FALSE)</f>
        <v>3785.7640000000001</v>
      </c>
    </row>
    <row r="1251" spans="1:11">
      <c r="A1251" s="192" t="s">
        <v>709</v>
      </c>
      <c r="B1251" s="192">
        <v>1</v>
      </c>
      <c r="C1251" s="192">
        <v>108898</v>
      </c>
      <c r="D1251" s="192">
        <v>11633</v>
      </c>
      <c r="E1251" s="192">
        <v>2</v>
      </c>
      <c r="F1251" s="192">
        <v>860</v>
      </c>
      <c r="G1251" s="192">
        <v>12</v>
      </c>
      <c r="H1251" s="192" t="s">
        <v>700</v>
      </c>
      <c r="I1251" s="192" t="s">
        <v>65</v>
      </c>
      <c r="J1251" s="192">
        <v>2.500000037252903E-2</v>
      </c>
      <c r="K1251" s="192">
        <f>VLOOKUP($D1251,'RBSA Weights'!$A$2:$C$1406,3,FALSE)</f>
        <v>4956.4930000000004</v>
      </c>
    </row>
    <row r="1252" spans="1:11">
      <c r="A1252" s="192" t="s">
        <v>709</v>
      </c>
      <c r="B1252" s="192">
        <v>1</v>
      </c>
      <c r="C1252" s="192">
        <v>119161</v>
      </c>
      <c r="D1252" s="192">
        <v>21452</v>
      </c>
      <c r="E1252" s="192">
        <v>1</v>
      </c>
      <c r="F1252" s="192">
        <v>1290</v>
      </c>
      <c r="G1252" s="192">
        <v>49</v>
      </c>
      <c r="H1252" s="192" t="s">
        <v>705</v>
      </c>
      <c r="I1252" s="192" t="s">
        <v>65</v>
      </c>
      <c r="J1252" s="192">
        <v>2.500000037252903E-2</v>
      </c>
      <c r="K1252" s="192">
        <f>VLOOKUP($D1252,'RBSA Weights'!$A$2:$C$1406,3,FALSE)</f>
        <v>1904.288</v>
      </c>
    </row>
    <row r="1253" spans="1:11">
      <c r="A1253" s="192" t="s">
        <v>709</v>
      </c>
      <c r="B1253" s="192">
        <v>1</v>
      </c>
      <c r="C1253" s="192">
        <v>675572</v>
      </c>
      <c r="D1253" s="192">
        <v>22144</v>
      </c>
      <c r="E1253" s="192">
        <v>1</v>
      </c>
      <c r="F1253" s="192">
        <v>1416</v>
      </c>
      <c r="G1253" s="192">
        <v>12</v>
      </c>
      <c r="H1253" s="192" t="s">
        <v>705</v>
      </c>
      <c r="I1253" s="192" t="s">
        <v>65</v>
      </c>
      <c r="J1253" s="192">
        <v>2.500000037252903E-2</v>
      </c>
      <c r="K1253" s="192">
        <f>VLOOKUP($D1253,'RBSA Weights'!$A$2:$C$1406,3,FALSE)</f>
        <v>3785.7640000000001</v>
      </c>
    </row>
    <row r="1254" spans="1:11">
      <c r="A1254" s="192" t="s">
        <v>709</v>
      </c>
      <c r="B1254" s="192">
        <v>1</v>
      </c>
      <c r="C1254" s="192">
        <v>111024</v>
      </c>
      <c r="D1254" s="192">
        <v>22023</v>
      </c>
      <c r="E1254" s="192">
        <v>1</v>
      </c>
      <c r="F1254" s="192">
        <v>1278</v>
      </c>
      <c r="G1254" s="192">
        <v>0</v>
      </c>
      <c r="H1254" s="192" t="s">
        <v>705</v>
      </c>
      <c r="I1254" s="192" t="s">
        <v>65</v>
      </c>
      <c r="J1254" s="192">
        <v>2.500000037252903E-2</v>
      </c>
      <c r="K1254" s="192">
        <f>VLOOKUP($D1254,'RBSA Weights'!$A$2:$C$1406,3,FALSE)</f>
        <v>2079.9929999999999</v>
      </c>
    </row>
    <row r="1255" spans="1:11">
      <c r="A1255" s="192" t="s">
        <v>709</v>
      </c>
      <c r="B1255" s="192">
        <v>1</v>
      </c>
      <c r="C1255" s="192">
        <v>207770</v>
      </c>
      <c r="D1255" s="192">
        <v>20426</v>
      </c>
      <c r="E1255" s="192">
        <v>1</v>
      </c>
      <c r="F1255" s="192">
        <v>764</v>
      </c>
      <c r="G1255" s="192">
        <v>12</v>
      </c>
      <c r="H1255" s="192" t="s">
        <v>705</v>
      </c>
      <c r="I1255" s="192" t="s">
        <v>65</v>
      </c>
      <c r="J1255" s="192">
        <v>2.500000037252903E-2</v>
      </c>
      <c r="K1255" s="192">
        <f>VLOOKUP($D1255,'RBSA Weights'!$A$2:$C$1406,3,FALSE)</f>
        <v>1904.288</v>
      </c>
    </row>
    <row r="1256" spans="1:11">
      <c r="A1256" s="192" t="s">
        <v>709</v>
      </c>
      <c r="B1256" s="192">
        <v>1</v>
      </c>
      <c r="C1256" s="192">
        <v>718382</v>
      </c>
      <c r="D1256" s="192">
        <v>12305</v>
      </c>
      <c r="E1256" s="192">
        <v>1</v>
      </c>
      <c r="F1256" s="192">
        <v>940</v>
      </c>
      <c r="G1256" s="192">
        <v>0</v>
      </c>
      <c r="H1256" s="192" t="s">
        <v>705</v>
      </c>
      <c r="I1256" s="192" t="s">
        <v>65</v>
      </c>
      <c r="J1256" s="192">
        <v>2.500000037252903E-2</v>
      </c>
      <c r="K1256" s="192">
        <f>VLOOKUP($D1256,'RBSA Weights'!$A$2:$C$1406,3,FALSE)</f>
        <v>4956.4930000000004</v>
      </c>
    </row>
    <row r="1257" spans="1:11">
      <c r="A1257" s="192" t="s">
        <v>709</v>
      </c>
      <c r="B1257" s="192">
        <v>1</v>
      </c>
      <c r="C1257" s="192">
        <v>682165</v>
      </c>
      <c r="D1257" s="192">
        <v>23017</v>
      </c>
      <c r="E1257" s="192">
        <v>1</v>
      </c>
      <c r="F1257" s="192">
        <v>1392</v>
      </c>
      <c r="G1257" s="192">
        <v>10</v>
      </c>
      <c r="H1257" s="192" t="s">
        <v>697</v>
      </c>
      <c r="I1257" s="192" t="s">
        <v>65</v>
      </c>
      <c r="J1257" s="192">
        <v>2.500000037252903E-2</v>
      </c>
      <c r="K1257" s="192">
        <f>VLOOKUP($D1257,'RBSA Weights'!$A$2:$C$1406,3,FALSE)</f>
        <v>3785.7640000000001</v>
      </c>
    </row>
    <row r="1258" spans="1:11">
      <c r="A1258" s="192" t="s">
        <v>709</v>
      </c>
      <c r="B1258" s="192">
        <v>1</v>
      </c>
      <c r="C1258" s="192">
        <v>73199</v>
      </c>
      <c r="D1258" s="192">
        <v>20540</v>
      </c>
      <c r="E1258" s="192">
        <v>1</v>
      </c>
      <c r="F1258" s="192">
        <v>1750</v>
      </c>
      <c r="G1258" s="192">
        <v>49</v>
      </c>
      <c r="H1258" s="192" t="s">
        <v>697</v>
      </c>
      <c r="I1258" s="192" t="s">
        <v>65</v>
      </c>
      <c r="J1258" s="192">
        <v>2.500000037252903E-2</v>
      </c>
      <c r="K1258" s="192">
        <f>VLOOKUP($D1258,'RBSA Weights'!$A$2:$C$1406,3,FALSE)</f>
        <v>1904.288</v>
      </c>
    </row>
    <row r="1259" spans="1:11">
      <c r="A1259" s="192" t="s">
        <v>709</v>
      </c>
      <c r="B1259" s="192">
        <v>1</v>
      </c>
      <c r="C1259" s="192">
        <v>175908</v>
      </c>
      <c r="D1259" s="192">
        <v>22649</v>
      </c>
      <c r="E1259" s="192">
        <v>1</v>
      </c>
      <c r="F1259" s="192">
        <v>165</v>
      </c>
      <c r="G1259" s="192">
        <v>50</v>
      </c>
      <c r="H1259" s="192" t="s">
        <v>702</v>
      </c>
      <c r="I1259" s="192" t="s">
        <v>65</v>
      </c>
      <c r="J1259" s="192">
        <v>2.500000037252903E-2</v>
      </c>
      <c r="K1259" s="192">
        <f>VLOOKUP($D1259,'RBSA Weights'!$A$2:$C$1406,3,FALSE)</f>
        <v>1925.059</v>
      </c>
    </row>
    <row r="1260" spans="1:11">
      <c r="A1260" s="192" t="s">
        <v>709</v>
      </c>
      <c r="B1260" s="192">
        <v>1</v>
      </c>
      <c r="C1260" s="192">
        <v>35702</v>
      </c>
      <c r="D1260" s="192">
        <v>12614</v>
      </c>
      <c r="E1260" s="192">
        <v>2</v>
      </c>
      <c r="F1260" s="192">
        <v>162</v>
      </c>
      <c r="G1260" s="192">
        <v>38</v>
      </c>
      <c r="H1260" s="192" t="s">
        <v>697</v>
      </c>
      <c r="I1260" s="192" t="s">
        <v>65</v>
      </c>
      <c r="J1260" s="192">
        <v>2.500000037252903E-2</v>
      </c>
      <c r="K1260" s="192">
        <f>VLOOKUP($D1260,'RBSA Weights'!$A$2:$C$1406,3,FALSE)</f>
        <v>1524.7619999999999</v>
      </c>
    </row>
    <row r="1261" spans="1:11">
      <c r="A1261" s="192" t="s">
        <v>709</v>
      </c>
      <c r="B1261" s="192">
        <v>1</v>
      </c>
      <c r="C1261" s="192">
        <v>27365</v>
      </c>
      <c r="D1261" s="192">
        <v>10459</v>
      </c>
      <c r="E1261" s="192">
        <v>2</v>
      </c>
      <c r="F1261" s="192">
        <v>1035</v>
      </c>
      <c r="G1261" s="192">
        <v>15</v>
      </c>
      <c r="H1261" s="192" t="s">
        <v>705</v>
      </c>
      <c r="I1261" s="192" t="s">
        <v>65</v>
      </c>
      <c r="J1261" s="192">
        <v>2.500000037252903E-2</v>
      </c>
      <c r="K1261" s="192">
        <f>VLOOKUP($D1261,'RBSA Weights'!$A$2:$C$1406,3,FALSE)</f>
        <v>1524.7619999999999</v>
      </c>
    </row>
    <row r="1262" spans="1:11">
      <c r="A1262" s="192" t="s">
        <v>709</v>
      </c>
      <c r="B1262" s="192">
        <v>1</v>
      </c>
      <c r="C1262" s="192">
        <v>220844</v>
      </c>
      <c r="D1262" s="192">
        <v>21524</v>
      </c>
      <c r="E1262" s="192">
        <v>1</v>
      </c>
      <c r="F1262" s="192">
        <v>2542</v>
      </c>
      <c r="G1262" s="192">
        <v>0</v>
      </c>
      <c r="H1262" s="192" t="s">
        <v>705</v>
      </c>
      <c r="I1262" s="192" t="s">
        <v>65</v>
      </c>
      <c r="J1262" s="192">
        <v>2.500000037252903E-2</v>
      </c>
      <c r="K1262" s="192">
        <f>VLOOKUP($D1262,'RBSA Weights'!$A$2:$C$1406,3,FALSE)</f>
        <v>1904.288</v>
      </c>
    </row>
    <row r="1263" spans="1:11">
      <c r="A1263" s="192" t="s">
        <v>709</v>
      </c>
      <c r="B1263" s="192">
        <v>1</v>
      </c>
      <c r="C1263" s="192">
        <v>116344</v>
      </c>
      <c r="D1263" s="192">
        <v>12648</v>
      </c>
      <c r="E1263" s="192">
        <v>1</v>
      </c>
      <c r="F1263" s="192">
        <v>1344</v>
      </c>
      <c r="G1263" s="192">
        <v>12</v>
      </c>
      <c r="H1263" s="192" t="s">
        <v>705</v>
      </c>
      <c r="I1263" s="192" t="s">
        <v>65</v>
      </c>
      <c r="J1263" s="192">
        <v>2.500000037252903E-2</v>
      </c>
      <c r="K1263" s="192">
        <f>VLOOKUP($D1263,'RBSA Weights'!$A$2:$C$1406,3,FALSE)</f>
        <v>4956.4930000000004</v>
      </c>
    </row>
    <row r="1264" spans="1:11">
      <c r="A1264" s="192" t="s">
        <v>709</v>
      </c>
      <c r="B1264" s="192">
        <v>1</v>
      </c>
      <c r="C1264" s="192">
        <v>113387</v>
      </c>
      <c r="D1264" s="192">
        <v>24158</v>
      </c>
      <c r="E1264" s="192">
        <v>1</v>
      </c>
      <c r="F1264" s="192">
        <v>1209</v>
      </c>
      <c r="G1264" s="192">
        <v>5</v>
      </c>
      <c r="H1264" s="192" t="s">
        <v>705</v>
      </c>
      <c r="I1264" s="192" t="s">
        <v>65</v>
      </c>
      <c r="J1264" s="192">
        <v>2.500000037252903E-2</v>
      </c>
      <c r="K1264" s="192">
        <f>VLOOKUP($D1264,'RBSA Weights'!$A$2:$C$1406,3,FALSE)</f>
        <v>2079.9929999999999</v>
      </c>
    </row>
    <row r="1265" spans="1:11">
      <c r="A1265" s="192" t="s">
        <v>710</v>
      </c>
      <c r="B1265" s="192">
        <v>0.75</v>
      </c>
      <c r="C1265" s="192">
        <v>193508</v>
      </c>
      <c r="D1265" s="192">
        <v>20472</v>
      </c>
      <c r="E1265" s="192">
        <v>1</v>
      </c>
      <c r="F1265" s="192">
        <v>1326</v>
      </c>
      <c r="G1265" s="192">
        <v>50</v>
      </c>
      <c r="H1265" s="192" t="s">
        <v>697</v>
      </c>
      <c r="I1265" s="192" t="s">
        <v>65</v>
      </c>
      <c r="J1265" s="192">
        <v>0.14000000059604645</v>
      </c>
      <c r="K1265" s="192">
        <f>VLOOKUP($D1265,'RBSA Weights'!$A$2:$C$1406,3,FALSE)</f>
        <v>1612.692</v>
      </c>
    </row>
    <row r="1266" spans="1:11">
      <c r="A1266" s="192" t="s">
        <v>710</v>
      </c>
      <c r="B1266" s="192">
        <v>0.75</v>
      </c>
      <c r="C1266" s="192">
        <v>151574</v>
      </c>
      <c r="D1266" s="192">
        <v>23380</v>
      </c>
      <c r="E1266" s="192">
        <v>1</v>
      </c>
      <c r="F1266" s="192">
        <v>1056</v>
      </c>
      <c r="G1266" s="192">
        <v>20</v>
      </c>
      <c r="H1266" s="192" t="s">
        <v>702</v>
      </c>
      <c r="I1266" s="192" t="s">
        <v>65</v>
      </c>
      <c r="J1266" s="192">
        <v>0.14000000059604645</v>
      </c>
      <c r="K1266" s="192">
        <f>VLOOKUP($D1266,'RBSA Weights'!$A$2:$C$1406,3,FALSE)</f>
        <v>3785.7640000000001</v>
      </c>
    </row>
    <row r="1267" spans="1:11">
      <c r="A1267" s="192" t="s">
        <v>710</v>
      </c>
      <c r="B1267" s="192">
        <v>0.9</v>
      </c>
      <c r="C1267" s="192">
        <v>183732</v>
      </c>
      <c r="D1267" s="192">
        <v>24826</v>
      </c>
      <c r="E1267" s="192">
        <v>1</v>
      </c>
      <c r="F1267" s="192">
        <v>448</v>
      </c>
      <c r="G1267" s="192">
        <v>2</v>
      </c>
      <c r="H1267" s="192" t="s">
        <v>705</v>
      </c>
      <c r="I1267" s="192" t="s">
        <v>65</v>
      </c>
      <c r="J1267" s="192">
        <v>7.0000000298023224E-2</v>
      </c>
      <c r="K1267" s="192">
        <f>VLOOKUP($D1267,'RBSA Weights'!$A$2:$C$1406,3,FALSE)</f>
        <v>1612.692</v>
      </c>
    </row>
    <row r="1268" spans="1:11">
      <c r="A1268" s="192" t="s">
        <v>710</v>
      </c>
      <c r="B1268" s="192">
        <v>0.9</v>
      </c>
      <c r="C1268" s="192">
        <v>166608</v>
      </c>
      <c r="D1268" s="192">
        <v>23111</v>
      </c>
      <c r="E1268" s="192">
        <v>2</v>
      </c>
      <c r="F1268" s="192">
        <v>1500</v>
      </c>
      <c r="G1268" s="192">
        <v>10</v>
      </c>
      <c r="H1268" s="192" t="s">
        <v>697</v>
      </c>
      <c r="I1268" s="192" t="s">
        <v>65</v>
      </c>
      <c r="J1268" s="192">
        <v>7.0000000298023224E-2</v>
      </c>
      <c r="K1268" s="192">
        <f>VLOOKUP($D1268,'RBSA Weights'!$A$2:$C$1406,3,FALSE)</f>
        <v>1192.4649999999999</v>
      </c>
    </row>
    <row r="1269" spans="1:11">
      <c r="A1269" s="192" t="s">
        <v>710</v>
      </c>
      <c r="B1269" s="192">
        <v>0.9</v>
      </c>
      <c r="C1269" s="192">
        <v>56572</v>
      </c>
      <c r="D1269" s="192">
        <v>11110</v>
      </c>
      <c r="E1269" s="192">
        <v>1</v>
      </c>
      <c r="F1269" s="192">
        <v>500</v>
      </c>
      <c r="G1269" s="192">
        <v>50</v>
      </c>
      <c r="H1269" s="192" t="s">
        <v>705</v>
      </c>
      <c r="I1269" s="192" t="s">
        <v>65</v>
      </c>
      <c r="J1269" s="192">
        <v>7.0000000298023224E-2</v>
      </c>
      <c r="K1269" s="192">
        <f>VLOOKUP($D1269,'RBSA Weights'!$A$2:$C$1406,3,FALSE)</f>
        <v>1188.027</v>
      </c>
    </row>
    <row r="1270" spans="1:11">
      <c r="A1270" s="192" t="s">
        <v>710</v>
      </c>
      <c r="B1270" s="192">
        <v>0.9</v>
      </c>
      <c r="C1270" s="192">
        <v>148757</v>
      </c>
      <c r="D1270" s="192">
        <v>22597</v>
      </c>
      <c r="E1270" s="192">
        <v>1</v>
      </c>
      <c r="F1270" s="192">
        <v>1012</v>
      </c>
      <c r="G1270" s="192">
        <v>2</v>
      </c>
      <c r="H1270" s="192" t="s">
        <v>705</v>
      </c>
      <c r="I1270" s="192" t="s">
        <v>65</v>
      </c>
      <c r="J1270" s="192">
        <v>7.0000000298023224E-2</v>
      </c>
      <c r="K1270" s="192">
        <f>VLOOKUP($D1270,'RBSA Weights'!$A$2:$C$1406,3,FALSE)</f>
        <v>8264.9449999999997</v>
      </c>
    </row>
    <row r="1271" spans="1:11">
      <c r="A1271" s="192" t="s">
        <v>710</v>
      </c>
      <c r="B1271" s="192">
        <v>0.9</v>
      </c>
      <c r="C1271" s="192">
        <v>67175</v>
      </c>
      <c r="D1271" s="192">
        <v>11327</v>
      </c>
      <c r="E1271" s="192">
        <v>1</v>
      </c>
      <c r="F1271" s="192">
        <v>1240</v>
      </c>
      <c r="G1271" s="192">
        <v>5</v>
      </c>
      <c r="H1271" s="192" t="s">
        <v>702</v>
      </c>
      <c r="I1271" s="192" t="s">
        <v>65</v>
      </c>
      <c r="J1271" s="192">
        <v>7.0000000298023224E-2</v>
      </c>
      <c r="K1271" s="192">
        <f>VLOOKUP($D1271,'RBSA Weights'!$A$2:$C$1406,3,FALSE)</f>
        <v>2003.7159999999999</v>
      </c>
    </row>
    <row r="1272" spans="1:11">
      <c r="A1272" s="192" t="s">
        <v>710</v>
      </c>
      <c r="B1272" s="192">
        <v>0.9</v>
      </c>
      <c r="C1272" s="192">
        <v>33543</v>
      </c>
      <c r="D1272" s="192">
        <v>22460</v>
      </c>
      <c r="E1272" s="192">
        <v>1</v>
      </c>
      <c r="F1272" s="192">
        <v>2100</v>
      </c>
      <c r="G1272" s="192">
        <v>10</v>
      </c>
      <c r="H1272" s="192" t="s">
        <v>700</v>
      </c>
      <c r="I1272" s="192" t="s">
        <v>65</v>
      </c>
      <c r="J1272" s="192">
        <v>7.0000000298023224E-2</v>
      </c>
      <c r="K1272" s="192">
        <f>VLOOKUP($D1272,'RBSA Weights'!$A$2:$C$1406,3,FALSE)</f>
        <v>3785.7640000000001</v>
      </c>
    </row>
    <row r="1273" spans="1:11">
      <c r="A1273" s="192" t="s">
        <v>710</v>
      </c>
      <c r="B1273" s="192">
        <v>0.9</v>
      </c>
      <c r="C1273" s="192">
        <v>131678</v>
      </c>
      <c r="D1273" s="192">
        <v>23667</v>
      </c>
      <c r="E1273" s="192">
        <v>1</v>
      </c>
      <c r="F1273" s="192">
        <v>1124</v>
      </c>
      <c r="G1273" s="192">
        <v>50</v>
      </c>
      <c r="H1273" s="192" t="s">
        <v>697</v>
      </c>
      <c r="I1273" s="192" t="s">
        <v>65</v>
      </c>
      <c r="J1273" s="192">
        <v>7.0000000298023224E-2</v>
      </c>
      <c r="K1273" s="192">
        <f>VLOOKUP($D1273,'RBSA Weights'!$A$2:$C$1406,3,FALSE)</f>
        <v>8264.9449999999997</v>
      </c>
    </row>
    <row r="1274" spans="1:11">
      <c r="A1274" s="192" t="s">
        <v>710</v>
      </c>
      <c r="B1274" s="192">
        <v>0.9</v>
      </c>
      <c r="C1274" s="192">
        <v>160997</v>
      </c>
      <c r="D1274" s="192">
        <v>21906</v>
      </c>
      <c r="E1274" s="192">
        <v>1</v>
      </c>
      <c r="F1274" s="192">
        <v>732</v>
      </c>
      <c r="G1274" s="192">
        <v>10</v>
      </c>
      <c r="H1274" s="192" t="s">
        <v>697</v>
      </c>
      <c r="I1274" s="192" t="s">
        <v>65</v>
      </c>
      <c r="J1274" s="192">
        <v>7.0000000298023224E-2</v>
      </c>
      <c r="K1274" s="192">
        <f>VLOOKUP($D1274,'RBSA Weights'!$A$2:$C$1406,3,FALSE)</f>
        <v>2130.886</v>
      </c>
    </row>
    <row r="1275" spans="1:11">
      <c r="A1275" s="192" t="s">
        <v>710</v>
      </c>
      <c r="B1275" s="192">
        <v>0.9</v>
      </c>
      <c r="C1275" s="192">
        <v>233537</v>
      </c>
      <c r="D1275" s="192">
        <v>20685</v>
      </c>
      <c r="E1275" s="192">
        <v>1</v>
      </c>
      <c r="F1275" s="192">
        <v>1631</v>
      </c>
      <c r="G1275" s="192">
        <v>0</v>
      </c>
      <c r="H1275" s="192" t="s">
        <v>697</v>
      </c>
      <c r="I1275" s="192" t="s">
        <v>65</v>
      </c>
      <c r="J1275" s="192">
        <v>7.0000000298023224E-2</v>
      </c>
      <c r="K1275" s="192">
        <f>VLOOKUP($D1275,'RBSA Weights'!$A$2:$C$1406,3,FALSE)</f>
        <v>3785.7640000000001</v>
      </c>
    </row>
    <row r="1276" spans="1:11">
      <c r="A1276" s="192" t="s">
        <v>710</v>
      </c>
      <c r="B1276" s="192">
        <v>0.9</v>
      </c>
      <c r="C1276" s="192">
        <v>222905</v>
      </c>
      <c r="D1276" s="192">
        <v>24419</v>
      </c>
      <c r="E1276" s="192">
        <v>1</v>
      </c>
      <c r="F1276" s="192">
        <v>1500</v>
      </c>
      <c r="G1276" s="192">
        <v>0</v>
      </c>
      <c r="H1276" s="192" t="s">
        <v>705</v>
      </c>
      <c r="I1276" s="192" t="s">
        <v>65</v>
      </c>
      <c r="J1276" s="192">
        <v>7.0000000298023224E-2</v>
      </c>
      <c r="K1276" s="192">
        <f>VLOOKUP($D1276,'RBSA Weights'!$A$2:$C$1406,3,FALSE)</f>
        <v>1612.692</v>
      </c>
    </row>
    <row r="1277" spans="1:11">
      <c r="A1277" s="192" t="s">
        <v>710</v>
      </c>
      <c r="B1277" s="192">
        <v>0.9</v>
      </c>
      <c r="C1277" s="192">
        <v>185038</v>
      </c>
      <c r="D1277" s="192">
        <v>22935</v>
      </c>
      <c r="E1277" s="192">
        <v>1</v>
      </c>
      <c r="F1277" s="192">
        <v>2295</v>
      </c>
      <c r="G1277" s="192">
        <v>0</v>
      </c>
      <c r="H1277" s="192" t="s">
        <v>702</v>
      </c>
      <c r="I1277" s="192" t="s">
        <v>65</v>
      </c>
      <c r="J1277" s="192">
        <v>7.0000000298023224E-2</v>
      </c>
      <c r="K1277" s="192">
        <f>VLOOKUP($D1277,'RBSA Weights'!$A$2:$C$1406,3,FALSE)</f>
        <v>1192.4649999999999</v>
      </c>
    </row>
    <row r="1278" spans="1:11">
      <c r="A1278" s="192" t="s">
        <v>710</v>
      </c>
      <c r="B1278" s="192">
        <v>1</v>
      </c>
      <c r="C1278" s="192">
        <v>36473</v>
      </c>
      <c r="D1278" s="192">
        <v>13817</v>
      </c>
      <c r="E1278" s="192">
        <v>1</v>
      </c>
      <c r="F1278" s="192">
        <v>2050</v>
      </c>
      <c r="G1278" s="192">
        <v>30</v>
      </c>
      <c r="H1278" s="192" t="s">
        <v>697</v>
      </c>
      <c r="I1278" s="192" t="s">
        <v>65</v>
      </c>
      <c r="J1278" s="192">
        <v>1.9999999552965164E-2</v>
      </c>
      <c r="K1278" s="192">
        <f>VLOOKUP($D1278,'RBSA Weights'!$A$2:$C$1406,3,FALSE)</f>
        <v>1188.027</v>
      </c>
    </row>
    <row r="1279" spans="1:11">
      <c r="A1279" s="192" t="s">
        <v>710</v>
      </c>
      <c r="B1279" s="192">
        <v>1</v>
      </c>
      <c r="C1279" s="192">
        <v>201217</v>
      </c>
      <c r="D1279" s="192">
        <v>11282</v>
      </c>
      <c r="E1279" s="192">
        <v>1</v>
      </c>
      <c r="F1279" s="192">
        <v>2002</v>
      </c>
      <c r="G1279" s="192">
        <v>0</v>
      </c>
      <c r="H1279" s="192" t="s">
        <v>705</v>
      </c>
      <c r="I1279" s="192" t="s">
        <v>65</v>
      </c>
      <c r="J1279" s="192">
        <v>1.9999999552965164E-2</v>
      </c>
      <c r="K1279" s="192">
        <f>VLOOKUP($D1279,'RBSA Weights'!$A$2:$C$1406,3,FALSE)</f>
        <v>6932.7380000000003</v>
      </c>
    </row>
    <row r="1280" spans="1:11">
      <c r="A1280" s="192" t="s">
        <v>710</v>
      </c>
      <c r="B1280" s="192">
        <v>1</v>
      </c>
      <c r="C1280" s="192">
        <v>219427</v>
      </c>
      <c r="D1280" s="192">
        <v>14423</v>
      </c>
      <c r="E1280" s="192">
        <v>1</v>
      </c>
      <c r="F1280" s="192">
        <v>676</v>
      </c>
      <c r="G1280" s="192">
        <v>0</v>
      </c>
      <c r="H1280" s="192" t="s">
        <v>705</v>
      </c>
      <c r="I1280" s="192" t="s">
        <v>65</v>
      </c>
      <c r="J1280" s="192">
        <v>1.9999999552965164E-2</v>
      </c>
      <c r="K1280" s="192">
        <f>VLOOKUP($D1280,'RBSA Weights'!$A$2:$C$1406,3,FALSE)</f>
        <v>4956.4930000000004</v>
      </c>
    </row>
    <row r="1281" spans="1:11">
      <c r="A1281" s="192" t="s">
        <v>710</v>
      </c>
      <c r="B1281" s="192">
        <v>1</v>
      </c>
      <c r="C1281" s="192">
        <v>87879</v>
      </c>
      <c r="D1281" s="192">
        <v>20089</v>
      </c>
      <c r="E1281" s="192">
        <v>1</v>
      </c>
      <c r="F1281" s="192">
        <v>1240</v>
      </c>
      <c r="G1281" s="192">
        <v>10</v>
      </c>
      <c r="H1281" s="192" t="s">
        <v>700</v>
      </c>
      <c r="I1281" s="192" t="s">
        <v>65</v>
      </c>
      <c r="J1281" s="192">
        <v>1.9999999552965164E-2</v>
      </c>
      <c r="K1281" s="192">
        <f>VLOOKUP($D1281,'RBSA Weights'!$A$2:$C$1406,3,FALSE)</f>
        <v>1144.6790000000001</v>
      </c>
    </row>
    <row r="1282" spans="1:11">
      <c r="A1282" s="192" t="s">
        <v>710</v>
      </c>
      <c r="B1282" s="192">
        <v>1</v>
      </c>
      <c r="C1282" s="192">
        <v>36214</v>
      </c>
      <c r="D1282" s="192">
        <v>10637</v>
      </c>
      <c r="E1282" s="192">
        <v>1</v>
      </c>
      <c r="F1282" s="192">
        <v>1805</v>
      </c>
      <c r="G1282" s="192">
        <v>0</v>
      </c>
      <c r="H1282" s="192" t="s">
        <v>702</v>
      </c>
      <c r="I1282" s="192" t="s">
        <v>65</v>
      </c>
      <c r="J1282" s="192">
        <v>1.9999999552965164E-2</v>
      </c>
      <c r="K1282" s="192">
        <f>VLOOKUP($D1282,'RBSA Weights'!$A$2:$C$1406,3,FALSE)</f>
        <v>1188.027</v>
      </c>
    </row>
    <row r="1283" spans="1:11">
      <c r="A1283" s="192" t="s">
        <v>710</v>
      </c>
      <c r="B1283" s="192">
        <v>1</v>
      </c>
      <c r="C1283" s="192">
        <v>855946</v>
      </c>
      <c r="D1283" s="192">
        <v>20469</v>
      </c>
      <c r="E1283" s="192">
        <v>1</v>
      </c>
      <c r="F1283" s="192">
        <v>1137</v>
      </c>
      <c r="G1283" s="192">
        <v>0</v>
      </c>
      <c r="H1283" s="192" t="s">
        <v>705</v>
      </c>
      <c r="I1283" s="192" t="s">
        <v>65</v>
      </c>
      <c r="J1283" s="192">
        <v>1.9999999552965164E-2</v>
      </c>
      <c r="K1283" s="192">
        <f>VLOOKUP($D1283,'RBSA Weights'!$A$2:$C$1406,3,FALSE)</f>
        <v>1904.288</v>
      </c>
    </row>
    <row r="1284" spans="1:11">
      <c r="A1284" s="192" t="s">
        <v>710</v>
      </c>
      <c r="B1284" s="192">
        <v>1</v>
      </c>
      <c r="C1284" s="192">
        <v>68314</v>
      </c>
      <c r="D1284" s="192">
        <v>22673</v>
      </c>
      <c r="E1284" s="192">
        <v>1</v>
      </c>
      <c r="F1284" s="192">
        <v>600</v>
      </c>
      <c r="G1284" s="192">
        <v>10</v>
      </c>
      <c r="H1284" s="192" t="s">
        <v>705</v>
      </c>
      <c r="I1284" s="192" t="s">
        <v>65</v>
      </c>
      <c r="J1284" s="192">
        <v>1.9999999552965164E-2</v>
      </c>
      <c r="K1284" s="192">
        <f>VLOOKUP($D1284,'RBSA Weights'!$A$2:$C$1406,3,FALSE)</f>
        <v>1144.6790000000001</v>
      </c>
    </row>
    <row r="1285" spans="1:11">
      <c r="A1285" s="192" t="s">
        <v>710</v>
      </c>
      <c r="B1285" s="192">
        <v>1</v>
      </c>
      <c r="C1285" s="192">
        <v>178873</v>
      </c>
      <c r="D1285" s="192">
        <v>22312</v>
      </c>
      <c r="E1285" s="192">
        <v>1</v>
      </c>
      <c r="F1285" s="192">
        <v>1422</v>
      </c>
      <c r="G1285" s="192">
        <v>0</v>
      </c>
      <c r="H1285" s="192" t="s">
        <v>705</v>
      </c>
      <c r="I1285" s="192" t="s">
        <v>65</v>
      </c>
      <c r="J1285" s="192">
        <v>1.9999999552965164E-2</v>
      </c>
      <c r="K1285" s="192">
        <f>VLOOKUP($D1285,'RBSA Weights'!$A$2:$C$1406,3,FALSE)</f>
        <v>3785.7640000000001</v>
      </c>
    </row>
    <row r="1286" spans="1:11">
      <c r="A1286" s="192" t="s">
        <v>710</v>
      </c>
      <c r="B1286" s="192">
        <v>1</v>
      </c>
      <c r="C1286" s="192">
        <v>133954</v>
      </c>
      <c r="D1286" s="192">
        <v>12499</v>
      </c>
      <c r="E1286" s="192">
        <v>1</v>
      </c>
      <c r="F1286" s="192">
        <v>1770</v>
      </c>
      <c r="G1286" s="192">
        <v>0</v>
      </c>
      <c r="H1286" s="192" t="s">
        <v>705</v>
      </c>
      <c r="I1286" s="192" t="s">
        <v>65</v>
      </c>
      <c r="J1286" s="192">
        <v>1.9999999552965164E-2</v>
      </c>
      <c r="K1286" s="192">
        <f>VLOOKUP($D1286,'RBSA Weights'!$A$2:$C$1406,3,FALSE)</f>
        <v>6932.7380000000003</v>
      </c>
    </row>
    <row r="1287" spans="1:11">
      <c r="A1287" s="192" t="s">
        <v>710</v>
      </c>
      <c r="B1287" s="192">
        <v>1</v>
      </c>
      <c r="C1287" s="192">
        <v>184784</v>
      </c>
      <c r="D1287" s="192">
        <v>20965</v>
      </c>
      <c r="E1287" s="192">
        <v>1</v>
      </c>
      <c r="F1287" s="192">
        <v>1400</v>
      </c>
      <c r="G1287" s="192">
        <v>0</v>
      </c>
      <c r="H1287" s="192" t="s">
        <v>702</v>
      </c>
      <c r="I1287" s="192" t="s">
        <v>65</v>
      </c>
      <c r="J1287" s="192">
        <v>1.9999999552965164E-2</v>
      </c>
      <c r="K1287" s="192">
        <f>VLOOKUP($D1287,'RBSA Weights'!$A$2:$C$1406,3,FALSE)</f>
        <v>3785.7640000000001</v>
      </c>
    </row>
    <row r="1288" spans="1:11">
      <c r="A1288" s="192" t="s">
        <v>710</v>
      </c>
      <c r="B1288" s="192">
        <v>1</v>
      </c>
      <c r="C1288" s="192">
        <v>726301</v>
      </c>
      <c r="D1288" s="192">
        <v>12482</v>
      </c>
      <c r="E1288" s="192">
        <v>1</v>
      </c>
      <c r="F1288" s="192">
        <v>1044</v>
      </c>
      <c r="G1288" s="192">
        <v>0</v>
      </c>
      <c r="H1288" s="192" t="s">
        <v>705</v>
      </c>
      <c r="I1288" s="192" t="s">
        <v>65</v>
      </c>
      <c r="J1288" s="192">
        <v>1.9999999552965164E-2</v>
      </c>
      <c r="K1288" s="192">
        <f>VLOOKUP($D1288,'RBSA Weights'!$A$2:$C$1406,3,FALSE)</f>
        <v>4956.4930000000004</v>
      </c>
    </row>
    <row r="1289" spans="1:11">
      <c r="A1289" s="192" t="s">
        <v>710</v>
      </c>
      <c r="B1289" s="192">
        <v>1</v>
      </c>
      <c r="C1289" s="192">
        <v>132295</v>
      </c>
      <c r="D1289" s="192">
        <v>23021</v>
      </c>
      <c r="E1289" s="192">
        <v>1</v>
      </c>
      <c r="F1289" s="192">
        <v>1628</v>
      </c>
      <c r="G1289" s="192">
        <v>9</v>
      </c>
      <c r="H1289" s="192" t="s">
        <v>702</v>
      </c>
      <c r="I1289" s="192" t="s">
        <v>65</v>
      </c>
      <c r="J1289" s="192">
        <v>1.9999999552965164E-2</v>
      </c>
      <c r="K1289" s="192">
        <f>VLOOKUP($D1289,'RBSA Weights'!$A$2:$C$1406,3,FALSE)</f>
        <v>1144.6790000000001</v>
      </c>
    </row>
    <row r="1290" spans="1:11">
      <c r="A1290" s="192" t="s">
        <v>710</v>
      </c>
      <c r="B1290" s="192">
        <v>1</v>
      </c>
      <c r="C1290" s="192">
        <v>176472</v>
      </c>
      <c r="D1290" s="192">
        <v>24740</v>
      </c>
      <c r="E1290" s="192">
        <v>1</v>
      </c>
      <c r="F1290" s="192">
        <v>1584</v>
      </c>
      <c r="G1290" s="192">
        <v>0</v>
      </c>
      <c r="H1290" s="192" t="s">
        <v>697</v>
      </c>
      <c r="I1290" s="192" t="s">
        <v>65</v>
      </c>
      <c r="J1290" s="192">
        <v>1.9999999552965164E-2</v>
      </c>
      <c r="K1290" s="192">
        <f>VLOOKUP($D1290,'RBSA Weights'!$A$2:$C$1406,3,FALSE)</f>
        <v>2130.886</v>
      </c>
    </row>
    <row r="1291" spans="1:11">
      <c r="A1291" s="192" t="s">
        <v>710</v>
      </c>
      <c r="B1291" s="192">
        <v>1</v>
      </c>
      <c r="C1291" s="192">
        <v>88467</v>
      </c>
      <c r="D1291" s="192">
        <v>20650</v>
      </c>
      <c r="E1291" s="192">
        <v>1</v>
      </c>
      <c r="F1291" s="192">
        <v>1008</v>
      </c>
      <c r="G1291" s="192">
        <v>50</v>
      </c>
      <c r="H1291" s="192" t="s">
        <v>705</v>
      </c>
      <c r="I1291" s="192" t="s">
        <v>65</v>
      </c>
      <c r="J1291" s="192">
        <v>1.9999999552965164E-2</v>
      </c>
      <c r="K1291" s="192">
        <f>VLOOKUP($D1291,'RBSA Weights'!$A$2:$C$1406,3,FALSE)</f>
        <v>1925.059</v>
      </c>
    </row>
    <row r="1292" spans="1:11">
      <c r="A1292" s="192" t="s">
        <v>710</v>
      </c>
      <c r="B1292" s="192">
        <v>1</v>
      </c>
      <c r="C1292" s="192">
        <v>82219</v>
      </c>
      <c r="D1292" s="192">
        <v>12510</v>
      </c>
      <c r="E1292" s="192">
        <v>2</v>
      </c>
      <c r="F1292" s="192">
        <v>2308</v>
      </c>
      <c r="G1292" s="192">
        <v>8</v>
      </c>
      <c r="H1292" s="192" t="s">
        <v>697</v>
      </c>
      <c r="I1292" s="192" t="s">
        <v>65</v>
      </c>
      <c r="J1292" s="192">
        <v>1.9999999552965164E-2</v>
      </c>
      <c r="K1292" s="192">
        <f>VLOOKUP($D1292,'RBSA Weights'!$A$2:$C$1406,3,FALSE)</f>
        <v>2003.7159999999999</v>
      </c>
    </row>
    <row r="1293" spans="1:11">
      <c r="A1293" s="192" t="s">
        <v>710</v>
      </c>
      <c r="B1293" s="192">
        <v>1</v>
      </c>
      <c r="C1293" s="192">
        <v>63855</v>
      </c>
      <c r="D1293" s="192">
        <v>20392</v>
      </c>
      <c r="E1293" s="192">
        <v>1</v>
      </c>
      <c r="F1293" s="192">
        <v>3100</v>
      </c>
      <c r="G1293" s="192">
        <v>0</v>
      </c>
      <c r="H1293" s="192" t="s">
        <v>705</v>
      </c>
      <c r="I1293" s="192" t="s">
        <v>65</v>
      </c>
      <c r="J1293" s="192">
        <v>1.9999999552965164E-2</v>
      </c>
      <c r="K1293" s="192">
        <f>VLOOKUP($D1293,'RBSA Weights'!$A$2:$C$1406,3,FALSE)</f>
        <v>1904.288</v>
      </c>
    </row>
    <row r="1294" spans="1:11">
      <c r="A1294" s="192" t="s">
        <v>710</v>
      </c>
      <c r="B1294" s="192">
        <v>1</v>
      </c>
      <c r="C1294" s="192">
        <v>685699</v>
      </c>
      <c r="D1294" s="192">
        <v>14560</v>
      </c>
      <c r="E1294" s="192">
        <v>1</v>
      </c>
      <c r="F1294" s="192">
        <v>1055</v>
      </c>
      <c r="G1294" s="192">
        <v>0</v>
      </c>
      <c r="H1294" s="192" t="s">
        <v>697</v>
      </c>
      <c r="I1294" s="192" t="s">
        <v>65</v>
      </c>
      <c r="J1294" s="192">
        <v>1.9999999552965164E-2</v>
      </c>
      <c r="K1294" s="192">
        <f>VLOOKUP($D1294,'RBSA Weights'!$A$2:$C$1406,3,FALSE)</f>
        <v>6932.7380000000003</v>
      </c>
    </row>
    <row r="1295" spans="1:11">
      <c r="A1295" s="192" t="s">
        <v>710</v>
      </c>
      <c r="B1295" s="192">
        <v>1</v>
      </c>
      <c r="C1295" s="192">
        <v>130027</v>
      </c>
      <c r="D1295" s="192">
        <v>22172</v>
      </c>
      <c r="E1295" s="192">
        <v>1</v>
      </c>
      <c r="F1295" s="192">
        <v>1498</v>
      </c>
      <c r="G1295" s="192">
        <v>0</v>
      </c>
      <c r="H1295" s="192" t="s">
        <v>702</v>
      </c>
      <c r="I1295" s="192" t="s">
        <v>65</v>
      </c>
      <c r="J1295" s="192">
        <v>1.9999999552965164E-2</v>
      </c>
      <c r="K1295" s="192">
        <f>VLOOKUP($D1295,'RBSA Weights'!$A$2:$C$1406,3,FALSE)</f>
        <v>1904.288</v>
      </c>
    </row>
    <row r="1296" spans="1:11">
      <c r="A1296" s="192" t="s">
        <v>710</v>
      </c>
      <c r="B1296" s="192">
        <v>1</v>
      </c>
      <c r="C1296" s="192">
        <v>198385</v>
      </c>
      <c r="D1296" s="192">
        <v>13948</v>
      </c>
      <c r="E1296" s="192">
        <v>1</v>
      </c>
      <c r="F1296" s="192">
        <v>624</v>
      </c>
      <c r="G1296" s="192">
        <v>0</v>
      </c>
      <c r="H1296" s="192" t="s">
        <v>697</v>
      </c>
      <c r="I1296" s="192" t="s">
        <v>65</v>
      </c>
      <c r="J1296" s="192">
        <v>1.9999999552965164E-2</v>
      </c>
      <c r="K1296" s="192">
        <f>VLOOKUP($D1296,'RBSA Weights'!$A$2:$C$1406,3,FALSE)</f>
        <v>1524.7619999999999</v>
      </c>
    </row>
    <row r="1297" spans="1:11">
      <c r="A1297" s="192" t="s">
        <v>710</v>
      </c>
      <c r="B1297" s="192">
        <v>1</v>
      </c>
      <c r="C1297" s="192">
        <v>86942</v>
      </c>
      <c r="D1297" s="192">
        <v>23113</v>
      </c>
      <c r="E1297" s="192">
        <v>1</v>
      </c>
      <c r="F1297" s="192">
        <v>1377</v>
      </c>
      <c r="G1297" s="192">
        <v>4</v>
      </c>
      <c r="H1297" s="192" t="s">
        <v>705</v>
      </c>
      <c r="I1297" s="192" t="s">
        <v>65</v>
      </c>
      <c r="J1297" s="192">
        <v>1.9999999552965164E-2</v>
      </c>
      <c r="K1297" s="192">
        <f>VLOOKUP($D1297,'RBSA Weights'!$A$2:$C$1406,3,FALSE)</f>
        <v>1144.6790000000001</v>
      </c>
    </row>
    <row r="1298" spans="1:11">
      <c r="A1298" s="192" t="s">
        <v>710</v>
      </c>
      <c r="B1298" s="192">
        <v>1</v>
      </c>
      <c r="C1298" s="192">
        <v>94891</v>
      </c>
      <c r="D1298" s="192">
        <v>13643</v>
      </c>
      <c r="E1298" s="192">
        <v>1</v>
      </c>
      <c r="F1298" s="192">
        <v>1645</v>
      </c>
      <c r="G1298" s="192">
        <v>0</v>
      </c>
      <c r="H1298" s="192" t="s">
        <v>702</v>
      </c>
      <c r="I1298" s="192" t="s">
        <v>65</v>
      </c>
      <c r="J1298" s="192">
        <v>1.9999999552965164E-2</v>
      </c>
      <c r="K1298" s="192">
        <f>VLOOKUP($D1298,'RBSA Weights'!$A$2:$C$1406,3,FALSE)</f>
        <v>2003.7159999999999</v>
      </c>
    </row>
    <row r="1299" spans="1:11">
      <c r="A1299" s="192" t="s">
        <v>710</v>
      </c>
      <c r="B1299" s="192">
        <v>1</v>
      </c>
      <c r="C1299" s="192">
        <v>212191</v>
      </c>
      <c r="D1299" s="192">
        <v>10016</v>
      </c>
      <c r="E1299" s="192">
        <v>1</v>
      </c>
      <c r="F1299" s="192">
        <v>1618</v>
      </c>
      <c r="G1299" s="192">
        <v>0</v>
      </c>
      <c r="H1299" s="192" t="s">
        <v>697</v>
      </c>
      <c r="I1299" s="192" t="s">
        <v>65</v>
      </c>
      <c r="J1299" s="192">
        <v>1.9999999552965164E-2</v>
      </c>
      <c r="K1299" s="192">
        <f>VLOOKUP($D1299,'RBSA Weights'!$A$2:$C$1406,3,FALSE)</f>
        <v>6932.7380000000003</v>
      </c>
    </row>
    <row r="1300" spans="1:11">
      <c r="A1300" s="192" t="s">
        <v>710</v>
      </c>
      <c r="B1300" s="192">
        <v>1</v>
      </c>
      <c r="C1300" s="192">
        <v>678471</v>
      </c>
      <c r="D1300" s="192">
        <v>23267</v>
      </c>
      <c r="E1300" s="192">
        <v>1</v>
      </c>
      <c r="F1300" s="192">
        <v>953</v>
      </c>
      <c r="G1300" s="192">
        <v>50</v>
      </c>
      <c r="H1300" s="192" t="s">
        <v>699</v>
      </c>
      <c r="I1300" s="192" t="s">
        <v>65</v>
      </c>
      <c r="J1300" s="192">
        <v>1.9999999552965164E-2</v>
      </c>
      <c r="K1300" s="192">
        <f>VLOOKUP($D1300,'RBSA Weights'!$A$2:$C$1406,3,FALSE)</f>
        <v>8264.9449999999997</v>
      </c>
    </row>
    <row r="1301" spans="1:11">
      <c r="A1301" s="192" t="s">
        <v>710</v>
      </c>
      <c r="B1301" s="192">
        <v>1</v>
      </c>
      <c r="C1301" s="192">
        <v>104870</v>
      </c>
      <c r="D1301" s="192">
        <v>11217</v>
      </c>
      <c r="E1301" s="192">
        <v>1</v>
      </c>
      <c r="F1301" s="192">
        <v>950</v>
      </c>
      <c r="G1301" s="192">
        <v>0</v>
      </c>
      <c r="H1301" s="192" t="s">
        <v>700</v>
      </c>
      <c r="I1301" s="192" t="s">
        <v>65</v>
      </c>
      <c r="J1301" s="192">
        <v>1.9999999552965164E-2</v>
      </c>
      <c r="K1301" s="192">
        <f>VLOOKUP($D1301,'RBSA Weights'!$A$2:$C$1406,3,FALSE)</f>
        <v>4956.4930000000004</v>
      </c>
    </row>
    <row r="1302" spans="1:11">
      <c r="A1302" s="192" t="s">
        <v>710</v>
      </c>
      <c r="B1302" s="192">
        <v>1</v>
      </c>
      <c r="C1302" s="192">
        <v>181165</v>
      </c>
      <c r="D1302" s="192">
        <v>20601</v>
      </c>
      <c r="E1302" s="192">
        <v>1</v>
      </c>
      <c r="F1302" s="192">
        <v>1248</v>
      </c>
      <c r="G1302" s="192">
        <v>0</v>
      </c>
      <c r="H1302" s="192" t="s">
        <v>697</v>
      </c>
      <c r="I1302" s="192" t="s">
        <v>65</v>
      </c>
      <c r="J1302" s="192">
        <v>1.9999999552965164E-2</v>
      </c>
      <c r="K1302" s="192">
        <f>VLOOKUP($D1302,'RBSA Weights'!$A$2:$C$1406,3,FALSE)</f>
        <v>2130.886</v>
      </c>
    </row>
    <row r="1303" spans="1:11">
      <c r="A1303" s="192" t="s">
        <v>710</v>
      </c>
      <c r="B1303" s="192">
        <v>1</v>
      </c>
      <c r="C1303" s="192">
        <v>199893</v>
      </c>
      <c r="D1303" s="192">
        <v>20746</v>
      </c>
      <c r="E1303" s="192">
        <v>1</v>
      </c>
      <c r="F1303" s="192">
        <v>1200</v>
      </c>
      <c r="G1303" s="192">
        <v>7</v>
      </c>
      <c r="H1303" s="192" t="s">
        <v>700</v>
      </c>
      <c r="I1303" s="192" t="s">
        <v>65</v>
      </c>
      <c r="J1303" s="192">
        <v>1.9999999552965164E-2</v>
      </c>
      <c r="K1303" s="192">
        <f>VLOOKUP($D1303,'RBSA Weights'!$A$2:$C$1406,3,FALSE)</f>
        <v>2130.886</v>
      </c>
    </row>
    <row r="1304" spans="1:11">
      <c r="A1304" s="192" t="s">
        <v>710</v>
      </c>
      <c r="B1304" s="192">
        <v>1</v>
      </c>
      <c r="C1304" s="192">
        <v>133427</v>
      </c>
      <c r="D1304" s="192">
        <v>20245</v>
      </c>
      <c r="E1304" s="192">
        <v>1</v>
      </c>
      <c r="F1304" s="192">
        <v>400</v>
      </c>
      <c r="G1304" s="192">
        <v>0</v>
      </c>
      <c r="H1304" s="192" t="s">
        <v>702</v>
      </c>
      <c r="I1304" s="192" t="s">
        <v>65</v>
      </c>
      <c r="J1304" s="192">
        <v>1.9999999552965164E-2</v>
      </c>
      <c r="K1304" s="192">
        <f>VLOOKUP($D1304,'RBSA Weights'!$A$2:$C$1406,3,FALSE)</f>
        <v>2079.9929999999999</v>
      </c>
    </row>
    <row r="1305" spans="1:11">
      <c r="A1305" s="192" t="s">
        <v>710</v>
      </c>
      <c r="B1305" s="192">
        <v>1</v>
      </c>
      <c r="C1305" s="192">
        <v>222378</v>
      </c>
      <c r="D1305" s="192">
        <v>22129</v>
      </c>
      <c r="E1305" s="192">
        <v>1</v>
      </c>
      <c r="F1305" s="192">
        <v>1540</v>
      </c>
      <c r="G1305" s="192">
        <v>50</v>
      </c>
      <c r="H1305" s="192" t="s">
        <v>700</v>
      </c>
      <c r="I1305" s="192" t="s">
        <v>65</v>
      </c>
      <c r="J1305" s="192">
        <v>1.9999999552965164E-2</v>
      </c>
      <c r="K1305" s="192">
        <f>VLOOKUP($D1305,'RBSA Weights'!$A$2:$C$1406,3,FALSE)</f>
        <v>1925.059</v>
      </c>
    </row>
    <row r="1306" spans="1:11">
      <c r="A1306" s="192" t="s">
        <v>710</v>
      </c>
      <c r="B1306" s="192">
        <v>1</v>
      </c>
      <c r="C1306" s="192">
        <v>46915</v>
      </c>
      <c r="D1306" s="192">
        <v>24550</v>
      </c>
      <c r="E1306" s="192">
        <v>1</v>
      </c>
      <c r="F1306" s="192">
        <v>1700</v>
      </c>
      <c r="G1306" s="192">
        <v>0</v>
      </c>
      <c r="H1306" s="192" t="s">
        <v>702</v>
      </c>
      <c r="I1306" s="192" t="s">
        <v>65</v>
      </c>
      <c r="J1306" s="192">
        <v>1.9999999552965164E-2</v>
      </c>
      <c r="K1306" s="192">
        <f>VLOOKUP($D1306,'RBSA Weights'!$A$2:$C$1406,3,FALSE)</f>
        <v>8264.9449999999997</v>
      </c>
    </row>
    <row r="1307" spans="1:11">
      <c r="A1307" s="192" t="s">
        <v>710</v>
      </c>
      <c r="B1307" s="192">
        <v>1</v>
      </c>
      <c r="C1307" s="192">
        <v>88049</v>
      </c>
      <c r="D1307" s="192">
        <v>22728</v>
      </c>
      <c r="E1307" s="192">
        <v>1</v>
      </c>
      <c r="F1307" s="192">
        <v>620</v>
      </c>
      <c r="G1307" s="192">
        <v>10</v>
      </c>
      <c r="H1307" s="192" t="s">
        <v>705</v>
      </c>
      <c r="I1307" s="192" t="s">
        <v>65</v>
      </c>
      <c r="J1307" s="192">
        <v>1.9999999552965164E-2</v>
      </c>
      <c r="K1307" s="192">
        <f>VLOOKUP($D1307,'RBSA Weights'!$A$2:$C$1406,3,FALSE)</f>
        <v>1144.6790000000001</v>
      </c>
    </row>
    <row r="1308" spans="1:11">
      <c r="A1308" s="192" t="s">
        <v>710</v>
      </c>
      <c r="B1308" s="192">
        <v>1</v>
      </c>
      <c r="C1308" s="192">
        <v>719021</v>
      </c>
      <c r="D1308" s="192">
        <v>11772</v>
      </c>
      <c r="E1308" s="192">
        <v>1</v>
      </c>
      <c r="F1308" s="192">
        <v>668</v>
      </c>
      <c r="G1308" s="192">
        <v>0</v>
      </c>
      <c r="H1308" s="192" t="s">
        <v>702</v>
      </c>
      <c r="I1308" s="192" t="s">
        <v>65</v>
      </c>
      <c r="J1308" s="192">
        <v>1.9999999552965164E-2</v>
      </c>
      <c r="K1308" s="192">
        <f>VLOOKUP($D1308,'RBSA Weights'!$A$2:$C$1406,3,FALSE)</f>
        <v>1464.694</v>
      </c>
    </row>
    <row r="1309" spans="1:11">
      <c r="A1309" s="192" t="s">
        <v>710</v>
      </c>
      <c r="B1309" s="192">
        <v>1</v>
      </c>
      <c r="C1309" s="192">
        <v>173481</v>
      </c>
      <c r="D1309" s="192">
        <v>23631</v>
      </c>
      <c r="E1309" s="192">
        <v>1</v>
      </c>
      <c r="F1309" s="192">
        <v>840</v>
      </c>
      <c r="G1309" s="192">
        <v>50</v>
      </c>
      <c r="H1309" s="192" t="s">
        <v>697</v>
      </c>
      <c r="I1309" s="192" t="s">
        <v>65</v>
      </c>
      <c r="J1309" s="192">
        <v>1.9999999552965164E-2</v>
      </c>
      <c r="K1309" s="192">
        <f>VLOOKUP($D1309,'RBSA Weights'!$A$2:$C$1406,3,FALSE)</f>
        <v>1925.059</v>
      </c>
    </row>
    <row r="1310" spans="1:11">
      <c r="A1310" s="192" t="s">
        <v>710</v>
      </c>
      <c r="B1310" s="192">
        <v>1</v>
      </c>
      <c r="C1310" s="192">
        <v>177215</v>
      </c>
      <c r="D1310" s="192">
        <v>23973</v>
      </c>
      <c r="E1310" s="192">
        <v>1</v>
      </c>
      <c r="F1310" s="192">
        <v>750</v>
      </c>
      <c r="G1310" s="192">
        <v>0</v>
      </c>
      <c r="H1310" s="192" t="s">
        <v>702</v>
      </c>
      <c r="I1310" s="192" t="s">
        <v>65</v>
      </c>
      <c r="J1310" s="192">
        <v>1.9999999552965164E-2</v>
      </c>
      <c r="K1310" s="192">
        <f>VLOOKUP($D1310,'RBSA Weights'!$A$2:$C$1406,3,FALSE)</f>
        <v>1192.4649999999999</v>
      </c>
    </row>
    <row r="1311" spans="1:11">
      <c r="A1311" s="192" t="s">
        <v>710</v>
      </c>
      <c r="B1311" s="192">
        <v>1</v>
      </c>
      <c r="C1311" s="192">
        <v>100507</v>
      </c>
      <c r="D1311" s="192">
        <v>13315</v>
      </c>
      <c r="E1311" s="192">
        <v>1</v>
      </c>
      <c r="F1311" s="192">
        <v>497</v>
      </c>
      <c r="G1311" s="192">
        <v>8</v>
      </c>
      <c r="H1311" s="192" t="s">
        <v>700</v>
      </c>
      <c r="I1311" s="192" t="s">
        <v>65</v>
      </c>
      <c r="J1311" s="192">
        <v>1.9999999552965164E-2</v>
      </c>
      <c r="K1311" s="192">
        <f>VLOOKUP($D1311,'RBSA Weights'!$A$2:$C$1406,3,FALSE)</f>
        <v>4956.4930000000004</v>
      </c>
    </row>
    <row r="1312" spans="1:11">
      <c r="A1312" s="192" t="s">
        <v>710</v>
      </c>
      <c r="B1312" s="192">
        <v>1</v>
      </c>
      <c r="C1312" s="192">
        <v>131493</v>
      </c>
      <c r="D1312" s="192">
        <v>23391</v>
      </c>
      <c r="E1312" s="192">
        <v>1</v>
      </c>
      <c r="F1312" s="192">
        <v>696</v>
      </c>
      <c r="G1312" s="192">
        <v>5</v>
      </c>
      <c r="H1312" s="192" t="s">
        <v>705</v>
      </c>
      <c r="I1312" s="192" t="s">
        <v>65</v>
      </c>
      <c r="J1312" s="192">
        <v>1.9999999552965164E-2</v>
      </c>
      <c r="K1312" s="192">
        <f>VLOOKUP($D1312,'RBSA Weights'!$A$2:$C$1406,3,FALSE)</f>
        <v>1612.692</v>
      </c>
    </row>
    <row r="1313" spans="1:11">
      <c r="A1313" s="192" t="s">
        <v>710</v>
      </c>
      <c r="B1313" s="192">
        <v>1</v>
      </c>
      <c r="C1313" s="192">
        <v>683866</v>
      </c>
      <c r="D1313" s="192">
        <v>21799</v>
      </c>
      <c r="E1313" s="192">
        <v>1</v>
      </c>
      <c r="F1313" s="192">
        <v>1243</v>
      </c>
      <c r="G1313" s="192">
        <v>0</v>
      </c>
      <c r="H1313" s="192" t="s">
        <v>705</v>
      </c>
      <c r="I1313" s="192" t="s">
        <v>65</v>
      </c>
      <c r="J1313" s="192">
        <v>1.9999999552965164E-2</v>
      </c>
      <c r="K1313" s="192">
        <f>VLOOKUP($D1313,'RBSA Weights'!$A$2:$C$1406,3,FALSE)</f>
        <v>1904.288</v>
      </c>
    </row>
    <row r="1314" spans="1:11">
      <c r="A1314" s="192" t="s">
        <v>710</v>
      </c>
      <c r="B1314" s="192">
        <v>1</v>
      </c>
      <c r="C1314" s="192">
        <v>184512</v>
      </c>
      <c r="D1314" s="192">
        <v>20152</v>
      </c>
      <c r="E1314" s="192">
        <v>1</v>
      </c>
      <c r="F1314" s="192">
        <v>1428</v>
      </c>
      <c r="G1314" s="192">
        <v>10</v>
      </c>
      <c r="H1314" s="192" t="s">
        <v>705</v>
      </c>
      <c r="I1314" s="192" t="s">
        <v>65</v>
      </c>
      <c r="J1314" s="192">
        <v>1.9999999552965164E-2</v>
      </c>
      <c r="K1314" s="192">
        <f>VLOOKUP($D1314,'RBSA Weights'!$A$2:$C$1406,3,FALSE)</f>
        <v>3785.7640000000001</v>
      </c>
    </row>
    <row r="1315" spans="1:11">
      <c r="A1315" s="192" t="s">
        <v>710</v>
      </c>
      <c r="B1315" s="192">
        <v>1</v>
      </c>
      <c r="C1315" s="192">
        <v>195624</v>
      </c>
      <c r="D1315" s="192">
        <v>13400</v>
      </c>
      <c r="E1315" s="192">
        <v>1</v>
      </c>
      <c r="F1315" s="192">
        <v>2200</v>
      </c>
      <c r="G1315" s="192">
        <v>50</v>
      </c>
      <c r="H1315" s="192" t="s">
        <v>700</v>
      </c>
      <c r="I1315" s="192" t="s">
        <v>65</v>
      </c>
      <c r="J1315" s="192">
        <v>1.9999999552965164E-2</v>
      </c>
      <c r="K1315" s="192">
        <f>VLOOKUP($D1315,'RBSA Weights'!$A$2:$C$1406,3,FALSE)</f>
        <v>6932.7380000000003</v>
      </c>
    </row>
    <row r="1316" spans="1:11">
      <c r="A1316" s="192" t="s">
        <v>710</v>
      </c>
      <c r="B1316" s="192">
        <v>1</v>
      </c>
      <c r="C1316" s="192">
        <v>82219</v>
      </c>
      <c r="D1316" s="192">
        <v>12510</v>
      </c>
      <c r="E1316" s="192">
        <v>1</v>
      </c>
      <c r="F1316" s="192">
        <v>185</v>
      </c>
      <c r="G1316" s="192">
        <v>8</v>
      </c>
      <c r="H1316" s="192" t="s">
        <v>700</v>
      </c>
      <c r="I1316" s="192" t="s">
        <v>65</v>
      </c>
      <c r="J1316" s="192">
        <v>1.9999999552965164E-2</v>
      </c>
      <c r="K1316" s="192">
        <f>VLOOKUP($D1316,'RBSA Weights'!$A$2:$C$1406,3,FALSE)</f>
        <v>2003.7159999999999</v>
      </c>
    </row>
    <row r="1317" spans="1:11">
      <c r="A1317" s="192" t="s">
        <v>710</v>
      </c>
      <c r="B1317" s="192">
        <v>1</v>
      </c>
      <c r="C1317" s="192">
        <v>724647</v>
      </c>
      <c r="D1317" s="192">
        <v>10764</v>
      </c>
      <c r="E1317" s="192">
        <v>1</v>
      </c>
      <c r="F1317" s="192">
        <v>1344</v>
      </c>
      <c r="G1317" s="192">
        <v>0</v>
      </c>
      <c r="H1317" s="192" t="s">
        <v>705</v>
      </c>
      <c r="I1317" s="192" t="s">
        <v>800</v>
      </c>
      <c r="J1317" s="192">
        <v>1.9999999552965164E-2</v>
      </c>
      <c r="K1317" s="192">
        <f>VLOOKUP($D1317,'RBSA Weights'!$A$2:$C$1406,3,FALSE)</f>
        <v>1524.7619999999999</v>
      </c>
    </row>
    <row r="1318" spans="1:11">
      <c r="A1318" s="192" t="s">
        <v>710</v>
      </c>
      <c r="B1318" s="192">
        <v>1</v>
      </c>
      <c r="C1318" s="192">
        <v>166044</v>
      </c>
      <c r="D1318" s="192">
        <v>23403</v>
      </c>
      <c r="E1318" s="192">
        <v>1</v>
      </c>
      <c r="F1318" s="192">
        <v>1344</v>
      </c>
      <c r="G1318" s="192">
        <v>0</v>
      </c>
      <c r="H1318" s="192" t="s">
        <v>705</v>
      </c>
      <c r="I1318" s="192" t="s">
        <v>65</v>
      </c>
      <c r="J1318" s="192">
        <v>1.9999999552965164E-2</v>
      </c>
      <c r="K1318" s="192">
        <f>VLOOKUP($D1318,'RBSA Weights'!$A$2:$C$1406,3,FALSE)</f>
        <v>3785.7640000000001</v>
      </c>
    </row>
    <row r="1319" spans="1:11">
      <c r="A1319" s="192" t="s">
        <v>710</v>
      </c>
      <c r="B1319" s="192">
        <v>1</v>
      </c>
      <c r="C1319" s="192">
        <v>68557</v>
      </c>
      <c r="D1319" s="192">
        <v>20100</v>
      </c>
      <c r="E1319" s="192">
        <v>1</v>
      </c>
      <c r="F1319" s="192">
        <v>1656</v>
      </c>
      <c r="G1319" s="192">
        <v>4</v>
      </c>
      <c r="H1319" s="192" t="s">
        <v>705</v>
      </c>
      <c r="I1319" s="192" t="s">
        <v>65</v>
      </c>
      <c r="J1319" s="192">
        <v>1.9999999552965164E-2</v>
      </c>
      <c r="K1319" s="192">
        <f>VLOOKUP($D1319,'RBSA Weights'!$A$2:$C$1406,3,FALSE)</f>
        <v>2130.886</v>
      </c>
    </row>
    <row r="1320" spans="1:11">
      <c r="A1320" s="192" t="s">
        <v>710</v>
      </c>
      <c r="B1320" s="192">
        <v>1</v>
      </c>
      <c r="C1320" s="192">
        <v>101813</v>
      </c>
      <c r="D1320" s="192">
        <v>21654</v>
      </c>
      <c r="E1320" s="192">
        <v>1</v>
      </c>
      <c r="F1320" s="192">
        <v>3500</v>
      </c>
      <c r="G1320" s="192">
        <v>10</v>
      </c>
      <c r="H1320" s="192" t="s">
        <v>704</v>
      </c>
      <c r="I1320" s="192" t="s">
        <v>65</v>
      </c>
      <c r="J1320" s="192">
        <v>1.9999999552965164E-2</v>
      </c>
      <c r="K1320" s="192">
        <f>VLOOKUP($D1320,'RBSA Weights'!$A$2:$C$1406,3,FALSE)</f>
        <v>1144.6790000000001</v>
      </c>
    </row>
    <row r="1321" spans="1:11">
      <c r="A1321" s="192" t="s">
        <v>710</v>
      </c>
      <c r="B1321" s="192">
        <v>1</v>
      </c>
      <c r="C1321" s="192">
        <v>89041</v>
      </c>
      <c r="D1321" s="192">
        <v>11860</v>
      </c>
      <c r="E1321" s="192">
        <v>1</v>
      </c>
      <c r="F1321" s="192">
        <v>1642</v>
      </c>
      <c r="G1321" s="192">
        <v>12</v>
      </c>
      <c r="H1321" s="192" t="s">
        <v>705</v>
      </c>
      <c r="I1321" s="192" t="s">
        <v>65</v>
      </c>
      <c r="J1321" s="192">
        <v>1.9999999552965164E-2</v>
      </c>
      <c r="K1321" s="192">
        <f>VLOOKUP($D1321,'RBSA Weights'!$A$2:$C$1406,3,FALSE)</f>
        <v>2003.7159999999999</v>
      </c>
    </row>
    <row r="1322" spans="1:11">
      <c r="A1322" s="192" t="s">
        <v>710</v>
      </c>
      <c r="B1322" s="192">
        <v>1</v>
      </c>
      <c r="C1322" s="192">
        <v>226506</v>
      </c>
      <c r="D1322" s="192">
        <v>23965</v>
      </c>
      <c r="E1322" s="192">
        <v>1</v>
      </c>
      <c r="F1322" s="192">
        <v>1527</v>
      </c>
      <c r="G1322" s="192">
        <v>0</v>
      </c>
      <c r="H1322" s="192" t="s">
        <v>697</v>
      </c>
      <c r="I1322" s="192" t="s">
        <v>65</v>
      </c>
      <c r="J1322" s="192">
        <v>1.9999999552965164E-2</v>
      </c>
      <c r="K1322" s="192">
        <f>VLOOKUP($D1322,'RBSA Weights'!$A$2:$C$1406,3,FALSE)</f>
        <v>1904.288</v>
      </c>
    </row>
    <row r="1323" spans="1:11">
      <c r="A1323" s="192" t="s">
        <v>710</v>
      </c>
      <c r="B1323" s="192">
        <v>1</v>
      </c>
      <c r="C1323" s="192">
        <v>138123</v>
      </c>
      <c r="D1323" s="192">
        <v>12897</v>
      </c>
      <c r="E1323" s="192">
        <v>1</v>
      </c>
      <c r="F1323" s="192">
        <v>870</v>
      </c>
      <c r="G1323" s="192">
        <v>0</v>
      </c>
      <c r="H1323" s="192" t="s">
        <v>697</v>
      </c>
      <c r="I1323" s="192" t="s">
        <v>65</v>
      </c>
      <c r="J1323" s="192">
        <v>1.9999999552965164E-2</v>
      </c>
      <c r="K1323" s="192">
        <f>VLOOKUP($D1323,'RBSA Weights'!$A$2:$C$1406,3,FALSE)</f>
        <v>1524.7619999999999</v>
      </c>
    </row>
    <row r="1324" spans="1:11">
      <c r="A1324" s="192" t="s">
        <v>710</v>
      </c>
      <c r="B1324" s="192">
        <v>1</v>
      </c>
      <c r="C1324" s="192">
        <v>95399</v>
      </c>
      <c r="D1324" s="192">
        <v>22398</v>
      </c>
      <c r="E1324" s="192">
        <v>1</v>
      </c>
      <c r="F1324" s="192">
        <v>1012</v>
      </c>
      <c r="G1324" s="192">
        <v>0</v>
      </c>
      <c r="H1324" s="192" t="s">
        <v>705</v>
      </c>
      <c r="I1324" s="192" t="s">
        <v>65</v>
      </c>
      <c r="J1324" s="192">
        <v>1.9999999552965164E-2</v>
      </c>
      <c r="K1324" s="192">
        <f>VLOOKUP($D1324,'RBSA Weights'!$A$2:$C$1406,3,FALSE)</f>
        <v>1144.6790000000001</v>
      </c>
    </row>
    <row r="1325" spans="1:11">
      <c r="A1325" s="192" t="s">
        <v>710</v>
      </c>
      <c r="B1325" s="192">
        <v>1</v>
      </c>
      <c r="C1325" s="192">
        <v>732586</v>
      </c>
      <c r="D1325" s="192">
        <v>24808</v>
      </c>
      <c r="E1325" s="192">
        <v>1</v>
      </c>
      <c r="F1325" s="192">
        <v>1238</v>
      </c>
      <c r="G1325" s="192">
        <v>0</v>
      </c>
      <c r="H1325" s="192" t="s">
        <v>705</v>
      </c>
      <c r="I1325" s="192" t="s">
        <v>65</v>
      </c>
      <c r="J1325" s="192">
        <v>1.9999999552965164E-2</v>
      </c>
      <c r="K1325" s="192">
        <f>VLOOKUP($D1325,'RBSA Weights'!$A$2:$C$1406,3,FALSE)</f>
        <v>3785.7640000000001</v>
      </c>
    </row>
    <row r="1326" spans="1:11">
      <c r="A1326" s="192" t="s">
        <v>710</v>
      </c>
      <c r="B1326" s="192">
        <v>1</v>
      </c>
      <c r="C1326" s="192">
        <v>90601</v>
      </c>
      <c r="D1326" s="192">
        <v>21692</v>
      </c>
      <c r="E1326" s="192">
        <v>1</v>
      </c>
      <c r="F1326" s="192">
        <v>1067</v>
      </c>
      <c r="G1326" s="192">
        <v>50</v>
      </c>
      <c r="H1326" s="192" t="s">
        <v>702</v>
      </c>
      <c r="I1326" s="192" t="s">
        <v>65</v>
      </c>
      <c r="J1326" s="192">
        <v>1.9999999552965164E-2</v>
      </c>
      <c r="K1326" s="192">
        <f>VLOOKUP($D1326,'RBSA Weights'!$A$2:$C$1406,3,FALSE)</f>
        <v>8559.1039999999994</v>
      </c>
    </row>
    <row r="1327" spans="1:11">
      <c r="A1327" s="192" t="s">
        <v>710</v>
      </c>
      <c r="B1327" s="192">
        <v>1</v>
      </c>
      <c r="C1327" s="192">
        <v>669456</v>
      </c>
      <c r="D1327" s="192">
        <v>24375</v>
      </c>
      <c r="E1327" s="192">
        <v>1</v>
      </c>
      <c r="F1327" s="192">
        <v>1401</v>
      </c>
      <c r="G1327" s="192">
        <v>50</v>
      </c>
      <c r="H1327" s="192" t="s">
        <v>702</v>
      </c>
      <c r="I1327" s="192" t="s">
        <v>65</v>
      </c>
      <c r="J1327" s="192">
        <v>1.9999999552965164E-2</v>
      </c>
      <c r="K1327" s="192">
        <f>VLOOKUP($D1327,'RBSA Weights'!$A$2:$C$1406,3,FALSE)</f>
        <v>1612.692</v>
      </c>
    </row>
    <row r="1328" spans="1:11">
      <c r="A1328" s="192" t="s">
        <v>710</v>
      </c>
      <c r="B1328" s="192">
        <v>1</v>
      </c>
      <c r="C1328" s="192">
        <v>123752</v>
      </c>
      <c r="D1328" s="192">
        <v>21401</v>
      </c>
      <c r="E1328" s="192">
        <v>1</v>
      </c>
      <c r="F1328" s="192">
        <v>1900</v>
      </c>
      <c r="G1328" s="192">
        <v>10</v>
      </c>
      <c r="H1328" s="192" t="s">
        <v>705</v>
      </c>
      <c r="I1328" s="192" t="s">
        <v>65</v>
      </c>
      <c r="J1328" s="192">
        <v>1.9999999552965164E-2</v>
      </c>
      <c r="K1328" s="192">
        <f>VLOOKUP($D1328,'RBSA Weights'!$A$2:$C$1406,3,FALSE)</f>
        <v>2130.886</v>
      </c>
    </row>
    <row r="1329" spans="1:11">
      <c r="A1329" s="192" t="s">
        <v>710</v>
      </c>
      <c r="B1329" s="192">
        <v>1</v>
      </c>
      <c r="C1329" s="192">
        <v>173630</v>
      </c>
      <c r="D1329" s="192">
        <v>20338</v>
      </c>
      <c r="E1329" s="192">
        <v>1</v>
      </c>
      <c r="F1329" s="192">
        <v>1530</v>
      </c>
      <c r="G1329" s="192">
        <v>0</v>
      </c>
      <c r="H1329" s="192" t="s">
        <v>705</v>
      </c>
      <c r="I1329" s="192" t="s">
        <v>65</v>
      </c>
      <c r="J1329" s="192">
        <v>1.9999999552965164E-2</v>
      </c>
      <c r="K1329" s="192">
        <f>VLOOKUP($D1329,'RBSA Weights'!$A$2:$C$1406,3,FALSE)</f>
        <v>1192.4649999999999</v>
      </c>
    </row>
    <row r="1330" spans="1:11">
      <c r="A1330" s="192" t="s">
        <v>710</v>
      </c>
      <c r="B1330" s="192">
        <v>1</v>
      </c>
      <c r="C1330" s="192">
        <v>144155</v>
      </c>
      <c r="D1330" s="192">
        <v>22095</v>
      </c>
      <c r="E1330" s="192">
        <v>1</v>
      </c>
      <c r="F1330" s="192">
        <v>1503</v>
      </c>
      <c r="G1330" s="192">
        <v>0</v>
      </c>
      <c r="H1330" s="192" t="s">
        <v>702</v>
      </c>
      <c r="I1330" s="192" t="s">
        <v>65</v>
      </c>
      <c r="J1330" s="192">
        <v>1.9999999552965164E-2</v>
      </c>
      <c r="K1330" s="192">
        <f>VLOOKUP($D1330,'RBSA Weights'!$A$2:$C$1406,3,FALSE)</f>
        <v>2130.886</v>
      </c>
    </row>
    <row r="1331" spans="1:11">
      <c r="A1331" s="192" t="s">
        <v>710</v>
      </c>
      <c r="B1331" s="192">
        <v>1</v>
      </c>
      <c r="C1331" s="192">
        <v>82219</v>
      </c>
      <c r="D1331" s="192">
        <v>12510</v>
      </c>
      <c r="E1331" s="192">
        <v>3</v>
      </c>
      <c r="F1331" s="192">
        <v>328</v>
      </c>
      <c r="G1331" s="192">
        <v>8</v>
      </c>
      <c r="H1331" s="192" t="s">
        <v>700</v>
      </c>
      <c r="I1331" s="192" t="s">
        <v>65</v>
      </c>
      <c r="J1331" s="192">
        <v>1.9999999552965164E-2</v>
      </c>
      <c r="K1331" s="192">
        <f>VLOOKUP($D1331,'RBSA Weights'!$A$2:$C$1406,3,FALSE)</f>
        <v>2003.7159999999999</v>
      </c>
    </row>
    <row r="1332" spans="1:11">
      <c r="A1332" s="192" t="s">
        <v>710</v>
      </c>
      <c r="B1332" s="192">
        <v>1</v>
      </c>
      <c r="C1332" s="192">
        <v>216353</v>
      </c>
      <c r="D1332" s="192">
        <v>23444</v>
      </c>
      <c r="E1332" s="192">
        <v>1</v>
      </c>
      <c r="F1332" s="192">
        <v>1909</v>
      </c>
      <c r="G1332" s="192">
        <v>0</v>
      </c>
      <c r="H1332" s="192" t="s">
        <v>705</v>
      </c>
      <c r="I1332" s="192" t="s">
        <v>65</v>
      </c>
      <c r="J1332" s="192">
        <v>1.9999999552965164E-2</v>
      </c>
      <c r="K1332" s="192">
        <f>VLOOKUP($D1332,'RBSA Weights'!$A$2:$C$1406,3,FALSE)</f>
        <v>2079.9929999999999</v>
      </c>
    </row>
    <row r="1333" spans="1:11">
      <c r="A1333" s="192" t="s">
        <v>710</v>
      </c>
      <c r="B1333" s="192">
        <v>1</v>
      </c>
      <c r="C1333" s="192">
        <v>55590</v>
      </c>
      <c r="D1333" s="192">
        <v>10337</v>
      </c>
      <c r="E1333" s="192">
        <v>1</v>
      </c>
      <c r="F1333" s="192">
        <v>800</v>
      </c>
      <c r="G1333" s="192">
        <v>0</v>
      </c>
      <c r="H1333" s="192" t="s">
        <v>705</v>
      </c>
      <c r="I1333" s="192" t="s">
        <v>65</v>
      </c>
      <c r="J1333" s="192">
        <v>1.9999999552965164E-2</v>
      </c>
      <c r="K1333" s="192">
        <f>VLOOKUP($D1333,'RBSA Weights'!$A$2:$C$1406,3,FALSE)</f>
        <v>1188.027</v>
      </c>
    </row>
    <row r="1334" spans="1:11">
      <c r="A1334" s="192" t="s">
        <v>710</v>
      </c>
      <c r="B1334" s="192">
        <v>1</v>
      </c>
      <c r="C1334" s="192">
        <v>45980</v>
      </c>
      <c r="D1334" s="192">
        <v>20374</v>
      </c>
      <c r="E1334" s="192">
        <v>1</v>
      </c>
      <c r="F1334" s="192">
        <v>1590</v>
      </c>
      <c r="G1334" s="192">
        <v>0</v>
      </c>
      <c r="H1334" s="192" t="s">
        <v>702</v>
      </c>
      <c r="I1334" s="192" t="s">
        <v>65</v>
      </c>
      <c r="J1334" s="192">
        <v>1.9999999552965164E-2</v>
      </c>
      <c r="K1334" s="192">
        <f>VLOOKUP($D1334,'RBSA Weights'!$A$2:$C$1406,3,FALSE)</f>
        <v>8264.9449999999997</v>
      </c>
    </row>
    <row r="1335" spans="1:11">
      <c r="A1335" s="192" t="s">
        <v>710</v>
      </c>
      <c r="B1335" s="192">
        <v>1</v>
      </c>
      <c r="C1335" s="192">
        <v>143709</v>
      </c>
      <c r="D1335" s="192">
        <v>24456</v>
      </c>
      <c r="E1335" s="192">
        <v>1</v>
      </c>
      <c r="F1335" s="192">
        <v>1424</v>
      </c>
      <c r="G1335" s="192">
        <v>0</v>
      </c>
      <c r="H1335" s="192" t="s">
        <v>705</v>
      </c>
      <c r="I1335" s="192" t="s">
        <v>65</v>
      </c>
      <c r="J1335" s="192">
        <v>1.9999999552965164E-2</v>
      </c>
      <c r="K1335" s="192">
        <f>VLOOKUP($D1335,'RBSA Weights'!$A$2:$C$1406,3,FALSE)</f>
        <v>2130.886</v>
      </c>
    </row>
    <row r="1336" spans="1:11">
      <c r="A1336" s="192" t="s">
        <v>710</v>
      </c>
      <c r="B1336" s="192">
        <v>1</v>
      </c>
      <c r="C1336" s="192">
        <v>143936</v>
      </c>
      <c r="D1336" s="192">
        <v>22041</v>
      </c>
      <c r="E1336" s="192">
        <v>1</v>
      </c>
      <c r="F1336" s="192">
        <v>864</v>
      </c>
      <c r="G1336" s="192">
        <v>8</v>
      </c>
      <c r="H1336" s="192" t="s">
        <v>705</v>
      </c>
      <c r="I1336" s="192" t="s">
        <v>65</v>
      </c>
      <c r="J1336" s="192">
        <v>1.9999999552965164E-2</v>
      </c>
      <c r="K1336" s="192">
        <f>VLOOKUP($D1336,'RBSA Weights'!$A$2:$C$1406,3,FALSE)</f>
        <v>2130.886</v>
      </c>
    </row>
    <row r="1337" spans="1:11">
      <c r="A1337" s="192" t="s">
        <v>710</v>
      </c>
      <c r="B1337" s="192">
        <v>1</v>
      </c>
      <c r="C1337" s="192">
        <v>105818</v>
      </c>
      <c r="D1337" s="192">
        <v>21431</v>
      </c>
      <c r="E1337" s="192">
        <v>1</v>
      </c>
      <c r="F1337" s="192">
        <v>1380</v>
      </c>
      <c r="G1337" s="192">
        <v>0</v>
      </c>
      <c r="H1337" s="192" t="s">
        <v>702</v>
      </c>
      <c r="I1337" s="192" t="s">
        <v>65</v>
      </c>
      <c r="J1337" s="192">
        <v>1.9999999552965164E-2</v>
      </c>
      <c r="K1337" s="192">
        <f>VLOOKUP($D1337,'RBSA Weights'!$A$2:$C$1406,3,FALSE)</f>
        <v>1144.6790000000001</v>
      </c>
    </row>
    <row r="1338" spans="1:11">
      <c r="A1338" s="192" t="s">
        <v>710</v>
      </c>
      <c r="B1338" s="192">
        <v>1</v>
      </c>
      <c r="C1338" s="192">
        <v>150144</v>
      </c>
      <c r="D1338" s="192">
        <v>21486</v>
      </c>
      <c r="E1338" s="192">
        <v>1</v>
      </c>
      <c r="F1338" s="192">
        <v>1225</v>
      </c>
      <c r="G1338" s="192">
        <v>0</v>
      </c>
      <c r="H1338" s="192" t="s">
        <v>705</v>
      </c>
      <c r="I1338" s="192" t="s">
        <v>65</v>
      </c>
      <c r="J1338" s="192">
        <v>1.9999999552965164E-2</v>
      </c>
      <c r="K1338" s="192">
        <f>VLOOKUP($D1338,'RBSA Weights'!$A$2:$C$1406,3,FALSE)</f>
        <v>1612.692</v>
      </c>
    </row>
    <row r="1339" spans="1:11">
      <c r="A1339" s="192" t="s">
        <v>710</v>
      </c>
      <c r="B1339" s="192">
        <v>1</v>
      </c>
      <c r="C1339" s="192">
        <v>106711</v>
      </c>
      <c r="D1339" s="192">
        <v>23424</v>
      </c>
      <c r="E1339" s="192">
        <v>1</v>
      </c>
      <c r="F1339" s="192">
        <v>1708</v>
      </c>
      <c r="G1339" s="192">
        <v>0</v>
      </c>
      <c r="H1339" s="192" t="s">
        <v>705</v>
      </c>
      <c r="I1339" s="192" t="s">
        <v>65</v>
      </c>
      <c r="J1339" s="192">
        <v>1.9999999552965164E-2</v>
      </c>
      <c r="K1339" s="192">
        <f>VLOOKUP($D1339,'RBSA Weights'!$A$2:$C$1406,3,FALSE)</f>
        <v>3785.7640000000001</v>
      </c>
    </row>
    <row r="1340" spans="1:11">
      <c r="A1340" s="192" t="s">
        <v>710</v>
      </c>
      <c r="B1340" s="192">
        <v>1</v>
      </c>
      <c r="C1340" s="192">
        <v>204457</v>
      </c>
      <c r="D1340" s="192">
        <v>14329</v>
      </c>
      <c r="E1340" s="192">
        <v>1</v>
      </c>
      <c r="F1340" s="192">
        <v>1953</v>
      </c>
      <c r="G1340" s="192">
        <v>50</v>
      </c>
      <c r="H1340" s="192" t="s">
        <v>705</v>
      </c>
      <c r="I1340" s="192" t="s">
        <v>65</v>
      </c>
      <c r="J1340" s="192">
        <v>1.9999999552965164E-2</v>
      </c>
      <c r="K1340" s="192">
        <f>VLOOKUP($D1340,'RBSA Weights'!$A$2:$C$1406,3,FALSE)</f>
        <v>6932.7380000000003</v>
      </c>
    </row>
    <row r="1341" spans="1:11">
      <c r="A1341" s="192" t="s">
        <v>710</v>
      </c>
      <c r="B1341" s="192">
        <v>1</v>
      </c>
      <c r="C1341" s="192">
        <v>163346</v>
      </c>
      <c r="D1341" s="192">
        <v>23602</v>
      </c>
      <c r="E1341" s="192">
        <v>1</v>
      </c>
      <c r="F1341" s="192">
        <v>2195</v>
      </c>
      <c r="G1341" s="192">
        <v>0</v>
      </c>
      <c r="H1341" s="192" t="s">
        <v>700</v>
      </c>
      <c r="I1341" s="192" t="s">
        <v>65</v>
      </c>
      <c r="J1341" s="192">
        <v>1.9999999552965164E-2</v>
      </c>
      <c r="K1341" s="192">
        <f>VLOOKUP($D1341,'RBSA Weights'!$A$2:$C$1406,3,FALSE)</f>
        <v>1192.4649999999999</v>
      </c>
    </row>
    <row r="1342" spans="1:11">
      <c r="A1342" s="192" t="s">
        <v>710</v>
      </c>
      <c r="B1342" s="192">
        <v>1</v>
      </c>
      <c r="C1342" s="192">
        <v>179384</v>
      </c>
      <c r="D1342" s="192">
        <v>22306</v>
      </c>
      <c r="E1342" s="192">
        <v>1</v>
      </c>
      <c r="F1342" s="192">
        <v>1008</v>
      </c>
      <c r="G1342" s="192">
        <v>8</v>
      </c>
      <c r="H1342" s="192" t="s">
        <v>702</v>
      </c>
      <c r="I1342" s="192" t="s">
        <v>65</v>
      </c>
      <c r="J1342" s="192">
        <v>1.9999999552965164E-2</v>
      </c>
      <c r="K1342" s="192">
        <f>VLOOKUP($D1342,'RBSA Weights'!$A$2:$C$1406,3,FALSE)</f>
        <v>2130.886</v>
      </c>
    </row>
    <row r="1343" spans="1:11">
      <c r="A1343" s="192" t="s">
        <v>710</v>
      </c>
      <c r="B1343" s="192">
        <v>1</v>
      </c>
      <c r="C1343" s="192">
        <v>28230</v>
      </c>
      <c r="D1343" s="192">
        <v>12407</v>
      </c>
      <c r="E1343" s="192">
        <v>1</v>
      </c>
      <c r="F1343" s="192">
        <v>1787</v>
      </c>
      <c r="G1343" s="192">
        <v>0</v>
      </c>
      <c r="H1343" s="192" t="s">
        <v>702</v>
      </c>
      <c r="I1343" s="192" t="s">
        <v>65</v>
      </c>
      <c r="J1343" s="192">
        <v>1.9999999552965164E-2</v>
      </c>
      <c r="K1343" s="192">
        <f>VLOOKUP($D1343,'RBSA Weights'!$A$2:$C$1406,3,FALSE)</f>
        <v>1150.8789999999999</v>
      </c>
    </row>
    <row r="1344" spans="1:11">
      <c r="A1344" s="192" t="s">
        <v>710</v>
      </c>
      <c r="B1344" s="192">
        <v>1</v>
      </c>
      <c r="C1344" s="192">
        <v>678196</v>
      </c>
      <c r="D1344" s="192">
        <v>10887</v>
      </c>
      <c r="E1344" s="192">
        <v>4</v>
      </c>
      <c r="F1344" s="192">
        <v>639</v>
      </c>
      <c r="G1344" s="192">
        <v>12</v>
      </c>
      <c r="H1344" s="192" t="s">
        <v>705</v>
      </c>
      <c r="I1344" s="192" t="s">
        <v>65</v>
      </c>
      <c r="J1344" s="192">
        <v>1.9999999552965164E-2</v>
      </c>
      <c r="K1344" s="192">
        <f>VLOOKUP($D1344,'RBSA Weights'!$A$2:$C$1406,3,FALSE)</f>
        <v>1464.694</v>
      </c>
    </row>
    <row r="1345" spans="1:11">
      <c r="A1345" s="192" t="s">
        <v>710</v>
      </c>
      <c r="B1345" s="192">
        <v>1</v>
      </c>
      <c r="C1345" s="192">
        <v>226383</v>
      </c>
      <c r="D1345" s="192">
        <v>23791</v>
      </c>
      <c r="E1345" s="192">
        <v>1</v>
      </c>
      <c r="F1345" s="192">
        <v>1508</v>
      </c>
      <c r="G1345" s="192">
        <v>0</v>
      </c>
      <c r="H1345" s="192" t="s">
        <v>700</v>
      </c>
      <c r="I1345" s="192" t="s">
        <v>65</v>
      </c>
      <c r="J1345" s="192">
        <v>1.9999999552965164E-2</v>
      </c>
      <c r="K1345" s="192">
        <f>VLOOKUP($D1345,'RBSA Weights'!$A$2:$C$1406,3,FALSE)</f>
        <v>1904.288</v>
      </c>
    </row>
    <row r="1346" spans="1:11">
      <c r="A1346" s="192" t="s">
        <v>710</v>
      </c>
      <c r="B1346" s="192">
        <v>1</v>
      </c>
      <c r="C1346" s="192">
        <v>151659</v>
      </c>
      <c r="D1346" s="192">
        <v>21816</v>
      </c>
      <c r="E1346" s="192">
        <v>1</v>
      </c>
      <c r="F1346" s="192">
        <v>1326</v>
      </c>
      <c r="G1346" s="192">
        <v>20</v>
      </c>
      <c r="H1346" s="192" t="s">
        <v>705</v>
      </c>
      <c r="I1346" s="192" t="s">
        <v>65</v>
      </c>
      <c r="J1346" s="192">
        <v>1.9999999552965164E-2</v>
      </c>
      <c r="K1346" s="192">
        <f>VLOOKUP($D1346,'RBSA Weights'!$A$2:$C$1406,3,FALSE)</f>
        <v>1192.4649999999999</v>
      </c>
    </row>
    <row r="1347" spans="1:11">
      <c r="A1347" s="192" t="s">
        <v>710</v>
      </c>
      <c r="B1347" s="192">
        <v>1</v>
      </c>
      <c r="C1347" s="192">
        <v>180878</v>
      </c>
      <c r="D1347" s="192">
        <v>23392</v>
      </c>
      <c r="E1347" s="192">
        <v>1</v>
      </c>
      <c r="F1347" s="192">
        <v>645</v>
      </c>
      <c r="G1347" s="192">
        <v>50</v>
      </c>
      <c r="H1347" s="192" t="s">
        <v>697</v>
      </c>
      <c r="I1347" s="192" t="s">
        <v>65</v>
      </c>
      <c r="J1347" s="192">
        <v>1.9999999552965164E-2</v>
      </c>
      <c r="K1347" s="192">
        <f>VLOOKUP($D1347,'RBSA Weights'!$A$2:$C$1406,3,FALSE)</f>
        <v>1925.059</v>
      </c>
    </row>
    <row r="1348" spans="1:11">
      <c r="A1348" s="192" t="s">
        <v>710</v>
      </c>
      <c r="B1348" s="192">
        <v>1</v>
      </c>
      <c r="C1348" s="192">
        <v>194945</v>
      </c>
      <c r="D1348" s="192">
        <v>21532</v>
      </c>
      <c r="E1348" s="192">
        <v>1</v>
      </c>
      <c r="F1348" s="192">
        <v>1709</v>
      </c>
      <c r="G1348" s="192">
        <v>50</v>
      </c>
      <c r="H1348" s="192" t="s">
        <v>700</v>
      </c>
      <c r="I1348" s="192" t="s">
        <v>65</v>
      </c>
      <c r="J1348" s="192">
        <v>1.9999999552965164E-2</v>
      </c>
      <c r="K1348" s="192">
        <f>VLOOKUP($D1348,'RBSA Weights'!$A$2:$C$1406,3,FALSE)</f>
        <v>1925.059</v>
      </c>
    </row>
    <row r="1349" spans="1:11">
      <c r="A1349" s="192" t="s">
        <v>710</v>
      </c>
      <c r="B1349" s="192">
        <v>1</v>
      </c>
      <c r="C1349" s="192">
        <v>166608</v>
      </c>
      <c r="D1349" s="192">
        <v>23111</v>
      </c>
      <c r="E1349" s="192">
        <v>1</v>
      </c>
      <c r="F1349" s="192">
        <v>1057</v>
      </c>
      <c r="G1349" s="192">
        <v>10</v>
      </c>
      <c r="H1349" s="192" t="s">
        <v>697</v>
      </c>
      <c r="I1349" s="192" t="s">
        <v>65</v>
      </c>
      <c r="J1349" s="192">
        <v>1.9999999552965164E-2</v>
      </c>
      <c r="K1349" s="192">
        <f>VLOOKUP($D1349,'RBSA Weights'!$A$2:$C$1406,3,FALSE)</f>
        <v>1192.4649999999999</v>
      </c>
    </row>
    <row r="1350" spans="1:11">
      <c r="A1350" s="192" t="s">
        <v>710</v>
      </c>
      <c r="B1350" s="192">
        <v>1</v>
      </c>
      <c r="C1350" s="192">
        <v>199336</v>
      </c>
      <c r="D1350" s="192">
        <v>22699</v>
      </c>
      <c r="E1350" s="192">
        <v>1</v>
      </c>
      <c r="F1350" s="192">
        <v>820</v>
      </c>
      <c r="G1350" s="192">
        <v>50</v>
      </c>
      <c r="H1350" s="192" t="s">
        <v>705</v>
      </c>
      <c r="I1350" s="192" t="s">
        <v>65</v>
      </c>
      <c r="J1350" s="192">
        <v>1.9999999552965164E-2</v>
      </c>
      <c r="K1350" s="192">
        <f>VLOOKUP($D1350,'RBSA Weights'!$A$2:$C$1406,3,FALSE)</f>
        <v>1612.692</v>
      </c>
    </row>
    <row r="1351" spans="1:11">
      <c r="A1351" s="192" t="s">
        <v>710</v>
      </c>
      <c r="B1351" s="192">
        <v>1</v>
      </c>
      <c r="C1351" s="192">
        <v>87690</v>
      </c>
      <c r="D1351" s="192">
        <v>22845</v>
      </c>
      <c r="E1351" s="192">
        <v>1</v>
      </c>
      <c r="F1351" s="192">
        <v>273</v>
      </c>
      <c r="G1351" s="192">
        <v>10</v>
      </c>
      <c r="H1351" s="192" t="s">
        <v>697</v>
      </c>
      <c r="I1351" s="192" t="s">
        <v>65</v>
      </c>
      <c r="J1351" s="192">
        <v>1.9999999552965164E-2</v>
      </c>
      <c r="K1351" s="192">
        <f>VLOOKUP($D1351,'RBSA Weights'!$A$2:$C$1406,3,FALSE)</f>
        <v>1144.6790000000001</v>
      </c>
    </row>
    <row r="1352" spans="1:11">
      <c r="A1352" s="192" t="s">
        <v>710</v>
      </c>
      <c r="B1352" s="192">
        <v>1</v>
      </c>
      <c r="C1352" s="192">
        <v>177906</v>
      </c>
      <c r="D1352" s="192">
        <v>14646</v>
      </c>
      <c r="E1352" s="192">
        <v>1</v>
      </c>
      <c r="F1352" s="192">
        <v>1125</v>
      </c>
      <c r="G1352" s="192">
        <v>50</v>
      </c>
      <c r="H1352" s="192" t="s">
        <v>705</v>
      </c>
      <c r="I1352" s="192" t="s">
        <v>65</v>
      </c>
      <c r="J1352" s="192">
        <v>1.9999999552965164E-2</v>
      </c>
      <c r="K1352" s="192">
        <f>VLOOKUP($D1352,'RBSA Weights'!$A$2:$C$1406,3,FALSE)</f>
        <v>1188.027</v>
      </c>
    </row>
    <row r="1353" spans="1:11">
      <c r="A1353" s="192" t="s">
        <v>710</v>
      </c>
      <c r="B1353" s="192">
        <v>1</v>
      </c>
      <c r="C1353" s="192">
        <v>197879</v>
      </c>
      <c r="D1353" s="192">
        <v>13554</v>
      </c>
      <c r="E1353" s="192">
        <v>1</v>
      </c>
      <c r="F1353" s="192">
        <v>1898</v>
      </c>
      <c r="G1353" s="192">
        <v>0</v>
      </c>
      <c r="H1353" s="192" t="s">
        <v>705</v>
      </c>
      <c r="I1353" s="192" t="s">
        <v>65</v>
      </c>
      <c r="J1353" s="192">
        <v>1.9999999552965164E-2</v>
      </c>
      <c r="K1353" s="192">
        <f>VLOOKUP($D1353,'RBSA Weights'!$A$2:$C$1406,3,FALSE)</f>
        <v>4956.4930000000004</v>
      </c>
    </row>
    <row r="1354" spans="1:11">
      <c r="A1354" s="192" t="s">
        <v>710</v>
      </c>
      <c r="B1354" s="192">
        <v>1</v>
      </c>
      <c r="C1354" s="192">
        <v>138834</v>
      </c>
      <c r="D1354" s="192">
        <v>20264</v>
      </c>
      <c r="E1354" s="192">
        <v>1</v>
      </c>
      <c r="F1354" s="192">
        <v>2401</v>
      </c>
      <c r="G1354" s="192">
        <v>0</v>
      </c>
      <c r="H1354" s="192" t="s">
        <v>705</v>
      </c>
      <c r="I1354" s="192" t="s">
        <v>65</v>
      </c>
      <c r="J1354" s="192">
        <v>1.9999999552965164E-2</v>
      </c>
      <c r="K1354" s="192">
        <f>VLOOKUP($D1354,'RBSA Weights'!$A$2:$C$1406,3,FALSE)</f>
        <v>1192.4649999999999</v>
      </c>
    </row>
    <row r="1355" spans="1:11">
      <c r="A1355" s="192" t="s">
        <v>710</v>
      </c>
      <c r="B1355" s="192">
        <v>1</v>
      </c>
      <c r="C1355" s="192">
        <v>162525</v>
      </c>
      <c r="D1355" s="192">
        <v>24120</v>
      </c>
      <c r="E1355" s="192">
        <v>1</v>
      </c>
      <c r="F1355" s="192">
        <v>1520</v>
      </c>
      <c r="G1355" s="192">
        <v>4</v>
      </c>
      <c r="H1355" s="192" t="s">
        <v>697</v>
      </c>
      <c r="I1355" s="192" t="s">
        <v>65</v>
      </c>
      <c r="J1355" s="192">
        <v>1.9999999552965164E-2</v>
      </c>
      <c r="K1355" s="192">
        <f>VLOOKUP($D1355,'RBSA Weights'!$A$2:$C$1406,3,FALSE)</f>
        <v>2130.886</v>
      </c>
    </row>
    <row r="1356" spans="1:11">
      <c r="A1356" s="192" t="s">
        <v>710</v>
      </c>
      <c r="B1356" s="192">
        <v>1</v>
      </c>
      <c r="C1356" s="192">
        <v>130394</v>
      </c>
      <c r="D1356" s="192">
        <v>23545</v>
      </c>
      <c r="E1356" s="192">
        <v>1</v>
      </c>
      <c r="F1356" s="192">
        <v>1675</v>
      </c>
      <c r="G1356" s="192">
        <v>50</v>
      </c>
      <c r="H1356" s="192" t="s">
        <v>697</v>
      </c>
      <c r="I1356" s="192" t="s">
        <v>65</v>
      </c>
      <c r="J1356" s="192">
        <v>1.9999999552965164E-2</v>
      </c>
      <c r="K1356" s="192">
        <f>VLOOKUP($D1356,'RBSA Weights'!$A$2:$C$1406,3,FALSE)</f>
        <v>1612.692</v>
      </c>
    </row>
    <row r="1357" spans="1:11">
      <c r="A1357" s="192" t="s">
        <v>710</v>
      </c>
      <c r="B1357" s="192">
        <v>1</v>
      </c>
      <c r="C1357" s="192">
        <v>124829</v>
      </c>
      <c r="D1357" s="192">
        <v>21437</v>
      </c>
      <c r="E1357" s="192">
        <v>1</v>
      </c>
      <c r="F1357" s="192">
        <v>2100</v>
      </c>
      <c r="G1357" s="192">
        <v>0</v>
      </c>
      <c r="H1357" s="192" t="s">
        <v>705</v>
      </c>
      <c r="I1357" s="192" t="s">
        <v>65</v>
      </c>
      <c r="J1357" s="192">
        <v>1.9999999552965164E-2</v>
      </c>
      <c r="K1357" s="192">
        <f>VLOOKUP($D1357,'RBSA Weights'!$A$2:$C$1406,3,FALSE)</f>
        <v>2079.9929999999999</v>
      </c>
    </row>
    <row r="1358" spans="1:11">
      <c r="A1358" s="192" t="s">
        <v>710</v>
      </c>
      <c r="B1358" s="192">
        <v>1</v>
      </c>
      <c r="C1358" s="192">
        <v>60853</v>
      </c>
      <c r="D1358" s="192">
        <v>20287</v>
      </c>
      <c r="E1358" s="192">
        <v>1</v>
      </c>
      <c r="F1358" s="192">
        <v>2077</v>
      </c>
      <c r="G1358" s="192">
        <v>0</v>
      </c>
      <c r="H1358" s="192" t="s">
        <v>700</v>
      </c>
      <c r="I1358" s="192" t="s">
        <v>65</v>
      </c>
      <c r="J1358" s="192">
        <v>1.9999999552965164E-2</v>
      </c>
      <c r="K1358" s="192">
        <f>VLOOKUP($D1358,'RBSA Weights'!$A$2:$C$1406,3,FALSE)</f>
        <v>2079.9929999999999</v>
      </c>
    </row>
    <row r="1359" spans="1:11">
      <c r="A1359" s="192" t="s">
        <v>710</v>
      </c>
      <c r="B1359" s="192">
        <v>1</v>
      </c>
      <c r="C1359" s="192">
        <v>226171</v>
      </c>
      <c r="D1359" s="192">
        <v>21877</v>
      </c>
      <c r="E1359" s="192">
        <v>1</v>
      </c>
      <c r="F1359" s="192">
        <v>1200</v>
      </c>
      <c r="G1359" s="192">
        <v>0</v>
      </c>
      <c r="H1359" s="192" t="s">
        <v>700</v>
      </c>
      <c r="I1359" s="192" t="s">
        <v>65</v>
      </c>
      <c r="J1359" s="192">
        <v>1.9999999552965164E-2</v>
      </c>
      <c r="K1359" s="192">
        <f>VLOOKUP($D1359,'RBSA Weights'!$A$2:$C$1406,3,FALSE)</f>
        <v>1904.288</v>
      </c>
    </row>
    <row r="1360" spans="1:11">
      <c r="A1360" s="192" t="s">
        <v>710</v>
      </c>
      <c r="B1360" s="192">
        <v>1</v>
      </c>
      <c r="C1360" s="192">
        <v>32608</v>
      </c>
      <c r="D1360" s="192">
        <v>11535</v>
      </c>
      <c r="E1360" s="192">
        <v>1</v>
      </c>
      <c r="F1360" s="192">
        <v>1244</v>
      </c>
      <c r="G1360" s="192">
        <v>8</v>
      </c>
      <c r="H1360" s="192" t="s">
        <v>697</v>
      </c>
      <c r="I1360" s="192" t="s">
        <v>65</v>
      </c>
      <c r="J1360" s="192">
        <v>1.9999999552965164E-2</v>
      </c>
      <c r="K1360" s="192">
        <f>VLOOKUP($D1360,'RBSA Weights'!$A$2:$C$1406,3,FALSE)</f>
        <v>1524.7619999999999</v>
      </c>
    </row>
    <row r="1361" spans="1:11">
      <c r="A1361" s="192" t="s">
        <v>710</v>
      </c>
      <c r="B1361" s="192">
        <v>1</v>
      </c>
      <c r="C1361" s="192">
        <v>76422</v>
      </c>
      <c r="D1361" s="192">
        <v>21768</v>
      </c>
      <c r="E1361" s="192">
        <v>1</v>
      </c>
      <c r="F1361" s="192">
        <v>1182</v>
      </c>
      <c r="G1361" s="192">
        <v>42</v>
      </c>
      <c r="H1361" s="192" t="s">
        <v>705</v>
      </c>
      <c r="I1361" s="192" t="s">
        <v>65</v>
      </c>
      <c r="J1361" s="192">
        <v>1.9999999552965164E-2</v>
      </c>
      <c r="K1361" s="192">
        <f>VLOOKUP($D1361,'RBSA Weights'!$A$2:$C$1406,3,FALSE)</f>
        <v>1925.059</v>
      </c>
    </row>
    <row r="1362" spans="1:11">
      <c r="A1362" s="192" t="s">
        <v>710</v>
      </c>
      <c r="B1362" s="192">
        <v>1</v>
      </c>
      <c r="C1362" s="192">
        <v>122514</v>
      </c>
      <c r="D1362" s="192">
        <v>23995</v>
      </c>
      <c r="E1362" s="192">
        <v>1</v>
      </c>
      <c r="F1362" s="192">
        <v>2354</v>
      </c>
      <c r="G1362" s="192">
        <v>10</v>
      </c>
      <c r="H1362" s="192" t="s">
        <v>705</v>
      </c>
      <c r="I1362" s="192" t="s">
        <v>65</v>
      </c>
      <c r="J1362" s="192">
        <v>1.9999999552965164E-2</v>
      </c>
      <c r="K1362" s="192">
        <f>VLOOKUP($D1362,'RBSA Weights'!$A$2:$C$1406,3,FALSE)</f>
        <v>2130.886</v>
      </c>
    </row>
    <row r="1363" spans="1:11">
      <c r="A1363" s="192" t="s">
        <v>710</v>
      </c>
      <c r="B1363" s="192">
        <v>1</v>
      </c>
      <c r="C1363" s="192">
        <v>176219</v>
      </c>
      <c r="D1363" s="192">
        <v>22176</v>
      </c>
      <c r="E1363" s="192">
        <v>1</v>
      </c>
      <c r="F1363" s="192">
        <v>2226</v>
      </c>
      <c r="G1363" s="192">
        <v>5</v>
      </c>
      <c r="H1363" s="192" t="s">
        <v>702</v>
      </c>
      <c r="I1363" s="192" t="s">
        <v>65</v>
      </c>
      <c r="J1363" s="192">
        <v>1.9999999552965164E-2</v>
      </c>
      <c r="K1363" s="192">
        <f>VLOOKUP($D1363,'RBSA Weights'!$A$2:$C$1406,3,FALSE)</f>
        <v>2130.886</v>
      </c>
    </row>
    <row r="1364" spans="1:11">
      <c r="A1364" s="192" t="s">
        <v>710</v>
      </c>
      <c r="B1364" s="192">
        <v>1</v>
      </c>
      <c r="C1364" s="192">
        <v>138278</v>
      </c>
      <c r="D1364" s="192">
        <v>22131</v>
      </c>
      <c r="E1364" s="192">
        <v>1</v>
      </c>
      <c r="F1364" s="192">
        <v>1004</v>
      </c>
      <c r="G1364" s="192">
        <v>0</v>
      </c>
      <c r="H1364" s="192" t="s">
        <v>697</v>
      </c>
      <c r="I1364" s="192" t="s">
        <v>65</v>
      </c>
      <c r="J1364" s="192">
        <v>1.9999999552965164E-2</v>
      </c>
      <c r="K1364" s="192">
        <f>VLOOKUP($D1364,'RBSA Weights'!$A$2:$C$1406,3,FALSE)</f>
        <v>8264.9449999999997</v>
      </c>
    </row>
    <row r="1365" spans="1:11">
      <c r="A1365" s="192" t="s">
        <v>711</v>
      </c>
      <c r="B1365" s="192">
        <v>0.9</v>
      </c>
      <c r="C1365" s="192">
        <v>209852</v>
      </c>
      <c r="D1365" s="192">
        <v>21708</v>
      </c>
      <c r="E1365" s="192">
        <v>1</v>
      </c>
      <c r="F1365" s="192">
        <v>666</v>
      </c>
      <c r="G1365" s="192">
        <v>0</v>
      </c>
      <c r="H1365" s="192" t="s">
        <v>705</v>
      </c>
      <c r="I1365" s="192" t="s">
        <v>65</v>
      </c>
      <c r="J1365" s="192">
        <v>7.0000000298023224E-2</v>
      </c>
      <c r="K1365" s="192">
        <f>VLOOKUP($D1365,'RBSA Weights'!$A$2:$C$1406,3,FALSE)</f>
        <v>3785.7640000000001</v>
      </c>
    </row>
    <row r="1366" spans="1:11">
      <c r="A1366" s="192" t="s">
        <v>711</v>
      </c>
      <c r="B1366" s="192">
        <v>0.9</v>
      </c>
      <c r="C1366" s="192">
        <v>40223</v>
      </c>
      <c r="D1366" s="192">
        <v>10462</v>
      </c>
      <c r="E1366" s="192">
        <v>1</v>
      </c>
      <c r="F1366" s="192">
        <v>1385</v>
      </c>
      <c r="G1366" s="192">
        <v>0</v>
      </c>
      <c r="H1366" s="192" t="s">
        <v>697</v>
      </c>
      <c r="I1366" s="192" t="s">
        <v>65</v>
      </c>
      <c r="J1366" s="192">
        <v>7.0000000298023224E-2</v>
      </c>
      <c r="K1366" s="192">
        <f>VLOOKUP($D1366,'RBSA Weights'!$A$2:$C$1406,3,FALSE)</f>
        <v>1524.7619999999999</v>
      </c>
    </row>
    <row r="1367" spans="1:11">
      <c r="A1367" s="192" t="s">
        <v>711</v>
      </c>
      <c r="B1367" s="192">
        <v>1</v>
      </c>
      <c r="C1367" s="192">
        <v>191168</v>
      </c>
      <c r="D1367" s="192">
        <v>23939</v>
      </c>
      <c r="E1367" s="192">
        <v>1</v>
      </c>
      <c r="F1367" s="192">
        <v>800</v>
      </c>
      <c r="G1367" s="192">
        <v>0</v>
      </c>
      <c r="H1367" s="192" t="s">
        <v>702</v>
      </c>
      <c r="I1367" s="192" t="s">
        <v>65</v>
      </c>
      <c r="J1367" s="192">
        <v>1.9999999552965164E-2</v>
      </c>
      <c r="K1367" s="192">
        <f>VLOOKUP($D1367,'RBSA Weights'!$A$2:$C$1406,3,FALSE)</f>
        <v>2130.886</v>
      </c>
    </row>
    <row r="1368" spans="1:11">
      <c r="A1368" s="192" t="s">
        <v>711</v>
      </c>
      <c r="B1368" s="192">
        <v>1</v>
      </c>
      <c r="C1368" s="192">
        <v>180545</v>
      </c>
      <c r="D1368" s="192">
        <v>23465</v>
      </c>
      <c r="E1368" s="192">
        <v>1</v>
      </c>
      <c r="F1368" s="192">
        <v>1020</v>
      </c>
      <c r="H1368" s="192" t="s">
        <v>697</v>
      </c>
      <c r="I1368" s="192" t="s">
        <v>65</v>
      </c>
      <c r="J1368" s="192">
        <v>1.9999999552965164E-2</v>
      </c>
      <c r="K1368" s="192">
        <f>VLOOKUP($D1368,'RBSA Weights'!$A$2:$C$1406,3,FALSE)</f>
        <v>1925.059</v>
      </c>
    </row>
    <row r="1369" spans="1:11">
      <c r="A1369" s="192" t="s">
        <v>711</v>
      </c>
      <c r="B1369" s="192">
        <v>1</v>
      </c>
      <c r="C1369" s="192">
        <v>106042</v>
      </c>
      <c r="D1369" s="192">
        <v>22641</v>
      </c>
      <c r="E1369" s="192">
        <v>1</v>
      </c>
      <c r="F1369" s="192">
        <v>2318</v>
      </c>
      <c r="G1369" s="192">
        <v>0</v>
      </c>
      <c r="H1369" s="192" t="s">
        <v>705</v>
      </c>
      <c r="I1369" s="192" t="s">
        <v>65</v>
      </c>
      <c r="J1369" s="192">
        <v>1.9999999552965164E-2</v>
      </c>
      <c r="K1369" s="192">
        <f>VLOOKUP($D1369,'RBSA Weights'!$A$2:$C$1406,3,FALSE)</f>
        <v>1144.6790000000001</v>
      </c>
    </row>
    <row r="1370" spans="1:11">
      <c r="A1370" s="192" t="s">
        <v>711</v>
      </c>
      <c r="B1370" s="192">
        <v>1</v>
      </c>
      <c r="C1370" s="192">
        <v>132742</v>
      </c>
      <c r="D1370" s="192">
        <v>21680</v>
      </c>
      <c r="E1370" s="192">
        <v>1</v>
      </c>
      <c r="F1370" s="192">
        <v>1911</v>
      </c>
      <c r="G1370" s="192">
        <v>0</v>
      </c>
      <c r="H1370" s="192" t="s">
        <v>700</v>
      </c>
      <c r="I1370" s="192" t="s">
        <v>65</v>
      </c>
      <c r="J1370" s="192">
        <v>1.9999999552965164E-2</v>
      </c>
      <c r="K1370" s="192">
        <f>VLOOKUP($D1370,'RBSA Weights'!$A$2:$C$1406,3,FALSE)</f>
        <v>1144.6790000000001</v>
      </c>
    </row>
    <row r="1371" spans="1:11">
      <c r="A1371" s="192" t="s">
        <v>711</v>
      </c>
      <c r="B1371" s="192">
        <v>1</v>
      </c>
      <c r="C1371" s="192">
        <v>95935</v>
      </c>
      <c r="D1371" s="192">
        <v>24317</v>
      </c>
      <c r="E1371" s="192">
        <v>1</v>
      </c>
      <c r="F1371" s="192">
        <v>1416</v>
      </c>
      <c r="G1371" s="192">
        <v>0</v>
      </c>
      <c r="H1371" s="192" t="s">
        <v>705</v>
      </c>
      <c r="I1371" s="192" t="s">
        <v>65</v>
      </c>
      <c r="J1371" s="192">
        <v>1.9999999552965164E-2</v>
      </c>
      <c r="K1371" s="192">
        <f>VLOOKUP($D1371,'RBSA Weights'!$A$2:$C$1406,3,FALSE)</f>
        <v>1144.6790000000001</v>
      </c>
    </row>
    <row r="1372" spans="1:11">
      <c r="A1372" s="192" t="s">
        <v>711</v>
      </c>
      <c r="B1372" s="192">
        <v>1</v>
      </c>
      <c r="C1372" s="192">
        <v>130138</v>
      </c>
      <c r="D1372" s="192">
        <v>24401</v>
      </c>
      <c r="E1372" s="192">
        <v>1</v>
      </c>
      <c r="F1372" s="192">
        <v>2232</v>
      </c>
      <c r="G1372" s="192">
        <v>0</v>
      </c>
      <c r="H1372" s="192" t="s">
        <v>702</v>
      </c>
      <c r="I1372" s="192" t="s">
        <v>65</v>
      </c>
      <c r="J1372" s="192">
        <v>1.9999999552965164E-2</v>
      </c>
      <c r="K1372" s="192">
        <f>VLOOKUP($D1372,'RBSA Weights'!$A$2:$C$1406,3,FALSE)</f>
        <v>1612.692</v>
      </c>
    </row>
    <row r="1373" spans="1:11">
      <c r="A1373" s="192" t="s">
        <v>711</v>
      </c>
      <c r="B1373" s="192">
        <v>1</v>
      </c>
      <c r="C1373" s="192">
        <v>234575</v>
      </c>
      <c r="D1373" s="192">
        <v>20753</v>
      </c>
      <c r="E1373" s="192">
        <v>1</v>
      </c>
      <c r="F1373" s="192">
        <v>1352</v>
      </c>
      <c r="G1373" s="192">
        <v>0</v>
      </c>
      <c r="H1373" s="192" t="s">
        <v>697</v>
      </c>
      <c r="I1373" s="192" t="s">
        <v>65</v>
      </c>
      <c r="J1373" s="192">
        <v>1.9999999552965164E-2</v>
      </c>
      <c r="K1373" s="192">
        <f>VLOOKUP($D1373,'RBSA Weights'!$A$2:$C$1406,3,FALSE)</f>
        <v>3785.7640000000001</v>
      </c>
    </row>
    <row r="1374" spans="1:11">
      <c r="A1374" s="192" t="s">
        <v>711</v>
      </c>
      <c r="B1374" s="192">
        <v>1</v>
      </c>
      <c r="C1374" s="192">
        <v>129007</v>
      </c>
      <c r="D1374" s="192">
        <v>24246</v>
      </c>
      <c r="E1374" s="192">
        <v>1</v>
      </c>
      <c r="F1374" s="192">
        <v>1058</v>
      </c>
      <c r="G1374" s="192">
        <v>0</v>
      </c>
      <c r="H1374" s="192" t="s">
        <v>702</v>
      </c>
      <c r="I1374" s="192" t="s">
        <v>65</v>
      </c>
      <c r="J1374" s="192">
        <v>1.9999999552965164E-2</v>
      </c>
      <c r="K1374" s="192">
        <f>VLOOKUP($D1374,'RBSA Weights'!$A$2:$C$1406,3,FALSE)</f>
        <v>3785.7640000000001</v>
      </c>
    </row>
    <row r="1375" spans="1:11">
      <c r="A1375" s="192" t="s">
        <v>711</v>
      </c>
      <c r="B1375" s="192">
        <v>1</v>
      </c>
      <c r="C1375" s="192">
        <v>193999</v>
      </c>
      <c r="D1375" s="192">
        <v>21566</v>
      </c>
      <c r="E1375" s="192">
        <v>1</v>
      </c>
      <c r="F1375" s="192">
        <v>988</v>
      </c>
      <c r="G1375" s="192">
        <v>0</v>
      </c>
      <c r="H1375" s="192" t="s">
        <v>705</v>
      </c>
      <c r="I1375" s="192" t="s">
        <v>65</v>
      </c>
      <c r="J1375" s="192">
        <v>1.9999999552965164E-2</v>
      </c>
      <c r="K1375" s="192">
        <f>VLOOKUP($D1375,'RBSA Weights'!$A$2:$C$1406,3,FALSE)</f>
        <v>2130.886</v>
      </c>
    </row>
    <row r="1376" spans="1:11">
      <c r="A1376" s="192" t="s">
        <v>711</v>
      </c>
      <c r="B1376" s="192">
        <v>1</v>
      </c>
      <c r="C1376" s="192">
        <v>79218</v>
      </c>
      <c r="D1376" s="192">
        <v>12320</v>
      </c>
      <c r="E1376" s="192">
        <v>1</v>
      </c>
      <c r="F1376" s="192">
        <v>1694</v>
      </c>
      <c r="G1376" s="192">
        <v>0</v>
      </c>
      <c r="H1376" s="192" t="s">
        <v>705</v>
      </c>
      <c r="I1376" s="192" t="s">
        <v>65</v>
      </c>
      <c r="J1376" s="192">
        <v>1.9999999552965164E-2</v>
      </c>
      <c r="K1376" s="192">
        <f>VLOOKUP($D1376,'RBSA Weights'!$A$2:$C$1406,3,FALSE)</f>
        <v>2003.7159999999999</v>
      </c>
    </row>
    <row r="1377" spans="1:11">
      <c r="A1377" s="192" t="s">
        <v>711</v>
      </c>
      <c r="B1377" s="192">
        <v>1</v>
      </c>
      <c r="C1377" s="192">
        <v>94589</v>
      </c>
      <c r="D1377" s="192">
        <v>20288</v>
      </c>
      <c r="E1377" s="192">
        <v>1</v>
      </c>
      <c r="F1377" s="192">
        <v>1764</v>
      </c>
      <c r="G1377" s="192">
        <v>0</v>
      </c>
      <c r="H1377" s="192" t="s">
        <v>702</v>
      </c>
      <c r="I1377" s="192" t="s">
        <v>65</v>
      </c>
      <c r="J1377" s="192">
        <v>1.9999999552965164E-2</v>
      </c>
      <c r="K1377" s="192">
        <f>VLOOKUP($D1377,'RBSA Weights'!$A$2:$C$1406,3,FALSE)</f>
        <v>1144.6790000000001</v>
      </c>
    </row>
    <row r="1378" spans="1:11">
      <c r="A1378" s="192" t="s">
        <v>711</v>
      </c>
      <c r="B1378" s="192">
        <v>1</v>
      </c>
      <c r="C1378" s="192">
        <v>87797</v>
      </c>
      <c r="D1378" s="192">
        <v>22533</v>
      </c>
      <c r="E1378" s="192">
        <v>1</v>
      </c>
      <c r="F1378" s="192">
        <v>1257</v>
      </c>
      <c r="G1378" s="192">
        <v>0</v>
      </c>
      <c r="H1378" s="192" t="s">
        <v>699</v>
      </c>
      <c r="I1378" s="192" t="s">
        <v>65</v>
      </c>
      <c r="J1378" s="192">
        <v>1.9999999552965164E-2</v>
      </c>
      <c r="K1378" s="192">
        <f>VLOOKUP($D1378,'RBSA Weights'!$A$2:$C$1406,3,FALSE)</f>
        <v>1144.6790000000001</v>
      </c>
    </row>
    <row r="1379" spans="1:11">
      <c r="A1379" s="192" t="s">
        <v>711</v>
      </c>
      <c r="B1379" s="192">
        <v>1</v>
      </c>
      <c r="C1379" s="192">
        <v>132562</v>
      </c>
      <c r="D1379" s="192">
        <v>23185</v>
      </c>
      <c r="E1379" s="192">
        <v>1</v>
      </c>
      <c r="F1379" s="192">
        <v>1394</v>
      </c>
      <c r="G1379" s="192">
        <v>0</v>
      </c>
      <c r="H1379" s="192" t="s">
        <v>705</v>
      </c>
      <c r="I1379" s="192" t="s">
        <v>65</v>
      </c>
      <c r="J1379" s="192">
        <v>1.9999999552965164E-2</v>
      </c>
      <c r="K1379" s="192">
        <f>VLOOKUP($D1379,'RBSA Weights'!$A$2:$C$1406,3,FALSE)</f>
        <v>1144.6790000000001</v>
      </c>
    </row>
    <row r="1380" spans="1:11">
      <c r="A1380" s="192" t="s">
        <v>711</v>
      </c>
      <c r="B1380" s="192">
        <v>1</v>
      </c>
      <c r="C1380" s="192">
        <v>71256</v>
      </c>
      <c r="D1380" s="192">
        <v>20817</v>
      </c>
      <c r="E1380" s="192">
        <v>1</v>
      </c>
      <c r="F1380" s="192">
        <v>955</v>
      </c>
      <c r="G1380" s="192">
        <v>0</v>
      </c>
      <c r="H1380" s="192" t="s">
        <v>704</v>
      </c>
      <c r="I1380" s="192" t="s">
        <v>65</v>
      </c>
      <c r="J1380" s="192">
        <v>1.9999999552965164E-2</v>
      </c>
      <c r="K1380" s="192">
        <f>VLOOKUP($D1380,'RBSA Weights'!$A$2:$C$1406,3,FALSE)</f>
        <v>2079.9929999999999</v>
      </c>
    </row>
    <row r="1381" spans="1:11">
      <c r="A1381" s="192" t="s">
        <v>711</v>
      </c>
      <c r="B1381" s="192">
        <v>1</v>
      </c>
      <c r="C1381" s="192">
        <v>68989</v>
      </c>
      <c r="D1381" s="192">
        <v>24521</v>
      </c>
      <c r="E1381" s="192">
        <v>1</v>
      </c>
      <c r="F1381" s="192">
        <v>925</v>
      </c>
      <c r="G1381" s="192">
        <v>0</v>
      </c>
      <c r="H1381" s="192" t="s">
        <v>697</v>
      </c>
      <c r="I1381" s="192" t="s">
        <v>65</v>
      </c>
      <c r="J1381" s="192">
        <v>1.9999999552965164E-2</v>
      </c>
      <c r="K1381" s="192">
        <f>VLOOKUP($D1381,'RBSA Weights'!$A$2:$C$1406,3,FALSE)</f>
        <v>2130.886</v>
      </c>
    </row>
    <row r="1382" spans="1:11">
      <c r="A1382" s="192" t="s">
        <v>711</v>
      </c>
      <c r="B1382" s="192">
        <v>1</v>
      </c>
      <c r="C1382" s="192">
        <v>100004</v>
      </c>
      <c r="D1382" s="192">
        <v>23611</v>
      </c>
      <c r="E1382" s="192">
        <v>1</v>
      </c>
      <c r="F1382" s="192">
        <v>1808</v>
      </c>
      <c r="G1382" s="192">
        <v>0</v>
      </c>
      <c r="H1382" s="192" t="s">
        <v>705</v>
      </c>
      <c r="I1382" s="192" t="s">
        <v>65</v>
      </c>
      <c r="J1382" s="192">
        <v>1.9999999552965164E-2</v>
      </c>
      <c r="K1382" s="192">
        <f>VLOOKUP($D1382,'RBSA Weights'!$A$2:$C$1406,3,FALSE)</f>
        <v>1144.6790000000001</v>
      </c>
    </row>
    <row r="1383" spans="1:11">
      <c r="A1383" s="192" t="s">
        <v>711</v>
      </c>
      <c r="B1383" s="192">
        <v>1</v>
      </c>
      <c r="C1383" s="192">
        <v>219282</v>
      </c>
      <c r="D1383" s="192">
        <v>21343</v>
      </c>
      <c r="E1383" s="192">
        <v>1</v>
      </c>
      <c r="F1383" s="192">
        <v>2100</v>
      </c>
      <c r="G1383" s="192">
        <v>0</v>
      </c>
      <c r="H1383" s="192" t="s">
        <v>702</v>
      </c>
      <c r="I1383" s="192" t="s">
        <v>65</v>
      </c>
      <c r="J1383" s="192">
        <v>1.9999999552965164E-2</v>
      </c>
      <c r="K1383" s="192">
        <f>VLOOKUP($D1383,'RBSA Weights'!$A$2:$C$1406,3,FALSE)</f>
        <v>8264.9449999999997</v>
      </c>
    </row>
    <row r="1384" spans="1:11">
      <c r="A1384" s="192" t="s">
        <v>711</v>
      </c>
      <c r="B1384" s="192">
        <v>1</v>
      </c>
      <c r="C1384" s="192">
        <v>134606</v>
      </c>
      <c r="D1384" s="192">
        <v>24196</v>
      </c>
      <c r="E1384" s="192">
        <v>1</v>
      </c>
      <c r="F1384" s="192">
        <v>1485</v>
      </c>
      <c r="G1384" s="192">
        <v>0</v>
      </c>
      <c r="H1384" s="192" t="s">
        <v>705</v>
      </c>
      <c r="I1384" s="192" t="s">
        <v>65</v>
      </c>
      <c r="J1384" s="192">
        <v>1.9999999552965164E-2</v>
      </c>
      <c r="K1384" s="192">
        <f>VLOOKUP($D1384,'RBSA Weights'!$A$2:$C$1406,3,FALSE)</f>
        <v>1904.288</v>
      </c>
    </row>
    <row r="1385" spans="1:11">
      <c r="A1385" s="192" t="s">
        <v>711</v>
      </c>
      <c r="B1385" s="192">
        <v>1</v>
      </c>
      <c r="C1385" s="192">
        <v>89720</v>
      </c>
      <c r="D1385" s="192">
        <v>13246</v>
      </c>
      <c r="E1385" s="192">
        <v>1</v>
      </c>
      <c r="F1385" s="192">
        <v>1836</v>
      </c>
      <c r="G1385" s="192">
        <v>0</v>
      </c>
      <c r="H1385" s="192" t="s">
        <v>700</v>
      </c>
      <c r="I1385" s="192" t="s">
        <v>65</v>
      </c>
      <c r="J1385" s="192">
        <v>1.9999999552965164E-2</v>
      </c>
      <c r="K1385" s="192">
        <f>VLOOKUP($D1385,'RBSA Weights'!$A$2:$C$1406,3,FALSE)</f>
        <v>2003.7159999999999</v>
      </c>
    </row>
    <row r="1386" spans="1:11">
      <c r="A1386" s="192" t="s">
        <v>711</v>
      </c>
      <c r="B1386" s="192">
        <v>1</v>
      </c>
      <c r="C1386" s="192">
        <v>198577</v>
      </c>
      <c r="D1386" s="192">
        <v>12777</v>
      </c>
      <c r="E1386" s="192">
        <v>1</v>
      </c>
      <c r="F1386" s="192">
        <v>1692</v>
      </c>
      <c r="G1386" s="192">
        <v>50</v>
      </c>
      <c r="H1386" s="192" t="s">
        <v>705</v>
      </c>
      <c r="I1386" s="192" t="s">
        <v>65</v>
      </c>
      <c r="J1386" s="192">
        <v>1.9999999552965164E-2</v>
      </c>
      <c r="K1386" s="192">
        <f>VLOOKUP($D1386,'RBSA Weights'!$A$2:$C$1406,3,FALSE)</f>
        <v>1188.027</v>
      </c>
    </row>
    <row r="1387" spans="1:11">
      <c r="A1387" s="192" t="s">
        <v>711</v>
      </c>
      <c r="B1387" s="192">
        <v>1</v>
      </c>
      <c r="C1387" s="192">
        <v>176806</v>
      </c>
      <c r="D1387" s="192">
        <v>22084</v>
      </c>
      <c r="E1387" s="192">
        <v>1</v>
      </c>
      <c r="F1387" s="192">
        <v>1040</v>
      </c>
      <c r="G1387" s="192">
        <v>0</v>
      </c>
      <c r="H1387" s="192" t="s">
        <v>705</v>
      </c>
      <c r="I1387" s="192" t="s">
        <v>65</v>
      </c>
      <c r="J1387" s="192">
        <v>1.9999999552965164E-2</v>
      </c>
      <c r="K1387" s="192">
        <f>VLOOKUP($D1387,'RBSA Weights'!$A$2:$C$1406,3,FALSE)</f>
        <v>2130.886</v>
      </c>
    </row>
    <row r="1388" spans="1:11">
      <c r="A1388" s="192" t="s">
        <v>711</v>
      </c>
      <c r="B1388" s="192">
        <v>1</v>
      </c>
      <c r="C1388" s="192">
        <v>725915</v>
      </c>
      <c r="D1388" s="192">
        <v>24378</v>
      </c>
      <c r="E1388" s="192">
        <v>1</v>
      </c>
      <c r="F1388" s="192">
        <v>1274</v>
      </c>
      <c r="G1388" s="192">
        <v>0</v>
      </c>
      <c r="H1388" s="192" t="s">
        <v>705</v>
      </c>
      <c r="I1388" s="192" t="s">
        <v>801</v>
      </c>
      <c r="J1388" s="192">
        <v>1.9999999552965164E-2</v>
      </c>
      <c r="K1388" s="192">
        <f>VLOOKUP($D1388,'RBSA Weights'!$A$2:$C$1406,3,FALSE)</f>
        <v>12271.31</v>
      </c>
    </row>
    <row r="1389" spans="1:11">
      <c r="A1389" s="192" t="s">
        <v>711</v>
      </c>
      <c r="B1389" s="192">
        <v>1</v>
      </c>
      <c r="C1389" s="192">
        <v>219182</v>
      </c>
      <c r="D1389" s="192">
        <v>14150</v>
      </c>
      <c r="E1389" s="192">
        <v>1</v>
      </c>
      <c r="F1389" s="192">
        <v>998</v>
      </c>
      <c r="G1389" s="192">
        <v>50</v>
      </c>
      <c r="H1389" s="192" t="s">
        <v>697</v>
      </c>
      <c r="I1389" s="192" t="s">
        <v>65</v>
      </c>
      <c r="J1389" s="192">
        <v>1.9999999552965164E-2</v>
      </c>
      <c r="K1389" s="192">
        <f>VLOOKUP($D1389,'RBSA Weights'!$A$2:$C$1406,3,FALSE)</f>
        <v>6932.7380000000003</v>
      </c>
    </row>
    <row r="1390" spans="1:11">
      <c r="A1390" s="192" t="s">
        <v>711</v>
      </c>
      <c r="B1390" s="192">
        <v>1</v>
      </c>
      <c r="C1390" s="192">
        <v>201520</v>
      </c>
      <c r="D1390" s="192">
        <v>20266</v>
      </c>
      <c r="E1390" s="192">
        <v>1</v>
      </c>
      <c r="F1390" s="192">
        <v>1672</v>
      </c>
      <c r="G1390" s="192">
        <v>0</v>
      </c>
      <c r="H1390" s="192" t="s">
        <v>699</v>
      </c>
      <c r="I1390" s="192" t="s">
        <v>65</v>
      </c>
      <c r="J1390" s="192">
        <v>1.9999999552965164E-2</v>
      </c>
      <c r="K1390" s="192">
        <f>VLOOKUP($D1390,'RBSA Weights'!$A$2:$C$1406,3,FALSE)</f>
        <v>1925.059</v>
      </c>
    </row>
    <row r="1391" spans="1:11">
      <c r="A1391" s="192" t="s">
        <v>711</v>
      </c>
      <c r="B1391" s="192">
        <v>1</v>
      </c>
      <c r="C1391" s="192">
        <v>155878</v>
      </c>
      <c r="D1391" s="192">
        <v>21252</v>
      </c>
      <c r="E1391" s="192">
        <v>1</v>
      </c>
      <c r="F1391" s="192">
        <v>2790</v>
      </c>
      <c r="G1391" s="192">
        <v>0</v>
      </c>
      <c r="H1391" s="192" t="s">
        <v>705</v>
      </c>
      <c r="I1391" s="192" t="s">
        <v>65</v>
      </c>
      <c r="J1391" s="192">
        <v>1.9999999552965164E-2</v>
      </c>
      <c r="K1391" s="192">
        <f>VLOOKUP($D1391,'RBSA Weights'!$A$2:$C$1406,3,FALSE)</f>
        <v>1612.692</v>
      </c>
    </row>
    <row r="1392" spans="1:11">
      <c r="A1392" s="192" t="s">
        <v>711</v>
      </c>
      <c r="B1392" s="192">
        <v>1</v>
      </c>
      <c r="C1392" s="192">
        <v>226033</v>
      </c>
      <c r="D1392" s="192">
        <v>24510</v>
      </c>
      <c r="E1392" s="192">
        <v>1</v>
      </c>
      <c r="F1392" s="192">
        <v>1288</v>
      </c>
      <c r="G1392" s="192">
        <v>0</v>
      </c>
      <c r="H1392" s="192" t="s">
        <v>705</v>
      </c>
      <c r="I1392" s="192" t="s">
        <v>65</v>
      </c>
      <c r="J1392" s="192">
        <v>1.9999999552965164E-2</v>
      </c>
      <c r="K1392" s="192">
        <f>VLOOKUP($D1392,'RBSA Weights'!$A$2:$C$1406,3,FALSE)</f>
        <v>1904.288</v>
      </c>
    </row>
    <row r="1393" spans="1:11">
      <c r="A1393" s="192" t="s">
        <v>711</v>
      </c>
      <c r="B1393" s="192">
        <v>1</v>
      </c>
      <c r="C1393" s="192">
        <v>34166</v>
      </c>
      <c r="D1393" s="192">
        <v>24288</v>
      </c>
      <c r="E1393" s="192">
        <v>1</v>
      </c>
      <c r="F1393" s="192">
        <v>1470</v>
      </c>
      <c r="G1393" s="192">
        <v>0</v>
      </c>
      <c r="H1393" s="192" t="s">
        <v>705</v>
      </c>
      <c r="I1393" s="192" t="s">
        <v>65</v>
      </c>
      <c r="J1393" s="192">
        <v>1.9999999552965164E-2</v>
      </c>
      <c r="K1393" s="192">
        <f>VLOOKUP($D1393,'RBSA Weights'!$A$2:$C$1406,3,FALSE)</f>
        <v>2130.886</v>
      </c>
    </row>
    <row r="1394" spans="1:11">
      <c r="A1394" s="192" t="s">
        <v>711</v>
      </c>
      <c r="B1394" s="192">
        <v>1</v>
      </c>
      <c r="C1394" s="192">
        <v>234471</v>
      </c>
      <c r="D1394" s="192">
        <v>23618</v>
      </c>
      <c r="E1394" s="192">
        <v>1</v>
      </c>
      <c r="F1394" s="192">
        <v>1196</v>
      </c>
      <c r="G1394" s="192">
        <v>0</v>
      </c>
      <c r="H1394" s="192" t="s">
        <v>702</v>
      </c>
      <c r="I1394" s="192" t="s">
        <v>65</v>
      </c>
      <c r="J1394" s="192">
        <v>1.9999999552965164E-2</v>
      </c>
      <c r="K1394" s="192">
        <f>VLOOKUP($D1394,'RBSA Weights'!$A$2:$C$1406,3,FALSE)</f>
        <v>3785.7640000000001</v>
      </c>
    </row>
    <row r="1395" spans="1:11">
      <c r="A1395" s="192" t="s">
        <v>711</v>
      </c>
      <c r="B1395" s="192">
        <v>1</v>
      </c>
      <c r="C1395" s="192">
        <v>71387</v>
      </c>
      <c r="D1395" s="192">
        <v>21103</v>
      </c>
      <c r="E1395" s="192">
        <v>1</v>
      </c>
      <c r="F1395" s="192">
        <v>1150</v>
      </c>
      <c r="G1395" s="192">
        <v>0</v>
      </c>
      <c r="H1395" s="192" t="s">
        <v>702</v>
      </c>
      <c r="I1395" s="192" t="s">
        <v>65</v>
      </c>
      <c r="J1395" s="192">
        <v>1.9999999552965164E-2</v>
      </c>
      <c r="K1395" s="192">
        <f>VLOOKUP($D1395,'RBSA Weights'!$A$2:$C$1406,3,FALSE)</f>
        <v>2079.9929999999999</v>
      </c>
    </row>
    <row r="1396" spans="1:11">
      <c r="A1396" s="192" t="s">
        <v>711</v>
      </c>
      <c r="B1396" s="192">
        <v>1</v>
      </c>
      <c r="C1396" s="192">
        <v>44337</v>
      </c>
      <c r="D1396" s="192">
        <v>13011</v>
      </c>
      <c r="E1396" s="192">
        <v>1</v>
      </c>
      <c r="F1396" s="192">
        <v>1536</v>
      </c>
      <c r="G1396" s="192">
        <v>0</v>
      </c>
      <c r="H1396" s="192" t="s">
        <v>700</v>
      </c>
      <c r="I1396" s="192" t="s">
        <v>65</v>
      </c>
      <c r="J1396" s="192">
        <v>1.9999999552965164E-2</v>
      </c>
      <c r="K1396" s="192">
        <f>VLOOKUP($D1396,'RBSA Weights'!$A$2:$C$1406,3,FALSE)</f>
        <v>1188.027</v>
      </c>
    </row>
    <row r="1397" spans="1:11">
      <c r="A1397" s="192" t="s">
        <v>711</v>
      </c>
      <c r="B1397" s="192">
        <v>1</v>
      </c>
      <c r="C1397" s="192">
        <v>687188</v>
      </c>
      <c r="D1397" s="192">
        <v>14174</v>
      </c>
      <c r="E1397" s="192">
        <v>1</v>
      </c>
      <c r="F1397" s="192">
        <v>1326</v>
      </c>
      <c r="G1397" s="192">
        <v>0</v>
      </c>
      <c r="H1397" s="192" t="s">
        <v>700</v>
      </c>
      <c r="I1397" s="192" t="s">
        <v>65</v>
      </c>
      <c r="J1397" s="192">
        <v>1.9999999552965164E-2</v>
      </c>
      <c r="K1397" s="192">
        <f>VLOOKUP($D1397,'RBSA Weights'!$A$2:$C$1406,3,FALSE)</f>
        <v>6932.7380000000003</v>
      </c>
    </row>
    <row r="1398" spans="1:11">
      <c r="A1398" s="192" t="s">
        <v>711</v>
      </c>
      <c r="B1398" s="192">
        <v>1</v>
      </c>
      <c r="C1398" s="192">
        <v>176920</v>
      </c>
      <c r="D1398" s="192">
        <v>24622</v>
      </c>
      <c r="E1398" s="192">
        <v>1</v>
      </c>
      <c r="F1398" s="192">
        <v>696</v>
      </c>
      <c r="G1398" s="192">
        <v>0</v>
      </c>
      <c r="H1398" s="192" t="s">
        <v>697</v>
      </c>
      <c r="I1398" s="192" t="s">
        <v>65</v>
      </c>
      <c r="J1398" s="192">
        <v>1.9999999552965164E-2</v>
      </c>
      <c r="K1398" s="192">
        <f>VLOOKUP($D1398,'RBSA Weights'!$A$2:$C$1406,3,FALSE)</f>
        <v>2130.886</v>
      </c>
    </row>
    <row r="1399" spans="1:11">
      <c r="A1399" s="192" t="s">
        <v>711</v>
      </c>
      <c r="B1399" s="192">
        <v>1</v>
      </c>
      <c r="C1399" s="192">
        <v>103568</v>
      </c>
      <c r="D1399" s="192">
        <v>23318</v>
      </c>
      <c r="E1399" s="192">
        <v>1</v>
      </c>
      <c r="F1399" s="192">
        <v>873</v>
      </c>
      <c r="G1399" s="192">
        <v>0</v>
      </c>
      <c r="H1399" s="192" t="s">
        <v>705</v>
      </c>
      <c r="I1399" s="192" t="s">
        <v>65</v>
      </c>
      <c r="J1399" s="192">
        <v>1.9999999552965164E-2</v>
      </c>
      <c r="K1399" s="192">
        <f>VLOOKUP($D1399,'RBSA Weights'!$A$2:$C$1406,3,FALSE)</f>
        <v>1144.6790000000001</v>
      </c>
    </row>
    <row r="1400" spans="1:11">
      <c r="A1400" s="192" t="s">
        <v>711</v>
      </c>
      <c r="B1400" s="192">
        <v>1</v>
      </c>
      <c r="C1400" s="192">
        <v>109257</v>
      </c>
      <c r="D1400" s="192">
        <v>24418</v>
      </c>
      <c r="E1400" s="192">
        <v>1</v>
      </c>
      <c r="F1400" s="192">
        <v>1230</v>
      </c>
      <c r="G1400" s="192">
        <v>0</v>
      </c>
      <c r="H1400" s="192" t="s">
        <v>700</v>
      </c>
      <c r="I1400" s="192" t="s">
        <v>65</v>
      </c>
      <c r="J1400" s="192">
        <v>1.9999999552965164E-2</v>
      </c>
      <c r="K1400" s="192">
        <f>VLOOKUP($D1400,'RBSA Weights'!$A$2:$C$1406,3,FALSE)</f>
        <v>1144.6790000000001</v>
      </c>
    </row>
    <row r="1401" spans="1:11">
      <c r="A1401" s="192" t="s">
        <v>711</v>
      </c>
      <c r="B1401" s="192">
        <v>1</v>
      </c>
      <c r="C1401" s="192">
        <v>191041</v>
      </c>
      <c r="D1401" s="192">
        <v>20946</v>
      </c>
      <c r="E1401" s="192">
        <v>1</v>
      </c>
      <c r="F1401" s="192">
        <v>1400</v>
      </c>
      <c r="G1401" s="192">
        <v>0</v>
      </c>
      <c r="H1401" s="192" t="s">
        <v>697</v>
      </c>
      <c r="I1401" s="192" t="s">
        <v>65</v>
      </c>
      <c r="J1401" s="192">
        <v>1.9999999552965164E-2</v>
      </c>
      <c r="K1401" s="192">
        <f>VLOOKUP($D1401,'RBSA Weights'!$A$2:$C$1406,3,FALSE)</f>
        <v>2130.886</v>
      </c>
    </row>
    <row r="1402" spans="1:11">
      <c r="A1402" s="192" t="s">
        <v>711</v>
      </c>
      <c r="B1402" s="192">
        <v>1</v>
      </c>
      <c r="C1402" s="192">
        <v>193745</v>
      </c>
      <c r="D1402" s="192">
        <v>22618</v>
      </c>
      <c r="E1402" s="192">
        <v>1</v>
      </c>
      <c r="F1402" s="192">
        <v>900</v>
      </c>
      <c r="G1402" s="192">
        <v>0</v>
      </c>
      <c r="H1402" s="192" t="s">
        <v>702</v>
      </c>
      <c r="I1402" s="192" t="s">
        <v>65</v>
      </c>
      <c r="J1402" s="192">
        <v>1.9999999552965164E-2</v>
      </c>
      <c r="K1402" s="192">
        <f>VLOOKUP($D1402,'RBSA Weights'!$A$2:$C$1406,3,FALSE)</f>
        <v>2130.886</v>
      </c>
    </row>
    <row r="1403" spans="1:11">
      <c r="A1403" s="192" t="s">
        <v>711</v>
      </c>
      <c r="B1403" s="192">
        <v>1</v>
      </c>
      <c r="C1403" s="192">
        <v>73893</v>
      </c>
      <c r="D1403" s="192">
        <v>11752</v>
      </c>
      <c r="E1403" s="192">
        <v>1</v>
      </c>
      <c r="F1403" s="192">
        <v>1240</v>
      </c>
      <c r="G1403" s="192">
        <v>0</v>
      </c>
      <c r="H1403" s="192" t="s">
        <v>702</v>
      </c>
      <c r="I1403" s="192" t="s">
        <v>65</v>
      </c>
      <c r="J1403" s="192">
        <v>1.9999999552965164E-2</v>
      </c>
      <c r="K1403" s="192">
        <f>VLOOKUP($D1403,'RBSA Weights'!$A$2:$C$1406,3,FALSE)</f>
        <v>2003.7159999999999</v>
      </c>
    </row>
    <row r="1404" spans="1:11">
      <c r="A1404" s="192" t="s">
        <v>711</v>
      </c>
      <c r="B1404" s="192">
        <v>1</v>
      </c>
      <c r="C1404" s="192">
        <v>193919</v>
      </c>
      <c r="D1404" s="192">
        <v>21419</v>
      </c>
      <c r="E1404" s="192">
        <v>1</v>
      </c>
      <c r="F1404" s="192">
        <v>1008</v>
      </c>
      <c r="G1404" s="192">
        <v>0</v>
      </c>
      <c r="H1404" s="192" t="s">
        <v>702</v>
      </c>
      <c r="I1404" s="192" t="s">
        <v>65</v>
      </c>
      <c r="J1404" s="192">
        <v>1.9999999552965164E-2</v>
      </c>
      <c r="K1404" s="192">
        <f>VLOOKUP($D1404,'RBSA Weights'!$A$2:$C$1406,3,FALSE)</f>
        <v>2130.886</v>
      </c>
    </row>
  </sheetData>
  <pageMargins left="0.75" right="0.75" top="1" bottom="1" header="0.5" footer="0.5"/>
  <headerFooter alignWithMargins="0"/>
  <legacyDrawing r:id="rId2"/>
</worksheet>
</file>

<file path=xl/worksheets/sheet12.xml><?xml version="1.0" encoding="utf-8"?>
<worksheet xmlns="http://schemas.openxmlformats.org/spreadsheetml/2006/main" xmlns:r="http://schemas.openxmlformats.org/officeDocument/2006/relationships">
  <dimension ref="A1:U1800"/>
  <sheetViews>
    <sheetView workbookViewId="0">
      <selection activeCell="N1" sqref="N1"/>
    </sheetView>
  </sheetViews>
  <sheetFormatPr defaultRowHeight="12.75"/>
  <cols>
    <col min="1" max="7" width="9.140625" style="192"/>
    <col min="8" max="8" width="26.5703125" style="192" bestFit="1" customWidth="1"/>
    <col min="9" max="12" width="9.140625" style="192"/>
    <col min="13" max="14" width="9.140625" style="192" customWidth="1"/>
    <col min="15" max="15" width="24.28515625" style="192" customWidth="1"/>
    <col min="16" max="16" width="14.5703125" style="192" customWidth="1"/>
    <col min="17" max="17" width="14.5703125" style="192" bestFit="1" customWidth="1"/>
    <col min="18" max="263" width="9.140625" style="192"/>
    <col min="264" max="264" width="26.5703125" style="192" bestFit="1" customWidth="1"/>
    <col min="265" max="519" width="9.140625" style="192"/>
    <col min="520" max="520" width="26.5703125" style="192" bestFit="1" customWidth="1"/>
    <col min="521" max="775" width="9.140625" style="192"/>
    <col min="776" max="776" width="26.5703125" style="192" bestFit="1" customWidth="1"/>
    <col min="777" max="1031" width="9.140625" style="192"/>
    <col min="1032" max="1032" width="26.5703125" style="192" bestFit="1" customWidth="1"/>
    <col min="1033" max="1287" width="9.140625" style="192"/>
    <col min="1288" max="1288" width="26.5703125" style="192" bestFit="1" customWidth="1"/>
    <col min="1289" max="1543" width="9.140625" style="192"/>
    <col min="1544" max="1544" width="26.5703125" style="192" bestFit="1" customWidth="1"/>
    <col min="1545" max="1799" width="9.140625" style="192"/>
    <col min="1800" max="1800" width="26.5703125" style="192" bestFit="1" customWidth="1"/>
    <col min="1801" max="2055" width="9.140625" style="192"/>
    <col min="2056" max="2056" width="26.5703125" style="192" bestFit="1" customWidth="1"/>
    <col min="2057" max="2311" width="9.140625" style="192"/>
    <col min="2312" max="2312" width="26.5703125" style="192" bestFit="1" customWidth="1"/>
    <col min="2313" max="2567" width="9.140625" style="192"/>
    <col min="2568" max="2568" width="26.5703125" style="192" bestFit="1" customWidth="1"/>
    <col min="2569" max="2823" width="9.140625" style="192"/>
    <col min="2824" max="2824" width="26.5703125" style="192" bestFit="1" customWidth="1"/>
    <col min="2825" max="3079" width="9.140625" style="192"/>
    <col min="3080" max="3080" width="26.5703125" style="192" bestFit="1" customWidth="1"/>
    <col min="3081" max="3335" width="9.140625" style="192"/>
    <col min="3336" max="3336" width="26.5703125" style="192" bestFit="1" customWidth="1"/>
    <col min="3337" max="3591" width="9.140625" style="192"/>
    <col min="3592" max="3592" width="26.5703125" style="192" bestFit="1" customWidth="1"/>
    <col min="3593" max="3847" width="9.140625" style="192"/>
    <col min="3848" max="3848" width="26.5703125" style="192" bestFit="1" customWidth="1"/>
    <col min="3849" max="4103" width="9.140625" style="192"/>
    <col min="4104" max="4104" width="26.5703125" style="192" bestFit="1" customWidth="1"/>
    <col min="4105" max="4359" width="9.140625" style="192"/>
    <col min="4360" max="4360" width="26.5703125" style="192" bestFit="1" customWidth="1"/>
    <col min="4361" max="4615" width="9.140625" style="192"/>
    <col min="4616" max="4616" width="26.5703125" style="192" bestFit="1" customWidth="1"/>
    <col min="4617" max="4871" width="9.140625" style="192"/>
    <col min="4872" max="4872" width="26.5703125" style="192" bestFit="1" customWidth="1"/>
    <col min="4873" max="5127" width="9.140625" style="192"/>
    <col min="5128" max="5128" width="26.5703125" style="192" bestFit="1" customWidth="1"/>
    <col min="5129" max="5383" width="9.140625" style="192"/>
    <col min="5384" max="5384" width="26.5703125" style="192" bestFit="1" customWidth="1"/>
    <col min="5385" max="5639" width="9.140625" style="192"/>
    <col min="5640" max="5640" width="26.5703125" style="192" bestFit="1" customWidth="1"/>
    <col min="5641" max="5895" width="9.140625" style="192"/>
    <col min="5896" max="5896" width="26.5703125" style="192" bestFit="1" customWidth="1"/>
    <col min="5897" max="6151" width="9.140625" style="192"/>
    <col min="6152" max="6152" width="26.5703125" style="192" bestFit="1" customWidth="1"/>
    <col min="6153" max="6407" width="9.140625" style="192"/>
    <col min="6408" max="6408" width="26.5703125" style="192" bestFit="1" customWidth="1"/>
    <col min="6409" max="6663" width="9.140625" style="192"/>
    <col min="6664" max="6664" width="26.5703125" style="192" bestFit="1" customWidth="1"/>
    <col min="6665" max="6919" width="9.140625" style="192"/>
    <col min="6920" max="6920" width="26.5703125" style="192" bestFit="1" customWidth="1"/>
    <col min="6921" max="7175" width="9.140625" style="192"/>
    <col min="7176" max="7176" width="26.5703125" style="192" bestFit="1" customWidth="1"/>
    <col min="7177" max="7431" width="9.140625" style="192"/>
    <col min="7432" max="7432" width="26.5703125" style="192" bestFit="1" customWidth="1"/>
    <col min="7433" max="7687" width="9.140625" style="192"/>
    <col min="7688" max="7688" width="26.5703125" style="192" bestFit="1" customWidth="1"/>
    <col min="7689" max="7943" width="9.140625" style="192"/>
    <col min="7944" max="7944" width="26.5703125" style="192" bestFit="1" customWidth="1"/>
    <col min="7945" max="8199" width="9.140625" style="192"/>
    <col min="8200" max="8200" width="26.5703125" style="192" bestFit="1" customWidth="1"/>
    <col min="8201" max="8455" width="9.140625" style="192"/>
    <col min="8456" max="8456" width="26.5703125" style="192" bestFit="1" customWidth="1"/>
    <col min="8457" max="8711" width="9.140625" style="192"/>
    <col min="8712" max="8712" width="26.5703125" style="192" bestFit="1" customWidth="1"/>
    <col min="8713" max="8967" width="9.140625" style="192"/>
    <col min="8968" max="8968" width="26.5703125" style="192" bestFit="1" customWidth="1"/>
    <col min="8969" max="9223" width="9.140625" style="192"/>
    <col min="9224" max="9224" width="26.5703125" style="192" bestFit="1" customWidth="1"/>
    <col min="9225" max="9479" width="9.140625" style="192"/>
    <col min="9480" max="9480" width="26.5703125" style="192" bestFit="1" customWidth="1"/>
    <col min="9481" max="9735" width="9.140625" style="192"/>
    <col min="9736" max="9736" width="26.5703125" style="192" bestFit="1" customWidth="1"/>
    <col min="9737" max="9991" width="9.140625" style="192"/>
    <col min="9992" max="9992" width="26.5703125" style="192" bestFit="1" customWidth="1"/>
    <col min="9993" max="10247" width="9.140625" style="192"/>
    <col min="10248" max="10248" width="26.5703125" style="192" bestFit="1" customWidth="1"/>
    <col min="10249" max="10503" width="9.140625" style="192"/>
    <col min="10504" max="10504" width="26.5703125" style="192" bestFit="1" customWidth="1"/>
    <col min="10505" max="10759" width="9.140625" style="192"/>
    <col min="10760" max="10760" width="26.5703125" style="192" bestFit="1" customWidth="1"/>
    <col min="10761" max="11015" width="9.140625" style="192"/>
    <col min="11016" max="11016" width="26.5703125" style="192" bestFit="1" customWidth="1"/>
    <col min="11017" max="11271" width="9.140625" style="192"/>
    <col min="11272" max="11272" width="26.5703125" style="192" bestFit="1" customWidth="1"/>
    <col min="11273" max="11527" width="9.140625" style="192"/>
    <col min="11528" max="11528" width="26.5703125" style="192" bestFit="1" customWidth="1"/>
    <col min="11529" max="11783" width="9.140625" style="192"/>
    <col min="11784" max="11784" width="26.5703125" style="192" bestFit="1" customWidth="1"/>
    <col min="11785" max="12039" width="9.140625" style="192"/>
    <col min="12040" max="12040" width="26.5703125" style="192" bestFit="1" customWidth="1"/>
    <col min="12041" max="12295" width="9.140625" style="192"/>
    <col min="12296" max="12296" width="26.5703125" style="192" bestFit="1" customWidth="1"/>
    <col min="12297" max="12551" width="9.140625" style="192"/>
    <col min="12552" max="12552" width="26.5703125" style="192" bestFit="1" customWidth="1"/>
    <col min="12553" max="12807" width="9.140625" style="192"/>
    <col min="12808" max="12808" width="26.5703125" style="192" bestFit="1" customWidth="1"/>
    <col min="12809" max="13063" width="9.140625" style="192"/>
    <col min="13064" max="13064" width="26.5703125" style="192" bestFit="1" customWidth="1"/>
    <col min="13065" max="13319" width="9.140625" style="192"/>
    <col min="13320" max="13320" width="26.5703125" style="192" bestFit="1" customWidth="1"/>
    <col min="13321" max="13575" width="9.140625" style="192"/>
    <col min="13576" max="13576" width="26.5703125" style="192" bestFit="1" customWidth="1"/>
    <col min="13577" max="13831" width="9.140625" style="192"/>
    <col min="13832" max="13832" width="26.5703125" style="192" bestFit="1" customWidth="1"/>
    <col min="13833" max="14087" width="9.140625" style="192"/>
    <col min="14088" max="14088" width="26.5703125" style="192" bestFit="1" customWidth="1"/>
    <col min="14089" max="14343" width="9.140625" style="192"/>
    <col min="14344" max="14344" width="26.5703125" style="192" bestFit="1" customWidth="1"/>
    <col min="14345" max="14599" width="9.140625" style="192"/>
    <col min="14600" max="14600" width="26.5703125" style="192" bestFit="1" customWidth="1"/>
    <col min="14601" max="14855" width="9.140625" style="192"/>
    <col min="14856" max="14856" width="26.5703125" style="192" bestFit="1" customWidth="1"/>
    <col min="14857" max="15111" width="9.140625" style="192"/>
    <col min="15112" max="15112" width="26.5703125" style="192" bestFit="1" customWidth="1"/>
    <col min="15113" max="15367" width="9.140625" style="192"/>
    <col min="15368" max="15368" width="26.5703125" style="192" bestFit="1" customWidth="1"/>
    <col min="15369" max="15623" width="9.140625" style="192"/>
    <col min="15624" max="15624" width="26.5703125" style="192" bestFit="1" customWidth="1"/>
    <col min="15625" max="15879" width="9.140625" style="192"/>
    <col min="15880" max="15880" width="26.5703125" style="192" bestFit="1" customWidth="1"/>
    <col min="15881" max="16135" width="9.140625" style="192"/>
    <col min="16136" max="16136" width="26.5703125" style="192" bestFit="1" customWidth="1"/>
    <col min="16137" max="16384" width="9.140625" style="192"/>
  </cols>
  <sheetData>
    <row r="1" spans="1:21">
      <c r="A1" s="192" t="s">
        <v>689</v>
      </c>
      <c r="B1" s="192" t="s">
        <v>315</v>
      </c>
      <c r="C1" s="192" t="s">
        <v>808</v>
      </c>
      <c r="D1" s="192" t="s">
        <v>809</v>
      </c>
      <c r="E1" s="192" t="s">
        <v>810</v>
      </c>
      <c r="F1" s="192" t="s">
        <v>811</v>
      </c>
      <c r="G1" s="192" t="s">
        <v>812</v>
      </c>
      <c r="H1" s="192" t="s">
        <v>813</v>
      </c>
      <c r="I1" s="192" t="s">
        <v>814</v>
      </c>
      <c r="J1" s="192" t="s">
        <v>438</v>
      </c>
      <c r="L1" s="192" t="s">
        <v>1614</v>
      </c>
      <c r="N1" s="192" t="s">
        <v>1615</v>
      </c>
    </row>
    <row r="2" spans="1:21">
      <c r="A2" s="192">
        <v>70987</v>
      </c>
      <c r="B2" s="192">
        <v>10002</v>
      </c>
      <c r="C2" s="192" t="s">
        <v>815</v>
      </c>
      <c r="D2" s="192">
        <v>159</v>
      </c>
      <c r="E2" s="192" t="s">
        <v>816</v>
      </c>
      <c r="F2" s="192" t="s">
        <v>817</v>
      </c>
      <c r="G2" s="192">
        <v>0.55000001192092896</v>
      </c>
      <c r="H2" s="192" t="s">
        <v>818</v>
      </c>
      <c r="I2" s="192">
        <v>1</v>
      </c>
      <c r="J2" s="192">
        <f>VLOOKUP($B2,'RBSA Weights'!$A$2:$C$1406,3,FALSE)</f>
        <v>1524.7619999999999</v>
      </c>
    </row>
    <row r="3" spans="1:21">
      <c r="A3" s="192">
        <v>63129</v>
      </c>
      <c r="B3" s="192">
        <v>10005</v>
      </c>
      <c r="C3" s="192" t="s">
        <v>815</v>
      </c>
      <c r="D3" s="192">
        <v>279</v>
      </c>
      <c r="E3" s="192" t="s">
        <v>816</v>
      </c>
      <c r="F3" s="192" t="s">
        <v>817</v>
      </c>
      <c r="G3" s="192">
        <v>0.55000001192092896</v>
      </c>
      <c r="H3" s="192" t="s">
        <v>818</v>
      </c>
      <c r="I3" s="192">
        <v>1</v>
      </c>
      <c r="J3" s="192">
        <f>VLOOKUP($B3,'RBSA Weights'!$A$2:$C$1406,3,FALSE)</f>
        <v>1188.027</v>
      </c>
    </row>
    <row r="4" spans="1:21">
      <c r="A4" s="192">
        <v>677342</v>
      </c>
      <c r="B4" s="192">
        <v>10011</v>
      </c>
      <c r="C4" s="192" t="s">
        <v>815</v>
      </c>
      <c r="D4" s="192">
        <v>228</v>
      </c>
      <c r="E4" s="192" t="s">
        <v>816</v>
      </c>
      <c r="F4" s="192" t="s">
        <v>817</v>
      </c>
      <c r="G4" s="192">
        <v>0.44999998807907104</v>
      </c>
      <c r="H4" s="192" t="s">
        <v>818</v>
      </c>
      <c r="I4" s="192">
        <v>1</v>
      </c>
      <c r="J4" s="192">
        <f>VLOOKUP($B4,'RBSA Weights'!$A$2:$C$1406,3,FALSE)</f>
        <v>4956.4930000000004</v>
      </c>
    </row>
    <row r="5" spans="1:21">
      <c r="A5" s="192">
        <v>212191</v>
      </c>
      <c r="B5" s="192">
        <v>10016</v>
      </c>
      <c r="C5" s="192" t="s">
        <v>815</v>
      </c>
      <c r="D5" s="192">
        <v>180</v>
      </c>
      <c r="E5" s="192" t="s">
        <v>816</v>
      </c>
      <c r="F5" s="192" t="s">
        <v>817</v>
      </c>
      <c r="G5" s="192">
        <v>0.44999998807907104</v>
      </c>
      <c r="H5" s="192" t="s">
        <v>818</v>
      </c>
      <c r="I5" s="192">
        <v>1</v>
      </c>
      <c r="J5" s="192">
        <f>VLOOKUP($B5,'RBSA Weights'!$A$2:$C$1406,3,FALSE)</f>
        <v>6932.7380000000003</v>
      </c>
    </row>
    <row r="6" spans="1:21">
      <c r="A6" s="192">
        <v>239583</v>
      </c>
      <c r="B6" s="192">
        <v>10021</v>
      </c>
      <c r="C6" s="192" t="s">
        <v>815</v>
      </c>
      <c r="D6" s="192">
        <v>184</v>
      </c>
      <c r="E6" s="192" t="s">
        <v>819</v>
      </c>
      <c r="F6" s="192" t="s">
        <v>820</v>
      </c>
      <c r="G6" s="192">
        <v>0.75</v>
      </c>
      <c r="H6" s="192" t="s">
        <v>820</v>
      </c>
      <c r="I6" s="192">
        <v>1</v>
      </c>
      <c r="J6" s="192">
        <f>VLOOKUP($B6,'RBSA Weights'!$A$2:$C$1406,3,FALSE)</f>
        <v>1150.8789999999999</v>
      </c>
    </row>
    <row r="7" spans="1:21">
      <c r="A7" s="192">
        <v>104345</v>
      </c>
      <c r="B7" s="192">
        <v>10030</v>
      </c>
      <c r="C7" s="192" t="s">
        <v>815</v>
      </c>
      <c r="D7" s="192">
        <v>183</v>
      </c>
      <c r="E7" s="192" t="s">
        <v>819</v>
      </c>
      <c r="F7" s="192" t="s">
        <v>818</v>
      </c>
      <c r="G7" s="192">
        <v>0.5</v>
      </c>
      <c r="H7" s="192" t="s">
        <v>818</v>
      </c>
      <c r="I7" s="192">
        <v>1</v>
      </c>
      <c r="J7" s="192">
        <f>VLOOKUP($B7,'RBSA Weights'!$A$2:$C$1406,3,FALSE)</f>
        <v>4956.4930000000004</v>
      </c>
      <c r="O7"/>
      <c r="P7" s="194" t="s">
        <v>897</v>
      </c>
      <c r="Q7"/>
    </row>
    <row r="8" spans="1:21">
      <c r="A8" s="192">
        <v>38830</v>
      </c>
      <c r="B8" s="192">
        <v>10040</v>
      </c>
      <c r="C8" s="192" t="s">
        <v>815</v>
      </c>
      <c r="D8" s="192">
        <v>151</v>
      </c>
      <c r="E8" s="192" t="s">
        <v>816</v>
      </c>
      <c r="F8" s="192" t="s">
        <v>818</v>
      </c>
      <c r="G8" s="192">
        <v>0.55000001192092896</v>
      </c>
      <c r="H8" s="192" t="s">
        <v>818</v>
      </c>
      <c r="I8" s="192">
        <v>1</v>
      </c>
      <c r="J8" s="192">
        <f>VLOOKUP($B8,'RBSA Weights'!$A$2:$C$1406,3,FALSE)</f>
        <v>1524.7619999999999</v>
      </c>
      <c r="O8" s="194" t="s">
        <v>803</v>
      </c>
      <c r="P8" t="s">
        <v>830</v>
      </c>
      <c r="Q8" t="s">
        <v>807</v>
      </c>
    </row>
    <row r="9" spans="1:21">
      <c r="A9" s="192">
        <v>54867</v>
      </c>
      <c r="B9" s="192">
        <v>10044</v>
      </c>
      <c r="C9" s="192" t="s">
        <v>815</v>
      </c>
      <c r="D9" s="192">
        <v>246</v>
      </c>
      <c r="E9" s="192" t="s">
        <v>819</v>
      </c>
      <c r="F9" s="192" t="s">
        <v>817</v>
      </c>
      <c r="G9" s="192">
        <v>0.40000000596046448</v>
      </c>
      <c r="H9" s="192" t="s">
        <v>818</v>
      </c>
      <c r="I9" s="192">
        <v>1</v>
      </c>
      <c r="J9" s="192">
        <f>VLOOKUP($B9,'RBSA Weights'!$A$2:$C$1406,3,FALSE)</f>
        <v>2003.7159999999999</v>
      </c>
      <c r="O9" s="195" t="s">
        <v>820</v>
      </c>
      <c r="P9" s="197">
        <v>0.81422595673525189</v>
      </c>
      <c r="Q9" s="197">
        <v>688745.06400000048</v>
      </c>
      <c r="R9" s="198">
        <f>Q9/$Q$15</f>
        <v>0.13387979689008628</v>
      </c>
      <c r="T9" s="192" t="s">
        <v>900</v>
      </c>
      <c r="U9" s="199">
        <f>SUM(R9:R11)</f>
        <v>0.19981459986814226</v>
      </c>
    </row>
    <row r="10" spans="1:21">
      <c r="A10" s="192">
        <v>724074</v>
      </c>
      <c r="B10" s="192">
        <v>10052</v>
      </c>
      <c r="C10" s="192" t="s">
        <v>815</v>
      </c>
      <c r="D10" s="192">
        <v>164</v>
      </c>
      <c r="E10" s="192" t="s">
        <v>816</v>
      </c>
      <c r="F10" s="192" t="s">
        <v>820</v>
      </c>
      <c r="G10" s="192">
        <v>0.85000002384185791</v>
      </c>
      <c r="H10" s="192" t="s">
        <v>820</v>
      </c>
      <c r="I10" s="192">
        <v>1</v>
      </c>
      <c r="J10" s="192">
        <f>VLOOKUP($B10,'RBSA Weights'!$A$2:$C$1406,3,FALSE)</f>
        <v>4956.4930000000004</v>
      </c>
      <c r="O10" s="195" t="s">
        <v>823</v>
      </c>
      <c r="P10" s="197">
        <v>1.0177272959188981</v>
      </c>
      <c r="Q10" s="197">
        <v>333412.33499999973</v>
      </c>
      <c r="R10" s="198">
        <f t="shared" ref="R10:R14" si="0">Q10/$Q$15</f>
        <v>6.4809430983376659E-2</v>
      </c>
      <c r="T10" s="192" t="s">
        <v>901</v>
      </c>
      <c r="U10" s="199">
        <f>SUM(R12:R14)</f>
        <v>0.80018540013186257</v>
      </c>
    </row>
    <row r="11" spans="1:21">
      <c r="A11" s="192">
        <v>676222</v>
      </c>
      <c r="B11" s="192">
        <v>10055</v>
      </c>
      <c r="C11" s="192" t="s">
        <v>815</v>
      </c>
      <c r="D11" s="192">
        <v>409</v>
      </c>
      <c r="E11" s="192" t="s">
        <v>816</v>
      </c>
      <c r="F11" s="192" t="s">
        <v>817</v>
      </c>
      <c r="G11" s="192">
        <v>0.44999998807907104</v>
      </c>
      <c r="H11" s="192" t="s">
        <v>818</v>
      </c>
      <c r="I11" s="192">
        <v>1</v>
      </c>
      <c r="J11" s="192">
        <f>VLOOKUP($B11,'RBSA Weights'!$A$2:$C$1406,3,FALSE)</f>
        <v>4956.4930000000004</v>
      </c>
      <c r="O11" s="195" t="s">
        <v>827</v>
      </c>
      <c r="P11" s="197">
        <v>0.34999999403953552</v>
      </c>
      <c r="Q11" s="197">
        <v>5789.48</v>
      </c>
      <c r="R11" s="198">
        <f t="shared" si="0"/>
        <v>1.1253719946793203E-3</v>
      </c>
    </row>
    <row r="12" spans="1:21">
      <c r="A12" s="192">
        <v>136990</v>
      </c>
      <c r="B12" s="192">
        <v>10062</v>
      </c>
      <c r="C12" s="192" t="s">
        <v>815</v>
      </c>
      <c r="D12" s="192">
        <v>210</v>
      </c>
      <c r="E12" s="192" t="s">
        <v>816</v>
      </c>
      <c r="F12" s="192" t="s">
        <v>818</v>
      </c>
      <c r="G12" s="192">
        <v>0.60000002384185791</v>
      </c>
      <c r="H12" s="192" t="s">
        <v>818</v>
      </c>
      <c r="I12" s="192">
        <v>1</v>
      </c>
      <c r="J12" s="192">
        <f>VLOOKUP($B12,'RBSA Weights'!$A$2:$C$1406,3,FALSE)</f>
        <v>4956.4930000000004</v>
      </c>
      <c r="O12" s="195" t="s">
        <v>818</v>
      </c>
      <c r="P12" s="197">
        <v>0.51808688903512212</v>
      </c>
      <c r="Q12" s="197">
        <v>3441061.0929999687</v>
      </c>
      <c r="R12" s="198">
        <f t="shared" si="0"/>
        <v>0.66888110608254581</v>
      </c>
    </row>
    <row r="13" spans="1:21">
      <c r="A13" s="192">
        <v>802596</v>
      </c>
      <c r="B13" s="192">
        <v>10068</v>
      </c>
      <c r="C13" s="192" t="s">
        <v>815</v>
      </c>
      <c r="D13" s="192">
        <v>315</v>
      </c>
      <c r="E13" s="192" t="s">
        <v>816</v>
      </c>
      <c r="F13" s="192" t="s">
        <v>817</v>
      </c>
      <c r="G13" s="192">
        <v>0.44999998807907104</v>
      </c>
      <c r="H13" s="192" t="s">
        <v>818</v>
      </c>
      <c r="I13" s="192">
        <v>1</v>
      </c>
      <c r="J13" s="192">
        <f>VLOOKUP($B13,'RBSA Weights'!$A$2:$C$1406,3,FALSE)</f>
        <v>2003.7159999999999</v>
      </c>
      <c r="O13" s="195" t="s">
        <v>821</v>
      </c>
      <c r="P13" s="197">
        <v>0.88214284857781999</v>
      </c>
      <c r="Q13" s="197">
        <v>633917.39600000076</v>
      </c>
      <c r="R13" s="198">
        <f t="shared" si="0"/>
        <v>0.12322227288088766</v>
      </c>
    </row>
    <row r="14" spans="1:21">
      <c r="A14" s="192">
        <v>84447</v>
      </c>
      <c r="B14" s="192">
        <v>10079</v>
      </c>
      <c r="C14" s="192" t="s">
        <v>815</v>
      </c>
      <c r="D14" s="192">
        <v>153</v>
      </c>
      <c r="E14" s="192" t="s">
        <v>816</v>
      </c>
      <c r="F14" s="192" t="s">
        <v>818</v>
      </c>
      <c r="G14" s="192">
        <v>0.60000002384185791</v>
      </c>
      <c r="H14" s="192" t="s">
        <v>818</v>
      </c>
      <c r="I14" s="192">
        <v>1</v>
      </c>
      <c r="J14" s="192">
        <f>VLOOKUP($B14,'RBSA Weights'!$A$2:$C$1406,3,FALSE)</f>
        <v>1524.7619999999999</v>
      </c>
      <c r="O14" s="195" t="s">
        <v>826</v>
      </c>
      <c r="P14" s="197">
        <v>0.2199999988079071</v>
      </c>
      <c r="Q14" s="197">
        <v>41577.985000000008</v>
      </c>
      <c r="R14" s="198">
        <f t="shared" si="0"/>
        <v>8.0820211684290936E-3</v>
      </c>
    </row>
    <row r="15" spans="1:21">
      <c r="A15" s="192">
        <v>720816</v>
      </c>
      <c r="B15" s="192">
        <v>10082</v>
      </c>
      <c r="C15" s="192" t="s">
        <v>815</v>
      </c>
      <c r="D15" s="192">
        <v>70</v>
      </c>
      <c r="E15" s="192" t="s">
        <v>816</v>
      </c>
      <c r="F15" s="192" t="s">
        <v>821</v>
      </c>
      <c r="G15" s="192">
        <v>0.94999998807907104</v>
      </c>
      <c r="H15" s="192" t="s">
        <v>821</v>
      </c>
      <c r="I15" s="192">
        <v>1</v>
      </c>
      <c r="J15" s="192">
        <f>VLOOKUP($B15,'RBSA Weights'!$A$2:$C$1406,3,FALSE)</f>
        <v>4956.4930000000004</v>
      </c>
      <c r="O15" s="195" t="s">
        <v>804</v>
      </c>
      <c r="P15" s="196">
        <v>0.6338021180210941</v>
      </c>
      <c r="Q15" s="196">
        <v>5144503.3529999452</v>
      </c>
      <c r="R15" s="198"/>
    </row>
    <row r="16" spans="1:21">
      <c r="A16" s="192">
        <v>139444</v>
      </c>
      <c r="B16" s="192">
        <v>10083</v>
      </c>
      <c r="C16" s="192" t="s">
        <v>815</v>
      </c>
      <c r="D16" s="192">
        <v>341</v>
      </c>
      <c r="E16" s="192" t="s">
        <v>816</v>
      </c>
      <c r="F16" s="192" t="s">
        <v>818</v>
      </c>
      <c r="G16" s="192">
        <v>0.60000002384185791</v>
      </c>
      <c r="H16" s="192" t="s">
        <v>818</v>
      </c>
      <c r="I16" s="192">
        <v>1</v>
      </c>
      <c r="J16" s="192">
        <f>VLOOKUP($B16,'RBSA Weights'!$A$2:$C$1406,3,FALSE)</f>
        <v>4956.4930000000004</v>
      </c>
      <c r="O16"/>
      <c r="P16"/>
      <c r="Q16"/>
    </row>
    <row r="17" spans="1:20">
      <c r="A17" s="192">
        <v>121054</v>
      </c>
      <c r="B17" s="192">
        <v>10087</v>
      </c>
      <c r="C17" s="192" t="s">
        <v>815</v>
      </c>
      <c r="D17" s="192">
        <v>211</v>
      </c>
      <c r="E17" s="192" t="s">
        <v>816</v>
      </c>
      <c r="F17" s="192" t="s">
        <v>818</v>
      </c>
      <c r="G17" s="192">
        <v>0.60000002384185791</v>
      </c>
      <c r="H17" s="192" t="s">
        <v>818</v>
      </c>
      <c r="I17" s="192">
        <v>1</v>
      </c>
      <c r="J17" s="192">
        <f>VLOOKUP($B17,'RBSA Weights'!$A$2:$C$1406,3,FALSE)</f>
        <v>1464.694</v>
      </c>
      <c r="O17"/>
      <c r="P17"/>
      <c r="Q17"/>
    </row>
    <row r="18" spans="1:20">
      <c r="A18" s="192">
        <v>43987</v>
      </c>
      <c r="B18" s="192">
        <v>10096</v>
      </c>
      <c r="C18" s="192" t="s">
        <v>815</v>
      </c>
      <c r="D18" s="192">
        <v>399</v>
      </c>
      <c r="E18" s="192" t="s">
        <v>816</v>
      </c>
      <c r="F18" s="192" t="s">
        <v>822</v>
      </c>
      <c r="G18" s="192">
        <v>0.75</v>
      </c>
      <c r="H18" s="192" t="s">
        <v>820</v>
      </c>
      <c r="I18" s="192">
        <v>1</v>
      </c>
      <c r="J18" s="192">
        <f>VLOOKUP($B18,'RBSA Weights'!$A$2:$C$1406,3,FALSE)</f>
        <v>1188.027</v>
      </c>
      <c r="O18"/>
      <c r="P18"/>
      <c r="Q18"/>
    </row>
    <row r="19" spans="1:20">
      <c r="A19" s="192">
        <v>108555</v>
      </c>
      <c r="B19" s="192">
        <v>10100</v>
      </c>
      <c r="C19" s="192" t="s">
        <v>815</v>
      </c>
      <c r="D19" s="192">
        <v>183</v>
      </c>
      <c r="E19" s="192" t="s">
        <v>819</v>
      </c>
      <c r="F19" s="192" t="s">
        <v>817</v>
      </c>
      <c r="G19" s="192">
        <v>0.40000000596046448</v>
      </c>
      <c r="H19" s="192" t="s">
        <v>818</v>
      </c>
      <c r="I19" s="192">
        <v>1</v>
      </c>
      <c r="J19" s="192">
        <f>VLOOKUP($B19,'RBSA Weights'!$A$2:$C$1406,3,FALSE)</f>
        <v>1464.694</v>
      </c>
      <c r="O19"/>
      <c r="P19"/>
      <c r="Q19"/>
    </row>
    <row r="20" spans="1:20">
      <c r="A20" s="192">
        <v>116647</v>
      </c>
      <c r="B20" s="192">
        <v>10134</v>
      </c>
      <c r="C20" s="192" t="s">
        <v>815</v>
      </c>
      <c r="D20" s="192">
        <v>122</v>
      </c>
      <c r="E20" s="192" t="s">
        <v>819</v>
      </c>
      <c r="F20" s="192" t="s">
        <v>820</v>
      </c>
      <c r="G20" s="192">
        <v>0.75</v>
      </c>
      <c r="H20" s="192" t="s">
        <v>820</v>
      </c>
      <c r="I20" s="192">
        <v>1</v>
      </c>
      <c r="J20" s="192">
        <f>VLOOKUP($B20,'RBSA Weights'!$A$2:$C$1406,3,FALSE)</f>
        <v>1464.694</v>
      </c>
      <c r="O20"/>
      <c r="P20"/>
      <c r="Q20"/>
    </row>
    <row r="21" spans="1:20">
      <c r="A21" s="192">
        <v>114752</v>
      </c>
      <c r="B21" s="192">
        <v>10141</v>
      </c>
      <c r="C21" s="192" t="s">
        <v>815</v>
      </c>
      <c r="D21" s="192">
        <v>306</v>
      </c>
      <c r="E21" s="192" t="s">
        <v>819</v>
      </c>
      <c r="F21" s="192" t="s">
        <v>817</v>
      </c>
      <c r="G21" s="192">
        <v>0.40000000596046448</v>
      </c>
      <c r="H21" s="192" t="s">
        <v>818</v>
      </c>
      <c r="I21" s="192">
        <v>1</v>
      </c>
      <c r="J21" s="192">
        <f>VLOOKUP($B21,'RBSA Weights'!$A$2:$C$1406,3,FALSE)</f>
        <v>4956.4930000000004</v>
      </c>
      <c r="O21"/>
      <c r="P21"/>
      <c r="Q21"/>
    </row>
    <row r="22" spans="1:20">
      <c r="A22" s="192">
        <v>87206</v>
      </c>
      <c r="B22" s="192">
        <v>10144</v>
      </c>
      <c r="C22" s="192" t="s">
        <v>815</v>
      </c>
      <c r="D22" s="192">
        <v>117</v>
      </c>
      <c r="E22" s="192" t="s">
        <v>819</v>
      </c>
      <c r="F22" s="192" t="s">
        <v>823</v>
      </c>
      <c r="G22" s="192">
        <v>0.85000002384185791</v>
      </c>
      <c r="H22" s="192" t="s">
        <v>823</v>
      </c>
      <c r="I22" s="192">
        <v>1</v>
      </c>
      <c r="J22" s="192">
        <f>VLOOKUP($B22,'RBSA Weights'!$A$2:$C$1406,3,FALSE)</f>
        <v>2003.7159999999999</v>
      </c>
      <c r="O22" s="194" t="s">
        <v>803</v>
      </c>
      <c r="P22" t="s">
        <v>807</v>
      </c>
      <c r="Q22"/>
    </row>
    <row r="23" spans="1:20">
      <c r="A23" s="192">
        <v>37983</v>
      </c>
      <c r="B23" s="192">
        <v>10150</v>
      </c>
      <c r="C23" s="192" t="s">
        <v>815</v>
      </c>
      <c r="D23" s="192">
        <v>136</v>
      </c>
      <c r="E23" s="192" t="s">
        <v>819</v>
      </c>
      <c r="F23" s="192" t="s">
        <v>821</v>
      </c>
      <c r="G23" s="192">
        <v>0.75</v>
      </c>
      <c r="H23" s="192" t="s">
        <v>821</v>
      </c>
      <c r="I23" s="192">
        <v>1</v>
      </c>
      <c r="J23" s="192">
        <f>VLOOKUP($B23,'RBSA Weights'!$A$2:$C$1406,3,FALSE)</f>
        <v>1188.027</v>
      </c>
      <c r="N23" s="192" t="s">
        <v>898</v>
      </c>
      <c r="O23" s="195">
        <v>0.2199999988079071</v>
      </c>
      <c r="P23" s="196">
        <v>41577.985000000008</v>
      </c>
      <c r="Q23" s="52">
        <f t="shared" ref="Q23:Q37" si="1">P23/$P$38</f>
        <v>8.0820211684290051E-3</v>
      </c>
      <c r="S23" s="192" t="s">
        <v>898</v>
      </c>
      <c r="T23" s="198">
        <f>SUMIF($N$23:$N$37,$S23,$Q$23:$Q$37)</f>
        <v>8.0820211684290051E-3</v>
      </c>
    </row>
    <row r="24" spans="1:20">
      <c r="A24" s="192">
        <v>27947</v>
      </c>
      <c r="B24" s="192">
        <v>10172</v>
      </c>
      <c r="C24" s="192" t="s">
        <v>815</v>
      </c>
      <c r="D24" s="192">
        <v>54</v>
      </c>
      <c r="E24" s="192" t="s">
        <v>816</v>
      </c>
      <c r="F24" s="192" t="s">
        <v>823</v>
      </c>
      <c r="G24" s="192">
        <v>1.1000000238418579</v>
      </c>
      <c r="H24" s="192" t="s">
        <v>823</v>
      </c>
      <c r="I24" s="192">
        <v>1</v>
      </c>
      <c r="J24" s="192">
        <f>VLOOKUP($B24,'RBSA Weights'!$A$2:$C$1406,3,FALSE)</f>
        <v>1524.7619999999999</v>
      </c>
      <c r="N24" s="192" t="s">
        <v>899</v>
      </c>
      <c r="O24" s="195">
        <v>0.34999999403953552</v>
      </c>
      <c r="P24" s="196">
        <v>5789.48</v>
      </c>
      <c r="Q24" s="52">
        <f t="shared" si="1"/>
        <v>1.1253719946793079E-3</v>
      </c>
      <c r="S24" s="192" t="s">
        <v>899</v>
      </c>
      <c r="T24" s="198">
        <f>SUMIF($N$23:$N$37,$S24,$Q$23:$Q$37)</f>
        <v>1.9606037177754363E-2</v>
      </c>
    </row>
    <row r="25" spans="1:20">
      <c r="A25" s="192">
        <v>96234</v>
      </c>
      <c r="B25" s="192">
        <v>10174</v>
      </c>
      <c r="C25" s="192" t="s">
        <v>815</v>
      </c>
      <c r="D25" s="192">
        <v>203</v>
      </c>
      <c r="E25" s="192" t="s">
        <v>816</v>
      </c>
      <c r="F25" s="192" t="s">
        <v>817</v>
      </c>
      <c r="G25" s="192">
        <v>0.44999998807907104</v>
      </c>
      <c r="H25" s="192" t="s">
        <v>818</v>
      </c>
      <c r="I25" s="192">
        <v>1</v>
      </c>
      <c r="J25" s="192">
        <f>VLOOKUP($B25,'RBSA Weights'!$A$2:$C$1406,3,FALSE)</f>
        <v>4956.4930000000004</v>
      </c>
      <c r="N25" s="192" t="s">
        <v>899</v>
      </c>
      <c r="O25" s="195">
        <v>0.40000000596046448</v>
      </c>
      <c r="P25" s="196">
        <v>95073.844000000012</v>
      </c>
      <c r="Q25" s="52">
        <f t="shared" si="1"/>
        <v>1.8480665183075055E-2</v>
      </c>
      <c r="S25" s="192" t="s">
        <v>339</v>
      </c>
      <c r="T25" s="198">
        <f>SUMIF($N$23:$N$37,$S25,$Q$23:$Q$37)</f>
        <v>0.92800869032692423</v>
      </c>
    </row>
    <row r="26" spans="1:20">
      <c r="A26" s="192">
        <v>26786</v>
      </c>
      <c r="B26" s="192">
        <v>10176</v>
      </c>
      <c r="C26" s="192" t="s">
        <v>815</v>
      </c>
      <c r="D26" s="192">
        <v>72</v>
      </c>
      <c r="E26" s="192" t="s">
        <v>816</v>
      </c>
      <c r="F26" s="192" t="s">
        <v>820</v>
      </c>
      <c r="G26" s="192">
        <v>0.85000002384185791</v>
      </c>
      <c r="H26" s="192" t="s">
        <v>820</v>
      </c>
      <c r="I26" s="192">
        <v>1</v>
      </c>
      <c r="J26" s="192">
        <f>VLOOKUP($B26,'RBSA Weights'!$A$2:$C$1406,3,FALSE)</f>
        <v>1150.8789999999999</v>
      </c>
      <c r="N26" s="192" t="s">
        <v>339</v>
      </c>
      <c r="O26" s="195">
        <v>0.44999998807907104</v>
      </c>
      <c r="P26" s="196">
        <v>1257886.4270000013</v>
      </c>
      <c r="Q26" s="52">
        <f t="shared" si="1"/>
        <v>0.24451076045396464</v>
      </c>
      <c r="S26" s="192" t="s">
        <v>355</v>
      </c>
      <c r="T26" s="198">
        <f>SUMIF($N$23:$N$37,$S26,$Q$23:$Q$37)</f>
        <v>4.4303251326892439E-2</v>
      </c>
    </row>
    <row r="27" spans="1:20">
      <c r="A27" s="192">
        <v>154392</v>
      </c>
      <c r="B27" s="192">
        <v>10178</v>
      </c>
      <c r="C27" s="192" t="s">
        <v>815</v>
      </c>
      <c r="D27" s="192">
        <v>124</v>
      </c>
      <c r="E27" s="192" t="s">
        <v>816</v>
      </c>
      <c r="F27" s="192" t="s">
        <v>817</v>
      </c>
      <c r="G27" s="192">
        <v>0.44999998807907104</v>
      </c>
      <c r="H27" s="192" t="s">
        <v>818</v>
      </c>
      <c r="I27" s="192">
        <v>1</v>
      </c>
      <c r="J27" s="192">
        <f>VLOOKUP($B27,'RBSA Weights'!$A$2:$C$1406,3,FALSE)</f>
        <v>6932.7380000000003</v>
      </c>
      <c r="N27" s="192" t="s">
        <v>339</v>
      </c>
      <c r="O27" s="195">
        <v>0.5</v>
      </c>
      <c r="P27" s="196">
        <v>79778.881000000023</v>
      </c>
      <c r="Q27" s="52">
        <f t="shared" si="1"/>
        <v>1.5507596268447799E-2</v>
      </c>
    </row>
    <row r="28" spans="1:20">
      <c r="A28" s="192">
        <v>27477</v>
      </c>
      <c r="B28" s="192">
        <v>10186</v>
      </c>
      <c r="C28" s="192" t="s">
        <v>815</v>
      </c>
      <c r="D28" s="192">
        <v>241</v>
      </c>
      <c r="E28" s="192" t="s">
        <v>816</v>
      </c>
      <c r="F28" s="192" t="s">
        <v>817</v>
      </c>
      <c r="G28" s="192">
        <v>0.55000001192092896</v>
      </c>
      <c r="H28" s="192" t="s">
        <v>818</v>
      </c>
      <c r="I28" s="192">
        <v>1</v>
      </c>
      <c r="J28" s="192">
        <f>VLOOKUP($B28,'RBSA Weights'!$A$2:$C$1406,3,FALSE)</f>
        <v>1524.7619999999999</v>
      </c>
      <c r="N28" s="192" t="s">
        <v>339</v>
      </c>
      <c r="O28" s="195">
        <v>0.55000001192092896</v>
      </c>
      <c r="P28" s="196">
        <v>1411876.5199999996</v>
      </c>
      <c r="Q28" s="52">
        <f t="shared" si="1"/>
        <v>0.27444369711153321</v>
      </c>
    </row>
    <row r="29" spans="1:20">
      <c r="A29" s="192">
        <v>29773</v>
      </c>
      <c r="B29" s="192">
        <v>10191</v>
      </c>
      <c r="C29" s="192" t="s">
        <v>815</v>
      </c>
      <c r="D29" s="192">
        <v>140</v>
      </c>
      <c r="E29" s="192" t="s">
        <v>816</v>
      </c>
      <c r="F29" s="192" t="s">
        <v>817</v>
      </c>
      <c r="G29" s="192">
        <v>0.55000001192092896</v>
      </c>
      <c r="H29" s="192" t="s">
        <v>818</v>
      </c>
      <c r="I29" s="192">
        <v>1</v>
      </c>
      <c r="J29" s="192">
        <f>VLOOKUP($B29,'RBSA Weights'!$A$2:$C$1406,3,FALSE)</f>
        <v>1524.7619999999999</v>
      </c>
      <c r="N29" s="192" t="s">
        <v>339</v>
      </c>
      <c r="O29" s="195">
        <v>0.60000002384185791</v>
      </c>
      <c r="P29" s="196">
        <v>596445.42100000079</v>
      </c>
      <c r="Q29" s="52">
        <f t="shared" si="1"/>
        <v>0.1159383870655241</v>
      </c>
    </row>
    <row r="30" spans="1:20">
      <c r="A30" s="192">
        <v>63489</v>
      </c>
      <c r="B30" s="192">
        <v>10192</v>
      </c>
      <c r="C30" s="192" t="s">
        <v>815</v>
      </c>
      <c r="D30" s="192">
        <v>135</v>
      </c>
      <c r="E30" s="192" t="s">
        <v>816</v>
      </c>
      <c r="F30" s="192" t="s">
        <v>817</v>
      </c>
      <c r="G30" s="192">
        <v>0.55000001192092896</v>
      </c>
      <c r="H30" s="192" t="s">
        <v>818</v>
      </c>
      <c r="I30" s="192">
        <v>1</v>
      </c>
      <c r="J30" s="192">
        <f>VLOOKUP($B30,'RBSA Weights'!$A$2:$C$1406,3,FALSE)</f>
        <v>1524.7619999999999</v>
      </c>
      <c r="N30" s="192" t="s">
        <v>339</v>
      </c>
      <c r="O30" s="195">
        <v>0.64999997615814209</v>
      </c>
      <c r="P30" s="196">
        <v>4134.6019999999999</v>
      </c>
      <c r="Q30" s="52">
        <f t="shared" si="1"/>
        <v>8.036931295980046E-4</v>
      </c>
    </row>
    <row r="31" spans="1:20">
      <c r="A31" s="192">
        <v>74116</v>
      </c>
      <c r="B31" s="192">
        <v>10211</v>
      </c>
      <c r="C31" s="192" t="s">
        <v>815</v>
      </c>
      <c r="D31" s="192">
        <v>156</v>
      </c>
      <c r="E31" s="192" t="s">
        <v>816</v>
      </c>
      <c r="F31" s="192" t="s">
        <v>818</v>
      </c>
      <c r="G31" s="192">
        <v>0.60000002384185791</v>
      </c>
      <c r="H31" s="192" t="s">
        <v>818</v>
      </c>
      <c r="I31" s="192">
        <v>1</v>
      </c>
      <c r="J31" s="192">
        <f>VLOOKUP($B31,'RBSA Weights'!$A$2:$C$1406,3,FALSE)</f>
        <v>1524.7619999999999</v>
      </c>
      <c r="N31" s="192" t="s">
        <v>339</v>
      </c>
      <c r="O31" s="195">
        <v>0.69999998807907104</v>
      </c>
      <c r="P31" s="196">
        <v>41279.096000000012</v>
      </c>
      <c r="Q31" s="52">
        <f t="shared" si="1"/>
        <v>8.0239224600618109E-3</v>
      </c>
    </row>
    <row r="32" spans="1:20">
      <c r="A32" s="192">
        <v>90727</v>
      </c>
      <c r="B32" s="192">
        <v>10229</v>
      </c>
      <c r="C32" s="192" t="s">
        <v>815</v>
      </c>
      <c r="D32" s="192">
        <v>318</v>
      </c>
      <c r="E32" s="192" t="s">
        <v>819</v>
      </c>
      <c r="F32" s="192" t="s">
        <v>820</v>
      </c>
      <c r="G32" s="192">
        <v>0.69999998807907104</v>
      </c>
      <c r="H32" s="192" t="s">
        <v>820</v>
      </c>
      <c r="I32" s="192">
        <v>1</v>
      </c>
      <c r="J32" s="192">
        <f>VLOOKUP($B32,'RBSA Weights'!$A$2:$C$1406,3,FALSE)</f>
        <v>4956.4930000000004</v>
      </c>
      <c r="N32" s="192" t="s">
        <v>339</v>
      </c>
      <c r="O32" s="195">
        <v>0.75</v>
      </c>
      <c r="P32" s="196">
        <v>366894.15400000021</v>
      </c>
      <c r="Q32" s="52">
        <f t="shared" si="1"/>
        <v>7.1317701403780201E-2</v>
      </c>
    </row>
    <row r="33" spans="1:17">
      <c r="A33" s="192">
        <v>134765</v>
      </c>
      <c r="B33" s="192">
        <v>10230</v>
      </c>
      <c r="C33" s="192" t="s">
        <v>815</v>
      </c>
      <c r="D33" s="192">
        <v>649</v>
      </c>
      <c r="E33" s="192" t="s">
        <v>816</v>
      </c>
      <c r="F33" s="192" t="s">
        <v>820</v>
      </c>
      <c r="G33" s="192">
        <v>0.85000002384185791</v>
      </c>
      <c r="H33" s="192" t="s">
        <v>820</v>
      </c>
      <c r="I33" s="192">
        <v>1</v>
      </c>
      <c r="J33" s="192">
        <f>VLOOKUP($B33,'RBSA Weights'!$A$2:$C$1406,3,FALSE)</f>
        <v>1464.694</v>
      </c>
      <c r="N33" s="192" t="s">
        <v>339</v>
      </c>
      <c r="O33" s="195">
        <v>0.80000001192092896</v>
      </c>
      <c r="P33" s="196">
        <v>107181.64199999999</v>
      </c>
      <c r="Q33" s="52">
        <f t="shared" si="1"/>
        <v>2.0834205878687461E-2</v>
      </c>
    </row>
    <row r="34" spans="1:17">
      <c r="A34" s="192">
        <v>34546</v>
      </c>
      <c r="B34" s="192">
        <v>10231</v>
      </c>
      <c r="C34" s="192" t="s">
        <v>815</v>
      </c>
      <c r="D34" s="192">
        <v>227</v>
      </c>
      <c r="E34" s="192" t="s">
        <v>816</v>
      </c>
      <c r="F34" s="192" t="s">
        <v>820</v>
      </c>
      <c r="G34" s="192">
        <v>0.85000002384185791</v>
      </c>
      <c r="H34" s="192" t="s">
        <v>820</v>
      </c>
      <c r="I34" s="192">
        <v>1</v>
      </c>
      <c r="J34" s="192">
        <f>VLOOKUP($B34,'RBSA Weights'!$A$2:$C$1406,3,FALSE)</f>
        <v>1524.7619999999999</v>
      </c>
      <c r="N34" s="192" t="s">
        <v>339</v>
      </c>
      <c r="O34" s="195">
        <v>0.85000002384185791</v>
      </c>
      <c r="P34" s="196">
        <v>509722.66600000067</v>
      </c>
      <c r="Q34" s="52">
        <f t="shared" si="1"/>
        <v>9.9081025130007425E-2</v>
      </c>
    </row>
    <row r="35" spans="1:17">
      <c r="A35" s="192">
        <v>77960</v>
      </c>
      <c r="B35" s="192">
        <v>10235</v>
      </c>
      <c r="C35" s="192" t="s">
        <v>815</v>
      </c>
      <c r="D35" s="192">
        <v>157</v>
      </c>
      <c r="E35" s="192" t="s">
        <v>816</v>
      </c>
      <c r="F35" s="192" t="s">
        <v>818</v>
      </c>
      <c r="G35" s="192">
        <v>0.55000001192092896</v>
      </c>
      <c r="H35" s="192" t="s">
        <v>818</v>
      </c>
      <c r="I35" s="192">
        <v>1</v>
      </c>
      <c r="J35" s="192">
        <f>VLOOKUP($B35,'RBSA Weights'!$A$2:$C$1406,3,FALSE)</f>
        <v>2003.7159999999999</v>
      </c>
      <c r="N35" s="192" t="s">
        <v>339</v>
      </c>
      <c r="O35" s="195">
        <v>0.89999997615814209</v>
      </c>
      <c r="P35" s="196">
        <v>28188.703999999998</v>
      </c>
      <c r="Q35" s="52">
        <f t="shared" si="1"/>
        <v>5.4793829580384737E-3</v>
      </c>
    </row>
    <row r="36" spans="1:17">
      <c r="A36" s="192">
        <v>209484</v>
      </c>
      <c r="B36" s="192">
        <v>10244</v>
      </c>
      <c r="C36" s="192" t="s">
        <v>815</v>
      </c>
      <c r="D36" s="192">
        <v>194</v>
      </c>
      <c r="E36" s="192" t="s">
        <v>816</v>
      </c>
      <c r="F36" s="192" t="s">
        <v>817</v>
      </c>
      <c r="G36" s="192">
        <v>0.44999998807907104</v>
      </c>
      <c r="H36" s="192" t="s">
        <v>818</v>
      </c>
      <c r="I36" s="192">
        <v>1</v>
      </c>
      <c r="J36" s="192">
        <f>VLOOKUP($B36,'RBSA Weights'!$A$2:$C$1406,3,FALSE)</f>
        <v>6932.7380000000003</v>
      </c>
      <c r="N36" s="192" t="s">
        <v>339</v>
      </c>
      <c r="O36" s="195">
        <v>0.94999998807907104</v>
      </c>
      <c r="P36" s="196">
        <v>370755.70599999977</v>
      </c>
      <c r="Q36" s="52">
        <f t="shared" si="1"/>
        <v>7.2068318467281137E-2</v>
      </c>
    </row>
    <row r="37" spans="1:17">
      <c r="A37" s="192">
        <v>168483</v>
      </c>
      <c r="B37" s="192">
        <v>10245</v>
      </c>
      <c r="C37" s="192" t="s">
        <v>815</v>
      </c>
      <c r="D37" s="192">
        <v>179</v>
      </c>
      <c r="E37" s="192" t="s">
        <v>816</v>
      </c>
      <c r="F37" s="192" t="s">
        <v>817</v>
      </c>
      <c r="G37" s="192">
        <v>0.55000001192092896</v>
      </c>
      <c r="H37" s="192" t="s">
        <v>818</v>
      </c>
      <c r="I37" s="192">
        <v>1</v>
      </c>
      <c r="J37" s="192">
        <f>VLOOKUP($B37,'RBSA Weights'!$A$2:$C$1406,3,FALSE)</f>
        <v>6932.7380000000003</v>
      </c>
      <c r="N37" s="192" t="s">
        <v>355</v>
      </c>
      <c r="O37" s="195">
        <v>1.1000000238418579</v>
      </c>
      <c r="P37" s="196">
        <v>227918.22499999995</v>
      </c>
      <c r="Q37" s="52">
        <f t="shared" si="1"/>
        <v>4.4303251326892439E-2</v>
      </c>
    </row>
    <row r="38" spans="1:17">
      <c r="A38" s="192">
        <v>53543</v>
      </c>
      <c r="B38" s="192">
        <v>10254</v>
      </c>
      <c r="C38" s="192" t="s">
        <v>815</v>
      </c>
      <c r="D38" s="192">
        <v>451</v>
      </c>
      <c r="E38" s="192" t="s">
        <v>816</v>
      </c>
      <c r="F38" s="192" t="s">
        <v>817</v>
      </c>
      <c r="G38" s="192">
        <v>0.44999998807907104</v>
      </c>
      <c r="H38" s="192" t="s">
        <v>818</v>
      </c>
      <c r="I38" s="192">
        <v>1</v>
      </c>
      <c r="J38" s="192">
        <f>VLOOKUP($B38,'RBSA Weights'!$A$2:$C$1406,3,FALSE)</f>
        <v>1188.027</v>
      </c>
      <c r="O38" s="195" t="s">
        <v>804</v>
      </c>
      <c r="P38" s="196">
        <v>5144503.353000002</v>
      </c>
      <c r="Q38"/>
    </row>
    <row r="39" spans="1:17">
      <c r="A39" s="192">
        <v>241402</v>
      </c>
      <c r="B39" s="192">
        <v>10259</v>
      </c>
      <c r="C39" s="192" t="s">
        <v>815</v>
      </c>
      <c r="D39" s="192">
        <v>88</v>
      </c>
      <c r="E39" s="192" t="s">
        <v>816</v>
      </c>
      <c r="F39" s="192" t="s">
        <v>818</v>
      </c>
      <c r="G39" s="192">
        <v>0.60000002384185791</v>
      </c>
      <c r="H39" s="192" t="s">
        <v>818</v>
      </c>
      <c r="I39" s="192">
        <v>1</v>
      </c>
      <c r="J39" s="192">
        <f>VLOOKUP($B39,'RBSA Weights'!$A$2:$C$1406,3,FALSE)</f>
        <v>1524.7619999999999</v>
      </c>
      <c r="O39"/>
      <c r="P39"/>
      <c r="Q39"/>
    </row>
    <row r="40" spans="1:17">
      <c r="A40" s="192">
        <v>69775</v>
      </c>
      <c r="B40" s="192">
        <v>10265</v>
      </c>
      <c r="C40" s="192" t="s">
        <v>815</v>
      </c>
      <c r="D40" s="192">
        <v>260</v>
      </c>
      <c r="E40" s="192" t="s">
        <v>816</v>
      </c>
      <c r="F40" s="192" t="s">
        <v>817</v>
      </c>
      <c r="G40" s="192">
        <v>0.55000001192092896</v>
      </c>
      <c r="H40" s="192" t="s">
        <v>818</v>
      </c>
      <c r="I40" s="192">
        <v>1</v>
      </c>
      <c r="J40" s="192">
        <f>VLOOKUP($B40,'RBSA Weights'!$A$2:$C$1406,3,FALSE)</f>
        <v>2003.7159999999999</v>
      </c>
    </row>
    <row r="41" spans="1:17">
      <c r="A41" s="192">
        <v>209595</v>
      </c>
      <c r="B41" s="192">
        <v>10268</v>
      </c>
      <c r="C41" s="192" t="s">
        <v>815</v>
      </c>
      <c r="D41" s="192">
        <v>125</v>
      </c>
      <c r="E41" s="192" t="s">
        <v>816</v>
      </c>
      <c r="F41" s="192" t="s">
        <v>821</v>
      </c>
      <c r="G41" s="192">
        <v>0.94999998807907104</v>
      </c>
      <c r="H41" s="192" t="s">
        <v>821</v>
      </c>
      <c r="I41" s="192">
        <v>1</v>
      </c>
      <c r="J41" s="192">
        <f>VLOOKUP($B41,'RBSA Weights'!$A$2:$C$1406,3,FALSE)</f>
        <v>1464.694</v>
      </c>
    </row>
    <row r="42" spans="1:17">
      <c r="A42" s="192">
        <v>240138</v>
      </c>
      <c r="B42" s="192">
        <v>10282</v>
      </c>
      <c r="C42" s="192" t="s">
        <v>815</v>
      </c>
      <c r="D42" s="192">
        <v>180</v>
      </c>
      <c r="E42" s="192" t="s">
        <v>816</v>
      </c>
      <c r="F42" s="192" t="s">
        <v>820</v>
      </c>
      <c r="G42" s="192">
        <v>0.80000001192092896</v>
      </c>
      <c r="H42" s="192" t="s">
        <v>820</v>
      </c>
      <c r="I42" s="192">
        <v>1</v>
      </c>
      <c r="J42" s="192">
        <f>VLOOKUP($B42,'RBSA Weights'!$A$2:$C$1406,3,FALSE)</f>
        <v>1150.8789999999999</v>
      </c>
    </row>
    <row r="43" spans="1:17">
      <c r="A43" s="192">
        <v>30141</v>
      </c>
      <c r="B43" s="192">
        <v>10288</v>
      </c>
      <c r="C43" s="192" t="s">
        <v>815</v>
      </c>
      <c r="D43" s="192">
        <v>133</v>
      </c>
      <c r="E43" s="192" t="s">
        <v>819</v>
      </c>
      <c r="F43" s="192" t="s">
        <v>821</v>
      </c>
      <c r="G43" s="192">
        <v>0.75</v>
      </c>
      <c r="H43" s="192" t="s">
        <v>821</v>
      </c>
      <c r="I43" s="192">
        <v>1</v>
      </c>
      <c r="J43" s="192">
        <f>VLOOKUP($B43,'RBSA Weights'!$A$2:$C$1406,3,FALSE)</f>
        <v>1524.7619999999999</v>
      </c>
    </row>
    <row r="44" spans="1:17">
      <c r="A44" s="192">
        <v>34423</v>
      </c>
      <c r="B44" s="192">
        <v>10289</v>
      </c>
      <c r="C44" s="192" t="s">
        <v>815</v>
      </c>
      <c r="D44" s="192">
        <v>95</v>
      </c>
      <c r="E44" s="192" t="s">
        <v>816</v>
      </c>
      <c r="F44" s="192" t="s">
        <v>818</v>
      </c>
      <c r="G44" s="192">
        <v>0.55000001192092896</v>
      </c>
      <c r="H44" s="192" t="s">
        <v>818</v>
      </c>
      <c r="I44" s="192">
        <v>1</v>
      </c>
      <c r="J44" s="192">
        <f>VLOOKUP($B44,'RBSA Weights'!$A$2:$C$1406,3,FALSE)</f>
        <v>1524.7619999999999</v>
      </c>
    </row>
    <row r="45" spans="1:17">
      <c r="A45" s="192">
        <v>93289</v>
      </c>
      <c r="B45" s="192">
        <v>10292</v>
      </c>
      <c r="C45" s="192" t="s">
        <v>815</v>
      </c>
      <c r="D45" s="192">
        <v>307</v>
      </c>
      <c r="E45" s="192" t="s">
        <v>816</v>
      </c>
      <c r="F45" s="192" t="s">
        <v>820</v>
      </c>
      <c r="G45" s="192">
        <v>0.69999998807907104</v>
      </c>
      <c r="H45" s="192" t="s">
        <v>820</v>
      </c>
      <c r="I45" s="192">
        <v>1</v>
      </c>
      <c r="J45" s="192">
        <f>VLOOKUP($B45,'RBSA Weights'!$A$2:$C$1406,3,FALSE)</f>
        <v>4956.4930000000004</v>
      </c>
    </row>
    <row r="46" spans="1:17">
      <c r="A46" s="192">
        <v>36104</v>
      </c>
      <c r="B46" s="192">
        <v>10298</v>
      </c>
      <c r="C46" s="192" t="s">
        <v>815</v>
      </c>
      <c r="D46" s="192">
        <v>126</v>
      </c>
      <c r="E46" s="192" t="s">
        <v>816</v>
      </c>
      <c r="F46" s="192" t="s">
        <v>821</v>
      </c>
      <c r="G46" s="192">
        <v>0.94999998807907104</v>
      </c>
      <c r="H46" s="192" t="s">
        <v>821</v>
      </c>
      <c r="I46" s="192">
        <v>1</v>
      </c>
      <c r="J46" s="192">
        <f>VLOOKUP($B46,'RBSA Weights'!$A$2:$C$1406,3,FALSE)</f>
        <v>1524.7619999999999</v>
      </c>
    </row>
    <row r="47" spans="1:17">
      <c r="A47" s="192">
        <v>61958</v>
      </c>
      <c r="B47" s="192">
        <v>10299</v>
      </c>
      <c r="C47" s="192" t="s">
        <v>815</v>
      </c>
      <c r="D47" s="192">
        <v>635</v>
      </c>
      <c r="E47" s="192" t="s">
        <v>816</v>
      </c>
      <c r="F47" s="192" t="s">
        <v>818</v>
      </c>
      <c r="G47" s="192">
        <v>0.55000001192092896</v>
      </c>
      <c r="H47" s="192" t="s">
        <v>818</v>
      </c>
      <c r="I47" s="192">
        <v>1</v>
      </c>
      <c r="J47" s="192">
        <f>VLOOKUP($B47,'RBSA Weights'!$A$2:$C$1406,3,FALSE)</f>
        <v>2003.7159999999999</v>
      </c>
    </row>
    <row r="48" spans="1:17">
      <c r="A48" s="192">
        <v>103188</v>
      </c>
      <c r="B48" s="192">
        <v>10305</v>
      </c>
      <c r="C48" s="192" t="s">
        <v>815</v>
      </c>
      <c r="D48" s="192">
        <v>804</v>
      </c>
      <c r="E48" s="192" t="s">
        <v>816</v>
      </c>
      <c r="F48" s="192" t="s">
        <v>817</v>
      </c>
      <c r="G48" s="192">
        <v>0.44999998807907104</v>
      </c>
      <c r="H48" s="192" t="s">
        <v>818</v>
      </c>
      <c r="I48" s="192">
        <v>1</v>
      </c>
      <c r="J48" s="192">
        <f>VLOOKUP($B48,'RBSA Weights'!$A$2:$C$1406,3,FALSE)</f>
        <v>2003.7159999999999</v>
      </c>
    </row>
    <row r="49" spans="1:10">
      <c r="A49" s="192">
        <v>181460</v>
      </c>
      <c r="B49" s="192">
        <v>10306</v>
      </c>
      <c r="C49" s="192" t="s">
        <v>815</v>
      </c>
      <c r="D49" s="192">
        <v>534</v>
      </c>
      <c r="E49" s="192" t="s">
        <v>816</v>
      </c>
      <c r="F49" s="192" t="s">
        <v>817</v>
      </c>
      <c r="G49" s="192">
        <v>0.55000001192092896</v>
      </c>
      <c r="H49" s="192" t="s">
        <v>818</v>
      </c>
      <c r="I49" s="192">
        <v>1</v>
      </c>
      <c r="J49" s="192">
        <f>VLOOKUP($B49,'RBSA Weights'!$A$2:$C$1406,3,FALSE)</f>
        <v>4956.4930000000004</v>
      </c>
    </row>
    <row r="50" spans="1:10">
      <c r="A50" s="192">
        <v>136006</v>
      </c>
      <c r="B50" s="192">
        <v>10309</v>
      </c>
      <c r="C50" s="192" t="s">
        <v>815</v>
      </c>
      <c r="D50" s="192">
        <v>185</v>
      </c>
      <c r="E50" s="192" t="s">
        <v>816</v>
      </c>
      <c r="F50" s="192" t="s">
        <v>817</v>
      </c>
      <c r="G50" s="192">
        <v>0.55000001192092896</v>
      </c>
      <c r="H50" s="192" t="s">
        <v>818</v>
      </c>
      <c r="I50" s="192">
        <v>1</v>
      </c>
      <c r="J50" s="192">
        <f>VLOOKUP($B50,'RBSA Weights'!$A$2:$C$1406,3,FALSE)</f>
        <v>6932.7380000000003</v>
      </c>
    </row>
    <row r="51" spans="1:10">
      <c r="A51" s="192">
        <v>672193</v>
      </c>
      <c r="B51" s="192">
        <v>10313</v>
      </c>
      <c r="C51" s="192" t="s">
        <v>815</v>
      </c>
      <c r="D51" s="192">
        <v>436</v>
      </c>
      <c r="E51" s="192" t="s">
        <v>816</v>
      </c>
      <c r="F51" s="192" t="s">
        <v>820</v>
      </c>
      <c r="G51" s="192">
        <v>0.80000001192092896</v>
      </c>
      <c r="H51" s="192" t="s">
        <v>820</v>
      </c>
      <c r="I51" s="192">
        <v>1</v>
      </c>
      <c r="J51" s="192">
        <f>VLOOKUP($B51,'RBSA Weights'!$A$2:$C$1406,3,FALSE)</f>
        <v>1188.027</v>
      </c>
    </row>
    <row r="52" spans="1:10">
      <c r="A52" s="192">
        <v>31127</v>
      </c>
      <c r="B52" s="192">
        <v>10318</v>
      </c>
      <c r="C52" s="192" t="s">
        <v>815</v>
      </c>
      <c r="D52" s="192">
        <v>466</v>
      </c>
      <c r="E52" s="192" t="s">
        <v>816</v>
      </c>
      <c r="F52" s="192" t="s">
        <v>817</v>
      </c>
      <c r="G52" s="192">
        <v>0.44999998807907104</v>
      </c>
      <c r="H52" s="192" t="s">
        <v>818</v>
      </c>
      <c r="I52" s="192">
        <v>1</v>
      </c>
      <c r="J52" s="192">
        <f>VLOOKUP($B52,'RBSA Weights'!$A$2:$C$1406,3,FALSE)</f>
        <v>1524.7619999999999</v>
      </c>
    </row>
    <row r="53" spans="1:10">
      <c r="A53" s="192">
        <v>77646</v>
      </c>
      <c r="B53" s="192">
        <v>10319</v>
      </c>
      <c r="C53" s="192" t="s">
        <v>815</v>
      </c>
      <c r="D53" s="192">
        <v>388</v>
      </c>
      <c r="E53" s="192" t="s">
        <v>816</v>
      </c>
      <c r="F53" s="192" t="s">
        <v>817</v>
      </c>
      <c r="G53" s="192">
        <v>0.44999998807907104</v>
      </c>
      <c r="H53" s="192" t="s">
        <v>818</v>
      </c>
      <c r="I53" s="192">
        <v>1</v>
      </c>
      <c r="J53" s="192">
        <f>VLOOKUP($B53,'RBSA Weights'!$A$2:$C$1406,3,FALSE)</f>
        <v>2003.7159999999999</v>
      </c>
    </row>
    <row r="54" spans="1:10">
      <c r="A54" s="192">
        <v>110702</v>
      </c>
      <c r="B54" s="192">
        <v>10322</v>
      </c>
      <c r="C54" s="192" t="s">
        <v>815</v>
      </c>
      <c r="D54" s="192">
        <v>169</v>
      </c>
      <c r="E54" s="192" t="s">
        <v>816</v>
      </c>
      <c r="F54" s="192" t="s">
        <v>817</v>
      </c>
      <c r="G54" s="192">
        <v>0.55000001192092896</v>
      </c>
      <c r="H54" s="192" t="s">
        <v>818</v>
      </c>
      <c r="I54" s="192">
        <v>1</v>
      </c>
      <c r="J54" s="192">
        <f>VLOOKUP($B54,'RBSA Weights'!$A$2:$C$1406,3,FALSE)</f>
        <v>4956.4930000000004</v>
      </c>
    </row>
    <row r="55" spans="1:10">
      <c r="A55" s="192">
        <v>124132</v>
      </c>
      <c r="B55" s="192">
        <v>10325</v>
      </c>
      <c r="C55" s="192" t="s">
        <v>815</v>
      </c>
      <c r="D55" s="192">
        <v>212</v>
      </c>
      <c r="E55" s="192" t="s">
        <v>816</v>
      </c>
      <c r="F55" s="192" t="s">
        <v>818</v>
      </c>
      <c r="G55" s="192">
        <v>0.55000001192092896</v>
      </c>
      <c r="H55" s="192" t="s">
        <v>818</v>
      </c>
      <c r="I55" s="192">
        <v>1</v>
      </c>
      <c r="J55" s="192">
        <f>VLOOKUP($B55,'RBSA Weights'!$A$2:$C$1406,3,FALSE)</f>
        <v>4956.4930000000004</v>
      </c>
    </row>
    <row r="56" spans="1:10">
      <c r="A56" s="192">
        <v>117436</v>
      </c>
      <c r="B56" s="192">
        <v>10332</v>
      </c>
      <c r="C56" s="192" t="s">
        <v>815</v>
      </c>
      <c r="D56" s="192">
        <v>513</v>
      </c>
      <c r="E56" s="192" t="s">
        <v>819</v>
      </c>
      <c r="F56" s="192" t="s">
        <v>821</v>
      </c>
      <c r="G56" s="192">
        <v>0.75</v>
      </c>
      <c r="H56" s="192" t="s">
        <v>821</v>
      </c>
      <c r="I56" s="192">
        <v>1</v>
      </c>
      <c r="J56" s="192">
        <f>VLOOKUP($B56,'RBSA Weights'!$A$2:$C$1406,3,FALSE)</f>
        <v>1464.694</v>
      </c>
    </row>
    <row r="57" spans="1:10">
      <c r="A57" s="192">
        <v>191411</v>
      </c>
      <c r="B57" s="192">
        <v>10334</v>
      </c>
      <c r="C57" s="192" t="s">
        <v>815</v>
      </c>
      <c r="D57" s="192">
        <v>362</v>
      </c>
      <c r="E57" s="192" t="s">
        <v>816</v>
      </c>
      <c r="F57" s="192" t="s">
        <v>818</v>
      </c>
      <c r="G57" s="192">
        <v>0.55000001192092896</v>
      </c>
      <c r="H57" s="192" t="s">
        <v>818</v>
      </c>
      <c r="I57" s="192">
        <v>1</v>
      </c>
      <c r="J57" s="192">
        <f>VLOOKUP($B57,'RBSA Weights'!$A$2:$C$1406,3,FALSE)</f>
        <v>4956.4930000000004</v>
      </c>
    </row>
    <row r="58" spans="1:10">
      <c r="A58" s="192">
        <v>37507</v>
      </c>
      <c r="B58" s="192">
        <v>10335</v>
      </c>
      <c r="C58" s="192" t="s">
        <v>815</v>
      </c>
      <c r="D58" s="192">
        <v>222</v>
      </c>
      <c r="E58" s="192" t="s">
        <v>816</v>
      </c>
      <c r="F58" s="192" t="s">
        <v>822</v>
      </c>
      <c r="G58" s="192">
        <v>0.75</v>
      </c>
      <c r="H58" s="192" t="s">
        <v>820</v>
      </c>
      <c r="I58" s="192">
        <v>1</v>
      </c>
      <c r="J58" s="192">
        <f>VLOOKUP($B58,'RBSA Weights'!$A$2:$C$1406,3,FALSE)</f>
        <v>1524.7619999999999</v>
      </c>
    </row>
    <row r="59" spans="1:10">
      <c r="A59" s="192">
        <v>55590</v>
      </c>
      <c r="B59" s="192">
        <v>10337</v>
      </c>
      <c r="C59" s="192" t="s">
        <v>815</v>
      </c>
      <c r="D59" s="192">
        <v>177</v>
      </c>
      <c r="E59" s="192" t="s">
        <v>816</v>
      </c>
      <c r="F59" s="192" t="s">
        <v>822</v>
      </c>
      <c r="G59" s="192">
        <v>0.75</v>
      </c>
      <c r="H59" s="192" t="s">
        <v>820</v>
      </c>
      <c r="I59" s="192">
        <v>1</v>
      </c>
      <c r="J59" s="192">
        <f>VLOOKUP($B59,'RBSA Weights'!$A$2:$C$1406,3,FALSE)</f>
        <v>1188.027</v>
      </c>
    </row>
    <row r="60" spans="1:10">
      <c r="A60" s="192">
        <v>108061</v>
      </c>
      <c r="B60" s="192">
        <v>10338</v>
      </c>
      <c r="C60" s="192" t="s">
        <v>815</v>
      </c>
      <c r="D60" s="192">
        <v>158</v>
      </c>
      <c r="E60" s="192" t="s">
        <v>816</v>
      </c>
      <c r="F60" s="192" t="s">
        <v>817</v>
      </c>
      <c r="G60" s="192">
        <v>0.55000001192092896</v>
      </c>
      <c r="H60" s="192" t="s">
        <v>818</v>
      </c>
      <c r="I60" s="192">
        <v>1</v>
      </c>
      <c r="J60" s="192">
        <f>VLOOKUP($B60,'RBSA Weights'!$A$2:$C$1406,3,FALSE)</f>
        <v>4956.4930000000004</v>
      </c>
    </row>
    <row r="61" spans="1:10">
      <c r="A61" s="192">
        <v>172623</v>
      </c>
      <c r="B61" s="192">
        <v>10348</v>
      </c>
      <c r="C61" s="192" t="s">
        <v>815</v>
      </c>
      <c r="D61" s="192">
        <v>168</v>
      </c>
      <c r="E61" s="192" t="s">
        <v>816</v>
      </c>
      <c r="F61" s="192" t="s">
        <v>817</v>
      </c>
      <c r="G61" s="192">
        <v>0.44999998807907104</v>
      </c>
      <c r="H61" s="192" t="s">
        <v>818</v>
      </c>
      <c r="I61" s="192">
        <v>1</v>
      </c>
      <c r="J61" s="192">
        <f>VLOOKUP($B61,'RBSA Weights'!$A$2:$C$1406,3,FALSE)</f>
        <v>6932.7380000000003</v>
      </c>
    </row>
    <row r="62" spans="1:10">
      <c r="A62" s="192">
        <v>38470</v>
      </c>
      <c r="B62" s="192">
        <v>10352</v>
      </c>
      <c r="C62" s="192" t="s">
        <v>815</v>
      </c>
      <c r="D62" s="192">
        <v>243</v>
      </c>
      <c r="E62" s="192" t="s">
        <v>816</v>
      </c>
      <c r="F62" s="192" t="s">
        <v>817</v>
      </c>
      <c r="G62" s="192">
        <v>0.55000001192092896</v>
      </c>
      <c r="H62" s="192" t="s">
        <v>818</v>
      </c>
      <c r="I62" s="192">
        <v>1</v>
      </c>
      <c r="J62" s="192">
        <f>VLOOKUP($B62,'RBSA Weights'!$A$2:$C$1406,3,FALSE)</f>
        <v>1188.027</v>
      </c>
    </row>
    <row r="63" spans="1:10">
      <c r="A63" s="192">
        <v>42998</v>
      </c>
      <c r="B63" s="192">
        <v>10369</v>
      </c>
      <c r="C63" s="192" t="s">
        <v>815</v>
      </c>
      <c r="D63" s="192">
        <v>418</v>
      </c>
      <c r="E63" s="192" t="s">
        <v>816</v>
      </c>
      <c r="F63" s="192" t="s">
        <v>818</v>
      </c>
      <c r="G63" s="192">
        <v>0.60000002384185791</v>
      </c>
      <c r="H63" s="192" t="s">
        <v>818</v>
      </c>
      <c r="I63" s="192">
        <v>1</v>
      </c>
      <c r="J63" s="192">
        <f>VLOOKUP($B63,'RBSA Weights'!$A$2:$C$1406,3,FALSE)</f>
        <v>1524.7619999999999</v>
      </c>
    </row>
    <row r="64" spans="1:10">
      <c r="A64" s="192">
        <v>671947</v>
      </c>
      <c r="B64" s="192">
        <v>10384</v>
      </c>
      <c r="C64" s="192" t="s">
        <v>815</v>
      </c>
      <c r="D64" s="192">
        <v>88</v>
      </c>
      <c r="E64" s="192" t="s">
        <v>816</v>
      </c>
      <c r="F64" s="192" t="s">
        <v>818</v>
      </c>
      <c r="G64" s="192">
        <v>0.55000001192092896</v>
      </c>
      <c r="H64" s="192" t="s">
        <v>818</v>
      </c>
      <c r="I64" s="192">
        <v>1</v>
      </c>
      <c r="J64" s="192">
        <f>VLOOKUP($B64,'RBSA Weights'!$A$2:$C$1406,3,FALSE)</f>
        <v>6932.7380000000003</v>
      </c>
    </row>
    <row r="65" spans="1:10">
      <c r="A65" s="192">
        <v>679558</v>
      </c>
      <c r="B65" s="192">
        <v>10388</v>
      </c>
      <c r="C65" s="192" t="s">
        <v>815</v>
      </c>
      <c r="D65" s="192">
        <v>165</v>
      </c>
      <c r="E65" s="192" t="s">
        <v>816</v>
      </c>
      <c r="F65" s="192" t="s">
        <v>817</v>
      </c>
      <c r="G65" s="192">
        <v>0.44999998807907104</v>
      </c>
      <c r="H65" s="192" t="s">
        <v>818</v>
      </c>
      <c r="I65" s="192">
        <v>1</v>
      </c>
      <c r="J65" s="192">
        <f>VLOOKUP($B65,'RBSA Weights'!$A$2:$C$1406,3,FALSE)</f>
        <v>1464.694</v>
      </c>
    </row>
    <row r="66" spans="1:10">
      <c r="A66" s="192">
        <v>174290</v>
      </c>
      <c r="B66" s="192">
        <v>10398</v>
      </c>
      <c r="C66" s="192" t="s">
        <v>815</v>
      </c>
      <c r="D66" s="192">
        <v>423</v>
      </c>
      <c r="E66" s="192" t="s">
        <v>816</v>
      </c>
      <c r="F66" s="192" t="s">
        <v>817</v>
      </c>
      <c r="G66" s="192">
        <v>0.44999998807907104</v>
      </c>
      <c r="H66" s="192" t="s">
        <v>818</v>
      </c>
      <c r="I66" s="192">
        <v>1</v>
      </c>
      <c r="J66" s="192">
        <f>VLOOKUP($B66,'RBSA Weights'!$A$2:$C$1406,3,FALSE)</f>
        <v>6932.7380000000003</v>
      </c>
    </row>
    <row r="67" spans="1:10">
      <c r="A67" s="192">
        <v>59059</v>
      </c>
      <c r="B67" s="192">
        <v>10401</v>
      </c>
      <c r="C67" s="192" t="s">
        <v>815</v>
      </c>
      <c r="D67" s="192">
        <v>138</v>
      </c>
      <c r="E67" s="192" t="s">
        <v>816</v>
      </c>
      <c r="F67" s="192" t="s">
        <v>817</v>
      </c>
      <c r="G67" s="192">
        <v>0.55000001192092896</v>
      </c>
      <c r="H67" s="192" t="s">
        <v>818</v>
      </c>
      <c r="I67" s="192">
        <v>1</v>
      </c>
      <c r="J67" s="192">
        <f>VLOOKUP($B67,'RBSA Weights'!$A$2:$C$1406,3,FALSE)</f>
        <v>2003.7159999999999</v>
      </c>
    </row>
    <row r="68" spans="1:10">
      <c r="A68" s="192">
        <v>95493</v>
      </c>
      <c r="B68" s="192">
        <v>10408</v>
      </c>
      <c r="C68" s="192" t="s">
        <v>815</v>
      </c>
      <c r="D68" s="192">
        <v>209</v>
      </c>
      <c r="E68" s="192" t="s">
        <v>816</v>
      </c>
      <c r="F68" s="192" t="s">
        <v>818</v>
      </c>
      <c r="G68" s="192">
        <v>0.55000001192092896</v>
      </c>
      <c r="H68" s="192" t="s">
        <v>818</v>
      </c>
      <c r="I68" s="192">
        <v>1</v>
      </c>
      <c r="J68" s="192">
        <f>VLOOKUP($B68,'RBSA Weights'!$A$2:$C$1406,3,FALSE)</f>
        <v>4956.4930000000004</v>
      </c>
    </row>
    <row r="69" spans="1:10">
      <c r="A69" s="192">
        <v>233964</v>
      </c>
      <c r="B69" s="192">
        <v>10411</v>
      </c>
      <c r="C69" s="192" t="s">
        <v>815</v>
      </c>
      <c r="D69" s="192">
        <v>120</v>
      </c>
      <c r="E69" s="192" t="s">
        <v>816</v>
      </c>
      <c r="F69" s="192" t="s">
        <v>817</v>
      </c>
      <c r="G69" s="192">
        <v>0.44999998807907104</v>
      </c>
      <c r="H69" s="192" t="s">
        <v>818</v>
      </c>
      <c r="I69" s="192">
        <v>1</v>
      </c>
      <c r="J69" s="192">
        <f>VLOOKUP($B69,'RBSA Weights'!$A$2:$C$1406,3,FALSE)</f>
        <v>1150.8789999999999</v>
      </c>
    </row>
    <row r="70" spans="1:10">
      <c r="A70" s="192">
        <v>38948</v>
      </c>
      <c r="B70" s="192">
        <v>10413</v>
      </c>
      <c r="C70" s="192" t="s">
        <v>815</v>
      </c>
      <c r="D70" s="192">
        <v>46</v>
      </c>
      <c r="E70" s="192" t="s">
        <v>816</v>
      </c>
      <c r="F70" s="192" t="s">
        <v>820</v>
      </c>
      <c r="G70" s="192">
        <v>0.85000002384185791</v>
      </c>
      <c r="H70" s="192" t="s">
        <v>820</v>
      </c>
      <c r="I70" s="192">
        <v>1</v>
      </c>
      <c r="J70" s="192">
        <f>VLOOKUP($B70,'RBSA Weights'!$A$2:$C$1406,3,FALSE)</f>
        <v>1524.7619999999999</v>
      </c>
    </row>
    <row r="71" spans="1:10">
      <c r="A71" s="192">
        <v>216548</v>
      </c>
      <c r="B71" s="192">
        <v>10421</v>
      </c>
      <c r="C71" s="192" t="s">
        <v>815</v>
      </c>
      <c r="D71" s="192">
        <v>189</v>
      </c>
      <c r="E71" s="192" t="s">
        <v>816</v>
      </c>
      <c r="F71" s="192" t="s">
        <v>818</v>
      </c>
      <c r="G71" s="192">
        <v>0.60000002384185791</v>
      </c>
      <c r="H71" s="192" t="s">
        <v>818</v>
      </c>
      <c r="I71" s="192">
        <v>1</v>
      </c>
      <c r="J71" s="192">
        <f>VLOOKUP($B71,'RBSA Weights'!$A$2:$C$1406,3,FALSE)</f>
        <v>1464.694</v>
      </c>
    </row>
    <row r="72" spans="1:10">
      <c r="A72" s="192">
        <v>108175</v>
      </c>
      <c r="B72" s="192">
        <v>10425</v>
      </c>
      <c r="C72" s="192" t="s">
        <v>815</v>
      </c>
      <c r="D72" s="192">
        <v>193</v>
      </c>
      <c r="E72" s="192" t="s">
        <v>819</v>
      </c>
      <c r="F72" s="192" t="s">
        <v>818</v>
      </c>
      <c r="G72" s="192">
        <v>0.55000001192092896</v>
      </c>
      <c r="H72" s="192" t="s">
        <v>818</v>
      </c>
      <c r="I72" s="192">
        <v>1</v>
      </c>
      <c r="J72" s="192">
        <f>VLOOKUP($B72,'RBSA Weights'!$A$2:$C$1406,3,FALSE)</f>
        <v>4956.4930000000004</v>
      </c>
    </row>
    <row r="73" spans="1:10">
      <c r="A73" s="192">
        <v>183217</v>
      </c>
      <c r="B73" s="192">
        <v>10430</v>
      </c>
      <c r="C73" s="192" t="s">
        <v>815</v>
      </c>
      <c r="D73" s="192">
        <v>224</v>
      </c>
      <c r="E73" s="192" t="s">
        <v>816</v>
      </c>
      <c r="F73" s="192" t="s">
        <v>818</v>
      </c>
      <c r="G73" s="192">
        <v>0.60000002384185791</v>
      </c>
      <c r="H73" s="192" t="s">
        <v>818</v>
      </c>
      <c r="I73" s="192">
        <v>1</v>
      </c>
      <c r="J73" s="192">
        <f>VLOOKUP($B73,'RBSA Weights'!$A$2:$C$1406,3,FALSE)</f>
        <v>1464.694</v>
      </c>
    </row>
    <row r="74" spans="1:10">
      <c r="A74" s="192">
        <v>66711</v>
      </c>
      <c r="B74" s="192">
        <v>10435</v>
      </c>
      <c r="C74" s="192" t="s">
        <v>815</v>
      </c>
      <c r="D74" s="192">
        <v>313</v>
      </c>
      <c r="E74" s="192" t="s">
        <v>819</v>
      </c>
      <c r="F74" s="192" t="s">
        <v>817</v>
      </c>
      <c r="G74" s="192">
        <v>0.5</v>
      </c>
      <c r="H74" s="192" t="s">
        <v>818</v>
      </c>
      <c r="I74" s="192">
        <v>1</v>
      </c>
      <c r="J74" s="192">
        <f>VLOOKUP($B74,'RBSA Weights'!$A$2:$C$1406,3,FALSE)</f>
        <v>1524.7619999999999</v>
      </c>
    </row>
    <row r="75" spans="1:10">
      <c r="A75" s="192">
        <v>27365</v>
      </c>
      <c r="B75" s="192">
        <v>10459</v>
      </c>
      <c r="C75" s="192" t="s">
        <v>815</v>
      </c>
      <c r="D75" s="192">
        <v>92</v>
      </c>
      <c r="E75" s="192" t="s">
        <v>819</v>
      </c>
      <c r="F75" s="192" t="s">
        <v>817</v>
      </c>
      <c r="G75" s="192">
        <v>0.40000000596046448</v>
      </c>
      <c r="H75" s="192" t="s">
        <v>818</v>
      </c>
      <c r="I75" s="192">
        <v>1</v>
      </c>
      <c r="J75" s="192">
        <f>VLOOKUP($B75,'RBSA Weights'!$A$2:$C$1406,3,FALSE)</f>
        <v>1524.7619999999999</v>
      </c>
    </row>
    <row r="76" spans="1:10">
      <c r="A76" s="192">
        <v>40223</v>
      </c>
      <c r="B76" s="192">
        <v>10462</v>
      </c>
      <c r="C76" s="192" t="s">
        <v>815</v>
      </c>
      <c r="D76" s="192">
        <v>273</v>
      </c>
      <c r="E76" s="192" t="s">
        <v>816</v>
      </c>
      <c r="F76" s="192" t="s">
        <v>817</v>
      </c>
      <c r="G76" s="192">
        <v>0.55000001192092896</v>
      </c>
      <c r="H76" s="192" t="s">
        <v>818</v>
      </c>
      <c r="I76" s="192">
        <v>1</v>
      </c>
      <c r="J76" s="192">
        <f>VLOOKUP($B76,'RBSA Weights'!$A$2:$C$1406,3,FALSE)</f>
        <v>1524.7619999999999</v>
      </c>
    </row>
    <row r="77" spans="1:10">
      <c r="A77" s="192">
        <v>220489</v>
      </c>
      <c r="B77" s="192">
        <v>10466</v>
      </c>
      <c r="C77" s="192" t="s">
        <v>815</v>
      </c>
      <c r="D77" s="192">
        <v>132</v>
      </c>
      <c r="E77" s="192" t="s">
        <v>816</v>
      </c>
      <c r="F77" s="192" t="s">
        <v>818</v>
      </c>
      <c r="G77" s="192">
        <v>0.60000002384185791</v>
      </c>
      <c r="H77" s="192" t="s">
        <v>818</v>
      </c>
      <c r="I77" s="192">
        <v>1</v>
      </c>
      <c r="J77" s="192">
        <f>VLOOKUP($B77,'RBSA Weights'!$A$2:$C$1406,3,FALSE)</f>
        <v>1464.694</v>
      </c>
    </row>
    <row r="78" spans="1:10">
      <c r="A78" s="192">
        <v>223024</v>
      </c>
      <c r="B78" s="192">
        <v>10476</v>
      </c>
      <c r="C78" s="192" t="s">
        <v>815</v>
      </c>
      <c r="D78" s="192">
        <v>190</v>
      </c>
      <c r="E78" s="192" t="s">
        <v>819</v>
      </c>
      <c r="F78" s="192" t="s">
        <v>823</v>
      </c>
      <c r="G78" s="192">
        <v>0.85000002384185791</v>
      </c>
      <c r="H78" s="192" t="s">
        <v>823</v>
      </c>
      <c r="I78" s="192">
        <v>1</v>
      </c>
      <c r="J78" s="192">
        <f>VLOOKUP($B78,'RBSA Weights'!$A$2:$C$1406,3,FALSE)</f>
        <v>4956.4930000000004</v>
      </c>
    </row>
    <row r="79" spans="1:10">
      <c r="A79" s="192">
        <v>168372</v>
      </c>
      <c r="B79" s="192">
        <v>10486</v>
      </c>
      <c r="C79" s="192" t="s">
        <v>815</v>
      </c>
      <c r="D79" s="192">
        <v>156</v>
      </c>
      <c r="E79" s="192" t="s">
        <v>816</v>
      </c>
      <c r="F79" s="192" t="s">
        <v>818</v>
      </c>
      <c r="G79" s="192">
        <v>0.60000002384185791</v>
      </c>
      <c r="H79" s="192" t="s">
        <v>818</v>
      </c>
      <c r="I79" s="192">
        <v>1</v>
      </c>
      <c r="J79" s="192">
        <f>VLOOKUP($B79,'RBSA Weights'!$A$2:$C$1406,3,FALSE)</f>
        <v>6932.7380000000003</v>
      </c>
    </row>
    <row r="80" spans="1:10">
      <c r="A80" s="192">
        <v>678776</v>
      </c>
      <c r="B80" s="192">
        <v>10490</v>
      </c>
      <c r="C80" s="192" t="s">
        <v>815</v>
      </c>
      <c r="D80" s="192">
        <v>48</v>
      </c>
      <c r="E80" s="192" t="s">
        <v>816</v>
      </c>
      <c r="F80" s="192" t="s">
        <v>818</v>
      </c>
      <c r="G80" s="192">
        <v>0.55000001192092896</v>
      </c>
      <c r="H80" s="192" t="s">
        <v>818</v>
      </c>
      <c r="I80" s="192">
        <v>1</v>
      </c>
      <c r="J80" s="192">
        <f>VLOOKUP($B80,'RBSA Weights'!$A$2:$C$1406,3,FALSE)</f>
        <v>4956.4930000000004</v>
      </c>
    </row>
    <row r="81" spans="1:10">
      <c r="A81" s="192">
        <v>117796</v>
      </c>
      <c r="B81" s="192">
        <v>10491</v>
      </c>
      <c r="C81" s="192" t="s">
        <v>815</v>
      </c>
      <c r="D81" s="192">
        <v>92</v>
      </c>
      <c r="E81" s="192" t="s">
        <v>819</v>
      </c>
      <c r="F81" s="192" t="s">
        <v>818</v>
      </c>
      <c r="G81" s="192">
        <v>0.5</v>
      </c>
      <c r="H81" s="192" t="s">
        <v>818</v>
      </c>
      <c r="I81" s="192">
        <v>1</v>
      </c>
      <c r="J81" s="192">
        <f>VLOOKUP($B81,'RBSA Weights'!$A$2:$C$1406,3,FALSE)</f>
        <v>1464.694</v>
      </c>
    </row>
    <row r="82" spans="1:10">
      <c r="A82" s="192">
        <v>50596</v>
      </c>
      <c r="B82" s="192">
        <v>10493</v>
      </c>
      <c r="C82" s="192" t="s">
        <v>815</v>
      </c>
      <c r="D82" s="192">
        <v>200</v>
      </c>
      <c r="E82" s="192" t="s">
        <v>816</v>
      </c>
      <c r="F82" s="192" t="s">
        <v>817</v>
      </c>
      <c r="G82" s="192">
        <v>0.44999998807907104</v>
      </c>
      <c r="H82" s="192" t="s">
        <v>818</v>
      </c>
      <c r="I82" s="192">
        <v>1</v>
      </c>
      <c r="J82" s="192">
        <f>VLOOKUP($B82,'RBSA Weights'!$A$2:$C$1406,3,FALSE)</f>
        <v>1524.7619999999999</v>
      </c>
    </row>
    <row r="83" spans="1:10">
      <c r="A83" s="192">
        <v>27219</v>
      </c>
      <c r="B83" s="192">
        <v>10496</v>
      </c>
      <c r="C83" s="192" t="s">
        <v>815</v>
      </c>
      <c r="D83" s="192">
        <v>169</v>
      </c>
      <c r="E83" s="192" t="s">
        <v>816</v>
      </c>
      <c r="F83" s="192" t="s">
        <v>817</v>
      </c>
      <c r="G83" s="192">
        <v>0.55000001192092896</v>
      </c>
      <c r="H83" s="192" t="s">
        <v>818</v>
      </c>
      <c r="I83" s="192">
        <v>1</v>
      </c>
      <c r="J83" s="192">
        <f>VLOOKUP($B83,'RBSA Weights'!$A$2:$C$1406,3,FALSE)</f>
        <v>1150.8789999999999</v>
      </c>
    </row>
    <row r="84" spans="1:10">
      <c r="A84" s="192">
        <v>120325</v>
      </c>
      <c r="B84" s="192">
        <v>10510</v>
      </c>
      <c r="C84" s="192" t="s">
        <v>815</v>
      </c>
      <c r="D84" s="192">
        <v>336</v>
      </c>
      <c r="E84" s="192" t="s">
        <v>816</v>
      </c>
      <c r="F84" s="192" t="s">
        <v>818</v>
      </c>
      <c r="G84" s="192">
        <v>0.60000002384185791</v>
      </c>
      <c r="H84" s="192" t="s">
        <v>818</v>
      </c>
      <c r="I84" s="192">
        <v>1</v>
      </c>
      <c r="J84" s="192">
        <f>VLOOKUP($B84,'RBSA Weights'!$A$2:$C$1406,3,FALSE)</f>
        <v>1464.694</v>
      </c>
    </row>
    <row r="85" spans="1:10">
      <c r="A85" s="192">
        <v>41423</v>
      </c>
      <c r="B85" s="192">
        <v>10514</v>
      </c>
      <c r="C85" s="192" t="s">
        <v>815</v>
      </c>
      <c r="D85" s="192">
        <v>66</v>
      </c>
      <c r="E85" s="192" t="s">
        <v>816</v>
      </c>
      <c r="F85" s="192" t="s">
        <v>818</v>
      </c>
      <c r="G85" s="192">
        <v>0.60000002384185791</v>
      </c>
      <c r="H85" s="192" t="s">
        <v>818</v>
      </c>
      <c r="I85" s="192">
        <v>1</v>
      </c>
      <c r="J85" s="192">
        <f>VLOOKUP($B85,'RBSA Weights'!$A$2:$C$1406,3,FALSE)</f>
        <v>1524.7619999999999</v>
      </c>
    </row>
    <row r="86" spans="1:10">
      <c r="A86" s="192">
        <v>216452</v>
      </c>
      <c r="B86" s="192">
        <v>10516</v>
      </c>
      <c r="C86" s="192" t="s">
        <v>815</v>
      </c>
      <c r="D86" s="192">
        <v>162</v>
      </c>
      <c r="E86" s="192" t="s">
        <v>816</v>
      </c>
      <c r="F86" s="192" t="s">
        <v>817</v>
      </c>
      <c r="G86" s="192">
        <v>0.44999998807907104</v>
      </c>
      <c r="H86" s="192" t="s">
        <v>818</v>
      </c>
      <c r="I86" s="192">
        <v>1</v>
      </c>
      <c r="J86" s="192">
        <f>VLOOKUP($B86,'RBSA Weights'!$A$2:$C$1406,3,FALSE)</f>
        <v>6932.7380000000003</v>
      </c>
    </row>
    <row r="87" spans="1:10">
      <c r="A87" s="192">
        <v>149333</v>
      </c>
      <c r="B87" s="192">
        <v>10518</v>
      </c>
      <c r="C87" s="192" t="s">
        <v>815</v>
      </c>
      <c r="D87" s="192">
        <v>275</v>
      </c>
      <c r="E87" s="192" t="s">
        <v>816</v>
      </c>
      <c r="F87" s="192" t="s">
        <v>817</v>
      </c>
      <c r="G87" s="192">
        <v>0.55000001192092896</v>
      </c>
      <c r="H87" s="192" t="s">
        <v>818</v>
      </c>
      <c r="I87" s="192">
        <v>1</v>
      </c>
      <c r="J87" s="192">
        <f>VLOOKUP($B87,'RBSA Weights'!$A$2:$C$1406,3,FALSE)</f>
        <v>4956.4930000000004</v>
      </c>
    </row>
    <row r="88" spans="1:10">
      <c r="A88" s="192">
        <v>118260</v>
      </c>
      <c r="B88" s="192">
        <v>10525</v>
      </c>
      <c r="C88" s="192" t="s">
        <v>815</v>
      </c>
      <c r="D88" s="192">
        <v>110</v>
      </c>
      <c r="E88" s="192" t="s">
        <v>819</v>
      </c>
      <c r="F88" s="192" t="s">
        <v>817</v>
      </c>
      <c r="G88" s="192">
        <v>0.5</v>
      </c>
      <c r="H88" s="192" t="s">
        <v>818</v>
      </c>
      <c r="I88" s="192">
        <v>1</v>
      </c>
      <c r="J88" s="192">
        <f>VLOOKUP($B88,'RBSA Weights'!$A$2:$C$1406,3,FALSE)</f>
        <v>1464.694</v>
      </c>
    </row>
    <row r="89" spans="1:10">
      <c r="A89" s="192">
        <v>117982</v>
      </c>
      <c r="B89" s="192">
        <v>10537</v>
      </c>
      <c r="C89" s="192" t="s">
        <v>815</v>
      </c>
      <c r="D89" s="192">
        <v>213</v>
      </c>
      <c r="E89" s="192" t="s">
        <v>819</v>
      </c>
      <c r="F89" s="192" t="s">
        <v>817</v>
      </c>
      <c r="G89" s="192">
        <v>0.5</v>
      </c>
      <c r="H89" s="192" t="s">
        <v>818</v>
      </c>
      <c r="I89" s="192">
        <v>1</v>
      </c>
      <c r="J89" s="192">
        <f>VLOOKUP($B89,'RBSA Weights'!$A$2:$C$1406,3,FALSE)</f>
        <v>4956.4930000000004</v>
      </c>
    </row>
    <row r="90" spans="1:10">
      <c r="A90" s="192">
        <v>159356</v>
      </c>
      <c r="B90" s="192">
        <v>10540</v>
      </c>
      <c r="C90" s="192" t="s">
        <v>815</v>
      </c>
      <c r="D90" s="192">
        <v>375</v>
      </c>
      <c r="E90" s="192" t="s">
        <v>816</v>
      </c>
      <c r="F90" s="192" t="s">
        <v>817</v>
      </c>
      <c r="G90" s="192">
        <v>0.55000001192092896</v>
      </c>
      <c r="H90" s="192" t="s">
        <v>818</v>
      </c>
      <c r="I90" s="192">
        <v>1</v>
      </c>
      <c r="J90" s="192">
        <f>VLOOKUP($B90,'RBSA Weights'!$A$2:$C$1406,3,FALSE)</f>
        <v>6932.7380000000003</v>
      </c>
    </row>
    <row r="91" spans="1:10">
      <c r="A91" s="192">
        <v>28102</v>
      </c>
      <c r="B91" s="192">
        <v>10551</v>
      </c>
      <c r="C91" s="192" t="s">
        <v>815</v>
      </c>
      <c r="D91" s="192">
        <v>212</v>
      </c>
      <c r="E91" s="192" t="s">
        <v>816</v>
      </c>
      <c r="F91" s="192" t="s">
        <v>817</v>
      </c>
      <c r="G91" s="192">
        <v>0.55000001192092896</v>
      </c>
      <c r="H91" s="192" t="s">
        <v>818</v>
      </c>
      <c r="I91" s="192">
        <v>1</v>
      </c>
      <c r="J91" s="192">
        <f>VLOOKUP($B91,'RBSA Weights'!$A$2:$C$1406,3,FALSE)</f>
        <v>1524.7619999999999</v>
      </c>
    </row>
    <row r="92" spans="1:10">
      <c r="A92" s="192">
        <v>115747</v>
      </c>
      <c r="B92" s="192">
        <v>10552</v>
      </c>
      <c r="C92" s="192" t="s">
        <v>815</v>
      </c>
      <c r="D92" s="192">
        <v>225</v>
      </c>
      <c r="E92" s="192" t="s">
        <v>816</v>
      </c>
      <c r="F92" s="192" t="s">
        <v>818</v>
      </c>
      <c r="G92" s="192">
        <v>0.60000002384185791</v>
      </c>
      <c r="H92" s="192" t="s">
        <v>818</v>
      </c>
      <c r="I92" s="192">
        <v>1</v>
      </c>
      <c r="J92" s="192">
        <f>VLOOKUP($B92,'RBSA Weights'!$A$2:$C$1406,3,FALSE)</f>
        <v>1464.694</v>
      </c>
    </row>
    <row r="93" spans="1:10">
      <c r="A93" s="192">
        <v>30767</v>
      </c>
      <c r="B93" s="192">
        <v>10557</v>
      </c>
      <c r="C93" s="192" t="s">
        <v>815</v>
      </c>
      <c r="D93" s="192">
        <v>154</v>
      </c>
      <c r="E93" s="192" t="s">
        <v>819</v>
      </c>
      <c r="F93" s="192" t="s">
        <v>821</v>
      </c>
      <c r="G93" s="192">
        <v>0.75</v>
      </c>
      <c r="H93" s="192" t="s">
        <v>821</v>
      </c>
      <c r="I93" s="192">
        <v>1</v>
      </c>
      <c r="J93" s="192">
        <f>VLOOKUP($B93,'RBSA Weights'!$A$2:$C$1406,3,FALSE)</f>
        <v>1524.7619999999999</v>
      </c>
    </row>
    <row r="94" spans="1:10">
      <c r="A94" s="192">
        <v>60295</v>
      </c>
      <c r="B94" s="192">
        <v>10561</v>
      </c>
      <c r="C94" s="192" t="s">
        <v>815</v>
      </c>
      <c r="D94" s="192">
        <v>110</v>
      </c>
      <c r="E94" s="192" t="s">
        <v>816</v>
      </c>
      <c r="F94" s="192" t="s">
        <v>823</v>
      </c>
      <c r="G94" s="192">
        <v>1.1000000238418579</v>
      </c>
      <c r="H94" s="192" t="s">
        <v>823</v>
      </c>
      <c r="I94" s="192">
        <v>1</v>
      </c>
      <c r="J94" s="192">
        <f>VLOOKUP($B94,'RBSA Weights'!$A$2:$C$1406,3,FALSE)</f>
        <v>2003.7159999999999</v>
      </c>
    </row>
    <row r="95" spans="1:10">
      <c r="A95" s="192">
        <v>85118</v>
      </c>
      <c r="B95" s="192">
        <v>10565</v>
      </c>
      <c r="C95" s="192" t="s">
        <v>815</v>
      </c>
      <c r="D95" s="192">
        <v>336</v>
      </c>
      <c r="E95" s="192" t="s">
        <v>816</v>
      </c>
      <c r="F95" s="192" t="s">
        <v>818</v>
      </c>
      <c r="G95" s="192">
        <v>0.55000001192092896</v>
      </c>
      <c r="H95" s="192" t="s">
        <v>818</v>
      </c>
      <c r="I95" s="192">
        <v>1</v>
      </c>
      <c r="J95" s="192">
        <f>VLOOKUP($B95,'RBSA Weights'!$A$2:$C$1406,3,FALSE)</f>
        <v>2003.7159999999999</v>
      </c>
    </row>
    <row r="96" spans="1:10">
      <c r="A96" s="192">
        <v>59720</v>
      </c>
      <c r="B96" s="192">
        <v>10567</v>
      </c>
      <c r="C96" s="192" t="s">
        <v>815</v>
      </c>
      <c r="D96" s="192">
        <v>249</v>
      </c>
      <c r="E96" s="192" t="s">
        <v>816</v>
      </c>
      <c r="F96" s="192" t="s">
        <v>817</v>
      </c>
      <c r="G96" s="192">
        <v>0.55000001192092896</v>
      </c>
      <c r="H96" s="192" t="s">
        <v>818</v>
      </c>
      <c r="I96" s="192">
        <v>1</v>
      </c>
      <c r="J96" s="192">
        <f>VLOOKUP($B96,'RBSA Weights'!$A$2:$C$1406,3,FALSE)</f>
        <v>2003.7159999999999</v>
      </c>
    </row>
    <row r="97" spans="1:10">
      <c r="A97" s="192">
        <v>159497</v>
      </c>
      <c r="B97" s="192">
        <v>10579</v>
      </c>
      <c r="C97" s="192" t="s">
        <v>815</v>
      </c>
      <c r="D97" s="192">
        <v>194</v>
      </c>
      <c r="E97" s="192" t="s">
        <v>816</v>
      </c>
      <c r="F97" s="192" t="s">
        <v>818</v>
      </c>
      <c r="G97" s="192">
        <v>0.55000001192092896</v>
      </c>
      <c r="H97" s="192" t="s">
        <v>818</v>
      </c>
      <c r="I97" s="192">
        <v>1</v>
      </c>
      <c r="J97" s="192">
        <f>VLOOKUP($B97,'RBSA Weights'!$A$2:$C$1406,3,FALSE)</f>
        <v>6932.7380000000003</v>
      </c>
    </row>
    <row r="98" spans="1:10">
      <c r="A98" s="192">
        <v>31282</v>
      </c>
      <c r="B98" s="192">
        <v>10580</v>
      </c>
      <c r="C98" s="192" t="s">
        <v>815</v>
      </c>
      <c r="D98" s="192">
        <v>152</v>
      </c>
      <c r="E98" s="192" t="s">
        <v>816</v>
      </c>
      <c r="F98" s="192" t="s">
        <v>817</v>
      </c>
      <c r="G98" s="192">
        <v>0.55000001192092896</v>
      </c>
      <c r="H98" s="192" t="s">
        <v>818</v>
      </c>
      <c r="I98" s="192">
        <v>1</v>
      </c>
      <c r="J98" s="192">
        <f>VLOOKUP($B98,'RBSA Weights'!$A$2:$C$1406,3,FALSE)</f>
        <v>1524.7619999999999</v>
      </c>
    </row>
    <row r="99" spans="1:10">
      <c r="A99" s="192">
        <v>91016</v>
      </c>
      <c r="B99" s="192">
        <v>10585</v>
      </c>
      <c r="C99" s="192" t="s">
        <v>815</v>
      </c>
      <c r="D99" s="192">
        <v>209</v>
      </c>
      <c r="E99" s="192" t="s">
        <v>816</v>
      </c>
      <c r="F99" s="192" t="s">
        <v>818</v>
      </c>
      <c r="G99" s="192">
        <v>0.60000002384185791</v>
      </c>
      <c r="H99" s="192" t="s">
        <v>818</v>
      </c>
      <c r="I99" s="192">
        <v>1</v>
      </c>
      <c r="J99" s="192">
        <f>VLOOKUP($B99,'RBSA Weights'!$A$2:$C$1406,3,FALSE)</f>
        <v>2003.7159999999999</v>
      </c>
    </row>
    <row r="100" spans="1:10">
      <c r="A100" s="192">
        <v>27567</v>
      </c>
      <c r="B100" s="192">
        <v>10595</v>
      </c>
      <c r="C100" s="192" t="s">
        <v>815</v>
      </c>
      <c r="D100" s="192">
        <v>189</v>
      </c>
      <c r="E100" s="192" t="s">
        <v>816</v>
      </c>
      <c r="F100" s="192" t="s">
        <v>818</v>
      </c>
      <c r="G100" s="192">
        <v>0.55000001192092896</v>
      </c>
      <c r="H100" s="192" t="s">
        <v>818</v>
      </c>
      <c r="I100" s="192">
        <v>1</v>
      </c>
      <c r="J100" s="192">
        <f>VLOOKUP($B100,'RBSA Weights'!$A$2:$C$1406,3,FALSE)</f>
        <v>1524.7619999999999</v>
      </c>
    </row>
    <row r="101" spans="1:10">
      <c r="A101" s="192">
        <v>60171</v>
      </c>
      <c r="B101" s="192">
        <v>10605</v>
      </c>
      <c r="C101" s="192" t="s">
        <v>815</v>
      </c>
      <c r="D101" s="192">
        <v>279</v>
      </c>
      <c r="E101" s="192" t="s">
        <v>816</v>
      </c>
      <c r="F101" s="192" t="s">
        <v>818</v>
      </c>
      <c r="G101" s="192">
        <v>0.55000001192092896</v>
      </c>
      <c r="H101" s="192" t="s">
        <v>818</v>
      </c>
      <c r="I101" s="192">
        <v>1</v>
      </c>
      <c r="J101" s="192">
        <f>VLOOKUP($B101,'RBSA Weights'!$A$2:$C$1406,3,FALSE)</f>
        <v>2003.7159999999999</v>
      </c>
    </row>
    <row r="102" spans="1:10">
      <c r="A102" s="192">
        <v>135745</v>
      </c>
      <c r="B102" s="192">
        <v>10612</v>
      </c>
      <c r="C102" s="192" t="s">
        <v>815</v>
      </c>
      <c r="D102" s="192">
        <v>290</v>
      </c>
      <c r="E102" s="192" t="s">
        <v>816</v>
      </c>
      <c r="F102" s="192" t="s">
        <v>817</v>
      </c>
      <c r="G102" s="192">
        <v>0.55000001192092896</v>
      </c>
      <c r="H102" s="192" t="s">
        <v>818</v>
      </c>
      <c r="I102" s="192">
        <v>1</v>
      </c>
      <c r="J102" s="192">
        <f>VLOOKUP($B102,'RBSA Weights'!$A$2:$C$1406,3,FALSE)</f>
        <v>6932.7380000000003</v>
      </c>
    </row>
    <row r="103" spans="1:10">
      <c r="A103" s="192">
        <v>206204</v>
      </c>
      <c r="B103" s="192">
        <v>10627</v>
      </c>
      <c r="C103" s="192" t="s">
        <v>815</v>
      </c>
      <c r="D103" s="192">
        <v>367</v>
      </c>
      <c r="E103" s="192" t="s">
        <v>816</v>
      </c>
      <c r="F103" s="192" t="s">
        <v>817</v>
      </c>
      <c r="G103" s="192">
        <v>0.55000001192092896</v>
      </c>
      <c r="H103" s="192" t="s">
        <v>818</v>
      </c>
      <c r="I103" s="192">
        <v>1</v>
      </c>
      <c r="J103" s="192">
        <f>VLOOKUP($B103,'RBSA Weights'!$A$2:$C$1406,3,FALSE)</f>
        <v>6932.7380000000003</v>
      </c>
    </row>
    <row r="104" spans="1:10">
      <c r="A104" s="192">
        <v>97321</v>
      </c>
      <c r="B104" s="192">
        <v>10629</v>
      </c>
      <c r="C104" s="192" t="s">
        <v>815</v>
      </c>
      <c r="D104" s="192">
        <v>171</v>
      </c>
      <c r="E104" s="192" t="s">
        <v>819</v>
      </c>
      <c r="F104" s="192" t="s">
        <v>823</v>
      </c>
      <c r="G104" s="192">
        <v>0.85000002384185791</v>
      </c>
      <c r="H104" s="192" t="s">
        <v>823</v>
      </c>
      <c r="I104" s="192">
        <v>1</v>
      </c>
      <c r="J104" s="192">
        <f>VLOOKUP($B104,'RBSA Weights'!$A$2:$C$1406,3,FALSE)</f>
        <v>4956.4930000000004</v>
      </c>
    </row>
    <row r="105" spans="1:10">
      <c r="A105" s="192">
        <v>97430</v>
      </c>
      <c r="B105" s="192">
        <v>10630</v>
      </c>
      <c r="C105" s="192" t="s">
        <v>815</v>
      </c>
      <c r="D105" s="192">
        <v>318</v>
      </c>
      <c r="E105" s="192" t="s">
        <v>816</v>
      </c>
      <c r="F105" s="192" t="s">
        <v>818</v>
      </c>
      <c r="G105" s="192">
        <v>0.60000002384185791</v>
      </c>
      <c r="H105" s="192" t="s">
        <v>818</v>
      </c>
      <c r="I105" s="192">
        <v>1</v>
      </c>
      <c r="J105" s="192">
        <f>VLOOKUP($B105,'RBSA Weights'!$A$2:$C$1406,3,FALSE)</f>
        <v>4956.4930000000004</v>
      </c>
    </row>
    <row r="106" spans="1:10">
      <c r="A106" s="192">
        <v>109137</v>
      </c>
      <c r="B106" s="192">
        <v>10636</v>
      </c>
      <c r="C106" s="192" t="s">
        <v>815</v>
      </c>
      <c r="D106" s="192">
        <v>128</v>
      </c>
      <c r="E106" s="192" t="s">
        <v>816</v>
      </c>
      <c r="F106" s="192" t="s">
        <v>820</v>
      </c>
      <c r="G106" s="192">
        <v>0.80000001192092896</v>
      </c>
      <c r="H106" s="192" t="s">
        <v>820</v>
      </c>
      <c r="I106" s="192">
        <v>1</v>
      </c>
      <c r="J106" s="192">
        <f>VLOOKUP($B106,'RBSA Weights'!$A$2:$C$1406,3,FALSE)</f>
        <v>4956.4930000000004</v>
      </c>
    </row>
    <row r="107" spans="1:10">
      <c r="A107" s="192">
        <v>36214</v>
      </c>
      <c r="B107" s="192">
        <v>10637</v>
      </c>
      <c r="C107" s="192" t="s">
        <v>815</v>
      </c>
      <c r="D107" s="192">
        <v>288</v>
      </c>
      <c r="E107" s="192" t="s">
        <v>816</v>
      </c>
      <c r="F107" s="192" t="s">
        <v>817</v>
      </c>
      <c r="G107" s="192">
        <v>0.44999998807907104</v>
      </c>
      <c r="H107" s="192" t="s">
        <v>818</v>
      </c>
      <c r="I107" s="192">
        <v>1</v>
      </c>
      <c r="J107" s="192">
        <f>VLOOKUP($B107,'RBSA Weights'!$A$2:$C$1406,3,FALSE)</f>
        <v>1188.027</v>
      </c>
    </row>
    <row r="108" spans="1:10">
      <c r="A108" s="192">
        <v>50730</v>
      </c>
      <c r="B108" s="192">
        <v>10638</v>
      </c>
      <c r="C108" s="192" t="s">
        <v>815</v>
      </c>
      <c r="D108" s="192">
        <v>122</v>
      </c>
      <c r="E108" s="192" t="s">
        <v>816</v>
      </c>
      <c r="F108" s="192" t="s">
        <v>820</v>
      </c>
      <c r="G108" s="192">
        <v>0.85000002384185791</v>
      </c>
      <c r="H108" s="192" t="s">
        <v>820</v>
      </c>
      <c r="I108" s="192">
        <v>1</v>
      </c>
      <c r="J108" s="192">
        <f>VLOOKUP($B108,'RBSA Weights'!$A$2:$C$1406,3,FALSE)</f>
        <v>1524.7619999999999</v>
      </c>
    </row>
    <row r="109" spans="1:10">
      <c r="A109" s="192">
        <v>216097</v>
      </c>
      <c r="B109" s="192">
        <v>10649</v>
      </c>
      <c r="C109" s="192" t="s">
        <v>815</v>
      </c>
      <c r="D109" s="192">
        <v>129</v>
      </c>
      <c r="E109" s="192" t="s">
        <v>816</v>
      </c>
      <c r="F109" s="192" t="s">
        <v>817</v>
      </c>
      <c r="G109" s="192">
        <v>0.55000001192092896</v>
      </c>
      <c r="H109" s="192" t="s">
        <v>818</v>
      </c>
      <c r="I109" s="192">
        <v>1</v>
      </c>
      <c r="J109" s="192">
        <f>VLOOKUP($B109,'RBSA Weights'!$A$2:$C$1406,3,FALSE)</f>
        <v>6932.7380000000003</v>
      </c>
    </row>
    <row r="110" spans="1:10">
      <c r="A110" s="192">
        <v>61410</v>
      </c>
      <c r="B110" s="192">
        <v>10657</v>
      </c>
      <c r="C110" s="192" t="s">
        <v>815</v>
      </c>
      <c r="D110" s="192">
        <v>164</v>
      </c>
      <c r="E110" s="192" t="s">
        <v>816</v>
      </c>
      <c r="F110" s="192" t="s">
        <v>817</v>
      </c>
      <c r="G110" s="192">
        <v>0.44999998807907104</v>
      </c>
      <c r="H110" s="192" t="s">
        <v>818</v>
      </c>
      <c r="I110" s="192">
        <v>1</v>
      </c>
      <c r="J110" s="192">
        <f>VLOOKUP($B110,'RBSA Weights'!$A$2:$C$1406,3,FALSE)</f>
        <v>1524.7619999999999</v>
      </c>
    </row>
    <row r="111" spans="1:10">
      <c r="A111" s="192">
        <v>119716</v>
      </c>
      <c r="B111" s="192">
        <v>10658</v>
      </c>
      <c r="C111" s="192" t="s">
        <v>815</v>
      </c>
      <c r="D111" s="192">
        <v>231</v>
      </c>
      <c r="E111" s="192" t="s">
        <v>816</v>
      </c>
      <c r="F111" s="192" t="s">
        <v>818</v>
      </c>
      <c r="G111" s="192">
        <v>0.60000002384185791</v>
      </c>
      <c r="H111" s="192" t="s">
        <v>818</v>
      </c>
      <c r="I111" s="192">
        <v>1</v>
      </c>
      <c r="J111" s="192">
        <f>VLOOKUP($B111,'RBSA Weights'!$A$2:$C$1406,3,FALSE)</f>
        <v>1464.694</v>
      </c>
    </row>
    <row r="112" spans="1:10">
      <c r="A112" s="192">
        <v>55847</v>
      </c>
      <c r="B112" s="192">
        <v>10661</v>
      </c>
      <c r="C112" s="192" t="s">
        <v>815</v>
      </c>
      <c r="D112" s="192">
        <v>188</v>
      </c>
      <c r="E112" s="192" t="s">
        <v>816</v>
      </c>
      <c r="F112" s="192" t="s">
        <v>818</v>
      </c>
      <c r="G112" s="192">
        <v>0.60000002384185791</v>
      </c>
      <c r="H112" s="192" t="s">
        <v>818</v>
      </c>
      <c r="I112" s="192">
        <v>1</v>
      </c>
      <c r="J112" s="192">
        <f>VLOOKUP($B112,'RBSA Weights'!$A$2:$C$1406,3,FALSE)</f>
        <v>1524.7619999999999</v>
      </c>
    </row>
    <row r="113" spans="1:10">
      <c r="A113" s="192">
        <v>201059</v>
      </c>
      <c r="B113" s="192">
        <v>10664</v>
      </c>
      <c r="C113" s="192" t="s">
        <v>815</v>
      </c>
      <c r="D113" s="192">
        <v>275</v>
      </c>
      <c r="E113" s="192" t="s">
        <v>819</v>
      </c>
      <c r="F113" s="192" t="s">
        <v>821</v>
      </c>
      <c r="G113" s="192">
        <v>0.75</v>
      </c>
      <c r="H113" s="192" t="s">
        <v>821</v>
      </c>
      <c r="I113" s="192">
        <v>1</v>
      </c>
      <c r="J113" s="192">
        <f>VLOOKUP($B113,'RBSA Weights'!$A$2:$C$1406,3,FALSE)</f>
        <v>8264.9449999999997</v>
      </c>
    </row>
    <row r="114" spans="1:10">
      <c r="A114" s="192">
        <v>66218</v>
      </c>
      <c r="B114" s="192">
        <v>10681</v>
      </c>
      <c r="C114" s="192" t="s">
        <v>815</v>
      </c>
      <c r="D114" s="192">
        <v>493</v>
      </c>
      <c r="E114" s="192" t="s">
        <v>816</v>
      </c>
      <c r="F114" s="192" t="s">
        <v>820</v>
      </c>
      <c r="G114" s="192">
        <v>0.85000002384185791</v>
      </c>
      <c r="H114" s="192" t="s">
        <v>820</v>
      </c>
      <c r="I114" s="192">
        <v>1</v>
      </c>
      <c r="J114" s="192">
        <f>VLOOKUP($B114,'RBSA Weights'!$A$2:$C$1406,3,FALSE)</f>
        <v>2003.7159999999999</v>
      </c>
    </row>
    <row r="115" spans="1:10">
      <c r="A115" s="192">
        <v>27018</v>
      </c>
      <c r="B115" s="192">
        <v>10688</v>
      </c>
      <c r="C115" s="192" t="s">
        <v>815</v>
      </c>
      <c r="D115" s="192">
        <v>127</v>
      </c>
      <c r="E115" s="192" t="s">
        <v>816</v>
      </c>
      <c r="F115" s="192" t="s">
        <v>817</v>
      </c>
      <c r="G115" s="192">
        <v>0.55000001192092896</v>
      </c>
      <c r="H115" s="192" t="s">
        <v>818</v>
      </c>
      <c r="I115" s="192">
        <v>1</v>
      </c>
      <c r="J115" s="192">
        <f>VLOOKUP($B115,'RBSA Weights'!$A$2:$C$1406,3,FALSE)</f>
        <v>1150.8789999999999</v>
      </c>
    </row>
    <row r="116" spans="1:10">
      <c r="A116" s="192">
        <v>239807</v>
      </c>
      <c r="B116" s="192">
        <v>10690</v>
      </c>
      <c r="C116" s="192" t="s">
        <v>815</v>
      </c>
      <c r="D116" s="192">
        <v>205</v>
      </c>
      <c r="E116" s="192" t="s">
        <v>819</v>
      </c>
      <c r="F116" s="192" t="s">
        <v>821</v>
      </c>
      <c r="G116" s="192">
        <v>0.75</v>
      </c>
      <c r="H116" s="192" t="s">
        <v>821</v>
      </c>
      <c r="I116" s="192">
        <v>1</v>
      </c>
      <c r="J116" s="192">
        <f>VLOOKUP($B116,'RBSA Weights'!$A$2:$C$1406,3,FALSE)</f>
        <v>1150.8789999999999</v>
      </c>
    </row>
    <row r="117" spans="1:10">
      <c r="A117" s="192">
        <v>216743</v>
      </c>
      <c r="B117" s="192">
        <v>10695</v>
      </c>
      <c r="C117" s="192" t="s">
        <v>815</v>
      </c>
      <c r="D117" s="192">
        <v>104</v>
      </c>
      <c r="E117" s="192" t="s">
        <v>816</v>
      </c>
      <c r="F117" s="192" t="s">
        <v>821</v>
      </c>
      <c r="G117" s="192">
        <v>0.94999998807907104</v>
      </c>
      <c r="H117" s="192" t="s">
        <v>821</v>
      </c>
      <c r="I117" s="192">
        <v>1</v>
      </c>
      <c r="J117" s="192">
        <f>VLOOKUP($B117,'RBSA Weights'!$A$2:$C$1406,3,FALSE)</f>
        <v>1464.694</v>
      </c>
    </row>
    <row r="118" spans="1:10">
      <c r="A118" s="192">
        <v>223253</v>
      </c>
      <c r="B118" s="192">
        <v>10696</v>
      </c>
      <c r="C118" s="192" t="s">
        <v>815</v>
      </c>
      <c r="D118" s="192">
        <v>221</v>
      </c>
      <c r="E118" s="192" t="s">
        <v>816</v>
      </c>
      <c r="F118" s="192" t="s">
        <v>820</v>
      </c>
      <c r="G118" s="192">
        <v>0.85000002384185791</v>
      </c>
      <c r="H118" s="192" t="s">
        <v>820</v>
      </c>
      <c r="I118" s="192">
        <v>1</v>
      </c>
      <c r="J118" s="192">
        <f>VLOOKUP($B118,'RBSA Weights'!$A$2:$C$1406,3,FALSE)</f>
        <v>1464.694</v>
      </c>
    </row>
    <row r="119" spans="1:10">
      <c r="A119" s="192">
        <v>39810</v>
      </c>
      <c r="B119" s="192">
        <v>10697</v>
      </c>
      <c r="C119" s="192" t="s">
        <v>815</v>
      </c>
      <c r="D119" s="192">
        <v>161</v>
      </c>
      <c r="E119" s="192" t="s">
        <v>816</v>
      </c>
      <c r="F119" s="192" t="s">
        <v>821</v>
      </c>
      <c r="G119" s="192">
        <v>0.94999998807907104</v>
      </c>
      <c r="H119" s="192" t="s">
        <v>821</v>
      </c>
      <c r="I119" s="192">
        <v>1</v>
      </c>
      <c r="J119" s="192">
        <f>VLOOKUP($B119,'RBSA Weights'!$A$2:$C$1406,3,FALSE)</f>
        <v>1524.7619999999999</v>
      </c>
    </row>
    <row r="120" spans="1:10">
      <c r="A120" s="192">
        <v>135842</v>
      </c>
      <c r="B120" s="192">
        <v>10699</v>
      </c>
      <c r="C120" s="192" t="s">
        <v>815</v>
      </c>
      <c r="D120" s="192">
        <v>90</v>
      </c>
      <c r="E120" s="192" t="s">
        <v>819</v>
      </c>
      <c r="F120" s="192" t="s">
        <v>823</v>
      </c>
      <c r="G120" s="192">
        <v>0.85000002384185791</v>
      </c>
      <c r="H120" s="192" t="s">
        <v>823</v>
      </c>
      <c r="I120" s="192">
        <v>1</v>
      </c>
      <c r="J120" s="192">
        <f>VLOOKUP($B120,'RBSA Weights'!$A$2:$C$1406,3,FALSE)</f>
        <v>6932.7380000000003</v>
      </c>
    </row>
    <row r="121" spans="1:10">
      <c r="A121" s="192">
        <v>105618</v>
      </c>
      <c r="B121" s="192">
        <v>10701</v>
      </c>
      <c r="C121" s="192" t="s">
        <v>815</v>
      </c>
      <c r="D121" s="192">
        <v>229</v>
      </c>
      <c r="E121" s="192" t="s">
        <v>819</v>
      </c>
      <c r="F121" s="192" t="s">
        <v>817</v>
      </c>
      <c r="G121" s="192">
        <v>0.40000000596046448</v>
      </c>
      <c r="H121" s="192" t="s">
        <v>818</v>
      </c>
      <c r="I121" s="192">
        <v>1</v>
      </c>
      <c r="J121" s="192">
        <f>VLOOKUP($B121,'RBSA Weights'!$A$2:$C$1406,3,FALSE)</f>
        <v>4956.4930000000004</v>
      </c>
    </row>
    <row r="122" spans="1:10">
      <c r="A122" s="192">
        <v>227560</v>
      </c>
      <c r="B122" s="192">
        <v>10705</v>
      </c>
      <c r="C122" s="192" t="s">
        <v>815</v>
      </c>
      <c r="D122" s="192">
        <v>308</v>
      </c>
      <c r="E122" s="192" t="s">
        <v>816</v>
      </c>
      <c r="F122" s="192" t="s">
        <v>822</v>
      </c>
      <c r="G122" s="192">
        <v>0.75</v>
      </c>
      <c r="H122" s="192" t="s">
        <v>820</v>
      </c>
      <c r="I122" s="192">
        <v>1</v>
      </c>
      <c r="J122" s="192">
        <f>VLOOKUP($B122,'RBSA Weights'!$A$2:$C$1406,3,FALSE)</f>
        <v>1464.694</v>
      </c>
    </row>
    <row r="123" spans="1:10">
      <c r="A123" s="192">
        <v>55703</v>
      </c>
      <c r="B123" s="192">
        <v>10709</v>
      </c>
      <c r="C123" s="192" t="s">
        <v>815</v>
      </c>
      <c r="D123" s="192">
        <v>272</v>
      </c>
      <c r="E123" s="192" t="s">
        <v>816</v>
      </c>
      <c r="F123" s="192" t="s">
        <v>821</v>
      </c>
      <c r="G123" s="192">
        <v>0.94999998807907104</v>
      </c>
      <c r="H123" s="192" t="s">
        <v>821</v>
      </c>
      <c r="I123" s="192">
        <v>1</v>
      </c>
      <c r="J123" s="192">
        <f>VLOOKUP($B123,'RBSA Weights'!$A$2:$C$1406,3,FALSE)</f>
        <v>1524.7619999999999</v>
      </c>
    </row>
    <row r="124" spans="1:10">
      <c r="A124" s="192">
        <v>224072</v>
      </c>
      <c r="B124" s="192">
        <v>10710</v>
      </c>
      <c r="C124" s="192" t="s">
        <v>815</v>
      </c>
      <c r="D124" s="192">
        <v>311</v>
      </c>
      <c r="E124" s="192" t="s">
        <v>816</v>
      </c>
      <c r="F124" s="192" t="s">
        <v>817</v>
      </c>
      <c r="G124" s="192">
        <v>0.44999998807907104</v>
      </c>
      <c r="H124" s="192" t="s">
        <v>818</v>
      </c>
      <c r="I124" s="192">
        <v>1</v>
      </c>
      <c r="J124" s="192">
        <f>VLOOKUP($B124,'RBSA Weights'!$A$2:$C$1406,3,FALSE)</f>
        <v>6932.7380000000003</v>
      </c>
    </row>
    <row r="125" spans="1:10">
      <c r="A125" s="192">
        <v>216191</v>
      </c>
      <c r="B125" s="192">
        <v>10713</v>
      </c>
      <c r="C125" s="192" t="s">
        <v>815</v>
      </c>
      <c r="D125" s="192">
        <v>605</v>
      </c>
      <c r="E125" s="192" t="s">
        <v>816</v>
      </c>
      <c r="F125" s="192" t="s">
        <v>817</v>
      </c>
      <c r="G125" s="192">
        <v>0.44999998807907104</v>
      </c>
      <c r="H125" s="192" t="s">
        <v>818</v>
      </c>
      <c r="I125" s="192">
        <v>1</v>
      </c>
      <c r="J125" s="192">
        <f>VLOOKUP($B125,'RBSA Weights'!$A$2:$C$1406,3,FALSE)</f>
        <v>6932.7380000000003</v>
      </c>
    </row>
    <row r="126" spans="1:10">
      <c r="A126" s="192">
        <v>689715</v>
      </c>
      <c r="B126" s="192">
        <v>10715</v>
      </c>
      <c r="C126" s="192" t="s">
        <v>815</v>
      </c>
      <c r="D126" s="192">
        <v>320</v>
      </c>
      <c r="E126" s="192" t="s">
        <v>816</v>
      </c>
      <c r="F126" s="192" t="s">
        <v>817</v>
      </c>
      <c r="G126" s="192">
        <v>0.55000001192092896</v>
      </c>
      <c r="H126" s="192" t="s">
        <v>818</v>
      </c>
      <c r="I126" s="192">
        <v>1</v>
      </c>
      <c r="J126" s="192">
        <f>VLOOKUP($B126,'RBSA Weights'!$A$2:$C$1406,3,FALSE)</f>
        <v>4956.4930000000004</v>
      </c>
    </row>
    <row r="127" spans="1:10">
      <c r="A127" s="192">
        <v>216905</v>
      </c>
      <c r="B127" s="192">
        <v>10728</v>
      </c>
      <c r="C127" s="192" t="s">
        <v>815</v>
      </c>
      <c r="D127" s="192">
        <v>392</v>
      </c>
      <c r="E127" s="192" t="s">
        <v>816</v>
      </c>
      <c r="F127" s="192" t="s">
        <v>822</v>
      </c>
      <c r="G127" s="192">
        <v>0.75</v>
      </c>
      <c r="H127" s="192" t="s">
        <v>820</v>
      </c>
      <c r="I127" s="192">
        <v>1</v>
      </c>
      <c r="J127" s="192">
        <f>VLOOKUP($B127,'RBSA Weights'!$A$2:$C$1406,3,FALSE)</f>
        <v>2003.7159999999999</v>
      </c>
    </row>
    <row r="128" spans="1:10">
      <c r="A128" s="192">
        <v>44568</v>
      </c>
      <c r="B128" s="192">
        <v>10733</v>
      </c>
      <c r="C128" s="192" t="s">
        <v>815</v>
      </c>
      <c r="D128" s="192">
        <v>126</v>
      </c>
      <c r="E128" s="192" t="s">
        <v>816</v>
      </c>
      <c r="F128" s="192" t="s">
        <v>817</v>
      </c>
      <c r="G128" s="192">
        <v>0.44999998807907104</v>
      </c>
      <c r="H128" s="192" t="s">
        <v>818</v>
      </c>
      <c r="I128" s="192">
        <v>1</v>
      </c>
      <c r="J128" s="192">
        <f>VLOOKUP($B128,'RBSA Weights'!$A$2:$C$1406,3,FALSE)</f>
        <v>1524.7619999999999</v>
      </c>
    </row>
    <row r="129" spans="1:10">
      <c r="A129" s="192">
        <v>51579</v>
      </c>
      <c r="B129" s="192">
        <v>10738</v>
      </c>
      <c r="C129" s="192" t="s">
        <v>815</v>
      </c>
      <c r="D129" s="192">
        <v>96</v>
      </c>
      <c r="E129" s="192" t="s">
        <v>816</v>
      </c>
      <c r="F129" s="192" t="s">
        <v>823</v>
      </c>
      <c r="G129" s="192">
        <v>1.1000000238418579</v>
      </c>
      <c r="H129" s="192" t="s">
        <v>823</v>
      </c>
      <c r="I129" s="192">
        <v>1</v>
      </c>
      <c r="J129" s="192">
        <f>VLOOKUP($B129,'RBSA Weights'!$A$2:$C$1406,3,FALSE)</f>
        <v>1188.027</v>
      </c>
    </row>
    <row r="130" spans="1:10">
      <c r="A130" s="192">
        <v>35319</v>
      </c>
      <c r="B130" s="192">
        <v>10741</v>
      </c>
      <c r="C130" s="192" t="s">
        <v>815</v>
      </c>
      <c r="D130" s="192">
        <v>111</v>
      </c>
      <c r="E130" s="192" t="s">
        <v>816</v>
      </c>
      <c r="F130" s="192" t="s">
        <v>818</v>
      </c>
      <c r="G130" s="192">
        <v>0.60000002384185791</v>
      </c>
      <c r="H130" s="192" t="s">
        <v>818</v>
      </c>
      <c r="I130" s="192">
        <v>1</v>
      </c>
      <c r="J130" s="192">
        <f>VLOOKUP($B130,'RBSA Weights'!$A$2:$C$1406,3,FALSE)</f>
        <v>1524.7619999999999</v>
      </c>
    </row>
    <row r="131" spans="1:10">
      <c r="A131" s="192">
        <v>186933</v>
      </c>
      <c r="B131" s="192">
        <v>10752</v>
      </c>
      <c r="C131" s="192" t="s">
        <v>815</v>
      </c>
      <c r="D131" s="192">
        <v>223</v>
      </c>
      <c r="E131" s="192" t="s">
        <v>816</v>
      </c>
      <c r="F131" s="192" t="s">
        <v>820</v>
      </c>
      <c r="G131" s="192">
        <v>0.85000002384185791</v>
      </c>
      <c r="H131" s="192" t="s">
        <v>820</v>
      </c>
      <c r="I131" s="192">
        <v>1</v>
      </c>
      <c r="J131" s="192">
        <f>VLOOKUP($B131,'RBSA Weights'!$A$2:$C$1406,3,FALSE)</f>
        <v>4956.4930000000004</v>
      </c>
    </row>
    <row r="132" spans="1:10">
      <c r="A132" s="192">
        <v>724647</v>
      </c>
      <c r="B132" s="192">
        <v>10764</v>
      </c>
      <c r="C132" s="192" t="s">
        <v>815</v>
      </c>
      <c r="D132" s="192">
        <v>186</v>
      </c>
      <c r="E132" s="192" t="s">
        <v>816</v>
      </c>
      <c r="F132" s="192" t="s">
        <v>817</v>
      </c>
      <c r="G132" s="192">
        <v>0.44999998807907104</v>
      </c>
      <c r="H132" s="192" t="s">
        <v>818</v>
      </c>
      <c r="I132" s="192">
        <v>1</v>
      </c>
      <c r="J132" s="192">
        <f>VLOOKUP($B132,'RBSA Weights'!$A$2:$C$1406,3,FALSE)</f>
        <v>1524.7619999999999</v>
      </c>
    </row>
    <row r="133" spans="1:10">
      <c r="A133" s="192">
        <v>65331</v>
      </c>
      <c r="B133" s="192">
        <v>10786</v>
      </c>
      <c r="C133" s="192" t="s">
        <v>815</v>
      </c>
      <c r="D133" s="192">
        <v>180</v>
      </c>
      <c r="E133" s="192" t="s">
        <v>816</v>
      </c>
      <c r="F133" s="192" t="s">
        <v>821</v>
      </c>
      <c r="G133" s="192">
        <v>0.94999998807907104</v>
      </c>
      <c r="H133" s="192" t="s">
        <v>821</v>
      </c>
      <c r="I133" s="192">
        <v>1</v>
      </c>
      <c r="J133" s="192">
        <f>VLOOKUP($B133,'RBSA Weights'!$A$2:$C$1406,3,FALSE)</f>
        <v>2003.7159999999999</v>
      </c>
    </row>
    <row r="134" spans="1:10">
      <c r="A134" s="192">
        <v>160807</v>
      </c>
      <c r="B134" s="192">
        <v>10795</v>
      </c>
      <c r="C134" s="192" t="s">
        <v>815</v>
      </c>
      <c r="D134" s="192">
        <v>144</v>
      </c>
      <c r="E134" s="192" t="s">
        <v>816</v>
      </c>
      <c r="F134" s="192" t="s">
        <v>817</v>
      </c>
      <c r="G134" s="192">
        <v>0.55000001192092896</v>
      </c>
      <c r="H134" s="192" t="s">
        <v>818</v>
      </c>
      <c r="I134" s="192">
        <v>1</v>
      </c>
      <c r="J134" s="192">
        <f>VLOOKUP($B134,'RBSA Weights'!$A$2:$C$1406,3,FALSE)</f>
        <v>6932.7380000000003</v>
      </c>
    </row>
    <row r="135" spans="1:10">
      <c r="A135" s="192">
        <v>182075</v>
      </c>
      <c r="B135" s="192">
        <v>10801</v>
      </c>
      <c r="C135" s="192" t="s">
        <v>815</v>
      </c>
      <c r="D135" s="192">
        <v>158</v>
      </c>
      <c r="E135" s="192" t="s">
        <v>816</v>
      </c>
      <c r="F135" s="192" t="s">
        <v>818</v>
      </c>
      <c r="G135" s="192">
        <v>0.60000002384185791</v>
      </c>
      <c r="H135" s="192" t="s">
        <v>818</v>
      </c>
      <c r="I135" s="192">
        <v>1</v>
      </c>
      <c r="J135" s="192">
        <f>VLOOKUP($B135,'RBSA Weights'!$A$2:$C$1406,3,FALSE)</f>
        <v>4956.4930000000004</v>
      </c>
    </row>
    <row r="136" spans="1:10">
      <c r="A136" s="192">
        <v>40530</v>
      </c>
      <c r="B136" s="192">
        <v>10807</v>
      </c>
      <c r="C136" s="192" t="s">
        <v>815</v>
      </c>
      <c r="D136" s="192">
        <v>282</v>
      </c>
      <c r="E136" s="192" t="s">
        <v>816</v>
      </c>
      <c r="F136" s="192" t="s">
        <v>817</v>
      </c>
      <c r="G136" s="192">
        <v>0.55000001192092896</v>
      </c>
      <c r="H136" s="192" t="s">
        <v>818</v>
      </c>
      <c r="I136" s="192">
        <v>1</v>
      </c>
      <c r="J136" s="192">
        <f>VLOOKUP($B136,'RBSA Weights'!$A$2:$C$1406,3,FALSE)</f>
        <v>1524.7619999999999</v>
      </c>
    </row>
    <row r="137" spans="1:10">
      <c r="A137" s="192">
        <v>163547</v>
      </c>
      <c r="B137" s="192">
        <v>10809</v>
      </c>
      <c r="C137" s="192" t="s">
        <v>815</v>
      </c>
      <c r="D137" s="192">
        <v>434</v>
      </c>
      <c r="E137" s="192" t="s">
        <v>816</v>
      </c>
      <c r="F137" s="192" t="s">
        <v>818</v>
      </c>
      <c r="G137" s="192">
        <v>0.55000001192092896</v>
      </c>
      <c r="H137" s="192" t="s">
        <v>818</v>
      </c>
      <c r="I137" s="192">
        <v>1</v>
      </c>
      <c r="J137" s="192">
        <f>VLOOKUP($B137,'RBSA Weights'!$A$2:$C$1406,3,FALSE)</f>
        <v>4956.4930000000004</v>
      </c>
    </row>
    <row r="138" spans="1:10">
      <c r="A138" s="192">
        <v>75741</v>
      </c>
      <c r="B138" s="192">
        <v>10811</v>
      </c>
      <c r="C138" s="192" t="s">
        <v>815</v>
      </c>
      <c r="D138" s="192">
        <v>170</v>
      </c>
      <c r="E138" s="192" t="s">
        <v>816</v>
      </c>
      <c r="F138" s="192" t="s">
        <v>818</v>
      </c>
      <c r="G138" s="192">
        <v>0.60000002384185791</v>
      </c>
      <c r="H138" s="192" t="s">
        <v>818</v>
      </c>
      <c r="I138" s="192">
        <v>1</v>
      </c>
      <c r="J138" s="192">
        <f>VLOOKUP($B138,'RBSA Weights'!$A$2:$C$1406,3,FALSE)</f>
        <v>2003.7159999999999</v>
      </c>
    </row>
    <row r="139" spans="1:10">
      <c r="A139" s="192">
        <v>83574</v>
      </c>
      <c r="B139" s="192">
        <v>10822</v>
      </c>
      <c r="C139" s="192" t="s">
        <v>815</v>
      </c>
      <c r="D139" s="192">
        <v>207</v>
      </c>
      <c r="E139" s="192" t="s">
        <v>819</v>
      </c>
      <c r="F139" s="192" t="s">
        <v>818</v>
      </c>
      <c r="G139" s="192">
        <v>0.5</v>
      </c>
      <c r="H139" s="192" t="s">
        <v>818</v>
      </c>
      <c r="I139" s="192">
        <v>1</v>
      </c>
      <c r="J139" s="192">
        <f>VLOOKUP($B139,'RBSA Weights'!$A$2:$C$1406,3,FALSE)</f>
        <v>2003.7159999999999</v>
      </c>
    </row>
    <row r="140" spans="1:10">
      <c r="A140" s="192">
        <v>61273</v>
      </c>
      <c r="B140" s="192">
        <v>10823</v>
      </c>
      <c r="C140" s="192" t="s">
        <v>815</v>
      </c>
      <c r="D140" s="192">
        <v>381</v>
      </c>
      <c r="E140" s="192" t="s">
        <v>816</v>
      </c>
      <c r="F140" s="192" t="s">
        <v>817</v>
      </c>
      <c r="G140" s="192">
        <v>0.55000001192092896</v>
      </c>
      <c r="H140" s="192" t="s">
        <v>818</v>
      </c>
      <c r="I140" s="192">
        <v>1</v>
      </c>
      <c r="J140" s="192">
        <f>VLOOKUP($B140,'RBSA Weights'!$A$2:$C$1406,3,FALSE)</f>
        <v>1524.7619999999999</v>
      </c>
    </row>
    <row r="141" spans="1:10">
      <c r="A141" s="192">
        <v>35610</v>
      </c>
      <c r="B141" s="192">
        <v>10840</v>
      </c>
      <c r="C141" s="192" t="s">
        <v>815</v>
      </c>
      <c r="D141" s="192">
        <v>162</v>
      </c>
      <c r="E141" s="192" t="s">
        <v>816</v>
      </c>
      <c r="F141" s="192" t="s">
        <v>817</v>
      </c>
      <c r="G141" s="192">
        <v>0.44999998807907104</v>
      </c>
      <c r="H141" s="192" t="s">
        <v>818</v>
      </c>
      <c r="I141" s="192">
        <v>1</v>
      </c>
      <c r="J141" s="192">
        <f>VLOOKUP($B141,'RBSA Weights'!$A$2:$C$1406,3,FALSE)</f>
        <v>1524.7619999999999</v>
      </c>
    </row>
    <row r="142" spans="1:10">
      <c r="A142" s="192">
        <v>72724</v>
      </c>
      <c r="B142" s="192">
        <v>10843</v>
      </c>
      <c r="C142" s="192" t="s">
        <v>815</v>
      </c>
      <c r="D142" s="192">
        <v>214</v>
      </c>
      <c r="E142" s="192" t="s">
        <v>816</v>
      </c>
      <c r="F142" s="192" t="s">
        <v>817</v>
      </c>
      <c r="G142" s="192">
        <v>0.55000001192092896</v>
      </c>
      <c r="H142" s="192" t="s">
        <v>818</v>
      </c>
      <c r="I142" s="192">
        <v>1</v>
      </c>
      <c r="J142" s="192">
        <f>VLOOKUP($B142,'RBSA Weights'!$A$2:$C$1406,3,FALSE)</f>
        <v>2003.7159999999999</v>
      </c>
    </row>
    <row r="143" spans="1:10">
      <c r="A143" s="192">
        <v>50031</v>
      </c>
      <c r="B143" s="192">
        <v>10848</v>
      </c>
      <c r="C143" s="192" t="s">
        <v>815</v>
      </c>
      <c r="D143" s="192">
        <v>183</v>
      </c>
      <c r="E143" s="192" t="s">
        <v>816</v>
      </c>
      <c r="F143" s="192" t="s">
        <v>818</v>
      </c>
      <c r="G143" s="192">
        <v>0.60000002384185791</v>
      </c>
      <c r="H143" s="192" t="s">
        <v>818</v>
      </c>
      <c r="I143" s="192">
        <v>1</v>
      </c>
      <c r="J143" s="192">
        <f>VLOOKUP($B143,'RBSA Weights'!$A$2:$C$1406,3,FALSE)</f>
        <v>1524.7619999999999</v>
      </c>
    </row>
    <row r="144" spans="1:10">
      <c r="A144" s="192">
        <v>32891</v>
      </c>
      <c r="B144" s="192">
        <v>10852</v>
      </c>
      <c r="C144" s="192" t="s">
        <v>815</v>
      </c>
      <c r="D144" s="192">
        <v>68</v>
      </c>
      <c r="E144" s="192" t="s">
        <v>816</v>
      </c>
      <c r="F144" s="192" t="s">
        <v>817</v>
      </c>
      <c r="G144" s="192">
        <v>0.55000001192092896</v>
      </c>
      <c r="H144" s="192" t="s">
        <v>818</v>
      </c>
      <c r="I144" s="192">
        <v>1</v>
      </c>
      <c r="J144" s="192">
        <f>VLOOKUP($B144,'RBSA Weights'!$A$2:$C$1406,3,FALSE)</f>
        <v>1188.027</v>
      </c>
    </row>
    <row r="145" spans="1:10">
      <c r="A145" s="192">
        <v>62395</v>
      </c>
      <c r="B145" s="192">
        <v>10866</v>
      </c>
      <c r="C145" s="192" t="s">
        <v>815</v>
      </c>
      <c r="D145" s="192">
        <v>313</v>
      </c>
      <c r="E145" s="192" t="s">
        <v>816</v>
      </c>
      <c r="F145" s="192" t="s">
        <v>818</v>
      </c>
      <c r="G145" s="192">
        <v>0.55000001192092896</v>
      </c>
      <c r="H145" s="192" t="s">
        <v>818</v>
      </c>
      <c r="I145" s="192">
        <v>1</v>
      </c>
      <c r="J145" s="192">
        <f>VLOOKUP($B145,'RBSA Weights'!$A$2:$C$1406,3,FALSE)</f>
        <v>2003.7159999999999</v>
      </c>
    </row>
    <row r="146" spans="1:10">
      <c r="A146" s="192">
        <v>678196</v>
      </c>
      <c r="B146" s="192">
        <v>10887</v>
      </c>
      <c r="C146" s="192" t="s">
        <v>815</v>
      </c>
      <c r="D146" s="192">
        <v>332</v>
      </c>
      <c r="E146" s="192" t="s">
        <v>816</v>
      </c>
      <c r="F146" s="192" t="s">
        <v>821</v>
      </c>
      <c r="G146" s="192">
        <v>0.94999998807907104</v>
      </c>
      <c r="H146" s="192" t="s">
        <v>821</v>
      </c>
      <c r="I146" s="192">
        <v>1</v>
      </c>
      <c r="J146" s="192">
        <f>VLOOKUP($B146,'RBSA Weights'!$A$2:$C$1406,3,FALSE)</f>
        <v>1464.694</v>
      </c>
    </row>
    <row r="147" spans="1:10">
      <c r="A147" s="192">
        <v>29629</v>
      </c>
      <c r="B147" s="192">
        <v>10895</v>
      </c>
      <c r="C147" s="192" t="s">
        <v>815</v>
      </c>
      <c r="D147" s="192">
        <v>200</v>
      </c>
      <c r="E147" s="192" t="s">
        <v>816</v>
      </c>
      <c r="F147" s="192" t="s">
        <v>821</v>
      </c>
      <c r="G147" s="192">
        <v>0.94999998807907104</v>
      </c>
      <c r="H147" s="192" t="s">
        <v>821</v>
      </c>
      <c r="I147" s="192">
        <v>1</v>
      </c>
      <c r="J147" s="192">
        <f>VLOOKUP($B147,'RBSA Weights'!$A$2:$C$1406,3,FALSE)</f>
        <v>1524.7619999999999</v>
      </c>
    </row>
    <row r="148" spans="1:10">
      <c r="A148" s="192">
        <v>204713</v>
      </c>
      <c r="B148" s="192">
        <v>10911</v>
      </c>
      <c r="C148" s="192" t="s">
        <v>815</v>
      </c>
      <c r="D148" s="192">
        <v>149</v>
      </c>
      <c r="E148" s="192" t="s">
        <v>816</v>
      </c>
      <c r="F148" s="192" t="s">
        <v>818</v>
      </c>
      <c r="G148" s="192">
        <v>0.55000001192092896</v>
      </c>
      <c r="H148" s="192" t="s">
        <v>818</v>
      </c>
      <c r="I148" s="192">
        <v>1</v>
      </c>
      <c r="J148" s="192">
        <f>VLOOKUP($B148,'RBSA Weights'!$A$2:$C$1406,3,FALSE)</f>
        <v>1464.694</v>
      </c>
    </row>
    <row r="149" spans="1:10">
      <c r="A149" s="192">
        <v>233257</v>
      </c>
      <c r="B149" s="192">
        <v>10915</v>
      </c>
      <c r="C149" s="192" t="s">
        <v>815</v>
      </c>
      <c r="D149" s="192">
        <v>153</v>
      </c>
      <c r="E149" s="192" t="s">
        <v>819</v>
      </c>
      <c r="F149" s="192" t="s">
        <v>823</v>
      </c>
      <c r="G149" s="192">
        <v>0.85000002384185791</v>
      </c>
      <c r="H149" s="192" t="s">
        <v>823</v>
      </c>
      <c r="I149" s="192">
        <v>1</v>
      </c>
      <c r="J149" s="192">
        <f>VLOOKUP($B149,'RBSA Weights'!$A$2:$C$1406,3,FALSE)</f>
        <v>1464.694</v>
      </c>
    </row>
    <row r="150" spans="1:10">
      <c r="A150" s="192">
        <v>29457</v>
      </c>
      <c r="B150" s="192">
        <v>10927</v>
      </c>
      <c r="C150" s="192" t="s">
        <v>815</v>
      </c>
      <c r="D150" s="192">
        <v>128</v>
      </c>
      <c r="E150" s="192" t="s">
        <v>816</v>
      </c>
      <c r="F150" s="192" t="s">
        <v>817</v>
      </c>
      <c r="G150" s="192">
        <v>0.44999998807907104</v>
      </c>
      <c r="H150" s="192" t="s">
        <v>818</v>
      </c>
      <c r="I150" s="192">
        <v>1</v>
      </c>
      <c r="J150" s="192">
        <f>VLOOKUP($B150,'RBSA Weights'!$A$2:$C$1406,3,FALSE)</f>
        <v>1524.7619999999999</v>
      </c>
    </row>
    <row r="151" spans="1:10">
      <c r="A151" s="192">
        <v>117598</v>
      </c>
      <c r="B151" s="192">
        <v>10946</v>
      </c>
      <c r="C151" s="192" t="s">
        <v>815</v>
      </c>
      <c r="D151" s="192">
        <v>551</v>
      </c>
      <c r="E151" s="192" t="s">
        <v>816</v>
      </c>
      <c r="F151" s="192" t="s">
        <v>822</v>
      </c>
      <c r="G151" s="192">
        <v>0.75</v>
      </c>
      <c r="H151" s="192" t="s">
        <v>820</v>
      </c>
      <c r="I151" s="192">
        <v>1</v>
      </c>
      <c r="J151" s="192">
        <f>VLOOKUP($B151,'RBSA Weights'!$A$2:$C$1406,3,FALSE)</f>
        <v>4956.4930000000004</v>
      </c>
    </row>
    <row r="152" spans="1:10">
      <c r="A152" s="192">
        <v>103749</v>
      </c>
      <c r="B152" s="192">
        <v>10948</v>
      </c>
      <c r="C152" s="192" t="s">
        <v>815</v>
      </c>
      <c r="D152" s="192">
        <v>62</v>
      </c>
      <c r="E152" s="192" t="s">
        <v>819</v>
      </c>
      <c r="F152" s="192" t="s">
        <v>818</v>
      </c>
      <c r="G152" s="192">
        <v>0.5</v>
      </c>
      <c r="H152" s="192" t="s">
        <v>818</v>
      </c>
      <c r="I152" s="192">
        <v>1</v>
      </c>
      <c r="J152" s="192">
        <f>VLOOKUP($B152,'RBSA Weights'!$A$2:$C$1406,3,FALSE)</f>
        <v>2003.7159999999999</v>
      </c>
    </row>
    <row r="153" spans="1:10">
      <c r="A153" s="192">
        <v>107943</v>
      </c>
      <c r="B153" s="192">
        <v>10951</v>
      </c>
      <c r="C153" s="192" t="s">
        <v>815</v>
      </c>
      <c r="D153" s="192">
        <v>200</v>
      </c>
      <c r="E153" s="192" t="s">
        <v>816</v>
      </c>
      <c r="F153" s="192" t="s">
        <v>820</v>
      </c>
      <c r="G153" s="192">
        <v>0.85000002384185791</v>
      </c>
      <c r="H153" s="192" t="s">
        <v>820</v>
      </c>
      <c r="I153" s="192">
        <v>1</v>
      </c>
      <c r="J153" s="192">
        <f>VLOOKUP($B153,'RBSA Weights'!$A$2:$C$1406,3,FALSE)</f>
        <v>4956.4930000000004</v>
      </c>
    </row>
    <row r="154" spans="1:10">
      <c r="A154" s="192">
        <v>181327</v>
      </c>
      <c r="B154" s="192">
        <v>10965</v>
      </c>
      <c r="C154" s="192" t="s">
        <v>815</v>
      </c>
      <c r="D154" s="192">
        <v>106</v>
      </c>
      <c r="E154" s="192" t="s">
        <v>816</v>
      </c>
      <c r="F154" s="192" t="s">
        <v>818</v>
      </c>
      <c r="G154" s="192">
        <v>0.60000002384185791</v>
      </c>
      <c r="H154" s="192" t="s">
        <v>818</v>
      </c>
      <c r="I154" s="192">
        <v>1</v>
      </c>
      <c r="J154" s="192">
        <f>VLOOKUP($B154,'RBSA Weights'!$A$2:$C$1406,3,FALSE)</f>
        <v>4956.4930000000004</v>
      </c>
    </row>
    <row r="155" spans="1:10">
      <c r="A155" s="192">
        <v>30036</v>
      </c>
      <c r="B155" s="192">
        <v>10978</v>
      </c>
      <c r="C155" s="192" t="s">
        <v>815</v>
      </c>
      <c r="D155" s="192">
        <v>99</v>
      </c>
      <c r="E155" s="192" t="s">
        <v>819</v>
      </c>
      <c r="F155" s="192" t="s">
        <v>818</v>
      </c>
      <c r="G155" s="192">
        <v>0.55000001192092896</v>
      </c>
      <c r="H155" s="192" t="s">
        <v>818</v>
      </c>
      <c r="I155" s="192">
        <v>1</v>
      </c>
      <c r="J155" s="192">
        <f>VLOOKUP($B155,'RBSA Weights'!$A$2:$C$1406,3,FALSE)</f>
        <v>1524.7619999999999</v>
      </c>
    </row>
    <row r="156" spans="1:10">
      <c r="A156" s="192">
        <v>88556</v>
      </c>
      <c r="B156" s="192">
        <v>10986</v>
      </c>
      <c r="C156" s="192" t="s">
        <v>815</v>
      </c>
      <c r="D156" s="192">
        <v>294</v>
      </c>
      <c r="E156" s="192" t="s">
        <v>816</v>
      </c>
      <c r="F156" s="192" t="s">
        <v>820</v>
      </c>
      <c r="G156" s="192">
        <v>0.85000002384185791</v>
      </c>
      <c r="H156" s="192" t="s">
        <v>820</v>
      </c>
      <c r="I156" s="192">
        <v>1</v>
      </c>
      <c r="J156" s="192">
        <f>VLOOKUP($B156,'RBSA Weights'!$A$2:$C$1406,3,FALSE)</f>
        <v>2003.7159999999999</v>
      </c>
    </row>
    <row r="157" spans="1:10">
      <c r="A157" s="192">
        <v>62554</v>
      </c>
      <c r="B157" s="192">
        <v>10990</v>
      </c>
      <c r="C157" s="192" t="s">
        <v>815</v>
      </c>
      <c r="D157" s="192">
        <v>180</v>
      </c>
      <c r="E157" s="192" t="s">
        <v>816</v>
      </c>
      <c r="F157" s="192" t="s">
        <v>820</v>
      </c>
      <c r="G157" s="192">
        <v>0.80000001192092896</v>
      </c>
      <c r="H157" s="192" t="s">
        <v>820</v>
      </c>
      <c r="I157" s="192">
        <v>1</v>
      </c>
      <c r="J157" s="192">
        <f>VLOOKUP($B157,'RBSA Weights'!$A$2:$C$1406,3,FALSE)</f>
        <v>2003.7159999999999</v>
      </c>
    </row>
    <row r="158" spans="1:10">
      <c r="A158" s="192">
        <v>212844</v>
      </c>
      <c r="B158" s="192">
        <v>10995</v>
      </c>
      <c r="C158" s="192" t="s">
        <v>815</v>
      </c>
      <c r="D158" s="192">
        <v>186</v>
      </c>
      <c r="E158" s="192" t="s">
        <v>816</v>
      </c>
      <c r="F158" s="192" t="s">
        <v>820</v>
      </c>
      <c r="G158" s="192">
        <v>0.85000002384185791</v>
      </c>
      <c r="H158" s="192" t="s">
        <v>820</v>
      </c>
      <c r="I158" s="192">
        <v>1</v>
      </c>
      <c r="J158" s="192">
        <f>VLOOKUP($B158,'RBSA Weights'!$A$2:$C$1406,3,FALSE)</f>
        <v>4956.4930000000004</v>
      </c>
    </row>
    <row r="159" spans="1:10">
      <c r="A159" s="192">
        <v>100417</v>
      </c>
      <c r="B159" s="192">
        <v>11003</v>
      </c>
      <c r="C159" s="192" t="s">
        <v>815</v>
      </c>
      <c r="D159" s="192">
        <v>143</v>
      </c>
      <c r="E159" s="192" t="s">
        <v>816</v>
      </c>
      <c r="F159" s="192" t="s">
        <v>818</v>
      </c>
      <c r="G159" s="192">
        <v>0.60000002384185791</v>
      </c>
      <c r="H159" s="192" t="s">
        <v>818</v>
      </c>
      <c r="I159" s="192">
        <v>1</v>
      </c>
      <c r="J159" s="192">
        <f>VLOOKUP($B159,'RBSA Weights'!$A$2:$C$1406,3,FALSE)</f>
        <v>2003.7159999999999</v>
      </c>
    </row>
    <row r="160" spans="1:10">
      <c r="A160" s="192">
        <v>29839</v>
      </c>
      <c r="B160" s="192">
        <v>11006</v>
      </c>
      <c r="C160" s="192" t="s">
        <v>815</v>
      </c>
      <c r="D160" s="192">
        <v>115</v>
      </c>
      <c r="E160" s="192" t="s">
        <v>816</v>
      </c>
      <c r="F160" s="192" t="s">
        <v>817</v>
      </c>
      <c r="G160" s="192">
        <v>0.55000001192092896</v>
      </c>
      <c r="H160" s="192" t="s">
        <v>818</v>
      </c>
      <c r="I160" s="192">
        <v>1</v>
      </c>
      <c r="J160" s="192">
        <f>VLOOKUP($B160,'RBSA Weights'!$A$2:$C$1406,3,FALSE)</f>
        <v>1524.7619999999999</v>
      </c>
    </row>
    <row r="161" spans="1:10">
      <c r="A161" s="192">
        <v>37864</v>
      </c>
      <c r="B161" s="192">
        <v>11014</v>
      </c>
      <c r="C161" s="192" t="s">
        <v>815</v>
      </c>
      <c r="D161" s="192">
        <v>379</v>
      </c>
      <c r="E161" s="192" t="s">
        <v>816</v>
      </c>
      <c r="F161" s="192" t="s">
        <v>817</v>
      </c>
      <c r="G161" s="192">
        <v>0.55000001192092896</v>
      </c>
      <c r="H161" s="192" t="s">
        <v>818</v>
      </c>
      <c r="I161" s="192">
        <v>1</v>
      </c>
      <c r="J161" s="192">
        <f>VLOOKUP($B161,'RBSA Weights'!$A$2:$C$1406,3,FALSE)</f>
        <v>1188.027</v>
      </c>
    </row>
    <row r="162" spans="1:10">
      <c r="A162" s="192">
        <v>724792</v>
      </c>
      <c r="B162" s="192">
        <v>11021</v>
      </c>
      <c r="C162" s="192" t="s">
        <v>815</v>
      </c>
      <c r="D162" s="192">
        <v>142</v>
      </c>
      <c r="E162" s="192" t="s">
        <v>816</v>
      </c>
      <c r="F162" s="192" t="s">
        <v>817</v>
      </c>
      <c r="G162" s="192">
        <v>0.44999998807907104</v>
      </c>
      <c r="H162" s="192" t="s">
        <v>818</v>
      </c>
      <c r="I162" s="192">
        <v>1</v>
      </c>
      <c r="J162" s="192">
        <f>VLOOKUP($B162,'RBSA Weights'!$A$2:$C$1406,3,FALSE)</f>
        <v>1464.694</v>
      </c>
    </row>
    <row r="163" spans="1:10">
      <c r="A163" s="192">
        <v>227258</v>
      </c>
      <c r="B163" s="192">
        <v>11030</v>
      </c>
      <c r="C163" s="192" t="s">
        <v>815</v>
      </c>
      <c r="D163" s="192">
        <v>107</v>
      </c>
      <c r="E163" s="192" t="s">
        <v>816</v>
      </c>
      <c r="F163" s="192" t="s">
        <v>821</v>
      </c>
      <c r="G163" s="192">
        <v>0.94999998807907104</v>
      </c>
      <c r="H163" s="192" t="s">
        <v>821</v>
      </c>
      <c r="I163" s="192">
        <v>1</v>
      </c>
      <c r="J163" s="192">
        <f>VLOOKUP($B163,'RBSA Weights'!$A$2:$C$1406,3,FALSE)</f>
        <v>1464.694</v>
      </c>
    </row>
    <row r="164" spans="1:10">
      <c r="A164" s="192">
        <v>31829</v>
      </c>
      <c r="B164" s="192">
        <v>11032</v>
      </c>
      <c r="C164" s="192" t="s">
        <v>815</v>
      </c>
      <c r="D164" s="192">
        <v>40</v>
      </c>
      <c r="E164" s="192" t="s">
        <v>819</v>
      </c>
      <c r="F164" s="192" t="s">
        <v>821</v>
      </c>
      <c r="G164" s="192">
        <v>0.75</v>
      </c>
      <c r="H164" s="192" t="s">
        <v>821</v>
      </c>
      <c r="I164" s="192">
        <v>1</v>
      </c>
      <c r="J164" s="192">
        <f>VLOOKUP($B164,'RBSA Weights'!$A$2:$C$1406,3,FALSE)</f>
        <v>1188.027</v>
      </c>
    </row>
    <row r="165" spans="1:10">
      <c r="A165" s="192">
        <v>33076</v>
      </c>
      <c r="B165" s="192">
        <v>11035</v>
      </c>
      <c r="C165" s="192" t="s">
        <v>815</v>
      </c>
      <c r="D165" s="192">
        <v>378</v>
      </c>
      <c r="E165" s="192" t="s">
        <v>816</v>
      </c>
      <c r="F165" s="192" t="s">
        <v>820</v>
      </c>
      <c r="G165" s="192">
        <v>0.85000002384185791</v>
      </c>
      <c r="H165" s="192" t="s">
        <v>820</v>
      </c>
      <c r="I165" s="192">
        <v>1</v>
      </c>
      <c r="J165" s="192">
        <f>VLOOKUP($B165,'RBSA Weights'!$A$2:$C$1406,3,FALSE)</f>
        <v>1150.8789999999999</v>
      </c>
    </row>
    <row r="166" spans="1:10">
      <c r="A166" s="192">
        <v>70858</v>
      </c>
      <c r="B166" s="192">
        <v>11041</v>
      </c>
      <c r="C166" s="192" t="s">
        <v>815</v>
      </c>
      <c r="D166" s="192">
        <v>266</v>
      </c>
      <c r="E166" s="192" t="s">
        <v>816</v>
      </c>
      <c r="F166" s="192" t="s">
        <v>817</v>
      </c>
      <c r="G166" s="192">
        <v>0.44999998807907104</v>
      </c>
      <c r="H166" s="192" t="s">
        <v>818</v>
      </c>
      <c r="I166" s="192">
        <v>1</v>
      </c>
      <c r="J166" s="192">
        <f>VLOOKUP($B166,'RBSA Weights'!$A$2:$C$1406,3,FALSE)</f>
        <v>1524.7619999999999</v>
      </c>
    </row>
    <row r="167" spans="1:10">
      <c r="A167" s="192">
        <v>29031</v>
      </c>
      <c r="B167" s="192">
        <v>11047</v>
      </c>
      <c r="C167" s="192" t="s">
        <v>815</v>
      </c>
      <c r="D167" s="192">
        <v>134</v>
      </c>
      <c r="E167" s="192" t="s">
        <v>816</v>
      </c>
      <c r="F167" s="192" t="s">
        <v>823</v>
      </c>
      <c r="G167" s="192">
        <v>1.1000000238418579</v>
      </c>
      <c r="H167" s="192" t="s">
        <v>823</v>
      </c>
      <c r="I167" s="192">
        <v>1</v>
      </c>
      <c r="J167" s="192">
        <f>VLOOKUP($B167,'RBSA Weights'!$A$2:$C$1406,3,FALSE)</f>
        <v>1524.7619999999999</v>
      </c>
    </row>
    <row r="168" spans="1:10">
      <c r="A168" s="192">
        <v>110465</v>
      </c>
      <c r="B168" s="192">
        <v>11048</v>
      </c>
      <c r="C168" s="192" t="s">
        <v>815</v>
      </c>
      <c r="D168" s="192">
        <v>332</v>
      </c>
      <c r="E168" s="192" t="s">
        <v>816</v>
      </c>
      <c r="F168" s="192" t="s">
        <v>820</v>
      </c>
      <c r="G168" s="192">
        <v>0.85000002384185791</v>
      </c>
      <c r="H168" s="192" t="s">
        <v>820</v>
      </c>
      <c r="I168" s="192">
        <v>1</v>
      </c>
      <c r="J168" s="192">
        <f>VLOOKUP($B168,'RBSA Weights'!$A$2:$C$1406,3,FALSE)</f>
        <v>1464.694</v>
      </c>
    </row>
    <row r="169" spans="1:10">
      <c r="A169" s="192">
        <v>159813</v>
      </c>
      <c r="B169" s="192">
        <v>11051</v>
      </c>
      <c r="C169" s="192" t="s">
        <v>815</v>
      </c>
      <c r="D169" s="192">
        <v>140</v>
      </c>
      <c r="E169" s="192" t="s">
        <v>816</v>
      </c>
      <c r="F169" s="192" t="s">
        <v>823</v>
      </c>
      <c r="G169" s="192">
        <v>1.1000000238418579</v>
      </c>
      <c r="H169" s="192" t="s">
        <v>823</v>
      </c>
      <c r="I169" s="192">
        <v>1</v>
      </c>
      <c r="J169" s="192">
        <f>VLOOKUP($B169,'RBSA Weights'!$A$2:$C$1406,3,FALSE)</f>
        <v>6932.7380000000003</v>
      </c>
    </row>
    <row r="170" spans="1:10">
      <c r="A170" s="192">
        <v>130969</v>
      </c>
      <c r="B170" s="192">
        <v>11054</v>
      </c>
      <c r="C170" s="192" t="s">
        <v>815</v>
      </c>
      <c r="D170" s="192">
        <v>531</v>
      </c>
      <c r="E170" s="192" t="s">
        <v>816</v>
      </c>
      <c r="F170" s="192" t="s">
        <v>820</v>
      </c>
      <c r="G170" s="192">
        <v>0.80000001192092896</v>
      </c>
      <c r="H170" s="192" t="s">
        <v>820</v>
      </c>
      <c r="I170" s="192">
        <v>1</v>
      </c>
      <c r="J170" s="192">
        <f>VLOOKUP($B170,'RBSA Weights'!$A$2:$C$1406,3,FALSE)</f>
        <v>2003.7159999999999</v>
      </c>
    </row>
    <row r="171" spans="1:10">
      <c r="A171" s="192">
        <v>802743</v>
      </c>
      <c r="B171" s="192">
        <v>11055</v>
      </c>
      <c r="C171" s="192" t="s">
        <v>815</v>
      </c>
      <c r="D171" s="192">
        <v>631</v>
      </c>
      <c r="E171" s="192" t="s">
        <v>816</v>
      </c>
      <c r="F171" s="192" t="s">
        <v>818</v>
      </c>
      <c r="G171" s="192">
        <v>0.55000001192092896</v>
      </c>
      <c r="H171" s="192" t="s">
        <v>818</v>
      </c>
      <c r="I171" s="192">
        <v>1</v>
      </c>
      <c r="J171" s="192">
        <f>VLOOKUP($B171,'RBSA Weights'!$A$2:$C$1406,3,FALSE)</f>
        <v>1464.694</v>
      </c>
    </row>
    <row r="172" spans="1:10">
      <c r="A172" s="192">
        <v>160482</v>
      </c>
      <c r="B172" s="192">
        <v>11061</v>
      </c>
      <c r="C172" s="192" t="s">
        <v>815</v>
      </c>
      <c r="D172" s="192">
        <v>273</v>
      </c>
      <c r="E172" s="192" t="s">
        <v>816</v>
      </c>
      <c r="F172" s="192" t="s">
        <v>817</v>
      </c>
      <c r="G172" s="192">
        <v>0.44999998807907104</v>
      </c>
      <c r="H172" s="192" t="s">
        <v>818</v>
      </c>
      <c r="I172" s="192">
        <v>1</v>
      </c>
      <c r="J172" s="192">
        <f>VLOOKUP($B172,'RBSA Weights'!$A$2:$C$1406,3,FALSE)</f>
        <v>6932.7380000000003</v>
      </c>
    </row>
    <row r="173" spans="1:10">
      <c r="A173" s="192">
        <v>91266</v>
      </c>
      <c r="B173" s="192">
        <v>11084</v>
      </c>
      <c r="C173" s="192" t="s">
        <v>815</v>
      </c>
      <c r="D173" s="192">
        <v>339</v>
      </c>
      <c r="E173" s="192" t="s">
        <v>816</v>
      </c>
      <c r="F173" s="192" t="s">
        <v>823</v>
      </c>
      <c r="G173" s="192">
        <v>1.1000000238418579</v>
      </c>
      <c r="H173" s="192" t="s">
        <v>823</v>
      </c>
      <c r="I173" s="192">
        <v>1</v>
      </c>
      <c r="J173" s="192">
        <f>VLOOKUP($B173,'RBSA Weights'!$A$2:$C$1406,3,FALSE)</f>
        <v>2003.7159999999999</v>
      </c>
    </row>
    <row r="174" spans="1:10">
      <c r="A174" s="192">
        <v>115090</v>
      </c>
      <c r="B174" s="192">
        <v>11086</v>
      </c>
      <c r="C174" s="192" t="s">
        <v>815</v>
      </c>
      <c r="D174" s="192">
        <v>353</v>
      </c>
      <c r="E174" s="192" t="s">
        <v>816</v>
      </c>
      <c r="F174" s="192" t="s">
        <v>818</v>
      </c>
      <c r="G174" s="192">
        <v>0.60000002384185791</v>
      </c>
      <c r="H174" s="192" t="s">
        <v>818</v>
      </c>
      <c r="I174" s="192">
        <v>1</v>
      </c>
      <c r="J174" s="192">
        <f>VLOOKUP($B174,'RBSA Weights'!$A$2:$C$1406,3,FALSE)</f>
        <v>4956.4930000000004</v>
      </c>
    </row>
    <row r="175" spans="1:10">
      <c r="A175" s="192">
        <v>72443</v>
      </c>
      <c r="B175" s="192">
        <v>11089</v>
      </c>
      <c r="C175" s="192" t="s">
        <v>815</v>
      </c>
      <c r="D175" s="192">
        <v>525</v>
      </c>
      <c r="E175" s="192" t="s">
        <v>816</v>
      </c>
      <c r="F175" s="192" t="s">
        <v>820</v>
      </c>
      <c r="G175" s="192">
        <v>0.85000002384185791</v>
      </c>
      <c r="H175" s="192" t="s">
        <v>820</v>
      </c>
      <c r="I175" s="192">
        <v>1</v>
      </c>
      <c r="J175" s="192">
        <f>VLOOKUP($B175,'RBSA Weights'!$A$2:$C$1406,3,FALSE)</f>
        <v>2003.7159999999999</v>
      </c>
    </row>
    <row r="176" spans="1:10">
      <c r="A176" s="192">
        <v>27103</v>
      </c>
      <c r="B176" s="192">
        <v>11094</v>
      </c>
      <c r="C176" s="192" t="s">
        <v>815</v>
      </c>
      <c r="D176" s="192">
        <v>219</v>
      </c>
      <c r="E176" s="192" t="s">
        <v>816</v>
      </c>
      <c r="F176" s="192" t="s">
        <v>817</v>
      </c>
      <c r="G176" s="192">
        <v>0.55000001192092896</v>
      </c>
      <c r="H176" s="192" t="s">
        <v>818</v>
      </c>
      <c r="I176" s="192">
        <v>1</v>
      </c>
      <c r="J176" s="192">
        <f>VLOOKUP($B176,'RBSA Weights'!$A$2:$C$1406,3,FALSE)</f>
        <v>1524.7619999999999</v>
      </c>
    </row>
    <row r="177" spans="1:10">
      <c r="A177" s="192">
        <v>56572</v>
      </c>
      <c r="B177" s="192">
        <v>11110</v>
      </c>
      <c r="C177" s="192" t="s">
        <v>815</v>
      </c>
      <c r="D177" s="192">
        <v>139</v>
      </c>
      <c r="E177" s="192" t="s">
        <v>816</v>
      </c>
      <c r="F177" s="192" t="s">
        <v>817</v>
      </c>
      <c r="G177" s="192">
        <v>0.55000001192092896</v>
      </c>
      <c r="H177" s="192" t="s">
        <v>818</v>
      </c>
      <c r="I177" s="192">
        <v>1</v>
      </c>
      <c r="J177" s="192">
        <f>VLOOKUP($B177,'RBSA Weights'!$A$2:$C$1406,3,FALSE)</f>
        <v>1188.027</v>
      </c>
    </row>
    <row r="178" spans="1:10">
      <c r="A178" s="192">
        <v>234274</v>
      </c>
      <c r="B178" s="192">
        <v>11118</v>
      </c>
      <c r="C178" s="192" t="s">
        <v>815</v>
      </c>
      <c r="D178" s="192">
        <v>221</v>
      </c>
      <c r="E178" s="192" t="s">
        <v>816</v>
      </c>
      <c r="F178" s="192" t="s">
        <v>817</v>
      </c>
      <c r="G178" s="192">
        <v>0.44999998807907104</v>
      </c>
      <c r="H178" s="192" t="s">
        <v>818</v>
      </c>
      <c r="I178" s="192">
        <v>1</v>
      </c>
      <c r="J178" s="192">
        <f>VLOOKUP($B178,'RBSA Weights'!$A$2:$C$1406,3,FALSE)</f>
        <v>1150.8789999999999</v>
      </c>
    </row>
    <row r="179" spans="1:10">
      <c r="A179" s="192">
        <v>72606</v>
      </c>
      <c r="B179" s="192">
        <v>11119</v>
      </c>
      <c r="C179" s="192" t="s">
        <v>815</v>
      </c>
      <c r="D179" s="192">
        <v>400</v>
      </c>
      <c r="E179" s="192" t="s">
        <v>816</v>
      </c>
      <c r="F179" s="192" t="s">
        <v>820</v>
      </c>
      <c r="G179" s="192">
        <v>0.85000002384185791</v>
      </c>
      <c r="H179" s="192" t="s">
        <v>820</v>
      </c>
      <c r="I179" s="192">
        <v>1</v>
      </c>
      <c r="J179" s="192">
        <f>VLOOKUP($B179,'RBSA Weights'!$A$2:$C$1406,3,FALSE)</f>
        <v>2003.7159999999999</v>
      </c>
    </row>
    <row r="180" spans="1:10">
      <c r="A180" s="192">
        <v>28511</v>
      </c>
      <c r="B180" s="192">
        <v>11138</v>
      </c>
      <c r="C180" s="192" t="s">
        <v>815</v>
      </c>
      <c r="D180" s="192">
        <v>337</v>
      </c>
      <c r="E180" s="192" t="s">
        <v>819</v>
      </c>
      <c r="F180" s="192" t="s">
        <v>821</v>
      </c>
      <c r="G180" s="192">
        <v>0.75</v>
      </c>
      <c r="H180" s="192" t="s">
        <v>821</v>
      </c>
      <c r="I180" s="192">
        <v>1</v>
      </c>
      <c r="J180" s="192">
        <f>VLOOKUP($B180,'RBSA Weights'!$A$2:$C$1406,3,FALSE)</f>
        <v>1524.7619999999999</v>
      </c>
    </row>
    <row r="181" spans="1:10">
      <c r="A181" s="192">
        <v>181601</v>
      </c>
      <c r="B181" s="192">
        <v>11145</v>
      </c>
      <c r="C181" s="192" t="s">
        <v>815</v>
      </c>
      <c r="D181" s="192">
        <v>193</v>
      </c>
      <c r="E181" s="192" t="s">
        <v>816</v>
      </c>
      <c r="F181" s="192" t="s">
        <v>820</v>
      </c>
      <c r="G181" s="192">
        <v>0.85000002384185791</v>
      </c>
      <c r="H181" s="192" t="s">
        <v>820</v>
      </c>
      <c r="I181" s="192">
        <v>1</v>
      </c>
      <c r="J181" s="192">
        <f>VLOOKUP($B181,'RBSA Weights'!$A$2:$C$1406,3,FALSE)</f>
        <v>4956.4930000000004</v>
      </c>
    </row>
    <row r="182" spans="1:10">
      <c r="A182" s="192">
        <v>174422</v>
      </c>
      <c r="B182" s="192">
        <v>11154</v>
      </c>
      <c r="C182" s="192" t="s">
        <v>815</v>
      </c>
      <c r="D182" s="192">
        <v>607</v>
      </c>
      <c r="E182" s="192" t="s">
        <v>816</v>
      </c>
      <c r="F182" s="192" t="s">
        <v>817</v>
      </c>
      <c r="G182" s="192">
        <v>0.44999998807907104</v>
      </c>
      <c r="H182" s="192" t="s">
        <v>818</v>
      </c>
      <c r="I182" s="192">
        <v>1</v>
      </c>
      <c r="J182" s="192">
        <f>VLOOKUP($B182,'RBSA Weights'!$A$2:$C$1406,3,FALSE)</f>
        <v>6932.7380000000003</v>
      </c>
    </row>
    <row r="183" spans="1:10">
      <c r="A183" s="192">
        <v>120917</v>
      </c>
      <c r="B183" s="192">
        <v>11163</v>
      </c>
      <c r="C183" s="192" t="s">
        <v>815</v>
      </c>
      <c r="D183" s="192">
        <v>169</v>
      </c>
      <c r="E183" s="192" t="s">
        <v>819</v>
      </c>
      <c r="F183" s="192" t="s">
        <v>817</v>
      </c>
      <c r="G183" s="192">
        <v>0.5</v>
      </c>
      <c r="H183" s="192" t="s">
        <v>818</v>
      </c>
      <c r="I183" s="192">
        <v>1</v>
      </c>
      <c r="J183" s="192">
        <f>VLOOKUP($B183,'RBSA Weights'!$A$2:$C$1406,3,FALSE)</f>
        <v>4956.4930000000004</v>
      </c>
    </row>
    <row r="184" spans="1:10">
      <c r="A184" s="192">
        <v>28386</v>
      </c>
      <c r="B184" s="192">
        <v>11178</v>
      </c>
      <c r="C184" s="192" t="s">
        <v>815</v>
      </c>
      <c r="D184" s="192">
        <v>154</v>
      </c>
      <c r="E184" s="192" t="s">
        <v>816</v>
      </c>
      <c r="F184" s="192" t="s">
        <v>820</v>
      </c>
      <c r="G184" s="192">
        <v>0.85000002384185791</v>
      </c>
      <c r="H184" s="192" t="s">
        <v>820</v>
      </c>
      <c r="I184" s="192">
        <v>1</v>
      </c>
      <c r="J184" s="192">
        <f>VLOOKUP($B184,'RBSA Weights'!$A$2:$C$1406,3,FALSE)</f>
        <v>1524.7619999999999</v>
      </c>
    </row>
    <row r="185" spans="1:10">
      <c r="A185" s="192">
        <v>41666</v>
      </c>
      <c r="B185" s="192">
        <v>11187</v>
      </c>
      <c r="C185" s="192" t="s">
        <v>815</v>
      </c>
      <c r="D185" s="192">
        <v>141</v>
      </c>
      <c r="E185" s="192" t="s">
        <v>816</v>
      </c>
      <c r="F185" s="192" t="s">
        <v>823</v>
      </c>
      <c r="G185" s="192">
        <v>1.1000000238418579</v>
      </c>
      <c r="H185" s="192" t="s">
        <v>823</v>
      </c>
      <c r="I185" s="192">
        <v>1</v>
      </c>
      <c r="J185" s="192">
        <f>VLOOKUP($B185,'RBSA Weights'!$A$2:$C$1406,3,FALSE)</f>
        <v>1524.7619999999999</v>
      </c>
    </row>
    <row r="186" spans="1:10">
      <c r="A186" s="192">
        <v>98820</v>
      </c>
      <c r="B186" s="192">
        <v>11194</v>
      </c>
      <c r="C186" s="192" t="s">
        <v>815</v>
      </c>
      <c r="D186" s="192">
        <v>149</v>
      </c>
      <c r="E186" s="192" t="s">
        <v>819</v>
      </c>
      <c r="F186" s="192" t="s">
        <v>817</v>
      </c>
      <c r="G186" s="192">
        <v>0.5</v>
      </c>
      <c r="H186" s="192" t="s">
        <v>818</v>
      </c>
      <c r="I186" s="192">
        <v>1</v>
      </c>
      <c r="J186" s="192">
        <f>VLOOKUP($B186,'RBSA Weights'!$A$2:$C$1406,3,FALSE)</f>
        <v>4956.4930000000004</v>
      </c>
    </row>
    <row r="187" spans="1:10">
      <c r="A187" s="192">
        <v>57049</v>
      </c>
      <c r="B187" s="192">
        <v>11210</v>
      </c>
      <c r="C187" s="192" t="s">
        <v>815</v>
      </c>
      <c r="D187" s="192">
        <v>285</v>
      </c>
      <c r="E187" s="192" t="s">
        <v>816</v>
      </c>
      <c r="F187" s="192" t="s">
        <v>820</v>
      </c>
      <c r="G187" s="192">
        <v>0.85000002384185791</v>
      </c>
      <c r="H187" s="192" t="s">
        <v>820</v>
      </c>
      <c r="I187" s="192">
        <v>1</v>
      </c>
      <c r="J187" s="192">
        <f>VLOOKUP($B187,'RBSA Weights'!$A$2:$C$1406,3,FALSE)</f>
        <v>1524.7619999999999</v>
      </c>
    </row>
    <row r="188" spans="1:10">
      <c r="A188" s="192">
        <v>104870</v>
      </c>
      <c r="B188" s="192">
        <v>11217</v>
      </c>
      <c r="C188" s="192" t="s">
        <v>815</v>
      </c>
      <c r="D188" s="192">
        <v>190</v>
      </c>
      <c r="E188" s="192" t="s">
        <v>816</v>
      </c>
      <c r="F188" s="192" t="s">
        <v>818</v>
      </c>
      <c r="G188" s="192">
        <v>0.60000002384185791</v>
      </c>
      <c r="H188" s="192" t="s">
        <v>818</v>
      </c>
      <c r="I188" s="192">
        <v>1</v>
      </c>
      <c r="J188" s="192">
        <f>VLOOKUP($B188,'RBSA Weights'!$A$2:$C$1406,3,FALSE)</f>
        <v>4956.4930000000004</v>
      </c>
    </row>
    <row r="189" spans="1:10">
      <c r="A189" s="192">
        <v>720710</v>
      </c>
      <c r="B189" s="192">
        <v>11219</v>
      </c>
      <c r="C189" s="192" t="s">
        <v>815</v>
      </c>
      <c r="D189" s="192">
        <v>130</v>
      </c>
      <c r="E189" s="192" t="s">
        <v>816</v>
      </c>
      <c r="F189" s="192" t="s">
        <v>817</v>
      </c>
      <c r="G189" s="192">
        <v>0.44999998807907104</v>
      </c>
      <c r="H189" s="192" t="s">
        <v>818</v>
      </c>
      <c r="I189" s="192">
        <v>1</v>
      </c>
      <c r="J189" s="192">
        <f>VLOOKUP($B189,'RBSA Weights'!$A$2:$C$1406,3,FALSE)</f>
        <v>4956.4930000000004</v>
      </c>
    </row>
    <row r="190" spans="1:10">
      <c r="A190" s="192">
        <v>160611</v>
      </c>
      <c r="B190" s="192">
        <v>11221</v>
      </c>
      <c r="C190" s="192" t="s">
        <v>815</v>
      </c>
      <c r="D190" s="192">
        <v>195</v>
      </c>
      <c r="E190" s="192" t="s">
        <v>816</v>
      </c>
      <c r="F190" s="192" t="s">
        <v>817</v>
      </c>
      <c r="G190" s="192">
        <v>0.55000001192092896</v>
      </c>
      <c r="H190" s="192" t="s">
        <v>818</v>
      </c>
      <c r="I190" s="192">
        <v>1</v>
      </c>
      <c r="J190" s="192">
        <f>VLOOKUP($B190,'RBSA Weights'!$A$2:$C$1406,3,FALSE)</f>
        <v>6932.7380000000003</v>
      </c>
    </row>
    <row r="191" spans="1:10">
      <c r="A191" s="192">
        <v>109479</v>
      </c>
      <c r="B191" s="192">
        <v>11222</v>
      </c>
      <c r="C191" s="192" t="s">
        <v>815</v>
      </c>
      <c r="D191" s="192">
        <v>122</v>
      </c>
      <c r="E191" s="192" t="s">
        <v>819</v>
      </c>
      <c r="F191" s="192" t="s">
        <v>821</v>
      </c>
      <c r="G191" s="192">
        <v>0.75</v>
      </c>
      <c r="H191" s="192" t="s">
        <v>821</v>
      </c>
      <c r="I191" s="192">
        <v>1</v>
      </c>
      <c r="J191" s="192">
        <f>VLOOKUP($B191,'RBSA Weights'!$A$2:$C$1406,3,FALSE)</f>
        <v>4956.4930000000004</v>
      </c>
    </row>
    <row r="192" spans="1:10">
      <c r="A192" s="192">
        <v>125935</v>
      </c>
      <c r="B192" s="192">
        <v>11233</v>
      </c>
      <c r="C192" s="192" t="s">
        <v>815</v>
      </c>
      <c r="D192" s="192">
        <v>191</v>
      </c>
      <c r="E192" s="192" t="s">
        <v>816</v>
      </c>
      <c r="F192" s="192" t="s">
        <v>817</v>
      </c>
      <c r="G192" s="192">
        <v>0.44999998807907104</v>
      </c>
      <c r="H192" s="192" t="s">
        <v>818</v>
      </c>
      <c r="I192" s="192">
        <v>1</v>
      </c>
      <c r="J192" s="192">
        <f>VLOOKUP($B192,'RBSA Weights'!$A$2:$C$1406,3,FALSE)</f>
        <v>4956.4930000000004</v>
      </c>
    </row>
    <row r="193" spans="1:10">
      <c r="A193" s="192">
        <v>91552</v>
      </c>
      <c r="B193" s="192">
        <v>11236</v>
      </c>
      <c r="C193" s="192" t="s">
        <v>815</v>
      </c>
      <c r="D193" s="192">
        <v>213</v>
      </c>
      <c r="E193" s="192" t="s">
        <v>816</v>
      </c>
      <c r="F193" s="192" t="s">
        <v>817</v>
      </c>
      <c r="G193" s="192">
        <v>0.55000001192092896</v>
      </c>
      <c r="H193" s="192" t="s">
        <v>818</v>
      </c>
      <c r="I193" s="192">
        <v>1</v>
      </c>
      <c r="J193" s="192">
        <f>VLOOKUP($B193,'RBSA Weights'!$A$2:$C$1406,3,FALSE)</f>
        <v>4956.4930000000004</v>
      </c>
    </row>
    <row r="194" spans="1:10">
      <c r="A194" s="192">
        <v>114415</v>
      </c>
      <c r="B194" s="192">
        <v>11246</v>
      </c>
      <c r="C194" s="192" t="s">
        <v>815</v>
      </c>
      <c r="D194" s="192">
        <v>240</v>
      </c>
      <c r="E194" s="192" t="s">
        <v>819</v>
      </c>
      <c r="F194" s="192" t="s">
        <v>817</v>
      </c>
      <c r="G194" s="192">
        <v>0.40000000596046448</v>
      </c>
      <c r="H194" s="192" t="s">
        <v>818</v>
      </c>
      <c r="I194" s="192">
        <v>1</v>
      </c>
      <c r="J194" s="192">
        <f>VLOOKUP($B194,'RBSA Weights'!$A$2:$C$1406,3,FALSE)</f>
        <v>1524.7619999999999</v>
      </c>
    </row>
    <row r="195" spans="1:10">
      <c r="A195" s="192">
        <v>47817</v>
      </c>
      <c r="B195" s="192">
        <v>11273</v>
      </c>
      <c r="C195" s="192" t="s">
        <v>815</v>
      </c>
      <c r="D195" s="192">
        <v>160</v>
      </c>
      <c r="E195" s="192" t="s">
        <v>816</v>
      </c>
      <c r="F195" s="192" t="s">
        <v>821</v>
      </c>
      <c r="G195" s="192">
        <v>0.94999998807907104</v>
      </c>
      <c r="H195" s="192" t="s">
        <v>821</v>
      </c>
      <c r="I195" s="192">
        <v>1</v>
      </c>
      <c r="J195" s="192">
        <f>VLOOKUP($B195,'RBSA Weights'!$A$2:$C$1406,3,FALSE)</f>
        <v>1524.7619999999999</v>
      </c>
    </row>
    <row r="196" spans="1:10">
      <c r="A196" s="192">
        <v>201217</v>
      </c>
      <c r="B196" s="192">
        <v>11282</v>
      </c>
      <c r="C196" s="192" t="s">
        <v>815</v>
      </c>
      <c r="D196" s="192">
        <v>188</v>
      </c>
      <c r="E196" s="192" t="s">
        <v>816</v>
      </c>
      <c r="F196" s="192" t="s">
        <v>817</v>
      </c>
      <c r="G196" s="192">
        <v>0.44999998807907104</v>
      </c>
      <c r="H196" s="192" t="s">
        <v>818</v>
      </c>
      <c r="I196" s="192">
        <v>1</v>
      </c>
      <c r="J196" s="192">
        <f>VLOOKUP($B196,'RBSA Weights'!$A$2:$C$1406,3,FALSE)</f>
        <v>6932.7380000000003</v>
      </c>
    </row>
    <row r="197" spans="1:10">
      <c r="A197" s="192">
        <v>159652</v>
      </c>
      <c r="B197" s="192">
        <v>11283</v>
      </c>
      <c r="C197" s="192" t="s">
        <v>815</v>
      </c>
      <c r="D197" s="192">
        <v>394</v>
      </c>
      <c r="E197" s="192" t="s">
        <v>816</v>
      </c>
      <c r="F197" s="192" t="s">
        <v>817</v>
      </c>
      <c r="G197" s="192">
        <v>0.44999998807907104</v>
      </c>
      <c r="H197" s="192" t="s">
        <v>818</v>
      </c>
      <c r="I197" s="192">
        <v>1</v>
      </c>
      <c r="J197" s="192">
        <f>VLOOKUP($B197,'RBSA Weights'!$A$2:$C$1406,3,FALSE)</f>
        <v>6932.7380000000003</v>
      </c>
    </row>
    <row r="198" spans="1:10">
      <c r="A198" s="192">
        <v>48493</v>
      </c>
      <c r="B198" s="192">
        <v>11284</v>
      </c>
      <c r="C198" s="192" t="s">
        <v>815</v>
      </c>
      <c r="D198" s="192">
        <v>225</v>
      </c>
      <c r="E198" s="192" t="s">
        <v>816</v>
      </c>
      <c r="F198" s="192" t="s">
        <v>818</v>
      </c>
      <c r="G198" s="192">
        <v>0.55000001192092896</v>
      </c>
      <c r="H198" s="192" t="s">
        <v>818</v>
      </c>
      <c r="I198" s="192">
        <v>1</v>
      </c>
      <c r="J198" s="192">
        <f>VLOOKUP($B198,'RBSA Weights'!$A$2:$C$1406,3,FALSE)</f>
        <v>1524.7619999999999</v>
      </c>
    </row>
    <row r="199" spans="1:10">
      <c r="A199" s="192">
        <v>58469</v>
      </c>
      <c r="B199" s="192">
        <v>11289</v>
      </c>
      <c r="C199" s="192" t="s">
        <v>815</v>
      </c>
      <c r="D199" s="192">
        <v>110</v>
      </c>
      <c r="E199" s="192" t="s">
        <v>816</v>
      </c>
      <c r="F199" s="192" t="s">
        <v>818</v>
      </c>
      <c r="G199" s="192">
        <v>0.55000001192092896</v>
      </c>
      <c r="H199" s="192" t="s">
        <v>818</v>
      </c>
      <c r="I199" s="192">
        <v>1</v>
      </c>
      <c r="J199" s="192">
        <f>VLOOKUP($B199,'RBSA Weights'!$A$2:$C$1406,3,FALSE)</f>
        <v>1524.7619999999999</v>
      </c>
    </row>
    <row r="200" spans="1:10">
      <c r="A200" s="192">
        <v>78421</v>
      </c>
      <c r="B200" s="192">
        <v>11302</v>
      </c>
      <c r="C200" s="192" t="s">
        <v>815</v>
      </c>
      <c r="D200" s="192">
        <v>330</v>
      </c>
      <c r="E200" s="192" t="s">
        <v>819</v>
      </c>
      <c r="F200" s="192" t="s">
        <v>821</v>
      </c>
      <c r="G200" s="192">
        <v>0.75</v>
      </c>
      <c r="H200" s="192" t="s">
        <v>821</v>
      </c>
      <c r="I200" s="192">
        <v>1</v>
      </c>
      <c r="J200" s="192">
        <f>VLOOKUP($B200,'RBSA Weights'!$A$2:$C$1406,3,FALSE)</f>
        <v>1524.7619999999999</v>
      </c>
    </row>
    <row r="201" spans="1:10">
      <c r="A201" s="192">
        <v>55981</v>
      </c>
      <c r="B201" s="192">
        <v>11315</v>
      </c>
      <c r="C201" s="192" t="s">
        <v>815</v>
      </c>
      <c r="D201" s="192">
        <v>235</v>
      </c>
      <c r="E201" s="192" t="s">
        <v>816</v>
      </c>
      <c r="F201" s="192" t="s">
        <v>818</v>
      </c>
      <c r="G201" s="192">
        <v>0.60000002384185791</v>
      </c>
      <c r="H201" s="192" t="s">
        <v>818</v>
      </c>
      <c r="I201" s="192">
        <v>1</v>
      </c>
      <c r="J201" s="192">
        <f>VLOOKUP($B201,'RBSA Weights'!$A$2:$C$1406,3,FALSE)</f>
        <v>1188.027</v>
      </c>
    </row>
    <row r="202" spans="1:10">
      <c r="A202" s="192">
        <v>147905</v>
      </c>
      <c r="B202" s="192">
        <v>11317</v>
      </c>
      <c r="C202" s="192" t="s">
        <v>815</v>
      </c>
      <c r="D202" s="192">
        <v>184</v>
      </c>
      <c r="E202" s="192" t="s">
        <v>816</v>
      </c>
      <c r="F202" s="192" t="s">
        <v>817</v>
      </c>
      <c r="G202" s="192">
        <v>0.44999998807907104</v>
      </c>
      <c r="H202" s="192" t="s">
        <v>818</v>
      </c>
      <c r="I202" s="192">
        <v>1</v>
      </c>
      <c r="J202" s="192">
        <f>VLOOKUP($B202,'RBSA Weights'!$A$2:$C$1406,3,FALSE)</f>
        <v>6932.7380000000003</v>
      </c>
    </row>
    <row r="203" spans="1:10">
      <c r="A203" s="192">
        <v>66852</v>
      </c>
      <c r="B203" s="192">
        <v>11323</v>
      </c>
      <c r="C203" s="192" t="s">
        <v>815</v>
      </c>
      <c r="D203" s="192">
        <v>302</v>
      </c>
      <c r="E203" s="192" t="s">
        <v>819</v>
      </c>
      <c r="F203" s="192" t="s">
        <v>818</v>
      </c>
      <c r="G203" s="192">
        <v>0.5</v>
      </c>
      <c r="H203" s="192" t="s">
        <v>818</v>
      </c>
      <c r="I203" s="192">
        <v>1</v>
      </c>
      <c r="J203" s="192">
        <f>VLOOKUP($B203,'RBSA Weights'!$A$2:$C$1406,3,FALSE)</f>
        <v>2003.7159999999999</v>
      </c>
    </row>
    <row r="204" spans="1:10">
      <c r="A204" s="192">
        <v>67175</v>
      </c>
      <c r="B204" s="192">
        <v>11327</v>
      </c>
      <c r="C204" s="192" t="s">
        <v>815</v>
      </c>
      <c r="D204" s="192">
        <v>160</v>
      </c>
      <c r="E204" s="192" t="s">
        <v>819</v>
      </c>
      <c r="F204" s="192" t="s">
        <v>818</v>
      </c>
      <c r="G204" s="192">
        <v>0.5</v>
      </c>
      <c r="H204" s="192" t="s">
        <v>818</v>
      </c>
      <c r="I204" s="192">
        <v>1</v>
      </c>
      <c r="J204" s="192">
        <f>VLOOKUP($B204,'RBSA Weights'!$A$2:$C$1406,3,FALSE)</f>
        <v>2003.7159999999999</v>
      </c>
    </row>
    <row r="205" spans="1:10">
      <c r="A205" s="192">
        <v>196031</v>
      </c>
      <c r="B205" s="192">
        <v>11332</v>
      </c>
      <c r="C205" s="192" t="s">
        <v>815</v>
      </c>
      <c r="D205" s="192">
        <v>145</v>
      </c>
      <c r="E205" s="192" t="s">
        <v>816</v>
      </c>
      <c r="F205" s="192" t="s">
        <v>820</v>
      </c>
      <c r="G205" s="192">
        <v>0.85000002384185791</v>
      </c>
      <c r="H205" s="192" t="s">
        <v>820</v>
      </c>
      <c r="I205" s="192">
        <v>1</v>
      </c>
      <c r="J205" s="192">
        <f>VLOOKUP($B205,'RBSA Weights'!$A$2:$C$1406,3,FALSE)</f>
        <v>4956.4930000000004</v>
      </c>
    </row>
    <row r="206" spans="1:10">
      <c r="A206" s="192">
        <v>57177</v>
      </c>
      <c r="B206" s="192">
        <v>11339</v>
      </c>
      <c r="C206" s="192" t="s">
        <v>815</v>
      </c>
      <c r="D206" s="192">
        <v>170</v>
      </c>
      <c r="E206" s="192" t="s">
        <v>819</v>
      </c>
      <c r="F206" s="192" t="s">
        <v>821</v>
      </c>
      <c r="G206" s="192">
        <v>0.75</v>
      </c>
      <c r="H206" s="192" t="s">
        <v>821</v>
      </c>
      <c r="I206" s="192">
        <v>1</v>
      </c>
      <c r="J206" s="192">
        <f>VLOOKUP($B206,'RBSA Weights'!$A$2:$C$1406,3,FALSE)</f>
        <v>1524.7619999999999</v>
      </c>
    </row>
    <row r="207" spans="1:10">
      <c r="A207" s="192">
        <v>122713</v>
      </c>
      <c r="B207" s="192">
        <v>11341</v>
      </c>
      <c r="C207" s="192" t="s">
        <v>815</v>
      </c>
      <c r="D207" s="192">
        <v>272</v>
      </c>
      <c r="E207" s="192" t="s">
        <v>816</v>
      </c>
      <c r="F207" s="192" t="s">
        <v>818</v>
      </c>
      <c r="G207" s="192">
        <v>0.60000002384185791</v>
      </c>
      <c r="H207" s="192" t="s">
        <v>818</v>
      </c>
      <c r="I207" s="192">
        <v>1</v>
      </c>
      <c r="J207" s="192">
        <f>VLOOKUP($B207,'RBSA Weights'!$A$2:$C$1406,3,FALSE)</f>
        <v>1464.694</v>
      </c>
    </row>
    <row r="208" spans="1:10">
      <c r="A208" s="192">
        <v>212739</v>
      </c>
      <c r="B208" s="192">
        <v>11342</v>
      </c>
      <c r="C208" s="192" t="s">
        <v>815</v>
      </c>
      <c r="D208" s="192">
        <v>283</v>
      </c>
      <c r="E208" s="192" t="s">
        <v>816</v>
      </c>
      <c r="F208" s="192" t="s">
        <v>820</v>
      </c>
      <c r="G208" s="192">
        <v>0.85000002384185791</v>
      </c>
      <c r="H208" s="192" t="s">
        <v>820</v>
      </c>
      <c r="I208" s="192">
        <v>1</v>
      </c>
      <c r="J208" s="192">
        <f>VLOOKUP($B208,'RBSA Weights'!$A$2:$C$1406,3,FALSE)</f>
        <v>4956.4930000000004</v>
      </c>
    </row>
    <row r="209" spans="1:10">
      <c r="A209" s="192">
        <v>725078</v>
      </c>
      <c r="B209" s="192">
        <v>11346</v>
      </c>
      <c r="C209" s="192" t="s">
        <v>815</v>
      </c>
      <c r="D209" s="192">
        <v>163</v>
      </c>
      <c r="E209" s="192" t="s">
        <v>816</v>
      </c>
      <c r="F209" s="192" t="s">
        <v>818</v>
      </c>
      <c r="G209" s="192">
        <v>0.60000002384185791</v>
      </c>
      <c r="H209" s="192" t="s">
        <v>818</v>
      </c>
      <c r="I209" s="192">
        <v>1</v>
      </c>
      <c r="J209" s="192">
        <f>VLOOKUP($B209,'RBSA Weights'!$A$2:$C$1406,3,FALSE)</f>
        <v>4956.4930000000004</v>
      </c>
    </row>
    <row r="210" spans="1:10">
      <c r="A210" s="192">
        <v>105377</v>
      </c>
      <c r="B210" s="192">
        <v>11347</v>
      </c>
      <c r="C210" s="192" t="s">
        <v>815</v>
      </c>
      <c r="D210" s="192">
        <v>201</v>
      </c>
      <c r="E210" s="192" t="s">
        <v>819</v>
      </c>
      <c r="F210" s="192" t="s">
        <v>817</v>
      </c>
      <c r="G210" s="192">
        <v>0.40000000596046448</v>
      </c>
      <c r="H210" s="192" t="s">
        <v>818</v>
      </c>
      <c r="I210" s="192">
        <v>1</v>
      </c>
      <c r="J210" s="192">
        <f>VLOOKUP($B210,'RBSA Weights'!$A$2:$C$1406,3,FALSE)</f>
        <v>4956.4930000000004</v>
      </c>
    </row>
    <row r="211" spans="1:10">
      <c r="A211" s="192">
        <v>199232</v>
      </c>
      <c r="B211" s="192">
        <v>11349</v>
      </c>
      <c r="C211" s="192" t="s">
        <v>815</v>
      </c>
      <c r="D211" s="192">
        <v>167</v>
      </c>
      <c r="E211" s="192" t="s">
        <v>816</v>
      </c>
      <c r="F211" s="192" t="s">
        <v>817</v>
      </c>
      <c r="G211" s="192">
        <v>0.44999998807907104</v>
      </c>
      <c r="H211" s="192" t="s">
        <v>818</v>
      </c>
      <c r="I211" s="192">
        <v>1</v>
      </c>
      <c r="J211" s="192">
        <f>VLOOKUP($B211,'RBSA Weights'!$A$2:$C$1406,3,FALSE)</f>
        <v>4956.4930000000004</v>
      </c>
    </row>
    <row r="212" spans="1:10">
      <c r="A212" s="192">
        <v>190364</v>
      </c>
      <c r="B212" s="192">
        <v>11352</v>
      </c>
      <c r="C212" s="192" t="s">
        <v>815</v>
      </c>
      <c r="D212" s="192">
        <v>108</v>
      </c>
      <c r="E212" s="192" t="s">
        <v>816</v>
      </c>
      <c r="F212" s="192" t="s">
        <v>817</v>
      </c>
      <c r="G212" s="192">
        <v>0.55000001192092896</v>
      </c>
      <c r="H212" s="192" t="s">
        <v>818</v>
      </c>
      <c r="I212" s="192">
        <v>1</v>
      </c>
      <c r="J212" s="192">
        <f>VLOOKUP($B212,'RBSA Weights'!$A$2:$C$1406,3,FALSE)</f>
        <v>6932.7380000000003</v>
      </c>
    </row>
    <row r="213" spans="1:10">
      <c r="A213" s="192">
        <v>42854</v>
      </c>
      <c r="B213" s="192">
        <v>11375</v>
      </c>
      <c r="C213" s="192" t="s">
        <v>815</v>
      </c>
      <c r="D213" s="192">
        <v>238</v>
      </c>
      <c r="E213" s="192" t="s">
        <v>816</v>
      </c>
      <c r="F213" s="192" t="s">
        <v>817</v>
      </c>
      <c r="G213" s="192">
        <v>0.55000001192092896</v>
      </c>
      <c r="H213" s="192" t="s">
        <v>818</v>
      </c>
      <c r="I213" s="192">
        <v>1</v>
      </c>
      <c r="J213" s="192">
        <f>VLOOKUP($B213,'RBSA Weights'!$A$2:$C$1406,3,FALSE)</f>
        <v>1524.7619999999999</v>
      </c>
    </row>
    <row r="214" spans="1:10">
      <c r="A214" s="192">
        <v>86186</v>
      </c>
      <c r="B214" s="192">
        <v>11377</v>
      </c>
      <c r="C214" s="192" t="s">
        <v>815</v>
      </c>
      <c r="D214" s="192">
        <v>364</v>
      </c>
      <c r="E214" s="192" t="s">
        <v>816</v>
      </c>
      <c r="F214" s="192" t="s">
        <v>817</v>
      </c>
      <c r="G214" s="192">
        <v>0.55000001192092896</v>
      </c>
      <c r="H214" s="192" t="s">
        <v>818</v>
      </c>
      <c r="I214" s="192">
        <v>1</v>
      </c>
      <c r="J214" s="192">
        <f>VLOOKUP($B214,'RBSA Weights'!$A$2:$C$1406,3,FALSE)</f>
        <v>4956.4930000000004</v>
      </c>
    </row>
    <row r="215" spans="1:10">
      <c r="A215" s="192">
        <v>54762</v>
      </c>
      <c r="B215" s="192">
        <v>11409</v>
      </c>
      <c r="C215" s="192" t="s">
        <v>815</v>
      </c>
      <c r="D215" s="192">
        <v>198</v>
      </c>
      <c r="E215" s="192" t="s">
        <v>816</v>
      </c>
      <c r="F215" s="192" t="s">
        <v>817</v>
      </c>
      <c r="G215" s="192">
        <v>0.55000001192092896</v>
      </c>
      <c r="H215" s="192" t="s">
        <v>818</v>
      </c>
      <c r="I215" s="192">
        <v>1</v>
      </c>
      <c r="J215" s="192">
        <f>VLOOKUP($B215,'RBSA Weights'!$A$2:$C$1406,3,FALSE)</f>
        <v>1188.027</v>
      </c>
    </row>
    <row r="216" spans="1:10">
      <c r="A216" s="192">
        <v>197337</v>
      </c>
      <c r="B216" s="192">
        <v>11411</v>
      </c>
      <c r="C216" s="192" t="s">
        <v>815</v>
      </c>
      <c r="D216" s="192">
        <v>228</v>
      </c>
      <c r="E216" s="192" t="s">
        <v>816</v>
      </c>
      <c r="F216" s="192" t="s">
        <v>817</v>
      </c>
      <c r="G216" s="192">
        <v>0.44999998807907104</v>
      </c>
      <c r="H216" s="192" t="s">
        <v>818</v>
      </c>
      <c r="I216" s="192">
        <v>1</v>
      </c>
      <c r="J216" s="192">
        <f>VLOOKUP($B216,'RBSA Weights'!$A$2:$C$1406,3,FALSE)</f>
        <v>1464.694</v>
      </c>
    </row>
    <row r="217" spans="1:10">
      <c r="A217" s="192">
        <v>140860</v>
      </c>
      <c r="B217" s="192">
        <v>11414</v>
      </c>
      <c r="C217" s="192" t="s">
        <v>815</v>
      </c>
      <c r="D217" s="192">
        <v>321</v>
      </c>
      <c r="E217" s="192" t="s">
        <v>816</v>
      </c>
      <c r="F217" s="192" t="s">
        <v>818</v>
      </c>
      <c r="G217" s="192">
        <v>0.55000001192092896</v>
      </c>
      <c r="H217" s="192" t="s">
        <v>818</v>
      </c>
      <c r="I217" s="192">
        <v>1</v>
      </c>
      <c r="J217" s="192">
        <f>VLOOKUP($B217,'RBSA Weights'!$A$2:$C$1406,3,FALSE)</f>
        <v>4956.4930000000004</v>
      </c>
    </row>
    <row r="218" spans="1:10">
      <c r="A218" s="192">
        <v>62277</v>
      </c>
      <c r="B218" s="192">
        <v>11416</v>
      </c>
      <c r="C218" s="192" t="s">
        <v>815</v>
      </c>
      <c r="D218" s="192">
        <v>192</v>
      </c>
      <c r="E218" s="192" t="s">
        <v>816</v>
      </c>
      <c r="F218" s="192" t="s">
        <v>817</v>
      </c>
      <c r="G218" s="192">
        <v>0.44999998807907104</v>
      </c>
      <c r="H218" s="192" t="s">
        <v>818</v>
      </c>
      <c r="I218" s="192">
        <v>1</v>
      </c>
      <c r="J218" s="192">
        <f>VLOOKUP($B218,'RBSA Weights'!$A$2:$C$1406,3,FALSE)</f>
        <v>2003.7159999999999</v>
      </c>
    </row>
    <row r="219" spans="1:10">
      <c r="A219" s="192">
        <v>107170</v>
      </c>
      <c r="B219" s="192">
        <v>11417</v>
      </c>
      <c r="C219" s="192" t="s">
        <v>815</v>
      </c>
      <c r="D219" s="192">
        <v>182</v>
      </c>
      <c r="E219" s="192" t="s">
        <v>816</v>
      </c>
      <c r="F219" s="192" t="s">
        <v>820</v>
      </c>
      <c r="G219" s="192">
        <v>0.85000002384185791</v>
      </c>
      <c r="H219" s="192" t="s">
        <v>820</v>
      </c>
      <c r="I219" s="192">
        <v>1</v>
      </c>
      <c r="J219" s="192">
        <f>VLOOKUP($B219,'RBSA Weights'!$A$2:$C$1406,3,FALSE)</f>
        <v>4956.4930000000004</v>
      </c>
    </row>
    <row r="220" spans="1:10">
      <c r="A220" s="192">
        <v>687327</v>
      </c>
      <c r="B220" s="192">
        <v>11418</v>
      </c>
      <c r="C220" s="192" t="s">
        <v>815</v>
      </c>
      <c r="D220" s="192">
        <v>210</v>
      </c>
      <c r="E220" s="192" t="s">
        <v>816</v>
      </c>
      <c r="F220" s="192" t="s">
        <v>817</v>
      </c>
      <c r="G220" s="192">
        <v>0.44999998807907104</v>
      </c>
      <c r="H220" s="192" t="s">
        <v>818</v>
      </c>
      <c r="I220" s="192">
        <v>1</v>
      </c>
      <c r="J220" s="192">
        <f>VLOOKUP($B220,'RBSA Weights'!$A$2:$C$1406,3,FALSE)</f>
        <v>6932.7380000000003</v>
      </c>
    </row>
    <row r="221" spans="1:10">
      <c r="A221" s="192">
        <v>671583</v>
      </c>
      <c r="B221" s="192">
        <v>11420</v>
      </c>
      <c r="C221" s="192" t="s">
        <v>815</v>
      </c>
      <c r="D221" s="192">
        <v>154</v>
      </c>
      <c r="E221" s="192" t="s">
        <v>819</v>
      </c>
      <c r="F221" s="192" t="s">
        <v>821</v>
      </c>
      <c r="G221" s="192">
        <v>0.75</v>
      </c>
      <c r="H221" s="192" t="s">
        <v>821</v>
      </c>
      <c r="I221" s="192">
        <v>1</v>
      </c>
      <c r="J221" s="192">
        <f>VLOOKUP($B221,'RBSA Weights'!$A$2:$C$1406,3,FALSE)</f>
        <v>6932.7380000000003</v>
      </c>
    </row>
    <row r="222" spans="1:10">
      <c r="A222" s="192">
        <v>50815</v>
      </c>
      <c r="B222" s="192">
        <v>11437</v>
      </c>
      <c r="C222" s="192" t="s">
        <v>815</v>
      </c>
      <c r="D222" s="192">
        <v>265</v>
      </c>
      <c r="E222" s="192" t="s">
        <v>816</v>
      </c>
      <c r="F222" s="192" t="s">
        <v>817</v>
      </c>
      <c r="G222" s="192">
        <v>0.44999998807907104</v>
      </c>
      <c r="H222" s="192" t="s">
        <v>818</v>
      </c>
      <c r="I222" s="192">
        <v>1</v>
      </c>
      <c r="J222" s="192">
        <f>VLOOKUP($B222,'RBSA Weights'!$A$2:$C$1406,3,FALSE)</f>
        <v>1524.7619999999999</v>
      </c>
    </row>
    <row r="223" spans="1:10">
      <c r="A223" s="192">
        <v>189397</v>
      </c>
      <c r="B223" s="192">
        <v>11439</v>
      </c>
      <c r="C223" s="192" t="s">
        <v>815</v>
      </c>
      <c r="D223" s="192">
        <v>197</v>
      </c>
      <c r="E223" s="192" t="s">
        <v>816</v>
      </c>
      <c r="F223" s="192" t="s">
        <v>817</v>
      </c>
      <c r="G223" s="192">
        <v>0.44999998807907104</v>
      </c>
      <c r="H223" s="192" t="s">
        <v>818</v>
      </c>
      <c r="I223" s="192">
        <v>1</v>
      </c>
      <c r="J223" s="192">
        <f>VLOOKUP($B223,'RBSA Weights'!$A$2:$C$1406,3,FALSE)</f>
        <v>6932.7380000000003</v>
      </c>
    </row>
    <row r="224" spans="1:10">
      <c r="A224" s="192">
        <v>159202</v>
      </c>
      <c r="B224" s="192">
        <v>11452</v>
      </c>
      <c r="C224" s="192" t="s">
        <v>815</v>
      </c>
      <c r="D224" s="192">
        <v>592</v>
      </c>
      <c r="E224" s="192" t="s">
        <v>819</v>
      </c>
      <c r="F224" s="192" t="s">
        <v>821</v>
      </c>
      <c r="G224" s="192">
        <v>0.75</v>
      </c>
      <c r="H224" s="192" t="s">
        <v>821</v>
      </c>
      <c r="I224" s="192">
        <v>1</v>
      </c>
      <c r="J224" s="192">
        <f>VLOOKUP($B224,'RBSA Weights'!$A$2:$C$1406,3,FALSE)</f>
        <v>6932.7380000000003</v>
      </c>
    </row>
    <row r="225" spans="1:10">
      <c r="A225" s="192">
        <v>38694</v>
      </c>
      <c r="B225" s="192">
        <v>11467</v>
      </c>
      <c r="C225" s="192" t="s">
        <v>815</v>
      </c>
      <c r="D225" s="192">
        <v>421</v>
      </c>
      <c r="E225" s="192" t="s">
        <v>819</v>
      </c>
      <c r="F225" s="192" t="s">
        <v>824</v>
      </c>
      <c r="G225" s="192">
        <v>0.69999998807907104</v>
      </c>
      <c r="H225" s="192" t="s">
        <v>821</v>
      </c>
      <c r="I225" s="192">
        <v>1</v>
      </c>
      <c r="J225" s="192">
        <f>VLOOKUP($B225,'RBSA Weights'!$A$2:$C$1406,3,FALSE)</f>
        <v>1524.7619999999999</v>
      </c>
    </row>
    <row r="226" spans="1:10">
      <c r="A226" s="192">
        <v>84685</v>
      </c>
      <c r="B226" s="192">
        <v>11472</v>
      </c>
      <c r="C226" s="192" t="s">
        <v>815</v>
      </c>
      <c r="D226" s="192">
        <v>966</v>
      </c>
      <c r="E226" s="192" t="s">
        <v>816</v>
      </c>
      <c r="F226" s="192" t="s">
        <v>817</v>
      </c>
      <c r="G226" s="192">
        <v>0.55000001192092896</v>
      </c>
      <c r="H226" s="192" t="s">
        <v>818</v>
      </c>
      <c r="I226" s="192">
        <v>1</v>
      </c>
      <c r="J226" s="192">
        <f>VLOOKUP($B226,'RBSA Weights'!$A$2:$C$1406,3,FALSE)</f>
        <v>1524.7619999999999</v>
      </c>
    </row>
    <row r="227" spans="1:10">
      <c r="A227" s="192">
        <v>224471</v>
      </c>
      <c r="B227" s="192">
        <v>11475</v>
      </c>
      <c r="C227" s="192" t="s">
        <v>815</v>
      </c>
      <c r="D227" s="192">
        <v>306</v>
      </c>
      <c r="E227" s="192" t="s">
        <v>816</v>
      </c>
      <c r="F227" s="192" t="s">
        <v>817</v>
      </c>
      <c r="G227" s="192">
        <v>0.44999998807907104</v>
      </c>
      <c r="H227" s="192" t="s">
        <v>818</v>
      </c>
      <c r="I227" s="192">
        <v>1</v>
      </c>
      <c r="J227" s="192">
        <f>VLOOKUP($B227,'RBSA Weights'!$A$2:$C$1406,3,FALSE)</f>
        <v>6932.7380000000003</v>
      </c>
    </row>
    <row r="228" spans="1:10">
      <c r="A228" s="192">
        <v>60055</v>
      </c>
      <c r="B228" s="192">
        <v>11476</v>
      </c>
      <c r="C228" s="192" t="s">
        <v>815</v>
      </c>
      <c r="D228" s="192">
        <v>361</v>
      </c>
      <c r="E228" s="192" t="s">
        <v>816</v>
      </c>
      <c r="F228" s="192" t="s">
        <v>818</v>
      </c>
      <c r="G228" s="192">
        <v>0.60000002384185791</v>
      </c>
      <c r="H228" s="192" t="s">
        <v>818</v>
      </c>
      <c r="I228" s="192">
        <v>1</v>
      </c>
      <c r="J228" s="192">
        <f>VLOOKUP($B228,'RBSA Weights'!$A$2:$C$1406,3,FALSE)</f>
        <v>1524.7619999999999</v>
      </c>
    </row>
    <row r="229" spans="1:10">
      <c r="A229" s="192">
        <v>92725</v>
      </c>
      <c r="B229" s="192">
        <v>11478</v>
      </c>
      <c r="C229" s="192" t="s">
        <v>815</v>
      </c>
      <c r="D229" s="192">
        <v>245</v>
      </c>
      <c r="E229" s="192" t="s">
        <v>816</v>
      </c>
      <c r="F229" s="192" t="s">
        <v>817</v>
      </c>
      <c r="G229" s="192">
        <v>0.44999998807907104</v>
      </c>
      <c r="H229" s="192" t="s">
        <v>818</v>
      </c>
      <c r="I229" s="192">
        <v>1</v>
      </c>
      <c r="J229" s="192">
        <f>VLOOKUP($B229,'RBSA Weights'!$A$2:$C$1406,3,FALSE)</f>
        <v>2003.7159999999999</v>
      </c>
    </row>
    <row r="230" spans="1:10">
      <c r="A230" s="192">
        <v>37604</v>
      </c>
      <c r="B230" s="192">
        <v>11494</v>
      </c>
      <c r="C230" s="192" t="s">
        <v>815</v>
      </c>
      <c r="D230" s="192">
        <v>228</v>
      </c>
      <c r="E230" s="192" t="s">
        <v>816</v>
      </c>
      <c r="F230" s="192" t="s">
        <v>817</v>
      </c>
      <c r="G230" s="192">
        <v>0.55000001192092896</v>
      </c>
      <c r="H230" s="192" t="s">
        <v>818</v>
      </c>
      <c r="I230" s="192">
        <v>1</v>
      </c>
      <c r="J230" s="192">
        <f>VLOOKUP($B230,'RBSA Weights'!$A$2:$C$1406,3,FALSE)</f>
        <v>1524.7619999999999</v>
      </c>
    </row>
    <row r="231" spans="1:10">
      <c r="A231" s="192">
        <v>102521</v>
      </c>
      <c r="B231" s="192">
        <v>11496</v>
      </c>
      <c r="C231" s="192" t="s">
        <v>815</v>
      </c>
      <c r="D231" s="192">
        <v>279</v>
      </c>
      <c r="E231" s="192" t="s">
        <v>816</v>
      </c>
      <c r="F231" s="192" t="s">
        <v>821</v>
      </c>
      <c r="G231" s="192">
        <v>0.94999998807907104</v>
      </c>
      <c r="H231" s="192" t="s">
        <v>821</v>
      </c>
      <c r="I231" s="192">
        <v>1</v>
      </c>
      <c r="J231" s="192">
        <f>VLOOKUP($B231,'RBSA Weights'!$A$2:$C$1406,3,FALSE)</f>
        <v>4956.4930000000004</v>
      </c>
    </row>
    <row r="232" spans="1:10">
      <c r="A232" s="192">
        <v>54290</v>
      </c>
      <c r="B232" s="192">
        <v>11499</v>
      </c>
      <c r="C232" s="192" t="s">
        <v>815</v>
      </c>
      <c r="D232" s="192">
        <v>91</v>
      </c>
      <c r="E232" s="192" t="s">
        <v>816</v>
      </c>
      <c r="F232" s="192" t="s">
        <v>818</v>
      </c>
      <c r="G232" s="192">
        <v>0.60000002384185791</v>
      </c>
      <c r="H232" s="192" t="s">
        <v>818</v>
      </c>
      <c r="I232" s="192">
        <v>1</v>
      </c>
      <c r="J232" s="192">
        <f>VLOOKUP($B232,'RBSA Weights'!$A$2:$C$1406,3,FALSE)</f>
        <v>1188.027</v>
      </c>
    </row>
    <row r="233" spans="1:10">
      <c r="A233" s="192">
        <v>724536</v>
      </c>
      <c r="B233" s="192">
        <v>11503</v>
      </c>
      <c r="C233" s="192" t="s">
        <v>815</v>
      </c>
      <c r="D233" s="192">
        <v>108</v>
      </c>
      <c r="E233" s="192" t="s">
        <v>816</v>
      </c>
      <c r="F233" s="192" t="s">
        <v>817</v>
      </c>
      <c r="G233" s="192">
        <v>0.44999998807907104</v>
      </c>
      <c r="H233" s="192" t="s">
        <v>818</v>
      </c>
      <c r="I233" s="192">
        <v>1</v>
      </c>
      <c r="J233" s="192">
        <f>VLOOKUP($B233,'RBSA Weights'!$A$2:$C$1406,3,FALSE)</f>
        <v>1524.7619999999999</v>
      </c>
    </row>
    <row r="234" spans="1:10">
      <c r="A234" s="192">
        <v>219677</v>
      </c>
      <c r="B234" s="192">
        <v>11504</v>
      </c>
      <c r="C234" s="192" t="s">
        <v>815</v>
      </c>
      <c r="D234" s="192">
        <v>103</v>
      </c>
      <c r="E234" s="192" t="s">
        <v>816</v>
      </c>
      <c r="F234" s="192" t="s">
        <v>820</v>
      </c>
      <c r="G234" s="192">
        <v>0.85000002384185791</v>
      </c>
      <c r="H234" s="192" t="s">
        <v>820</v>
      </c>
      <c r="I234" s="192">
        <v>1</v>
      </c>
      <c r="J234" s="192">
        <f>VLOOKUP($B234,'RBSA Weights'!$A$2:$C$1406,3,FALSE)</f>
        <v>6932.7380000000003</v>
      </c>
    </row>
    <row r="235" spans="1:10">
      <c r="A235" s="192">
        <v>104021</v>
      </c>
      <c r="B235" s="192">
        <v>11512</v>
      </c>
      <c r="C235" s="192" t="s">
        <v>815</v>
      </c>
      <c r="D235" s="192">
        <v>69</v>
      </c>
      <c r="E235" s="192" t="s">
        <v>819</v>
      </c>
      <c r="F235" s="192" t="s">
        <v>817</v>
      </c>
      <c r="G235" s="192">
        <v>0.40000000596046448</v>
      </c>
      <c r="H235" s="192" t="s">
        <v>818</v>
      </c>
      <c r="I235" s="192">
        <v>1</v>
      </c>
      <c r="J235" s="192">
        <f>VLOOKUP($B235,'RBSA Weights'!$A$2:$C$1406,3,FALSE)</f>
        <v>2003.7159999999999</v>
      </c>
    </row>
    <row r="236" spans="1:10">
      <c r="A236" s="192">
        <v>102724</v>
      </c>
      <c r="B236" s="192">
        <v>11516</v>
      </c>
      <c r="C236" s="192" t="s">
        <v>815</v>
      </c>
      <c r="D236" s="192">
        <v>142</v>
      </c>
      <c r="E236" s="192" t="s">
        <v>816</v>
      </c>
      <c r="F236" s="192" t="s">
        <v>820</v>
      </c>
      <c r="G236" s="192">
        <v>0.80000001192092896</v>
      </c>
      <c r="H236" s="192" t="s">
        <v>820</v>
      </c>
      <c r="I236" s="192">
        <v>1</v>
      </c>
      <c r="J236" s="192">
        <f>VLOOKUP($B236,'RBSA Weights'!$A$2:$C$1406,3,FALSE)</f>
        <v>4956.4930000000004</v>
      </c>
    </row>
    <row r="237" spans="1:10">
      <c r="A237" s="192">
        <v>89366</v>
      </c>
      <c r="B237" s="192">
        <v>11520</v>
      </c>
      <c r="C237" s="192" t="s">
        <v>815</v>
      </c>
      <c r="D237" s="192">
        <v>88</v>
      </c>
      <c r="E237" s="192" t="s">
        <v>816</v>
      </c>
      <c r="F237" s="192" t="s">
        <v>817</v>
      </c>
      <c r="G237" s="192">
        <v>0.44999998807907104</v>
      </c>
      <c r="H237" s="192" t="s">
        <v>818</v>
      </c>
      <c r="I237" s="192">
        <v>1</v>
      </c>
      <c r="J237" s="192">
        <f>VLOOKUP($B237,'RBSA Weights'!$A$2:$C$1406,3,FALSE)</f>
        <v>2003.7159999999999</v>
      </c>
    </row>
    <row r="238" spans="1:10">
      <c r="A238" s="192">
        <v>102638</v>
      </c>
      <c r="B238" s="192">
        <v>11531</v>
      </c>
      <c r="C238" s="192" t="s">
        <v>815</v>
      </c>
      <c r="D238" s="192">
        <v>187</v>
      </c>
      <c r="E238" s="192" t="s">
        <v>816</v>
      </c>
      <c r="F238" s="192" t="s">
        <v>818</v>
      </c>
      <c r="G238" s="192">
        <v>0.60000002384185791</v>
      </c>
      <c r="H238" s="192" t="s">
        <v>818</v>
      </c>
      <c r="I238" s="192">
        <v>1</v>
      </c>
      <c r="J238" s="192">
        <f>VLOOKUP($B238,'RBSA Weights'!$A$2:$C$1406,3,FALSE)</f>
        <v>4956.4930000000004</v>
      </c>
    </row>
    <row r="239" spans="1:10">
      <c r="A239" s="192">
        <v>73765</v>
      </c>
      <c r="B239" s="192">
        <v>11533</v>
      </c>
      <c r="C239" s="192" t="s">
        <v>815</v>
      </c>
      <c r="D239" s="192">
        <v>234</v>
      </c>
      <c r="E239" s="192" t="s">
        <v>816</v>
      </c>
      <c r="F239" s="192" t="s">
        <v>820</v>
      </c>
      <c r="G239" s="192">
        <v>0.85000002384185791</v>
      </c>
      <c r="H239" s="192" t="s">
        <v>820</v>
      </c>
      <c r="I239" s="192">
        <v>1</v>
      </c>
      <c r="J239" s="192">
        <f>VLOOKUP($B239,'RBSA Weights'!$A$2:$C$1406,3,FALSE)</f>
        <v>2003.7159999999999</v>
      </c>
    </row>
    <row r="240" spans="1:10">
      <c r="A240" s="192">
        <v>32608</v>
      </c>
      <c r="B240" s="192">
        <v>11535</v>
      </c>
      <c r="C240" s="192" t="s">
        <v>815</v>
      </c>
      <c r="D240" s="192">
        <v>182</v>
      </c>
      <c r="E240" s="192" t="s">
        <v>816</v>
      </c>
      <c r="F240" s="192" t="s">
        <v>817</v>
      </c>
      <c r="G240" s="192">
        <v>0.44999998807907104</v>
      </c>
      <c r="H240" s="192" t="s">
        <v>818</v>
      </c>
      <c r="I240" s="192">
        <v>1</v>
      </c>
      <c r="J240" s="192">
        <f>VLOOKUP($B240,'RBSA Weights'!$A$2:$C$1406,3,FALSE)</f>
        <v>1524.7619999999999</v>
      </c>
    </row>
    <row r="241" spans="1:10">
      <c r="A241" s="192">
        <v>46087</v>
      </c>
      <c r="B241" s="192">
        <v>11536</v>
      </c>
      <c r="C241" s="192" t="s">
        <v>815</v>
      </c>
      <c r="D241" s="192">
        <v>107</v>
      </c>
      <c r="E241" s="192" t="s">
        <v>816</v>
      </c>
      <c r="F241" s="192" t="s">
        <v>817</v>
      </c>
      <c r="G241" s="192">
        <v>0.55000001192092896</v>
      </c>
      <c r="H241" s="192" t="s">
        <v>818</v>
      </c>
      <c r="I241" s="192">
        <v>1</v>
      </c>
      <c r="J241" s="192">
        <f>VLOOKUP($B241,'RBSA Weights'!$A$2:$C$1406,3,FALSE)</f>
        <v>1188.027</v>
      </c>
    </row>
    <row r="242" spans="1:10">
      <c r="A242" s="192">
        <v>64407</v>
      </c>
      <c r="B242" s="192">
        <v>11539</v>
      </c>
      <c r="C242" s="192" t="s">
        <v>815</v>
      </c>
      <c r="D242" s="192">
        <v>151</v>
      </c>
      <c r="E242" s="192" t="s">
        <v>816</v>
      </c>
      <c r="F242" s="192" t="s">
        <v>820</v>
      </c>
      <c r="G242" s="192">
        <v>0.85000002384185791</v>
      </c>
      <c r="H242" s="192" t="s">
        <v>820</v>
      </c>
      <c r="I242" s="192">
        <v>1</v>
      </c>
      <c r="J242" s="192">
        <f>VLOOKUP($B242,'RBSA Weights'!$A$2:$C$1406,3,FALSE)</f>
        <v>2003.7159999999999</v>
      </c>
    </row>
    <row r="243" spans="1:10">
      <c r="A243" s="192">
        <v>212964</v>
      </c>
      <c r="B243" s="192">
        <v>11544</v>
      </c>
      <c r="C243" s="192" t="s">
        <v>815</v>
      </c>
      <c r="D243" s="192">
        <v>137</v>
      </c>
      <c r="E243" s="192" t="s">
        <v>816</v>
      </c>
      <c r="F243" s="192" t="s">
        <v>820</v>
      </c>
      <c r="G243" s="192">
        <v>0.85000002384185791</v>
      </c>
      <c r="H243" s="192" t="s">
        <v>820</v>
      </c>
      <c r="I243" s="192">
        <v>1</v>
      </c>
      <c r="J243" s="192">
        <f>VLOOKUP($B243,'RBSA Weights'!$A$2:$C$1406,3,FALSE)</f>
        <v>4956.4930000000004</v>
      </c>
    </row>
    <row r="244" spans="1:10">
      <c r="A244" s="192">
        <v>39324</v>
      </c>
      <c r="B244" s="192">
        <v>11549</v>
      </c>
      <c r="C244" s="192" t="s">
        <v>815</v>
      </c>
      <c r="D244" s="192">
        <v>128</v>
      </c>
      <c r="E244" s="192" t="s">
        <v>816</v>
      </c>
      <c r="F244" s="192" t="s">
        <v>818</v>
      </c>
      <c r="G244" s="192">
        <v>0.60000002384185791</v>
      </c>
      <c r="H244" s="192" t="s">
        <v>818</v>
      </c>
      <c r="I244" s="192">
        <v>1</v>
      </c>
      <c r="J244" s="192">
        <f>VLOOKUP($B244,'RBSA Weights'!$A$2:$C$1406,3,FALSE)</f>
        <v>1524.7619999999999</v>
      </c>
    </row>
    <row r="245" spans="1:10">
      <c r="A245" s="192">
        <v>196498</v>
      </c>
      <c r="B245" s="192">
        <v>11552</v>
      </c>
      <c r="C245" s="192" t="s">
        <v>815</v>
      </c>
      <c r="D245" s="192">
        <v>181</v>
      </c>
      <c r="E245" s="192" t="s">
        <v>816</v>
      </c>
      <c r="F245" s="192" t="s">
        <v>817</v>
      </c>
      <c r="G245" s="192">
        <v>0.55000001192092896</v>
      </c>
      <c r="H245" s="192" t="s">
        <v>818</v>
      </c>
      <c r="I245" s="192">
        <v>1</v>
      </c>
      <c r="J245" s="192">
        <f>VLOOKUP($B245,'RBSA Weights'!$A$2:$C$1406,3,FALSE)</f>
        <v>1464.694</v>
      </c>
    </row>
    <row r="246" spans="1:10">
      <c r="A246" s="192">
        <v>93023</v>
      </c>
      <c r="B246" s="192">
        <v>11555</v>
      </c>
      <c r="C246" s="192" t="s">
        <v>815</v>
      </c>
      <c r="D246" s="192">
        <v>195</v>
      </c>
      <c r="E246" s="192" t="s">
        <v>819</v>
      </c>
      <c r="F246" s="192" t="s">
        <v>823</v>
      </c>
      <c r="G246" s="192">
        <v>0.85000002384185791</v>
      </c>
      <c r="H246" s="192" t="s">
        <v>823</v>
      </c>
      <c r="I246" s="192">
        <v>1</v>
      </c>
      <c r="J246" s="192">
        <f>VLOOKUP($B246,'RBSA Weights'!$A$2:$C$1406,3,FALSE)</f>
        <v>2003.7159999999999</v>
      </c>
    </row>
    <row r="247" spans="1:10">
      <c r="A247" s="192">
        <v>105081</v>
      </c>
      <c r="B247" s="192">
        <v>11574</v>
      </c>
      <c r="C247" s="192" t="s">
        <v>815</v>
      </c>
      <c r="D247" s="192">
        <v>742</v>
      </c>
      <c r="E247" s="192" t="s">
        <v>816</v>
      </c>
      <c r="F247" s="192" t="s">
        <v>820</v>
      </c>
      <c r="G247" s="192">
        <v>0.80000001192092896</v>
      </c>
      <c r="H247" s="192" t="s">
        <v>820</v>
      </c>
      <c r="I247" s="192">
        <v>1</v>
      </c>
      <c r="J247" s="192">
        <f>VLOOKUP($B247,'RBSA Weights'!$A$2:$C$1406,3,FALSE)</f>
        <v>4956.4930000000004</v>
      </c>
    </row>
    <row r="248" spans="1:10">
      <c r="A248" s="192">
        <v>687436</v>
      </c>
      <c r="B248" s="192">
        <v>11585</v>
      </c>
      <c r="C248" s="192" t="s">
        <v>815</v>
      </c>
      <c r="D248" s="192">
        <v>135</v>
      </c>
      <c r="E248" s="192" t="s">
        <v>816</v>
      </c>
      <c r="F248" s="192" t="s">
        <v>817</v>
      </c>
      <c r="G248" s="192">
        <v>0.44999998807907104</v>
      </c>
      <c r="H248" s="192" t="s">
        <v>818</v>
      </c>
      <c r="I248" s="192">
        <v>1</v>
      </c>
      <c r="J248" s="192">
        <f>VLOOKUP($B248,'RBSA Weights'!$A$2:$C$1406,3,FALSE)</f>
        <v>1524.7619999999999</v>
      </c>
    </row>
    <row r="249" spans="1:10">
      <c r="A249" s="192">
        <v>233697</v>
      </c>
      <c r="B249" s="192">
        <v>11602</v>
      </c>
      <c r="C249" s="192" t="s">
        <v>815</v>
      </c>
      <c r="D249" s="192">
        <v>167</v>
      </c>
      <c r="E249" s="192" t="s">
        <v>819</v>
      </c>
      <c r="F249" s="192" t="s">
        <v>823</v>
      </c>
      <c r="G249" s="192">
        <v>0.85000002384185791</v>
      </c>
      <c r="H249" s="192" t="s">
        <v>823</v>
      </c>
      <c r="I249" s="192">
        <v>1</v>
      </c>
      <c r="J249" s="192">
        <f>VLOOKUP($B249,'RBSA Weights'!$A$2:$C$1406,3,FALSE)</f>
        <v>1150.8789999999999</v>
      </c>
    </row>
    <row r="250" spans="1:10">
      <c r="A250" s="192">
        <v>108898</v>
      </c>
      <c r="B250" s="192">
        <v>11633</v>
      </c>
      <c r="C250" s="192" t="s">
        <v>815</v>
      </c>
      <c r="D250" s="192">
        <v>256</v>
      </c>
      <c r="E250" s="192" t="s">
        <v>819</v>
      </c>
      <c r="F250" s="192" t="s">
        <v>818</v>
      </c>
      <c r="G250" s="192">
        <v>0.5</v>
      </c>
      <c r="H250" s="192" t="s">
        <v>818</v>
      </c>
      <c r="I250" s="192">
        <v>1</v>
      </c>
      <c r="J250" s="192">
        <f>VLOOKUP($B250,'RBSA Weights'!$A$2:$C$1406,3,FALSE)</f>
        <v>4956.4930000000004</v>
      </c>
    </row>
    <row r="251" spans="1:10">
      <c r="A251" s="192">
        <v>667106</v>
      </c>
      <c r="B251" s="192">
        <v>11636</v>
      </c>
      <c r="C251" s="192" t="s">
        <v>815</v>
      </c>
      <c r="D251" s="192">
        <v>117</v>
      </c>
      <c r="E251" s="192" t="s">
        <v>819</v>
      </c>
      <c r="F251" s="192" t="s">
        <v>821</v>
      </c>
      <c r="G251" s="192">
        <v>0.75</v>
      </c>
      <c r="H251" s="192" t="s">
        <v>821</v>
      </c>
      <c r="I251" s="192">
        <v>1</v>
      </c>
      <c r="J251" s="192">
        <f>VLOOKUP($B251,'RBSA Weights'!$A$2:$C$1406,3,FALSE)</f>
        <v>1464.694</v>
      </c>
    </row>
    <row r="252" spans="1:10">
      <c r="A252" s="192">
        <v>202976</v>
      </c>
      <c r="B252" s="192">
        <v>11639</v>
      </c>
      <c r="C252" s="192" t="s">
        <v>815</v>
      </c>
      <c r="D252" s="192">
        <v>437</v>
      </c>
      <c r="E252" s="192" t="s">
        <v>816</v>
      </c>
      <c r="F252" s="192" t="s">
        <v>821</v>
      </c>
      <c r="G252" s="192">
        <v>0.94999998807907104</v>
      </c>
      <c r="H252" s="192" t="s">
        <v>821</v>
      </c>
      <c r="I252" s="192">
        <v>1</v>
      </c>
      <c r="J252" s="192">
        <f>VLOOKUP($B252,'RBSA Weights'!$A$2:$C$1406,3,FALSE)</f>
        <v>1464.694</v>
      </c>
    </row>
    <row r="253" spans="1:10">
      <c r="A253" s="192">
        <v>34041</v>
      </c>
      <c r="B253" s="192">
        <v>11645</v>
      </c>
      <c r="C253" s="192" t="s">
        <v>815</v>
      </c>
      <c r="D253" s="192">
        <v>289</v>
      </c>
      <c r="E253" s="192" t="s">
        <v>816</v>
      </c>
      <c r="F253" s="192" t="s">
        <v>820</v>
      </c>
      <c r="G253" s="192">
        <v>0.85000002384185791</v>
      </c>
      <c r="H253" s="192" t="s">
        <v>820</v>
      </c>
      <c r="I253" s="192">
        <v>1</v>
      </c>
      <c r="J253" s="192">
        <f>VLOOKUP($B253,'RBSA Weights'!$A$2:$C$1406,3,FALSE)</f>
        <v>1524.7619999999999</v>
      </c>
    </row>
    <row r="254" spans="1:10">
      <c r="A254" s="192">
        <v>47190</v>
      </c>
      <c r="B254" s="192">
        <v>11653</v>
      </c>
      <c r="C254" s="192" t="s">
        <v>815</v>
      </c>
      <c r="D254" s="192">
        <v>333</v>
      </c>
      <c r="E254" s="192" t="s">
        <v>816</v>
      </c>
      <c r="F254" s="192" t="s">
        <v>818</v>
      </c>
      <c r="G254" s="192">
        <v>0.55000001192092896</v>
      </c>
      <c r="H254" s="192" t="s">
        <v>818</v>
      </c>
      <c r="I254" s="192">
        <v>1</v>
      </c>
      <c r="J254" s="192">
        <f>VLOOKUP($B254,'RBSA Weights'!$A$2:$C$1406,3,FALSE)</f>
        <v>1524.7619999999999</v>
      </c>
    </row>
    <row r="255" spans="1:10">
      <c r="A255" s="192">
        <v>58258</v>
      </c>
      <c r="B255" s="192">
        <v>11670</v>
      </c>
      <c r="C255" s="192" t="s">
        <v>815</v>
      </c>
      <c r="D255" s="192">
        <v>130</v>
      </c>
      <c r="E255" s="192" t="s">
        <v>816</v>
      </c>
      <c r="F255" s="192" t="s">
        <v>821</v>
      </c>
      <c r="G255" s="192">
        <v>0.94999998807907104</v>
      </c>
      <c r="H255" s="192" t="s">
        <v>821</v>
      </c>
      <c r="I255" s="192">
        <v>1</v>
      </c>
      <c r="J255" s="192">
        <f>VLOOKUP($B255,'RBSA Weights'!$A$2:$C$1406,3,FALSE)</f>
        <v>1524.7619999999999</v>
      </c>
    </row>
    <row r="256" spans="1:10">
      <c r="A256" s="192">
        <v>172715</v>
      </c>
      <c r="B256" s="192">
        <v>11675</v>
      </c>
      <c r="C256" s="192" t="s">
        <v>815</v>
      </c>
      <c r="D256" s="192">
        <v>327</v>
      </c>
      <c r="E256" s="192" t="s">
        <v>816</v>
      </c>
      <c r="F256" s="192" t="s">
        <v>817</v>
      </c>
      <c r="G256" s="192">
        <v>0.44999998807907104</v>
      </c>
      <c r="H256" s="192" t="s">
        <v>818</v>
      </c>
      <c r="I256" s="192">
        <v>1</v>
      </c>
      <c r="J256" s="192">
        <f>VLOOKUP($B256,'RBSA Weights'!$A$2:$C$1406,3,FALSE)</f>
        <v>6932.7380000000003</v>
      </c>
    </row>
    <row r="257" spans="1:10">
      <c r="A257" s="192">
        <v>47570</v>
      </c>
      <c r="B257" s="192">
        <v>11677</v>
      </c>
      <c r="C257" s="192" t="s">
        <v>815</v>
      </c>
      <c r="D257" s="192">
        <v>172</v>
      </c>
      <c r="E257" s="192" t="s">
        <v>819</v>
      </c>
      <c r="F257" s="192" t="s">
        <v>817</v>
      </c>
      <c r="G257" s="192">
        <v>0.40000000596046448</v>
      </c>
      <c r="H257" s="192" t="s">
        <v>818</v>
      </c>
      <c r="I257" s="192">
        <v>1</v>
      </c>
      <c r="J257" s="192">
        <f>VLOOKUP($B257,'RBSA Weights'!$A$2:$C$1406,3,FALSE)</f>
        <v>1524.7619999999999</v>
      </c>
    </row>
    <row r="258" spans="1:10">
      <c r="A258" s="192">
        <v>182731</v>
      </c>
      <c r="B258" s="192">
        <v>11679</v>
      </c>
      <c r="C258" s="192" t="s">
        <v>815</v>
      </c>
      <c r="D258" s="192">
        <v>416</v>
      </c>
      <c r="E258" s="192" t="s">
        <v>816</v>
      </c>
      <c r="F258" s="192" t="s">
        <v>817</v>
      </c>
      <c r="G258" s="192">
        <v>0.44999998807907104</v>
      </c>
      <c r="H258" s="192" t="s">
        <v>818</v>
      </c>
      <c r="I258" s="192">
        <v>1</v>
      </c>
      <c r="J258" s="192">
        <f>VLOOKUP($B258,'RBSA Weights'!$A$2:$C$1406,3,FALSE)</f>
        <v>6932.7380000000003</v>
      </c>
    </row>
    <row r="259" spans="1:10">
      <c r="A259" s="192">
        <v>85821</v>
      </c>
      <c r="B259" s="192">
        <v>11684</v>
      </c>
      <c r="C259" s="192" t="s">
        <v>815</v>
      </c>
      <c r="D259" s="192">
        <v>183</v>
      </c>
      <c r="E259" s="192" t="s">
        <v>816</v>
      </c>
      <c r="F259" s="192" t="s">
        <v>820</v>
      </c>
      <c r="G259" s="192">
        <v>0.85000002384185791</v>
      </c>
      <c r="H259" s="192" t="s">
        <v>820</v>
      </c>
      <c r="I259" s="192">
        <v>1</v>
      </c>
      <c r="J259" s="192">
        <f>VLOOKUP($B259,'RBSA Weights'!$A$2:$C$1406,3,FALSE)</f>
        <v>2003.7159999999999</v>
      </c>
    </row>
    <row r="260" spans="1:10">
      <c r="A260" s="192">
        <v>76346</v>
      </c>
      <c r="B260" s="192">
        <v>11702</v>
      </c>
      <c r="C260" s="192" t="s">
        <v>815</v>
      </c>
      <c r="D260" s="192">
        <v>130</v>
      </c>
      <c r="E260" s="192" t="s">
        <v>816</v>
      </c>
      <c r="F260" s="192" t="s">
        <v>818</v>
      </c>
      <c r="G260" s="192">
        <v>0.60000002384185791</v>
      </c>
      <c r="H260" s="192" t="s">
        <v>818</v>
      </c>
      <c r="I260" s="192">
        <v>1</v>
      </c>
      <c r="J260" s="192">
        <f>VLOOKUP($B260,'RBSA Weights'!$A$2:$C$1406,3,FALSE)</f>
        <v>2003.7159999999999</v>
      </c>
    </row>
    <row r="261" spans="1:10">
      <c r="A261" s="192">
        <v>823429</v>
      </c>
      <c r="B261" s="192">
        <v>11705</v>
      </c>
      <c r="C261" s="192" t="s">
        <v>815</v>
      </c>
      <c r="D261" s="192">
        <v>160</v>
      </c>
      <c r="E261" s="192" t="s">
        <v>816</v>
      </c>
      <c r="F261" s="192" t="s">
        <v>818</v>
      </c>
      <c r="G261" s="192">
        <v>0.55000001192092896</v>
      </c>
      <c r="H261" s="192" t="s">
        <v>818</v>
      </c>
      <c r="I261" s="192">
        <v>1</v>
      </c>
      <c r="J261" s="192">
        <f>VLOOKUP($B261,'RBSA Weights'!$A$2:$C$1406,3,FALSE)</f>
        <v>1464.694</v>
      </c>
    </row>
    <row r="262" spans="1:10">
      <c r="A262" s="192">
        <v>99247</v>
      </c>
      <c r="B262" s="192">
        <v>11713</v>
      </c>
      <c r="C262" s="192" t="s">
        <v>815</v>
      </c>
      <c r="D262" s="192">
        <v>230</v>
      </c>
      <c r="E262" s="192" t="s">
        <v>819</v>
      </c>
      <c r="F262" s="192" t="s">
        <v>823</v>
      </c>
      <c r="G262" s="192">
        <v>0.85000002384185791</v>
      </c>
      <c r="H262" s="192" t="s">
        <v>823</v>
      </c>
      <c r="I262" s="192">
        <v>1</v>
      </c>
      <c r="J262" s="192">
        <f>VLOOKUP($B262,'RBSA Weights'!$A$2:$C$1406,3,FALSE)</f>
        <v>2003.7159999999999</v>
      </c>
    </row>
    <row r="263" spans="1:10">
      <c r="A263" s="192">
        <v>132029</v>
      </c>
      <c r="B263" s="192">
        <v>11717</v>
      </c>
      <c r="C263" s="192" t="s">
        <v>815</v>
      </c>
      <c r="D263" s="192">
        <v>134</v>
      </c>
      <c r="E263" s="192" t="s">
        <v>819</v>
      </c>
      <c r="F263" s="192" t="s">
        <v>818</v>
      </c>
      <c r="G263" s="192">
        <v>0.55000001192092896</v>
      </c>
      <c r="H263" s="192" t="s">
        <v>818</v>
      </c>
      <c r="I263" s="192">
        <v>1</v>
      </c>
      <c r="J263" s="192">
        <f>VLOOKUP($B263,'RBSA Weights'!$A$2:$C$1406,3,FALSE)</f>
        <v>6932.7380000000003</v>
      </c>
    </row>
    <row r="264" spans="1:10">
      <c r="A264" s="192">
        <v>724188</v>
      </c>
      <c r="B264" s="192">
        <v>11725</v>
      </c>
      <c r="C264" s="192" t="s">
        <v>815</v>
      </c>
      <c r="D264" s="192">
        <v>241</v>
      </c>
      <c r="E264" s="192" t="s">
        <v>816</v>
      </c>
      <c r="F264" s="192" t="s">
        <v>820</v>
      </c>
      <c r="G264" s="192">
        <v>0.85000002384185791</v>
      </c>
      <c r="H264" s="192" t="s">
        <v>820</v>
      </c>
      <c r="I264" s="192">
        <v>1</v>
      </c>
      <c r="J264" s="192">
        <f>VLOOKUP($B264,'RBSA Weights'!$A$2:$C$1406,3,FALSE)</f>
        <v>1524.7619999999999</v>
      </c>
    </row>
    <row r="265" spans="1:10">
      <c r="A265" s="192">
        <v>160710</v>
      </c>
      <c r="B265" s="192">
        <v>11729</v>
      </c>
      <c r="C265" s="192" t="s">
        <v>815</v>
      </c>
      <c r="D265" s="192">
        <v>174</v>
      </c>
      <c r="E265" s="192" t="s">
        <v>816</v>
      </c>
      <c r="F265" s="192" t="s">
        <v>817</v>
      </c>
      <c r="G265" s="192">
        <v>0.44999998807907104</v>
      </c>
      <c r="H265" s="192" t="s">
        <v>818</v>
      </c>
      <c r="I265" s="192">
        <v>1</v>
      </c>
      <c r="J265" s="192">
        <f>VLOOKUP($B265,'RBSA Weights'!$A$2:$C$1406,3,FALSE)</f>
        <v>6932.7380000000003</v>
      </c>
    </row>
    <row r="266" spans="1:10">
      <c r="A266" s="192">
        <v>104635</v>
      </c>
      <c r="B266" s="192">
        <v>11732</v>
      </c>
      <c r="C266" s="192" t="s">
        <v>815</v>
      </c>
      <c r="D266" s="192">
        <v>373</v>
      </c>
      <c r="E266" s="192" t="s">
        <v>816</v>
      </c>
      <c r="F266" s="192" t="s">
        <v>817</v>
      </c>
      <c r="G266" s="192">
        <v>0.44999998807907104</v>
      </c>
      <c r="H266" s="192" t="s">
        <v>818</v>
      </c>
      <c r="I266" s="192">
        <v>1</v>
      </c>
      <c r="J266" s="192">
        <f>VLOOKUP($B266,'RBSA Weights'!$A$2:$C$1406,3,FALSE)</f>
        <v>4956.4930000000004</v>
      </c>
    </row>
    <row r="267" spans="1:10">
      <c r="A267" s="192">
        <v>31911</v>
      </c>
      <c r="B267" s="192">
        <v>11734</v>
      </c>
      <c r="C267" s="192" t="s">
        <v>815</v>
      </c>
      <c r="D267" s="192">
        <v>169</v>
      </c>
      <c r="E267" s="192" t="s">
        <v>816</v>
      </c>
      <c r="F267" s="192" t="s">
        <v>823</v>
      </c>
      <c r="G267" s="192">
        <v>1.1000000238418579</v>
      </c>
      <c r="H267" s="192" t="s">
        <v>823</v>
      </c>
      <c r="I267" s="192">
        <v>1</v>
      </c>
      <c r="J267" s="192">
        <f>VLOOKUP($B267,'RBSA Weights'!$A$2:$C$1406,3,FALSE)</f>
        <v>1524.7619999999999</v>
      </c>
    </row>
    <row r="268" spans="1:10">
      <c r="A268" s="192">
        <v>58345</v>
      </c>
      <c r="B268" s="192">
        <v>11739</v>
      </c>
      <c r="C268" s="192" t="s">
        <v>815</v>
      </c>
      <c r="D268" s="192">
        <v>203</v>
      </c>
      <c r="E268" s="192" t="s">
        <v>816</v>
      </c>
      <c r="F268" s="192" t="s">
        <v>818</v>
      </c>
      <c r="G268" s="192">
        <v>0.60000002384185791</v>
      </c>
      <c r="H268" s="192" t="s">
        <v>818</v>
      </c>
      <c r="I268" s="192">
        <v>1</v>
      </c>
      <c r="J268" s="192">
        <f>VLOOKUP($B268,'RBSA Weights'!$A$2:$C$1406,3,FALSE)</f>
        <v>1524.7619999999999</v>
      </c>
    </row>
    <row r="269" spans="1:10">
      <c r="A269" s="192">
        <v>211042</v>
      </c>
      <c r="B269" s="192">
        <v>11749</v>
      </c>
      <c r="C269" s="192" t="s">
        <v>815</v>
      </c>
      <c r="D269" s="192">
        <v>212</v>
      </c>
      <c r="E269" s="192" t="s">
        <v>816</v>
      </c>
      <c r="F269" s="192" t="s">
        <v>818</v>
      </c>
      <c r="G269" s="192">
        <v>0.60000002384185791</v>
      </c>
      <c r="H269" s="192" t="s">
        <v>818</v>
      </c>
      <c r="I269" s="192">
        <v>1</v>
      </c>
      <c r="J269" s="192">
        <f>VLOOKUP($B269,'RBSA Weights'!$A$2:$C$1406,3,FALSE)</f>
        <v>1464.694</v>
      </c>
    </row>
    <row r="270" spans="1:10">
      <c r="A270" s="192">
        <v>73893</v>
      </c>
      <c r="B270" s="192">
        <v>11752</v>
      </c>
      <c r="C270" s="192" t="s">
        <v>815</v>
      </c>
      <c r="D270" s="192">
        <v>194</v>
      </c>
      <c r="E270" s="192" t="s">
        <v>816</v>
      </c>
      <c r="F270" s="192" t="s">
        <v>817</v>
      </c>
      <c r="G270" s="192">
        <v>0.44999998807907104</v>
      </c>
      <c r="H270" s="192" t="s">
        <v>818</v>
      </c>
      <c r="I270" s="192">
        <v>1</v>
      </c>
      <c r="J270" s="192">
        <f>VLOOKUP($B270,'RBSA Weights'!$A$2:$C$1406,3,FALSE)</f>
        <v>2003.7159999999999</v>
      </c>
    </row>
    <row r="271" spans="1:10">
      <c r="A271" s="192">
        <v>88875</v>
      </c>
      <c r="B271" s="192">
        <v>11753</v>
      </c>
      <c r="C271" s="192" t="s">
        <v>815</v>
      </c>
      <c r="D271" s="192">
        <v>1015</v>
      </c>
      <c r="E271" s="192" t="s">
        <v>816</v>
      </c>
      <c r="F271" s="192" t="s">
        <v>817</v>
      </c>
      <c r="G271" s="192">
        <v>0.44999998807907104</v>
      </c>
      <c r="H271" s="192" t="s">
        <v>818</v>
      </c>
      <c r="I271" s="192">
        <v>1</v>
      </c>
      <c r="J271" s="192">
        <f>VLOOKUP($B271,'RBSA Weights'!$A$2:$C$1406,3,FALSE)</f>
        <v>2003.7159999999999</v>
      </c>
    </row>
    <row r="272" spans="1:10">
      <c r="A272" s="192">
        <v>659853</v>
      </c>
      <c r="B272" s="192">
        <v>11762</v>
      </c>
      <c r="C272" s="192" t="s">
        <v>815</v>
      </c>
      <c r="D272" s="192">
        <v>156</v>
      </c>
      <c r="E272" s="192" t="s">
        <v>816</v>
      </c>
      <c r="F272" s="192" t="s">
        <v>817</v>
      </c>
      <c r="G272" s="192">
        <v>0.44999998807907104</v>
      </c>
      <c r="H272" s="192" t="s">
        <v>818</v>
      </c>
      <c r="I272" s="192">
        <v>1</v>
      </c>
      <c r="J272" s="192">
        <f>VLOOKUP($B272,'RBSA Weights'!$A$2:$C$1406,3,FALSE)</f>
        <v>1464.694</v>
      </c>
    </row>
    <row r="273" spans="1:10">
      <c r="A273" s="192">
        <v>130510</v>
      </c>
      <c r="B273" s="192">
        <v>11766</v>
      </c>
      <c r="C273" s="192" t="s">
        <v>815</v>
      </c>
      <c r="D273" s="192">
        <v>288</v>
      </c>
      <c r="E273" s="192" t="s">
        <v>816</v>
      </c>
      <c r="F273" s="192" t="s">
        <v>820</v>
      </c>
      <c r="G273" s="192">
        <v>0.85000002384185791</v>
      </c>
      <c r="H273" s="192" t="s">
        <v>820</v>
      </c>
      <c r="I273" s="192">
        <v>1</v>
      </c>
      <c r="J273" s="192">
        <f>VLOOKUP($B273,'RBSA Weights'!$A$2:$C$1406,3,FALSE)</f>
        <v>4956.4930000000004</v>
      </c>
    </row>
    <row r="274" spans="1:10">
      <c r="A274" s="192">
        <v>100977</v>
      </c>
      <c r="B274" s="192">
        <v>11769</v>
      </c>
      <c r="C274" s="192" t="s">
        <v>815</v>
      </c>
      <c r="D274" s="192">
        <v>455</v>
      </c>
      <c r="E274" s="192" t="s">
        <v>816</v>
      </c>
      <c r="F274" s="192" t="s">
        <v>817</v>
      </c>
      <c r="G274" s="192">
        <v>0.55000001192092896</v>
      </c>
      <c r="H274" s="192" t="s">
        <v>818</v>
      </c>
      <c r="I274" s="192">
        <v>1</v>
      </c>
      <c r="J274" s="192">
        <f>VLOOKUP($B274,'RBSA Weights'!$A$2:$C$1406,3,FALSE)</f>
        <v>4956.4930000000004</v>
      </c>
    </row>
    <row r="275" spans="1:10">
      <c r="A275" s="192">
        <v>719021</v>
      </c>
      <c r="B275" s="192">
        <v>11772</v>
      </c>
      <c r="C275" s="192" t="s">
        <v>815</v>
      </c>
      <c r="D275" s="192">
        <v>252</v>
      </c>
      <c r="E275" s="192" t="s">
        <v>816</v>
      </c>
      <c r="F275" s="192" t="s">
        <v>817</v>
      </c>
      <c r="G275" s="192">
        <v>0.44999998807907104</v>
      </c>
      <c r="H275" s="192" t="s">
        <v>818</v>
      </c>
      <c r="I275" s="192">
        <v>1</v>
      </c>
      <c r="J275" s="192">
        <f>VLOOKUP($B275,'RBSA Weights'!$A$2:$C$1406,3,FALSE)</f>
        <v>1464.694</v>
      </c>
    </row>
    <row r="276" spans="1:10">
      <c r="A276" s="192">
        <v>206960</v>
      </c>
      <c r="B276" s="192">
        <v>11774</v>
      </c>
      <c r="C276" s="192" t="s">
        <v>815</v>
      </c>
      <c r="D276" s="192">
        <v>244</v>
      </c>
      <c r="E276" s="192" t="s">
        <v>816</v>
      </c>
      <c r="F276" s="192" t="s">
        <v>817</v>
      </c>
      <c r="G276" s="192">
        <v>0.44999998807907104</v>
      </c>
      <c r="H276" s="192" t="s">
        <v>818</v>
      </c>
      <c r="I276" s="192">
        <v>1</v>
      </c>
      <c r="J276" s="192">
        <f>VLOOKUP($B276,'RBSA Weights'!$A$2:$C$1406,3,FALSE)</f>
        <v>6932.7380000000003</v>
      </c>
    </row>
    <row r="277" spans="1:10">
      <c r="A277" s="192">
        <v>237819</v>
      </c>
      <c r="B277" s="192">
        <v>11775</v>
      </c>
      <c r="C277" s="192" t="s">
        <v>815</v>
      </c>
      <c r="D277" s="192">
        <v>113</v>
      </c>
      <c r="E277" s="192" t="s">
        <v>816</v>
      </c>
      <c r="F277" s="192" t="s">
        <v>817</v>
      </c>
      <c r="G277" s="192">
        <v>0.44999998807907104</v>
      </c>
      <c r="H277" s="192" t="s">
        <v>818</v>
      </c>
      <c r="I277" s="192">
        <v>1</v>
      </c>
      <c r="J277" s="192">
        <f>VLOOKUP($B277,'RBSA Weights'!$A$2:$C$1406,3,FALSE)</f>
        <v>4956.4930000000004</v>
      </c>
    </row>
    <row r="278" spans="1:10">
      <c r="A278" s="192">
        <v>37715</v>
      </c>
      <c r="B278" s="192">
        <v>11779</v>
      </c>
      <c r="C278" s="192" t="s">
        <v>815</v>
      </c>
      <c r="D278" s="192">
        <v>100</v>
      </c>
      <c r="E278" s="192" t="s">
        <v>816</v>
      </c>
      <c r="F278" s="192" t="s">
        <v>818</v>
      </c>
      <c r="G278" s="192">
        <v>0.60000002384185791</v>
      </c>
      <c r="H278" s="192" t="s">
        <v>818</v>
      </c>
      <c r="I278" s="192">
        <v>1</v>
      </c>
      <c r="J278" s="192">
        <f>VLOOKUP($B278,'RBSA Weights'!$A$2:$C$1406,3,FALSE)</f>
        <v>1524.7619999999999</v>
      </c>
    </row>
    <row r="279" spans="1:10">
      <c r="A279" s="192">
        <v>657944</v>
      </c>
      <c r="B279" s="192">
        <v>11780</v>
      </c>
      <c r="C279" s="192" t="s">
        <v>815</v>
      </c>
      <c r="D279" s="192">
        <v>219</v>
      </c>
      <c r="E279" s="192" t="s">
        <v>816</v>
      </c>
      <c r="F279" s="192" t="s">
        <v>818</v>
      </c>
      <c r="G279" s="192">
        <v>0.55000001192092896</v>
      </c>
      <c r="H279" s="192" t="s">
        <v>818</v>
      </c>
      <c r="I279" s="192">
        <v>1</v>
      </c>
      <c r="J279" s="192">
        <f>VLOOKUP($B279,'RBSA Weights'!$A$2:$C$1406,3,FALSE)</f>
        <v>1150.8789999999999</v>
      </c>
    </row>
    <row r="280" spans="1:10">
      <c r="A280" s="192">
        <v>109834</v>
      </c>
      <c r="B280" s="192">
        <v>11788</v>
      </c>
      <c r="C280" s="192" t="s">
        <v>815</v>
      </c>
      <c r="D280" s="192">
        <v>429</v>
      </c>
      <c r="E280" s="192" t="s">
        <v>816</v>
      </c>
      <c r="F280" s="192" t="s">
        <v>820</v>
      </c>
      <c r="G280" s="192">
        <v>0.85000002384185791</v>
      </c>
      <c r="H280" s="192" t="s">
        <v>820</v>
      </c>
      <c r="I280" s="192">
        <v>1</v>
      </c>
      <c r="J280" s="192">
        <f>VLOOKUP($B280,'RBSA Weights'!$A$2:$C$1406,3,FALSE)</f>
        <v>4956.4930000000004</v>
      </c>
    </row>
    <row r="281" spans="1:10">
      <c r="A281" s="192">
        <v>211948</v>
      </c>
      <c r="B281" s="192">
        <v>11794</v>
      </c>
      <c r="C281" s="192" t="s">
        <v>815</v>
      </c>
      <c r="D281" s="192">
        <v>50</v>
      </c>
      <c r="E281" s="192" t="s">
        <v>816</v>
      </c>
      <c r="F281" s="192" t="s">
        <v>818</v>
      </c>
      <c r="G281" s="192">
        <v>0.60000002384185791</v>
      </c>
      <c r="H281" s="192" t="s">
        <v>818</v>
      </c>
      <c r="I281" s="192">
        <v>1</v>
      </c>
      <c r="J281" s="192">
        <f>VLOOKUP($B281,'RBSA Weights'!$A$2:$C$1406,3,FALSE)</f>
        <v>1464.694</v>
      </c>
    </row>
    <row r="282" spans="1:10">
      <c r="A282" s="192">
        <v>38124</v>
      </c>
      <c r="B282" s="192">
        <v>11802</v>
      </c>
      <c r="C282" s="192" t="s">
        <v>815</v>
      </c>
      <c r="D282" s="192">
        <v>222</v>
      </c>
      <c r="E282" s="192" t="s">
        <v>816</v>
      </c>
      <c r="F282" s="192" t="s">
        <v>817</v>
      </c>
      <c r="G282" s="192">
        <v>0.55000001192092896</v>
      </c>
      <c r="H282" s="192" t="s">
        <v>818</v>
      </c>
      <c r="I282" s="192">
        <v>1</v>
      </c>
      <c r="J282" s="192">
        <f>VLOOKUP($B282,'RBSA Weights'!$A$2:$C$1406,3,FALSE)</f>
        <v>1188.027</v>
      </c>
    </row>
    <row r="283" spans="1:10">
      <c r="A283" s="192">
        <v>158509</v>
      </c>
      <c r="B283" s="192">
        <v>11808</v>
      </c>
      <c r="C283" s="192" t="s">
        <v>815</v>
      </c>
      <c r="D283" s="192">
        <v>227</v>
      </c>
      <c r="E283" s="192" t="s">
        <v>816</v>
      </c>
      <c r="F283" s="192" t="s">
        <v>820</v>
      </c>
      <c r="G283" s="192">
        <v>0.85000002384185791</v>
      </c>
      <c r="H283" s="192" t="s">
        <v>820</v>
      </c>
      <c r="I283" s="192">
        <v>1</v>
      </c>
      <c r="J283" s="192">
        <f>VLOOKUP($B283,'RBSA Weights'!$A$2:$C$1406,3,FALSE)</f>
        <v>4956.4930000000004</v>
      </c>
    </row>
    <row r="284" spans="1:10">
      <c r="A284" s="192">
        <v>182875</v>
      </c>
      <c r="B284" s="192">
        <v>11815</v>
      </c>
      <c r="C284" s="192" t="s">
        <v>815</v>
      </c>
      <c r="D284" s="192">
        <v>125</v>
      </c>
      <c r="E284" s="192" t="s">
        <v>816</v>
      </c>
      <c r="F284" s="192" t="s">
        <v>825</v>
      </c>
      <c r="G284" s="192">
        <v>0.2199999988079071</v>
      </c>
      <c r="H284" s="192" t="s">
        <v>826</v>
      </c>
      <c r="I284" s="192">
        <v>1</v>
      </c>
      <c r="J284" s="192">
        <f>VLOOKUP($B284,'RBSA Weights'!$A$2:$C$1406,3,FALSE)</f>
        <v>6932.7380000000003</v>
      </c>
    </row>
    <row r="285" spans="1:10">
      <c r="A285" s="192">
        <v>803222</v>
      </c>
      <c r="B285" s="192">
        <v>11825</v>
      </c>
      <c r="C285" s="192" t="s">
        <v>815</v>
      </c>
      <c r="D285" s="192">
        <v>157</v>
      </c>
      <c r="E285" s="192" t="s">
        <v>816</v>
      </c>
      <c r="F285" s="192" t="s">
        <v>817</v>
      </c>
      <c r="G285" s="192">
        <v>0.44999998807907104</v>
      </c>
      <c r="H285" s="192" t="s">
        <v>818</v>
      </c>
      <c r="I285" s="192">
        <v>1</v>
      </c>
      <c r="J285" s="192">
        <f>VLOOKUP($B285,'RBSA Weights'!$A$2:$C$1406,3,FALSE)</f>
        <v>1464.694</v>
      </c>
    </row>
    <row r="286" spans="1:10">
      <c r="A286" s="192">
        <v>118786</v>
      </c>
      <c r="B286" s="192">
        <v>11827</v>
      </c>
      <c r="C286" s="192" t="s">
        <v>815</v>
      </c>
      <c r="D286" s="192">
        <v>420</v>
      </c>
      <c r="E286" s="192" t="s">
        <v>816</v>
      </c>
      <c r="F286" s="192" t="s">
        <v>817</v>
      </c>
      <c r="G286" s="192">
        <v>0.44999998807907104</v>
      </c>
      <c r="H286" s="192" t="s">
        <v>818</v>
      </c>
      <c r="I286" s="192">
        <v>1</v>
      </c>
      <c r="J286" s="192">
        <f>VLOOKUP($B286,'RBSA Weights'!$A$2:$C$1406,3,FALSE)</f>
        <v>4956.4930000000004</v>
      </c>
    </row>
    <row r="287" spans="1:10">
      <c r="A287" s="192">
        <v>202325</v>
      </c>
      <c r="B287" s="192">
        <v>11835</v>
      </c>
      <c r="C287" s="192" t="s">
        <v>815</v>
      </c>
      <c r="D287" s="192">
        <v>163</v>
      </c>
      <c r="E287" s="192" t="s">
        <v>816</v>
      </c>
      <c r="F287" s="192" t="s">
        <v>818</v>
      </c>
      <c r="G287" s="192">
        <v>0.60000002384185791</v>
      </c>
      <c r="H287" s="192" t="s">
        <v>818</v>
      </c>
      <c r="I287" s="192">
        <v>1</v>
      </c>
      <c r="J287" s="192">
        <f>VLOOKUP($B287,'RBSA Weights'!$A$2:$C$1406,3,FALSE)</f>
        <v>1464.694</v>
      </c>
    </row>
    <row r="288" spans="1:10">
      <c r="A288" s="192">
        <v>96584</v>
      </c>
      <c r="B288" s="192">
        <v>11836</v>
      </c>
      <c r="C288" s="192" t="s">
        <v>815</v>
      </c>
      <c r="D288" s="192">
        <v>83</v>
      </c>
      <c r="E288" s="192" t="s">
        <v>816</v>
      </c>
      <c r="F288" s="192" t="s">
        <v>821</v>
      </c>
      <c r="G288" s="192">
        <v>0.94999998807907104</v>
      </c>
      <c r="H288" s="192" t="s">
        <v>821</v>
      </c>
      <c r="I288" s="192">
        <v>1</v>
      </c>
      <c r="J288" s="192">
        <f>VLOOKUP($B288,'RBSA Weights'!$A$2:$C$1406,3,FALSE)</f>
        <v>2003.7159999999999</v>
      </c>
    </row>
    <row r="289" spans="1:10">
      <c r="A289" s="192">
        <v>77535</v>
      </c>
      <c r="B289" s="192">
        <v>11838</v>
      </c>
      <c r="C289" s="192" t="s">
        <v>815</v>
      </c>
      <c r="D289" s="192">
        <v>142</v>
      </c>
      <c r="E289" s="192" t="s">
        <v>816</v>
      </c>
      <c r="F289" s="192" t="s">
        <v>818</v>
      </c>
      <c r="G289" s="192">
        <v>0.60000002384185791</v>
      </c>
      <c r="H289" s="192" t="s">
        <v>818</v>
      </c>
      <c r="I289" s="192">
        <v>1</v>
      </c>
      <c r="J289" s="192">
        <f>VLOOKUP($B289,'RBSA Weights'!$A$2:$C$1406,3,FALSE)</f>
        <v>2003.7159999999999</v>
      </c>
    </row>
    <row r="290" spans="1:10">
      <c r="A290" s="192">
        <v>724324</v>
      </c>
      <c r="B290" s="192">
        <v>11842</v>
      </c>
      <c r="C290" s="192" t="s">
        <v>815</v>
      </c>
      <c r="D290" s="192">
        <v>154</v>
      </c>
      <c r="E290" s="192" t="s">
        <v>816</v>
      </c>
      <c r="F290" s="192" t="s">
        <v>821</v>
      </c>
      <c r="G290" s="192">
        <v>0.94999998807907104</v>
      </c>
      <c r="H290" s="192" t="s">
        <v>821</v>
      </c>
      <c r="I290" s="192">
        <v>1</v>
      </c>
      <c r="J290" s="192">
        <f>VLOOKUP($B290,'RBSA Weights'!$A$2:$C$1406,3,FALSE)</f>
        <v>4956.4930000000004</v>
      </c>
    </row>
    <row r="291" spans="1:10">
      <c r="A291" s="192">
        <v>823533</v>
      </c>
      <c r="B291" s="192">
        <v>11844</v>
      </c>
      <c r="C291" s="192" t="s">
        <v>815</v>
      </c>
      <c r="D291" s="192">
        <v>118</v>
      </c>
      <c r="E291" s="192" t="s">
        <v>819</v>
      </c>
      <c r="F291" s="192" t="s">
        <v>823</v>
      </c>
      <c r="G291" s="192">
        <v>0.85000002384185791</v>
      </c>
      <c r="H291" s="192" t="s">
        <v>823</v>
      </c>
      <c r="I291" s="192">
        <v>1</v>
      </c>
      <c r="J291" s="192">
        <f>VLOOKUP($B291,'RBSA Weights'!$A$2:$C$1406,3,FALSE)</f>
        <v>4956.4930000000004</v>
      </c>
    </row>
    <row r="292" spans="1:10">
      <c r="A292" s="192">
        <v>89041</v>
      </c>
      <c r="B292" s="192">
        <v>11860</v>
      </c>
      <c r="C292" s="192" t="s">
        <v>815</v>
      </c>
      <c r="D292" s="192">
        <v>439</v>
      </c>
      <c r="E292" s="192" t="s">
        <v>816</v>
      </c>
      <c r="F292" s="192" t="s">
        <v>817</v>
      </c>
      <c r="G292" s="192">
        <v>0.44999998807907104</v>
      </c>
      <c r="H292" s="192" t="s">
        <v>818</v>
      </c>
      <c r="I292" s="192">
        <v>1</v>
      </c>
      <c r="J292" s="192">
        <f>VLOOKUP($B292,'RBSA Weights'!$A$2:$C$1406,3,FALSE)</f>
        <v>2003.7159999999999</v>
      </c>
    </row>
    <row r="293" spans="1:10">
      <c r="A293" s="192">
        <v>116773</v>
      </c>
      <c r="B293" s="192">
        <v>11871</v>
      </c>
      <c r="C293" s="192" t="s">
        <v>815</v>
      </c>
      <c r="D293" s="192">
        <v>174</v>
      </c>
      <c r="E293" s="192" t="s">
        <v>819</v>
      </c>
      <c r="F293" s="192" t="s">
        <v>820</v>
      </c>
      <c r="G293" s="192">
        <v>0.69999998807907104</v>
      </c>
      <c r="H293" s="192" t="s">
        <v>820</v>
      </c>
      <c r="I293" s="192">
        <v>1</v>
      </c>
      <c r="J293" s="192">
        <f>VLOOKUP($B293,'RBSA Weights'!$A$2:$C$1406,3,FALSE)</f>
        <v>4956.4930000000004</v>
      </c>
    </row>
    <row r="294" spans="1:10">
      <c r="A294" s="192">
        <v>41982</v>
      </c>
      <c r="B294" s="192">
        <v>11872</v>
      </c>
      <c r="C294" s="192" t="s">
        <v>815</v>
      </c>
      <c r="D294" s="192">
        <v>131</v>
      </c>
      <c r="E294" s="192" t="s">
        <v>816</v>
      </c>
      <c r="F294" s="192" t="s">
        <v>818</v>
      </c>
      <c r="G294" s="192">
        <v>0.60000002384185791</v>
      </c>
      <c r="H294" s="192" t="s">
        <v>818</v>
      </c>
      <c r="I294" s="192">
        <v>1</v>
      </c>
      <c r="J294" s="192">
        <f>VLOOKUP($B294,'RBSA Weights'!$A$2:$C$1406,3,FALSE)</f>
        <v>1524.7619999999999</v>
      </c>
    </row>
    <row r="295" spans="1:10">
      <c r="A295" s="192">
        <v>45322</v>
      </c>
      <c r="B295" s="192">
        <v>11873</v>
      </c>
      <c r="C295" s="192" t="s">
        <v>815</v>
      </c>
      <c r="D295" s="192">
        <v>171</v>
      </c>
      <c r="E295" s="192" t="s">
        <v>816</v>
      </c>
      <c r="F295" s="192" t="s">
        <v>818</v>
      </c>
      <c r="G295" s="192">
        <v>0.55000001192092896</v>
      </c>
      <c r="H295" s="192" t="s">
        <v>818</v>
      </c>
      <c r="I295" s="192">
        <v>1</v>
      </c>
      <c r="J295" s="192">
        <f>VLOOKUP($B295,'RBSA Weights'!$A$2:$C$1406,3,FALSE)</f>
        <v>1524.7619999999999</v>
      </c>
    </row>
    <row r="296" spans="1:10">
      <c r="A296" s="192">
        <v>137212</v>
      </c>
      <c r="B296" s="192">
        <v>11880</v>
      </c>
      <c r="C296" s="192" t="s">
        <v>815</v>
      </c>
      <c r="D296" s="192">
        <v>135</v>
      </c>
      <c r="E296" s="192" t="s">
        <v>816</v>
      </c>
      <c r="F296" s="192" t="s">
        <v>820</v>
      </c>
      <c r="G296" s="192">
        <v>0.85000002384185791</v>
      </c>
      <c r="H296" s="192" t="s">
        <v>820</v>
      </c>
      <c r="I296" s="192">
        <v>1</v>
      </c>
      <c r="J296" s="192">
        <f>VLOOKUP($B296,'RBSA Weights'!$A$2:$C$1406,3,FALSE)</f>
        <v>2003.7159999999999</v>
      </c>
    </row>
    <row r="297" spans="1:10">
      <c r="A297" s="192">
        <v>718027</v>
      </c>
      <c r="B297" s="192">
        <v>11894</v>
      </c>
      <c r="C297" s="192" t="s">
        <v>815</v>
      </c>
      <c r="D297" s="192">
        <v>245</v>
      </c>
      <c r="E297" s="192" t="s">
        <v>816</v>
      </c>
      <c r="F297" s="192" t="s">
        <v>817</v>
      </c>
      <c r="G297" s="192">
        <v>0.44999998807907104</v>
      </c>
      <c r="H297" s="192" t="s">
        <v>818</v>
      </c>
      <c r="I297" s="192">
        <v>1</v>
      </c>
      <c r="J297" s="192">
        <f>VLOOKUP($B297,'RBSA Weights'!$A$2:$C$1406,3,FALSE)</f>
        <v>4956.4930000000004</v>
      </c>
    </row>
    <row r="298" spans="1:10">
      <c r="A298" s="192">
        <v>64495</v>
      </c>
      <c r="B298" s="192">
        <v>11896</v>
      </c>
      <c r="C298" s="192" t="s">
        <v>815</v>
      </c>
      <c r="D298" s="192">
        <v>135</v>
      </c>
      <c r="E298" s="192" t="s">
        <v>816</v>
      </c>
      <c r="F298" s="192" t="s">
        <v>818</v>
      </c>
      <c r="G298" s="192">
        <v>0.60000002384185791</v>
      </c>
      <c r="H298" s="192" t="s">
        <v>818</v>
      </c>
      <c r="I298" s="192">
        <v>1</v>
      </c>
      <c r="J298" s="192">
        <f>VLOOKUP($B298,'RBSA Weights'!$A$2:$C$1406,3,FALSE)</f>
        <v>2003.7159999999999</v>
      </c>
    </row>
    <row r="299" spans="1:10">
      <c r="A299" s="192">
        <v>49071</v>
      </c>
      <c r="B299" s="192">
        <v>11900</v>
      </c>
      <c r="C299" s="192" t="s">
        <v>815</v>
      </c>
      <c r="D299" s="192">
        <v>170</v>
      </c>
      <c r="E299" s="192" t="s">
        <v>819</v>
      </c>
      <c r="F299" s="192" t="s">
        <v>817</v>
      </c>
      <c r="G299" s="192">
        <v>0.5</v>
      </c>
      <c r="H299" s="192" t="s">
        <v>818</v>
      </c>
      <c r="I299" s="192">
        <v>1</v>
      </c>
      <c r="J299" s="192">
        <f>VLOOKUP($B299,'RBSA Weights'!$A$2:$C$1406,3,FALSE)</f>
        <v>1524.7619999999999</v>
      </c>
    </row>
    <row r="300" spans="1:10">
      <c r="A300" s="192">
        <v>206489</v>
      </c>
      <c r="B300" s="192">
        <v>11904</v>
      </c>
      <c r="C300" s="192" t="s">
        <v>815</v>
      </c>
      <c r="D300" s="192">
        <v>334</v>
      </c>
      <c r="E300" s="192" t="s">
        <v>816</v>
      </c>
      <c r="F300" s="192" t="s">
        <v>818</v>
      </c>
      <c r="G300" s="192">
        <v>0.60000002384185791</v>
      </c>
      <c r="H300" s="192" t="s">
        <v>818</v>
      </c>
      <c r="I300" s="192">
        <v>1</v>
      </c>
      <c r="J300" s="192">
        <f>VLOOKUP($B300,'RBSA Weights'!$A$2:$C$1406,3,FALSE)</f>
        <v>1464.694</v>
      </c>
    </row>
    <row r="301" spans="1:10">
      <c r="A301" s="192">
        <v>69692</v>
      </c>
      <c r="B301" s="192">
        <v>11908</v>
      </c>
      <c r="C301" s="192" t="s">
        <v>815</v>
      </c>
      <c r="D301" s="192">
        <v>120</v>
      </c>
      <c r="E301" s="192" t="s">
        <v>816</v>
      </c>
      <c r="F301" s="192" t="s">
        <v>817</v>
      </c>
      <c r="G301" s="192">
        <v>0.44999998807907104</v>
      </c>
      <c r="H301" s="192" t="s">
        <v>818</v>
      </c>
      <c r="I301" s="192">
        <v>1</v>
      </c>
      <c r="J301" s="192">
        <f>VLOOKUP($B301,'RBSA Weights'!$A$2:$C$1406,3,FALSE)</f>
        <v>2003.7159999999999</v>
      </c>
    </row>
    <row r="302" spans="1:10">
      <c r="A302" s="192">
        <v>66996</v>
      </c>
      <c r="B302" s="192">
        <v>11910</v>
      </c>
      <c r="C302" s="192" t="s">
        <v>815</v>
      </c>
      <c r="D302" s="192">
        <v>330</v>
      </c>
      <c r="E302" s="192" t="s">
        <v>816</v>
      </c>
      <c r="F302" s="192" t="s">
        <v>818</v>
      </c>
      <c r="G302" s="192">
        <v>0.55000001192092896</v>
      </c>
      <c r="H302" s="192" t="s">
        <v>818</v>
      </c>
      <c r="I302" s="192">
        <v>1</v>
      </c>
      <c r="J302" s="192">
        <f>VLOOKUP($B302,'RBSA Weights'!$A$2:$C$1406,3,FALSE)</f>
        <v>2003.7159999999999</v>
      </c>
    </row>
    <row r="303" spans="1:10">
      <c r="A303" s="192">
        <v>159065</v>
      </c>
      <c r="B303" s="192">
        <v>11914</v>
      </c>
      <c r="C303" s="192" t="s">
        <v>815</v>
      </c>
      <c r="D303" s="192">
        <v>409</v>
      </c>
      <c r="E303" s="192" t="s">
        <v>816</v>
      </c>
      <c r="F303" s="192" t="s">
        <v>817</v>
      </c>
      <c r="G303" s="192">
        <v>0.44999998807907104</v>
      </c>
      <c r="H303" s="192" t="s">
        <v>818</v>
      </c>
      <c r="I303" s="192">
        <v>1</v>
      </c>
      <c r="J303" s="192">
        <f>VLOOKUP($B303,'RBSA Weights'!$A$2:$C$1406,3,FALSE)</f>
        <v>6932.7380000000003</v>
      </c>
    </row>
    <row r="304" spans="1:10">
      <c r="A304" s="192">
        <v>227000</v>
      </c>
      <c r="B304" s="192">
        <v>11925</v>
      </c>
      <c r="C304" s="192" t="s">
        <v>815</v>
      </c>
      <c r="D304" s="192">
        <v>253</v>
      </c>
      <c r="E304" s="192" t="s">
        <v>816</v>
      </c>
      <c r="F304" s="192" t="s">
        <v>817</v>
      </c>
      <c r="G304" s="192">
        <v>0.44999998807907104</v>
      </c>
      <c r="H304" s="192" t="s">
        <v>818</v>
      </c>
      <c r="I304" s="192">
        <v>1</v>
      </c>
      <c r="J304" s="192">
        <f>VLOOKUP($B304,'RBSA Weights'!$A$2:$C$1406,3,FALSE)</f>
        <v>4956.4930000000004</v>
      </c>
    </row>
    <row r="305" spans="1:10">
      <c r="A305" s="192">
        <v>99347</v>
      </c>
      <c r="B305" s="192">
        <v>11933</v>
      </c>
      <c r="C305" s="192" t="s">
        <v>815</v>
      </c>
      <c r="D305" s="192">
        <v>206</v>
      </c>
      <c r="E305" s="192" t="s">
        <v>816</v>
      </c>
      <c r="F305" s="192" t="s">
        <v>817</v>
      </c>
      <c r="G305" s="192">
        <v>0.55000001192092896</v>
      </c>
      <c r="H305" s="192" t="s">
        <v>818</v>
      </c>
      <c r="I305" s="192">
        <v>1</v>
      </c>
      <c r="J305" s="192">
        <f>VLOOKUP($B305,'RBSA Weights'!$A$2:$C$1406,3,FALSE)</f>
        <v>2003.7159999999999</v>
      </c>
    </row>
    <row r="306" spans="1:10">
      <c r="A306" s="192">
        <v>234954</v>
      </c>
      <c r="B306" s="192">
        <v>11943</v>
      </c>
      <c r="C306" s="192" t="s">
        <v>815</v>
      </c>
      <c r="D306" s="192">
        <v>217</v>
      </c>
      <c r="E306" s="192" t="s">
        <v>819</v>
      </c>
      <c r="F306" s="192" t="s">
        <v>823</v>
      </c>
      <c r="G306" s="192">
        <v>0.85000002384185791</v>
      </c>
      <c r="H306" s="192" t="s">
        <v>823</v>
      </c>
      <c r="I306" s="192">
        <v>1</v>
      </c>
      <c r="J306" s="192">
        <f>VLOOKUP($B306,'RBSA Weights'!$A$2:$C$1406,3,FALSE)</f>
        <v>4956.4930000000004</v>
      </c>
    </row>
    <row r="307" spans="1:10">
      <c r="A307" s="192">
        <v>802343</v>
      </c>
      <c r="B307" s="192">
        <v>11953</v>
      </c>
      <c r="C307" s="192" t="s">
        <v>815</v>
      </c>
      <c r="D307" s="192">
        <v>48</v>
      </c>
      <c r="E307" s="192" t="s">
        <v>819</v>
      </c>
      <c r="F307" s="192" t="s">
        <v>821</v>
      </c>
      <c r="G307" s="192">
        <v>0.75</v>
      </c>
      <c r="H307" s="192" t="s">
        <v>821</v>
      </c>
      <c r="I307" s="192">
        <v>1</v>
      </c>
      <c r="J307" s="192">
        <f>VLOOKUP($B307,'RBSA Weights'!$A$2:$C$1406,3,FALSE)</f>
        <v>2003.7159999999999</v>
      </c>
    </row>
    <row r="308" spans="1:10">
      <c r="A308" s="192">
        <v>75653</v>
      </c>
      <c r="B308" s="192">
        <v>11954</v>
      </c>
      <c r="C308" s="192" t="s">
        <v>815</v>
      </c>
      <c r="D308" s="192">
        <v>123</v>
      </c>
      <c r="E308" s="192" t="s">
        <v>816</v>
      </c>
      <c r="F308" s="192" t="s">
        <v>821</v>
      </c>
      <c r="G308" s="192">
        <v>0.94999998807907104</v>
      </c>
      <c r="H308" s="192" t="s">
        <v>821</v>
      </c>
      <c r="I308" s="192">
        <v>1</v>
      </c>
      <c r="J308" s="192">
        <f>VLOOKUP($B308,'RBSA Weights'!$A$2:$C$1406,3,FALSE)</f>
        <v>1524.7619999999999</v>
      </c>
    </row>
    <row r="309" spans="1:10">
      <c r="A309" s="192">
        <v>206856</v>
      </c>
      <c r="B309" s="192">
        <v>11958</v>
      </c>
      <c r="C309" s="192" t="s">
        <v>815</v>
      </c>
      <c r="D309" s="192">
        <v>162</v>
      </c>
      <c r="E309" s="192" t="s">
        <v>816</v>
      </c>
      <c r="F309" s="192" t="s">
        <v>817</v>
      </c>
      <c r="G309" s="192">
        <v>0.55000001192092896</v>
      </c>
      <c r="H309" s="192" t="s">
        <v>818</v>
      </c>
      <c r="I309" s="192">
        <v>1</v>
      </c>
      <c r="J309" s="192">
        <f>VLOOKUP($B309,'RBSA Weights'!$A$2:$C$1406,3,FALSE)</f>
        <v>6932.7380000000003</v>
      </c>
    </row>
    <row r="310" spans="1:10">
      <c r="A310" s="192">
        <v>198810</v>
      </c>
      <c r="B310" s="192">
        <v>11967</v>
      </c>
      <c r="C310" s="192" t="s">
        <v>815</v>
      </c>
      <c r="D310" s="192">
        <v>195</v>
      </c>
      <c r="E310" s="192" t="s">
        <v>816</v>
      </c>
      <c r="F310" s="192" t="s">
        <v>822</v>
      </c>
      <c r="G310" s="192">
        <v>0.75</v>
      </c>
      <c r="H310" s="192" t="s">
        <v>820</v>
      </c>
      <c r="I310" s="192">
        <v>1</v>
      </c>
      <c r="J310" s="192">
        <f>VLOOKUP($B310,'RBSA Weights'!$A$2:$C$1406,3,FALSE)</f>
        <v>6932.7380000000003</v>
      </c>
    </row>
    <row r="311" spans="1:10">
      <c r="A311" s="192">
        <v>41514</v>
      </c>
      <c r="B311" s="192">
        <v>11971</v>
      </c>
      <c r="C311" s="192" t="s">
        <v>815</v>
      </c>
      <c r="D311" s="192">
        <v>252</v>
      </c>
      <c r="E311" s="192" t="s">
        <v>816</v>
      </c>
      <c r="F311" s="192" t="s">
        <v>818</v>
      </c>
      <c r="G311" s="192">
        <v>0.60000002384185791</v>
      </c>
      <c r="H311" s="192" t="s">
        <v>818</v>
      </c>
      <c r="I311" s="192">
        <v>1</v>
      </c>
      <c r="J311" s="192">
        <f>VLOOKUP($B311,'RBSA Weights'!$A$2:$C$1406,3,FALSE)</f>
        <v>1524.7619999999999</v>
      </c>
    </row>
    <row r="312" spans="1:10">
      <c r="A312" s="192">
        <v>56920</v>
      </c>
      <c r="B312" s="192">
        <v>11978</v>
      </c>
      <c r="C312" s="192" t="s">
        <v>815</v>
      </c>
      <c r="D312" s="192">
        <v>76</v>
      </c>
      <c r="E312" s="192" t="s">
        <v>819</v>
      </c>
      <c r="F312" s="192" t="s">
        <v>823</v>
      </c>
      <c r="G312" s="192">
        <v>0.85000002384185791</v>
      </c>
      <c r="H312" s="192" t="s">
        <v>823</v>
      </c>
      <c r="I312" s="192">
        <v>1</v>
      </c>
      <c r="J312" s="192">
        <f>VLOOKUP($B312,'RBSA Weights'!$A$2:$C$1406,3,FALSE)</f>
        <v>1188.027</v>
      </c>
    </row>
    <row r="313" spans="1:10">
      <c r="A313" s="192">
        <v>65588</v>
      </c>
      <c r="B313" s="192">
        <v>11980</v>
      </c>
      <c r="C313" s="192" t="s">
        <v>815</v>
      </c>
      <c r="D313" s="192">
        <v>225</v>
      </c>
      <c r="E313" s="192" t="s">
        <v>816</v>
      </c>
      <c r="F313" s="192" t="s">
        <v>817</v>
      </c>
      <c r="G313" s="192">
        <v>0.44999998807907104</v>
      </c>
      <c r="H313" s="192" t="s">
        <v>818</v>
      </c>
      <c r="I313" s="192">
        <v>1</v>
      </c>
      <c r="J313" s="192">
        <f>VLOOKUP($B313,'RBSA Weights'!$A$2:$C$1406,3,FALSE)</f>
        <v>1524.7619999999999</v>
      </c>
    </row>
    <row r="314" spans="1:10">
      <c r="A314" s="192">
        <v>34682</v>
      </c>
      <c r="B314" s="192">
        <v>11988</v>
      </c>
      <c r="C314" s="192" t="s">
        <v>815</v>
      </c>
      <c r="D314" s="192">
        <v>179</v>
      </c>
      <c r="E314" s="192" t="s">
        <v>816</v>
      </c>
      <c r="F314" s="192" t="s">
        <v>818</v>
      </c>
      <c r="G314" s="192">
        <v>0.55000001192092896</v>
      </c>
      <c r="H314" s="192" t="s">
        <v>818</v>
      </c>
      <c r="I314" s="192">
        <v>1</v>
      </c>
      <c r="J314" s="192">
        <f>VLOOKUP($B314,'RBSA Weights'!$A$2:$C$1406,3,FALSE)</f>
        <v>1188.027</v>
      </c>
    </row>
    <row r="315" spans="1:10">
      <c r="A315" s="192">
        <v>83807</v>
      </c>
      <c r="B315" s="192">
        <v>11992</v>
      </c>
      <c r="C315" s="192" t="s">
        <v>815</v>
      </c>
      <c r="D315" s="192">
        <v>305</v>
      </c>
      <c r="E315" s="192" t="s">
        <v>816</v>
      </c>
      <c r="F315" s="192" t="s">
        <v>821</v>
      </c>
      <c r="G315" s="192">
        <v>0.94999998807907104</v>
      </c>
      <c r="H315" s="192" t="s">
        <v>821</v>
      </c>
      <c r="I315" s="192">
        <v>1</v>
      </c>
      <c r="J315" s="192">
        <f>VLOOKUP($B315,'RBSA Weights'!$A$2:$C$1406,3,FALSE)</f>
        <v>1524.7619999999999</v>
      </c>
    </row>
    <row r="316" spans="1:10">
      <c r="A316" s="192">
        <v>85736</v>
      </c>
      <c r="B316" s="192">
        <v>11993</v>
      </c>
      <c r="C316" s="192" t="s">
        <v>815</v>
      </c>
      <c r="D316" s="192">
        <v>109</v>
      </c>
      <c r="E316" s="192" t="s">
        <v>816</v>
      </c>
      <c r="F316" s="192" t="s">
        <v>820</v>
      </c>
      <c r="G316" s="192">
        <v>0.85000002384185791</v>
      </c>
      <c r="H316" s="192" t="s">
        <v>820</v>
      </c>
      <c r="I316" s="192">
        <v>1</v>
      </c>
      <c r="J316" s="192">
        <f>VLOOKUP($B316,'RBSA Weights'!$A$2:$C$1406,3,FALSE)</f>
        <v>2003.7159999999999</v>
      </c>
    </row>
    <row r="317" spans="1:10">
      <c r="A317" s="192">
        <v>37147</v>
      </c>
      <c r="B317" s="192">
        <v>12016</v>
      </c>
      <c r="C317" s="192" t="s">
        <v>815</v>
      </c>
      <c r="D317" s="192">
        <v>201</v>
      </c>
      <c r="E317" s="192" t="s">
        <v>816</v>
      </c>
      <c r="F317" s="192" t="s">
        <v>817</v>
      </c>
      <c r="G317" s="192">
        <v>0.55000001192092896</v>
      </c>
      <c r="H317" s="192" t="s">
        <v>818</v>
      </c>
      <c r="I317" s="192">
        <v>1</v>
      </c>
      <c r="J317" s="192">
        <f>VLOOKUP($B317,'RBSA Weights'!$A$2:$C$1406,3,FALSE)</f>
        <v>1524.7619999999999</v>
      </c>
    </row>
    <row r="318" spans="1:10">
      <c r="A318" s="192">
        <v>120761</v>
      </c>
      <c r="B318" s="192">
        <v>12018</v>
      </c>
      <c r="C318" s="192" t="s">
        <v>815</v>
      </c>
      <c r="D318" s="192">
        <v>380</v>
      </c>
      <c r="E318" s="192" t="s">
        <v>816</v>
      </c>
      <c r="F318" s="192" t="s">
        <v>817</v>
      </c>
      <c r="G318" s="192">
        <v>0.44999998807907104</v>
      </c>
      <c r="H318" s="192" t="s">
        <v>818</v>
      </c>
      <c r="I318" s="192">
        <v>1</v>
      </c>
      <c r="J318" s="192">
        <f>VLOOKUP($B318,'RBSA Weights'!$A$2:$C$1406,3,FALSE)</f>
        <v>6932.7380000000003</v>
      </c>
    </row>
    <row r="319" spans="1:10">
      <c r="A319" s="192">
        <v>31009</v>
      </c>
      <c r="B319" s="192">
        <v>12022</v>
      </c>
      <c r="C319" s="192" t="s">
        <v>815</v>
      </c>
      <c r="D319" s="192">
        <v>215</v>
      </c>
      <c r="E319" s="192" t="s">
        <v>816</v>
      </c>
      <c r="F319" s="192" t="s">
        <v>821</v>
      </c>
      <c r="G319" s="192">
        <v>0.94999998807907104</v>
      </c>
      <c r="H319" s="192" t="s">
        <v>821</v>
      </c>
      <c r="I319" s="192">
        <v>1</v>
      </c>
      <c r="J319" s="192">
        <f>VLOOKUP($B319,'RBSA Weights'!$A$2:$C$1406,3,FALSE)</f>
        <v>1524.7619999999999</v>
      </c>
    </row>
    <row r="320" spans="1:10">
      <c r="A320" s="192">
        <v>208073</v>
      </c>
      <c r="B320" s="192">
        <v>12029</v>
      </c>
      <c r="C320" s="192" t="s">
        <v>815</v>
      </c>
      <c r="D320" s="192">
        <v>101</v>
      </c>
      <c r="E320" s="192" t="s">
        <v>816</v>
      </c>
      <c r="F320" s="192" t="s">
        <v>818</v>
      </c>
      <c r="G320" s="192">
        <v>0.60000002384185791</v>
      </c>
      <c r="H320" s="192" t="s">
        <v>818</v>
      </c>
      <c r="I320" s="192">
        <v>1</v>
      </c>
      <c r="J320" s="192">
        <f>VLOOKUP($B320,'RBSA Weights'!$A$2:$C$1406,3,FALSE)</f>
        <v>1464.694</v>
      </c>
    </row>
    <row r="321" spans="1:10">
      <c r="A321" s="192">
        <v>51475</v>
      </c>
      <c r="B321" s="192">
        <v>12033</v>
      </c>
      <c r="C321" s="192" t="s">
        <v>815</v>
      </c>
      <c r="D321" s="192">
        <v>142</v>
      </c>
      <c r="E321" s="192" t="s">
        <v>816</v>
      </c>
      <c r="F321" s="192" t="s">
        <v>817</v>
      </c>
      <c r="G321" s="192">
        <v>0.55000001192092896</v>
      </c>
      <c r="H321" s="192" t="s">
        <v>818</v>
      </c>
      <c r="I321" s="192">
        <v>1</v>
      </c>
      <c r="J321" s="192">
        <f>VLOOKUP($B321,'RBSA Weights'!$A$2:$C$1406,3,FALSE)</f>
        <v>1188.027</v>
      </c>
    </row>
    <row r="322" spans="1:10">
      <c r="A322" s="192">
        <v>93145</v>
      </c>
      <c r="B322" s="192">
        <v>12035</v>
      </c>
      <c r="C322" s="192" t="s">
        <v>815</v>
      </c>
      <c r="D322" s="192">
        <v>198</v>
      </c>
      <c r="E322" s="192" t="s">
        <v>816</v>
      </c>
      <c r="F322" s="192" t="s">
        <v>817</v>
      </c>
      <c r="G322" s="192">
        <v>0.44999998807907104</v>
      </c>
      <c r="H322" s="192" t="s">
        <v>818</v>
      </c>
      <c r="I322" s="192">
        <v>1</v>
      </c>
      <c r="J322" s="192">
        <f>VLOOKUP($B322,'RBSA Weights'!$A$2:$C$1406,3,FALSE)</f>
        <v>2003.7159999999999</v>
      </c>
    </row>
    <row r="323" spans="1:10">
      <c r="A323" s="192">
        <v>123155</v>
      </c>
      <c r="B323" s="192">
        <v>12039</v>
      </c>
      <c r="C323" s="192" t="s">
        <v>815</v>
      </c>
      <c r="D323" s="192">
        <v>191</v>
      </c>
      <c r="E323" s="192" t="s">
        <v>816</v>
      </c>
      <c r="F323" s="192" t="s">
        <v>820</v>
      </c>
      <c r="G323" s="192">
        <v>0.85000002384185791</v>
      </c>
      <c r="H323" s="192" t="s">
        <v>820</v>
      </c>
      <c r="I323" s="192">
        <v>1</v>
      </c>
      <c r="J323" s="192">
        <f>VLOOKUP($B323,'RBSA Weights'!$A$2:$C$1406,3,FALSE)</f>
        <v>4956.4930000000004</v>
      </c>
    </row>
    <row r="324" spans="1:10">
      <c r="A324" s="192">
        <v>658760</v>
      </c>
      <c r="B324" s="192">
        <v>12049</v>
      </c>
      <c r="C324" s="192" t="s">
        <v>815</v>
      </c>
      <c r="D324" s="192">
        <v>196</v>
      </c>
      <c r="E324" s="192" t="s">
        <v>816</v>
      </c>
      <c r="F324" s="192" t="s">
        <v>817</v>
      </c>
      <c r="G324" s="192">
        <v>0.44999998807907104</v>
      </c>
      <c r="H324" s="192" t="s">
        <v>818</v>
      </c>
      <c r="I324" s="192">
        <v>1</v>
      </c>
      <c r="J324" s="192">
        <f>VLOOKUP($B324,'RBSA Weights'!$A$2:$C$1406,3,FALSE)</f>
        <v>1464.694</v>
      </c>
    </row>
    <row r="325" spans="1:10">
      <c r="A325" s="192">
        <v>48038</v>
      </c>
      <c r="B325" s="192">
        <v>12054</v>
      </c>
      <c r="C325" s="192" t="s">
        <v>815</v>
      </c>
      <c r="D325" s="192">
        <v>284</v>
      </c>
      <c r="E325" s="192" t="s">
        <v>816</v>
      </c>
      <c r="F325" s="192" t="s">
        <v>824</v>
      </c>
      <c r="G325" s="192">
        <v>0.89999997615814209</v>
      </c>
      <c r="H325" s="192" t="s">
        <v>821</v>
      </c>
      <c r="I325" s="192">
        <v>1</v>
      </c>
      <c r="J325" s="192">
        <f>VLOOKUP($B325,'RBSA Weights'!$A$2:$C$1406,3,FALSE)</f>
        <v>1524.7619999999999</v>
      </c>
    </row>
    <row r="326" spans="1:10">
      <c r="A326" s="192">
        <v>823622</v>
      </c>
      <c r="B326" s="192">
        <v>12060</v>
      </c>
      <c r="C326" s="192" t="s">
        <v>815</v>
      </c>
      <c r="D326" s="192">
        <v>379</v>
      </c>
      <c r="E326" s="192" t="s">
        <v>816</v>
      </c>
      <c r="F326" s="192" t="s">
        <v>817</v>
      </c>
      <c r="G326" s="192">
        <v>0.44999998807907104</v>
      </c>
      <c r="H326" s="192" t="s">
        <v>818</v>
      </c>
      <c r="I326" s="192">
        <v>1</v>
      </c>
      <c r="J326" s="192">
        <f>VLOOKUP($B326,'RBSA Weights'!$A$2:$C$1406,3,FALSE)</f>
        <v>1464.694</v>
      </c>
    </row>
    <row r="327" spans="1:10">
      <c r="A327" s="192">
        <v>191619</v>
      </c>
      <c r="B327" s="192">
        <v>12062</v>
      </c>
      <c r="C327" s="192" t="s">
        <v>815</v>
      </c>
      <c r="D327" s="192">
        <v>127</v>
      </c>
      <c r="E327" s="192" t="s">
        <v>816</v>
      </c>
      <c r="F327" s="192" t="s">
        <v>817</v>
      </c>
      <c r="G327" s="192">
        <v>0.44999998807907104</v>
      </c>
      <c r="H327" s="192" t="s">
        <v>818</v>
      </c>
      <c r="I327" s="192">
        <v>1</v>
      </c>
      <c r="J327" s="192">
        <f>VLOOKUP($B327,'RBSA Weights'!$A$2:$C$1406,3,FALSE)</f>
        <v>6932.7380000000003</v>
      </c>
    </row>
    <row r="328" spans="1:10">
      <c r="A328" s="192">
        <v>660178</v>
      </c>
      <c r="B328" s="192">
        <v>12063</v>
      </c>
      <c r="C328" s="192" t="s">
        <v>815</v>
      </c>
      <c r="D328" s="192">
        <v>86</v>
      </c>
      <c r="E328" s="192" t="s">
        <v>819</v>
      </c>
      <c r="F328" s="192" t="s">
        <v>823</v>
      </c>
      <c r="G328" s="192">
        <v>0.85000002384185791</v>
      </c>
      <c r="H328" s="192" t="s">
        <v>823</v>
      </c>
      <c r="I328" s="192">
        <v>1</v>
      </c>
      <c r="J328" s="192">
        <f>VLOOKUP($B328,'RBSA Weights'!$A$2:$C$1406,3,FALSE)</f>
        <v>1464.694</v>
      </c>
    </row>
    <row r="329" spans="1:10">
      <c r="A329" s="192">
        <v>46304</v>
      </c>
      <c r="B329" s="192">
        <v>12064</v>
      </c>
      <c r="C329" s="192" t="s">
        <v>815</v>
      </c>
      <c r="D329" s="192">
        <v>138</v>
      </c>
      <c r="E329" s="192" t="s">
        <v>819</v>
      </c>
      <c r="F329" s="192" t="s">
        <v>821</v>
      </c>
      <c r="G329" s="192">
        <v>0.75</v>
      </c>
      <c r="H329" s="192" t="s">
        <v>821</v>
      </c>
      <c r="I329" s="192">
        <v>1</v>
      </c>
      <c r="J329" s="192">
        <f>VLOOKUP($B329,'RBSA Weights'!$A$2:$C$1406,3,FALSE)</f>
        <v>1524.7619999999999</v>
      </c>
    </row>
    <row r="330" spans="1:10">
      <c r="A330" s="192">
        <v>214075</v>
      </c>
      <c r="B330" s="192">
        <v>12086</v>
      </c>
      <c r="C330" s="192" t="s">
        <v>815</v>
      </c>
      <c r="D330" s="192">
        <v>89</v>
      </c>
      <c r="E330" s="192" t="s">
        <v>816</v>
      </c>
      <c r="F330" s="192" t="s">
        <v>817</v>
      </c>
      <c r="G330" s="192">
        <v>0.44999998807907104</v>
      </c>
      <c r="H330" s="192" t="s">
        <v>818</v>
      </c>
      <c r="I330" s="192">
        <v>1</v>
      </c>
      <c r="J330" s="192">
        <f>VLOOKUP($B330,'RBSA Weights'!$A$2:$C$1406,3,FALSE)</f>
        <v>1464.694</v>
      </c>
    </row>
    <row r="331" spans="1:10">
      <c r="A331" s="192">
        <v>217050</v>
      </c>
      <c r="B331" s="192">
        <v>12092</v>
      </c>
      <c r="C331" s="192" t="s">
        <v>815</v>
      </c>
      <c r="D331" s="192">
        <v>396</v>
      </c>
      <c r="E331" s="192" t="s">
        <v>816</v>
      </c>
      <c r="F331" s="192" t="s">
        <v>821</v>
      </c>
      <c r="G331" s="192">
        <v>0.94999998807907104</v>
      </c>
      <c r="H331" s="192" t="s">
        <v>821</v>
      </c>
      <c r="I331" s="192">
        <v>1</v>
      </c>
      <c r="J331" s="192">
        <f>VLOOKUP($B331,'RBSA Weights'!$A$2:$C$1406,3,FALSE)</f>
        <v>4956.4930000000004</v>
      </c>
    </row>
    <row r="332" spans="1:10">
      <c r="A332" s="192">
        <v>225883</v>
      </c>
      <c r="B332" s="192">
        <v>12101</v>
      </c>
      <c r="C332" s="192" t="s">
        <v>815</v>
      </c>
      <c r="D332" s="192">
        <v>359</v>
      </c>
      <c r="E332" s="192" t="s">
        <v>816</v>
      </c>
      <c r="F332" s="192" t="s">
        <v>818</v>
      </c>
      <c r="G332" s="192">
        <v>0.60000002384185791</v>
      </c>
      <c r="H332" s="192" t="s">
        <v>818</v>
      </c>
      <c r="I332" s="192">
        <v>1</v>
      </c>
      <c r="J332" s="192">
        <f>VLOOKUP($B332,'RBSA Weights'!$A$2:$C$1406,3,FALSE)</f>
        <v>4956.4930000000004</v>
      </c>
    </row>
    <row r="333" spans="1:10">
      <c r="A333" s="192">
        <v>155515</v>
      </c>
      <c r="B333" s="192">
        <v>12103</v>
      </c>
      <c r="C333" s="192" t="s">
        <v>815</v>
      </c>
      <c r="D333" s="192">
        <v>104</v>
      </c>
      <c r="E333" s="192" t="s">
        <v>819</v>
      </c>
      <c r="F333" s="192" t="s">
        <v>818</v>
      </c>
      <c r="G333" s="192">
        <v>0.55000001192092896</v>
      </c>
      <c r="H333" s="192" t="s">
        <v>818</v>
      </c>
      <c r="I333" s="192">
        <v>1</v>
      </c>
      <c r="J333" s="192">
        <f>VLOOKUP($B333,'RBSA Weights'!$A$2:$C$1406,3,FALSE)</f>
        <v>4956.4930000000004</v>
      </c>
    </row>
    <row r="334" spans="1:10">
      <c r="A334" s="192">
        <v>54637</v>
      </c>
      <c r="B334" s="192">
        <v>12105</v>
      </c>
      <c r="C334" s="192" t="s">
        <v>815</v>
      </c>
      <c r="D334" s="192">
        <v>452</v>
      </c>
      <c r="E334" s="192" t="s">
        <v>816</v>
      </c>
      <c r="F334" s="192" t="s">
        <v>817</v>
      </c>
      <c r="G334" s="192">
        <v>0.44999998807907104</v>
      </c>
      <c r="H334" s="192" t="s">
        <v>818</v>
      </c>
      <c r="I334" s="192">
        <v>1</v>
      </c>
      <c r="J334" s="192">
        <f>VLOOKUP($B334,'RBSA Weights'!$A$2:$C$1406,3,FALSE)</f>
        <v>1188.027</v>
      </c>
    </row>
    <row r="335" spans="1:10">
      <c r="A335" s="192">
        <v>113955</v>
      </c>
      <c r="B335" s="192">
        <v>12107</v>
      </c>
      <c r="C335" s="192" t="s">
        <v>815</v>
      </c>
      <c r="D335" s="192">
        <v>99</v>
      </c>
      <c r="E335" s="192" t="s">
        <v>819</v>
      </c>
      <c r="F335" s="192" t="s">
        <v>817</v>
      </c>
      <c r="G335" s="192">
        <v>0.40000000596046448</v>
      </c>
      <c r="H335" s="192" t="s">
        <v>818</v>
      </c>
      <c r="I335" s="192">
        <v>1</v>
      </c>
      <c r="J335" s="192">
        <f>VLOOKUP($B335,'RBSA Weights'!$A$2:$C$1406,3,FALSE)</f>
        <v>4956.4930000000004</v>
      </c>
    </row>
    <row r="336" spans="1:10">
      <c r="A336" s="192">
        <v>65814</v>
      </c>
      <c r="B336" s="192">
        <v>12108</v>
      </c>
      <c r="C336" s="192" t="s">
        <v>815</v>
      </c>
      <c r="D336" s="192">
        <v>284</v>
      </c>
      <c r="E336" s="192" t="s">
        <v>816</v>
      </c>
      <c r="F336" s="192" t="s">
        <v>818</v>
      </c>
      <c r="G336" s="192">
        <v>0.55000001192092896</v>
      </c>
      <c r="H336" s="192" t="s">
        <v>818</v>
      </c>
      <c r="I336" s="192">
        <v>1</v>
      </c>
      <c r="J336" s="192">
        <f>VLOOKUP($B336,'RBSA Weights'!$A$2:$C$1406,3,FALSE)</f>
        <v>1524.7619999999999</v>
      </c>
    </row>
    <row r="337" spans="1:10">
      <c r="A337" s="192">
        <v>802994</v>
      </c>
      <c r="B337" s="192">
        <v>12111</v>
      </c>
      <c r="C337" s="192" t="s">
        <v>815</v>
      </c>
      <c r="D337" s="192">
        <v>166</v>
      </c>
      <c r="E337" s="192" t="s">
        <v>816</v>
      </c>
      <c r="F337" s="192" t="s">
        <v>817</v>
      </c>
      <c r="G337" s="192">
        <v>0.44999998807907104</v>
      </c>
      <c r="H337" s="192" t="s">
        <v>818</v>
      </c>
      <c r="I337" s="192">
        <v>1</v>
      </c>
      <c r="J337" s="192">
        <f>VLOOKUP($B337,'RBSA Weights'!$A$2:$C$1406,3,FALSE)</f>
        <v>1464.694</v>
      </c>
    </row>
    <row r="338" spans="1:10">
      <c r="A338" s="192">
        <v>86521</v>
      </c>
      <c r="B338" s="192">
        <v>12114</v>
      </c>
      <c r="C338" s="192" t="s">
        <v>815</v>
      </c>
      <c r="D338" s="192">
        <v>294</v>
      </c>
      <c r="E338" s="192" t="s">
        <v>816</v>
      </c>
      <c r="F338" s="192" t="s">
        <v>817</v>
      </c>
      <c r="G338" s="192">
        <v>0.44999998807907104</v>
      </c>
      <c r="H338" s="192" t="s">
        <v>818</v>
      </c>
      <c r="I338" s="192">
        <v>1</v>
      </c>
      <c r="J338" s="192">
        <f>VLOOKUP($B338,'RBSA Weights'!$A$2:$C$1406,3,FALSE)</f>
        <v>2003.7159999999999</v>
      </c>
    </row>
    <row r="339" spans="1:10">
      <c r="A339" s="192">
        <v>137738</v>
      </c>
      <c r="B339" s="192">
        <v>12131</v>
      </c>
      <c r="C339" s="192" t="s">
        <v>815</v>
      </c>
      <c r="D339" s="192">
        <v>170</v>
      </c>
      <c r="E339" s="192" t="s">
        <v>816</v>
      </c>
      <c r="F339" s="192" t="s">
        <v>817</v>
      </c>
      <c r="G339" s="192">
        <v>0.44999998807907104</v>
      </c>
      <c r="H339" s="192" t="s">
        <v>818</v>
      </c>
      <c r="I339" s="192">
        <v>1</v>
      </c>
      <c r="J339" s="192">
        <f>VLOOKUP($B339,'RBSA Weights'!$A$2:$C$1406,3,FALSE)</f>
        <v>4956.4930000000004</v>
      </c>
    </row>
    <row r="340" spans="1:10">
      <c r="A340" s="192">
        <v>65695</v>
      </c>
      <c r="B340" s="192">
        <v>12142</v>
      </c>
      <c r="C340" s="192" t="s">
        <v>815</v>
      </c>
      <c r="D340" s="192">
        <v>159</v>
      </c>
      <c r="E340" s="192" t="s">
        <v>816</v>
      </c>
      <c r="F340" s="192" t="s">
        <v>821</v>
      </c>
      <c r="G340" s="192">
        <v>0.94999998807907104</v>
      </c>
      <c r="H340" s="192" t="s">
        <v>821</v>
      </c>
      <c r="I340" s="192">
        <v>1</v>
      </c>
      <c r="J340" s="192">
        <f>VLOOKUP($B340,'RBSA Weights'!$A$2:$C$1406,3,FALSE)</f>
        <v>1524.7619999999999</v>
      </c>
    </row>
    <row r="341" spans="1:10">
      <c r="A341" s="192">
        <v>206613</v>
      </c>
      <c r="B341" s="192">
        <v>12144</v>
      </c>
      <c r="C341" s="192" t="s">
        <v>815</v>
      </c>
      <c r="D341" s="192">
        <v>129</v>
      </c>
      <c r="E341" s="192" t="s">
        <v>816</v>
      </c>
      <c r="F341" s="192" t="s">
        <v>822</v>
      </c>
      <c r="G341" s="192">
        <v>0.75</v>
      </c>
      <c r="H341" s="192" t="s">
        <v>820</v>
      </c>
      <c r="I341" s="192">
        <v>1</v>
      </c>
      <c r="J341" s="192">
        <f>VLOOKUP($B341,'RBSA Weights'!$A$2:$C$1406,3,FALSE)</f>
        <v>6932.7380000000003</v>
      </c>
    </row>
    <row r="342" spans="1:10">
      <c r="A342" s="192">
        <v>108310</v>
      </c>
      <c r="B342" s="192">
        <v>12145</v>
      </c>
      <c r="C342" s="192" t="s">
        <v>815</v>
      </c>
      <c r="D342" s="192">
        <v>91</v>
      </c>
      <c r="E342" s="192" t="s">
        <v>819</v>
      </c>
      <c r="F342" s="192" t="s">
        <v>817</v>
      </c>
      <c r="G342" s="192">
        <v>0.40000000596046448</v>
      </c>
      <c r="H342" s="192" t="s">
        <v>818</v>
      </c>
      <c r="I342" s="192">
        <v>1</v>
      </c>
      <c r="J342" s="192">
        <f>VLOOKUP($B342,'RBSA Weights'!$A$2:$C$1406,3,FALSE)</f>
        <v>1524.7619999999999</v>
      </c>
    </row>
    <row r="343" spans="1:10">
      <c r="A343" s="192">
        <v>231292</v>
      </c>
      <c r="B343" s="192">
        <v>12146</v>
      </c>
      <c r="C343" s="192" t="s">
        <v>815</v>
      </c>
      <c r="D343" s="192">
        <v>334</v>
      </c>
      <c r="E343" s="192" t="s">
        <v>816</v>
      </c>
      <c r="F343" s="192" t="s">
        <v>818</v>
      </c>
      <c r="G343" s="192">
        <v>0.60000002384185791</v>
      </c>
      <c r="H343" s="192" t="s">
        <v>818</v>
      </c>
      <c r="I343" s="192">
        <v>1</v>
      </c>
      <c r="J343" s="192">
        <f>VLOOKUP($B343,'RBSA Weights'!$A$2:$C$1406,3,FALSE)</f>
        <v>1464.694</v>
      </c>
    </row>
    <row r="344" spans="1:10">
      <c r="A344" s="192">
        <v>206732</v>
      </c>
      <c r="B344" s="192">
        <v>12148</v>
      </c>
      <c r="C344" s="192" t="s">
        <v>815</v>
      </c>
      <c r="D344" s="192">
        <v>176</v>
      </c>
      <c r="E344" s="192" t="s">
        <v>816</v>
      </c>
      <c r="F344" s="192" t="s">
        <v>821</v>
      </c>
      <c r="G344" s="192">
        <v>0.94999998807907104</v>
      </c>
      <c r="H344" s="192" t="s">
        <v>821</v>
      </c>
      <c r="I344" s="192">
        <v>1</v>
      </c>
      <c r="J344" s="192">
        <f>VLOOKUP($B344,'RBSA Weights'!$A$2:$C$1406,3,FALSE)</f>
        <v>6932.7380000000003</v>
      </c>
    </row>
    <row r="345" spans="1:10">
      <c r="A345" s="192">
        <v>31577</v>
      </c>
      <c r="B345" s="192">
        <v>12153</v>
      </c>
      <c r="C345" s="192" t="s">
        <v>815</v>
      </c>
      <c r="D345" s="192">
        <v>145</v>
      </c>
      <c r="E345" s="192" t="s">
        <v>816</v>
      </c>
      <c r="F345" s="192" t="s">
        <v>817</v>
      </c>
      <c r="G345" s="192">
        <v>0.44999998807907104</v>
      </c>
      <c r="H345" s="192" t="s">
        <v>818</v>
      </c>
      <c r="I345" s="192">
        <v>1</v>
      </c>
      <c r="J345" s="192">
        <f>VLOOKUP($B345,'RBSA Weights'!$A$2:$C$1406,3,FALSE)</f>
        <v>1524.7619999999999</v>
      </c>
    </row>
    <row r="346" spans="1:10">
      <c r="A346" s="192">
        <v>83477</v>
      </c>
      <c r="B346" s="192">
        <v>12163</v>
      </c>
      <c r="C346" s="192" t="s">
        <v>815</v>
      </c>
      <c r="D346" s="192">
        <v>90</v>
      </c>
      <c r="E346" s="192" t="s">
        <v>816</v>
      </c>
      <c r="F346" s="192" t="s">
        <v>820</v>
      </c>
      <c r="G346" s="192">
        <v>0.80000001192092896</v>
      </c>
      <c r="H346" s="192" t="s">
        <v>820</v>
      </c>
      <c r="I346" s="192">
        <v>1</v>
      </c>
      <c r="J346" s="192">
        <f>VLOOKUP($B346,'RBSA Weights'!$A$2:$C$1406,3,FALSE)</f>
        <v>1524.7619999999999</v>
      </c>
    </row>
    <row r="347" spans="1:10">
      <c r="A347" s="192">
        <v>41842</v>
      </c>
      <c r="B347" s="192">
        <v>12169</v>
      </c>
      <c r="C347" s="192" t="s">
        <v>815</v>
      </c>
      <c r="D347" s="192">
        <v>213</v>
      </c>
      <c r="E347" s="192" t="s">
        <v>816</v>
      </c>
      <c r="F347" s="192" t="s">
        <v>818</v>
      </c>
      <c r="G347" s="192">
        <v>0.55000001192092896</v>
      </c>
      <c r="H347" s="192" t="s">
        <v>818</v>
      </c>
      <c r="I347" s="192">
        <v>1</v>
      </c>
      <c r="J347" s="192">
        <f>VLOOKUP($B347,'RBSA Weights'!$A$2:$C$1406,3,FALSE)</f>
        <v>1524.7619999999999</v>
      </c>
    </row>
    <row r="348" spans="1:10">
      <c r="A348" s="192">
        <v>104198</v>
      </c>
      <c r="B348" s="192">
        <v>12176</v>
      </c>
      <c r="C348" s="192" t="s">
        <v>815</v>
      </c>
      <c r="D348" s="192">
        <v>225</v>
      </c>
      <c r="E348" s="192" t="s">
        <v>816</v>
      </c>
      <c r="F348" s="192" t="s">
        <v>818</v>
      </c>
      <c r="G348" s="192">
        <v>0.55000001192092896</v>
      </c>
      <c r="H348" s="192" t="s">
        <v>818</v>
      </c>
      <c r="I348" s="192">
        <v>1</v>
      </c>
      <c r="J348" s="192">
        <f>VLOOKUP($B348,'RBSA Weights'!$A$2:$C$1406,3,FALSE)</f>
        <v>1524.7619999999999</v>
      </c>
    </row>
    <row r="349" spans="1:10">
      <c r="A349" s="192">
        <v>217174</v>
      </c>
      <c r="B349" s="192">
        <v>12183</v>
      </c>
      <c r="C349" s="192" t="s">
        <v>815</v>
      </c>
      <c r="D349" s="192">
        <v>174</v>
      </c>
      <c r="E349" s="192" t="s">
        <v>816</v>
      </c>
      <c r="F349" s="192" t="s">
        <v>817</v>
      </c>
      <c r="G349" s="192">
        <v>0.44999998807907104</v>
      </c>
      <c r="H349" s="192" t="s">
        <v>818</v>
      </c>
      <c r="I349" s="192">
        <v>1</v>
      </c>
      <c r="J349" s="192">
        <f>VLOOKUP($B349,'RBSA Weights'!$A$2:$C$1406,3,FALSE)</f>
        <v>4956.4930000000004</v>
      </c>
    </row>
    <row r="350" spans="1:10">
      <c r="A350" s="192">
        <v>139887</v>
      </c>
      <c r="B350" s="192">
        <v>12186</v>
      </c>
      <c r="C350" s="192" t="s">
        <v>815</v>
      </c>
      <c r="D350" s="192">
        <v>280</v>
      </c>
      <c r="E350" s="192" t="s">
        <v>816</v>
      </c>
      <c r="F350" s="192" t="s">
        <v>818</v>
      </c>
      <c r="G350" s="192">
        <v>0.60000002384185791</v>
      </c>
      <c r="H350" s="192" t="s">
        <v>818</v>
      </c>
      <c r="I350" s="192">
        <v>1</v>
      </c>
      <c r="J350" s="192">
        <f>VLOOKUP($B350,'RBSA Weights'!$A$2:$C$1406,3,FALSE)</f>
        <v>4956.4930000000004</v>
      </c>
    </row>
    <row r="351" spans="1:10">
      <c r="A351" s="192">
        <v>726949</v>
      </c>
      <c r="B351" s="192">
        <v>12190</v>
      </c>
      <c r="C351" s="192" t="s">
        <v>815</v>
      </c>
      <c r="D351" s="192">
        <v>401</v>
      </c>
      <c r="E351" s="192" t="s">
        <v>816</v>
      </c>
      <c r="F351" s="192" t="s">
        <v>817</v>
      </c>
      <c r="G351" s="192">
        <v>0.44999998807907104</v>
      </c>
      <c r="H351" s="192" t="s">
        <v>818</v>
      </c>
      <c r="I351" s="192">
        <v>1</v>
      </c>
      <c r="J351" s="192">
        <f>VLOOKUP($B351,'RBSA Weights'!$A$2:$C$1406,3,FALSE)</f>
        <v>4956.4930000000004</v>
      </c>
    </row>
    <row r="352" spans="1:10">
      <c r="A352" s="192">
        <v>47722</v>
      </c>
      <c r="B352" s="192">
        <v>12197</v>
      </c>
      <c r="C352" s="192" t="s">
        <v>815</v>
      </c>
      <c r="D352" s="192">
        <v>144</v>
      </c>
      <c r="E352" s="192" t="s">
        <v>816</v>
      </c>
      <c r="F352" s="192" t="s">
        <v>821</v>
      </c>
      <c r="G352" s="192">
        <v>0.94999998807907104</v>
      </c>
      <c r="H352" s="192" t="s">
        <v>821</v>
      </c>
      <c r="I352" s="192">
        <v>1</v>
      </c>
      <c r="J352" s="192">
        <f>VLOOKUP($B352,'RBSA Weights'!$A$2:$C$1406,3,FALSE)</f>
        <v>1524.7619999999999</v>
      </c>
    </row>
    <row r="353" spans="1:10">
      <c r="A353" s="192">
        <v>92520</v>
      </c>
      <c r="B353" s="192">
        <v>12199</v>
      </c>
      <c r="C353" s="192" t="s">
        <v>815</v>
      </c>
      <c r="D353" s="192">
        <v>167</v>
      </c>
      <c r="E353" s="192" t="s">
        <v>816</v>
      </c>
      <c r="F353" s="192" t="s">
        <v>818</v>
      </c>
      <c r="G353" s="192">
        <v>0.55000001192092896</v>
      </c>
      <c r="H353" s="192" t="s">
        <v>818</v>
      </c>
      <c r="I353" s="192">
        <v>1</v>
      </c>
      <c r="J353" s="192">
        <f>VLOOKUP($B353,'RBSA Weights'!$A$2:$C$1406,3,FALSE)</f>
        <v>2003.7159999999999</v>
      </c>
    </row>
    <row r="354" spans="1:10">
      <c r="A354" s="192">
        <v>230176</v>
      </c>
      <c r="B354" s="192">
        <v>12203</v>
      </c>
      <c r="C354" s="192" t="s">
        <v>815</v>
      </c>
      <c r="D354" s="192">
        <v>170</v>
      </c>
      <c r="E354" s="192" t="s">
        <v>816</v>
      </c>
      <c r="F354" s="192" t="s">
        <v>818</v>
      </c>
      <c r="G354" s="192">
        <v>0.60000002384185791</v>
      </c>
      <c r="H354" s="192" t="s">
        <v>818</v>
      </c>
      <c r="I354" s="192">
        <v>1</v>
      </c>
      <c r="J354" s="192">
        <f>VLOOKUP($B354,'RBSA Weights'!$A$2:$C$1406,3,FALSE)</f>
        <v>1524.7619999999999</v>
      </c>
    </row>
    <row r="355" spans="1:10">
      <c r="A355" s="192">
        <v>658878</v>
      </c>
      <c r="B355" s="192">
        <v>12207</v>
      </c>
      <c r="C355" s="192" t="s">
        <v>815</v>
      </c>
      <c r="D355" s="192">
        <v>174</v>
      </c>
      <c r="E355" s="192" t="s">
        <v>816</v>
      </c>
      <c r="F355" s="192" t="s">
        <v>818</v>
      </c>
      <c r="G355" s="192">
        <v>0.60000002384185791</v>
      </c>
      <c r="H355" s="192" t="s">
        <v>818</v>
      </c>
      <c r="I355" s="192">
        <v>1</v>
      </c>
      <c r="J355" s="192">
        <f>VLOOKUP($B355,'RBSA Weights'!$A$2:$C$1406,3,FALSE)</f>
        <v>4956.4930000000004</v>
      </c>
    </row>
    <row r="356" spans="1:10">
      <c r="A356" s="192">
        <v>199742</v>
      </c>
      <c r="B356" s="192">
        <v>12213</v>
      </c>
      <c r="C356" s="192" t="s">
        <v>815</v>
      </c>
      <c r="D356" s="192">
        <v>137</v>
      </c>
      <c r="E356" s="192" t="s">
        <v>816</v>
      </c>
      <c r="F356" s="192" t="s">
        <v>818</v>
      </c>
      <c r="G356" s="192">
        <v>0.60000002384185791</v>
      </c>
      <c r="H356" s="192" t="s">
        <v>818</v>
      </c>
      <c r="I356" s="192">
        <v>1</v>
      </c>
      <c r="J356" s="192">
        <f>VLOOKUP($B356,'RBSA Weights'!$A$2:$C$1406,3,FALSE)</f>
        <v>1464.694</v>
      </c>
    </row>
    <row r="357" spans="1:10">
      <c r="A357" s="192">
        <v>118358</v>
      </c>
      <c r="B357" s="192">
        <v>12214</v>
      </c>
      <c r="C357" s="192" t="s">
        <v>815</v>
      </c>
      <c r="D357" s="192">
        <v>170</v>
      </c>
      <c r="E357" s="192" t="s">
        <v>816</v>
      </c>
      <c r="F357" s="192" t="s">
        <v>817</v>
      </c>
      <c r="G357" s="192">
        <v>0.55000001192092896</v>
      </c>
      <c r="H357" s="192" t="s">
        <v>818</v>
      </c>
      <c r="I357" s="192">
        <v>1</v>
      </c>
      <c r="J357" s="192">
        <f>VLOOKUP($B357,'RBSA Weights'!$A$2:$C$1406,3,FALSE)</f>
        <v>4956.4930000000004</v>
      </c>
    </row>
    <row r="358" spans="1:10">
      <c r="A358" s="192">
        <v>78580</v>
      </c>
      <c r="B358" s="192">
        <v>12215</v>
      </c>
      <c r="C358" s="192" t="s">
        <v>815</v>
      </c>
      <c r="D358" s="192">
        <v>136</v>
      </c>
      <c r="E358" s="192" t="s">
        <v>819</v>
      </c>
      <c r="F358" s="192" t="s">
        <v>822</v>
      </c>
      <c r="G358" s="192">
        <v>0.64999997615814209</v>
      </c>
      <c r="H358" s="192" t="s">
        <v>820</v>
      </c>
      <c r="I358" s="192">
        <v>1</v>
      </c>
      <c r="J358" s="192">
        <f>VLOOKUP($B358,'RBSA Weights'!$A$2:$C$1406,3,FALSE)</f>
        <v>2003.7159999999999</v>
      </c>
    </row>
    <row r="359" spans="1:10">
      <c r="A359" s="192">
        <v>671688</v>
      </c>
      <c r="B359" s="192">
        <v>12226</v>
      </c>
      <c r="C359" s="192" t="s">
        <v>815</v>
      </c>
      <c r="D359" s="192">
        <v>427</v>
      </c>
      <c r="E359" s="192" t="s">
        <v>816</v>
      </c>
      <c r="F359" s="192" t="s">
        <v>817</v>
      </c>
      <c r="G359" s="192">
        <v>0.44999998807907104</v>
      </c>
      <c r="H359" s="192" t="s">
        <v>818</v>
      </c>
      <c r="I359" s="192">
        <v>1</v>
      </c>
      <c r="J359" s="192">
        <f>VLOOKUP($B359,'RBSA Weights'!$A$2:$C$1406,3,FALSE)</f>
        <v>6932.7380000000003</v>
      </c>
    </row>
    <row r="360" spans="1:10">
      <c r="A360" s="192">
        <v>32735</v>
      </c>
      <c r="B360" s="192">
        <v>12229</v>
      </c>
      <c r="C360" s="192" t="s">
        <v>815</v>
      </c>
      <c r="D360" s="192">
        <v>201</v>
      </c>
      <c r="E360" s="192" t="s">
        <v>816</v>
      </c>
      <c r="F360" s="192" t="s">
        <v>817</v>
      </c>
      <c r="G360" s="192">
        <v>0.44999998807907104</v>
      </c>
      <c r="H360" s="192" t="s">
        <v>818</v>
      </c>
      <c r="I360" s="192">
        <v>1</v>
      </c>
      <c r="J360" s="192">
        <f>VLOOKUP($B360,'RBSA Weights'!$A$2:$C$1406,3,FALSE)</f>
        <v>1524.7619999999999</v>
      </c>
    </row>
    <row r="361" spans="1:10">
      <c r="A361" s="192">
        <v>198688</v>
      </c>
      <c r="B361" s="192">
        <v>12230</v>
      </c>
      <c r="C361" s="192" t="s">
        <v>815</v>
      </c>
      <c r="D361" s="192">
        <v>306</v>
      </c>
      <c r="E361" s="192" t="s">
        <v>816</v>
      </c>
      <c r="F361" s="192" t="s">
        <v>817</v>
      </c>
      <c r="G361" s="192">
        <v>0.44999998807907104</v>
      </c>
      <c r="H361" s="192" t="s">
        <v>818</v>
      </c>
      <c r="I361" s="192">
        <v>1</v>
      </c>
      <c r="J361" s="192">
        <f>VLOOKUP($B361,'RBSA Weights'!$A$2:$C$1406,3,FALSE)</f>
        <v>6932.7380000000003</v>
      </c>
    </row>
    <row r="362" spans="1:10">
      <c r="A362" s="192">
        <v>34780</v>
      </c>
      <c r="B362" s="192">
        <v>12232</v>
      </c>
      <c r="C362" s="192" t="s">
        <v>815</v>
      </c>
      <c r="D362" s="192">
        <v>292</v>
      </c>
      <c r="E362" s="192" t="s">
        <v>816</v>
      </c>
      <c r="F362" s="192" t="s">
        <v>817</v>
      </c>
      <c r="G362" s="192">
        <v>0.55000001192092896</v>
      </c>
      <c r="H362" s="192" t="s">
        <v>818</v>
      </c>
      <c r="I362" s="192">
        <v>1</v>
      </c>
      <c r="J362" s="192">
        <f>VLOOKUP($B362,'RBSA Weights'!$A$2:$C$1406,3,FALSE)</f>
        <v>1188.027</v>
      </c>
    </row>
    <row r="363" spans="1:10">
      <c r="A363" s="192">
        <v>39591</v>
      </c>
      <c r="B363" s="192">
        <v>12242</v>
      </c>
      <c r="C363" s="192" t="s">
        <v>815</v>
      </c>
      <c r="D363" s="192">
        <v>126</v>
      </c>
      <c r="E363" s="192" t="s">
        <v>816</v>
      </c>
      <c r="F363" s="192" t="s">
        <v>822</v>
      </c>
      <c r="G363" s="192">
        <v>0.75</v>
      </c>
      <c r="H363" s="192" t="s">
        <v>820</v>
      </c>
      <c r="I363" s="192">
        <v>1</v>
      </c>
      <c r="J363" s="192">
        <f>VLOOKUP($B363,'RBSA Weights'!$A$2:$C$1406,3,FALSE)</f>
        <v>1524.7619999999999</v>
      </c>
    </row>
    <row r="364" spans="1:10">
      <c r="A364" s="192">
        <v>108405</v>
      </c>
      <c r="B364" s="192">
        <v>12247</v>
      </c>
      <c r="C364" s="192" t="s">
        <v>815</v>
      </c>
      <c r="D364" s="192">
        <v>186</v>
      </c>
      <c r="E364" s="192" t="s">
        <v>816</v>
      </c>
      <c r="F364" s="192" t="s">
        <v>827</v>
      </c>
      <c r="G364" s="192">
        <v>0.34999999403953552</v>
      </c>
      <c r="H364" s="192" t="s">
        <v>827</v>
      </c>
      <c r="I364" s="192">
        <v>1</v>
      </c>
      <c r="J364" s="192">
        <f>VLOOKUP($B364,'RBSA Weights'!$A$2:$C$1406,3,FALSE)</f>
        <v>2003.7159999999999</v>
      </c>
    </row>
    <row r="365" spans="1:10">
      <c r="A365" s="192">
        <v>83006</v>
      </c>
      <c r="B365" s="192">
        <v>12255</v>
      </c>
      <c r="C365" s="192" t="s">
        <v>815</v>
      </c>
      <c r="D365" s="192">
        <v>165</v>
      </c>
      <c r="E365" s="192" t="s">
        <v>816</v>
      </c>
      <c r="F365" s="192" t="s">
        <v>820</v>
      </c>
      <c r="G365" s="192">
        <v>0.85000002384185791</v>
      </c>
      <c r="H365" s="192" t="s">
        <v>820</v>
      </c>
      <c r="I365" s="192">
        <v>1</v>
      </c>
      <c r="J365" s="192">
        <f>VLOOKUP($B365,'RBSA Weights'!$A$2:$C$1406,3,FALSE)</f>
        <v>1188.027</v>
      </c>
    </row>
    <row r="366" spans="1:10">
      <c r="A366" s="192">
        <v>47094</v>
      </c>
      <c r="B366" s="192">
        <v>12263</v>
      </c>
      <c r="C366" s="192" t="s">
        <v>815</v>
      </c>
      <c r="D366" s="192">
        <v>76</v>
      </c>
      <c r="E366" s="192" t="s">
        <v>819</v>
      </c>
      <c r="F366" s="192" t="s">
        <v>818</v>
      </c>
      <c r="G366" s="192">
        <v>0.5</v>
      </c>
      <c r="H366" s="192" t="s">
        <v>818</v>
      </c>
      <c r="I366" s="192">
        <v>1</v>
      </c>
      <c r="J366" s="192">
        <f>VLOOKUP($B366,'RBSA Weights'!$A$2:$C$1406,3,FALSE)</f>
        <v>1524.7619999999999</v>
      </c>
    </row>
    <row r="367" spans="1:10">
      <c r="A367" s="192">
        <v>208510</v>
      </c>
      <c r="B367" s="192">
        <v>12264</v>
      </c>
      <c r="C367" s="192" t="s">
        <v>815</v>
      </c>
      <c r="D367" s="192">
        <v>264</v>
      </c>
      <c r="E367" s="192" t="s">
        <v>816</v>
      </c>
      <c r="F367" s="192" t="s">
        <v>817</v>
      </c>
      <c r="G367" s="192">
        <v>0.44999998807907104</v>
      </c>
      <c r="H367" s="192" t="s">
        <v>818</v>
      </c>
      <c r="I367" s="192">
        <v>1</v>
      </c>
      <c r="J367" s="192">
        <f>VLOOKUP($B367,'RBSA Weights'!$A$2:$C$1406,3,FALSE)</f>
        <v>1464.694</v>
      </c>
    </row>
    <row r="368" spans="1:10">
      <c r="A368" s="192">
        <v>96677</v>
      </c>
      <c r="B368" s="192">
        <v>12266</v>
      </c>
      <c r="C368" s="192" t="s">
        <v>815</v>
      </c>
      <c r="D368" s="192">
        <v>150</v>
      </c>
      <c r="E368" s="192" t="s">
        <v>816</v>
      </c>
      <c r="F368" s="192" t="s">
        <v>817</v>
      </c>
      <c r="G368" s="192">
        <v>0.44999998807907104</v>
      </c>
      <c r="H368" s="192" t="s">
        <v>818</v>
      </c>
      <c r="I368" s="192">
        <v>1</v>
      </c>
      <c r="J368" s="192">
        <f>VLOOKUP($B368,'RBSA Weights'!$A$2:$C$1406,3,FALSE)</f>
        <v>4956.4930000000004</v>
      </c>
    </row>
    <row r="369" spans="1:10">
      <c r="A369" s="192">
        <v>28882</v>
      </c>
      <c r="B369" s="192">
        <v>12270</v>
      </c>
      <c r="C369" s="192" t="s">
        <v>815</v>
      </c>
      <c r="D369" s="192">
        <v>247</v>
      </c>
      <c r="E369" s="192" t="s">
        <v>816</v>
      </c>
      <c r="F369" s="192" t="s">
        <v>817</v>
      </c>
      <c r="G369" s="192">
        <v>0.55000001192092896</v>
      </c>
      <c r="H369" s="192" t="s">
        <v>818</v>
      </c>
      <c r="I369" s="192">
        <v>1</v>
      </c>
      <c r="J369" s="192">
        <f>VLOOKUP($B369,'RBSA Weights'!$A$2:$C$1406,3,FALSE)</f>
        <v>1150.8789999999999</v>
      </c>
    </row>
    <row r="370" spans="1:10">
      <c r="A370" s="192">
        <v>61143</v>
      </c>
      <c r="B370" s="192">
        <v>12271</v>
      </c>
      <c r="C370" s="192" t="s">
        <v>815</v>
      </c>
      <c r="D370" s="192">
        <v>215</v>
      </c>
      <c r="E370" s="192" t="s">
        <v>816</v>
      </c>
      <c r="F370" s="192" t="s">
        <v>821</v>
      </c>
      <c r="G370" s="192">
        <v>0.94999998807907104</v>
      </c>
      <c r="H370" s="192" t="s">
        <v>821</v>
      </c>
      <c r="I370" s="192">
        <v>1</v>
      </c>
      <c r="J370" s="192">
        <f>VLOOKUP($B370,'RBSA Weights'!$A$2:$C$1406,3,FALSE)</f>
        <v>1524.7619999999999</v>
      </c>
    </row>
    <row r="371" spans="1:10">
      <c r="A371" s="192">
        <v>677187</v>
      </c>
      <c r="B371" s="192">
        <v>12274</v>
      </c>
      <c r="C371" s="192" t="s">
        <v>815</v>
      </c>
      <c r="D371" s="192">
        <v>140</v>
      </c>
      <c r="E371" s="192" t="s">
        <v>819</v>
      </c>
      <c r="F371" s="192" t="s">
        <v>821</v>
      </c>
      <c r="G371" s="192">
        <v>0.75</v>
      </c>
      <c r="H371" s="192" t="s">
        <v>821</v>
      </c>
      <c r="I371" s="192">
        <v>1</v>
      </c>
      <c r="J371" s="192">
        <f>VLOOKUP($B371,'RBSA Weights'!$A$2:$C$1406,3,FALSE)</f>
        <v>4956.4930000000004</v>
      </c>
    </row>
    <row r="372" spans="1:10">
      <c r="A372" s="192">
        <v>83238</v>
      </c>
      <c r="B372" s="192">
        <v>12278</v>
      </c>
      <c r="C372" s="192" t="s">
        <v>815</v>
      </c>
      <c r="D372" s="192">
        <v>133</v>
      </c>
      <c r="E372" s="192" t="s">
        <v>819</v>
      </c>
      <c r="F372" s="192" t="s">
        <v>817</v>
      </c>
      <c r="G372" s="192">
        <v>0.40000000596046448</v>
      </c>
      <c r="H372" s="192" t="s">
        <v>818</v>
      </c>
      <c r="I372" s="192">
        <v>1</v>
      </c>
      <c r="J372" s="192">
        <f>VLOOKUP($B372,'RBSA Weights'!$A$2:$C$1406,3,FALSE)</f>
        <v>2003.7159999999999</v>
      </c>
    </row>
    <row r="373" spans="1:10">
      <c r="A373" s="192">
        <v>201387</v>
      </c>
      <c r="B373" s="192">
        <v>12295</v>
      </c>
      <c r="C373" s="192" t="s">
        <v>815</v>
      </c>
      <c r="D373" s="192">
        <v>497</v>
      </c>
      <c r="E373" s="192" t="s">
        <v>816</v>
      </c>
      <c r="F373" s="192" t="s">
        <v>817</v>
      </c>
      <c r="G373" s="192">
        <v>0.44999998807907104</v>
      </c>
      <c r="H373" s="192" t="s">
        <v>818</v>
      </c>
      <c r="I373" s="192">
        <v>1</v>
      </c>
      <c r="J373" s="192">
        <f>VLOOKUP($B373,'RBSA Weights'!$A$2:$C$1406,3,FALSE)</f>
        <v>6932.7380000000003</v>
      </c>
    </row>
    <row r="374" spans="1:10">
      <c r="A374" s="192">
        <v>210199</v>
      </c>
      <c r="B374" s="192">
        <v>12303</v>
      </c>
      <c r="C374" s="192" t="s">
        <v>815</v>
      </c>
      <c r="D374" s="192">
        <v>243</v>
      </c>
      <c r="E374" s="192" t="s">
        <v>816</v>
      </c>
      <c r="F374" s="192" t="s">
        <v>817</v>
      </c>
      <c r="G374" s="192">
        <v>0.44999998807907104</v>
      </c>
      <c r="H374" s="192" t="s">
        <v>818</v>
      </c>
      <c r="I374" s="192">
        <v>1</v>
      </c>
      <c r="J374" s="192">
        <f>VLOOKUP($B374,'RBSA Weights'!$A$2:$C$1406,3,FALSE)</f>
        <v>1464.694</v>
      </c>
    </row>
    <row r="375" spans="1:10">
      <c r="A375" s="192">
        <v>718382</v>
      </c>
      <c r="B375" s="192">
        <v>12305</v>
      </c>
      <c r="C375" s="192" t="s">
        <v>815</v>
      </c>
      <c r="D375" s="192">
        <v>173</v>
      </c>
      <c r="E375" s="192" t="s">
        <v>816</v>
      </c>
      <c r="F375" s="192" t="s">
        <v>818</v>
      </c>
      <c r="G375" s="192">
        <v>0.60000002384185791</v>
      </c>
      <c r="H375" s="192" t="s">
        <v>818</v>
      </c>
      <c r="I375" s="192">
        <v>1</v>
      </c>
      <c r="J375" s="192">
        <f>VLOOKUP($B375,'RBSA Weights'!$A$2:$C$1406,3,FALSE)</f>
        <v>4956.4930000000004</v>
      </c>
    </row>
    <row r="376" spans="1:10">
      <c r="A376" s="192">
        <v>35973</v>
      </c>
      <c r="B376" s="192">
        <v>12307</v>
      </c>
      <c r="C376" s="192" t="s">
        <v>815</v>
      </c>
      <c r="D376" s="192">
        <v>200</v>
      </c>
      <c r="E376" s="192" t="s">
        <v>816</v>
      </c>
      <c r="F376" s="192" t="s">
        <v>820</v>
      </c>
      <c r="G376" s="192">
        <v>0.85000002384185791</v>
      </c>
      <c r="H376" s="192" t="s">
        <v>820</v>
      </c>
      <c r="I376" s="192">
        <v>1</v>
      </c>
      <c r="J376" s="192">
        <f>VLOOKUP($B376,'RBSA Weights'!$A$2:$C$1406,3,FALSE)</f>
        <v>1524.7619999999999</v>
      </c>
    </row>
    <row r="377" spans="1:10">
      <c r="A377" s="192">
        <v>122055</v>
      </c>
      <c r="B377" s="192">
        <v>12315</v>
      </c>
      <c r="C377" s="192" t="s">
        <v>815</v>
      </c>
      <c r="D377" s="192">
        <v>362</v>
      </c>
      <c r="E377" s="192" t="s">
        <v>816</v>
      </c>
      <c r="F377" s="192" t="s">
        <v>817</v>
      </c>
      <c r="G377" s="192">
        <v>0.44999998807907104</v>
      </c>
      <c r="H377" s="192" t="s">
        <v>818</v>
      </c>
      <c r="I377" s="192">
        <v>1</v>
      </c>
      <c r="J377" s="192">
        <f>VLOOKUP($B377,'RBSA Weights'!$A$2:$C$1406,3,FALSE)</f>
        <v>2003.7159999999999</v>
      </c>
    </row>
    <row r="378" spans="1:10">
      <c r="A378" s="192">
        <v>79218</v>
      </c>
      <c r="B378" s="192">
        <v>12320</v>
      </c>
      <c r="C378" s="192" t="s">
        <v>815</v>
      </c>
      <c r="D378" s="192">
        <v>321</v>
      </c>
      <c r="E378" s="192" t="s">
        <v>816</v>
      </c>
      <c r="F378" s="192" t="s">
        <v>817</v>
      </c>
      <c r="G378" s="192">
        <v>0.55000001192092896</v>
      </c>
      <c r="H378" s="192" t="s">
        <v>818</v>
      </c>
      <c r="I378" s="192">
        <v>1</v>
      </c>
      <c r="J378" s="192">
        <f>VLOOKUP($B378,'RBSA Weights'!$A$2:$C$1406,3,FALSE)</f>
        <v>2003.7159999999999</v>
      </c>
    </row>
    <row r="379" spans="1:10">
      <c r="A379" s="192">
        <v>39714</v>
      </c>
      <c r="B379" s="192">
        <v>12321</v>
      </c>
      <c r="C379" s="192" t="s">
        <v>815</v>
      </c>
      <c r="D379" s="192">
        <v>104</v>
      </c>
      <c r="E379" s="192" t="s">
        <v>816</v>
      </c>
      <c r="F379" s="192" t="s">
        <v>817</v>
      </c>
      <c r="G379" s="192">
        <v>0.44999998807907104</v>
      </c>
      <c r="H379" s="192" t="s">
        <v>818</v>
      </c>
      <c r="I379" s="192">
        <v>1</v>
      </c>
      <c r="J379" s="192">
        <f>VLOOKUP($B379,'RBSA Weights'!$A$2:$C$1406,3,FALSE)</f>
        <v>1524.7619999999999</v>
      </c>
    </row>
    <row r="380" spans="1:10">
      <c r="A380" s="192">
        <v>84998</v>
      </c>
      <c r="B380" s="192">
        <v>12339</v>
      </c>
      <c r="C380" s="192" t="s">
        <v>815</v>
      </c>
      <c r="D380" s="192">
        <v>396</v>
      </c>
      <c r="E380" s="192" t="s">
        <v>816</v>
      </c>
      <c r="F380" s="192" t="s">
        <v>818</v>
      </c>
      <c r="G380" s="192">
        <v>0.60000002384185791</v>
      </c>
      <c r="H380" s="192" t="s">
        <v>818</v>
      </c>
      <c r="I380" s="192">
        <v>1</v>
      </c>
      <c r="J380" s="192">
        <f>VLOOKUP($B380,'RBSA Weights'!$A$2:$C$1406,3,FALSE)</f>
        <v>2003.7159999999999</v>
      </c>
    </row>
    <row r="381" spans="1:10">
      <c r="A381" s="192">
        <v>223513</v>
      </c>
      <c r="B381" s="192">
        <v>12341</v>
      </c>
      <c r="C381" s="192" t="s">
        <v>815</v>
      </c>
      <c r="D381" s="192">
        <v>205</v>
      </c>
      <c r="E381" s="192" t="s">
        <v>816</v>
      </c>
      <c r="F381" s="192" t="s">
        <v>817</v>
      </c>
      <c r="G381" s="192">
        <v>0.55000001192092896</v>
      </c>
      <c r="H381" s="192" t="s">
        <v>818</v>
      </c>
      <c r="I381" s="192">
        <v>1</v>
      </c>
      <c r="J381" s="192">
        <f>VLOOKUP($B381,'RBSA Weights'!$A$2:$C$1406,3,FALSE)</f>
        <v>1464.694</v>
      </c>
    </row>
    <row r="382" spans="1:10">
      <c r="A382" s="192">
        <v>80445</v>
      </c>
      <c r="B382" s="192">
        <v>12348</v>
      </c>
      <c r="C382" s="192" t="s">
        <v>815</v>
      </c>
      <c r="D382" s="192">
        <v>356</v>
      </c>
      <c r="E382" s="192" t="s">
        <v>816</v>
      </c>
      <c r="F382" s="192" t="s">
        <v>818</v>
      </c>
      <c r="G382" s="192">
        <v>0.55000001192092896</v>
      </c>
      <c r="H382" s="192" t="s">
        <v>818</v>
      </c>
      <c r="I382" s="192">
        <v>1</v>
      </c>
      <c r="J382" s="192">
        <f>VLOOKUP($B382,'RBSA Weights'!$A$2:$C$1406,3,FALSE)</f>
        <v>1524.7619999999999</v>
      </c>
    </row>
    <row r="383" spans="1:10">
      <c r="A383" s="192">
        <v>40849</v>
      </c>
      <c r="B383" s="192">
        <v>12358</v>
      </c>
      <c r="C383" s="192" t="s">
        <v>815</v>
      </c>
      <c r="D383" s="192">
        <v>366</v>
      </c>
      <c r="E383" s="192" t="s">
        <v>816</v>
      </c>
      <c r="F383" s="192" t="s">
        <v>820</v>
      </c>
      <c r="G383" s="192">
        <v>0.85000002384185791</v>
      </c>
      <c r="H383" s="192" t="s">
        <v>820</v>
      </c>
      <c r="I383" s="192">
        <v>1</v>
      </c>
      <c r="J383" s="192">
        <f>VLOOKUP($B383,'RBSA Weights'!$A$2:$C$1406,3,FALSE)</f>
        <v>1524.7619999999999</v>
      </c>
    </row>
    <row r="384" spans="1:10">
      <c r="A384" s="192">
        <v>190213</v>
      </c>
      <c r="B384" s="192">
        <v>12370</v>
      </c>
      <c r="C384" s="192" t="s">
        <v>815</v>
      </c>
      <c r="D384" s="192">
        <v>260</v>
      </c>
      <c r="E384" s="192" t="s">
        <v>816</v>
      </c>
      <c r="F384" s="192" t="s">
        <v>817</v>
      </c>
      <c r="G384" s="192">
        <v>0.55000001192092896</v>
      </c>
      <c r="H384" s="192" t="s">
        <v>818</v>
      </c>
      <c r="I384" s="192">
        <v>1</v>
      </c>
      <c r="J384" s="192">
        <f>VLOOKUP($B384,'RBSA Weights'!$A$2:$C$1406,3,FALSE)</f>
        <v>6932.7380000000003</v>
      </c>
    </row>
    <row r="385" spans="1:10">
      <c r="A385" s="192">
        <v>663080</v>
      </c>
      <c r="B385" s="192">
        <v>12372</v>
      </c>
      <c r="C385" s="192" t="s">
        <v>815</v>
      </c>
      <c r="D385" s="192">
        <v>164</v>
      </c>
      <c r="E385" s="192" t="s">
        <v>816</v>
      </c>
      <c r="F385" s="192" t="s">
        <v>820</v>
      </c>
      <c r="G385" s="192">
        <v>0.85000002384185791</v>
      </c>
      <c r="H385" s="192" t="s">
        <v>820</v>
      </c>
      <c r="I385" s="192">
        <v>1</v>
      </c>
      <c r="J385" s="192">
        <f>VLOOKUP($B385,'RBSA Weights'!$A$2:$C$1406,3,FALSE)</f>
        <v>4956.4930000000004</v>
      </c>
    </row>
    <row r="386" spans="1:10">
      <c r="A386" s="192">
        <v>36873</v>
      </c>
      <c r="B386" s="192">
        <v>12376</v>
      </c>
      <c r="C386" s="192" t="s">
        <v>815</v>
      </c>
      <c r="D386" s="192">
        <v>178</v>
      </c>
      <c r="E386" s="192" t="s">
        <v>816</v>
      </c>
      <c r="F386" s="192" t="s">
        <v>817</v>
      </c>
      <c r="G386" s="192">
        <v>0.55000001192092896</v>
      </c>
      <c r="H386" s="192" t="s">
        <v>818</v>
      </c>
      <c r="I386" s="192">
        <v>1</v>
      </c>
      <c r="J386" s="192">
        <f>VLOOKUP($B386,'RBSA Weights'!$A$2:$C$1406,3,FALSE)</f>
        <v>1188.027</v>
      </c>
    </row>
    <row r="387" spans="1:10">
      <c r="A387" s="192">
        <v>125315</v>
      </c>
      <c r="B387" s="192">
        <v>12377</v>
      </c>
      <c r="C387" s="192" t="s">
        <v>815</v>
      </c>
      <c r="D387" s="192">
        <v>163</v>
      </c>
      <c r="E387" s="192" t="s">
        <v>819</v>
      </c>
      <c r="F387" s="192" t="s">
        <v>821</v>
      </c>
      <c r="G387" s="192">
        <v>0.75</v>
      </c>
      <c r="H387" s="192" t="s">
        <v>821</v>
      </c>
      <c r="I387" s="192">
        <v>1</v>
      </c>
      <c r="J387" s="192">
        <f>VLOOKUP($B387,'RBSA Weights'!$A$2:$C$1406,3,FALSE)</f>
        <v>6932.7380000000003</v>
      </c>
    </row>
    <row r="388" spans="1:10">
      <c r="A388" s="192">
        <v>47406</v>
      </c>
      <c r="B388" s="192">
        <v>12398</v>
      </c>
      <c r="C388" s="192" t="s">
        <v>815</v>
      </c>
      <c r="D388" s="192">
        <v>417</v>
      </c>
      <c r="E388" s="192" t="s">
        <v>816</v>
      </c>
      <c r="F388" s="192" t="s">
        <v>821</v>
      </c>
      <c r="G388" s="192">
        <v>0.94999998807907104</v>
      </c>
      <c r="H388" s="192" t="s">
        <v>821</v>
      </c>
      <c r="I388" s="192">
        <v>1</v>
      </c>
      <c r="J388" s="192">
        <f>VLOOKUP($B388,'RBSA Weights'!$A$2:$C$1406,3,FALSE)</f>
        <v>1524.7619999999999</v>
      </c>
    </row>
    <row r="389" spans="1:10">
      <c r="A389" s="192">
        <v>59947</v>
      </c>
      <c r="B389" s="192">
        <v>12399</v>
      </c>
      <c r="C389" s="192" t="s">
        <v>815</v>
      </c>
      <c r="D389" s="192">
        <v>152</v>
      </c>
      <c r="E389" s="192" t="s">
        <v>816</v>
      </c>
      <c r="F389" s="192" t="s">
        <v>817</v>
      </c>
      <c r="G389" s="192">
        <v>0.55000001192092896</v>
      </c>
      <c r="H389" s="192" t="s">
        <v>818</v>
      </c>
      <c r="I389" s="192">
        <v>1</v>
      </c>
      <c r="J389" s="192">
        <f>VLOOKUP($B389,'RBSA Weights'!$A$2:$C$1406,3,FALSE)</f>
        <v>1524.7619999999999</v>
      </c>
    </row>
    <row r="390" spans="1:10">
      <c r="A390" s="192">
        <v>69133</v>
      </c>
      <c r="B390" s="192">
        <v>12404</v>
      </c>
      <c r="C390" s="192" t="s">
        <v>815</v>
      </c>
      <c r="D390" s="192">
        <v>241</v>
      </c>
      <c r="E390" s="192" t="s">
        <v>816</v>
      </c>
      <c r="F390" s="192" t="s">
        <v>817</v>
      </c>
      <c r="G390" s="192">
        <v>0.55000001192092896</v>
      </c>
      <c r="H390" s="192" t="s">
        <v>818</v>
      </c>
      <c r="I390" s="192">
        <v>1</v>
      </c>
      <c r="J390" s="192">
        <f>VLOOKUP($B390,'RBSA Weights'!$A$2:$C$1406,3,FALSE)</f>
        <v>2003.7159999999999</v>
      </c>
    </row>
    <row r="391" spans="1:10">
      <c r="A391" s="192">
        <v>28230</v>
      </c>
      <c r="B391" s="192">
        <v>12407</v>
      </c>
      <c r="C391" s="192" t="s">
        <v>815</v>
      </c>
      <c r="D391" s="192">
        <v>388</v>
      </c>
      <c r="E391" s="192" t="s">
        <v>816</v>
      </c>
      <c r="F391" s="192" t="s">
        <v>817</v>
      </c>
      <c r="G391" s="192">
        <v>0.44999998807907104</v>
      </c>
      <c r="H391" s="192" t="s">
        <v>818</v>
      </c>
      <c r="I391" s="192">
        <v>1</v>
      </c>
      <c r="J391" s="192">
        <f>VLOOKUP($B391,'RBSA Weights'!$A$2:$C$1406,3,FALSE)</f>
        <v>1150.8789999999999</v>
      </c>
    </row>
    <row r="392" spans="1:10">
      <c r="A392" s="192">
        <v>135175</v>
      </c>
      <c r="B392" s="192">
        <v>12408</v>
      </c>
      <c r="C392" s="192" t="s">
        <v>815</v>
      </c>
      <c r="D392" s="192">
        <v>340</v>
      </c>
      <c r="E392" s="192" t="s">
        <v>816</v>
      </c>
      <c r="F392" s="192" t="s">
        <v>820</v>
      </c>
      <c r="G392" s="192">
        <v>0.85000002384185791</v>
      </c>
      <c r="H392" s="192" t="s">
        <v>820</v>
      </c>
      <c r="I392" s="192">
        <v>1</v>
      </c>
      <c r="J392" s="192">
        <f>VLOOKUP($B392,'RBSA Weights'!$A$2:$C$1406,3,FALSE)</f>
        <v>4956.4930000000004</v>
      </c>
    </row>
    <row r="393" spans="1:10">
      <c r="A393" s="192">
        <v>96780</v>
      </c>
      <c r="B393" s="192">
        <v>12414</v>
      </c>
      <c r="C393" s="192" t="s">
        <v>815</v>
      </c>
      <c r="D393" s="192">
        <v>109</v>
      </c>
      <c r="E393" s="192" t="s">
        <v>816</v>
      </c>
      <c r="F393" s="192" t="s">
        <v>817</v>
      </c>
      <c r="G393" s="192">
        <v>0.55000001192092896</v>
      </c>
      <c r="H393" s="192" t="s">
        <v>818</v>
      </c>
      <c r="I393" s="192">
        <v>1</v>
      </c>
      <c r="J393" s="192">
        <f>VLOOKUP($B393,'RBSA Weights'!$A$2:$C$1406,3,FALSE)</f>
        <v>1524.7619999999999</v>
      </c>
    </row>
    <row r="394" spans="1:10">
      <c r="A394" s="192">
        <v>32030</v>
      </c>
      <c r="B394" s="192">
        <v>12427</v>
      </c>
      <c r="C394" s="192" t="s">
        <v>815</v>
      </c>
      <c r="D394" s="192">
        <v>263</v>
      </c>
      <c r="E394" s="192" t="s">
        <v>816</v>
      </c>
      <c r="F394" s="192" t="s">
        <v>821</v>
      </c>
      <c r="G394" s="192">
        <v>0.94999998807907104</v>
      </c>
      <c r="H394" s="192" t="s">
        <v>821</v>
      </c>
      <c r="I394" s="192">
        <v>1</v>
      </c>
      <c r="J394" s="192">
        <f>VLOOKUP($B394,'RBSA Weights'!$A$2:$C$1406,3,FALSE)</f>
        <v>1524.7619999999999</v>
      </c>
    </row>
    <row r="395" spans="1:10">
      <c r="A395" s="192">
        <v>681581</v>
      </c>
      <c r="B395" s="192">
        <v>12434</v>
      </c>
      <c r="C395" s="192" t="s">
        <v>815</v>
      </c>
      <c r="D395" s="192">
        <v>177</v>
      </c>
      <c r="E395" s="192" t="s">
        <v>816</v>
      </c>
      <c r="F395" s="192" t="s">
        <v>817</v>
      </c>
      <c r="G395" s="192">
        <v>0.44999998807907104</v>
      </c>
      <c r="H395" s="192" t="s">
        <v>818</v>
      </c>
      <c r="I395" s="192">
        <v>1</v>
      </c>
      <c r="J395" s="192">
        <f>VLOOKUP($B395,'RBSA Weights'!$A$2:$C$1406,3,FALSE)</f>
        <v>6932.7380000000003</v>
      </c>
    </row>
    <row r="396" spans="1:10">
      <c r="A396" s="192">
        <v>62088</v>
      </c>
      <c r="B396" s="192">
        <v>12456</v>
      </c>
      <c r="C396" s="192" t="s">
        <v>815</v>
      </c>
      <c r="D396" s="192">
        <v>124</v>
      </c>
      <c r="E396" s="192" t="s">
        <v>816</v>
      </c>
      <c r="F396" s="192" t="s">
        <v>820</v>
      </c>
      <c r="G396" s="192">
        <v>0.85000002384185791</v>
      </c>
      <c r="H396" s="192" t="s">
        <v>820</v>
      </c>
      <c r="I396" s="192">
        <v>1</v>
      </c>
      <c r="J396" s="192">
        <f>VLOOKUP($B396,'RBSA Weights'!$A$2:$C$1406,3,FALSE)</f>
        <v>2003.7159999999999</v>
      </c>
    </row>
    <row r="397" spans="1:10">
      <c r="A397" s="192">
        <v>51676</v>
      </c>
      <c r="B397" s="192">
        <v>12458</v>
      </c>
      <c r="C397" s="192" t="s">
        <v>815</v>
      </c>
      <c r="D397" s="192">
        <v>404</v>
      </c>
      <c r="E397" s="192" t="s">
        <v>816</v>
      </c>
      <c r="F397" s="192" t="s">
        <v>817</v>
      </c>
      <c r="G397" s="192">
        <v>0.44999998807907104</v>
      </c>
      <c r="H397" s="192" t="s">
        <v>818</v>
      </c>
      <c r="I397" s="192">
        <v>1</v>
      </c>
      <c r="J397" s="192">
        <f>VLOOKUP($B397,'RBSA Weights'!$A$2:$C$1406,3,FALSE)</f>
        <v>1188.027</v>
      </c>
    </row>
    <row r="398" spans="1:10">
      <c r="A398" s="192">
        <v>233781</v>
      </c>
      <c r="B398" s="192">
        <v>12460</v>
      </c>
      <c r="C398" s="192" t="s">
        <v>815</v>
      </c>
      <c r="D398" s="192">
        <v>172</v>
      </c>
      <c r="E398" s="192" t="s">
        <v>816</v>
      </c>
      <c r="F398" s="192" t="s">
        <v>817</v>
      </c>
      <c r="G398" s="192">
        <v>0.44999998807907104</v>
      </c>
      <c r="H398" s="192" t="s">
        <v>818</v>
      </c>
      <c r="I398" s="192">
        <v>1</v>
      </c>
      <c r="J398" s="192">
        <f>VLOOKUP($B398,'RBSA Weights'!$A$2:$C$1406,3,FALSE)</f>
        <v>1150.8789999999999</v>
      </c>
    </row>
    <row r="399" spans="1:10">
      <c r="A399" s="192">
        <v>238157</v>
      </c>
      <c r="B399" s="192">
        <v>12478</v>
      </c>
      <c r="C399" s="192" t="s">
        <v>815</v>
      </c>
      <c r="D399" s="192">
        <v>206</v>
      </c>
      <c r="E399" s="192" t="s">
        <v>816</v>
      </c>
      <c r="F399" s="192" t="s">
        <v>818</v>
      </c>
      <c r="G399" s="192">
        <v>0.60000002384185791</v>
      </c>
      <c r="H399" s="192" t="s">
        <v>818</v>
      </c>
      <c r="I399" s="192">
        <v>1</v>
      </c>
      <c r="J399" s="192">
        <f>VLOOKUP($B399,'RBSA Weights'!$A$2:$C$1406,3,FALSE)</f>
        <v>1150.8789999999999</v>
      </c>
    </row>
    <row r="400" spans="1:10">
      <c r="A400" s="192">
        <v>726301</v>
      </c>
      <c r="B400" s="192">
        <v>12482</v>
      </c>
      <c r="C400" s="192" t="s">
        <v>815</v>
      </c>
      <c r="D400" s="192">
        <v>424</v>
      </c>
      <c r="E400" s="192" t="s">
        <v>816</v>
      </c>
      <c r="F400" s="192" t="s">
        <v>817</v>
      </c>
      <c r="G400" s="192">
        <v>0.44999998807907104</v>
      </c>
      <c r="H400" s="192" t="s">
        <v>818</v>
      </c>
      <c r="I400" s="192">
        <v>1</v>
      </c>
      <c r="J400" s="192">
        <f>VLOOKUP($B400,'RBSA Weights'!$A$2:$C$1406,3,FALSE)</f>
        <v>4956.4930000000004</v>
      </c>
    </row>
    <row r="401" spans="1:10">
      <c r="A401" s="192">
        <v>63028</v>
      </c>
      <c r="B401" s="192">
        <v>12483</v>
      </c>
      <c r="C401" s="192" t="s">
        <v>815</v>
      </c>
      <c r="D401" s="192">
        <v>205</v>
      </c>
      <c r="E401" s="192" t="s">
        <v>816</v>
      </c>
      <c r="F401" s="192" t="s">
        <v>818</v>
      </c>
      <c r="G401" s="192">
        <v>0.55000001192092896</v>
      </c>
      <c r="H401" s="192" t="s">
        <v>818</v>
      </c>
      <c r="I401" s="192">
        <v>1</v>
      </c>
      <c r="J401" s="192">
        <f>VLOOKUP($B401,'RBSA Weights'!$A$2:$C$1406,3,FALSE)</f>
        <v>1188.027</v>
      </c>
    </row>
    <row r="402" spans="1:10">
      <c r="A402" s="192">
        <v>116874</v>
      </c>
      <c r="B402" s="192">
        <v>12486</v>
      </c>
      <c r="C402" s="192" t="s">
        <v>815</v>
      </c>
      <c r="D402" s="192">
        <v>284</v>
      </c>
      <c r="E402" s="192" t="s">
        <v>819</v>
      </c>
      <c r="F402" s="192" t="s">
        <v>820</v>
      </c>
      <c r="G402" s="192">
        <v>0.69999998807907104</v>
      </c>
      <c r="H402" s="192" t="s">
        <v>820</v>
      </c>
      <c r="I402" s="192">
        <v>1</v>
      </c>
      <c r="J402" s="192">
        <f>VLOOKUP($B402,'RBSA Weights'!$A$2:$C$1406,3,FALSE)</f>
        <v>4956.4930000000004</v>
      </c>
    </row>
    <row r="403" spans="1:10">
      <c r="A403" s="192">
        <v>112926</v>
      </c>
      <c r="B403" s="192">
        <v>12489</v>
      </c>
      <c r="C403" s="192" t="s">
        <v>815</v>
      </c>
      <c r="D403" s="192">
        <v>246</v>
      </c>
      <c r="E403" s="192" t="s">
        <v>816</v>
      </c>
      <c r="F403" s="192" t="s">
        <v>818</v>
      </c>
      <c r="G403" s="192">
        <v>0.60000002384185791</v>
      </c>
      <c r="H403" s="192" t="s">
        <v>818</v>
      </c>
      <c r="I403" s="192">
        <v>1</v>
      </c>
      <c r="J403" s="192">
        <f>VLOOKUP($B403,'RBSA Weights'!$A$2:$C$1406,3,FALSE)</f>
        <v>4956.4930000000004</v>
      </c>
    </row>
    <row r="404" spans="1:10">
      <c r="A404" s="192">
        <v>103880</v>
      </c>
      <c r="B404" s="192">
        <v>12494</v>
      </c>
      <c r="C404" s="192" t="s">
        <v>815</v>
      </c>
      <c r="D404" s="192">
        <v>319</v>
      </c>
      <c r="E404" s="192" t="s">
        <v>816</v>
      </c>
      <c r="F404" s="192" t="s">
        <v>824</v>
      </c>
      <c r="G404" s="192">
        <v>0.89999997615814209</v>
      </c>
      <c r="H404" s="192" t="s">
        <v>821</v>
      </c>
      <c r="I404" s="192">
        <v>1</v>
      </c>
      <c r="J404" s="192">
        <f>VLOOKUP($B404,'RBSA Weights'!$A$2:$C$1406,3,FALSE)</f>
        <v>1524.7619999999999</v>
      </c>
    </row>
    <row r="405" spans="1:10">
      <c r="A405" s="192">
        <v>28014</v>
      </c>
      <c r="B405" s="192">
        <v>12496</v>
      </c>
      <c r="C405" s="192" t="s">
        <v>815</v>
      </c>
      <c r="D405" s="192">
        <v>260</v>
      </c>
      <c r="E405" s="192" t="s">
        <v>816</v>
      </c>
      <c r="F405" s="192" t="s">
        <v>823</v>
      </c>
      <c r="G405" s="192">
        <v>1.1000000238418579</v>
      </c>
      <c r="H405" s="192" t="s">
        <v>823</v>
      </c>
      <c r="I405" s="192">
        <v>1</v>
      </c>
      <c r="J405" s="192">
        <f>VLOOKUP($B405,'RBSA Weights'!$A$2:$C$1406,3,FALSE)</f>
        <v>1150.8789999999999</v>
      </c>
    </row>
    <row r="406" spans="1:10">
      <c r="A406" s="192">
        <v>133954</v>
      </c>
      <c r="B406" s="192">
        <v>12499</v>
      </c>
      <c r="C406" s="192" t="s">
        <v>815</v>
      </c>
      <c r="D406" s="192">
        <v>167</v>
      </c>
      <c r="E406" s="192" t="s">
        <v>819</v>
      </c>
      <c r="F406" s="192" t="s">
        <v>821</v>
      </c>
      <c r="G406" s="192">
        <v>0.75</v>
      </c>
      <c r="H406" s="192" t="s">
        <v>821</v>
      </c>
      <c r="I406" s="192">
        <v>1</v>
      </c>
      <c r="J406" s="192">
        <f>VLOOKUP($B406,'RBSA Weights'!$A$2:$C$1406,3,FALSE)</f>
        <v>6932.7380000000003</v>
      </c>
    </row>
    <row r="407" spans="1:10">
      <c r="A407" s="192">
        <v>48385</v>
      </c>
      <c r="B407" s="192">
        <v>12504</v>
      </c>
      <c r="C407" s="192" t="s">
        <v>815</v>
      </c>
      <c r="D407" s="192">
        <v>180</v>
      </c>
      <c r="E407" s="192" t="s">
        <v>816</v>
      </c>
      <c r="F407" s="192" t="s">
        <v>818</v>
      </c>
      <c r="G407" s="192">
        <v>0.60000002384185791</v>
      </c>
      <c r="H407" s="192" t="s">
        <v>818</v>
      </c>
      <c r="I407" s="192">
        <v>1</v>
      </c>
      <c r="J407" s="192">
        <f>VLOOKUP($B407,'RBSA Weights'!$A$2:$C$1406,3,FALSE)</f>
        <v>1524.7619999999999</v>
      </c>
    </row>
    <row r="408" spans="1:10">
      <c r="A408" s="192">
        <v>79615</v>
      </c>
      <c r="B408" s="192">
        <v>12505</v>
      </c>
      <c r="C408" s="192" t="s">
        <v>815</v>
      </c>
      <c r="D408" s="192">
        <v>119</v>
      </c>
      <c r="E408" s="192" t="s">
        <v>816</v>
      </c>
      <c r="F408" s="192" t="s">
        <v>817</v>
      </c>
      <c r="G408" s="192">
        <v>0.55000001192092896</v>
      </c>
      <c r="H408" s="192" t="s">
        <v>818</v>
      </c>
      <c r="I408" s="192">
        <v>1</v>
      </c>
      <c r="J408" s="192">
        <f>VLOOKUP($B408,'RBSA Weights'!$A$2:$C$1406,3,FALSE)</f>
        <v>2003.7159999999999</v>
      </c>
    </row>
    <row r="409" spans="1:10">
      <c r="A409" s="192">
        <v>680634</v>
      </c>
      <c r="B409" s="192">
        <v>12507</v>
      </c>
      <c r="C409" s="192" t="s">
        <v>815</v>
      </c>
      <c r="D409" s="192">
        <v>229</v>
      </c>
      <c r="E409" s="192" t="s">
        <v>816</v>
      </c>
      <c r="F409" s="192" t="s">
        <v>817</v>
      </c>
      <c r="G409" s="192">
        <v>0.44999998807907104</v>
      </c>
      <c r="H409" s="192" t="s">
        <v>818</v>
      </c>
      <c r="I409" s="192">
        <v>1</v>
      </c>
      <c r="J409" s="192">
        <f>VLOOKUP($B409,'RBSA Weights'!$A$2:$C$1406,3,FALSE)</f>
        <v>1524.7619999999999</v>
      </c>
    </row>
    <row r="410" spans="1:10">
      <c r="A410" s="192">
        <v>82219</v>
      </c>
      <c r="B410" s="192">
        <v>12510</v>
      </c>
      <c r="C410" s="192" t="s">
        <v>815</v>
      </c>
      <c r="D410" s="192">
        <v>257</v>
      </c>
      <c r="E410" s="192" t="s">
        <v>816</v>
      </c>
      <c r="F410" s="192" t="s">
        <v>817</v>
      </c>
      <c r="G410" s="192">
        <v>0.44999998807907104</v>
      </c>
      <c r="H410" s="192" t="s">
        <v>818</v>
      </c>
      <c r="I410" s="192">
        <v>1</v>
      </c>
      <c r="J410" s="192">
        <f>VLOOKUP($B410,'RBSA Weights'!$A$2:$C$1406,3,FALSE)</f>
        <v>2003.7159999999999</v>
      </c>
    </row>
    <row r="411" spans="1:10">
      <c r="A411" s="192">
        <v>76747</v>
      </c>
      <c r="B411" s="192">
        <v>12514</v>
      </c>
      <c r="C411" s="192" t="s">
        <v>815</v>
      </c>
      <c r="D411" s="192">
        <v>125</v>
      </c>
      <c r="E411" s="192" t="s">
        <v>816</v>
      </c>
      <c r="F411" s="192" t="s">
        <v>824</v>
      </c>
      <c r="G411" s="192">
        <v>0.89999997615814209</v>
      </c>
      <c r="H411" s="192" t="s">
        <v>821</v>
      </c>
      <c r="I411" s="192">
        <v>1</v>
      </c>
      <c r="J411" s="192">
        <f>VLOOKUP($B411,'RBSA Weights'!$A$2:$C$1406,3,FALSE)</f>
        <v>1524.7619999999999</v>
      </c>
    </row>
    <row r="412" spans="1:10">
      <c r="A412" s="192">
        <v>89464</v>
      </c>
      <c r="B412" s="192">
        <v>12524</v>
      </c>
      <c r="C412" s="192" t="s">
        <v>815</v>
      </c>
      <c r="D412" s="192">
        <v>187</v>
      </c>
      <c r="E412" s="192" t="s">
        <v>816</v>
      </c>
      <c r="F412" s="192" t="s">
        <v>822</v>
      </c>
      <c r="G412" s="192">
        <v>0.75</v>
      </c>
      <c r="H412" s="192" t="s">
        <v>820</v>
      </c>
      <c r="I412" s="192">
        <v>1</v>
      </c>
      <c r="J412" s="192">
        <f>VLOOKUP($B412,'RBSA Weights'!$A$2:$C$1406,3,FALSE)</f>
        <v>2003.7159999999999</v>
      </c>
    </row>
    <row r="413" spans="1:10">
      <c r="A413" s="192">
        <v>118131</v>
      </c>
      <c r="B413" s="192">
        <v>12556</v>
      </c>
      <c r="C413" s="192" t="s">
        <v>815</v>
      </c>
      <c r="D413" s="192">
        <v>250</v>
      </c>
      <c r="E413" s="192" t="s">
        <v>816</v>
      </c>
      <c r="F413" s="192" t="s">
        <v>817</v>
      </c>
      <c r="G413" s="192">
        <v>0.44999998807907104</v>
      </c>
      <c r="H413" s="192" t="s">
        <v>818</v>
      </c>
      <c r="I413" s="192">
        <v>1</v>
      </c>
      <c r="J413" s="192">
        <f>VLOOKUP($B413,'RBSA Weights'!$A$2:$C$1406,3,FALSE)</f>
        <v>4956.4930000000004</v>
      </c>
    </row>
    <row r="414" spans="1:10">
      <c r="A414" s="192">
        <v>149232</v>
      </c>
      <c r="B414" s="192">
        <v>12561</v>
      </c>
      <c r="C414" s="192" t="s">
        <v>815</v>
      </c>
      <c r="D414" s="192">
        <v>232</v>
      </c>
      <c r="E414" s="192" t="s">
        <v>816</v>
      </c>
      <c r="F414" s="192" t="s">
        <v>817</v>
      </c>
      <c r="G414" s="192">
        <v>0.55000001192092896</v>
      </c>
      <c r="H414" s="192" t="s">
        <v>818</v>
      </c>
      <c r="I414" s="192">
        <v>1</v>
      </c>
      <c r="J414" s="192">
        <f>VLOOKUP($B414,'RBSA Weights'!$A$2:$C$1406,3,FALSE)</f>
        <v>4956.4930000000004</v>
      </c>
    </row>
    <row r="415" spans="1:10">
      <c r="A415" s="192">
        <v>98711</v>
      </c>
      <c r="B415" s="192">
        <v>12564</v>
      </c>
      <c r="C415" s="192" t="s">
        <v>815</v>
      </c>
      <c r="D415" s="192">
        <v>116</v>
      </c>
      <c r="E415" s="192" t="s">
        <v>819</v>
      </c>
      <c r="F415" s="192" t="s">
        <v>817</v>
      </c>
      <c r="G415" s="192">
        <v>0.40000000596046448</v>
      </c>
      <c r="H415" s="192" t="s">
        <v>818</v>
      </c>
      <c r="I415" s="192">
        <v>1</v>
      </c>
      <c r="J415" s="192">
        <f>VLOOKUP($B415,'RBSA Weights'!$A$2:$C$1406,3,FALSE)</f>
        <v>2003.7159999999999</v>
      </c>
    </row>
    <row r="416" spans="1:10">
      <c r="A416" s="192">
        <v>92627</v>
      </c>
      <c r="B416" s="192">
        <v>12569</v>
      </c>
      <c r="C416" s="192" t="s">
        <v>815</v>
      </c>
      <c r="D416" s="192">
        <v>107</v>
      </c>
      <c r="E416" s="192" t="s">
        <v>819</v>
      </c>
      <c r="F416" s="192" t="s">
        <v>817</v>
      </c>
      <c r="G416" s="192">
        <v>0.40000000596046448</v>
      </c>
      <c r="H416" s="192" t="s">
        <v>818</v>
      </c>
      <c r="I416" s="192">
        <v>1</v>
      </c>
      <c r="J416" s="192">
        <f>VLOOKUP($B416,'RBSA Weights'!$A$2:$C$1406,3,FALSE)</f>
        <v>2003.7159999999999</v>
      </c>
    </row>
    <row r="417" spans="1:10">
      <c r="A417" s="192">
        <v>207110</v>
      </c>
      <c r="B417" s="192">
        <v>12572</v>
      </c>
      <c r="C417" s="192" t="s">
        <v>815</v>
      </c>
      <c r="D417" s="192">
        <v>159</v>
      </c>
      <c r="E417" s="192" t="s">
        <v>816</v>
      </c>
      <c r="F417" s="192" t="s">
        <v>817</v>
      </c>
      <c r="G417" s="192">
        <v>0.55000001192092896</v>
      </c>
      <c r="H417" s="192" t="s">
        <v>818</v>
      </c>
      <c r="I417" s="192">
        <v>1</v>
      </c>
      <c r="J417" s="192">
        <f>VLOOKUP($B417,'RBSA Weights'!$A$2:$C$1406,3,FALSE)</f>
        <v>6932.7380000000003</v>
      </c>
    </row>
    <row r="418" spans="1:10">
      <c r="A418" s="192">
        <v>90260</v>
      </c>
      <c r="B418" s="192">
        <v>12582</v>
      </c>
      <c r="C418" s="192" t="s">
        <v>815</v>
      </c>
      <c r="D418" s="192">
        <v>205</v>
      </c>
      <c r="E418" s="192" t="s">
        <v>816</v>
      </c>
      <c r="F418" s="192" t="s">
        <v>828</v>
      </c>
      <c r="G418" s="192">
        <v>0.94999998807907104</v>
      </c>
      <c r="H418" s="192" t="s">
        <v>823</v>
      </c>
      <c r="I418" s="192">
        <v>1</v>
      </c>
      <c r="J418" s="192">
        <f>VLOOKUP($B418,'RBSA Weights'!$A$2:$C$1406,3,FALSE)</f>
        <v>2003.7159999999999</v>
      </c>
    </row>
    <row r="419" spans="1:10">
      <c r="A419" s="192">
        <v>41312</v>
      </c>
      <c r="B419" s="192">
        <v>12600</v>
      </c>
      <c r="C419" s="192" t="s">
        <v>815</v>
      </c>
      <c r="D419" s="192">
        <v>147</v>
      </c>
      <c r="E419" s="192" t="s">
        <v>816</v>
      </c>
      <c r="F419" s="192" t="s">
        <v>818</v>
      </c>
      <c r="G419" s="192">
        <v>0.60000002384185791</v>
      </c>
      <c r="H419" s="192" t="s">
        <v>818</v>
      </c>
      <c r="I419" s="192">
        <v>1</v>
      </c>
      <c r="J419" s="192">
        <f>VLOOKUP($B419,'RBSA Weights'!$A$2:$C$1406,3,FALSE)</f>
        <v>1524.7619999999999</v>
      </c>
    </row>
    <row r="420" spans="1:10">
      <c r="A420" s="192">
        <v>35702</v>
      </c>
      <c r="B420" s="192">
        <v>12614</v>
      </c>
      <c r="C420" s="192" t="s">
        <v>815</v>
      </c>
      <c r="D420" s="192">
        <v>284</v>
      </c>
      <c r="E420" s="192" t="s">
        <v>816</v>
      </c>
      <c r="F420" s="192" t="s">
        <v>817</v>
      </c>
      <c r="G420" s="192">
        <v>0.55000001192092896</v>
      </c>
      <c r="H420" s="192" t="s">
        <v>818</v>
      </c>
      <c r="I420" s="192">
        <v>1</v>
      </c>
      <c r="J420" s="192">
        <f>VLOOKUP($B420,'RBSA Weights'!$A$2:$C$1406,3,FALSE)</f>
        <v>1524.7619999999999</v>
      </c>
    </row>
    <row r="421" spans="1:10">
      <c r="A421" s="192">
        <v>86342</v>
      </c>
      <c r="B421" s="192">
        <v>12620</v>
      </c>
      <c r="C421" s="192" t="s">
        <v>815</v>
      </c>
      <c r="D421" s="192">
        <v>822</v>
      </c>
      <c r="E421" s="192" t="s">
        <v>816</v>
      </c>
      <c r="F421" s="192" t="s">
        <v>824</v>
      </c>
      <c r="G421" s="192">
        <v>0.89999997615814209</v>
      </c>
      <c r="H421" s="192" t="s">
        <v>821</v>
      </c>
      <c r="I421" s="192">
        <v>1</v>
      </c>
      <c r="J421" s="192">
        <f>VLOOKUP($B421,'RBSA Weights'!$A$2:$C$1406,3,FALSE)</f>
        <v>2003.7159999999999</v>
      </c>
    </row>
    <row r="422" spans="1:10">
      <c r="A422" s="192">
        <v>84885</v>
      </c>
      <c r="B422" s="192">
        <v>12621</v>
      </c>
      <c r="C422" s="192" t="s">
        <v>815</v>
      </c>
      <c r="D422" s="192">
        <v>179</v>
      </c>
      <c r="E422" s="192" t="s">
        <v>816</v>
      </c>
      <c r="F422" s="192" t="s">
        <v>818</v>
      </c>
      <c r="G422" s="192">
        <v>0.60000002384185791</v>
      </c>
      <c r="H422" s="192" t="s">
        <v>818</v>
      </c>
      <c r="I422" s="192">
        <v>1</v>
      </c>
      <c r="J422" s="192">
        <f>VLOOKUP($B422,'RBSA Weights'!$A$2:$C$1406,3,FALSE)</f>
        <v>2003.7159999999999</v>
      </c>
    </row>
    <row r="423" spans="1:10">
      <c r="A423" s="192">
        <v>92399</v>
      </c>
      <c r="B423" s="192">
        <v>12630</v>
      </c>
      <c r="C423" s="192" t="s">
        <v>815</v>
      </c>
      <c r="D423" s="192">
        <v>123</v>
      </c>
      <c r="E423" s="192" t="s">
        <v>819</v>
      </c>
      <c r="F423" s="192" t="s">
        <v>817</v>
      </c>
      <c r="G423" s="192">
        <v>0.40000000596046448</v>
      </c>
      <c r="H423" s="192" t="s">
        <v>818</v>
      </c>
      <c r="I423" s="192">
        <v>1</v>
      </c>
      <c r="J423" s="192">
        <f>VLOOKUP($B423,'RBSA Weights'!$A$2:$C$1406,3,FALSE)</f>
        <v>2003.7159999999999</v>
      </c>
    </row>
    <row r="424" spans="1:10">
      <c r="A424" s="192">
        <v>27289</v>
      </c>
      <c r="B424" s="192">
        <v>12640</v>
      </c>
      <c r="C424" s="192" t="s">
        <v>815</v>
      </c>
      <c r="D424" s="192">
        <v>115</v>
      </c>
      <c r="E424" s="192" t="s">
        <v>819</v>
      </c>
      <c r="F424" s="192" t="s">
        <v>823</v>
      </c>
      <c r="G424" s="192">
        <v>0.85000002384185791</v>
      </c>
      <c r="H424" s="192" t="s">
        <v>823</v>
      </c>
      <c r="I424" s="192">
        <v>1</v>
      </c>
      <c r="J424" s="192">
        <f>VLOOKUP($B424,'RBSA Weights'!$A$2:$C$1406,3,FALSE)</f>
        <v>1150.8789999999999</v>
      </c>
    </row>
    <row r="425" spans="1:10">
      <c r="A425" s="192">
        <v>186470</v>
      </c>
      <c r="B425" s="192">
        <v>12643</v>
      </c>
      <c r="C425" s="192" t="s">
        <v>815</v>
      </c>
      <c r="D425" s="192">
        <v>424</v>
      </c>
      <c r="E425" s="192" t="s">
        <v>816</v>
      </c>
      <c r="F425" s="192" t="s">
        <v>817</v>
      </c>
      <c r="G425" s="192">
        <v>0.55000001192092896</v>
      </c>
      <c r="H425" s="192" t="s">
        <v>818</v>
      </c>
      <c r="I425" s="192">
        <v>1</v>
      </c>
      <c r="J425" s="192">
        <f>VLOOKUP($B425,'RBSA Weights'!$A$2:$C$1406,3,FALSE)</f>
        <v>6932.7380000000003</v>
      </c>
    </row>
    <row r="426" spans="1:10">
      <c r="A426" s="192">
        <v>116344</v>
      </c>
      <c r="B426" s="192">
        <v>12648</v>
      </c>
      <c r="C426" s="192" t="s">
        <v>815</v>
      </c>
      <c r="D426" s="192">
        <v>303</v>
      </c>
      <c r="E426" s="192" t="s">
        <v>819</v>
      </c>
      <c r="F426" s="192" t="s">
        <v>817</v>
      </c>
      <c r="G426" s="192">
        <v>0.40000000596046448</v>
      </c>
      <c r="H426" s="192" t="s">
        <v>818</v>
      </c>
      <c r="I426" s="192">
        <v>1</v>
      </c>
      <c r="J426" s="192">
        <f>VLOOKUP($B426,'RBSA Weights'!$A$2:$C$1406,3,FALSE)</f>
        <v>4956.4930000000004</v>
      </c>
    </row>
    <row r="427" spans="1:10">
      <c r="A427" s="192">
        <v>123072</v>
      </c>
      <c r="B427" s="192">
        <v>12656</v>
      </c>
      <c r="C427" s="192" t="s">
        <v>815</v>
      </c>
      <c r="D427" s="192">
        <v>121</v>
      </c>
      <c r="E427" s="192" t="s">
        <v>816</v>
      </c>
      <c r="F427" s="192" t="s">
        <v>817</v>
      </c>
      <c r="G427" s="192">
        <v>0.44999998807907104</v>
      </c>
      <c r="H427" s="192" t="s">
        <v>818</v>
      </c>
      <c r="I427" s="192">
        <v>1</v>
      </c>
      <c r="J427" s="192">
        <f>VLOOKUP($B427,'RBSA Weights'!$A$2:$C$1406,3,FALSE)</f>
        <v>2003.7159999999999</v>
      </c>
    </row>
    <row r="428" spans="1:10">
      <c r="A428" s="192">
        <v>52313</v>
      </c>
      <c r="B428" s="192">
        <v>12657</v>
      </c>
      <c r="C428" s="192" t="s">
        <v>815</v>
      </c>
      <c r="D428" s="192">
        <v>160</v>
      </c>
      <c r="E428" s="192" t="s">
        <v>816</v>
      </c>
      <c r="F428" s="192" t="s">
        <v>820</v>
      </c>
      <c r="G428" s="192">
        <v>0.85000002384185791</v>
      </c>
      <c r="H428" s="192" t="s">
        <v>820</v>
      </c>
      <c r="I428" s="192">
        <v>1</v>
      </c>
      <c r="J428" s="192">
        <f>VLOOKUP($B428,'RBSA Weights'!$A$2:$C$1406,3,FALSE)</f>
        <v>1524.7619999999999</v>
      </c>
    </row>
    <row r="429" spans="1:10">
      <c r="A429" s="192">
        <v>823799</v>
      </c>
      <c r="B429" s="192">
        <v>12661</v>
      </c>
      <c r="C429" s="192" t="s">
        <v>815</v>
      </c>
      <c r="D429" s="192">
        <v>177</v>
      </c>
      <c r="E429" s="192" t="s">
        <v>816</v>
      </c>
      <c r="F429" s="192" t="s">
        <v>820</v>
      </c>
      <c r="G429" s="192">
        <v>0.80000001192092896</v>
      </c>
      <c r="H429" s="192" t="s">
        <v>820</v>
      </c>
      <c r="I429" s="192">
        <v>1</v>
      </c>
      <c r="J429" s="192">
        <f>VLOOKUP($B429,'RBSA Weights'!$A$2:$C$1406,3,FALSE)</f>
        <v>2003.7159999999999</v>
      </c>
    </row>
    <row r="430" spans="1:10">
      <c r="A430" s="192">
        <v>148010</v>
      </c>
      <c r="B430" s="192">
        <v>12669</v>
      </c>
      <c r="C430" s="192" t="s">
        <v>815</v>
      </c>
      <c r="D430" s="192">
        <v>249</v>
      </c>
      <c r="E430" s="192" t="s">
        <v>819</v>
      </c>
      <c r="F430" s="192" t="s">
        <v>818</v>
      </c>
      <c r="G430" s="192">
        <v>0.5</v>
      </c>
      <c r="H430" s="192" t="s">
        <v>818</v>
      </c>
      <c r="I430" s="192">
        <v>1</v>
      </c>
      <c r="J430" s="192">
        <f>VLOOKUP($B430,'RBSA Weights'!$A$2:$C$1406,3,FALSE)</f>
        <v>4956.4930000000004</v>
      </c>
    </row>
    <row r="431" spans="1:10">
      <c r="A431" s="192">
        <v>30918</v>
      </c>
      <c r="B431" s="192">
        <v>12670</v>
      </c>
      <c r="C431" s="192" t="s">
        <v>815</v>
      </c>
      <c r="D431" s="192">
        <v>190</v>
      </c>
      <c r="E431" s="192" t="s">
        <v>816</v>
      </c>
      <c r="F431" s="192" t="s">
        <v>824</v>
      </c>
      <c r="G431" s="192">
        <v>0.89999997615814209</v>
      </c>
      <c r="H431" s="192" t="s">
        <v>821</v>
      </c>
      <c r="I431" s="192">
        <v>1</v>
      </c>
      <c r="J431" s="192">
        <f>VLOOKUP($B431,'RBSA Weights'!$A$2:$C$1406,3,FALSE)</f>
        <v>1524.7619999999999</v>
      </c>
    </row>
    <row r="432" spans="1:10">
      <c r="A432" s="192">
        <v>213866</v>
      </c>
      <c r="B432" s="192">
        <v>12675</v>
      </c>
      <c r="C432" s="192" t="s">
        <v>815</v>
      </c>
      <c r="D432" s="192">
        <v>127</v>
      </c>
      <c r="E432" s="192" t="s">
        <v>819</v>
      </c>
      <c r="F432" s="192" t="s">
        <v>823</v>
      </c>
      <c r="G432" s="192">
        <v>0.85000002384185791</v>
      </c>
      <c r="H432" s="192" t="s">
        <v>823</v>
      </c>
      <c r="I432" s="192">
        <v>1</v>
      </c>
      <c r="J432" s="192">
        <f>VLOOKUP($B432,'RBSA Weights'!$A$2:$C$1406,3,FALSE)</f>
        <v>1464.694</v>
      </c>
    </row>
    <row r="433" spans="1:10">
      <c r="A433" s="192">
        <v>85324</v>
      </c>
      <c r="B433" s="192">
        <v>12678</v>
      </c>
      <c r="C433" s="192" t="s">
        <v>815</v>
      </c>
      <c r="D433" s="192">
        <v>178</v>
      </c>
      <c r="E433" s="192" t="s">
        <v>819</v>
      </c>
      <c r="F433" s="192" t="s">
        <v>817</v>
      </c>
      <c r="G433" s="192">
        <v>0.40000000596046448</v>
      </c>
      <c r="H433" s="192" t="s">
        <v>818</v>
      </c>
      <c r="I433" s="192">
        <v>1</v>
      </c>
      <c r="J433" s="192">
        <f>VLOOKUP($B433,'RBSA Weights'!$A$2:$C$1406,3,FALSE)</f>
        <v>2003.7159999999999</v>
      </c>
    </row>
    <row r="434" spans="1:10">
      <c r="A434" s="192">
        <v>41756</v>
      </c>
      <c r="B434" s="192">
        <v>12679</v>
      </c>
      <c r="C434" s="192" t="s">
        <v>815</v>
      </c>
      <c r="D434" s="192">
        <v>174</v>
      </c>
      <c r="E434" s="192" t="s">
        <v>816</v>
      </c>
      <c r="F434" s="192" t="s">
        <v>818</v>
      </c>
      <c r="G434" s="192">
        <v>0.55000001192092896</v>
      </c>
      <c r="H434" s="192" t="s">
        <v>818</v>
      </c>
      <c r="I434" s="192">
        <v>1</v>
      </c>
      <c r="J434" s="192">
        <f>VLOOKUP($B434,'RBSA Weights'!$A$2:$C$1406,3,FALSE)</f>
        <v>1524.7619999999999</v>
      </c>
    </row>
    <row r="435" spans="1:10">
      <c r="A435" s="192">
        <v>93415</v>
      </c>
      <c r="B435" s="192">
        <v>12690</v>
      </c>
      <c r="C435" s="192" t="s">
        <v>815</v>
      </c>
      <c r="D435" s="192">
        <v>528</v>
      </c>
      <c r="E435" s="192" t="s">
        <v>816</v>
      </c>
      <c r="F435" s="192" t="s">
        <v>820</v>
      </c>
      <c r="G435" s="192">
        <v>0.69999998807907104</v>
      </c>
      <c r="H435" s="192" t="s">
        <v>820</v>
      </c>
      <c r="I435" s="192">
        <v>1</v>
      </c>
      <c r="J435" s="192">
        <f>VLOOKUP($B435,'RBSA Weights'!$A$2:$C$1406,3,FALSE)</f>
        <v>4956.4930000000004</v>
      </c>
    </row>
    <row r="436" spans="1:10">
      <c r="A436" s="192">
        <v>125441</v>
      </c>
      <c r="B436" s="192">
        <v>12693</v>
      </c>
      <c r="C436" s="192" t="s">
        <v>815</v>
      </c>
      <c r="D436" s="192">
        <v>171</v>
      </c>
      <c r="E436" s="192" t="s">
        <v>816</v>
      </c>
      <c r="F436" s="192" t="s">
        <v>825</v>
      </c>
      <c r="G436" s="192">
        <v>0.2199999988079071</v>
      </c>
      <c r="H436" s="192" t="s">
        <v>826</v>
      </c>
      <c r="I436" s="192">
        <v>1</v>
      </c>
      <c r="J436" s="192">
        <f>VLOOKUP($B436,'RBSA Weights'!$A$2:$C$1406,3,FALSE)</f>
        <v>4956.4930000000004</v>
      </c>
    </row>
    <row r="437" spans="1:10">
      <c r="A437" s="192">
        <v>66530</v>
      </c>
      <c r="B437" s="192">
        <v>12724</v>
      </c>
      <c r="C437" s="192" t="s">
        <v>815</v>
      </c>
      <c r="D437" s="192">
        <v>512</v>
      </c>
      <c r="E437" s="192" t="s">
        <v>819</v>
      </c>
      <c r="F437" s="192" t="s">
        <v>820</v>
      </c>
      <c r="G437" s="192">
        <v>0.69999998807907104</v>
      </c>
      <c r="H437" s="192" t="s">
        <v>820</v>
      </c>
      <c r="I437" s="192">
        <v>1</v>
      </c>
      <c r="J437" s="192">
        <f>VLOOKUP($B437,'RBSA Weights'!$A$2:$C$1406,3,FALSE)</f>
        <v>2003.7159999999999</v>
      </c>
    </row>
    <row r="438" spans="1:10">
      <c r="A438" s="192">
        <v>240215</v>
      </c>
      <c r="B438" s="192">
        <v>12730</v>
      </c>
      <c r="C438" s="192" t="s">
        <v>815</v>
      </c>
      <c r="D438" s="192">
        <v>60</v>
      </c>
      <c r="E438" s="192" t="s">
        <v>816</v>
      </c>
      <c r="F438" s="192" t="s">
        <v>817</v>
      </c>
      <c r="G438" s="192">
        <v>0.44999998807907104</v>
      </c>
      <c r="H438" s="192" t="s">
        <v>818</v>
      </c>
      <c r="I438" s="192">
        <v>1</v>
      </c>
      <c r="J438" s="192">
        <f>VLOOKUP($B438,'RBSA Weights'!$A$2:$C$1406,3,FALSE)</f>
        <v>1150.8789999999999</v>
      </c>
    </row>
    <row r="439" spans="1:10">
      <c r="A439" s="192">
        <v>195771</v>
      </c>
      <c r="B439" s="192">
        <v>12737</v>
      </c>
      <c r="C439" s="192" t="s">
        <v>815</v>
      </c>
      <c r="D439" s="192">
        <v>167</v>
      </c>
      <c r="E439" s="192" t="s">
        <v>816</v>
      </c>
      <c r="F439" s="192" t="s">
        <v>817</v>
      </c>
      <c r="G439" s="192">
        <v>0.44999998807907104</v>
      </c>
      <c r="H439" s="192" t="s">
        <v>818</v>
      </c>
      <c r="I439" s="192">
        <v>1</v>
      </c>
      <c r="J439" s="192">
        <f>VLOOKUP($B439,'RBSA Weights'!$A$2:$C$1406,3,FALSE)</f>
        <v>6932.7380000000003</v>
      </c>
    </row>
    <row r="440" spans="1:10">
      <c r="A440" s="192">
        <v>232058</v>
      </c>
      <c r="B440" s="192">
        <v>12738</v>
      </c>
      <c r="C440" s="192" t="s">
        <v>815</v>
      </c>
      <c r="D440" s="192">
        <v>206</v>
      </c>
      <c r="E440" s="192" t="s">
        <v>816</v>
      </c>
      <c r="F440" s="192" t="s">
        <v>818</v>
      </c>
      <c r="G440" s="192">
        <v>0.60000002384185791</v>
      </c>
      <c r="H440" s="192" t="s">
        <v>818</v>
      </c>
      <c r="I440" s="192">
        <v>1</v>
      </c>
      <c r="J440" s="192">
        <f>VLOOKUP($B440,'RBSA Weights'!$A$2:$C$1406,3,FALSE)</f>
        <v>1464.694</v>
      </c>
    </row>
    <row r="441" spans="1:10">
      <c r="A441" s="192">
        <v>46204</v>
      </c>
      <c r="B441" s="192">
        <v>12739</v>
      </c>
      <c r="C441" s="192" t="s">
        <v>815</v>
      </c>
      <c r="D441" s="192">
        <v>206</v>
      </c>
      <c r="E441" s="192" t="s">
        <v>816</v>
      </c>
      <c r="F441" s="192" t="s">
        <v>817</v>
      </c>
      <c r="G441" s="192">
        <v>0.55000001192092896</v>
      </c>
      <c r="H441" s="192" t="s">
        <v>818</v>
      </c>
      <c r="I441" s="192">
        <v>1</v>
      </c>
      <c r="J441" s="192">
        <f>VLOOKUP($B441,'RBSA Weights'!$A$2:$C$1406,3,FALSE)</f>
        <v>1188.027</v>
      </c>
    </row>
    <row r="442" spans="1:10">
      <c r="A442" s="192">
        <v>149056</v>
      </c>
      <c r="B442" s="192">
        <v>12743</v>
      </c>
      <c r="C442" s="192" t="s">
        <v>815</v>
      </c>
      <c r="D442" s="192">
        <v>221</v>
      </c>
      <c r="E442" s="192" t="s">
        <v>816</v>
      </c>
      <c r="F442" s="192" t="s">
        <v>817</v>
      </c>
      <c r="G442" s="192">
        <v>0.44999998807907104</v>
      </c>
      <c r="H442" s="192" t="s">
        <v>818</v>
      </c>
      <c r="I442" s="192">
        <v>1</v>
      </c>
      <c r="J442" s="192">
        <f>VLOOKUP($B442,'RBSA Weights'!$A$2:$C$1406,3,FALSE)</f>
        <v>4956.4930000000004</v>
      </c>
    </row>
    <row r="443" spans="1:10">
      <c r="A443" s="192">
        <v>129691</v>
      </c>
      <c r="B443" s="192">
        <v>12745</v>
      </c>
      <c r="C443" s="192" t="s">
        <v>815</v>
      </c>
      <c r="D443" s="192">
        <v>102</v>
      </c>
      <c r="E443" s="192" t="s">
        <v>816</v>
      </c>
      <c r="F443" s="192" t="s">
        <v>818</v>
      </c>
      <c r="G443" s="192">
        <v>0.60000002384185791</v>
      </c>
      <c r="H443" s="192" t="s">
        <v>818</v>
      </c>
      <c r="I443" s="192">
        <v>1</v>
      </c>
      <c r="J443" s="192">
        <f>VLOOKUP($B443,'RBSA Weights'!$A$2:$C$1406,3,FALSE)</f>
        <v>1524.7619999999999</v>
      </c>
    </row>
    <row r="444" spans="1:10">
      <c r="A444" s="192">
        <v>178370</v>
      </c>
      <c r="B444" s="192">
        <v>12753</v>
      </c>
      <c r="C444" s="192" t="s">
        <v>815</v>
      </c>
      <c r="D444" s="192">
        <v>360</v>
      </c>
      <c r="E444" s="192" t="s">
        <v>816</v>
      </c>
      <c r="F444" s="192" t="s">
        <v>818</v>
      </c>
      <c r="G444" s="192">
        <v>0.60000002384185791</v>
      </c>
      <c r="H444" s="192" t="s">
        <v>818</v>
      </c>
      <c r="I444" s="192">
        <v>1</v>
      </c>
      <c r="J444" s="192">
        <f>VLOOKUP($B444,'RBSA Weights'!$A$2:$C$1406,3,FALSE)</f>
        <v>1524.7619999999999</v>
      </c>
    </row>
    <row r="445" spans="1:10">
      <c r="A445" s="192">
        <v>105499</v>
      </c>
      <c r="B445" s="192">
        <v>12755</v>
      </c>
      <c r="C445" s="192" t="s">
        <v>815</v>
      </c>
      <c r="D445" s="192">
        <v>273</v>
      </c>
      <c r="E445" s="192" t="s">
        <v>819</v>
      </c>
      <c r="F445" s="192" t="s">
        <v>817</v>
      </c>
      <c r="G445" s="192">
        <v>0.40000000596046448</v>
      </c>
      <c r="H445" s="192" t="s">
        <v>818</v>
      </c>
      <c r="I445" s="192">
        <v>1</v>
      </c>
      <c r="J445" s="192">
        <f>VLOOKUP($B445,'RBSA Weights'!$A$2:$C$1406,3,FALSE)</f>
        <v>4956.4930000000004</v>
      </c>
    </row>
    <row r="446" spans="1:10">
      <c r="A446" s="192">
        <v>62173</v>
      </c>
      <c r="B446" s="192">
        <v>12759</v>
      </c>
      <c r="C446" s="192" t="s">
        <v>815</v>
      </c>
      <c r="D446" s="192">
        <v>432</v>
      </c>
      <c r="E446" s="192" t="s">
        <v>816</v>
      </c>
      <c r="F446" s="192" t="s">
        <v>818</v>
      </c>
      <c r="G446" s="192">
        <v>0.60000002384185791</v>
      </c>
      <c r="H446" s="192" t="s">
        <v>818</v>
      </c>
      <c r="I446" s="192">
        <v>1</v>
      </c>
      <c r="J446" s="192">
        <f>VLOOKUP($B446,'RBSA Weights'!$A$2:$C$1406,3,FALSE)</f>
        <v>2003.7159999999999</v>
      </c>
    </row>
    <row r="447" spans="1:10">
      <c r="A447" s="192">
        <v>223120</v>
      </c>
      <c r="B447" s="192">
        <v>12771</v>
      </c>
      <c r="C447" s="192" t="s">
        <v>815</v>
      </c>
      <c r="D447" s="192">
        <v>209</v>
      </c>
      <c r="E447" s="192" t="s">
        <v>816</v>
      </c>
      <c r="F447" s="192" t="s">
        <v>818</v>
      </c>
      <c r="G447" s="192">
        <v>0.60000002384185791</v>
      </c>
      <c r="H447" s="192" t="s">
        <v>818</v>
      </c>
      <c r="I447" s="192">
        <v>1</v>
      </c>
      <c r="J447" s="192">
        <f>VLOOKUP($B447,'RBSA Weights'!$A$2:$C$1406,3,FALSE)</f>
        <v>1464.694</v>
      </c>
    </row>
    <row r="448" spans="1:10">
      <c r="A448" s="192">
        <v>137646</v>
      </c>
      <c r="B448" s="192">
        <v>12773</v>
      </c>
      <c r="C448" s="192" t="s">
        <v>815</v>
      </c>
      <c r="D448" s="192">
        <v>191</v>
      </c>
      <c r="E448" s="192" t="s">
        <v>816</v>
      </c>
      <c r="F448" s="192" t="s">
        <v>817</v>
      </c>
      <c r="G448" s="192">
        <v>0.55000001192092896</v>
      </c>
      <c r="H448" s="192" t="s">
        <v>818</v>
      </c>
      <c r="I448" s="192">
        <v>1</v>
      </c>
      <c r="J448" s="192">
        <f>VLOOKUP($B448,'RBSA Weights'!$A$2:$C$1406,3,FALSE)</f>
        <v>4956.4930000000004</v>
      </c>
    </row>
    <row r="449" spans="1:10">
      <c r="A449" s="192">
        <v>198577</v>
      </c>
      <c r="B449" s="192">
        <v>12777</v>
      </c>
      <c r="C449" s="192" t="s">
        <v>815</v>
      </c>
      <c r="D449" s="192">
        <v>195</v>
      </c>
      <c r="E449" s="192" t="s">
        <v>816</v>
      </c>
      <c r="F449" s="192" t="s">
        <v>817</v>
      </c>
      <c r="G449" s="192">
        <v>0.44999998807907104</v>
      </c>
      <c r="H449" s="192" t="s">
        <v>818</v>
      </c>
      <c r="I449" s="192">
        <v>1</v>
      </c>
      <c r="J449" s="192">
        <f>VLOOKUP($B449,'RBSA Weights'!$A$2:$C$1406,3,FALSE)</f>
        <v>1188.027</v>
      </c>
    </row>
    <row r="450" spans="1:10">
      <c r="A450" s="192">
        <v>164447</v>
      </c>
      <c r="B450" s="192">
        <v>12782</v>
      </c>
      <c r="C450" s="192" t="s">
        <v>815</v>
      </c>
      <c r="D450" s="192">
        <v>136</v>
      </c>
      <c r="E450" s="192" t="s">
        <v>816</v>
      </c>
      <c r="F450" s="192" t="s">
        <v>818</v>
      </c>
      <c r="G450" s="192">
        <v>0.60000002384185791</v>
      </c>
      <c r="H450" s="192" t="s">
        <v>818</v>
      </c>
      <c r="I450" s="192">
        <v>1</v>
      </c>
      <c r="J450" s="192">
        <f>VLOOKUP($B450,'RBSA Weights'!$A$2:$C$1406,3,FALSE)</f>
        <v>1524.7619999999999</v>
      </c>
    </row>
    <row r="451" spans="1:10">
      <c r="A451" s="192">
        <v>130743</v>
      </c>
      <c r="B451" s="192">
        <v>12814</v>
      </c>
      <c r="C451" s="192" t="s">
        <v>815</v>
      </c>
      <c r="D451" s="192">
        <v>204</v>
      </c>
      <c r="E451" s="192" t="s">
        <v>816</v>
      </c>
      <c r="F451" s="192" t="s">
        <v>817</v>
      </c>
      <c r="G451" s="192">
        <v>0.55000001192092896</v>
      </c>
      <c r="H451" s="192" t="s">
        <v>818</v>
      </c>
      <c r="I451" s="192">
        <v>1</v>
      </c>
      <c r="J451" s="192">
        <f>VLOOKUP($B451,'RBSA Weights'!$A$2:$C$1406,3,FALSE)</f>
        <v>1524.7619999999999</v>
      </c>
    </row>
    <row r="452" spans="1:10">
      <c r="A452" s="192">
        <v>130656</v>
      </c>
      <c r="B452" s="192">
        <v>12818</v>
      </c>
      <c r="C452" s="192" t="s">
        <v>815</v>
      </c>
      <c r="D452" s="192">
        <v>123</v>
      </c>
      <c r="E452" s="192" t="s">
        <v>819</v>
      </c>
      <c r="F452" s="192" t="s">
        <v>821</v>
      </c>
      <c r="G452" s="192">
        <v>0.75</v>
      </c>
      <c r="H452" s="192" t="s">
        <v>821</v>
      </c>
      <c r="I452" s="192">
        <v>1</v>
      </c>
      <c r="J452" s="192">
        <f>VLOOKUP($B452,'RBSA Weights'!$A$2:$C$1406,3,FALSE)</f>
        <v>1524.7619999999999</v>
      </c>
    </row>
    <row r="453" spans="1:10">
      <c r="A453" s="192">
        <v>157919</v>
      </c>
      <c r="B453" s="192">
        <v>12825</v>
      </c>
      <c r="C453" s="192" t="s">
        <v>815</v>
      </c>
      <c r="D453" s="192">
        <v>139</v>
      </c>
      <c r="E453" s="192" t="s">
        <v>816</v>
      </c>
      <c r="F453" s="192" t="s">
        <v>818</v>
      </c>
      <c r="G453" s="192">
        <v>0.60000002384185791</v>
      </c>
      <c r="H453" s="192" t="s">
        <v>818</v>
      </c>
      <c r="I453" s="192">
        <v>1</v>
      </c>
      <c r="J453" s="192">
        <f>VLOOKUP($B453,'RBSA Weights'!$A$2:$C$1406,3,FALSE)</f>
        <v>1524.7619999999999</v>
      </c>
    </row>
    <row r="454" spans="1:10">
      <c r="A454" s="192">
        <v>89883</v>
      </c>
      <c r="B454" s="192">
        <v>12833</v>
      </c>
      <c r="C454" s="192" t="s">
        <v>815</v>
      </c>
      <c r="D454" s="192">
        <v>255</v>
      </c>
      <c r="E454" s="192" t="s">
        <v>816</v>
      </c>
      <c r="F454" s="192" t="s">
        <v>817</v>
      </c>
      <c r="G454" s="192">
        <v>0.44999998807907104</v>
      </c>
      <c r="H454" s="192" t="s">
        <v>818</v>
      </c>
      <c r="I454" s="192">
        <v>1</v>
      </c>
      <c r="J454" s="192">
        <f>VLOOKUP($B454,'RBSA Weights'!$A$2:$C$1406,3,FALSE)</f>
        <v>2003.7159999999999</v>
      </c>
    </row>
    <row r="455" spans="1:10">
      <c r="A455" s="192">
        <v>213755</v>
      </c>
      <c r="B455" s="192">
        <v>12845</v>
      </c>
      <c r="C455" s="192" t="s">
        <v>815</v>
      </c>
      <c r="D455" s="192">
        <v>212</v>
      </c>
      <c r="E455" s="192" t="s">
        <v>816</v>
      </c>
      <c r="F455" s="192" t="s">
        <v>823</v>
      </c>
      <c r="G455" s="192">
        <v>1.1000000238418579</v>
      </c>
      <c r="H455" s="192" t="s">
        <v>823</v>
      </c>
      <c r="I455" s="192">
        <v>1</v>
      </c>
      <c r="J455" s="192">
        <f>VLOOKUP($B455,'RBSA Weights'!$A$2:$C$1406,3,FALSE)</f>
        <v>1464.694</v>
      </c>
    </row>
    <row r="456" spans="1:10">
      <c r="A456" s="192">
        <v>40074</v>
      </c>
      <c r="B456" s="192">
        <v>12853</v>
      </c>
      <c r="C456" s="192" t="s">
        <v>815</v>
      </c>
      <c r="D456" s="192">
        <v>307</v>
      </c>
      <c r="E456" s="192" t="s">
        <v>816</v>
      </c>
      <c r="F456" s="192" t="s">
        <v>817</v>
      </c>
      <c r="G456" s="192">
        <v>0.55000001192092896</v>
      </c>
      <c r="H456" s="192" t="s">
        <v>818</v>
      </c>
      <c r="I456" s="192">
        <v>1</v>
      </c>
      <c r="J456" s="192">
        <f>VLOOKUP($B456,'RBSA Weights'!$A$2:$C$1406,3,FALSE)</f>
        <v>1188.027</v>
      </c>
    </row>
    <row r="457" spans="1:10">
      <c r="A457" s="192">
        <v>141132</v>
      </c>
      <c r="B457" s="192">
        <v>12856</v>
      </c>
      <c r="C457" s="192" t="s">
        <v>815</v>
      </c>
      <c r="D457" s="192">
        <v>135</v>
      </c>
      <c r="E457" s="192" t="s">
        <v>816</v>
      </c>
      <c r="F457" s="192" t="s">
        <v>818</v>
      </c>
      <c r="G457" s="192">
        <v>0.60000002384185791</v>
      </c>
      <c r="H457" s="192" t="s">
        <v>818</v>
      </c>
      <c r="I457" s="192">
        <v>1</v>
      </c>
      <c r="J457" s="192">
        <f>VLOOKUP($B457,'RBSA Weights'!$A$2:$C$1406,3,FALSE)</f>
        <v>4956.4930000000004</v>
      </c>
    </row>
    <row r="458" spans="1:10">
      <c r="A458" s="192">
        <v>143275</v>
      </c>
      <c r="B458" s="192">
        <v>12889</v>
      </c>
      <c r="C458" s="192" t="s">
        <v>815</v>
      </c>
      <c r="D458" s="192">
        <v>310</v>
      </c>
      <c r="E458" s="192" t="s">
        <v>816</v>
      </c>
      <c r="F458" s="192" t="s">
        <v>818</v>
      </c>
      <c r="G458" s="192">
        <v>0.55000001192092896</v>
      </c>
      <c r="H458" s="192" t="s">
        <v>818</v>
      </c>
      <c r="I458" s="192">
        <v>1</v>
      </c>
      <c r="J458" s="192">
        <f>VLOOKUP($B458,'RBSA Weights'!$A$2:$C$1406,3,FALSE)</f>
        <v>4956.4930000000004</v>
      </c>
    </row>
    <row r="459" spans="1:10">
      <c r="A459" s="192">
        <v>126063</v>
      </c>
      <c r="B459" s="192">
        <v>12895</v>
      </c>
      <c r="C459" s="192" t="s">
        <v>815</v>
      </c>
      <c r="D459" s="192">
        <v>413</v>
      </c>
      <c r="E459" s="192" t="s">
        <v>816</v>
      </c>
      <c r="F459" s="192" t="s">
        <v>817</v>
      </c>
      <c r="G459" s="192">
        <v>0.55000001192092896</v>
      </c>
      <c r="H459" s="192" t="s">
        <v>818</v>
      </c>
      <c r="I459" s="192">
        <v>1</v>
      </c>
      <c r="J459" s="192">
        <f>VLOOKUP($B459,'RBSA Weights'!$A$2:$C$1406,3,FALSE)</f>
        <v>4956.4930000000004</v>
      </c>
    </row>
    <row r="460" spans="1:10">
      <c r="A460" s="192">
        <v>138123</v>
      </c>
      <c r="B460" s="192">
        <v>12897</v>
      </c>
      <c r="C460" s="192" t="s">
        <v>815</v>
      </c>
      <c r="D460" s="192">
        <v>45</v>
      </c>
      <c r="E460" s="192" t="s">
        <v>816</v>
      </c>
      <c r="F460" s="192" t="s">
        <v>817</v>
      </c>
      <c r="G460" s="192">
        <v>0.55000001192092896</v>
      </c>
      <c r="H460" s="192" t="s">
        <v>818</v>
      </c>
      <c r="I460" s="192">
        <v>1</v>
      </c>
      <c r="J460" s="192">
        <f>VLOOKUP($B460,'RBSA Weights'!$A$2:$C$1406,3,FALSE)</f>
        <v>1524.7619999999999</v>
      </c>
    </row>
    <row r="461" spans="1:10">
      <c r="A461" s="192">
        <v>90149</v>
      </c>
      <c r="B461" s="192">
        <v>12898</v>
      </c>
      <c r="C461" s="192" t="s">
        <v>815</v>
      </c>
      <c r="D461" s="192">
        <v>256</v>
      </c>
      <c r="E461" s="192" t="s">
        <v>816</v>
      </c>
      <c r="F461" s="192" t="s">
        <v>820</v>
      </c>
      <c r="G461" s="192">
        <v>0.69999998807907104</v>
      </c>
      <c r="H461" s="192" t="s">
        <v>820</v>
      </c>
      <c r="I461" s="192">
        <v>1</v>
      </c>
      <c r="J461" s="192">
        <f>VLOOKUP($B461,'RBSA Weights'!$A$2:$C$1406,3,FALSE)</f>
        <v>4956.4930000000004</v>
      </c>
    </row>
    <row r="462" spans="1:10">
      <c r="A462" s="192">
        <v>153464</v>
      </c>
      <c r="B462" s="192">
        <v>12902</v>
      </c>
      <c r="C462" s="192" t="s">
        <v>815</v>
      </c>
      <c r="D462" s="192">
        <v>312</v>
      </c>
      <c r="E462" s="192" t="s">
        <v>819</v>
      </c>
      <c r="F462" s="192" t="s">
        <v>821</v>
      </c>
      <c r="G462" s="192">
        <v>0.75</v>
      </c>
      <c r="H462" s="192" t="s">
        <v>821</v>
      </c>
      <c r="I462" s="192">
        <v>1</v>
      </c>
      <c r="J462" s="192">
        <f>VLOOKUP($B462,'RBSA Weights'!$A$2:$C$1406,3,FALSE)</f>
        <v>1524.7619999999999</v>
      </c>
    </row>
    <row r="463" spans="1:10">
      <c r="A463" s="192">
        <v>139793</v>
      </c>
      <c r="B463" s="192">
        <v>12906</v>
      </c>
      <c r="C463" s="192" t="s">
        <v>815</v>
      </c>
      <c r="D463" s="192">
        <v>252</v>
      </c>
      <c r="E463" s="192" t="s">
        <v>816</v>
      </c>
      <c r="F463" s="192" t="s">
        <v>822</v>
      </c>
      <c r="G463" s="192">
        <v>0.75</v>
      </c>
      <c r="H463" s="192" t="s">
        <v>820</v>
      </c>
      <c r="I463" s="192">
        <v>1</v>
      </c>
      <c r="J463" s="192">
        <f>VLOOKUP($B463,'RBSA Weights'!$A$2:$C$1406,3,FALSE)</f>
        <v>4956.4930000000004</v>
      </c>
    </row>
    <row r="464" spans="1:10">
      <c r="A464" s="192">
        <v>102442</v>
      </c>
      <c r="B464" s="192">
        <v>12908</v>
      </c>
      <c r="C464" s="192" t="s">
        <v>815</v>
      </c>
      <c r="D464" s="192">
        <v>155</v>
      </c>
      <c r="E464" s="192" t="s">
        <v>816</v>
      </c>
      <c r="F464" s="192" t="s">
        <v>821</v>
      </c>
      <c r="G464" s="192">
        <v>0.94999998807907104</v>
      </c>
      <c r="H464" s="192" t="s">
        <v>821</v>
      </c>
      <c r="I464" s="192">
        <v>1</v>
      </c>
      <c r="J464" s="192">
        <f>VLOOKUP($B464,'RBSA Weights'!$A$2:$C$1406,3,FALSE)</f>
        <v>1524.7619999999999</v>
      </c>
    </row>
    <row r="465" spans="1:10">
      <c r="A465" s="192">
        <v>99886</v>
      </c>
      <c r="B465" s="192">
        <v>12939</v>
      </c>
      <c r="C465" s="192" t="s">
        <v>815</v>
      </c>
      <c r="D465" s="192">
        <v>245</v>
      </c>
      <c r="E465" s="192" t="s">
        <v>819</v>
      </c>
      <c r="F465" s="192" t="s">
        <v>817</v>
      </c>
      <c r="G465" s="192">
        <v>0.40000000596046448</v>
      </c>
      <c r="H465" s="192" t="s">
        <v>818</v>
      </c>
      <c r="I465" s="192">
        <v>1</v>
      </c>
      <c r="J465" s="192">
        <f>VLOOKUP($B465,'RBSA Weights'!$A$2:$C$1406,3,FALSE)</f>
        <v>2003.7159999999999</v>
      </c>
    </row>
    <row r="466" spans="1:10">
      <c r="A466" s="192">
        <v>148919</v>
      </c>
      <c r="B466" s="192">
        <v>12944</v>
      </c>
      <c r="C466" s="192" t="s">
        <v>815</v>
      </c>
      <c r="D466" s="192">
        <v>434</v>
      </c>
      <c r="E466" s="192" t="s">
        <v>816</v>
      </c>
      <c r="F466" s="192" t="s">
        <v>823</v>
      </c>
      <c r="G466" s="192">
        <v>1.1000000238418579</v>
      </c>
      <c r="H466" s="192" t="s">
        <v>823</v>
      </c>
      <c r="I466" s="192">
        <v>1</v>
      </c>
      <c r="J466" s="192">
        <f>VLOOKUP($B466,'RBSA Weights'!$A$2:$C$1406,3,FALSE)</f>
        <v>4956.4930000000004</v>
      </c>
    </row>
    <row r="467" spans="1:10">
      <c r="A467" s="192">
        <v>187174</v>
      </c>
      <c r="B467" s="192">
        <v>12955</v>
      </c>
      <c r="C467" s="192" t="s">
        <v>815</v>
      </c>
      <c r="D467" s="192">
        <v>179</v>
      </c>
      <c r="E467" s="192" t="s">
        <v>816</v>
      </c>
      <c r="F467" s="192" t="s">
        <v>817</v>
      </c>
      <c r="G467" s="192">
        <v>0.44999998807907104</v>
      </c>
      <c r="H467" s="192" t="s">
        <v>818</v>
      </c>
      <c r="I467" s="192">
        <v>1</v>
      </c>
      <c r="J467" s="192">
        <f>VLOOKUP($B467,'RBSA Weights'!$A$2:$C$1406,3,FALSE)</f>
        <v>1524.7619999999999</v>
      </c>
    </row>
    <row r="468" spans="1:10">
      <c r="A468" s="192">
        <v>73980</v>
      </c>
      <c r="B468" s="192">
        <v>12956</v>
      </c>
      <c r="C468" s="192" t="s">
        <v>815</v>
      </c>
      <c r="D468" s="192">
        <v>270</v>
      </c>
      <c r="E468" s="192" t="s">
        <v>816</v>
      </c>
      <c r="F468" s="192" t="s">
        <v>817</v>
      </c>
      <c r="G468" s="192">
        <v>0.44999998807907104</v>
      </c>
      <c r="H468" s="192" t="s">
        <v>818</v>
      </c>
      <c r="I468" s="192">
        <v>1</v>
      </c>
      <c r="J468" s="192">
        <f>VLOOKUP($B468,'RBSA Weights'!$A$2:$C$1406,3,FALSE)</f>
        <v>2003.7159999999999</v>
      </c>
    </row>
    <row r="469" spans="1:10">
      <c r="A469" s="192">
        <v>722931</v>
      </c>
      <c r="B469" s="192">
        <v>12975</v>
      </c>
      <c r="C469" s="192" t="s">
        <v>815</v>
      </c>
      <c r="D469" s="192">
        <v>148</v>
      </c>
      <c r="E469" s="192" t="s">
        <v>816</v>
      </c>
      <c r="F469" s="192" t="s">
        <v>817</v>
      </c>
      <c r="G469" s="192">
        <v>0.44999998807907104</v>
      </c>
      <c r="H469" s="192" t="s">
        <v>818</v>
      </c>
      <c r="I469" s="192">
        <v>1</v>
      </c>
      <c r="J469" s="192">
        <f>VLOOKUP($B469,'RBSA Weights'!$A$2:$C$1406,3,FALSE)</f>
        <v>6932.7380000000003</v>
      </c>
    </row>
    <row r="470" spans="1:10">
      <c r="A470" s="192">
        <v>227331</v>
      </c>
      <c r="B470" s="192">
        <v>12977</v>
      </c>
      <c r="C470" s="192" t="s">
        <v>815</v>
      </c>
      <c r="D470" s="192">
        <v>326</v>
      </c>
      <c r="E470" s="192" t="s">
        <v>816</v>
      </c>
      <c r="F470" s="192" t="s">
        <v>820</v>
      </c>
      <c r="G470" s="192">
        <v>0.85000002384185791</v>
      </c>
      <c r="H470" s="192" t="s">
        <v>820</v>
      </c>
      <c r="I470" s="192">
        <v>1</v>
      </c>
      <c r="J470" s="192">
        <f>VLOOKUP($B470,'RBSA Weights'!$A$2:$C$1406,3,FALSE)</f>
        <v>4956.4930000000004</v>
      </c>
    </row>
    <row r="471" spans="1:10">
      <c r="A471" s="192">
        <v>104754</v>
      </c>
      <c r="B471" s="192">
        <v>12992</v>
      </c>
      <c r="C471" s="192" t="s">
        <v>815</v>
      </c>
      <c r="D471" s="192">
        <v>305</v>
      </c>
      <c r="E471" s="192" t="s">
        <v>816</v>
      </c>
      <c r="F471" s="192" t="s">
        <v>817</v>
      </c>
      <c r="G471" s="192">
        <v>0.55000001192092896</v>
      </c>
      <c r="H471" s="192" t="s">
        <v>818</v>
      </c>
      <c r="I471" s="192">
        <v>1</v>
      </c>
      <c r="J471" s="192">
        <f>VLOOKUP($B471,'RBSA Weights'!$A$2:$C$1406,3,FALSE)</f>
        <v>4956.4930000000004</v>
      </c>
    </row>
    <row r="472" spans="1:10">
      <c r="A472" s="192">
        <v>177990</v>
      </c>
      <c r="B472" s="192">
        <v>12994</v>
      </c>
      <c r="C472" s="192" t="s">
        <v>815</v>
      </c>
      <c r="D472" s="192">
        <v>659</v>
      </c>
      <c r="E472" s="192" t="s">
        <v>819</v>
      </c>
      <c r="F472" s="192" t="s">
        <v>821</v>
      </c>
      <c r="G472" s="192">
        <v>0.75</v>
      </c>
      <c r="H472" s="192" t="s">
        <v>821</v>
      </c>
      <c r="I472" s="192">
        <v>1</v>
      </c>
      <c r="J472" s="192">
        <f>VLOOKUP($B472,'RBSA Weights'!$A$2:$C$1406,3,FALSE)</f>
        <v>6932.7380000000003</v>
      </c>
    </row>
    <row r="473" spans="1:10">
      <c r="A473" s="192">
        <v>193388</v>
      </c>
      <c r="B473" s="192">
        <v>13004</v>
      </c>
      <c r="C473" s="192" t="s">
        <v>815</v>
      </c>
      <c r="D473" s="192">
        <v>142</v>
      </c>
      <c r="E473" s="192" t="s">
        <v>816</v>
      </c>
      <c r="F473" s="192" t="s">
        <v>818</v>
      </c>
      <c r="G473" s="192">
        <v>0.55000001192092896</v>
      </c>
      <c r="H473" s="192" t="s">
        <v>818</v>
      </c>
      <c r="I473" s="192">
        <v>1</v>
      </c>
      <c r="J473" s="192">
        <f>VLOOKUP($B473,'RBSA Weights'!$A$2:$C$1406,3,FALSE)</f>
        <v>1464.694</v>
      </c>
    </row>
    <row r="474" spans="1:10">
      <c r="A474" s="192">
        <v>44337</v>
      </c>
      <c r="B474" s="192">
        <v>13011</v>
      </c>
      <c r="C474" s="192" t="s">
        <v>815</v>
      </c>
      <c r="D474" s="192">
        <v>169</v>
      </c>
      <c r="E474" s="192" t="s">
        <v>816</v>
      </c>
      <c r="F474" s="192" t="s">
        <v>817</v>
      </c>
      <c r="G474" s="192">
        <v>0.55000001192092896</v>
      </c>
      <c r="H474" s="192" t="s">
        <v>818</v>
      </c>
      <c r="I474" s="192">
        <v>1</v>
      </c>
      <c r="J474" s="192">
        <f>VLOOKUP($B474,'RBSA Weights'!$A$2:$C$1406,3,FALSE)</f>
        <v>1188.027</v>
      </c>
    </row>
    <row r="475" spans="1:10">
      <c r="A475" s="192">
        <v>79482</v>
      </c>
      <c r="B475" s="192">
        <v>13017</v>
      </c>
      <c r="C475" s="192" t="s">
        <v>815</v>
      </c>
      <c r="D475" s="192">
        <v>411</v>
      </c>
      <c r="E475" s="192" t="s">
        <v>816</v>
      </c>
      <c r="F475" s="192" t="s">
        <v>818</v>
      </c>
      <c r="G475" s="192">
        <v>0.55000001192092896</v>
      </c>
      <c r="H475" s="192" t="s">
        <v>818</v>
      </c>
      <c r="I475" s="192">
        <v>1</v>
      </c>
      <c r="J475" s="192">
        <f>VLOOKUP($B475,'RBSA Weights'!$A$2:$C$1406,3,FALSE)</f>
        <v>2003.7159999999999</v>
      </c>
    </row>
    <row r="476" spans="1:10">
      <c r="A476" s="192">
        <v>181713</v>
      </c>
      <c r="B476" s="192">
        <v>13019</v>
      </c>
      <c r="C476" s="192" t="s">
        <v>815</v>
      </c>
      <c r="D476" s="192">
        <v>359</v>
      </c>
      <c r="E476" s="192" t="s">
        <v>816</v>
      </c>
      <c r="F476" s="192" t="s">
        <v>825</v>
      </c>
      <c r="G476" s="192">
        <v>0.2199999988079071</v>
      </c>
      <c r="H476" s="192" t="s">
        <v>826</v>
      </c>
      <c r="I476" s="192">
        <v>1</v>
      </c>
      <c r="J476" s="192">
        <f>VLOOKUP($B476,'RBSA Weights'!$A$2:$C$1406,3,FALSE)</f>
        <v>6932.7380000000003</v>
      </c>
    </row>
    <row r="477" spans="1:10">
      <c r="A477" s="192">
        <v>83706</v>
      </c>
      <c r="B477" s="192">
        <v>13023</v>
      </c>
      <c r="C477" s="192" t="s">
        <v>815</v>
      </c>
      <c r="D477" s="192">
        <v>180</v>
      </c>
      <c r="E477" s="192" t="s">
        <v>816</v>
      </c>
      <c r="F477" s="192" t="s">
        <v>823</v>
      </c>
      <c r="G477" s="192">
        <v>1.1000000238418579</v>
      </c>
      <c r="H477" s="192" t="s">
        <v>823</v>
      </c>
      <c r="I477" s="192">
        <v>1</v>
      </c>
      <c r="J477" s="192">
        <f>VLOOKUP($B477,'RBSA Weights'!$A$2:$C$1406,3,FALSE)</f>
        <v>2003.7159999999999</v>
      </c>
    </row>
    <row r="478" spans="1:10">
      <c r="A478" s="192">
        <v>130828</v>
      </c>
      <c r="B478" s="192">
        <v>13041</v>
      </c>
      <c r="C478" s="192" t="s">
        <v>815</v>
      </c>
      <c r="D478" s="192">
        <v>345</v>
      </c>
      <c r="E478" s="192" t="s">
        <v>816</v>
      </c>
      <c r="F478" s="192" t="s">
        <v>818</v>
      </c>
      <c r="G478" s="192">
        <v>0.60000002384185791</v>
      </c>
      <c r="H478" s="192" t="s">
        <v>818</v>
      </c>
      <c r="I478" s="192">
        <v>1</v>
      </c>
      <c r="J478" s="192">
        <f>VLOOKUP($B478,'RBSA Weights'!$A$2:$C$1406,3,FALSE)</f>
        <v>4956.4930000000004</v>
      </c>
    </row>
    <row r="479" spans="1:10">
      <c r="A479" s="192">
        <v>207506</v>
      </c>
      <c r="B479" s="192">
        <v>13046</v>
      </c>
      <c r="C479" s="192" t="s">
        <v>815</v>
      </c>
      <c r="D479" s="192">
        <v>214</v>
      </c>
      <c r="E479" s="192" t="s">
        <v>816</v>
      </c>
      <c r="F479" s="192" t="s">
        <v>821</v>
      </c>
      <c r="G479" s="192">
        <v>0.94999998807907104</v>
      </c>
      <c r="H479" s="192" t="s">
        <v>821</v>
      </c>
      <c r="I479" s="192">
        <v>1</v>
      </c>
      <c r="J479" s="192">
        <f>VLOOKUP($B479,'RBSA Weights'!$A$2:$C$1406,3,FALSE)</f>
        <v>1464.694</v>
      </c>
    </row>
    <row r="480" spans="1:10">
      <c r="A480" s="192">
        <v>141019</v>
      </c>
      <c r="B480" s="192">
        <v>13051</v>
      </c>
      <c r="C480" s="192" t="s">
        <v>815</v>
      </c>
      <c r="D480" s="192">
        <v>53</v>
      </c>
      <c r="E480" s="192" t="s">
        <v>816</v>
      </c>
      <c r="F480" s="192" t="s">
        <v>818</v>
      </c>
      <c r="G480" s="192">
        <v>0.60000002384185791</v>
      </c>
      <c r="H480" s="192" t="s">
        <v>818</v>
      </c>
      <c r="I480" s="192">
        <v>1</v>
      </c>
      <c r="J480" s="192">
        <f>VLOOKUP($B480,'RBSA Weights'!$A$2:$C$1406,3,FALSE)</f>
        <v>4956.4930000000004</v>
      </c>
    </row>
    <row r="481" spans="1:10">
      <c r="A481" s="192">
        <v>195500</v>
      </c>
      <c r="B481" s="192">
        <v>13055</v>
      </c>
      <c r="C481" s="192" t="s">
        <v>815</v>
      </c>
      <c r="D481" s="192">
        <v>281</v>
      </c>
      <c r="E481" s="192" t="s">
        <v>816</v>
      </c>
      <c r="F481" s="192" t="s">
        <v>817</v>
      </c>
      <c r="G481" s="192">
        <v>0.44999998807907104</v>
      </c>
      <c r="H481" s="192" t="s">
        <v>818</v>
      </c>
      <c r="I481" s="192">
        <v>1</v>
      </c>
      <c r="J481" s="192">
        <f>VLOOKUP($B481,'RBSA Weights'!$A$2:$C$1406,3,FALSE)</f>
        <v>4956.4930000000004</v>
      </c>
    </row>
    <row r="482" spans="1:10">
      <c r="A482" s="192">
        <v>196711</v>
      </c>
      <c r="B482" s="192">
        <v>13094</v>
      </c>
      <c r="C482" s="192" t="s">
        <v>815</v>
      </c>
      <c r="D482" s="192">
        <v>344</v>
      </c>
      <c r="E482" s="192" t="s">
        <v>816</v>
      </c>
      <c r="F482" s="192" t="s">
        <v>817</v>
      </c>
      <c r="G482" s="192">
        <v>0.44999998807907104</v>
      </c>
      <c r="H482" s="192" t="s">
        <v>818</v>
      </c>
      <c r="I482" s="192">
        <v>1</v>
      </c>
      <c r="J482" s="192">
        <f>VLOOKUP($B482,'RBSA Weights'!$A$2:$C$1406,3,FALSE)</f>
        <v>4956.4930000000004</v>
      </c>
    </row>
    <row r="483" spans="1:10">
      <c r="A483" s="192">
        <v>226902</v>
      </c>
      <c r="B483" s="192">
        <v>13113</v>
      </c>
      <c r="C483" s="192" t="s">
        <v>815</v>
      </c>
      <c r="D483" s="192">
        <v>85</v>
      </c>
      <c r="E483" s="192" t="s">
        <v>816</v>
      </c>
      <c r="F483" s="192" t="s">
        <v>820</v>
      </c>
      <c r="G483" s="192">
        <v>0.85000002384185791</v>
      </c>
      <c r="H483" s="192" t="s">
        <v>820</v>
      </c>
      <c r="I483" s="192">
        <v>1</v>
      </c>
      <c r="J483" s="192">
        <f>VLOOKUP($B483,'RBSA Weights'!$A$2:$C$1406,3,FALSE)</f>
        <v>1464.694</v>
      </c>
    </row>
    <row r="484" spans="1:10">
      <c r="A484" s="192">
        <v>172917</v>
      </c>
      <c r="B484" s="192">
        <v>13127</v>
      </c>
      <c r="C484" s="192" t="s">
        <v>815</v>
      </c>
      <c r="D484" s="192">
        <v>183</v>
      </c>
      <c r="E484" s="192" t="s">
        <v>816</v>
      </c>
      <c r="F484" s="192" t="s">
        <v>818</v>
      </c>
      <c r="G484" s="192">
        <v>0.55000001192092896</v>
      </c>
      <c r="H484" s="192" t="s">
        <v>818</v>
      </c>
      <c r="I484" s="192">
        <v>1</v>
      </c>
      <c r="J484" s="192">
        <f>VLOOKUP($B484,'RBSA Weights'!$A$2:$C$1406,3,FALSE)</f>
        <v>4956.4930000000004</v>
      </c>
    </row>
    <row r="485" spans="1:10">
      <c r="A485" s="192">
        <v>165739</v>
      </c>
      <c r="B485" s="192">
        <v>13129</v>
      </c>
      <c r="C485" s="192" t="s">
        <v>815</v>
      </c>
      <c r="D485" s="192">
        <v>313</v>
      </c>
      <c r="E485" s="192" t="s">
        <v>816</v>
      </c>
      <c r="F485" s="192" t="s">
        <v>820</v>
      </c>
      <c r="G485" s="192">
        <v>0.85000002384185791</v>
      </c>
      <c r="H485" s="192" t="s">
        <v>820</v>
      </c>
      <c r="I485" s="192">
        <v>1</v>
      </c>
      <c r="J485" s="192">
        <f>VLOOKUP($B485,'RBSA Weights'!$A$2:$C$1406,3,FALSE)</f>
        <v>4956.4930000000004</v>
      </c>
    </row>
    <row r="486" spans="1:10">
      <c r="A486" s="192">
        <v>677473</v>
      </c>
      <c r="B486" s="192">
        <v>13131</v>
      </c>
      <c r="C486" s="192" t="s">
        <v>815</v>
      </c>
      <c r="D486" s="192">
        <v>188</v>
      </c>
      <c r="E486" s="192" t="s">
        <v>816</v>
      </c>
      <c r="F486" s="192" t="s">
        <v>818</v>
      </c>
      <c r="G486" s="192">
        <v>0.55000001192092896</v>
      </c>
      <c r="H486" s="192" t="s">
        <v>818</v>
      </c>
      <c r="I486" s="192">
        <v>1</v>
      </c>
      <c r="J486" s="192">
        <f>VLOOKUP($B486,'RBSA Weights'!$A$2:$C$1406,3,FALSE)</f>
        <v>1464.694</v>
      </c>
    </row>
    <row r="487" spans="1:10">
      <c r="A487" s="192">
        <v>91139</v>
      </c>
      <c r="B487" s="192">
        <v>13141</v>
      </c>
      <c r="C487" s="192" t="s">
        <v>815</v>
      </c>
      <c r="D487" s="192">
        <v>379</v>
      </c>
      <c r="E487" s="192" t="s">
        <v>816</v>
      </c>
      <c r="F487" s="192" t="s">
        <v>817</v>
      </c>
      <c r="G487" s="192">
        <v>0.55000001192092896</v>
      </c>
      <c r="H487" s="192" t="s">
        <v>818</v>
      </c>
      <c r="I487" s="192">
        <v>1</v>
      </c>
      <c r="J487" s="192">
        <f>VLOOKUP($B487,'RBSA Weights'!$A$2:$C$1406,3,FALSE)</f>
        <v>4956.4930000000004</v>
      </c>
    </row>
    <row r="488" spans="1:10">
      <c r="A488" s="192">
        <v>116222</v>
      </c>
      <c r="B488" s="192">
        <v>13154</v>
      </c>
      <c r="C488" s="192" t="s">
        <v>815</v>
      </c>
      <c r="D488" s="192">
        <v>172</v>
      </c>
      <c r="E488" s="192" t="s">
        <v>819</v>
      </c>
      <c r="F488" s="192" t="s">
        <v>817</v>
      </c>
      <c r="G488" s="192">
        <v>0.40000000596046448</v>
      </c>
      <c r="H488" s="192" t="s">
        <v>818</v>
      </c>
      <c r="I488" s="192">
        <v>1</v>
      </c>
      <c r="J488" s="192">
        <f>VLOOKUP($B488,'RBSA Weights'!$A$2:$C$1406,3,FALSE)</f>
        <v>4956.4930000000004</v>
      </c>
    </row>
    <row r="489" spans="1:10">
      <c r="A489" s="192">
        <v>100852</v>
      </c>
      <c r="B489" s="192">
        <v>13165</v>
      </c>
      <c r="C489" s="192" t="s">
        <v>815</v>
      </c>
      <c r="D489" s="192">
        <v>351</v>
      </c>
      <c r="E489" s="192" t="s">
        <v>816</v>
      </c>
      <c r="F489" s="192" t="s">
        <v>817</v>
      </c>
      <c r="G489" s="192">
        <v>0.55000001192092896</v>
      </c>
      <c r="H489" s="192" t="s">
        <v>818</v>
      </c>
      <c r="I489" s="192">
        <v>1</v>
      </c>
      <c r="J489" s="192">
        <f>VLOOKUP($B489,'RBSA Weights'!$A$2:$C$1406,3,FALSE)</f>
        <v>4956.4930000000004</v>
      </c>
    </row>
    <row r="490" spans="1:10">
      <c r="A490" s="192">
        <v>235694</v>
      </c>
      <c r="B490" s="192">
        <v>13166</v>
      </c>
      <c r="C490" s="192" t="s">
        <v>815</v>
      </c>
      <c r="D490" s="192">
        <v>94</v>
      </c>
      <c r="E490" s="192" t="s">
        <v>816</v>
      </c>
      <c r="F490" s="192" t="s">
        <v>817</v>
      </c>
      <c r="G490" s="192">
        <v>0.55000001192092896</v>
      </c>
      <c r="H490" s="192" t="s">
        <v>818</v>
      </c>
      <c r="I490" s="192">
        <v>1</v>
      </c>
      <c r="J490" s="192">
        <f>VLOOKUP($B490,'RBSA Weights'!$A$2:$C$1406,3,FALSE)</f>
        <v>1524.7619999999999</v>
      </c>
    </row>
    <row r="491" spans="1:10">
      <c r="A491" s="192">
        <v>28736</v>
      </c>
      <c r="B491" s="192">
        <v>13169</v>
      </c>
      <c r="C491" s="192" t="s">
        <v>815</v>
      </c>
      <c r="D491" s="192">
        <v>520</v>
      </c>
      <c r="E491" s="192" t="s">
        <v>816</v>
      </c>
      <c r="F491" s="192" t="s">
        <v>820</v>
      </c>
      <c r="G491" s="192">
        <v>0.85000002384185791</v>
      </c>
      <c r="H491" s="192" t="s">
        <v>820</v>
      </c>
      <c r="I491" s="192">
        <v>1</v>
      </c>
      <c r="J491" s="192">
        <f>VLOOKUP($B491,'RBSA Weights'!$A$2:$C$1406,3,FALSE)</f>
        <v>1150.8789999999999</v>
      </c>
    </row>
    <row r="492" spans="1:10">
      <c r="A492" s="192">
        <v>725266</v>
      </c>
      <c r="B492" s="192">
        <v>13188</v>
      </c>
      <c r="C492" s="192" t="s">
        <v>815</v>
      </c>
      <c r="D492" s="192">
        <v>195</v>
      </c>
      <c r="E492" s="192" t="s">
        <v>816</v>
      </c>
      <c r="F492" s="192" t="s">
        <v>821</v>
      </c>
      <c r="G492" s="192">
        <v>0.94999998807907104</v>
      </c>
      <c r="H492" s="192" t="s">
        <v>821</v>
      </c>
      <c r="I492" s="192">
        <v>1</v>
      </c>
      <c r="J492" s="192">
        <f>VLOOKUP($B492,'RBSA Weights'!$A$2:$C$1406,3,FALSE)</f>
        <v>1524.7619999999999</v>
      </c>
    </row>
    <row r="493" spans="1:10">
      <c r="A493" s="192">
        <v>724997</v>
      </c>
      <c r="B493" s="192">
        <v>13191</v>
      </c>
      <c r="C493" s="192" t="s">
        <v>815</v>
      </c>
      <c r="D493" s="192">
        <v>126</v>
      </c>
      <c r="E493" s="192" t="s">
        <v>816</v>
      </c>
      <c r="F493" s="192" t="s">
        <v>818</v>
      </c>
      <c r="G493" s="192">
        <v>0.60000002384185791</v>
      </c>
      <c r="H493" s="192" t="s">
        <v>818</v>
      </c>
      <c r="I493" s="192">
        <v>1</v>
      </c>
      <c r="J493" s="192">
        <f>VLOOKUP($B493,'RBSA Weights'!$A$2:$C$1406,3,FALSE)</f>
        <v>1524.7619999999999</v>
      </c>
    </row>
    <row r="494" spans="1:10">
      <c r="A494" s="192">
        <v>680181</v>
      </c>
      <c r="B494" s="192">
        <v>13222</v>
      </c>
      <c r="C494" s="192" t="s">
        <v>815</v>
      </c>
      <c r="D494" s="192">
        <v>226</v>
      </c>
      <c r="E494" s="192" t="s">
        <v>816</v>
      </c>
      <c r="F494" s="192" t="s">
        <v>818</v>
      </c>
      <c r="G494" s="192">
        <v>0.55000001192092896</v>
      </c>
      <c r="H494" s="192" t="s">
        <v>818</v>
      </c>
      <c r="I494" s="192">
        <v>1</v>
      </c>
      <c r="J494" s="192">
        <f>VLOOKUP($B494,'RBSA Weights'!$A$2:$C$1406,3,FALSE)</f>
        <v>2003.7159999999999</v>
      </c>
    </row>
    <row r="495" spans="1:10">
      <c r="A495" s="192">
        <v>79717</v>
      </c>
      <c r="B495" s="192">
        <v>13232</v>
      </c>
      <c r="C495" s="192" t="s">
        <v>815</v>
      </c>
      <c r="D495" s="192">
        <v>226</v>
      </c>
      <c r="E495" s="192" t="s">
        <v>816</v>
      </c>
      <c r="F495" s="192" t="s">
        <v>821</v>
      </c>
      <c r="G495" s="192">
        <v>0.94999998807907104</v>
      </c>
      <c r="H495" s="192" t="s">
        <v>821</v>
      </c>
      <c r="I495" s="192">
        <v>1</v>
      </c>
      <c r="J495" s="192">
        <f>VLOOKUP($B495,'RBSA Weights'!$A$2:$C$1406,3,FALSE)</f>
        <v>2003.7159999999999</v>
      </c>
    </row>
    <row r="496" spans="1:10">
      <c r="A496" s="192">
        <v>153362</v>
      </c>
      <c r="B496" s="192">
        <v>13242</v>
      </c>
      <c r="C496" s="192" t="s">
        <v>815</v>
      </c>
      <c r="D496" s="192">
        <v>172</v>
      </c>
      <c r="E496" s="192" t="s">
        <v>816</v>
      </c>
      <c r="F496" s="192" t="s">
        <v>818</v>
      </c>
      <c r="G496" s="192">
        <v>0.55000001192092896</v>
      </c>
      <c r="H496" s="192" t="s">
        <v>818</v>
      </c>
      <c r="I496" s="192">
        <v>1</v>
      </c>
      <c r="J496" s="192">
        <f>VLOOKUP($B496,'RBSA Weights'!$A$2:$C$1406,3,FALSE)</f>
        <v>4956.4930000000004</v>
      </c>
    </row>
    <row r="497" spans="1:10">
      <c r="A497" s="192">
        <v>89720</v>
      </c>
      <c r="B497" s="192">
        <v>13246</v>
      </c>
      <c r="C497" s="192" t="s">
        <v>815</v>
      </c>
      <c r="D497" s="192">
        <v>281</v>
      </c>
      <c r="E497" s="192" t="s">
        <v>816</v>
      </c>
      <c r="F497" s="192" t="s">
        <v>817</v>
      </c>
      <c r="G497" s="192">
        <v>0.44999998807907104</v>
      </c>
      <c r="H497" s="192" t="s">
        <v>818</v>
      </c>
      <c r="I497" s="192">
        <v>1</v>
      </c>
      <c r="J497" s="192">
        <f>VLOOKUP($B497,'RBSA Weights'!$A$2:$C$1406,3,FALSE)</f>
        <v>2003.7159999999999</v>
      </c>
    </row>
    <row r="498" spans="1:10">
      <c r="A498" s="192">
        <v>680487</v>
      </c>
      <c r="B498" s="192">
        <v>13248</v>
      </c>
      <c r="C498" s="192" t="s">
        <v>815</v>
      </c>
      <c r="D498" s="192">
        <v>166</v>
      </c>
      <c r="E498" s="192" t="s">
        <v>816</v>
      </c>
      <c r="F498" s="192" t="s">
        <v>817</v>
      </c>
      <c r="G498" s="192">
        <v>0.44999998807907104</v>
      </c>
      <c r="H498" s="192" t="s">
        <v>818</v>
      </c>
      <c r="I498" s="192">
        <v>1</v>
      </c>
      <c r="J498" s="192">
        <f>VLOOKUP($B498,'RBSA Weights'!$A$2:$C$1406,3,FALSE)</f>
        <v>1464.694</v>
      </c>
    </row>
    <row r="499" spans="1:10">
      <c r="A499" s="192">
        <v>90393</v>
      </c>
      <c r="B499" s="192">
        <v>13250</v>
      </c>
      <c r="C499" s="192" t="s">
        <v>815</v>
      </c>
      <c r="D499" s="192">
        <v>139</v>
      </c>
      <c r="E499" s="192" t="s">
        <v>816</v>
      </c>
      <c r="F499" s="192" t="s">
        <v>818</v>
      </c>
      <c r="G499" s="192">
        <v>0.55000001192092896</v>
      </c>
      <c r="H499" s="192" t="s">
        <v>818</v>
      </c>
      <c r="I499" s="192">
        <v>1</v>
      </c>
      <c r="J499" s="192">
        <f>VLOOKUP($B499,'RBSA Weights'!$A$2:$C$1406,3,FALSE)</f>
        <v>2003.7159999999999</v>
      </c>
    </row>
    <row r="500" spans="1:10">
      <c r="A500" s="192">
        <v>214703</v>
      </c>
      <c r="B500" s="192">
        <v>13261</v>
      </c>
      <c r="C500" s="192" t="s">
        <v>815</v>
      </c>
      <c r="D500" s="192">
        <v>303</v>
      </c>
      <c r="E500" s="192" t="s">
        <v>816</v>
      </c>
      <c r="F500" s="192" t="s">
        <v>818</v>
      </c>
      <c r="G500" s="192">
        <v>0.60000002384185791</v>
      </c>
      <c r="H500" s="192" t="s">
        <v>818</v>
      </c>
      <c r="I500" s="192">
        <v>1</v>
      </c>
      <c r="J500" s="192">
        <f>VLOOKUP($B500,'RBSA Weights'!$A$2:$C$1406,3,FALSE)</f>
        <v>6932.7380000000003</v>
      </c>
    </row>
    <row r="501" spans="1:10">
      <c r="A501" s="192">
        <v>89256</v>
      </c>
      <c r="B501" s="192">
        <v>13265</v>
      </c>
      <c r="C501" s="192" t="s">
        <v>815</v>
      </c>
      <c r="D501" s="192">
        <v>141</v>
      </c>
      <c r="E501" s="192" t="s">
        <v>819</v>
      </c>
      <c r="F501" s="192" t="s">
        <v>817</v>
      </c>
      <c r="G501" s="192">
        <v>0.40000000596046448</v>
      </c>
      <c r="H501" s="192" t="s">
        <v>818</v>
      </c>
      <c r="I501" s="192">
        <v>1</v>
      </c>
      <c r="J501" s="192">
        <f>VLOOKUP($B501,'RBSA Weights'!$A$2:$C$1406,3,FALSE)</f>
        <v>2003.7159999999999</v>
      </c>
    </row>
    <row r="502" spans="1:10">
      <c r="A502" s="192">
        <v>115005</v>
      </c>
      <c r="B502" s="192">
        <v>13273</v>
      </c>
      <c r="C502" s="192" t="s">
        <v>815</v>
      </c>
      <c r="D502" s="192">
        <v>131</v>
      </c>
      <c r="E502" s="192" t="s">
        <v>816</v>
      </c>
      <c r="F502" s="192" t="s">
        <v>820</v>
      </c>
      <c r="G502" s="192">
        <v>0.85000002384185791</v>
      </c>
      <c r="H502" s="192" t="s">
        <v>820</v>
      </c>
      <c r="I502" s="192">
        <v>1</v>
      </c>
      <c r="J502" s="192">
        <f>VLOOKUP($B502,'RBSA Weights'!$A$2:$C$1406,3,FALSE)</f>
        <v>4956.4930000000004</v>
      </c>
    </row>
    <row r="503" spans="1:10">
      <c r="A503" s="192">
        <v>90005</v>
      </c>
      <c r="B503" s="192">
        <v>13275</v>
      </c>
      <c r="C503" s="192" t="s">
        <v>815</v>
      </c>
      <c r="D503" s="192">
        <v>132</v>
      </c>
      <c r="E503" s="192" t="s">
        <v>816</v>
      </c>
      <c r="F503" s="192" t="s">
        <v>817</v>
      </c>
      <c r="G503" s="192">
        <v>0.55000001192092896</v>
      </c>
      <c r="H503" s="192" t="s">
        <v>818</v>
      </c>
      <c r="I503" s="192">
        <v>1</v>
      </c>
      <c r="J503" s="192">
        <f>VLOOKUP($B503,'RBSA Weights'!$A$2:$C$1406,3,FALSE)</f>
        <v>2003.7159999999999</v>
      </c>
    </row>
    <row r="504" spans="1:10">
      <c r="A504" s="192">
        <v>76662</v>
      </c>
      <c r="B504" s="192">
        <v>13292</v>
      </c>
      <c r="C504" s="192" t="s">
        <v>815</v>
      </c>
      <c r="D504" s="192">
        <v>91</v>
      </c>
      <c r="E504" s="192" t="s">
        <v>816</v>
      </c>
      <c r="F504" s="192" t="s">
        <v>817</v>
      </c>
      <c r="G504" s="192">
        <v>0.44999998807907104</v>
      </c>
      <c r="H504" s="192" t="s">
        <v>818</v>
      </c>
      <c r="I504" s="192">
        <v>1</v>
      </c>
      <c r="J504" s="192">
        <f>VLOOKUP($B504,'RBSA Weights'!$A$2:$C$1406,3,FALSE)</f>
        <v>2003.7159999999999</v>
      </c>
    </row>
    <row r="505" spans="1:10">
      <c r="A505" s="192">
        <v>39983</v>
      </c>
      <c r="B505" s="192">
        <v>13293</v>
      </c>
      <c r="C505" s="192" t="s">
        <v>815</v>
      </c>
      <c r="D505" s="192">
        <v>146</v>
      </c>
      <c r="E505" s="192" t="s">
        <v>816</v>
      </c>
      <c r="F505" s="192" t="s">
        <v>820</v>
      </c>
      <c r="G505" s="192">
        <v>0.85000002384185791</v>
      </c>
      <c r="H505" s="192" t="s">
        <v>820</v>
      </c>
      <c r="I505" s="192">
        <v>1</v>
      </c>
      <c r="J505" s="192">
        <f>VLOOKUP($B505,'RBSA Weights'!$A$2:$C$1406,3,FALSE)</f>
        <v>1188.027</v>
      </c>
    </row>
    <row r="506" spans="1:10">
      <c r="A506" s="192">
        <v>161475</v>
      </c>
      <c r="B506" s="192">
        <v>13303</v>
      </c>
      <c r="C506" s="192" t="s">
        <v>815</v>
      </c>
      <c r="D506" s="192">
        <v>153</v>
      </c>
      <c r="E506" s="192" t="s">
        <v>816</v>
      </c>
      <c r="F506" s="192" t="s">
        <v>818</v>
      </c>
      <c r="G506" s="192">
        <v>0.60000002384185791</v>
      </c>
      <c r="H506" s="192" t="s">
        <v>818</v>
      </c>
      <c r="I506" s="192">
        <v>1</v>
      </c>
      <c r="J506" s="192">
        <f>VLOOKUP($B506,'RBSA Weights'!$A$2:$C$1406,3,FALSE)</f>
        <v>2003.7159999999999</v>
      </c>
    </row>
    <row r="507" spans="1:10">
      <c r="A507" s="192">
        <v>823336</v>
      </c>
      <c r="B507" s="192">
        <v>13310</v>
      </c>
      <c r="C507" s="192" t="s">
        <v>815</v>
      </c>
      <c r="D507" s="192">
        <v>84</v>
      </c>
      <c r="E507" s="192" t="s">
        <v>816</v>
      </c>
      <c r="F507" s="192" t="s">
        <v>818</v>
      </c>
      <c r="G507" s="192">
        <v>0.55000001192092896</v>
      </c>
      <c r="H507" s="192" t="s">
        <v>818</v>
      </c>
      <c r="I507" s="192">
        <v>1</v>
      </c>
      <c r="J507" s="192">
        <f>VLOOKUP($B507,'RBSA Weights'!$A$2:$C$1406,3,FALSE)</f>
        <v>2003.7159999999999</v>
      </c>
    </row>
    <row r="508" spans="1:10">
      <c r="A508" s="192">
        <v>100507</v>
      </c>
      <c r="B508" s="192">
        <v>13315</v>
      </c>
      <c r="C508" s="192" t="s">
        <v>815</v>
      </c>
      <c r="D508" s="192">
        <v>133</v>
      </c>
      <c r="E508" s="192" t="s">
        <v>819</v>
      </c>
      <c r="F508" s="192" t="s">
        <v>818</v>
      </c>
      <c r="G508" s="192">
        <v>0.5</v>
      </c>
      <c r="H508" s="192" t="s">
        <v>818</v>
      </c>
      <c r="I508" s="192">
        <v>1</v>
      </c>
      <c r="J508" s="192">
        <f>VLOOKUP($B508,'RBSA Weights'!$A$2:$C$1406,3,FALSE)</f>
        <v>4956.4930000000004</v>
      </c>
    </row>
    <row r="509" spans="1:10">
      <c r="A509" s="192">
        <v>31680</v>
      </c>
      <c r="B509" s="192">
        <v>13319</v>
      </c>
      <c r="C509" s="192" t="s">
        <v>815</v>
      </c>
      <c r="D509" s="192">
        <v>209</v>
      </c>
      <c r="E509" s="192" t="s">
        <v>816</v>
      </c>
      <c r="F509" s="192" t="s">
        <v>817</v>
      </c>
      <c r="G509" s="192">
        <v>0.44999998807907104</v>
      </c>
      <c r="H509" s="192" t="s">
        <v>818</v>
      </c>
      <c r="I509" s="192">
        <v>1</v>
      </c>
      <c r="J509" s="192">
        <f>VLOOKUP($B509,'RBSA Weights'!$A$2:$C$1406,3,FALSE)</f>
        <v>1150.8789999999999</v>
      </c>
    </row>
    <row r="510" spans="1:10">
      <c r="A510" s="192">
        <v>93592</v>
      </c>
      <c r="B510" s="192">
        <v>13323</v>
      </c>
      <c r="C510" s="192" t="s">
        <v>815</v>
      </c>
      <c r="D510" s="192">
        <v>181</v>
      </c>
      <c r="E510" s="192" t="s">
        <v>819</v>
      </c>
      <c r="F510" s="192" t="s">
        <v>817</v>
      </c>
      <c r="G510" s="192">
        <v>0.40000000596046448</v>
      </c>
      <c r="H510" s="192" t="s">
        <v>818</v>
      </c>
      <c r="I510" s="192">
        <v>1</v>
      </c>
      <c r="J510" s="192">
        <f>VLOOKUP($B510,'RBSA Weights'!$A$2:$C$1406,3,FALSE)</f>
        <v>1524.7619999999999</v>
      </c>
    </row>
    <row r="511" spans="1:10">
      <c r="A511" s="192">
        <v>155424</v>
      </c>
      <c r="B511" s="192">
        <v>13327</v>
      </c>
      <c r="C511" s="192" t="s">
        <v>815</v>
      </c>
      <c r="D511" s="192">
        <v>121</v>
      </c>
      <c r="E511" s="192" t="s">
        <v>816</v>
      </c>
      <c r="F511" s="192" t="s">
        <v>821</v>
      </c>
      <c r="G511" s="192">
        <v>0.94999998807907104</v>
      </c>
      <c r="H511" s="192" t="s">
        <v>821</v>
      </c>
      <c r="I511" s="192">
        <v>1</v>
      </c>
      <c r="J511" s="192">
        <f>VLOOKUP($B511,'RBSA Weights'!$A$2:$C$1406,3,FALSE)</f>
        <v>1464.694</v>
      </c>
    </row>
    <row r="512" spans="1:10">
      <c r="A512" s="192">
        <v>86043</v>
      </c>
      <c r="B512" s="192">
        <v>13328</v>
      </c>
      <c r="C512" s="192" t="s">
        <v>815</v>
      </c>
      <c r="D512" s="192">
        <v>115</v>
      </c>
      <c r="E512" s="192" t="s">
        <v>816</v>
      </c>
      <c r="F512" s="192" t="s">
        <v>820</v>
      </c>
      <c r="G512" s="192">
        <v>0.85000002384185791</v>
      </c>
      <c r="H512" s="192" t="s">
        <v>820</v>
      </c>
      <c r="I512" s="192">
        <v>1</v>
      </c>
      <c r="J512" s="192">
        <f>VLOOKUP($B512,'RBSA Weights'!$A$2:$C$1406,3,FALSE)</f>
        <v>2003.7159999999999</v>
      </c>
    </row>
    <row r="513" spans="1:10">
      <c r="A513" s="192">
        <v>219055</v>
      </c>
      <c r="B513" s="192">
        <v>13336</v>
      </c>
      <c r="C513" s="192" t="s">
        <v>815</v>
      </c>
      <c r="D513" s="192">
        <v>210</v>
      </c>
      <c r="E513" s="192" t="s">
        <v>816</v>
      </c>
      <c r="F513" s="192" t="s">
        <v>818</v>
      </c>
      <c r="G513" s="192">
        <v>0.55000001192092896</v>
      </c>
      <c r="H513" s="192" t="s">
        <v>818</v>
      </c>
      <c r="I513" s="192">
        <v>1</v>
      </c>
      <c r="J513" s="192">
        <f>VLOOKUP($B513,'RBSA Weights'!$A$2:$C$1406,3,FALSE)</f>
        <v>6932.7380000000003</v>
      </c>
    </row>
    <row r="514" spans="1:10">
      <c r="A514" s="192">
        <v>72317</v>
      </c>
      <c r="B514" s="192">
        <v>13347</v>
      </c>
      <c r="C514" s="192" t="s">
        <v>815</v>
      </c>
      <c r="D514" s="192">
        <v>358</v>
      </c>
      <c r="E514" s="192" t="s">
        <v>816</v>
      </c>
      <c r="F514" s="192" t="s">
        <v>820</v>
      </c>
      <c r="G514" s="192">
        <v>0.85000002384185791</v>
      </c>
      <c r="H514" s="192" t="s">
        <v>820</v>
      </c>
      <c r="I514" s="192">
        <v>1</v>
      </c>
      <c r="J514" s="192">
        <f>VLOOKUP($B514,'RBSA Weights'!$A$2:$C$1406,3,FALSE)</f>
        <v>2003.7159999999999</v>
      </c>
    </row>
    <row r="515" spans="1:10">
      <c r="A515" s="192">
        <v>229356</v>
      </c>
      <c r="B515" s="192">
        <v>13359</v>
      </c>
      <c r="C515" s="192" t="s">
        <v>815</v>
      </c>
      <c r="D515" s="192">
        <v>163</v>
      </c>
      <c r="E515" s="192" t="s">
        <v>816</v>
      </c>
      <c r="F515" s="192" t="s">
        <v>817</v>
      </c>
      <c r="G515" s="192">
        <v>0.55000001192092896</v>
      </c>
      <c r="H515" s="192" t="s">
        <v>818</v>
      </c>
      <c r="I515" s="192">
        <v>1</v>
      </c>
      <c r="J515" s="192">
        <f>VLOOKUP($B515,'RBSA Weights'!$A$2:$C$1406,3,FALSE)</f>
        <v>1150.8789999999999</v>
      </c>
    </row>
    <row r="516" spans="1:10">
      <c r="A516" s="192">
        <v>232931</v>
      </c>
      <c r="B516" s="192">
        <v>13365</v>
      </c>
      <c r="C516" s="192" t="s">
        <v>815</v>
      </c>
      <c r="D516" s="192">
        <v>208</v>
      </c>
      <c r="E516" s="192" t="s">
        <v>816</v>
      </c>
      <c r="F516" s="192" t="s">
        <v>818</v>
      </c>
      <c r="G516" s="192">
        <v>0.60000002384185791</v>
      </c>
      <c r="H516" s="192" t="s">
        <v>818</v>
      </c>
      <c r="I516" s="192">
        <v>1</v>
      </c>
      <c r="J516" s="192">
        <f>VLOOKUP($B516,'RBSA Weights'!$A$2:$C$1406,3,FALSE)</f>
        <v>4956.4930000000004</v>
      </c>
    </row>
    <row r="517" spans="1:10">
      <c r="A517" s="192">
        <v>195624</v>
      </c>
      <c r="B517" s="192">
        <v>13400</v>
      </c>
      <c r="C517" s="192" t="s">
        <v>815</v>
      </c>
      <c r="D517" s="192">
        <v>316</v>
      </c>
      <c r="E517" s="192" t="s">
        <v>816</v>
      </c>
      <c r="F517" s="192" t="s">
        <v>817</v>
      </c>
      <c r="G517" s="192">
        <v>0.44999998807907104</v>
      </c>
      <c r="H517" s="192" t="s">
        <v>818</v>
      </c>
      <c r="I517" s="192">
        <v>1</v>
      </c>
      <c r="J517" s="192">
        <f>VLOOKUP($B517,'RBSA Weights'!$A$2:$C$1406,3,FALSE)</f>
        <v>6932.7380000000003</v>
      </c>
    </row>
    <row r="518" spans="1:10">
      <c r="A518" s="192">
        <v>130296</v>
      </c>
      <c r="B518" s="192">
        <v>13401</v>
      </c>
      <c r="C518" s="192" t="s">
        <v>815</v>
      </c>
      <c r="D518" s="192">
        <v>182</v>
      </c>
      <c r="E518" s="192" t="s">
        <v>816</v>
      </c>
      <c r="F518" s="192" t="s">
        <v>817</v>
      </c>
      <c r="G518" s="192">
        <v>0.55000001192092896</v>
      </c>
      <c r="H518" s="192" t="s">
        <v>818</v>
      </c>
      <c r="I518" s="192">
        <v>1</v>
      </c>
      <c r="J518" s="192">
        <f>VLOOKUP($B518,'RBSA Weights'!$A$2:$C$1406,3,FALSE)</f>
        <v>4956.4930000000004</v>
      </c>
    </row>
    <row r="519" spans="1:10">
      <c r="A519" s="192">
        <v>211379</v>
      </c>
      <c r="B519" s="192">
        <v>13420</v>
      </c>
      <c r="C519" s="192" t="s">
        <v>815</v>
      </c>
      <c r="D519" s="192">
        <v>112</v>
      </c>
      <c r="E519" s="192" t="s">
        <v>816</v>
      </c>
      <c r="F519" s="192" t="s">
        <v>818</v>
      </c>
      <c r="G519" s="192">
        <v>0.60000002384185791</v>
      </c>
      <c r="H519" s="192" t="s">
        <v>818</v>
      </c>
      <c r="I519" s="192">
        <v>1</v>
      </c>
      <c r="J519" s="192">
        <f>VLOOKUP($B519,'RBSA Weights'!$A$2:$C$1406,3,FALSE)</f>
        <v>4956.4930000000004</v>
      </c>
    </row>
    <row r="520" spans="1:10">
      <c r="A520" s="192">
        <v>50965</v>
      </c>
      <c r="B520" s="192">
        <v>13426</v>
      </c>
      <c r="C520" s="192" t="s">
        <v>815</v>
      </c>
      <c r="D520" s="192">
        <v>345</v>
      </c>
      <c r="E520" s="192" t="s">
        <v>816</v>
      </c>
      <c r="F520" s="192" t="s">
        <v>821</v>
      </c>
      <c r="G520" s="192">
        <v>0.94999998807907104</v>
      </c>
      <c r="H520" s="192" t="s">
        <v>821</v>
      </c>
      <c r="I520" s="192">
        <v>1</v>
      </c>
      <c r="J520" s="192">
        <f>VLOOKUP($B520,'RBSA Weights'!$A$2:$C$1406,3,FALSE)</f>
        <v>1188.027</v>
      </c>
    </row>
    <row r="521" spans="1:10">
      <c r="A521" s="192">
        <v>156333</v>
      </c>
      <c r="B521" s="192">
        <v>13427</v>
      </c>
      <c r="C521" s="192" t="s">
        <v>815</v>
      </c>
      <c r="D521" s="192">
        <v>427</v>
      </c>
      <c r="E521" s="192" t="s">
        <v>816</v>
      </c>
      <c r="F521" s="192" t="s">
        <v>817</v>
      </c>
      <c r="G521" s="192">
        <v>0.55000001192092896</v>
      </c>
      <c r="H521" s="192" t="s">
        <v>818</v>
      </c>
      <c r="I521" s="192">
        <v>1</v>
      </c>
      <c r="J521" s="192">
        <f>VLOOKUP($B521,'RBSA Weights'!$A$2:$C$1406,3,FALSE)</f>
        <v>4956.4930000000004</v>
      </c>
    </row>
    <row r="522" spans="1:10">
      <c r="A522" s="192">
        <v>212601</v>
      </c>
      <c r="B522" s="192">
        <v>13435</v>
      </c>
      <c r="C522" s="192" t="s">
        <v>815</v>
      </c>
      <c r="D522" s="192">
        <v>171</v>
      </c>
      <c r="E522" s="192" t="s">
        <v>816</v>
      </c>
      <c r="F522" s="192" t="s">
        <v>818</v>
      </c>
      <c r="G522" s="192">
        <v>0.60000002384185791</v>
      </c>
      <c r="H522" s="192" t="s">
        <v>818</v>
      </c>
      <c r="I522" s="192">
        <v>1</v>
      </c>
      <c r="J522" s="192">
        <f>VLOOKUP($B522,'RBSA Weights'!$A$2:$C$1406,3,FALSE)</f>
        <v>1464.694</v>
      </c>
    </row>
    <row r="523" spans="1:10">
      <c r="A523" s="192">
        <v>681001</v>
      </c>
      <c r="B523" s="192">
        <v>13445</v>
      </c>
      <c r="C523" s="192" t="s">
        <v>815</v>
      </c>
      <c r="D523" s="192">
        <v>532</v>
      </c>
      <c r="E523" s="192" t="s">
        <v>816</v>
      </c>
      <c r="F523" s="192" t="s">
        <v>817</v>
      </c>
      <c r="G523" s="192">
        <v>0.44999998807907104</v>
      </c>
      <c r="H523" s="192" t="s">
        <v>818</v>
      </c>
      <c r="I523" s="192">
        <v>1</v>
      </c>
      <c r="J523" s="192">
        <f>VLOOKUP($B523,'RBSA Weights'!$A$2:$C$1406,3,FALSE)</f>
        <v>4956.4930000000004</v>
      </c>
    </row>
    <row r="524" spans="1:10">
      <c r="A524" s="192">
        <v>33212</v>
      </c>
      <c r="B524" s="192">
        <v>13451</v>
      </c>
      <c r="C524" s="192" t="s">
        <v>815</v>
      </c>
      <c r="D524" s="192">
        <v>144</v>
      </c>
      <c r="E524" s="192" t="s">
        <v>816</v>
      </c>
      <c r="F524" s="192" t="s">
        <v>818</v>
      </c>
      <c r="G524" s="192">
        <v>0.60000002384185791</v>
      </c>
      <c r="H524" s="192" t="s">
        <v>818</v>
      </c>
      <c r="I524" s="192">
        <v>1</v>
      </c>
      <c r="J524" s="192">
        <f>VLOOKUP($B524,'RBSA Weights'!$A$2:$C$1406,3,FALSE)</f>
        <v>1150.8789999999999</v>
      </c>
    </row>
    <row r="525" spans="1:10">
      <c r="A525" s="192">
        <v>100323</v>
      </c>
      <c r="B525" s="192">
        <v>13453</v>
      </c>
      <c r="C525" s="192" t="s">
        <v>815</v>
      </c>
      <c r="D525" s="192">
        <v>152</v>
      </c>
      <c r="E525" s="192" t="s">
        <v>816</v>
      </c>
      <c r="F525" s="192" t="s">
        <v>817</v>
      </c>
      <c r="G525" s="192">
        <v>0.44999998807907104</v>
      </c>
      <c r="H525" s="192" t="s">
        <v>818</v>
      </c>
      <c r="I525" s="192">
        <v>1</v>
      </c>
      <c r="J525" s="192">
        <f>VLOOKUP($B525,'RBSA Weights'!$A$2:$C$1406,3,FALSE)</f>
        <v>4956.4930000000004</v>
      </c>
    </row>
    <row r="526" spans="1:10">
      <c r="A526" s="192">
        <v>91407</v>
      </c>
      <c r="B526" s="192">
        <v>13455</v>
      </c>
      <c r="C526" s="192" t="s">
        <v>815</v>
      </c>
      <c r="D526" s="192">
        <v>199</v>
      </c>
      <c r="E526" s="192" t="s">
        <v>819</v>
      </c>
      <c r="F526" s="192" t="s">
        <v>817</v>
      </c>
      <c r="G526" s="192">
        <v>0.5</v>
      </c>
      <c r="H526" s="192" t="s">
        <v>818</v>
      </c>
      <c r="I526" s="192">
        <v>1</v>
      </c>
      <c r="J526" s="192">
        <f>VLOOKUP($B526,'RBSA Weights'!$A$2:$C$1406,3,FALSE)</f>
        <v>2003.7159999999999</v>
      </c>
    </row>
    <row r="527" spans="1:10">
      <c r="A527" s="192">
        <v>122285</v>
      </c>
      <c r="B527" s="192">
        <v>13462</v>
      </c>
      <c r="C527" s="192" t="s">
        <v>815</v>
      </c>
      <c r="D527" s="192">
        <v>86</v>
      </c>
      <c r="E527" s="192" t="s">
        <v>816</v>
      </c>
      <c r="F527" s="192" t="s">
        <v>821</v>
      </c>
      <c r="G527" s="192">
        <v>0.94999998807907104</v>
      </c>
      <c r="H527" s="192" t="s">
        <v>821</v>
      </c>
      <c r="I527" s="192">
        <v>1</v>
      </c>
      <c r="J527" s="192">
        <f>VLOOKUP($B527,'RBSA Weights'!$A$2:$C$1406,3,FALSE)</f>
        <v>1464.694</v>
      </c>
    </row>
    <row r="528" spans="1:10">
      <c r="A528" s="192">
        <v>724428</v>
      </c>
      <c r="B528" s="192">
        <v>13474</v>
      </c>
      <c r="C528" s="192" t="s">
        <v>815</v>
      </c>
      <c r="D528" s="192">
        <v>217</v>
      </c>
      <c r="E528" s="192" t="s">
        <v>816</v>
      </c>
      <c r="F528" s="192" t="s">
        <v>820</v>
      </c>
      <c r="G528" s="192">
        <v>0.85000002384185791</v>
      </c>
      <c r="H528" s="192" t="s">
        <v>820</v>
      </c>
      <c r="I528" s="192">
        <v>1</v>
      </c>
      <c r="J528" s="192">
        <f>VLOOKUP($B528,'RBSA Weights'!$A$2:$C$1406,3,FALSE)</f>
        <v>1524.7619999999999</v>
      </c>
    </row>
    <row r="529" spans="1:10">
      <c r="A529" s="192">
        <v>192513</v>
      </c>
      <c r="B529" s="192">
        <v>13490</v>
      </c>
      <c r="C529" s="192" t="s">
        <v>815</v>
      </c>
      <c r="D529" s="192">
        <v>168</v>
      </c>
      <c r="E529" s="192" t="s">
        <v>816</v>
      </c>
      <c r="F529" s="192" t="s">
        <v>818</v>
      </c>
      <c r="G529" s="192">
        <v>0.60000002384185791</v>
      </c>
      <c r="H529" s="192" t="s">
        <v>818</v>
      </c>
      <c r="I529" s="192">
        <v>1</v>
      </c>
      <c r="J529" s="192">
        <f>VLOOKUP($B529,'RBSA Weights'!$A$2:$C$1406,3,FALSE)</f>
        <v>1464.694</v>
      </c>
    </row>
    <row r="530" spans="1:10">
      <c r="A530" s="192">
        <v>718804</v>
      </c>
      <c r="B530" s="192">
        <v>13494</v>
      </c>
      <c r="C530" s="192" t="s">
        <v>815</v>
      </c>
      <c r="D530" s="192">
        <v>218</v>
      </c>
      <c r="E530" s="192" t="s">
        <v>816</v>
      </c>
      <c r="F530" s="192" t="s">
        <v>818</v>
      </c>
      <c r="G530" s="192">
        <v>0.60000002384185791</v>
      </c>
      <c r="H530" s="192" t="s">
        <v>818</v>
      </c>
      <c r="I530" s="192">
        <v>1</v>
      </c>
      <c r="J530" s="192">
        <f>VLOOKUP($B530,'RBSA Weights'!$A$2:$C$1406,3,FALSE)</f>
        <v>2003.7159999999999</v>
      </c>
    </row>
    <row r="531" spans="1:10">
      <c r="A531" s="192">
        <v>209711</v>
      </c>
      <c r="B531" s="192">
        <v>13495</v>
      </c>
      <c r="C531" s="192" t="s">
        <v>815</v>
      </c>
      <c r="D531" s="192">
        <v>289</v>
      </c>
      <c r="E531" s="192" t="s">
        <v>816</v>
      </c>
      <c r="F531" s="192" t="s">
        <v>818</v>
      </c>
      <c r="G531" s="192">
        <v>0.55000001192092896</v>
      </c>
      <c r="H531" s="192" t="s">
        <v>818</v>
      </c>
      <c r="I531" s="192">
        <v>1</v>
      </c>
      <c r="J531" s="192">
        <f>VLOOKUP($B531,'RBSA Weights'!$A$2:$C$1406,3,FALSE)</f>
        <v>1464.694</v>
      </c>
    </row>
    <row r="532" spans="1:10">
      <c r="A532" s="192">
        <v>115949</v>
      </c>
      <c r="B532" s="192">
        <v>13505</v>
      </c>
      <c r="C532" s="192" t="s">
        <v>815</v>
      </c>
      <c r="D532" s="192">
        <v>151</v>
      </c>
      <c r="E532" s="192" t="s">
        <v>816</v>
      </c>
      <c r="F532" s="192" t="s">
        <v>818</v>
      </c>
      <c r="G532" s="192">
        <v>0.55000001192092896</v>
      </c>
      <c r="H532" s="192" t="s">
        <v>818</v>
      </c>
      <c r="I532" s="192">
        <v>1</v>
      </c>
      <c r="J532" s="192">
        <f>VLOOKUP($B532,'RBSA Weights'!$A$2:$C$1406,3,FALSE)</f>
        <v>1464.694</v>
      </c>
    </row>
    <row r="533" spans="1:10">
      <c r="A533" s="192">
        <v>115868</v>
      </c>
      <c r="B533" s="192">
        <v>13514</v>
      </c>
      <c r="C533" s="192" t="s">
        <v>815</v>
      </c>
      <c r="D533" s="192">
        <v>132</v>
      </c>
      <c r="E533" s="192" t="s">
        <v>819</v>
      </c>
      <c r="F533" s="192" t="s">
        <v>823</v>
      </c>
      <c r="G533" s="192">
        <v>0.85000002384185791</v>
      </c>
      <c r="H533" s="192" t="s">
        <v>823</v>
      </c>
      <c r="I533" s="192">
        <v>1</v>
      </c>
      <c r="J533" s="192">
        <f>VLOOKUP($B533,'RBSA Weights'!$A$2:$C$1406,3,FALSE)</f>
        <v>4956.4930000000004</v>
      </c>
    </row>
    <row r="534" spans="1:10">
      <c r="A534" s="192">
        <v>197879</v>
      </c>
      <c r="B534" s="192">
        <v>13554</v>
      </c>
      <c r="C534" s="192" t="s">
        <v>815</v>
      </c>
      <c r="D534" s="192">
        <v>364</v>
      </c>
      <c r="E534" s="192" t="s">
        <v>816</v>
      </c>
      <c r="F534" s="192" t="s">
        <v>817</v>
      </c>
      <c r="G534" s="192">
        <v>0.44999998807907104</v>
      </c>
      <c r="H534" s="192" t="s">
        <v>818</v>
      </c>
      <c r="I534" s="192">
        <v>1</v>
      </c>
      <c r="J534" s="192">
        <f>VLOOKUP($B534,'RBSA Weights'!$A$2:$C$1406,3,FALSE)</f>
        <v>4956.4930000000004</v>
      </c>
    </row>
    <row r="535" spans="1:10">
      <c r="A535" s="192">
        <v>197112</v>
      </c>
      <c r="B535" s="192">
        <v>13621</v>
      </c>
      <c r="C535" s="192" t="s">
        <v>815</v>
      </c>
      <c r="D535" s="192">
        <v>206</v>
      </c>
      <c r="E535" s="192" t="s">
        <v>816</v>
      </c>
      <c r="F535" s="192" t="s">
        <v>818</v>
      </c>
      <c r="G535" s="192">
        <v>0.60000002384185791</v>
      </c>
      <c r="H535" s="192" t="s">
        <v>818</v>
      </c>
      <c r="I535" s="192">
        <v>1</v>
      </c>
      <c r="J535" s="192">
        <f>VLOOKUP($B535,'RBSA Weights'!$A$2:$C$1406,3,FALSE)</f>
        <v>1464.694</v>
      </c>
    </row>
    <row r="536" spans="1:10">
      <c r="A536" s="192">
        <v>94891</v>
      </c>
      <c r="B536" s="192">
        <v>13643</v>
      </c>
      <c r="C536" s="192" t="s">
        <v>815</v>
      </c>
      <c r="D536" s="192">
        <v>251</v>
      </c>
      <c r="E536" s="192" t="s">
        <v>819</v>
      </c>
      <c r="F536" s="192" t="s">
        <v>817</v>
      </c>
      <c r="G536" s="192">
        <v>0.40000000596046448</v>
      </c>
      <c r="H536" s="192" t="s">
        <v>818</v>
      </c>
      <c r="I536" s="192">
        <v>1</v>
      </c>
      <c r="J536" s="192">
        <f>VLOOKUP($B536,'RBSA Weights'!$A$2:$C$1406,3,FALSE)</f>
        <v>2003.7159999999999</v>
      </c>
    </row>
    <row r="537" spans="1:10">
      <c r="A537" s="192">
        <v>195385</v>
      </c>
      <c r="B537" s="192">
        <v>13655</v>
      </c>
      <c r="C537" s="192" t="s">
        <v>815</v>
      </c>
      <c r="D537" s="192">
        <v>277</v>
      </c>
      <c r="E537" s="192" t="s">
        <v>816</v>
      </c>
      <c r="F537" s="192" t="s">
        <v>826</v>
      </c>
      <c r="G537" s="192">
        <v>0.2199999988079071</v>
      </c>
      <c r="H537" s="192" t="s">
        <v>826</v>
      </c>
      <c r="I537" s="192">
        <v>1</v>
      </c>
      <c r="J537" s="192">
        <f>VLOOKUP($B537,'RBSA Weights'!$A$2:$C$1406,3,FALSE)</f>
        <v>1464.694</v>
      </c>
    </row>
    <row r="538" spans="1:10">
      <c r="A538" s="192">
        <v>682066</v>
      </c>
      <c r="B538" s="192">
        <v>13656</v>
      </c>
      <c r="C538" s="192" t="s">
        <v>815</v>
      </c>
      <c r="D538" s="192">
        <v>193</v>
      </c>
      <c r="E538" s="192" t="s">
        <v>816</v>
      </c>
      <c r="F538" s="192" t="s">
        <v>817</v>
      </c>
      <c r="G538" s="192">
        <v>0.44999998807907104</v>
      </c>
      <c r="H538" s="192" t="s">
        <v>818</v>
      </c>
      <c r="I538" s="192">
        <v>1</v>
      </c>
      <c r="J538" s="192">
        <f>VLOOKUP($B538,'RBSA Weights'!$A$2:$C$1406,3,FALSE)</f>
        <v>1524.7619999999999</v>
      </c>
    </row>
    <row r="539" spans="1:10">
      <c r="A539" s="192">
        <v>199455</v>
      </c>
      <c r="B539" s="192">
        <v>13672</v>
      </c>
      <c r="C539" s="192" t="s">
        <v>815</v>
      </c>
      <c r="D539" s="192">
        <v>140</v>
      </c>
      <c r="E539" s="192" t="s">
        <v>819</v>
      </c>
      <c r="F539" s="192" t="s">
        <v>821</v>
      </c>
      <c r="G539" s="192">
        <v>0.75</v>
      </c>
      <c r="H539" s="192" t="s">
        <v>821</v>
      </c>
      <c r="I539" s="192">
        <v>1</v>
      </c>
      <c r="J539" s="192">
        <f>VLOOKUP($B539,'RBSA Weights'!$A$2:$C$1406,3,FALSE)</f>
        <v>1188.027</v>
      </c>
    </row>
    <row r="540" spans="1:10">
      <c r="A540" s="192">
        <v>85929</v>
      </c>
      <c r="B540" s="192">
        <v>13678</v>
      </c>
      <c r="C540" s="192" t="s">
        <v>815</v>
      </c>
      <c r="D540" s="192">
        <v>325</v>
      </c>
      <c r="E540" s="192" t="s">
        <v>816</v>
      </c>
      <c r="F540" s="192" t="s">
        <v>820</v>
      </c>
      <c r="G540" s="192">
        <v>0.80000001192092896</v>
      </c>
      <c r="H540" s="192" t="s">
        <v>820</v>
      </c>
      <c r="I540" s="192">
        <v>1</v>
      </c>
      <c r="J540" s="192">
        <f>VLOOKUP($B540,'RBSA Weights'!$A$2:$C$1406,3,FALSE)</f>
        <v>2003.7159999999999</v>
      </c>
    </row>
    <row r="541" spans="1:10">
      <c r="A541" s="192">
        <v>210747</v>
      </c>
      <c r="B541" s="192">
        <v>13691</v>
      </c>
      <c r="C541" s="192" t="s">
        <v>815</v>
      </c>
      <c r="D541" s="192">
        <v>698</v>
      </c>
      <c r="E541" s="192" t="s">
        <v>816</v>
      </c>
      <c r="F541" s="192" t="s">
        <v>818</v>
      </c>
      <c r="G541" s="192">
        <v>0.60000002384185791</v>
      </c>
      <c r="H541" s="192" t="s">
        <v>818</v>
      </c>
      <c r="I541" s="192">
        <v>1</v>
      </c>
      <c r="J541" s="192">
        <f>VLOOKUP($B541,'RBSA Weights'!$A$2:$C$1406,3,FALSE)</f>
        <v>6932.7380000000003</v>
      </c>
    </row>
    <row r="542" spans="1:10">
      <c r="A542" s="192">
        <v>45531</v>
      </c>
      <c r="B542" s="192">
        <v>13713</v>
      </c>
      <c r="C542" s="192" t="s">
        <v>815</v>
      </c>
      <c r="D542" s="192">
        <v>286</v>
      </c>
      <c r="E542" s="192" t="s">
        <v>816</v>
      </c>
      <c r="F542" s="192" t="s">
        <v>817</v>
      </c>
      <c r="G542" s="192">
        <v>0.55000001192092896</v>
      </c>
      <c r="H542" s="192" t="s">
        <v>818</v>
      </c>
      <c r="I542" s="192">
        <v>1</v>
      </c>
      <c r="J542" s="192">
        <f>VLOOKUP($B542,'RBSA Weights'!$A$2:$C$1406,3,FALSE)</f>
        <v>1150.8789999999999</v>
      </c>
    </row>
    <row r="543" spans="1:10">
      <c r="A543" s="192">
        <v>43538</v>
      </c>
      <c r="B543" s="192">
        <v>13746</v>
      </c>
      <c r="C543" s="192" t="s">
        <v>815</v>
      </c>
      <c r="D543" s="192">
        <v>111</v>
      </c>
      <c r="E543" s="192" t="s">
        <v>819</v>
      </c>
      <c r="F543" s="192" t="s">
        <v>823</v>
      </c>
      <c r="G543" s="192">
        <v>0.85000002384185791</v>
      </c>
      <c r="H543" s="192" t="s">
        <v>823</v>
      </c>
      <c r="I543" s="192">
        <v>1</v>
      </c>
      <c r="J543" s="192">
        <f>VLOOKUP($B543,'RBSA Weights'!$A$2:$C$1406,3,FALSE)</f>
        <v>1188.027</v>
      </c>
    </row>
    <row r="544" spans="1:10">
      <c r="A544" s="192">
        <v>84545</v>
      </c>
      <c r="B544" s="192">
        <v>13752</v>
      </c>
      <c r="C544" s="192" t="s">
        <v>815</v>
      </c>
      <c r="D544" s="192">
        <v>317</v>
      </c>
      <c r="E544" s="192" t="s">
        <v>816</v>
      </c>
      <c r="F544" s="192" t="s">
        <v>817</v>
      </c>
      <c r="G544" s="192">
        <v>0.55000001192092896</v>
      </c>
      <c r="H544" s="192" t="s">
        <v>818</v>
      </c>
      <c r="I544" s="192">
        <v>1</v>
      </c>
      <c r="J544" s="192">
        <f>VLOOKUP($B544,'RBSA Weights'!$A$2:$C$1406,3,FALSE)</f>
        <v>2003.7159999999999</v>
      </c>
    </row>
    <row r="545" spans="1:10">
      <c r="A545" s="192">
        <v>36324</v>
      </c>
      <c r="B545" s="192">
        <v>13756</v>
      </c>
      <c r="C545" s="192" t="s">
        <v>815</v>
      </c>
      <c r="D545" s="192">
        <v>381</v>
      </c>
      <c r="E545" s="192" t="s">
        <v>816</v>
      </c>
      <c r="F545" s="192" t="s">
        <v>817</v>
      </c>
      <c r="G545" s="192">
        <v>0.55000001192092896</v>
      </c>
      <c r="H545" s="192" t="s">
        <v>818</v>
      </c>
      <c r="I545" s="192">
        <v>1</v>
      </c>
      <c r="J545" s="192">
        <f>VLOOKUP($B545,'RBSA Weights'!$A$2:$C$1406,3,FALSE)</f>
        <v>1188.027</v>
      </c>
    </row>
    <row r="546" spans="1:10">
      <c r="A546" s="192">
        <v>238610</v>
      </c>
      <c r="B546" s="192">
        <v>13785</v>
      </c>
      <c r="C546" s="192" t="s">
        <v>815</v>
      </c>
      <c r="D546" s="192">
        <v>625</v>
      </c>
      <c r="E546" s="192" t="s">
        <v>816</v>
      </c>
      <c r="F546" s="192" t="s">
        <v>822</v>
      </c>
      <c r="G546" s="192">
        <v>0.75</v>
      </c>
      <c r="H546" s="192" t="s">
        <v>820</v>
      </c>
      <c r="I546" s="192">
        <v>1</v>
      </c>
      <c r="J546" s="192">
        <f>VLOOKUP($B546,'RBSA Weights'!$A$2:$C$1406,3,FALSE)</f>
        <v>1150.8789999999999</v>
      </c>
    </row>
    <row r="547" spans="1:10">
      <c r="A547" s="192">
        <v>109607</v>
      </c>
      <c r="B547" s="192">
        <v>13803</v>
      </c>
      <c r="C547" s="192" t="s">
        <v>815</v>
      </c>
      <c r="D547" s="192">
        <v>232</v>
      </c>
      <c r="E547" s="192" t="s">
        <v>816</v>
      </c>
      <c r="F547" s="192" t="s">
        <v>817</v>
      </c>
      <c r="G547" s="192">
        <v>0.55000001192092896</v>
      </c>
      <c r="H547" s="192" t="s">
        <v>818</v>
      </c>
      <c r="I547" s="192">
        <v>1</v>
      </c>
      <c r="J547" s="192">
        <f>VLOOKUP($B547,'RBSA Weights'!$A$2:$C$1406,3,FALSE)</f>
        <v>2003.7159999999999</v>
      </c>
    </row>
    <row r="548" spans="1:10">
      <c r="A548" s="192">
        <v>36473</v>
      </c>
      <c r="B548" s="192">
        <v>13817</v>
      </c>
      <c r="C548" s="192" t="s">
        <v>815</v>
      </c>
      <c r="D548" s="192">
        <v>170</v>
      </c>
      <c r="E548" s="192" t="s">
        <v>816</v>
      </c>
      <c r="F548" s="192" t="s">
        <v>817</v>
      </c>
      <c r="G548" s="192">
        <v>0.44999998807907104</v>
      </c>
      <c r="H548" s="192" t="s">
        <v>818</v>
      </c>
      <c r="I548" s="192">
        <v>1</v>
      </c>
      <c r="J548" s="192">
        <f>VLOOKUP($B548,'RBSA Weights'!$A$2:$C$1406,3,FALSE)</f>
        <v>1188.027</v>
      </c>
    </row>
    <row r="549" spans="1:10">
      <c r="A549" s="192">
        <v>199596</v>
      </c>
      <c r="B549" s="192">
        <v>13829</v>
      </c>
      <c r="C549" s="192" t="s">
        <v>815</v>
      </c>
      <c r="D549" s="192">
        <v>206</v>
      </c>
      <c r="E549" s="192" t="s">
        <v>816</v>
      </c>
      <c r="F549" s="192" t="s">
        <v>818</v>
      </c>
      <c r="G549" s="192">
        <v>0.60000002384185791</v>
      </c>
      <c r="H549" s="192" t="s">
        <v>818</v>
      </c>
      <c r="I549" s="192">
        <v>1</v>
      </c>
      <c r="J549" s="192">
        <f>VLOOKUP($B549,'RBSA Weights'!$A$2:$C$1406,3,FALSE)</f>
        <v>1464.694</v>
      </c>
    </row>
    <row r="550" spans="1:10">
      <c r="A550" s="192">
        <v>197033</v>
      </c>
      <c r="B550" s="192">
        <v>13863</v>
      </c>
      <c r="C550" s="192" t="s">
        <v>815</v>
      </c>
      <c r="D550" s="192">
        <v>124</v>
      </c>
      <c r="E550" s="192" t="s">
        <v>816</v>
      </c>
      <c r="F550" s="192" t="s">
        <v>820</v>
      </c>
      <c r="G550" s="192">
        <v>0.85000002384185791</v>
      </c>
      <c r="H550" s="192" t="s">
        <v>820</v>
      </c>
      <c r="I550" s="192">
        <v>1</v>
      </c>
      <c r="J550" s="192">
        <f>VLOOKUP($B550,'RBSA Weights'!$A$2:$C$1406,3,FALSE)</f>
        <v>1464.694</v>
      </c>
    </row>
    <row r="551" spans="1:10">
      <c r="A551" s="192">
        <v>223381</v>
      </c>
      <c r="B551" s="192">
        <v>13867</v>
      </c>
      <c r="C551" s="192" t="s">
        <v>815</v>
      </c>
      <c r="D551" s="192">
        <v>256</v>
      </c>
      <c r="E551" s="192" t="s">
        <v>816</v>
      </c>
      <c r="F551" s="192" t="s">
        <v>818</v>
      </c>
      <c r="G551" s="192">
        <v>0.60000002384185791</v>
      </c>
      <c r="H551" s="192" t="s">
        <v>818</v>
      </c>
      <c r="I551" s="192">
        <v>1</v>
      </c>
      <c r="J551" s="192">
        <f>VLOOKUP($B551,'RBSA Weights'!$A$2:$C$1406,3,FALSE)</f>
        <v>1464.694</v>
      </c>
    </row>
    <row r="552" spans="1:10">
      <c r="A552" s="192">
        <v>29163</v>
      </c>
      <c r="B552" s="192">
        <v>13871</v>
      </c>
      <c r="C552" s="192" t="s">
        <v>815</v>
      </c>
      <c r="D552" s="192">
        <v>287</v>
      </c>
      <c r="E552" s="192" t="s">
        <v>816</v>
      </c>
      <c r="F552" s="192" t="s">
        <v>817</v>
      </c>
      <c r="G552" s="192">
        <v>0.55000001192092896</v>
      </c>
      <c r="H552" s="192" t="s">
        <v>818</v>
      </c>
      <c r="I552" s="192">
        <v>1</v>
      </c>
      <c r="J552" s="192">
        <f>VLOOKUP($B552,'RBSA Weights'!$A$2:$C$1406,3,FALSE)</f>
        <v>1150.8789999999999</v>
      </c>
    </row>
    <row r="553" spans="1:10">
      <c r="A553" s="192">
        <v>181870</v>
      </c>
      <c r="B553" s="192">
        <v>13880</v>
      </c>
      <c r="C553" s="192" t="s">
        <v>815</v>
      </c>
      <c r="D553" s="192">
        <v>378</v>
      </c>
      <c r="E553" s="192" t="s">
        <v>819</v>
      </c>
      <c r="F553" s="192" t="s">
        <v>817</v>
      </c>
      <c r="G553" s="192">
        <v>0.40000000596046448</v>
      </c>
      <c r="H553" s="192" t="s">
        <v>818</v>
      </c>
      <c r="I553" s="192">
        <v>1</v>
      </c>
      <c r="J553" s="192">
        <f>VLOOKUP($B553,'RBSA Weights'!$A$2:$C$1406,3,FALSE)</f>
        <v>4956.4930000000004</v>
      </c>
    </row>
    <row r="554" spans="1:10">
      <c r="A554" s="192">
        <v>182372</v>
      </c>
      <c r="B554" s="192">
        <v>13895</v>
      </c>
      <c r="C554" s="192" t="s">
        <v>815</v>
      </c>
      <c r="D554" s="192">
        <v>101</v>
      </c>
      <c r="E554" s="192" t="s">
        <v>819</v>
      </c>
      <c r="F554" s="192" t="s">
        <v>817</v>
      </c>
      <c r="G554" s="192">
        <v>0.40000000596046448</v>
      </c>
      <c r="H554" s="192" t="s">
        <v>818</v>
      </c>
      <c r="I554" s="192">
        <v>1</v>
      </c>
      <c r="J554" s="192">
        <f>VLOOKUP($B554,'RBSA Weights'!$A$2:$C$1406,3,FALSE)</f>
        <v>1524.7619999999999</v>
      </c>
    </row>
    <row r="555" spans="1:10">
      <c r="A555" s="192">
        <v>58936</v>
      </c>
      <c r="B555" s="192">
        <v>13898</v>
      </c>
      <c r="C555" s="192" t="s">
        <v>815</v>
      </c>
      <c r="D555" s="192">
        <v>252</v>
      </c>
      <c r="E555" s="192" t="s">
        <v>816</v>
      </c>
      <c r="F555" s="192" t="s">
        <v>820</v>
      </c>
      <c r="G555" s="192">
        <v>0.85000002384185791</v>
      </c>
      <c r="H555" s="192" t="s">
        <v>820</v>
      </c>
      <c r="I555" s="192">
        <v>1</v>
      </c>
      <c r="J555" s="192">
        <f>VLOOKUP($B555,'RBSA Weights'!$A$2:$C$1406,3,FALSE)</f>
        <v>1188.027</v>
      </c>
    </row>
    <row r="556" spans="1:10">
      <c r="A556" s="192">
        <v>659440</v>
      </c>
      <c r="B556" s="192">
        <v>13903</v>
      </c>
      <c r="C556" s="192" t="s">
        <v>815</v>
      </c>
      <c r="D556" s="192">
        <v>487</v>
      </c>
      <c r="E556" s="192" t="s">
        <v>816</v>
      </c>
      <c r="F556" s="192" t="s">
        <v>820</v>
      </c>
      <c r="G556" s="192">
        <v>0.85000002384185791</v>
      </c>
      <c r="H556" s="192" t="s">
        <v>820</v>
      </c>
      <c r="I556" s="192">
        <v>1</v>
      </c>
      <c r="J556" s="192">
        <f>VLOOKUP($B556,'RBSA Weights'!$A$2:$C$1406,3,FALSE)</f>
        <v>6932.7380000000003</v>
      </c>
    </row>
    <row r="557" spans="1:10">
      <c r="A557" s="192">
        <v>221796</v>
      </c>
      <c r="B557" s="192">
        <v>13912</v>
      </c>
      <c r="C557" s="192" t="s">
        <v>815</v>
      </c>
      <c r="D557" s="192">
        <v>167</v>
      </c>
      <c r="E557" s="192" t="s">
        <v>816</v>
      </c>
      <c r="F557" s="192" t="s">
        <v>817</v>
      </c>
      <c r="G557" s="192">
        <v>0.44999998807907104</v>
      </c>
      <c r="H557" s="192" t="s">
        <v>818</v>
      </c>
      <c r="I557" s="192">
        <v>1</v>
      </c>
      <c r="J557" s="192">
        <f>VLOOKUP($B557,'RBSA Weights'!$A$2:$C$1406,3,FALSE)</f>
        <v>2003.7159999999999</v>
      </c>
    </row>
    <row r="558" spans="1:10">
      <c r="A558" s="192">
        <v>198385</v>
      </c>
      <c r="B558" s="192">
        <v>13948</v>
      </c>
      <c r="C558" s="192" t="s">
        <v>815</v>
      </c>
      <c r="D558" s="192">
        <v>250</v>
      </c>
      <c r="E558" s="192" t="s">
        <v>816</v>
      </c>
      <c r="F558" s="192" t="s">
        <v>818</v>
      </c>
      <c r="G558" s="192">
        <v>0.55000001192092896</v>
      </c>
      <c r="H558" s="192" t="s">
        <v>818</v>
      </c>
      <c r="I558" s="192">
        <v>1</v>
      </c>
      <c r="J558" s="192">
        <f>VLOOKUP($B558,'RBSA Weights'!$A$2:$C$1406,3,FALSE)</f>
        <v>1524.7619999999999</v>
      </c>
    </row>
    <row r="559" spans="1:10">
      <c r="A559" s="192">
        <v>221475</v>
      </c>
      <c r="B559" s="192">
        <v>13956</v>
      </c>
      <c r="C559" s="192" t="s">
        <v>815</v>
      </c>
      <c r="D559" s="192">
        <v>271</v>
      </c>
      <c r="E559" s="192" t="s">
        <v>816</v>
      </c>
      <c r="F559" s="192" t="s">
        <v>817</v>
      </c>
      <c r="G559" s="192">
        <v>0.44999998807907104</v>
      </c>
      <c r="H559" s="192" t="s">
        <v>818</v>
      </c>
      <c r="I559" s="192">
        <v>1</v>
      </c>
      <c r="J559" s="192">
        <f>VLOOKUP($B559,'RBSA Weights'!$A$2:$C$1406,3,FALSE)</f>
        <v>1524.7619999999999</v>
      </c>
    </row>
    <row r="560" spans="1:10">
      <c r="A560" s="192">
        <v>221285</v>
      </c>
      <c r="B560" s="192">
        <v>13970</v>
      </c>
      <c r="C560" s="192" t="s">
        <v>815</v>
      </c>
      <c r="D560" s="192">
        <v>245</v>
      </c>
      <c r="E560" s="192" t="s">
        <v>816</v>
      </c>
      <c r="F560" s="192" t="s">
        <v>821</v>
      </c>
      <c r="G560" s="192">
        <v>0.94999998807907104</v>
      </c>
      <c r="H560" s="192" t="s">
        <v>821</v>
      </c>
      <c r="I560" s="192">
        <v>1</v>
      </c>
      <c r="J560" s="192">
        <f>VLOOKUP($B560,'RBSA Weights'!$A$2:$C$1406,3,FALSE)</f>
        <v>1524.7619999999999</v>
      </c>
    </row>
    <row r="561" spans="1:10">
      <c r="A561" s="192">
        <v>221673</v>
      </c>
      <c r="B561" s="192">
        <v>13974</v>
      </c>
      <c r="C561" s="192" t="s">
        <v>815</v>
      </c>
      <c r="D561" s="192">
        <v>151</v>
      </c>
      <c r="E561" s="192" t="s">
        <v>816</v>
      </c>
      <c r="F561" s="192" t="s">
        <v>818</v>
      </c>
      <c r="G561" s="192">
        <v>0.55000001192092896</v>
      </c>
      <c r="H561" s="192" t="s">
        <v>818</v>
      </c>
      <c r="I561" s="192">
        <v>1</v>
      </c>
      <c r="J561" s="192">
        <f>VLOOKUP($B561,'RBSA Weights'!$A$2:$C$1406,3,FALSE)</f>
        <v>2003.7159999999999</v>
      </c>
    </row>
    <row r="562" spans="1:10">
      <c r="A562" s="192">
        <v>197605</v>
      </c>
      <c r="B562" s="192">
        <v>13975</v>
      </c>
      <c r="C562" s="192" t="s">
        <v>815</v>
      </c>
      <c r="D562" s="192">
        <v>160</v>
      </c>
      <c r="E562" s="192" t="s">
        <v>816</v>
      </c>
      <c r="F562" s="192" t="s">
        <v>818</v>
      </c>
      <c r="G562" s="192">
        <v>0.55000001192092896</v>
      </c>
      <c r="H562" s="192" t="s">
        <v>818</v>
      </c>
      <c r="I562" s="192">
        <v>1</v>
      </c>
      <c r="J562" s="192">
        <f>VLOOKUP($B562,'RBSA Weights'!$A$2:$C$1406,3,FALSE)</f>
        <v>4956.4930000000004</v>
      </c>
    </row>
    <row r="563" spans="1:10">
      <c r="A563" s="192">
        <v>165893</v>
      </c>
      <c r="B563" s="192">
        <v>14000</v>
      </c>
      <c r="C563" s="192" t="s">
        <v>815</v>
      </c>
      <c r="D563" s="192">
        <v>138</v>
      </c>
      <c r="E563" s="192" t="s">
        <v>816</v>
      </c>
      <c r="F563" s="192" t="s">
        <v>817</v>
      </c>
      <c r="G563" s="192">
        <v>0.55000001192092896</v>
      </c>
      <c r="H563" s="192" t="s">
        <v>818</v>
      </c>
      <c r="I563" s="192">
        <v>1</v>
      </c>
      <c r="J563" s="192">
        <f>VLOOKUP($B563,'RBSA Weights'!$A$2:$C$1406,3,FALSE)</f>
        <v>1524.7619999999999</v>
      </c>
    </row>
    <row r="564" spans="1:10">
      <c r="A564" s="192">
        <v>240611</v>
      </c>
      <c r="B564" s="192">
        <v>14012</v>
      </c>
      <c r="C564" s="192" t="s">
        <v>815</v>
      </c>
      <c r="D564" s="192">
        <v>253</v>
      </c>
      <c r="E564" s="192" t="s">
        <v>816</v>
      </c>
      <c r="F564" s="192" t="s">
        <v>817</v>
      </c>
      <c r="G564" s="192">
        <v>0.44999998807907104</v>
      </c>
      <c r="H564" s="192" t="s">
        <v>818</v>
      </c>
      <c r="I564" s="192">
        <v>1</v>
      </c>
      <c r="J564" s="192">
        <f>VLOOKUP($B564,'RBSA Weights'!$A$2:$C$1406,3,FALSE)</f>
        <v>2003.7159999999999</v>
      </c>
    </row>
    <row r="565" spans="1:10">
      <c r="A565" s="192">
        <v>182210</v>
      </c>
      <c r="B565" s="192">
        <v>14015</v>
      </c>
      <c r="C565" s="192" t="s">
        <v>815</v>
      </c>
      <c r="D565" s="192">
        <v>244</v>
      </c>
      <c r="E565" s="192" t="s">
        <v>819</v>
      </c>
      <c r="F565" s="192" t="s">
        <v>818</v>
      </c>
      <c r="G565" s="192">
        <v>0.5</v>
      </c>
      <c r="H565" s="192" t="s">
        <v>818</v>
      </c>
      <c r="I565" s="192">
        <v>1</v>
      </c>
      <c r="J565" s="192">
        <f>VLOOKUP($B565,'RBSA Weights'!$A$2:$C$1406,3,FALSE)</f>
        <v>4956.4930000000004</v>
      </c>
    </row>
    <row r="566" spans="1:10">
      <c r="A566" s="192">
        <v>41063</v>
      </c>
      <c r="B566" s="192">
        <v>14017</v>
      </c>
      <c r="C566" s="192" t="s">
        <v>815</v>
      </c>
      <c r="D566" s="192">
        <v>121</v>
      </c>
      <c r="E566" s="192" t="s">
        <v>819</v>
      </c>
      <c r="F566" s="192" t="s">
        <v>817</v>
      </c>
      <c r="G566" s="192">
        <v>0.40000000596046448</v>
      </c>
      <c r="H566" s="192" t="s">
        <v>818</v>
      </c>
      <c r="I566" s="192">
        <v>1</v>
      </c>
      <c r="J566" s="192">
        <f>VLOOKUP($B566,'RBSA Weights'!$A$2:$C$1406,3,FALSE)</f>
        <v>1188.027</v>
      </c>
    </row>
    <row r="567" spans="1:10">
      <c r="A567" s="192">
        <v>185200</v>
      </c>
      <c r="B567" s="192">
        <v>14037</v>
      </c>
      <c r="C567" s="192" t="s">
        <v>815</v>
      </c>
      <c r="D567" s="192">
        <v>216</v>
      </c>
      <c r="E567" s="192" t="s">
        <v>816</v>
      </c>
      <c r="F567" s="192" t="s">
        <v>818</v>
      </c>
      <c r="G567" s="192">
        <v>0.60000002384185791</v>
      </c>
      <c r="H567" s="192" t="s">
        <v>818</v>
      </c>
      <c r="I567" s="192">
        <v>1</v>
      </c>
      <c r="J567" s="192">
        <f>VLOOKUP($B567,'RBSA Weights'!$A$2:$C$1406,3,FALSE)</f>
        <v>1524.7619999999999</v>
      </c>
    </row>
    <row r="568" spans="1:10">
      <c r="A568" s="192">
        <v>206361</v>
      </c>
      <c r="B568" s="192">
        <v>14046</v>
      </c>
      <c r="C568" s="192" t="s">
        <v>815</v>
      </c>
      <c r="D568" s="192">
        <v>141</v>
      </c>
      <c r="E568" s="192" t="s">
        <v>816</v>
      </c>
      <c r="F568" s="192" t="s">
        <v>820</v>
      </c>
      <c r="G568" s="192">
        <v>0.85000002384185791</v>
      </c>
      <c r="H568" s="192" t="s">
        <v>820</v>
      </c>
      <c r="I568" s="192">
        <v>1</v>
      </c>
      <c r="J568" s="192">
        <f>VLOOKUP($B568,'RBSA Weights'!$A$2:$C$1406,3,FALSE)</f>
        <v>1464.694</v>
      </c>
    </row>
    <row r="569" spans="1:10">
      <c r="A569" s="192">
        <v>96069</v>
      </c>
      <c r="B569" s="192">
        <v>14051</v>
      </c>
      <c r="C569" s="192" t="s">
        <v>815</v>
      </c>
      <c r="D569" s="192">
        <v>173</v>
      </c>
      <c r="E569" s="192" t="s">
        <v>816</v>
      </c>
      <c r="F569" s="192" t="s">
        <v>817</v>
      </c>
      <c r="G569" s="192">
        <v>0.44999998807907104</v>
      </c>
      <c r="H569" s="192" t="s">
        <v>818</v>
      </c>
      <c r="I569" s="192">
        <v>1</v>
      </c>
      <c r="J569" s="192">
        <f>VLOOKUP($B569,'RBSA Weights'!$A$2:$C$1406,3,FALSE)</f>
        <v>1188.027</v>
      </c>
    </row>
    <row r="570" spans="1:10">
      <c r="A570" s="192">
        <v>44967</v>
      </c>
      <c r="B570" s="192">
        <v>14052</v>
      </c>
      <c r="C570" s="192" t="s">
        <v>815</v>
      </c>
      <c r="D570" s="192">
        <v>177</v>
      </c>
      <c r="E570" s="192" t="s">
        <v>816</v>
      </c>
      <c r="F570" s="192" t="s">
        <v>817</v>
      </c>
      <c r="G570" s="192">
        <v>0.55000001192092896</v>
      </c>
      <c r="H570" s="192" t="s">
        <v>818</v>
      </c>
      <c r="I570" s="192">
        <v>1</v>
      </c>
      <c r="J570" s="192">
        <f>VLOOKUP($B570,'RBSA Weights'!$A$2:$C$1406,3,FALSE)</f>
        <v>1188.027</v>
      </c>
    </row>
    <row r="571" spans="1:10">
      <c r="A571" s="192">
        <v>659967</v>
      </c>
      <c r="B571" s="192">
        <v>14073</v>
      </c>
      <c r="C571" s="192" t="s">
        <v>815</v>
      </c>
      <c r="D571" s="192">
        <v>302</v>
      </c>
      <c r="E571" s="192" t="s">
        <v>816</v>
      </c>
      <c r="F571" s="192" t="s">
        <v>820</v>
      </c>
      <c r="G571" s="192">
        <v>0.80000001192092896</v>
      </c>
      <c r="H571" s="192" t="s">
        <v>820</v>
      </c>
      <c r="I571" s="192">
        <v>1</v>
      </c>
      <c r="J571" s="192">
        <f>VLOOKUP($B571,'RBSA Weights'!$A$2:$C$1406,3,FALSE)</f>
        <v>2003.7159999999999</v>
      </c>
    </row>
    <row r="572" spans="1:10">
      <c r="A572" s="192">
        <v>27800</v>
      </c>
      <c r="B572" s="192">
        <v>14078</v>
      </c>
      <c r="C572" s="192" t="s">
        <v>815</v>
      </c>
      <c r="D572" s="192">
        <v>210</v>
      </c>
      <c r="E572" s="192" t="s">
        <v>816</v>
      </c>
      <c r="F572" s="192" t="s">
        <v>817</v>
      </c>
      <c r="G572" s="192">
        <v>0.55000001192092896</v>
      </c>
      <c r="H572" s="192" t="s">
        <v>818</v>
      </c>
      <c r="I572" s="192">
        <v>1</v>
      </c>
      <c r="J572" s="192">
        <f>VLOOKUP($B572,'RBSA Weights'!$A$2:$C$1406,3,FALSE)</f>
        <v>1150.8789999999999</v>
      </c>
    </row>
    <row r="573" spans="1:10">
      <c r="A573" s="192">
        <v>198229</v>
      </c>
      <c r="B573" s="192">
        <v>14102</v>
      </c>
      <c r="C573" s="192" t="s">
        <v>815</v>
      </c>
      <c r="D573" s="192">
        <v>413</v>
      </c>
      <c r="E573" s="192" t="s">
        <v>816</v>
      </c>
      <c r="F573" s="192" t="s">
        <v>817</v>
      </c>
      <c r="G573" s="192">
        <v>0.44999998807907104</v>
      </c>
      <c r="H573" s="192" t="s">
        <v>818</v>
      </c>
      <c r="I573" s="192">
        <v>1</v>
      </c>
      <c r="J573" s="192">
        <f>VLOOKUP($B573,'RBSA Weights'!$A$2:$C$1406,3,FALSE)</f>
        <v>4956.4930000000004</v>
      </c>
    </row>
    <row r="574" spans="1:10">
      <c r="A574" s="192">
        <v>239225</v>
      </c>
      <c r="B574" s="192">
        <v>14117</v>
      </c>
      <c r="C574" s="192" t="s">
        <v>815</v>
      </c>
      <c r="D574" s="192">
        <v>138</v>
      </c>
      <c r="E574" s="192" t="s">
        <v>816</v>
      </c>
      <c r="F574" s="192" t="s">
        <v>823</v>
      </c>
      <c r="G574" s="192">
        <v>1.1000000238418579</v>
      </c>
      <c r="H574" s="192" t="s">
        <v>823</v>
      </c>
      <c r="I574" s="192">
        <v>1</v>
      </c>
      <c r="J574" s="192">
        <f>VLOOKUP($B574,'RBSA Weights'!$A$2:$C$1406,3,FALSE)</f>
        <v>1150.8789999999999</v>
      </c>
    </row>
    <row r="575" spans="1:10">
      <c r="A575" s="192">
        <v>113629</v>
      </c>
      <c r="B575" s="192">
        <v>14122</v>
      </c>
      <c r="C575" s="192" t="s">
        <v>815</v>
      </c>
      <c r="D575" s="192">
        <v>203</v>
      </c>
      <c r="E575" s="192" t="s">
        <v>816</v>
      </c>
      <c r="F575" s="192" t="s">
        <v>818</v>
      </c>
      <c r="G575" s="192">
        <v>0.60000002384185791</v>
      </c>
      <c r="H575" s="192" t="s">
        <v>818</v>
      </c>
      <c r="I575" s="192">
        <v>1</v>
      </c>
      <c r="J575" s="192">
        <f>VLOOKUP($B575,'RBSA Weights'!$A$2:$C$1406,3,FALSE)</f>
        <v>1464.694</v>
      </c>
    </row>
    <row r="576" spans="1:10">
      <c r="A576" s="192">
        <v>45107</v>
      </c>
      <c r="B576" s="192">
        <v>14129</v>
      </c>
      <c r="C576" s="192" t="s">
        <v>815</v>
      </c>
      <c r="D576" s="192">
        <v>99</v>
      </c>
      <c r="E576" s="192" t="s">
        <v>816</v>
      </c>
      <c r="F576" s="192" t="s">
        <v>820</v>
      </c>
      <c r="G576" s="192">
        <v>0.85000002384185791</v>
      </c>
      <c r="H576" s="192" t="s">
        <v>820</v>
      </c>
      <c r="I576" s="192">
        <v>1</v>
      </c>
      <c r="J576" s="192">
        <f>VLOOKUP($B576,'RBSA Weights'!$A$2:$C$1406,3,FALSE)</f>
        <v>1188.027</v>
      </c>
    </row>
    <row r="577" spans="1:10">
      <c r="A577" s="192">
        <v>203966</v>
      </c>
      <c r="B577" s="192">
        <v>14140</v>
      </c>
      <c r="C577" s="192" t="s">
        <v>815</v>
      </c>
      <c r="D577" s="192">
        <v>101</v>
      </c>
      <c r="E577" s="192" t="s">
        <v>816</v>
      </c>
      <c r="F577" s="192" t="s">
        <v>825</v>
      </c>
      <c r="G577" s="192">
        <v>0.2199999988079071</v>
      </c>
      <c r="H577" s="192" t="s">
        <v>826</v>
      </c>
      <c r="I577" s="192">
        <v>1</v>
      </c>
      <c r="J577" s="192">
        <f>VLOOKUP($B577,'RBSA Weights'!$A$2:$C$1406,3,FALSE)</f>
        <v>2003.7159999999999</v>
      </c>
    </row>
    <row r="578" spans="1:10">
      <c r="A578" s="192">
        <v>803121</v>
      </c>
      <c r="B578" s="192">
        <v>14143</v>
      </c>
      <c r="C578" s="192" t="s">
        <v>815</v>
      </c>
      <c r="D578" s="192">
        <v>140</v>
      </c>
      <c r="E578" s="192" t="s">
        <v>816</v>
      </c>
      <c r="F578" s="192" t="s">
        <v>817</v>
      </c>
      <c r="G578" s="192">
        <v>0.44999998807907104</v>
      </c>
      <c r="H578" s="192" t="s">
        <v>818</v>
      </c>
      <c r="I578" s="192">
        <v>1</v>
      </c>
      <c r="J578" s="192">
        <f>VLOOKUP($B578,'RBSA Weights'!$A$2:$C$1406,3,FALSE)</f>
        <v>1464.694</v>
      </c>
    </row>
    <row r="579" spans="1:10">
      <c r="A579" s="192">
        <v>219182</v>
      </c>
      <c r="B579" s="192">
        <v>14150</v>
      </c>
      <c r="C579" s="192" t="s">
        <v>815</v>
      </c>
      <c r="D579" s="192">
        <v>79</v>
      </c>
      <c r="E579" s="192" t="s">
        <v>819</v>
      </c>
      <c r="F579" s="192" t="s">
        <v>820</v>
      </c>
      <c r="G579" s="192">
        <v>0.75</v>
      </c>
      <c r="H579" s="192" t="s">
        <v>820</v>
      </c>
      <c r="I579" s="192">
        <v>1</v>
      </c>
      <c r="J579" s="192">
        <f>VLOOKUP($B579,'RBSA Weights'!$A$2:$C$1406,3,FALSE)</f>
        <v>6932.7380000000003</v>
      </c>
    </row>
    <row r="580" spans="1:10">
      <c r="A580" s="192">
        <v>678366</v>
      </c>
      <c r="B580" s="192">
        <v>14153</v>
      </c>
      <c r="C580" s="192" t="s">
        <v>815</v>
      </c>
      <c r="D580" s="192">
        <v>202</v>
      </c>
      <c r="E580" s="192" t="s">
        <v>816</v>
      </c>
      <c r="F580" s="192" t="s">
        <v>817</v>
      </c>
      <c r="G580" s="192">
        <v>0.44999998807907104</v>
      </c>
      <c r="H580" s="192" t="s">
        <v>818</v>
      </c>
      <c r="I580" s="192">
        <v>1</v>
      </c>
      <c r="J580" s="192">
        <f>VLOOKUP($B580,'RBSA Weights'!$A$2:$C$1406,3,FALSE)</f>
        <v>6932.7380000000003</v>
      </c>
    </row>
    <row r="581" spans="1:10">
      <c r="A581" s="192">
        <v>687188</v>
      </c>
      <c r="B581" s="192">
        <v>14174</v>
      </c>
      <c r="C581" s="192" t="s">
        <v>815</v>
      </c>
      <c r="D581" s="192">
        <v>120</v>
      </c>
      <c r="E581" s="192" t="s">
        <v>816</v>
      </c>
      <c r="F581" s="192" t="s">
        <v>823</v>
      </c>
      <c r="G581" s="192">
        <v>1.1000000238418579</v>
      </c>
      <c r="H581" s="192" t="s">
        <v>823</v>
      </c>
      <c r="I581" s="192">
        <v>1</v>
      </c>
      <c r="J581" s="192">
        <f>VLOOKUP($B581,'RBSA Weights'!$A$2:$C$1406,3,FALSE)</f>
        <v>6932.7380000000003</v>
      </c>
    </row>
    <row r="582" spans="1:10">
      <c r="A582" s="192">
        <v>229086</v>
      </c>
      <c r="B582" s="192">
        <v>14181</v>
      </c>
      <c r="C582" s="192" t="s">
        <v>815</v>
      </c>
      <c r="D582" s="192">
        <v>165</v>
      </c>
      <c r="E582" s="192" t="s">
        <v>816</v>
      </c>
      <c r="F582" s="192" t="s">
        <v>817</v>
      </c>
      <c r="G582" s="192">
        <v>0.44999998807907104</v>
      </c>
      <c r="H582" s="192" t="s">
        <v>818</v>
      </c>
      <c r="I582" s="192">
        <v>1</v>
      </c>
      <c r="J582" s="192">
        <f>VLOOKUP($B582,'RBSA Weights'!$A$2:$C$1406,3,FALSE)</f>
        <v>1524.7619999999999</v>
      </c>
    </row>
    <row r="583" spans="1:10">
      <c r="A583" s="192">
        <v>206099</v>
      </c>
      <c r="B583" s="192">
        <v>14210</v>
      </c>
      <c r="C583" s="192" t="s">
        <v>815</v>
      </c>
      <c r="D583" s="192">
        <v>122</v>
      </c>
      <c r="E583" s="192" t="s">
        <v>816</v>
      </c>
      <c r="F583" s="192" t="s">
        <v>821</v>
      </c>
      <c r="G583" s="192">
        <v>0.94999998807907104</v>
      </c>
      <c r="H583" s="192" t="s">
        <v>821</v>
      </c>
      <c r="I583" s="192">
        <v>1</v>
      </c>
      <c r="J583" s="192">
        <f>VLOOKUP($B583,'RBSA Weights'!$A$2:$C$1406,3,FALSE)</f>
        <v>1464.694</v>
      </c>
    </row>
    <row r="584" spans="1:10">
      <c r="A584" s="192">
        <v>205642</v>
      </c>
      <c r="B584" s="192">
        <v>14211</v>
      </c>
      <c r="C584" s="192" t="s">
        <v>815</v>
      </c>
      <c r="D584" s="192">
        <v>148</v>
      </c>
      <c r="E584" s="192" t="s">
        <v>816</v>
      </c>
      <c r="F584" s="192" t="s">
        <v>818</v>
      </c>
      <c r="G584" s="192">
        <v>0.55000001192092896</v>
      </c>
      <c r="H584" s="192" t="s">
        <v>818</v>
      </c>
      <c r="I584" s="192">
        <v>1</v>
      </c>
      <c r="J584" s="192">
        <f>VLOOKUP($B584,'RBSA Weights'!$A$2:$C$1406,3,FALSE)</f>
        <v>1524.7619999999999</v>
      </c>
    </row>
    <row r="585" spans="1:10">
      <c r="A585" s="192">
        <v>198073</v>
      </c>
      <c r="B585" s="192">
        <v>14222</v>
      </c>
      <c r="C585" s="192" t="s">
        <v>815</v>
      </c>
      <c r="D585" s="192">
        <v>235</v>
      </c>
      <c r="E585" s="192" t="s">
        <v>816</v>
      </c>
      <c r="F585" s="192" t="s">
        <v>818</v>
      </c>
      <c r="G585" s="192">
        <v>0.55000001192092896</v>
      </c>
      <c r="H585" s="192" t="s">
        <v>818</v>
      </c>
      <c r="I585" s="192">
        <v>1</v>
      </c>
      <c r="J585" s="192">
        <f>VLOOKUP($B585,'RBSA Weights'!$A$2:$C$1406,3,FALSE)</f>
        <v>1524.7619999999999</v>
      </c>
    </row>
    <row r="586" spans="1:10">
      <c r="A586" s="192">
        <v>208641</v>
      </c>
      <c r="B586" s="192">
        <v>14264</v>
      </c>
      <c r="C586" s="192" t="s">
        <v>815</v>
      </c>
      <c r="D586" s="192">
        <v>211</v>
      </c>
      <c r="E586" s="192" t="s">
        <v>816</v>
      </c>
      <c r="F586" s="192" t="s">
        <v>818</v>
      </c>
      <c r="G586" s="192">
        <v>0.55000001192092896</v>
      </c>
      <c r="H586" s="192" t="s">
        <v>818</v>
      </c>
      <c r="I586" s="192">
        <v>1</v>
      </c>
      <c r="J586" s="192">
        <f>VLOOKUP($B586,'RBSA Weights'!$A$2:$C$1406,3,FALSE)</f>
        <v>4956.4930000000004</v>
      </c>
    </row>
    <row r="587" spans="1:10">
      <c r="A587" s="192">
        <v>197736</v>
      </c>
      <c r="B587" s="192">
        <v>14273</v>
      </c>
      <c r="C587" s="192" t="s">
        <v>815</v>
      </c>
      <c r="D587" s="192">
        <v>295</v>
      </c>
      <c r="E587" s="192" t="s">
        <v>816</v>
      </c>
      <c r="F587" s="192" t="s">
        <v>818</v>
      </c>
      <c r="G587" s="192">
        <v>0.55000001192092896</v>
      </c>
      <c r="H587" s="192" t="s">
        <v>818</v>
      </c>
      <c r="I587" s="192">
        <v>1</v>
      </c>
      <c r="J587" s="192">
        <f>VLOOKUP($B587,'RBSA Weights'!$A$2:$C$1406,3,FALSE)</f>
        <v>4956.4930000000004</v>
      </c>
    </row>
    <row r="588" spans="1:10">
      <c r="A588" s="192">
        <v>197466</v>
      </c>
      <c r="B588" s="192">
        <v>14277</v>
      </c>
      <c r="C588" s="192" t="s">
        <v>815</v>
      </c>
      <c r="D588" s="192">
        <v>138</v>
      </c>
      <c r="E588" s="192" t="s">
        <v>816</v>
      </c>
      <c r="F588" s="192" t="s">
        <v>820</v>
      </c>
      <c r="G588" s="192">
        <v>0.80000001192092896</v>
      </c>
      <c r="H588" s="192" t="s">
        <v>820</v>
      </c>
      <c r="I588" s="192">
        <v>1</v>
      </c>
      <c r="J588" s="192">
        <f>VLOOKUP($B588,'RBSA Weights'!$A$2:$C$1406,3,FALSE)</f>
        <v>4956.4930000000004</v>
      </c>
    </row>
    <row r="589" spans="1:10">
      <c r="A589" s="192">
        <v>212403</v>
      </c>
      <c r="B589" s="192">
        <v>14284</v>
      </c>
      <c r="C589" s="192" t="s">
        <v>815</v>
      </c>
      <c r="D589" s="192">
        <v>341</v>
      </c>
      <c r="E589" s="192" t="s">
        <v>816</v>
      </c>
      <c r="F589" s="192" t="s">
        <v>821</v>
      </c>
      <c r="G589" s="192">
        <v>0.94999998807907104</v>
      </c>
      <c r="H589" s="192" t="s">
        <v>821</v>
      </c>
      <c r="I589" s="192">
        <v>1</v>
      </c>
      <c r="J589" s="192">
        <f>VLOOKUP($B589,'RBSA Weights'!$A$2:$C$1406,3,FALSE)</f>
        <v>1524.7619999999999</v>
      </c>
    </row>
    <row r="590" spans="1:10">
      <c r="A590" s="192">
        <v>218042</v>
      </c>
      <c r="B590" s="192">
        <v>14285</v>
      </c>
      <c r="C590" s="192" t="s">
        <v>815</v>
      </c>
      <c r="D590" s="192">
        <v>228</v>
      </c>
      <c r="E590" s="192" t="s">
        <v>816</v>
      </c>
      <c r="F590" s="192" t="s">
        <v>821</v>
      </c>
      <c r="G590" s="192">
        <v>0.94999998807907104</v>
      </c>
      <c r="H590" s="192" t="s">
        <v>821</v>
      </c>
      <c r="I590" s="192">
        <v>1</v>
      </c>
      <c r="J590" s="192">
        <f>VLOOKUP($B590,'RBSA Weights'!$A$2:$C$1406,3,FALSE)</f>
        <v>1524.7619999999999</v>
      </c>
    </row>
    <row r="591" spans="1:10">
      <c r="A591" s="192">
        <v>237947</v>
      </c>
      <c r="B591" s="192">
        <v>14300</v>
      </c>
      <c r="C591" s="192" t="s">
        <v>815</v>
      </c>
      <c r="D591" s="192">
        <v>139</v>
      </c>
      <c r="E591" s="192" t="s">
        <v>816</v>
      </c>
      <c r="F591" s="192" t="s">
        <v>817</v>
      </c>
      <c r="G591" s="192">
        <v>0.44999998807907104</v>
      </c>
      <c r="H591" s="192" t="s">
        <v>818</v>
      </c>
      <c r="I591" s="192">
        <v>1</v>
      </c>
      <c r="J591" s="192">
        <f>VLOOKUP($B591,'RBSA Weights'!$A$2:$C$1406,3,FALSE)</f>
        <v>4956.4930000000004</v>
      </c>
    </row>
    <row r="592" spans="1:10">
      <c r="A592" s="192">
        <v>204457</v>
      </c>
      <c r="B592" s="192">
        <v>14329</v>
      </c>
      <c r="C592" s="192" t="s">
        <v>815</v>
      </c>
      <c r="D592" s="192">
        <v>244</v>
      </c>
      <c r="E592" s="192" t="s">
        <v>816</v>
      </c>
      <c r="F592" s="192" t="s">
        <v>817</v>
      </c>
      <c r="G592" s="192">
        <v>0.55000001192092896</v>
      </c>
      <c r="H592" s="192" t="s">
        <v>818</v>
      </c>
      <c r="I592" s="192">
        <v>1</v>
      </c>
      <c r="J592" s="192">
        <f>VLOOKUP($B592,'RBSA Weights'!$A$2:$C$1406,3,FALSE)</f>
        <v>6932.7380000000003</v>
      </c>
    </row>
    <row r="593" spans="1:10">
      <c r="A593" s="192">
        <v>666815</v>
      </c>
      <c r="B593" s="192">
        <v>14331</v>
      </c>
      <c r="C593" s="192" t="s">
        <v>815</v>
      </c>
      <c r="D593" s="192">
        <v>265</v>
      </c>
      <c r="E593" s="192" t="s">
        <v>816</v>
      </c>
      <c r="F593" s="192" t="s">
        <v>817</v>
      </c>
      <c r="G593" s="192">
        <v>0.55000001192092896</v>
      </c>
      <c r="H593" s="192" t="s">
        <v>818</v>
      </c>
      <c r="I593" s="192">
        <v>1</v>
      </c>
      <c r="J593" s="192">
        <f>VLOOKUP($B593,'RBSA Weights'!$A$2:$C$1406,3,FALSE)</f>
        <v>6932.7380000000003</v>
      </c>
    </row>
    <row r="594" spans="1:10">
      <c r="A594" s="192">
        <v>219427</v>
      </c>
      <c r="B594" s="192">
        <v>14423</v>
      </c>
      <c r="C594" s="192" t="s">
        <v>815</v>
      </c>
      <c r="D594" s="192">
        <v>180</v>
      </c>
      <c r="E594" s="192" t="s">
        <v>816</v>
      </c>
      <c r="F594" s="192" t="s">
        <v>817</v>
      </c>
      <c r="G594" s="192">
        <v>0.44999998807907104</v>
      </c>
      <c r="H594" s="192" t="s">
        <v>818</v>
      </c>
      <c r="I594" s="192">
        <v>1</v>
      </c>
      <c r="J594" s="192">
        <f>VLOOKUP($B594,'RBSA Weights'!$A$2:$C$1406,3,FALSE)</f>
        <v>4956.4930000000004</v>
      </c>
    </row>
    <row r="595" spans="1:10">
      <c r="A595" s="192">
        <v>29934</v>
      </c>
      <c r="B595" s="192">
        <v>14457</v>
      </c>
      <c r="C595" s="192" t="s">
        <v>815</v>
      </c>
      <c r="D595" s="192">
        <v>165</v>
      </c>
      <c r="E595" s="192" t="s">
        <v>816</v>
      </c>
      <c r="F595" s="192" t="s">
        <v>825</v>
      </c>
      <c r="G595" s="192">
        <v>0.2199999988079071</v>
      </c>
      <c r="H595" s="192" t="s">
        <v>826</v>
      </c>
      <c r="I595" s="192">
        <v>1</v>
      </c>
      <c r="J595" s="192">
        <f>VLOOKUP($B595,'RBSA Weights'!$A$2:$C$1406,3,FALSE)</f>
        <v>1150.8789999999999</v>
      </c>
    </row>
    <row r="596" spans="1:10">
      <c r="A596" s="192">
        <v>674574</v>
      </c>
      <c r="B596" s="192">
        <v>14508</v>
      </c>
      <c r="C596" s="192" t="s">
        <v>815</v>
      </c>
      <c r="D596" s="192">
        <v>463</v>
      </c>
      <c r="E596" s="192" t="s">
        <v>816</v>
      </c>
      <c r="F596" s="192" t="s">
        <v>817</v>
      </c>
      <c r="G596" s="192">
        <v>0.44999998807907104</v>
      </c>
      <c r="H596" s="192" t="s">
        <v>818</v>
      </c>
      <c r="I596" s="192">
        <v>1</v>
      </c>
      <c r="J596" s="192">
        <f>VLOOKUP($B596,'RBSA Weights'!$A$2:$C$1406,3,FALSE)</f>
        <v>4956.4930000000004</v>
      </c>
    </row>
    <row r="597" spans="1:10">
      <c r="A597" s="192">
        <v>666928</v>
      </c>
      <c r="B597" s="192">
        <v>14542</v>
      </c>
      <c r="C597" s="192" t="s">
        <v>815</v>
      </c>
      <c r="D597" s="192">
        <v>579</v>
      </c>
      <c r="E597" s="192" t="s">
        <v>816</v>
      </c>
      <c r="F597" s="192" t="s">
        <v>818</v>
      </c>
      <c r="G597" s="192">
        <v>0.60000002384185791</v>
      </c>
      <c r="H597" s="192" t="s">
        <v>818</v>
      </c>
      <c r="I597" s="192">
        <v>1</v>
      </c>
      <c r="J597" s="192">
        <f>VLOOKUP($B597,'RBSA Weights'!$A$2:$C$1406,3,FALSE)</f>
        <v>1188.027</v>
      </c>
    </row>
    <row r="598" spans="1:10">
      <c r="A598" s="192">
        <v>191734</v>
      </c>
      <c r="B598" s="192">
        <v>14545</v>
      </c>
      <c r="C598" s="192" t="s">
        <v>815</v>
      </c>
      <c r="D598" s="192">
        <v>227</v>
      </c>
      <c r="E598" s="192" t="s">
        <v>819</v>
      </c>
      <c r="F598" s="192" t="s">
        <v>821</v>
      </c>
      <c r="G598" s="192">
        <v>0.75</v>
      </c>
      <c r="H598" s="192" t="s">
        <v>821</v>
      </c>
      <c r="I598" s="192">
        <v>1</v>
      </c>
      <c r="J598" s="192">
        <f>VLOOKUP($B598,'RBSA Weights'!$A$2:$C$1406,3,FALSE)</f>
        <v>1188.027</v>
      </c>
    </row>
    <row r="599" spans="1:10">
      <c r="A599" s="192">
        <v>685699</v>
      </c>
      <c r="B599" s="192">
        <v>14560</v>
      </c>
      <c r="C599" s="192" t="s">
        <v>815</v>
      </c>
      <c r="D599" s="192">
        <v>323</v>
      </c>
      <c r="E599" s="192" t="s">
        <v>816</v>
      </c>
      <c r="F599" s="192" t="s">
        <v>817</v>
      </c>
      <c r="G599" s="192">
        <v>0.44999998807907104</v>
      </c>
      <c r="H599" s="192" t="s">
        <v>818</v>
      </c>
      <c r="I599" s="192">
        <v>1</v>
      </c>
      <c r="J599" s="192">
        <f>VLOOKUP($B599,'RBSA Weights'!$A$2:$C$1406,3,FALSE)</f>
        <v>6932.7380000000003</v>
      </c>
    </row>
    <row r="600" spans="1:10">
      <c r="A600" s="192">
        <v>222470</v>
      </c>
      <c r="B600" s="192">
        <v>14577</v>
      </c>
      <c r="C600" s="192" t="s">
        <v>815</v>
      </c>
      <c r="D600" s="192">
        <v>232</v>
      </c>
      <c r="E600" s="192" t="s">
        <v>816</v>
      </c>
      <c r="F600" s="192" t="s">
        <v>817</v>
      </c>
      <c r="G600" s="192">
        <v>0.55000001192092896</v>
      </c>
      <c r="H600" s="192" t="s">
        <v>818</v>
      </c>
      <c r="I600" s="192">
        <v>1</v>
      </c>
      <c r="J600" s="192">
        <f>VLOOKUP($B600,'RBSA Weights'!$A$2:$C$1406,3,FALSE)</f>
        <v>6932.7380000000003</v>
      </c>
    </row>
    <row r="601" spans="1:10">
      <c r="A601" s="192">
        <v>177906</v>
      </c>
      <c r="B601" s="192">
        <v>14646</v>
      </c>
      <c r="C601" s="192" t="s">
        <v>815</v>
      </c>
      <c r="D601" s="192">
        <v>154</v>
      </c>
      <c r="E601" s="192" t="s">
        <v>816</v>
      </c>
      <c r="F601" s="192" t="s">
        <v>817</v>
      </c>
      <c r="G601" s="192">
        <v>0.44999998807907104</v>
      </c>
      <c r="H601" s="192" t="s">
        <v>818</v>
      </c>
      <c r="I601" s="192">
        <v>1</v>
      </c>
      <c r="J601" s="192">
        <f>VLOOKUP($B601,'RBSA Weights'!$A$2:$C$1406,3,FALSE)</f>
        <v>1188.027</v>
      </c>
    </row>
    <row r="602" spans="1:10">
      <c r="A602" s="192">
        <v>659312</v>
      </c>
      <c r="B602" s="192">
        <v>14674</v>
      </c>
      <c r="C602" s="192" t="s">
        <v>815</v>
      </c>
      <c r="D602" s="192">
        <v>141</v>
      </c>
      <c r="E602" s="192" t="s">
        <v>816</v>
      </c>
      <c r="F602" s="192" t="s">
        <v>822</v>
      </c>
      <c r="G602" s="192">
        <v>0.75</v>
      </c>
      <c r="H602" s="192" t="s">
        <v>820</v>
      </c>
      <c r="I602" s="192">
        <v>1</v>
      </c>
      <c r="J602" s="192">
        <f>VLOOKUP($B602,'RBSA Weights'!$A$2:$C$1406,3,FALSE)</f>
        <v>6932.7380000000003</v>
      </c>
    </row>
    <row r="603" spans="1:10">
      <c r="A603" s="192">
        <v>72196</v>
      </c>
      <c r="B603" s="192">
        <v>20007</v>
      </c>
      <c r="C603" s="192" t="s">
        <v>815</v>
      </c>
      <c r="D603" s="192">
        <v>307</v>
      </c>
      <c r="E603" s="192" t="s">
        <v>816</v>
      </c>
      <c r="F603" s="192" t="s">
        <v>817</v>
      </c>
      <c r="G603" s="192">
        <v>0.55000001192092896</v>
      </c>
      <c r="H603" s="192" t="s">
        <v>818</v>
      </c>
      <c r="I603" s="192">
        <v>1</v>
      </c>
      <c r="J603" s="192">
        <f>VLOOKUP($B603,'RBSA Weights'!$A$2:$C$1406,3,FALSE)</f>
        <v>2079.9929999999999</v>
      </c>
    </row>
    <row r="604" spans="1:10">
      <c r="A604" s="192">
        <v>192685</v>
      </c>
      <c r="B604" s="192">
        <v>20016</v>
      </c>
      <c r="C604" s="192" t="s">
        <v>815</v>
      </c>
      <c r="D604" s="192">
        <v>82</v>
      </c>
      <c r="E604" s="192" t="s">
        <v>816</v>
      </c>
      <c r="F604" s="192" t="s">
        <v>817</v>
      </c>
      <c r="G604" s="192">
        <v>0.55000001192092896</v>
      </c>
      <c r="H604" s="192" t="s">
        <v>818</v>
      </c>
      <c r="I604" s="192">
        <v>1</v>
      </c>
      <c r="J604" s="192">
        <f>VLOOKUP($B604,'RBSA Weights'!$A$2:$C$1406,3,FALSE)</f>
        <v>12271.31</v>
      </c>
    </row>
    <row r="605" spans="1:10">
      <c r="A605" s="192">
        <v>230043</v>
      </c>
      <c r="B605" s="192">
        <v>20020</v>
      </c>
      <c r="C605" s="192" t="s">
        <v>815</v>
      </c>
      <c r="D605" s="192">
        <v>273</v>
      </c>
      <c r="E605" s="192" t="s">
        <v>816</v>
      </c>
      <c r="F605" s="192" t="s">
        <v>818</v>
      </c>
      <c r="G605" s="192">
        <v>0.55000001192092896</v>
      </c>
      <c r="H605" s="192" t="s">
        <v>818</v>
      </c>
      <c r="I605" s="192">
        <v>1</v>
      </c>
      <c r="J605" s="192">
        <f>VLOOKUP($B605,'RBSA Weights'!$A$2:$C$1406,3,FALSE)</f>
        <v>1904.288</v>
      </c>
    </row>
    <row r="606" spans="1:10">
      <c r="A606" s="192">
        <v>681686</v>
      </c>
      <c r="B606" s="192">
        <v>20028</v>
      </c>
      <c r="C606" s="192" t="s">
        <v>815</v>
      </c>
      <c r="D606" s="192">
        <v>155</v>
      </c>
      <c r="E606" s="192" t="s">
        <v>816</v>
      </c>
      <c r="F606" s="192" t="s">
        <v>817</v>
      </c>
      <c r="G606" s="192">
        <v>0.44999998807907104</v>
      </c>
      <c r="H606" s="192" t="s">
        <v>818</v>
      </c>
      <c r="I606" s="192">
        <v>1</v>
      </c>
      <c r="J606" s="192">
        <f>VLOOKUP($B606,'RBSA Weights'!$A$2:$C$1406,3,FALSE)</f>
        <v>6932.7380000000003</v>
      </c>
    </row>
    <row r="607" spans="1:10">
      <c r="A607" s="192">
        <v>37246</v>
      </c>
      <c r="B607" s="192">
        <v>20034</v>
      </c>
      <c r="C607" s="192" t="s">
        <v>815</v>
      </c>
      <c r="D607" s="192">
        <v>117</v>
      </c>
      <c r="E607" s="192" t="s">
        <v>819</v>
      </c>
      <c r="F607" s="192" t="s">
        <v>821</v>
      </c>
      <c r="G607" s="192">
        <v>0.75</v>
      </c>
      <c r="H607" s="192" t="s">
        <v>821</v>
      </c>
      <c r="I607" s="192">
        <v>1</v>
      </c>
      <c r="J607" s="192">
        <f>VLOOKUP($B607,'RBSA Weights'!$A$2:$C$1406,3,FALSE)</f>
        <v>3785.7640000000001</v>
      </c>
    </row>
    <row r="608" spans="1:10">
      <c r="A608" s="192">
        <v>94699</v>
      </c>
      <c r="B608" s="192">
        <v>20038</v>
      </c>
      <c r="C608" s="192" t="s">
        <v>815</v>
      </c>
      <c r="D608" s="192">
        <v>164</v>
      </c>
      <c r="E608" s="192" t="s">
        <v>816</v>
      </c>
      <c r="F608" s="192" t="s">
        <v>817</v>
      </c>
      <c r="G608" s="192">
        <v>0.44999998807907104</v>
      </c>
      <c r="H608" s="192" t="s">
        <v>818</v>
      </c>
      <c r="I608" s="192">
        <v>1</v>
      </c>
      <c r="J608" s="192">
        <f>VLOOKUP($B608,'RBSA Weights'!$A$2:$C$1406,3,FALSE)</f>
        <v>1144.6790000000001</v>
      </c>
    </row>
    <row r="609" spans="1:10">
      <c r="A609" s="192">
        <v>143572</v>
      </c>
      <c r="B609" s="192">
        <v>20042</v>
      </c>
      <c r="C609" s="192" t="s">
        <v>815</v>
      </c>
      <c r="D609" s="192">
        <v>199</v>
      </c>
      <c r="E609" s="192" t="s">
        <v>816</v>
      </c>
      <c r="F609" s="192" t="s">
        <v>818</v>
      </c>
      <c r="G609" s="192">
        <v>0.60000002384185791</v>
      </c>
      <c r="H609" s="192" t="s">
        <v>818</v>
      </c>
      <c r="I609" s="192">
        <v>1</v>
      </c>
      <c r="J609" s="192">
        <f>VLOOKUP($B609,'RBSA Weights'!$A$2:$C$1406,3,FALSE)</f>
        <v>2130.886</v>
      </c>
    </row>
    <row r="610" spans="1:10">
      <c r="A610" s="192">
        <v>155141</v>
      </c>
      <c r="B610" s="192">
        <v>20043</v>
      </c>
      <c r="C610" s="192" t="s">
        <v>815</v>
      </c>
      <c r="D610" s="192">
        <v>111</v>
      </c>
      <c r="E610" s="192" t="s">
        <v>816</v>
      </c>
      <c r="F610" s="192" t="s">
        <v>818</v>
      </c>
      <c r="G610" s="192">
        <v>0.60000002384185791</v>
      </c>
      <c r="H610" s="192" t="s">
        <v>818</v>
      </c>
      <c r="I610" s="192">
        <v>1</v>
      </c>
      <c r="J610" s="192">
        <f>VLOOKUP($B610,'RBSA Weights'!$A$2:$C$1406,3,FALSE)</f>
        <v>1904.288</v>
      </c>
    </row>
    <row r="611" spans="1:10">
      <c r="A611" s="192">
        <v>78817</v>
      </c>
      <c r="B611" s="192">
        <v>20051</v>
      </c>
      <c r="C611" s="192" t="s">
        <v>815</v>
      </c>
      <c r="D611" s="192">
        <v>76</v>
      </c>
      <c r="E611" s="192" t="s">
        <v>816</v>
      </c>
      <c r="F611" s="192" t="s">
        <v>818</v>
      </c>
      <c r="G611" s="192">
        <v>0.55000001192092896</v>
      </c>
      <c r="H611" s="192" t="s">
        <v>818</v>
      </c>
      <c r="I611" s="192">
        <v>1</v>
      </c>
      <c r="J611" s="192">
        <f>VLOOKUP($B611,'RBSA Weights'!$A$2:$C$1406,3,FALSE)</f>
        <v>1144.6790000000001</v>
      </c>
    </row>
    <row r="612" spans="1:10">
      <c r="A612" s="192">
        <v>33436</v>
      </c>
      <c r="B612" s="192">
        <v>20058</v>
      </c>
      <c r="C612" s="192" t="s">
        <v>815</v>
      </c>
      <c r="D612" s="192">
        <v>136</v>
      </c>
      <c r="E612" s="192" t="s">
        <v>816</v>
      </c>
      <c r="F612" s="192" t="s">
        <v>817</v>
      </c>
      <c r="G612" s="192">
        <v>0.44999998807907104</v>
      </c>
      <c r="H612" s="192" t="s">
        <v>818</v>
      </c>
      <c r="I612" s="192">
        <v>1</v>
      </c>
      <c r="J612" s="192">
        <f>VLOOKUP($B612,'RBSA Weights'!$A$2:$C$1406,3,FALSE)</f>
        <v>3785.7640000000001</v>
      </c>
    </row>
    <row r="613" spans="1:10">
      <c r="A613" s="192">
        <v>205849</v>
      </c>
      <c r="B613" s="192">
        <v>20065</v>
      </c>
      <c r="C613" s="192" t="s">
        <v>815</v>
      </c>
      <c r="D613" s="192">
        <v>118</v>
      </c>
      <c r="E613" s="192" t="s">
        <v>819</v>
      </c>
      <c r="F613" s="192" t="s">
        <v>821</v>
      </c>
      <c r="G613" s="192">
        <v>0.75</v>
      </c>
      <c r="H613" s="192" t="s">
        <v>821</v>
      </c>
      <c r="I613" s="192">
        <v>1</v>
      </c>
      <c r="J613" s="192">
        <f>VLOOKUP($B613,'RBSA Weights'!$A$2:$C$1406,3,FALSE)</f>
        <v>3785.7640000000001</v>
      </c>
    </row>
    <row r="614" spans="1:10">
      <c r="A614" s="192">
        <v>74724</v>
      </c>
      <c r="B614" s="192">
        <v>20066</v>
      </c>
      <c r="C614" s="192" t="s">
        <v>815</v>
      </c>
      <c r="D614" s="192">
        <v>428</v>
      </c>
      <c r="E614" s="192" t="s">
        <v>819</v>
      </c>
      <c r="F614" s="192" t="s">
        <v>818</v>
      </c>
      <c r="G614" s="192">
        <v>0.55000001192092896</v>
      </c>
      <c r="H614" s="192" t="s">
        <v>818</v>
      </c>
      <c r="I614" s="192">
        <v>1</v>
      </c>
      <c r="J614" s="192">
        <f>VLOOKUP($B614,'RBSA Weights'!$A$2:$C$1406,3,FALSE)</f>
        <v>2079.9929999999999</v>
      </c>
    </row>
    <row r="615" spans="1:10">
      <c r="A615" s="192">
        <v>67601</v>
      </c>
      <c r="B615" s="192">
        <v>20076</v>
      </c>
      <c r="C615" s="192" t="s">
        <v>815</v>
      </c>
      <c r="D615" s="192">
        <v>295</v>
      </c>
      <c r="E615" s="192" t="s">
        <v>816</v>
      </c>
      <c r="F615" s="192" t="s">
        <v>817</v>
      </c>
      <c r="G615" s="192">
        <v>0.44999998807907104</v>
      </c>
      <c r="H615" s="192" t="s">
        <v>818</v>
      </c>
      <c r="I615" s="192">
        <v>1</v>
      </c>
      <c r="J615" s="192">
        <f>VLOOKUP($B615,'RBSA Weights'!$A$2:$C$1406,3,FALSE)</f>
        <v>3785.7640000000001</v>
      </c>
    </row>
    <row r="616" spans="1:10">
      <c r="A616" s="192">
        <v>133095</v>
      </c>
      <c r="B616" s="192">
        <v>20078</v>
      </c>
      <c r="C616" s="192" t="s">
        <v>815</v>
      </c>
      <c r="D616" s="192">
        <v>207</v>
      </c>
      <c r="E616" s="192" t="s">
        <v>819</v>
      </c>
      <c r="F616" s="192" t="s">
        <v>821</v>
      </c>
      <c r="G616" s="192">
        <v>0.75</v>
      </c>
      <c r="H616" s="192" t="s">
        <v>821</v>
      </c>
      <c r="I616" s="192">
        <v>1</v>
      </c>
      <c r="J616" s="192">
        <f>VLOOKUP($B616,'RBSA Weights'!$A$2:$C$1406,3,FALSE)</f>
        <v>1144.6790000000001</v>
      </c>
    </row>
    <row r="617" spans="1:10">
      <c r="A617" s="192">
        <v>94273</v>
      </c>
      <c r="B617" s="192">
        <v>20080</v>
      </c>
      <c r="C617" s="192" t="s">
        <v>815</v>
      </c>
      <c r="D617" s="192">
        <v>223</v>
      </c>
      <c r="E617" s="192" t="s">
        <v>816</v>
      </c>
      <c r="F617" s="192" t="s">
        <v>817</v>
      </c>
      <c r="G617" s="192">
        <v>0.55000001192092896</v>
      </c>
      <c r="H617" s="192" t="s">
        <v>818</v>
      </c>
      <c r="I617" s="192">
        <v>1</v>
      </c>
      <c r="J617" s="192">
        <f>VLOOKUP($B617,'RBSA Weights'!$A$2:$C$1406,3,FALSE)</f>
        <v>1904.288</v>
      </c>
    </row>
    <row r="618" spans="1:10">
      <c r="A618" s="192">
        <v>194239</v>
      </c>
      <c r="B618" s="192">
        <v>20081</v>
      </c>
      <c r="C618" s="192" t="s">
        <v>815</v>
      </c>
      <c r="D618" s="192">
        <v>232</v>
      </c>
      <c r="E618" s="192" t="s">
        <v>816</v>
      </c>
      <c r="F618" s="192" t="s">
        <v>817</v>
      </c>
      <c r="G618" s="192">
        <v>0.55000001192092896</v>
      </c>
      <c r="H618" s="192" t="s">
        <v>818</v>
      </c>
      <c r="I618" s="192">
        <v>1</v>
      </c>
      <c r="J618" s="192">
        <f>VLOOKUP($B618,'RBSA Weights'!$A$2:$C$1406,3,FALSE)</f>
        <v>2130.886</v>
      </c>
    </row>
    <row r="619" spans="1:10">
      <c r="A619" s="192">
        <v>191282</v>
      </c>
      <c r="B619" s="192">
        <v>20085</v>
      </c>
      <c r="C619" s="192" t="s">
        <v>815</v>
      </c>
      <c r="D619" s="192">
        <v>343</v>
      </c>
      <c r="E619" s="192" t="s">
        <v>816</v>
      </c>
      <c r="F619" s="192" t="s">
        <v>818</v>
      </c>
      <c r="G619" s="192">
        <v>0.55000001192092896</v>
      </c>
      <c r="H619" s="192" t="s">
        <v>818</v>
      </c>
      <c r="I619" s="192">
        <v>1</v>
      </c>
      <c r="J619" s="192">
        <f>VLOOKUP($B619,'RBSA Weights'!$A$2:$C$1406,3,FALSE)</f>
        <v>4360.1880000000001</v>
      </c>
    </row>
    <row r="620" spans="1:10">
      <c r="A620" s="192">
        <v>691927</v>
      </c>
      <c r="B620" s="192">
        <v>20088</v>
      </c>
      <c r="C620" s="192" t="s">
        <v>815</v>
      </c>
      <c r="D620" s="192">
        <v>171</v>
      </c>
      <c r="E620" s="192" t="s">
        <v>816</v>
      </c>
      <c r="F620" s="192" t="s">
        <v>820</v>
      </c>
      <c r="G620" s="192">
        <v>0.85000002384185791</v>
      </c>
      <c r="H620" s="192" t="s">
        <v>820</v>
      </c>
      <c r="I620" s="192">
        <v>1</v>
      </c>
      <c r="J620" s="192">
        <f>VLOOKUP($B620,'RBSA Weights'!$A$2:$C$1406,3,FALSE)</f>
        <v>3785.7640000000001</v>
      </c>
    </row>
    <row r="621" spans="1:10">
      <c r="A621" s="192">
        <v>87879</v>
      </c>
      <c r="B621" s="192">
        <v>20089</v>
      </c>
      <c r="C621" s="192" t="s">
        <v>815</v>
      </c>
      <c r="D621" s="192">
        <v>297</v>
      </c>
      <c r="E621" s="192" t="s">
        <v>816</v>
      </c>
      <c r="F621" s="192" t="s">
        <v>817</v>
      </c>
      <c r="G621" s="192">
        <v>0.55000001192092896</v>
      </c>
      <c r="H621" s="192" t="s">
        <v>818</v>
      </c>
      <c r="I621" s="192">
        <v>1</v>
      </c>
      <c r="J621" s="192">
        <f>VLOOKUP($B621,'RBSA Weights'!$A$2:$C$1406,3,FALSE)</f>
        <v>1144.6790000000001</v>
      </c>
    </row>
    <row r="622" spans="1:10">
      <c r="A622" s="192">
        <v>98331</v>
      </c>
      <c r="B622" s="192">
        <v>20095</v>
      </c>
      <c r="C622" s="192" t="s">
        <v>815</v>
      </c>
      <c r="D622" s="192">
        <v>185</v>
      </c>
      <c r="E622" s="192" t="s">
        <v>816</v>
      </c>
      <c r="F622" s="192" t="s">
        <v>818</v>
      </c>
      <c r="G622" s="192">
        <v>0.55000001192092896</v>
      </c>
      <c r="H622" s="192" t="s">
        <v>818</v>
      </c>
      <c r="I622" s="192">
        <v>1</v>
      </c>
      <c r="J622" s="192">
        <f>VLOOKUP($B622,'RBSA Weights'!$A$2:$C$1406,3,FALSE)</f>
        <v>1904.288</v>
      </c>
    </row>
    <row r="623" spans="1:10">
      <c r="A623" s="192">
        <v>68557</v>
      </c>
      <c r="B623" s="192">
        <v>20100</v>
      </c>
      <c r="C623" s="192" t="s">
        <v>815</v>
      </c>
      <c r="D623" s="192">
        <v>172</v>
      </c>
      <c r="E623" s="192" t="s">
        <v>816</v>
      </c>
      <c r="F623" s="192" t="s">
        <v>817</v>
      </c>
      <c r="G623" s="192">
        <v>0.55000001192092896</v>
      </c>
      <c r="H623" s="192" t="s">
        <v>818</v>
      </c>
      <c r="I623" s="192">
        <v>1</v>
      </c>
      <c r="J623" s="192">
        <f>VLOOKUP($B623,'RBSA Weights'!$A$2:$C$1406,3,FALSE)</f>
        <v>2130.886</v>
      </c>
    </row>
    <row r="624" spans="1:10">
      <c r="A624" s="192">
        <v>203792</v>
      </c>
      <c r="B624" s="192">
        <v>20106</v>
      </c>
      <c r="C624" s="192" t="s">
        <v>815</v>
      </c>
      <c r="D624" s="192">
        <v>21</v>
      </c>
      <c r="E624" s="192" t="s">
        <v>819</v>
      </c>
      <c r="F624" s="192" t="s">
        <v>820</v>
      </c>
      <c r="G624" s="192">
        <v>0.75</v>
      </c>
      <c r="H624" s="192" t="s">
        <v>820</v>
      </c>
      <c r="I624" s="192">
        <v>1</v>
      </c>
      <c r="J624" s="192">
        <f>VLOOKUP($B624,'RBSA Weights'!$A$2:$C$1406,3,FALSE)</f>
        <v>3785.7640000000001</v>
      </c>
    </row>
    <row r="625" spans="1:10">
      <c r="A625" s="192">
        <v>229701</v>
      </c>
      <c r="B625" s="192">
        <v>20108</v>
      </c>
      <c r="C625" s="192" t="s">
        <v>815</v>
      </c>
      <c r="D625" s="192">
        <v>224</v>
      </c>
      <c r="E625" s="192" t="s">
        <v>816</v>
      </c>
      <c r="F625" s="192" t="s">
        <v>817</v>
      </c>
      <c r="G625" s="192">
        <v>0.55000001192092896</v>
      </c>
      <c r="H625" s="192" t="s">
        <v>818</v>
      </c>
      <c r="I625" s="192">
        <v>1</v>
      </c>
      <c r="J625" s="192">
        <f>VLOOKUP($B625,'RBSA Weights'!$A$2:$C$1406,3,FALSE)</f>
        <v>3785.7640000000001</v>
      </c>
    </row>
    <row r="626" spans="1:10">
      <c r="A626" s="192">
        <v>231537</v>
      </c>
      <c r="B626" s="192">
        <v>20109</v>
      </c>
      <c r="C626" s="192" t="s">
        <v>815</v>
      </c>
      <c r="D626" s="192">
        <v>62</v>
      </c>
      <c r="E626" s="192" t="s">
        <v>816</v>
      </c>
      <c r="F626" s="192" t="s">
        <v>817</v>
      </c>
      <c r="G626" s="192">
        <v>0.55000001192092896</v>
      </c>
      <c r="H626" s="192" t="s">
        <v>818</v>
      </c>
      <c r="I626" s="192">
        <v>1</v>
      </c>
      <c r="J626" s="192">
        <f>VLOOKUP($B626,'RBSA Weights'!$A$2:$C$1406,3,FALSE)</f>
        <v>1612.692</v>
      </c>
    </row>
    <row r="627" spans="1:10">
      <c r="A627" s="192">
        <v>46397</v>
      </c>
      <c r="B627" s="192">
        <v>20111</v>
      </c>
      <c r="C627" s="192" t="s">
        <v>815</v>
      </c>
      <c r="D627" s="192">
        <v>159</v>
      </c>
      <c r="E627" s="192" t="s">
        <v>816</v>
      </c>
      <c r="F627" s="192" t="s">
        <v>818</v>
      </c>
      <c r="G627" s="192">
        <v>0.60000002384185791</v>
      </c>
      <c r="H627" s="192" t="s">
        <v>818</v>
      </c>
      <c r="I627" s="192">
        <v>1</v>
      </c>
      <c r="J627" s="192">
        <f>VLOOKUP($B627,'RBSA Weights'!$A$2:$C$1406,3,FALSE)</f>
        <v>2079.9929999999999</v>
      </c>
    </row>
    <row r="628" spans="1:10">
      <c r="A628" s="192">
        <v>176583</v>
      </c>
      <c r="B628" s="192">
        <v>20117</v>
      </c>
      <c r="C628" s="192" t="s">
        <v>815</v>
      </c>
      <c r="D628" s="192">
        <v>90</v>
      </c>
      <c r="E628" s="192" t="s">
        <v>819</v>
      </c>
      <c r="F628" s="192" t="s">
        <v>818</v>
      </c>
      <c r="G628" s="192">
        <v>0.5</v>
      </c>
      <c r="H628" s="192" t="s">
        <v>818</v>
      </c>
      <c r="I628" s="192">
        <v>1</v>
      </c>
      <c r="J628" s="192">
        <f>VLOOKUP($B628,'RBSA Weights'!$A$2:$C$1406,3,FALSE)</f>
        <v>2130.886</v>
      </c>
    </row>
    <row r="629" spans="1:10">
      <c r="A629" s="192">
        <v>33865</v>
      </c>
      <c r="B629" s="192">
        <v>20125</v>
      </c>
      <c r="C629" s="192" t="s">
        <v>815</v>
      </c>
      <c r="D629" s="192">
        <v>111</v>
      </c>
      <c r="E629" s="192" t="s">
        <v>816</v>
      </c>
      <c r="F629" s="192" t="s">
        <v>817</v>
      </c>
      <c r="G629" s="192">
        <v>0.55000001192092896</v>
      </c>
      <c r="H629" s="192" t="s">
        <v>818</v>
      </c>
      <c r="I629" s="192">
        <v>1</v>
      </c>
      <c r="J629" s="192">
        <f>VLOOKUP($B629,'RBSA Weights'!$A$2:$C$1406,3,FALSE)</f>
        <v>3785.7640000000001</v>
      </c>
    </row>
    <row r="630" spans="1:10">
      <c r="A630" s="192">
        <v>184512</v>
      </c>
      <c r="B630" s="192">
        <v>20152</v>
      </c>
      <c r="C630" s="192" t="s">
        <v>815</v>
      </c>
      <c r="D630" s="192">
        <v>156</v>
      </c>
      <c r="E630" s="192" t="s">
        <v>819</v>
      </c>
      <c r="F630" s="192" t="s">
        <v>820</v>
      </c>
      <c r="G630" s="192">
        <v>0.75</v>
      </c>
      <c r="H630" s="192" t="s">
        <v>820</v>
      </c>
      <c r="I630" s="192">
        <v>1</v>
      </c>
      <c r="J630" s="192">
        <f>VLOOKUP($B630,'RBSA Weights'!$A$2:$C$1406,3,FALSE)</f>
        <v>3785.7640000000001</v>
      </c>
    </row>
    <row r="631" spans="1:10">
      <c r="A631" s="192">
        <v>184889</v>
      </c>
      <c r="B631" s="192">
        <v>20154</v>
      </c>
      <c r="C631" s="192" t="s">
        <v>815</v>
      </c>
      <c r="D631" s="192">
        <v>327</v>
      </c>
      <c r="E631" s="192" t="s">
        <v>816</v>
      </c>
      <c r="F631" s="192" t="s">
        <v>817</v>
      </c>
      <c r="G631" s="192">
        <v>0.55000001192092896</v>
      </c>
      <c r="H631" s="192" t="s">
        <v>818</v>
      </c>
      <c r="I631" s="192">
        <v>1</v>
      </c>
      <c r="J631" s="192">
        <f>VLOOKUP($B631,'RBSA Weights'!$A$2:$C$1406,3,FALSE)</f>
        <v>3785.7640000000001</v>
      </c>
    </row>
    <row r="632" spans="1:10">
      <c r="A632" s="192">
        <v>158163</v>
      </c>
      <c r="B632" s="192">
        <v>20155</v>
      </c>
      <c r="C632" s="192" t="s">
        <v>815</v>
      </c>
      <c r="D632" s="192">
        <v>380</v>
      </c>
      <c r="E632" s="192" t="s">
        <v>816</v>
      </c>
      <c r="F632" s="192" t="s">
        <v>820</v>
      </c>
      <c r="G632" s="192">
        <v>0.80000001192092896</v>
      </c>
      <c r="H632" s="192" t="s">
        <v>820</v>
      </c>
      <c r="I632" s="192">
        <v>1</v>
      </c>
      <c r="J632" s="192">
        <f>VLOOKUP($B632,'RBSA Weights'!$A$2:$C$1406,3,FALSE)</f>
        <v>1612.692</v>
      </c>
    </row>
    <row r="633" spans="1:10">
      <c r="A633" s="192">
        <v>202228</v>
      </c>
      <c r="B633" s="192">
        <v>20156</v>
      </c>
      <c r="C633" s="192" t="s">
        <v>815</v>
      </c>
      <c r="D633" s="192">
        <v>304</v>
      </c>
      <c r="E633" s="192" t="s">
        <v>816</v>
      </c>
      <c r="F633" s="192" t="s">
        <v>817</v>
      </c>
      <c r="G633" s="192">
        <v>0.44999998807907104</v>
      </c>
      <c r="H633" s="192" t="s">
        <v>818</v>
      </c>
      <c r="I633" s="192">
        <v>1</v>
      </c>
      <c r="J633" s="192">
        <f>VLOOKUP($B633,'RBSA Weights'!$A$2:$C$1406,3,FALSE)</f>
        <v>1612.692</v>
      </c>
    </row>
    <row r="634" spans="1:10">
      <c r="A634" s="192">
        <v>60996</v>
      </c>
      <c r="B634" s="192">
        <v>20163</v>
      </c>
      <c r="C634" s="192" t="s">
        <v>815</v>
      </c>
      <c r="D634" s="192">
        <v>70</v>
      </c>
      <c r="E634" s="192" t="s">
        <v>816</v>
      </c>
      <c r="F634" s="192" t="s">
        <v>820</v>
      </c>
      <c r="G634" s="192">
        <v>0.80000001192092896</v>
      </c>
      <c r="H634" s="192" t="s">
        <v>820</v>
      </c>
      <c r="I634" s="192">
        <v>1</v>
      </c>
      <c r="J634" s="192">
        <f>VLOOKUP($B634,'RBSA Weights'!$A$2:$C$1406,3,FALSE)</f>
        <v>2079.9929999999999</v>
      </c>
    </row>
    <row r="635" spans="1:10">
      <c r="A635" s="192">
        <v>42236</v>
      </c>
      <c r="B635" s="192">
        <v>20166</v>
      </c>
      <c r="C635" s="192" t="s">
        <v>815</v>
      </c>
      <c r="D635" s="192">
        <v>271</v>
      </c>
      <c r="E635" s="192" t="s">
        <v>816</v>
      </c>
      <c r="F635" s="192" t="s">
        <v>818</v>
      </c>
      <c r="G635" s="192">
        <v>0.55000001192092896</v>
      </c>
      <c r="H635" s="192" t="s">
        <v>818</v>
      </c>
      <c r="I635" s="192">
        <v>1</v>
      </c>
      <c r="J635" s="192">
        <f>VLOOKUP($B635,'RBSA Weights'!$A$2:$C$1406,3,FALSE)</f>
        <v>2079.9929999999999</v>
      </c>
    </row>
    <row r="636" spans="1:10">
      <c r="A636" s="192">
        <v>142715</v>
      </c>
      <c r="B636" s="192">
        <v>20168</v>
      </c>
      <c r="C636" s="192" t="s">
        <v>815</v>
      </c>
      <c r="D636" s="192">
        <v>225</v>
      </c>
      <c r="E636" s="192" t="s">
        <v>816</v>
      </c>
      <c r="F636" s="192" t="s">
        <v>817</v>
      </c>
      <c r="G636" s="192">
        <v>0.44999998807907104</v>
      </c>
      <c r="H636" s="192" t="s">
        <v>818</v>
      </c>
      <c r="I636" s="192">
        <v>1</v>
      </c>
      <c r="J636" s="192">
        <f>VLOOKUP($B636,'RBSA Weights'!$A$2:$C$1406,3,FALSE)</f>
        <v>1612.692</v>
      </c>
    </row>
    <row r="637" spans="1:10">
      <c r="A637" s="192">
        <v>170847</v>
      </c>
      <c r="B637" s="192">
        <v>20180</v>
      </c>
      <c r="C637" s="192" t="s">
        <v>815</v>
      </c>
      <c r="D637" s="192">
        <v>278</v>
      </c>
      <c r="E637" s="192" t="s">
        <v>816</v>
      </c>
      <c r="F637" s="192" t="s">
        <v>817</v>
      </c>
      <c r="G637" s="192">
        <v>0.55000001192092896</v>
      </c>
      <c r="H637" s="192" t="s">
        <v>818</v>
      </c>
      <c r="I637" s="192">
        <v>1</v>
      </c>
      <c r="J637" s="192">
        <f>VLOOKUP($B637,'RBSA Weights'!$A$2:$C$1406,3,FALSE)</f>
        <v>1612.692</v>
      </c>
    </row>
    <row r="638" spans="1:10">
      <c r="A638" s="192">
        <v>84083</v>
      </c>
      <c r="B638" s="192">
        <v>20182</v>
      </c>
      <c r="C638" s="192" t="s">
        <v>815</v>
      </c>
      <c r="D638" s="192">
        <v>290</v>
      </c>
      <c r="E638" s="192" t="s">
        <v>816</v>
      </c>
      <c r="F638" s="192" t="s">
        <v>825</v>
      </c>
      <c r="G638" s="192">
        <v>0.2199999988079071</v>
      </c>
      <c r="H638" s="192" t="s">
        <v>826</v>
      </c>
      <c r="I638" s="192">
        <v>1</v>
      </c>
      <c r="J638" s="192">
        <f>VLOOKUP($B638,'RBSA Weights'!$A$2:$C$1406,3,FALSE)</f>
        <v>8559.1039999999994</v>
      </c>
    </row>
    <row r="639" spans="1:10">
      <c r="A639" s="192">
        <v>142538</v>
      </c>
      <c r="B639" s="192">
        <v>20184</v>
      </c>
      <c r="C639" s="192" t="s">
        <v>815</v>
      </c>
      <c r="D639" s="192">
        <v>238</v>
      </c>
      <c r="E639" s="192" t="s">
        <v>816</v>
      </c>
      <c r="F639" s="192" t="s">
        <v>817</v>
      </c>
      <c r="G639" s="192">
        <v>0.44999998807907104</v>
      </c>
      <c r="H639" s="192" t="s">
        <v>818</v>
      </c>
      <c r="I639" s="192">
        <v>1</v>
      </c>
      <c r="J639" s="192">
        <f>VLOOKUP($B639,'RBSA Weights'!$A$2:$C$1406,3,FALSE)</f>
        <v>1612.692</v>
      </c>
    </row>
    <row r="640" spans="1:10">
      <c r="A640" s="192">
        <v>98607</v>
      </c>
      <c r="B640" s="192">
        <v>20185</v>
      </c>
      <c r="C640" s="192" t="s">
        <v>815</v>
      </c>
      <c r="D640" s="192">
        <v>231</v>
      </c>
      <c r="E640" s="192" t="s">
        <v>816</v>
      </c>
      <c r="F640" s="192" t="s">
        <v>817</v>
      </c>
      <c r="G640" s="192">
        <v>0.44999998807907104</v>
      </c>
      <c r="H640" s="192" t="s">
        <v>818</v>
      </c>
      <c r="I640" s="192">
        <v>1</v>
      </c>
      <c r="J640" s="192">
        <f>VLOOKUP($B640,'RBSA Weights'!$A$2:$C$1406,3,FALSE)</f>
        <v>1904.288</v>
      </c>
    </row>
    <row r="641" spans="1:10">
      <c r="A641" s="192">
        <v>142617</v>
      </c>
      <c r="B641" s="192">
        <v>20188</v>
      </c>
      <c r="C641" s="192" t="s">
        <v>815</v>
      </c>
      <c r="D641" s="192">
        <v>143</v>
      </c>
      <c r="E641" s="192" t="s">
        <v>816</v>
      </c>
      <c r="F641" s="192" t="s">
        <v>817</v>
      </c>
      <c r="G641" s="192">
        <v>0.55000001192092896</v>
      </c>
      <c r="H641" s="192" t="s">
        <v>818</v>
      </c>
      <c r="I641" s="192">
        <v>1</v>
      </c>
      <c r="J641" s="192">
        <f>VLOOKUP($B641,'RBSA Weights'!$A$2:$C$1406,3,FALSE)</f>
        <v>1612.692</v>
      </c>
    </row>
    <row r="642" spans="1:10">
      <c r="A642" s="192">
        <v>74624</v>
      </c>
      <c r="B642" s="192">
        <v>20200</v>
      </c>
      <c r="C642" s="192" t="s">
        <v>815</v>
      </c>
      <c r="D642" s="192">
        <v>255</v>
      </c>
      <c r="E642" s="192" t="s">
        <v>816</v>
      </c>
      <c r="F642" s="192" t="s">
        <v>817</v>
      </c>
      <c r="G642" s="192">
        <v>0.44999998807907104</v>
      </c>
      <c r="H642" s="192" t="s">
        <v>818</v>
      </c>
      <c r="I642" s="192">
        <v>1</v>
      </c>
      <c r="J642" s="192">
        <f>VLOOKUP($B642,'RBSA Weights'!$A$2:$C$1406,3,FALSE)</f>
        <v>1925.059</v>
      </c>
    </row>
    <row r="643" spans="1:10">
      <c r="A643" s="192">
        <v>193642</v>
      </c>
      <c r="B643" s="192">
        <v>20206</v>
      </c>
      <c r="C643" s="192" t="s">
        <v>815</v>
      </c>
      <c r="D643" s="192">
        <v>100</v>
      </c>
      <c r="E643" s="192" t="s">
        <v>816</v>
      </c>
      <c r="F643" s="192" t="s">
        <v>817</v>
      </c>
      <c r="G643" s="192">
        <v>0.44999998807907104</v>
      </c>
      <c r="H643" s="192" t="s">
        <v>818</v>
      </c>
      <c r="I643" s="192">
        <v>1</v>
      </c>
      <c r="J643" s="192">
        <f>VLOOKUP($B643,'RBSA Weights'!$A$2:$C$1406,3,FALSE)</f>
        <v>1612.692</v>
      </c>
    </row>
    <row r="644" spans="1:10">
      <c r="A644" s="192">
        <v>191828</v>
      </c>
      <c r="B644" s="192">
        <v>20215</v>
      </c>
      <c r="C644" s="192" t="s">
        <v>815</v>
      </c>
      <c r="D644" s="192">
        <v>325</v>
      </c>
      <c r="E644" s="192" t="s">
        <v>816</v>
      </c>
      <c r="F644" s="192" t="s">
        <v>817</v>
      </c>
      <c r="G644" s="192">
        <v>0.44999998807907104</v>
      </c>
      <c r="H644" s="192" t="s">
        <v>818</v>
      </c>
      <c r="I644" s="192">
        <v>1</v>
      </c>
      <c r="J644" s="192">
        <f>VLOOKUP($B644,'RBSA Weights'!$A$2:$C$1406,3,FALSE)</f>
        <v>1612.692</v>
      </c>
    </row>
    <row r="645" spans="1:10">
      <c r="A645" s="192">
        <v>683738</v>
      </c>
      <c r="B645" s="192">
        <v>20230</v>
      </c>
      <c r="C645" s="192" t="s">
        <v>815</v>
      </c>
      <c r="D645" s="192">
        <v>235</v>
      </c>
      <c r="E645" s="192" t="s">
        <v>816</v>
      </c>
      <c r="F645" s="192" t="s">
        <v>820</v>
      </c>
      <c r="G645" s="192">
        <v>0.85000002384185791</v>
      </c>
      <c r="H645" s="192" t="s">
        <v>820</v>
      </c>
      <c r="I645" s="192">
        <v>1</v>
      </c>
      <c r="J645" s="192">
        <f>VLOOKUP($B645,'RBSA Weights'!$A$2:$C$1406,3,FALSE)</f>
        <v>1144.6790000000001</v>
      </c>
    </row>
    <row r="646" spans="1:10">
      <c r="A646" s="192">
        <v>81839</v>
      </c>
      <c r="B646" s="192">
        <v>20244</v>
      </c>
      <c r="C646" s="192" t="s">
        <v>815</v>
      </c>
      <c r="D646" s="192">
        <v>176</v>
      </c>
      <c r="E646" s="192" t="s">
        <v>816</v>
      </c>
      <c r="F646" s="192" t="s">
        <v>818</v>
      </c>
      <c r="G646" s="192">
        <v>0.60000002384185791</v>
      </c>
      <c r="H646" s="192" t="s">
        <v>818</v>
      </c>
      <c r="I646" s="192">
        <v>1</v>
      </c>
      <c r="J646" s="192">
        <f>VLOOKUP($B646,'RBSA Weights'!$A$2:$C$1406,3,FALSE)</f>
        <v>2079.9929999999999</v>
      </c>
    </row>
    <row r="647" spans="1:10">
      <c r="A647" s="192">
        <v>133427</v>
      </c>
      <c r="B647" s="192">
        <v>20245</v>
      </c>
      <c r="C647" s="192" t="s">
        <v>815</v>
      </c>
      <c r="D647" s="192">
        <v>50</v>
      </c>
      <c r="E647" s="192" t="s">
        <v>816</v>
      </c>
      <c r="F647" s="192" t="s">
        <v>817</v>
      </c>
      <c r="G647" s="192">
        <v>0.55000001192092896</v>
      </c>
      <c r="H647" s="192" t="s">
        <v>818</v>
      </c>
      <c r="I647" s="192">
        <v>1</v>
      </c>
      <c r="J647" s="192">
        <f>VLOOKUP($B647,'RBSA Weights'!$A$2:$C$1406,3,FALSE)</f>
        <v>2079.9929999999999</v>
      </c>
    </row>
    <row r="648" spans="1:10">
      <c r="A648" s="192">
        <v>690284</v>
      </c>
      <c r="B648" s="192">
        <v>20250</v>
      </c>
      <c r="C648" s="192" t="s">
        <v>815</v>
      </c>
      <c r="D648" s="192">
        <v>161</v>
      </c>
      <c r="E648" s="192" t="s">
        <v>819</v>
      </c>
      <c r="F648" s="192" t="s">
        <v>821</v>
      </c>
      <c r="G648" s="192">
        <v>0.75</v>
      </c>
      <c r="H648" s="192" t="s">
        <v>821</v>
      </c>
      <c r="I648" s="192">
        <v>1</v>
      </c>
      <c r="J648" s="192">
        <f>VLOOKUP($B648,'RBSA Weights'!$A$2:$C$1406,3,FALSE)</f>
        <v>12271.31</v>
      </c>
    </row>
    <row r="649" spans="1:10">
      <c r="A649" s="192">
        <v>138834</v>
      </c>
      <c r="B649" s="192">
        <v>20264</v>
      </c>
      <c r="C649" s="192" t="s">
        <v>815</v>
      </c>
      <c r="D649" s="192">
        <v>658</v>
      </c>
      <c r="E649" s="192" t="s">
        <v>816</v>
      </c>
      <c r="F649" s="192" t="s">
        <v>817</v>
      </c>
      <c r="G649" s="192">
        <v>0.44999998807907104</v>
      </c>
      <c r="H649" s="192" t="s">
        <v>818</v>
      </c>
      <c r="I649" s="192">
        <v>1</v>
      </c>
      <c r="J649" s="192">
        <f>VLOOKUP($B649,'RBSA Weights'!$A$2:$C$1406,3,FALSE)</f>
        <v>1192.4649999999999</v>
      </c>
    </row>
    <row r="650" spans="1:10">
      <c r="A650" s="192">
        <v>100598</v>
      </c>
      <c r="B650" s="192">
        <v>20265</v>
      </c>
      <c r="C650" s="192" t="s">
        <v>815</v>
      </c>
      <c r="D650" s="192">
        <v>248</v>
      </c>
      <c r="E650" s="192" t="s">
        <v>816</v>
      </c>
      <c r="F650" s="192" t="s">
        <v>820</v>
      </c>
      <c r="G650" s="192">
        <v>0.85000002384185791</v>
      </c>
      <c r="H650" s="192" t="s">
        <v>820</v>
      </c>
      <c r="I650" s="192">
        <v>1</v>
      </c>
      <c r="J650" s="192">
        <f>VLOOKUP($B650,'RBSA Weights'!$A$2:$C$1406,3,FALSE)</f>
        <v>1925.059</v>
      </c>
    </row>
    <row r="651" spans="1:10">
      <c r="A651" s="192">
        <v>201520</v>
      </c>
      <c r="B651" s="192">
        <v>20266</v>
      </c>
      <c r="C651" s="192" t="s">
        <v>815</v>
      </c>
      <c r="D651" s="192">
        <v>523</v>
      </c>
      <c r="E651" s="192" t="s">
        <v>816</v>
      </c>
      <c r="F651" s="192" t="s">
        <v>817</v>
      </c>
      <c r="G651" s="192">
        <v>0.44999998807907104</v>
      </c>
      <c r="H651" s="192" t="s">
        <v>818</v>
      </c>
      <c r="I651" s="192">
        <v>1</v>
      </c>
      <c r="J651" s="192">
        <f>VLOOKUP($B651,'RBSA Weights'!$A$2:$C$1406,3,FALSE)</f>
        <v>1925.059</v>
      </c>
    </row>
    <row r="652" spans="1:10">
      <c r="A652" s="192">
        <v>136353</v>
      </c>
      <c r="B652" s="192">
        <v>20274</v>
      </c>
      <c r="C652" s="192" t="s">
        <v>815</v>
      </c>
      <c r="D652" s="192">
        <v>294</v>
      </c>
      <c r="E652" s="192" t="s">
        <v>816</v>
      </c>
      <c r="F652" s="192" t="s">
        <v>817</v>
      </c>
      <c r="G652" s="192">
        <v>0.44999998807907104</v>
      </c>
      <c r="H652" s="192" t="s">
        <v>818</v>
      </c>
      <c r="I652" s="192">
        <v>1</v>
      </c>
      <c r="J652" s="192">
        <f>VLOOKUP($B652,'RBSA Weights'!$A$2:$C$1406,3,FALSE)</f>
        <v>1612.692</v>
      </c>
    </row>
    <row r="653" spans="1:10">
      <c r="A653" s="192">
        <v>60853</v>
      </c>
      <c r="B653" s="192">
        <v>20287</v>
      </c>
      <c r="C653" s="192" t="s">
        <v>815</v>
      </c>
      <c r="D653" s="192">
        <v>299</v>
      </c>
      <c r="E653" s="192" t="s">
        <v>816</v>
      </c>
      <c r="F653" s="192" t="s">
        <v>817</v>
      </c>
      <c r="G653" s="192">
        <v>0.44999998807907104</v>
      </c>
      <c r="H653" s="192" t="s">
        <v>818</v>
      </c>
      <c r="I653" s="192">
        <v>1</v>
      </c>
      <c r="J653" s="192">
        <f>VLOOKUP($B653,'RBSA Weights'!$A$2:$C$1406,3,FALSE)</f>
        <v>2079.9929999999999</v>
      </c>
    </row>
    <row r="654" spans="1:10">
      <c r="A654" s="192">
        <v>94589</v>
      </c>
      <c r="B654" s="192">
        <v>20288</v>
      </c>
      <c r="C654" s="192" t="s">
        <v>815</v>
      </c>
      <c r="D654" s="192">
        <v>283</v>
      </c>
      <c r="E654" s="192" t="s">
        <v>816</v>
      </c>
      <c r="F654" s="192" t="s">
        <v>817</v>
      </c>
      <c r="G654" s="192">
        <v>0.44999998807907104</v>
      </c>
      <c r="H654" s="192" t="s">
        <v>818</v>
      </c>
      <c r="I654" s="192">
        <v>1</v>
      </c>
      <c r="J654" s="192">
        <f>VLOOKUP($B654,'RBSA Weights'!$A$2:$C$1406,3,FALSE)</f>
        <v>1144.6790000000001</v>
      </c>
    </row>
    <row r="655" spans="1:10">
      <c r="A655" s="192">
        <v>69947</v>
      </c>
      <c r="B655" s="192">
        <v>20290</v>
      </c>
      <c r="C655" s="192" t="s">
        <v>815</v>
      </c>
      <c r="D655" s="192">
        <v>106</v>
      </c>
      <c r="E655" s="192" t="s">
        <v>816</v>
      </c>
      <c r="F655" s="192" t="s">
        <v>818</v>
      </c>
      <c r="G655" s="192">
        <v>0.60000002384185791</v>
      </c>
      <c r="H655" s="192" t="s">
        <v>818</v>
      </c>
      <c r="I655" s="192">
        <v>1</v>
      </c>
      <c r="J655" s="192">
        <f>VLOOKUP($B655,'RBSA Weights'!$A$2:$C$1406,3,FALSE)</f>
        <v>1144.6790000000001</v>
      </c>
    </row>
    <row r="656" spans="1:10">
      <c r="A656" s="192">
        <v>55400</v>
      </c>
      <c r="B656" s="192">
        <v>20294</v>
      </c>
      <c r="C656" s="192" t="s">
        <v>815</v>
      </c>
      <c r="D656" s="192">
        <v>412</v>
      </c>
      <c r="E656" s="192" t="s">
        <v>816</v>
      </c>
      <c r="F656" s="192" t="s">
        <v>817</v>
      </c>
      <c r="G656" s="192">
        <v>0.55000001192092896</v>
      </c>
      <c r="H656" s="192" t="s">
        <v>818</v>
      </c>
      <c r="I656" s="192">
        <v>1</v>
      </c>
      <c r="J656" s="192">
        <f>VLOOKUP($B656,'RBSA Weights'!$A$2:$C$1406,3,FALSE)</f>
        <v>2079.9929999999999</v>
      </c>
    </row>
    <row r="657" spans="1:10">
      <c r="A657" s="192">
        <v>131790</v>
      </c>
      <c r="B657" s="192">
        <v>20297</v>
      </c>
      <c r="C657" s="192" t="s">
        <v>815</v>
      </c>
      <c r="D657" s="192">
        <v>178</v>
      </c>
      <c r="E657" s="192" t="s">
        <v>816</v>
      </c>
      <c r="F657" s="192" t="s">
        <v>817</v>
      </c>
      <c r="G657" s="192">
        <v>0.55000001192092896</v>
      </c>
      <c r="H657" s="192" t="s">
        <v>818</v>
      </c>
      <c r="I657" s="192">
        <v>1</v>
      </c>
      <c r="J657" s="192">
        <f>VLOOKUP($B657,'RBSA Weights'!$A$2:$C$1406,3,FALSE)</f>
        <v>1612.692</v>
      </c>
    </row>
    <row r="658" spans="1:10">
      <c r="A658" s="192">
        <v>176347</v>
      </c>
      <c r="B658" s="192">
        <v>20303</v>
      </c>
      <c r="C658" s="192" t="s">
        <v>815</v>
      </c>
      <c r="D658" s="192">
        <v>170</v>
      </c>
      <c r="E658" s="192" t="s">
        <v>816</v>
      </c>
      <c r="F658" s="192" t="s">
        <v>817</v>
      </c>
      <c r="G658" s="192">
        <v>0.44999998807907104</v>
      </c>
      <c r="H658" s="192" t="s">
        <v>818</v>
      </c>
      <c r="I658" s="192">
        <v>1</v>
      </c>
      <c r="J658" s="192">
        <f>VLOOKUP($B658,'RBSA Weights'!$A$2:$C$1406,3,FALSE)</f>
        <v>2130.886</v>
      </c>
    </row>
    <row r="659" spans="1:10">
      <c r="A659" s="192">
        <v>205132</v>
      </c>
      <c r="B659" s="192">
        <v>20305</v>
      </c>
      <c r="C659" s="192" t="s">
        <v>815</v>
      </c>
      <c r="D659" s="192">
        <v>368</v>
      </c>
      <c r="E659" s="192" t="s">
        <v>816</v>
      </c>
      <c r="F659" s="192" t="s">
        <v>817</v>
      </c>
      <c r="G659" s="192">
        <v>0.55000001192092896</v>
      </c>
      <c r="H659" s="192" t="s">
        <v>818</v>
      </c>
      <c r="I659" s="192">
        <v>1</v>
      </c>
      <c r="J659" s="192">
        <f>VLOOKUP($B659,'RBSA Weights'!$A$2:$C$1406,3,FALSE)</f>
        <v>1192.4649999999999</v>
      </c>
    </row>
    <row r="660" spans="1:10">
      <c r="A660" s="192">
        <v>681879</v>
      </c>
      <c r="B660" s="192">
        <v>20311</v>
      </c>
      <c r="C660" s="192" t="s">
        <v>815</v>
      </c>
      <c r="D660" s="192">
        <v>123</v>
      </c>
      <c r="E660" s="192" t="s">
        <v>816</v>
      </c>
      <c r="F660" s="192" t="s">
        <v>817</v>
      </c>
      <c r="G660" s="192">
        <v>0.44999998807907104</v>
      </c>
      <c r="H660" s="192" t="s">
        <v>818</v>
      </c>
      <c r="I660" s="192">
        <v>1</v>
      </c>
      <c r="J660" s="192">
        <f>VLOOKUP($B660,'RBSA Weights'!$A$2:$C$1406,3,FALSE)</f>
        <v>1612.692</v>
      </c>
    </row>
    <row r="661" spans="1:10">
      <c r="A661" s="192">
        <v>98995</v>
      </c>
      <c r="B661" s="192">
        <v>20324</v>
      </c>
      <c r="C661" s="192" t="s">
        <v>815</v>
      </c>
      <c r="D661" s="192">
        <v>154</v>
      </c>
      <c r="E661" s="192" t="s">
        <v>819</v>
      </c>
      <c r="F661" s="192" t="s">
        <v>823</v>
      </c>
      <c r="G661" s="192">
        <v>0.85000002384185791</v>
      </c>
      <c r="H661" s="192" t="s">
        <v>823</v>
      </c>
      <c r="I661" s="192">
        <v>1</v>
      </c>
      <c r="J661" s="192">
        <f>VLOOKUP($B661,'RBSA Weights'!$A$2:$C$1406,3,FALSE)</f>
        <v>1925.059</v>
      </c>
    </row>
    <row r="662" spans="1:10">
      <c r="A662" s="192">
        <v>103331</v>
      </c>
      <c r="B662" s="192">
        <v>20325</v>
      </c>
      <c r="C662" s="192" t="s">
        <v>815</v>
      </c>
      <c r="D662" s="192">
        <v>322</v>
      </c>
      <c r="E662" s="192" t="s">
        <v>816</v>
      </c>
      <c r="F662" s="192" t="s">
        <v>817</v>
      </c>
      <c r="G662" s="192">
        <v>0.44999998807907104</v>
      </c>
      <c r="H662" s="192" t="s">
        <v>818</v>
      </c>
      <c r="I662" s="192">
        <v>1</v>
      </c>
      <c r="J662" s="192">
        <f>VLOOKUP($B662,'RBSA Weights'!$A$2:$C$1406,3,FALSE)</f>
        <v>1925.059</v>
      </c>
    </row>
    <row r="663" spans="1:10">
      <c r="A663" s="192">
        <v>173630</v>
      </c>
      <c r="B663" s="192">
        <v>20338</v>
      </c>
      <c r="C663" s="192" t="s">
        <v>815</v>
      </c>
      <c r="D663" s="192">
        <v>129</v>
      </c>
      <c r="E663" s="192" t="s">
        <v>816</v>
      </c>
      <c r="F663" s="192" t="s">
        <v>818</v>
      </c>
      <c r="G663" s="192">
        <v>0.60000002384185791</v>
      </c>
      <c r="H663" s="192" t="s">
        <v>818</v>
      </c>
      <c r="I663" s="192">
        <v>1</v>
      </c>
      <c r="J663" s="192">
        <f>VLOOKUP($B663,'RBSA Weights'!$A$2:$C$1406,3,FALSE)</f>
        <v>1192.4649999999999</v>
      </c>
    </row>
    <row r="664" spans="1:10">
      <c r="A664" s="192">
        <v>147579</v>
      </c>
      <c r="B664" s="192">
        <v>20340</v>
      </c>
      <c r="C664" s="192" t="s">
        <v>815</v>
      </c>
      <c r="D664" s="192">
        <v>120</v>
      </c>
      <c r="E664" s="192" t="s">
        <v>819</v>
      </c>
      <c r="F664" s="192" t="s">
        <v>823</v>
      </c>
      <c r="G664" s="192">
        <v>0.85000002384185791</v>
      </c>
      <c r="H664" s="192" t="s">
        <v>823</v>
      </c>
      <c r="I664" s="192">
        <v>1</v>
      </c>
      <c r="J664" s="192">
        <f>VLOOKUP($B664,'RBSA Weights'!$A$2:$C$1406,3,FALSE)</f>
        <v>1612.692</v>
      </c>
    </row>
    <row r="665" spans="1:10">
      <c r="A665" s="192">
        <v>87479</v>
      </c>
      <c r="B665" s="192">
        <v>20344</v>
      </c>
      <c r="C665" s="192" t="s">
        <v>815</v>
      </c>
      <c r="D665" s="192">
        <v>158</v>
      </c>
      <c r="E665" s="192" t="s">
        <v>816</v>
      </c>
      <c r="F665" s="192" t="s">
        <v>818</v>
      </c>
      <c r="G665" s="192">
        <v>0.60000002384185791</v>
      </c>
      <c r="H665" s="192" t="s">
        <v>818</v>
      </c>
      <c r="I665" s="192">
        <v>1</v>
      </c>
      <c r="J665" s="192">
        <f>VLOOKUP($B665,'RBSA Weights'!$A$2:$C$1406,3,FALSE)</f>
        <v>1144.6790000000001</v>
      </c>
    </row>
    <row r="666" spans="1:10">
      <c r="A666" s="192">
        <v>160272</v>
      </c>
      <c r="B666" s="192">
        <v>20351</v>
      </c>
      <c r="C666" s="192" t="s">
        <v>815</v>
      </c>
      <c r="D666" s="192">
        <v>80</v>
      </c>
      <c r="E666" s="192" t="s">
        <v>819</v>
      </c>
      <c r="F666" s="192" t="s">
        <v>817</v>
      </c>
      <c r="G666" s="192">
        <v>0.5</v>
      </c>
      <c r="H666" s="192" t="s">
        <v>818</v>
      </c>
      <c r="I666" s="192">
        <v>1</v>
      </c>
      <c r="J666" s="192">
        <f>VLOOKUP($B666,'RBSA Weights'!$A$2:$C$1406,3,FALSE)</f>
        <v>2130.886</v>
      </c>
    </row>
    <row r="667" spans="1:10">
      <c r="A667" s="192">
        <v>175278</v>
      </c>
      <c r="B667" s="192">
        <v>20357</v>
      </c>
      <c r="C667" s="192" t="s">
        <v>815</v>
      </c>
      <c r="D667" s="192">
        <v>190</v>
      </c>
      <c r="E667" s="192" t="s">
        <v>816</v>
      </c>
      <c r="F667" s="192" t="s">
        <v>821</v>
      </c>
      <c r="G667" s="192">
        <v>0.94999998807907104</v>
      </c>
      <c r="H667" s="192" t="s">
        <v>821</v>
      </c>
      <c r="I667" s="192">
        <v>1</v>
      </c>
      <c r="J667" s="192">
        <f>VLOOKUP($B667,'RBSA Weights'!$A$2:$C$1406,3,FALSE)</f>
        <v>1612.692</v>
      </c>
    </row>
    <row r="668" spans="1:10">
      <c r="A668" s="192">
        <v>70412</v>
      </c>
      <c r="B668" s="192">
        <v>20360</v>
      </c>
      <c r="C668" s="192" t="s">
        <v>815</v>
      </c>
      <c r="D668" s="192">
        <v>128</v>
      </c>
      <c r="E668" s="192" t="s">
        <v>816</v>
      </c>
      <c r="F668" s="192" t="s">
        <v>818</v>
      </c>
      <c r="G668" s="192">
        <v>0.60000002384185791</v>
      </c>
      <c r="H668" s="192" t="s">
        <v>818</v>
      </c>
      <c r="I668" s="192">
        <v>1</v>
      </c>
      <c r="J668" s="192">
        <f>VLOOKUP($B668,'RBSA Weights'!$A$2:$C$1406,3,FALSE)</f>
        <v>1904.288</v>
      </c>
    </row>
    <row r="669" spans="1:10">
      <c r="A669" s="192">
        <v>32175</v>
      </c>
      <c r="B669" s="192">
        <v>20363</v>
      </c>
      <c r="C669" s="192" t="s">
        <v>815</v>
      </c>
      <c r="D669" s="192">
        <v>281</v>
      </c>
      <c r="E669" s="192" t="s">
        <v>816</v>
      </c>
      <c r="F669" s="192" t="s">
        <v>818</v>
      </c>
      <c r="G669" s="192">
        <v>0.55000001192092896</v>
      </c>
      <c r="H669" s="192" t="s">
        <v>818</v>
      </c>
      <c r="I669" s="192">
        <v>1</v>
      </c>
      <c r="J669" s="192">
        <f>VLOOKUP($B669,'RBSA Weights'!$A$2:$C$1406,3,FALSE)</f>
        <v>2130.886</v>
      </c>
    </row>
    <row r="670" spans="1:10">
      <c r="A670" s="192">
        <v>121183</v>
      </c>
      <c r="B670" s="192">
        <v>20371</v>
      </c>
      <c r="C670" s="192" t="s">
        <v>815</v>
      </c>
      <c r="D670" s="192">
        <v>89</v>
      </c>
      <c r="E670" s="192" t="s">
        <v>816</v>
      </c>
      <c r="F670" s="192" t="s">
        <v>823</v>
      </c>
      <c r="G670" s="192">
        <v>1.1000000238418579</v>
      </c>
      <c r="H670" s="192" t="s">
        <v>823</v>
      </c>
      <c r="I670" s="192">
        <v>1</v>
      </c>
      <c r="J670" s="192">
        <f>VLOOKUP($B670,'RBSA Weights'!$A$2:$C$1406,3,FALSE)</f>
        <v>1925.059</v>
      </c>
    </row>
    <row r="671" spans="1:10">
      <c r="A671" s="192">
        <v>45980</v>
      </c>
      <c r="B671" s="192">
        <v>20374</v>
      </c>
      <c r="C671" s="192" t="s">
        <v>815</v>
      </c>
      <c r="D671" s="192">
        <v>218</v>
      </c>
      <c r="E671" s="192" t="s">
        <v>816</v>
      </c>
      <c r="F671" s="192" t="s">
        <v>817</v>
      </c>
      <c r="G671" s="192">
        <v>0.55000001192092896</v>
      </c>
      <c r="H671" s="192" t="s">
        <v>818</v>
      </c>
      <c r="I671" s="192">
        <v>1</v>
      </c>
      <c r="J671" s="192">
        <f>VLOOKUP($B671,'RBSA Weights'!$A$2:$C$1406,3,FALSE)</f>
        <v>8264.9449999999997</v>
      </c>
    </row>
    <row r="672" spans="1:10">
      <c r="A672" s="192">
        <v>144581</v>
      </c>
      <c r="B672" s="192">
        <v>20381</v>
      </c>
      <c r="C672" s="192" t="s">
        <v>815</v>
      </c>
      <c r="D672" s="192">
        <v>187</v>
      </c>
      <c r="E672" s="192" t="s">
        <v>816</v>
      </c>
      <c r="F672" s="192" t="s">
        <v>820</v>
      </c>
      <c r="G672" s="192">
        <v>0.85000002384185791</v>
      </c>
      <c r="H672" s="192" t="s">
        <v>820</v>
      </c>
      <c r="I672" s="192">
        <v>1</v>
      </c>
      <c r="J672" s="192">
        <f>VLOOKUP($B672,'RBSA Weights'!$A$2:$C$1406,3,FALSE)</f>
        <v>1192.4649999999999</v>
      </c>
    </row>
    <row r="673" spans="1:10">
      <c r="A673" s="192">
        <v>158955</v>
      </c>
      <c r="B673" s="192">
        <v>20384</v>
      </c>
      <c r="C673" s="192" t="s">
        <v>815</v>
      </c>
      <c r="D673" s="192">
        <v>137</v>
      </c>
      <c r="E673" s="192" t="s">
        <v>816</v>
      </c>
      <c r="F673" s="192" t="s">
        <v>817</v>
      </c>
      <c r="G673" s="192">
        <v>0.55000001192092896</v>
      </c>
      <c r="H673" s="192" t="s">
        <v>818</v>
      </c>
      <c r="I673" s="192">
        <v>1</v>
      </c>
      <c r="J673" s="192">
        <f>VLOOKUP($B673,'RBSA Weights'!$A$2:$C$1406,3,FALSE)</f>
        <v>2130.886</v>
      </c>
    </row>
    <row r="674" spans="1:10">
      <c r="A674" s="192">
        <v>798475</v>
      </c>
      <c r="B674" s="192">
        <v>20390</v>
      </c>
      <c r="C674" s="192" t="s">
        <v>815</v>
      </c>
      <c r="D674" s="192">
        <v>66</v>
      </c>
      <c r="E674" s="192" t="s">
        <v>816</v>
      </c>
      <c r="F674" s="192" t="s">
        <v>821</v>
      </c>
      <c r="G674" s="192">
        <v>0.94999998807907104</v>
      </c>
      <c r="H674" s="192" t="s">
        <v>821</v>
      </c>
      <c r="I674" s="192">
        <v>1</v>
      </c>
      <c r="J674" s="192">
        <f>VLOOKUP($B674,'RBSA Weights'!$A$2:$C$1406,3,FALSE)</f>
        <v>8264.9449999999997</v>
      </c>
    </row>
    <row r="675" spans="1:10">
      <c r="A675" s="192">
        <v>63855</v>
      </c>
      <c r="B675" s="192">
        <v>20392</v>
      </c>
      <c r="C675" s="192" t="s">
        <v>815</v>
      </c>
      <c r="D675" s="192">
        <v>466</v>
      </c>
      <c r="E675" s="192" t="s">
        <v>816</v>
      </c>
      <c r="F675" s="192" t="s">
        <v>817</v>
      </c>
      <c r="G675" s="192">
        <v>0.55000001192092896</v>
      </c>
      <c r="H675" s="192" t="s">
        <v>818</v>
      </c>
      <c r="I675" s="192">
        <v>1</v>
      </c>
      <c r="J675" s="192">
        <f>VLOOKUP($B675,'RBSA Weights'!$A$2:$C$1406,3,FALSE)</f>
        <v>1904.288</v>
      </c>
    </row>
    <row r="676" spans="1:10">
      <c r="A676" s="192">
        <v>45660</v>
      </c>
      <c r="B676" s="192">
        <v>20395</v>
      </c>
      <c r="C676" s="192" t="s">
        <v>815</v>
      </c>
      <c r="D676" s="192">
        <v>70</v>
      </c>
      <c r="E676" s="192" t="s">
        <v>816</v>
      </c>
      <c r="F676" s="192" t="s">
        <v>817</v>
      </c>
      <c r="G676" s="192">
        <v>0.55000001192092896</v>
      </c>
      <c r="H676" s="192" t="s">
        <v>818</v>
      </c>
      <c r="I676" s="192">
        <v>1</v>
      </c>
      <c r="J676" s="192">
        <f>VLOOKUP($B676,'RBSA Weights'!$A$2:$C$1406,3,FALSE)</f>
        <v>8264.9449999999997</v>
      </c>
    </row>
    <row r="677" spans="1:10">
      <c r="A677" s="192">
        <v>156022</v>
      </c>
      <c r="B677" s="192">
        <v>20408</v>
      </c>
      <c r="C677" s="192" t="s">
        <v>815</v>
      </c>
      <c r="D677" s="192">
        <v>130</v>
      </c>
      <c r="E677" s="192" t="s">
        <v>816</v>
      </c>
      <c r="F677" s="192" t="s">
        <v>817</v>
      </c>
      <c r="G677" s="192">
        <v>0.55000001192092896</v>
      </c>
      <c r="H677" s="192" t="s">
        <v>818</v>
      </c>
      <c r="I677" s="192">
        <v>1</v>
      </c>
      <c r="J677" s="192">
        <f>VLOOKUP($B677,'RBSA Weights'!$A$2:$C$1406,3,FALSE)</f>
        <v>2079.9929999999999</v>
      </c>
    </row>
    <row r="678" spans="1:10">
      <c r="A678" s="192">
        <v>720240</v>
      </c>
      <c r="B678" s="192">
        <v>20411</v>
      </c>
      <c r="C678" s="192" t="s">
        <v>815</v>
      </c>
      <c r="D678" s="192">
        <v>114</v>
      </c>
      <c r="E678" s="192" t="s">
        <v>816</v>
      </c>
      <c r="F678" s="192" t="s">
        <v>818</v>
      </c>
      <c r="G678" s="192">
        <v>0.60000002384185791</v>
      </c>
      <c r="H678" s="192" t="s">
        <v>818</v>
      </c>
      <c r="I678" s="192">
        <v>1</v>
      </c>
      <c r="J678" s="192">
        <f>VLOOKUP($B678,'RBSA Weights'!$A$2:$C$1406,3,FALSE)</f>
        <v>3785.7640000000001</v>
      </c>
    </row>
    <row r="679" spans="1:10">
      <c r="A679" s="192">
        <v>81481</v>
      </c>
      <c r="B679" s="192">
        <v>20414</v>
      </c>
      <c r="C679" s="192" t="s">
        <v>815</v>
      </c>
      <c r="D679" s="192">
        <v>130</v>
      </c>
      <c r="E679" s="192" t="s">
        <v>816</v>
      </c>
      <c r="F679" s="192" t="s">
        <v>817</v>
      </c>
      <c r="G679" s="192">
        <v>0.55000001192092896</v>
      </c>
      <c r="H679" s="192" t="s">
        <v>818</v>
      </c>
      <c r="I679" s="192">
        <v>1</v>
      </c>
      <c r="J679" s="192">
        <f>VLOOKUP($B679,'RBSA Weights'!$A$2:$C$1406,3,FALSE)</f>
        <v>2079.9929999999999</v>
      </c>
    </row>
    <row r="680" spans="1:10">
      <c r="A680" s="192">
        <v>207770</v>
      </c>
      <c r="B680" s="192">
        <v>20426</v>
      </c>
      <c r="C680" s="192" t="s">
        <v>815</v>
      </c>
      <c r="D680" s="192">
        <v>97</v>
      </c>
      <c r="E680" s="192" t="s">
        <v>816</v>
      </c>
      <c r="F680" s="192" t="s">
        <v>817</v>
      </c>
      <c r="G680" s="192">
        <v>0.55000001192092896</v>
      </c>
      <c r="H680" s="192" t="s">
        <v>818</v>
      </c>
      <c r="I680" s="192">
        <v>1</v>
      </c>
      <c r="J680" s="192">
        <f>VLOOKUP($B680,'RBSA Weights'!$A$2:$C$1406,3,FALSE)</f>
        <v>1904.288</v>
      </c>
    </row>
    <row r="681" spans="1:10">
      <c r="A681" s="192">
        <v>72110</v>
      </c>
      <c r="B681" s="192">
        <v>20430</v>
      </c>
      <c r="C681" s="192" t="s">
        <v>815</v>
      </c>
      <c r="D681" s="192">
        <v>124</v>
      </c>
      <c r="E681" s="192" t="s">
        <v>816</v>
      </c>
      <c r="F681" s="192" t="s">
        <v>817</v>
      </c>
      <c r="G681" s="192">
        <v>0.55000001192092896</v>
      </c>
      <c r="H681" s="192" t="s">
        <v>818</v>
      </c>
      <c r="I681" s="192">
        <v>1</v>
      </c>
      <c r="J681" s="192">
        <f>VLOOKUP($B681,'RBSA Weights'!$A$2:$C$1406,3,FALSE)</f>
        <v>2079.9929999999999</v>
      </c>
    </row>
    <row r="682" spans="1:10">
      <c r="A682" s="192">
        <v>690509</v>
      </c>
      <c r="B682" s="192">
        <v>20433</v>
      </c>
      <c r="C682" s="192" t="s">
        <v>815</v>
      </c>
      <c r="D682" s="192">
        <v>167</v>
      </c>
      <c r="E682" s="192" t="s">
        <v>816</v>
      </c>
      <c r="F682" s="192" t="s">
        <v>820</v>
      </c>
      <c r="G682" s="192">
        <v>0.85000002384185791</v>
      </c>
      <c r="H682" s="192" t="s">
        <v>820</v>
      </c>
      <c r="I682" s="192">
        <v>1</v>
      </c>
      <c r="J682" s="192">
        <f>VLOOKUP($B682,'RBSA Weights'!$A$2:$C$1406,3,FALSE)</f>
        <v>1612.692</v>
      </c>
    </row>
    <row r="683" spans="1:10">
      <c r="A683" s="192">
        <v>210929</v>
      </c>
      <c r="B683" s="192">
        <v>20440</v>
      </c>
      <c r="C683" s="192" t="s">
        <v>815</v>
      </c>
      <c r="D683" s="192">
        <v>181</v>
      </c>
      <c r="E683" s="192" t="s">
        <v>816</v>
      </c>
      <c r="F683" s="192" t="s">
        <v>820</v>
      </c>
      <c r="G683" s="192">
        <v>0.80000001192092896</v>
      </c>
      <c r="H683" s="192" t="s">
        <v>820</v>
      </c>
      <c r="I683" s="192">
        <v>1</v>
      </c>
      <c r="J683" s="192">
        <f>VLOOKUP($B683,'RBSA Weights'!$A$2:$C$1406,3,FALSE)</f>
        <v>1925.059</v>
      </c>
    </row>
    <row r="684" spans="1:10">
      <c r="A684" s="192">
        <v>100132</v>
      </c>
      <c r="B684" s="192">
        <v>20445</v>
      </c>
      <c r="C684" s="192" t="s">
        <v>815</v>
      </c>
      <c r="D684" s="192">
        <v>121</v>
      </c>
      <c r="E684" s="192" t="s">
        <v>819</v>
      </c>
      <c r="F684" s="192" t="s">
        <v>818</v>
      </c>
      <c r="G684" s="192">
        <v>0.5</v>
      </c>
      <c r="H684" s="192" t="s">
        <v>818</v>
      </c>
      <c r="I684" s="192">
        <v>1</v>
      </c>
      <c r="J684" s="192">
        <f>VLOOKUP($B684,'RBSA Weights'!$A$2:$C$1406,3,FALSE)</f>
        <v>1144.6790000000001</v>
      </c>
    </row>
    <row r="685" spans="1:10">
      <c r="A685" s="192">
        <v>200603</v>
      </c>
      <c r="B685" s="192">
        <v>20446</v>
      </c>
      <c r="C685" s="192" t="s">
        <v>815</v>
      </c>
      <c r="D685" s="192">
        <v>80</v>
      </c>
      <c r="E685" s="192" t="s">
        <v>816</v>
      </c>
      <c r="F685" s="192" t="s">
        <v>818</v>
      </c>
      <c r="G685" s="192">
        <v>0.60000002384185791</v>
      </c>
      <c r="H685" s="192" t="s">
        <v>818</v>
      </c>
      <c r="I685" s="192">
        <v>1</v>
      </c>
      <c r="J685" s="192">
        <f>VLOOKUP($B685,'RBSA Weights'!$A$2:$C$1406,3,FALSE)</f>
        <v>1612.692</v>
      </c>
    </row>
    <row r="686" spans="1:10">
      <c r="A686" s="192">
        <v>151314</v>
      </c>
      <c r="B686" s="192">
        <v>20448</v>
      </c>
      <c r="C686" s="192" t="s">
        <v>815</v>
      </c>
      <c r="D686" s="192">
        <v>178</v>
      </c>
      <c r="E686" s="192" t="s">
        <v>816</v>
      </c>
      <c r="F686" s="192" t="s">
        <v>817</v>
      </c>
      <c r="G686" s="192">
        <v>0.44999998807907104</v>
      </c>
      <c r="H686" s="192" t="s">
        <v>818</v>
      </c>
      <c r="I686" s="192">
        <v>1</v>
      </c>
      <c r="J686" s="192">
        <f>VLOOKUP($B686,'RBSA Weights'!$A$2:$C$1406,3,FALSE)</f>
        <v>1612.692</v>
      </c>
    </row>
    <row r="687" spans="1:10">
      <c r="A687" s="192">
        <v>125182</v>
      </c>
      <c r="B687" s="192">
        <v>20457</v>
      </c>
      <c r="C687" s="192" t="s">
        <v>815</v>
      </c>
      <c r="D687" s="192">
        <v>190</v>
      </c>
      <c r="E687" s="192" t="s">
        <v>816</v>
      </c>
      <c r="F687" s="192" t="s">
        <v>817</v>
      </c>
      <c r="G687" s="192">
        <v>0.55000001192092896</v>
      </c>
      <c r="H687" s="192" t="s">
        <v>818</v>
      </c>
      <c r="I687" s="192">
        <v>1</v>
      </c>
      <c r="J687" s="192">
        <f>VLOOKUP($B687,'RBSA Weights'!$A$2:$C$1406,3,FALSE)</f>
        <v>1612.692</v>
      </c>
    </row>
    <row r="688" spans="1:10">
      <c r="A688" s="192">
        <v>32984</v>
      </c>
      <c r="B688" s="192">
        <v>20458</v>
      </c>
      <c r="C688" s="192" t="s">
        <v>815</v>
      </c>
      <c r="D688" s="192">
        <v>219</v>
      </c>
      <c r="E688" s="192" t="s">
        <v>819</v>
      </c>
      <c r="F688" s="192" t="s">
        <v>821</v>
      </c>
      <c r="G688" s="192">
        <v>0.75</v>
      </c>
      <c r="H688" s="192" t="s">
        <v>821</v>
      </c>
      <c r="I688" s="192">
        <v>1</v>
      </c>
      <c r="J688" s="192">
        <f>VLOOKUP($B688,'RBSA Weights'!$A$2:$C$1406,3,FALSE)</f>
        <v>3785.7640000000001</v>
      </c>
    </row>
    <row r="689" spans="1:10">
      <c r="A689" s="192">
        <v>223744</v>
      </c>
      <c r="B689" s="192">
        <v>20466</v>
      </c>
      <c r="C689" s="192" t="s">
        <v>815</v>
      </c>
      <c r="D689" s="192">
        <v>210</v>
      </c>
      <c r="E689" s="192" t="s">
        <v>816</v>
      </c>
      <c r="F689" s="192" t="s">
        <v>817</v>
      </c>
      <c r="G689" s="192">
        <v>0.55000001192092896</v>
      </c>
      <c r="H689" s="192" t="s">
        <v>818</v>
      </c>
      <c r="I689" s="192">
        <v>1</v>
      </c>
      <c r="J689" s="192">
        <f>VLOOKUP($B689,'RBSA Weights'!$A$2:$C$1406,3,FALSE)</f>
        <v>2130.886</v>
      </c>
    </row>
    <row r="690" spans="1:10">
      <c r="A690" s="192">
        <v>855946</v>
      </c>
      <c r="B690" s="192">
        <v>20469</v>
      </c>
      <c r="C690" s="192" t="s">
        <v>815</v>
      </c>
      <c r="D690" s="192">
        <v>310</v>
      </c>
      <c r="E690" s="192" t="s">
        <v>816</v>
      </c>
      <c r="F690" s="192" t="s">
        <v>818</v>
      </c>
      <c r="G690" s="192">
        <v>0.55000001192092896</v>
      </c>
      <c r="H690" s="192" t="s">
        <v>818</v>
      </c>
      <c r="I690" s="192">
        <v>1</v>
      </c>
      <c r="J690" s="192">
        <f>VLOOKUP($B690,'RBSA Weights'!$A$2:$C$1406,3,FALSE)</f>
        <v>1904.288</v>
      </c>
    </row>
    <row r="691" spans="1:10">
      <c r="A691" s="192">
        <v>193508</v>
      </c>
      <c r="B691" s="192">
        <v>20472</v>
      </c>
      <c r="C691" s="192" t="s">
        <v>815</v>
      </c>
      <c r="D691" s="192">
        <v>126</v>
      </c>
      <c r="E691" s="192" t="s">
        <v>816</v>
      </c>
      <c r="F691" s="192" t="s">
        <v>817</v>
      </c>
      <c r="G691" s="192">
        <v>0.44999998807907104</v>
      </c>
      <c r="H691" s="192" t="s">
        <v>818</v>
      </c>
      <c r="I691" s="192">
        <v>1</v>
      </c>
      <c r="J691" s="192">
        <f>VLOOKUP($B691,'RBSA Weights'!$A$2:$C$1406,3,FALSE)</f>
        <v>1612.692</v>
      </c>
    </row>
    <row r="692" spans="1:10">
      <c r="A692" s="192">
        <v>94411</v>
      </c>
      <c r="B692" s="192">
        <v>20477</v>
      </c>
      <c r="C692" s="192" t="s">
        <v>815</v>
      </c>
      <c r="D692" s="192">
        <v>116</v>
      </c>
      <c r="E692" s="192" t="s">
        <v>816</v>
      </c>
      <c r="F692" s="192" t="s">
        <v>817</v>
      </c>
      <c r="G692" s="192">
        <v>0.55000001192092896</v>
      </c>
      <c r="H692" s="192" t="s">
        <v>818</v>
      </c>
      <c r="I692" s="192">
        <v>1</v>
      </c>
      <c r="J692" s="192">
        <f>VLOOKUP($B692,'RBSA Weights'!$A$2:$C$1406,3,FALSE)</f>
        <v>1904.288</v>
      </c>
    </row>
    <row r="693" spans="1:10">
      <c r="A693" s="192">
        <v>172366</v>
      </c>
      <c r="B693" s="192">
        <v>20485</v>
      </c>
      <c r="C693" s="192" t="s">
        <v>815</v>
      </c>
      <c r="D693" s="192">
        <v>485</v>
      </c>
      <c r="E693" s="192" t="s">
        <v>816</v>
      </c>
      <c r="F693" s="192" t="s">
        <v>817</v>
      </c>
      <c r="G693" s="192">
        <v>0.44999998807907104</v>
      </c>
      <c r="H693" s="192" t="s">
        <v>818</v>
      </c>
      <c r="I693" s="192">
        <v>1</v>
      </c>
      <c r="J693" s="192">
        <f>VLOOKUP($B693,'RBSA Weights'!$A$2:$C$1406,3,FALSE)</f>
        <v>3785.7640000000001</v>
      </c>
    </row>
    <row r="694" spans="1:10">
      <c r="A694" s="192">
        <v>155040</v>
      </c>
      <c r="B694" s="192">
        <v>20491</v>
      </c>
      <c r="C694" s="192" t="s">
        <v>815</v>
      </c>
      <c r="D694" s="192">
        <v>190</v>
      </c>
      <c r="E694" s="192" t="s">
        <v>816</v>
      </c>
      <c r="F694" s="192" t="s">
        <v>818</v>
      </c>
      <c r="G694" s="192">
        <v>0.60000002384185791</v>
      </c>
      <c r="H694" s="192" t="s">
        <v>818</v>
      </c>
      <c r="I694" s="192">
        <v>1</v>
      </c>
      <c r="J694" s="192">
        <f>VLOOKUP($B694,'RBSA Weights'!$A$2:$C$1406,3,FALSE)</f>
        <v>1192.4649999999999</v>
      </c>
    </row>
    <row r="695" spans="1:10">
      <c r="A695" s="192">
        <v>136229</v>
      </c>
      <c r="B695" s="192">
        <v>20505</v>
      </c>
      <c r="C695" s="192" t="s">
        <v>815</v>
      </c>
      <c r="D695" s="192">
        <v>385</v>
      </c>
      <c r="E695" s="192" t="s">
        <v>816</v>
      </c>
      <c r="F695" s="192" t="s">
        <v>817</v>
      </c>
      <c r="G695" s="192">
        <v>0.55000001192092896</v>
      </c>
      <c r="H695" s="192" t="s">
        <v>818</v>
      </c>
      <c r="I695" s="192">
        <v>1</v>
      </c>
      <c r="J695" s="192">
        <f>VLOOKUP($B695,'RBSA Weights'!$A$2:$C$1406,3,FALSE)</f>
        <v>1612.692</v>
      </c>
    </row>
    <row r="696" spans="1:10">
      <c r="A696" s="192">
        <v>212301</v>
      </c>
      <c r="B696" s="192">
        <v>20516</v>
      </c>
      <c r="C696" s="192" t="s">
        <v>815</v>
      </c>
      <c r="D696" s="192">
        <v>169</v>
      </c>
      <c r="E696" s="192" t="s">
        <v>816</v>
      </c>
      <c r="F696" s="192" t="s">
        <v>818</v>
      </c>
      <c r="G696" s="192">
        <v>0.55000001192092896</v>
      </c>
      <c r="H696" s="192" t="s">
        <v>818</v>
      </c>
      <c r="I696" s="192">
        <v>1</v>
      </c>
      <c r="J696" s="192">
        <f>VLOOKUP($B696,'RBSA Weights'!$A$2:$C$1406,3,FALSE)</f>
        <v>2079.9929999999999</v>
      </c>
    </row>
    <row r="697" spans="1:10">
      <c r="A697" s="192">
        <v>73199</v>
      </c>
      <c r="B697" s="192">
        <v>20540</v>
      </c>
      <c r="C697" s="192" t="s">
        <v>815</v>
      </c>
      <c r="D697" s="192">
        <v>469</v>
      </c>
      <c r="E697" s="192" t="s">
        <v>816</v>
      </c>
      <c r="F697" s="192" t="s">
        <v>818</v>
      </c>
      <c r="G697" s="192">
        <v>0.60000002384185791</v>
      </c>
      <c r="H697" s="192" t="s">
        <v>818</v>
      </c>
      <c r="I697" s="192">
        <v>1</v>
      </c>
      <c r="J697" s="192">
        <f>VLOOKUP($B697,'RBSA Weights'!$A$2:$C$1406,3,FALSE)</f>
        <v>1904.288</v>
      </c>
    </row>
    <row r="698" spans="1:10">
      <c r="A698" s="192">
        <v>71932</v>
      </c>
      <c r="B698" s="192">
        <v>20547</v>
      </c>
      <c r="C698" s="192" t="s">
        <v>815</v>
      </c>
      <c r="D698" s="192">
        <v>260</v>
      </c>
      <c r="E698" s="192" t="s">
        <v>816</v>
      </c>
      <c r="F698" s="192" t="s">
        <v>817</v>
      </c>
      <c r="G698" s="192">
        <v>0.55000001192092896</v>
      </c>
      <c r="H698" s="192" t="s">
        <v>818</v>
      </c>
      <c r="I698" s="192">
        <v>1</v>
      </c>
      <c r="J698" s="192">
        <f>VLOOKUP($B698,'RBSA Weights'!$A$2:$C$1406,3,FALSE)</f>
        <v>2079.9929999999999</v>
      </c>
    </row>
    <row r="699" spans="1:10">
      <c r="A699" s="192">
        <v>684110</v>
      </c>
      <c r="B699" s="192">
        <v>20553</v>
      </c>
      <c r="C699" s="192" t="s">
        <v>815</v>
      </c>
      <c r="D699" s="192">
        <v>427</v>
      </c>
      <c r="E699" s="192" t="s">
        <v>819</v>
      </c>
      <c r="F699" s="192" t="s">
        <v>821</v>
      </c>
      <c r="G699" s="192">
        <v>0.75</v>
      </c>
      <c r="H699" s="192" t="s">
        <v>821</v>
      </c>
      <c r="I699" s="192">
        <v>1</v>
      </c>
      <c r="J699" s="192">
        <f>VLOOKUP($B699,'RBSA Weights'!$A$2:$C$1406,3,FALSE)</f>
        <v>3785.7640000000001</v>
      </c>
    </row>
    <row r="700" spans="1:10">
      <c r="A700" s="192">
        <v>148443</v>
      </c>
      <c r="B700" s="192">
        <v>20559</v>
      </c>
      <c r="C700" s="192" t="s">
        <v>815</v>
      </c>
      <c r="D700" s="192">
        <v>86</v>
      </c>
      <c r="E700" s="192" t="s">
        <v>819</v>
      </c>
      <c r="F700" s="192" t="s">
        <v>820</v>
      </c>
      <c r="G700" s="192">
        <v>0.75</v>
      </c>
      <c r="H700" s="192" t="s">
        <v>820</v>
      </c>
      <c r="I700" s="192">
        <v>1</v>
      </c>
      <c r="J700" s="192">
        <f>VLOOKUP($B700,'RBSA Weights'!$A$2:$C$1406,3,FALSE)</f>
        <v>1192.4649999999999</v>
      </c>
    </row>
    <row r="701" spans="1:10">
      <c r="A701" s="192">
        <v>139258</v>
      </c>
      <c r="B701" s="192">
        <v>20565</v>
      </c>
      <c r="C701" s="192" t="s">
        <v>815</v>
      </c>
      <c r="D701" s="192">
        <v>272</v>
      </c>
      <c r="E701" s="192" t="s">
        <v>816</v>
      </c>
      <c r="F701" s="192" t="s">
        <v>818</v>
      </c>
      <c r="G701" s="192">
        <v>0.55000001192092896</v>
      </c>
      <c r="H701" s="192" t="s">
        <v>818</v>
      </c>
      <c r="I701" s="192">
        <v>1</v>
      </c>
      <c r="J701" s="192">
        <f>VLOOKUP($B701,'RBSA Weights'!$A$2:$C$1406,3,FALSE)</f>
        <v>1192.4649999999999</v>
      </c>
    </row>
    <row r="702" spans="1:10">
      <c r="A702" s="192">
        <v>125073</v>
      </c>
      <c r="B702" s="192">
        <v>20574</v>
      </c>
      <c r="C702" s="192" t="s">
        <v>815</v>
      </c>
      <c r="D702" s="192">
        <v>157</v>
      </c>
      <c r="E702" s="192" t="s">
        <v>816</v>
      </c>
      <c r="F702" s="192" t="s">
        <v>817</v>
      </c>
      <c r="G702" s="192">
        <v>0.55000001192092896</v>
      </c>
      <c r="H702" s="192" t="s">
        <v>818</v>
      </c>
      <c r="I702" s="192">
        <v>1</v>
      </c>
      <c r="J702" s="192">
        <f>VLOOKUP($B702,'RBSA Weights'!$A$2:$C$1406,3,FALSE)</f>
        <v>2079.9929999999999</v>
      </c>
    </row>
    <row r="703" spans="1:10">
      <c r="A703" s="192">
        <v>193163</v>
      </c>
      <c r="B703" s="192">
        <v>20586</v>
      </c>
      <c r="C703" s="192" t="s">
        <v>815</v>
      </c>
      <c r="D703" s="192">
        <v>191</v>
      </c>
      <c r="E703" s="192" t="s">
        <v>816</v>
      </c>
      <c r="F703" s="192" t="s">
        <v>817</v>
      </c>
      <c r="G703" s="192">
        <v>0.55000001192092896</v>
      </c>
      <c r="H703" s="192" t="s">
        <v>818</v>
      </c>
      <c r="I703" s="192">
        <v>1</v>
      </c>
      <c r="J703" s="192">
        <f>VLOOKUP($B703,'RBSA Weights'!$A$2:$C$1406,3,FALSE)</f>
        <v>1192.4649999999999</v>
      </c>
    </row>
    <row r="704" spans="1:10">
      <c r="A704" s="192">
        <v>161361</v>
      </c>
      <c r="B704" s="192">
        <v>20593</v>
      </c>
      <c r="C704" s="192" t="s">
        <v>815</v>
      </c>
      <c r="D704" s="192">
        <v>281</v>
      </c>
      <c r="E704" s="192" t="s">
        <v>816</v>
      </c>
      <c r="F704" s="192" t="s">
        <v>817</v>
      </c>
      <c r="G704" s="192">
        <v>0.44999998807907104</v>
      </c>
      <c r="H704" s="192" t="s">
        <v>818</v>
      </c>
      <c r="I704" s="192">
        <v>1</v>
      </c>
      <c r="J704" s="192">
        <f>VLOOKUP($B704,'RBSA Weights'!$A$2:$C$1406,3,FALSE)</f>
        <v>2130.886</v>
      </c>
    </row>
    <row r="705" spans="1:10">
      <c r="A705" s="192">
        <v>77092</v>
      </c>
      <c r="B705" s="192">
        <v>20595</v>
      </c>
      <c r="C705" s="192" t="s">
        <v>815</v>
      </c>
      <c r="D705" s="192">
        <v>164</v>
      </c>
      <c r="E705" s="192" t="s">
        <v>816</v>
      </c>
      <c r="F705" s="192" t="s">
        <v>820</v>
      </c>
      <c r="G705" s="192">
        <v>0.80000001192092896</v>
      </c>
      <c r="H705" s="192" t="s">
        <v>820</v>
      </c>
      <c r="I705" s="192">
        <v>1</v>
      </c>
      <c r="J705" s="192">
        <f>VLOOKUP($B705,'RBSA Weights'!$A$2:$C$1406,3,FALSE)</f>
        <v>1192.4649999999999</v>
      </c>
    </row>
    <row r="706" spans="1:10">
      <c r="A706" s="192">
        <v>181165</v>
      </c>
      <c r="B706" s="192">
        <v>20601</v>
      </c>
      <c r="C706" s="192" t="s">
        <v>815</v>
      </c>
      <c r="D706" s="192">
        <v>161</v>
      </c>
      <c r="E706" s="192" t="s">
        <v>819</v>
      </c>
      <c r="F706" s="192" t="s">
        <v>821</v>
      </c>
      <c r="G706" s="192">
        <v>0.75</v>
      </c>
      <c r="H706" s="192" t="s">
        <v>821</v>
      </c>
      <c r="I706" s="192">
        <v>1</v>
      </c>
      <c r="J706" s="192">
        <f>VLOOKUP($B706,'RBSA Weights'!$A$2:$C$1406,3,FALSE)</f>
        <v>2130.886</v>
      </c>
    </row>
    <row r="707" spans="1:10">
      <c r="A707" s="192">
        <v>167768</v>
      </c>
      <c r="B707" s="192">
        <v>20603</v>
      </c>
      <c r="C707" s="192" t="s">
        <v>815</v>
      </c>
      <c r="D707" s="192">
        <v>418</v>
      </c>
      <c r="E707" s="192" t="s">
        <v>816</v>
      </c>
      <c r="F707" s="192" t="s">
        <v>818</v>
      </c>
      <c r="G707" s="192">
        <v>0.60000002384185791</v>
      </c>
      <c r="H707" s="192" t="s">
        <v>818</v>
      </c>
      <c r="I707" s="192">
        <v>1</v>
      </c>
      <c r="J707" s="192">
        <f>VLOOKUP($B707,'RBSA Weights'!$A$2:$C$1406,3,FALSE)</f>
        <v>1192.4649999999999</v>
      </c>
    </row>
    <row r="708" spans="1:10">
      <c r="A708" s="192">
        <v>202110</v>
      </c>
      <c r="B708" s="192">
        <v>20606</v>
      </c>
      <c r="C708" s="192" t="s">
        <v>815</v>
      </c>
      <c r="D708" s="192">
        <v>264</v>
      </c>
      <c r="E708" s="192" t="s">
        <v>816</v>
      </c>
      <c r="F708" s="192" t="s">
        <v>817</v>
      </c>
      <c r="G708" s="192">
        <v>0.44999998807907104</v>
      </c>
      <c r="H708" s="192" t="s">
        <v>818</v>
      </c>
      <c r="I708" s="192">
        <v>1</v>
      </c>
      <c r="J708" s="192">
        <f>VLOOKUP($B708,'RBSA Weights'!$A$2:$C$1406,3,FALSE)</f>
        <v>1612.692</v>
      </c>
    </row>
    <row r="709" spans="1:10">
      <c r="A709" s="192">
        <v>726805</v>
      </c>
      <c r="B709" s="192">
        <v>20612</v>
      </c>
      <c r="C709" s="192" t="s">
        <v>815</v>
      </c>
      <c r="D709" s="192">
        <v>306</v>
      </c>
      <c r="E709" s="192" t="s">
        <v>816</v>
      </c>
      <c r="F709" s="192" t="s">
        <v>817</v>
      </c>
      <c r="G709" s="192">
        <v>0.44999998807907104</v>
      </c>
      <c r="H709" s="192" t="s">
        <v>818</v>
      </c>
      <c r="I709" s="192">
        <v>1</v>
      </c>
      <c r="J709" s="192">
        <f>VLOOKUP($B709,'RBSA Weights'!$A$2:$C$1406,3,FALSE)</f>
        <v>2079.9929999999999</v>
      </c>
    </row>
    <row r="710" spans="1:10">
      <c r="A710" s="192">
        <v>112056</v>
      </c>
      <c r="B710" s="192">
        <v>20613</v>
      </c>
      <c r="C710" s="192" t="s">
        <v>815</v>
      </c>
      <c r="D710" s="192">
        <v>372</v>
      </c>
      <c r="E710" s="192" t="s">
        <v>816</v>
      </c>
      <c r="F710" s="192" t="s">
        <v>817</v>
      </c>
      <c r="G710" s="192">
        <v>0.55000001192092896</v>
      </c>
      <c r="H710" s="192" t="s">
        <v>818</v>
      </c>
      <c r="I710" s="192">
        <v>1</v>
      </c>
      <c r="J710" s="192">
        <f>VLOOKUP($B710,'RBSA Weights'!$A$2:$C$1406,3,FALSE)</f>
        <v>1904.288</v>
      </c>
    </row>
    <row r="711" spans="1:10">
      <c r="A711" s="192">
        <v>165637</v>
      </c>
      <c r="B711" s="192">
        <v>20618</v>
      </c>
      <c r="C711" s="192" t="s">
        <v>815</v>
      </c>
      <c r="D711" s="192">
        <v>126</v>
      </c>
      <c r="E711" s="192" t="s">
        <v>816</v>
      </c>
      <c r="F711" s="192" t="s">
        <v>817</v>
      </c>
      <c r="G711" s="192">
        <v>0.44999998807907104</v>
      </c>
      <c r="H711" s="192" t="s">
        <v>818</v>
      </c>
      <c r="I711" s="192">
        <v>1</v>
      </c>
      <c r="J711" s="192">
        <f>VLOOKUP($B711,'RBSA Weights'!$A$2:$C$1406,3,FALSE)</f>
        <v>1612.692</v>
      </c>
    </row>
    <row r="712" spans="1:10">
      <c r="A712" s="192">
        <v>133820</v>
      </c>
      <c r="B712" s="192">
        <v>20619</v>
      </c>
      <c r="C712" s="192" t="s">
        <v>815</v>
      </c>
      <c r="D712" s="192">
        <v>233</v>
      </c>
      <c r="E712" s="192" t="s">
        <v>816</v>
      </c>
      <c r="F712" s="192" t="s">
        <v>817</v>
      </c>
      <c r="G712" s="192">
        <v>0.55000001192092896</v>
      </c>
      <c r="H712" s="192" t="s">
        <v>818</v>
      </c>
      <c r="I712" s="192">
        <v>1</v>
      </c>
      <c r="J712" s="192">
        <f>VLOOKUP($B712,'RBSA Weights'!$A$2:$C$1406,3,FALSE)</f>
        <v>2079.9929999999999</v>
      </c>
    </row>
    <row r="713" spans="1:10">
      <c r="A713" s="192">
        <v>121726</v>
      </c>
      <c r="B713" s="192">
        <v>20626</v>
      </c>
      <c r="C713" s="192" t="s">
        <v>815</v>
      </c>
      <c r="D713" s="192">
        <v>330</v>
      </c>
      <c r="E713" s="192" t="s">
        <v>816</v>
      </c>
      <c r="F713" s="192" t="s">
        <v>817</v>
      </c>
      <c r="G713" s="192">
        <v>0.44999998807907104</v>
      </c>
      <c r="H713" s="192" t="s">
        <v>818</v>
      </c>
      <c r="I713" s="192">
        <v>1</v>
      </c>
      <c r="J713" s="192">
        <f>VLOOKUP($B713,'RBSA Weights'!$A$2:$C$1406,3,FALSE)</f>
        <v>1904.288</v>
      </c>
    </row>
    <row r="714" spans="1:10">
      <c r="A714" s="192">
        <v>193038</v>
      </c>
      <c r="B714" s="192">
        <v>20632</v>
      </c>
      <c r="C714" s="192" t="s">
        <v>815</v>
      </c>
      <c r="D714" s="192">
        <v>273</v>
      </c>
      <c r="E714" s="192" t="s">
        <v>816</v>
      </c>
      <c r="F714" s="192" t="s">
        <v>820</v>
      </c>
      <c r="G714" s="192">
        <v>0.85000002384185791</v>
      </c>
      <c r="H714" s="192" t="s">
        <v>820</v>
      </c>
      <c r="I714" s="192">
        <v>1</v>
      </c>
      <c r="J714" s="192">
        <f>VLOOKUP($B714,'RBSA Weights'!$A$2:$C$1406,3,FALSE)</f>
        <v>1192.4649999999999</v>
      </c>
    </row>
    <row r="715" spans="1:10">
      <c r="A715" s="192">
        <v>202611</v>
      </c>
      <c r="B715" s="192">
        <v>20635</v>
      </c>
      <c r="C715" s="192" t="s">
        <v>815</v>
      </c>
      <c r="D715" s="192">
        <v>194</v>
      </c>
      <c r="E715" s="192" t="s">
        <v>816</v>
      </c>
      <c r="F715" s="192" t="s">
        <v>818</v>
      </c>
      <c r="G715" s="192">
        <v>0.60000002384185791</v>
      </c>
      <c r="H715" s="192" t="s">
        <v>818</v>
      </c>
      <c r="I715" s="192">
        <v>1</v>
      </c>
      <c r="J715" s="192">
        <f>VLOOKUP($B715,'RBSA Weights'!$A$2:$C$1406,3,FALSE)</f>
        <v>2130.886</v>
      </c>
    </row>
    <row r="716" spans="1:10">
      <c r="A716" s="192">
        <v>232411</v>
      </c>
      <c r="B716" s="192">
        <v>20646</v>
      </c>
      <c r="C716" s="192" t="s">
        <v>815</v>
      </c>
      <c r="D716" s="192">
        <v>84</v>
      </c>
      <c r="E716" s="192" t="s">
        <v>816</v>
      </c>
      <c r="F716" s="192" t="s">
        <v>821</v>
      </c>
      <c r="G716" s="192">
        <v>0.94999998807907104</v>
      </c>
      <c r="H716" s="192" t="s">
        <v>821</v>
      </c>
      <c r="I716" s="192">
        <v>1</v>
      </c>
      <c r="J716" s="192">
        <f>VLOOKUP($B716,'RBSA Weights'!$A$2:$C$1406,3,FALSE)</f>
        <v>1904.288</v>
      </c>
    </row>
    <row r="717" spans="1:10">
      <c r="A717" s="192">
        <v>88467</v>
      </c>
      <c r="B717" s="192">
        <v>20650</v>
      </c>
      <c r="C717" s="192" t="s">
        <v>815</v>
      </c>
      <c r="D717" s="192">
        <v>81</v>
      </c>
      <c r="E717" s="192" t="s">
        <v>816</v>
      </c>
      <c r="F717" s="192" t="s">
        <v>817</v>
      </c>
      <c r="G717" s="192">
        <v>0.55000001192092896</v>
      </c>
      <c r="H717" s="192" t="s">
        <v>818</v>
      </c>
      <c r="I717" s="192">
        <v>1</v>
      </c>
      <c r="J717" s="192">
        <f>VLOOKUP($B717,'RBSA Weights'!$A$2:$C$1406,3,FALSE)</f>
        <v>1925.059</v>
      </c>
    </row>
    <row r="718" spans="1:10">
      <c r="A718" s="192">
        <v>194616</v>
      </c>
      <c r="B718" s="192">
        <v>20671</v>
      </c>
      <c r="C718" s="192" t="s">
        <v>815</v>
      </c>
      <c r="D718" s="192">
        <v>40</v>
      </c>
      <c r="E718" s="192" t="s">
        <v>816</v>
      </c>
      <c r="F718" s="192" t="s">
        <v>817</v>
      </c>
      <c r="G718" s="192">
        <v>0.44999998807907104</v>
      </c>
      <c r="H718" s="192" t="s">
        <v>818</v>
      </c>
      <c r="I718" s="192">
        <v>1</v>
      </c>
      <c r="J718" s="192">
        <f>VLOOKUP($B718,'RBSA Weights'!$A$2:$C$1406,3,FALSE)</f>
        <v>8264.9449999999997</v>
      </c>
    </row>
    <row r="719" spans="1:10">
      <c r="A719" s="192">
        <v>233537</v>
      </c>
      <c r="B719" s="192">
        <v>20685</v>
      </c>
      <c r="C719" s="192" t="s">
        <v>815</v>
      </c>
      <c r="D719" s="192">
        <v>228</v>
      </c>
      <c r="E719" s="192" t="s">
        <v>816</v>
      </c>
      <c r="F719" s="192" t="s">
        <v>817</v>
      </c>
      <c r="G719" s="192">
        <v>0.55000001192092896</v>
      </c>
      <c r="H719" s="192" t="s">
        <v>818</v>
      </c>
      <c r="I719" s="192">
        <v>1</v>
      </c>
      <c r="J719" s="192">
        <f>VLOOKUP($B719,'RBSA Weights'!$A$2:$C$1406,3,FALSE)</f>
        <v>3785.7640000000001</v>
      </c>
    </row>
    <row r="720" spans="1:10">
      <c r="A720" s="192">
        <v>106293</v>
      </c>
      <c r="B720" s="192">
        <v>20688</v>
      </c>
      <c r="C720" s="192" t="s">
        <v>815</v>
      </c>
      <c r="D720" s="192">
        <v>151</v>
      </c>
      <c r="E720" s="192" t="s">
        <v>816</v>
      </c>
      <c r="F720" s="192" t="s">
        <v>818</v>
      </c>
      <c r="G720" s="192">
        <v>0.60000002384185791</v>
      </c>
      <c r="H720" s="192" t="s">
        <v>818</v>
      </c>
      <c r="I720" s="192">
        <v>1</v>
      </c>
      <c r="J720" s="192">
        <f>VLOOKUP($B720,'RBSA Weights'!$A$2:$C$1406,3,FALSE)</f>
        <v>3785.7640000000001</v>
      </c>
    </row>
    <row r="721" spans="1:10">
      <c r="A721" s="192">
        <v>242006</v>
      </c>
      <c r="B721" s="192">
        <v>20702</v>
      </c>
      <c r="C721" s="192" t="s">
        <v>815</v>
      </c>
      <c r="D721" s="192">
        <v>152</v>
      </c>
      <c r="E721" s="192" t="s">
        <v>816</v>
      </c>
      <c r="F721" s="192" t="s">
        <v>818</v>
      </c>
      <c r="G721" s="192">
        <v>0.55000001192092896</v>
      </c>
      <c r="H721" s="192" t="s">
        <v>818</v>
      </c>
      <c r="I721" s="192">
        <v>1</v>
      </c>
      <c r="J721" s="192">
        <f>VLOOKUP($B721,'RBSA Weights'!$A$2:$C$1406,3,FALSE)</f>
        <v>2130.886</v>
      </c>
    </row>
    <row r="722" spans="1:10">
      <c r="A722" s="192">
        <v>112331</v>
      </c>
      <c r="B722" s="192">
        <v>20707</v>
      </c>
      <c r="C722" s="192" t="s">
        <v>815</v>
      </c>
      <c r="D722" s="192">
        <v>98</v>
      </c>
      <c r="E722" s="192" t="s">
        <v>816</v>
      </c>
      <c r="F722" s="192" t="s">
        <v>818</v>
      </c>
      <c r="G722" s="192">
        <v>0.60000002384185791</v>
      </c>
      <c r="H722" s="192" t="s">
        <v>818</v>
      </c>
      <c r="I722" s="192">
        <v>1</v>
      </c>
      <c r="J722" s="192">
        <f>VLOOKUP($B722,'RBSA Weights'!$A$2:$C$1406,3,FALSE)</f>
        <v>3785.7640000000001</v>
      </c>
    </row>
    <row r="723" spans="1:10">
      <c r="A723" s="192">
        <v>46465</v>
      </c>
      <c r="B723" s="192">
        <v>20712</v>
      </c>
      <c r="C723" s="192" t="s">
        <v>815</v>
      </c>
      <c r="D723" s="192">
        <v>420</v>
      </c>
      <c r="E723" s="192" t="s">
        <v>816</v>
      </c>
      <c r="F723" s="192" t="s">
        <v>818</v>
      </c>
      <c r="G723" s="192">
        <v>0.55000001192092896</v>
      </c>
      <c r="H723" s="192" t="s">
        <v>818</v>
      </c>
      <c r="I723" s="192">
        <v>1</v>
      </c>
      <c r="J723" s="192">
        <f>VLOOKUP($B723,'RBSA Weights'!$A$2:$C$1406,3,FALSE)</f>
        <v>2079.9929999999999</v>
      </c>
    </row>
    <row r="724" spans="1:10">
      <c r="A724" s="192">
        <v>68795</v>
      </c>
      <c r="B724" s="192">
        <v>20716</v>
      </c>
      <c r="C724" s="192" t="s">
        <v>815</v>
      </c>
      <c r="D724" s="192">
        <v>141</v>
      </c>
      <c r="E724" s="192" t="s">
        <v>816</v>
      </c>
      <c r="F724" s="192" t="s">
        <v>818</v>
      </c>
      <c r="G724" s="192">
        <v>0.60000002384185791</v>
      </c>
      <c r="H724" s="192" t="s">
        <v>818</v>
      </c>
      <c r="I724" s="192">
        <v>1</v>
      </c>
      <c r="J724" s="192">
        <f>VLOOKUP($B724,'RBSA Weights'!$A$2:$C$1406,3,FALSE)</f>
        <v>1144.6790000000001</v>
      </c>
    </row>
    <row r="725" spans="1:10">
      <c r="A725" s="192">
        <v>199893</v>
      </c>
      <c r="B725" s="192">
        <v>20746</v>
      </c>
      <c r="C725" s="192" t="s">
        <v>815</v>
      </c>
      <c r="D725" s="192">
        <v>362</v>
      </c>
      <c r="E725" s="192" t="s">
        <v>816</v>
      </c>
      <c r="F725" s="192" t="s">
        <v>817</v>
      </c>
      <c r="G725" s="192">
        <v>0.44999998807907104</v>
      </c>
      <c r="H725" s="192" t="s">
        <v>818</v>
      </c>
      <c r="I725" s="192">
        <v>1</v>
      </c>
      <c r="J725" s="192">
        <f>VLOOKUP($B725,'RBSA Weights'!$A$2:$C$1406,3,FALSE)</f>
        <v>2130.886</v>
      </c>
    </row>
    <row r="726" spans="1:10">
      <c r="A726" s="192">
        <v>134922</v>
      </c>
      <c r="B726" s="192">
        <v>20748</v>
      </c>
      <c r="C726" s="192" t="s">
        <v>815</v>
      </c>
      <c r="D726" s="192">
        <v>259</v>
      </c>
      <c r="E726" s="192" t="s">
        <v>816</v>
      </c>
      <c r="F726" s="192" t="s">
        <v>817</v>
      </c>
      <c r="G726" s="192">
        <v>0.44999998807907104</v>
      </c>
      <c r="H726" s="192" t="s">
        <v>818</v>
      </c>
      <c r="I726" s="192">
        <v>1</v>
      </c>
      <c r="J726" s="192">
        <f>VLOOKUP($B726,'RBSA Weights'!$A$2:$C$1406,3,FALSE)</f>
        <v>1192.4649999999999</v>
      </c>
    </row>
    <row r="727" spans="1:10">
      <c r="A727" s="192">
        <v>234575</v>
      </c>
      <c r="B727" s="192">
        <v>20753</v>
      </c>
      <c r="C727" s="192" t="s">
        <v>815</v>
      </c>
      <c r="D727" s="192">
        <v>186</v>
      </c>
      <c r="E727" s="192" t="s">
        <v>816</v>
      </c>
      <c r="F727" s="192" t="s">
        <v>817</v>
      </c>
      <c r="G727" s="192">
        <v>0.55000001192092896</v>
      </c>
      <c r="H727" s="192" t="s">
        <v>818</v>
      </c>
      <c r="I727" s="192">
        <v>1</v>
      </c>
      <c r="J727" s="192">
        <f>VLOOKUP($B727,'RBSA Weights'!$A$2:$C$1406,3,FALSE)</f>
        <v>3785.7640000000001</v>
      </c>
    </row>
    <row r="728" spans="1:10">
      <c r="A728" s="192">
        <v>208176</v>
      </c>
      <c r="B728" s="192">
        <v>20758</v>
      </c>
      <c r="C728" s="192" t="s">
        <v>815</v>
      </c>
      <c r="D728" s="192">
        <v>175</v>
      </c>
      <c r="E728" s="192" t="s">
        <v>816</v>
      </c>
      <c r="F728" s="192" t="s">
        <v>818</v>
      </c>
      <c r="G728" s="192">
        <v>0.60000002384185791</v>
      </c>
      <c r="H728" s="192" t="s">
        <v>818</v>
      </c>
      <c r="I728" s="192">
        <v>1</v>
      </c>
      <c r="J728" s="192">
        <f>VLOOKUP($B728,'RBSA Weights'!$A$2:$C$1406,3,FALSE)</f>
        <v>1904.288</v>
      </c>
    </row>
    <row r="729" spans="1:10">
      <c r="A729" s="192">
        <v>124958</v>
      </c>
      <c r="B729" s="192">
        <v>20770</v>
      </c>
      <c r="C729" s="192" t="s">
        <v>815</v>
      </c>
      <c r="D729" s="192">
        <v>198</v>
      </c>
      <c r="E729" s="192" t="s">
        <v>816</v>
      </c>
      <c r="F729" s="192" t="s">
        <v>817</v>
      </c>
      <c r="G729" s="192">
        <v>0.44999998807907104</v>
      </c>
      <c r="H729" s="192" t="s">
        <v>818</v>
      </c>
      <c r="I729" s="192">
        <v>1</v>
      </c>
      <c r="J729" s="192">
        <f>VLOOKUP($B729,'RBSA Weights'!$A$2:$C$1406,3,FALSE)</f>
        <v>2079.9929999999999</v>
      </c>
    </row>
    <row r="730" spans="1:10">
      <c r="A730" s="192">
        <v>683571</v>
      </c>
      <c r="B730" s="192">
        <v>20775</v>
      </c>
      <c r="C730" s="192" t="s">
        <v>815</v>
      </c>
      <c r="D730" s="192">
        <v>577</v>
      </c>
      <c r="E730" s="192" t="s">
        <v>816</v>
      </c>
      <c r="F730" s="192" t="s">
        <v>817</v>
      </c>
      <c r="G730" s="192">
        <v>0.55000001192092896</v>
      </c>
      <c r="H730" s="192" t="s">
        <v>818</v>
      </c>
      <c r="I730" s="192">
        <v>1</v>
      </c>
      <c r="J730" s="192">
        <f>VLOOKUP($B730,'RBSA Weights'!$A$2:$C$1406,3,FALSE)</f>
        <v>2130.886</v>
      </c>
    </row>
    <row r="731" spans="1:10">
      <c r="A731" s="192">
        <v>81264</v>
      </c>
      <c r="B731" s="192">
        <v>20777</v>
      </c>
      <c r="C731" s="192" t="s">
        <v>815</v>
      </c>
      <c r="D731" s="192">
        <v>240</v>
      </c>
      <c r="E731" s="192" t="s">
        <v>816</v>
      </c>
      <c r="F731" s="192" t="s">
        <v>817</v>
      </c>
      <c r="G731" s="192">
        <v>0.55000001192092896</v>
      </c>
      <c r="H731" s="192" t="s">
        <v>818</v>
      </c>
      <c r="I731" s="192">
        <v>1</v>
      </c>
      <c r="J731" s="192">
        <f>VLOOKUP($B731,'RBSA Weights'!$A$2:$C$1406,3,FALSE)</f>
        <v>2079.9929999999999</v>
      </c>
    </row>
    <row r="732" spans="1:10">
      <c r="A732" s="192">
        <v>86827</v>
      </c>
      <c r="B732" s="192">
        <v>20778</v>
      </c>
      <c r="C732" s="192" t="s">
        <v>815</v>
      </c>
      <c r="D732" s="192">
        <v>317</v>
      </c>
      <c r="E732" s="192" t="s">
        <v>816</v>
      </c>
      <c r="F732" s="192" t="s">
        <v>818</v>
      </c>
      <c r="G732" s="192">
        <v>0.60000002384185791</v>
      </c>
      <c r="H732" s="192" t="s">
        <v>818</v>
      </c>
      <c r="I732" s="192">
        <v>1</v>
      </c>
      <c r="J732" s="192">
        <f>VLOOKUP($B732,'RBSA Weights'!$A$2:$C$1406,3,FALSE)</f>
        <v>1144.6790000000001</v>
      </c>
    </row>
    <row r="733" spans="1:10">
      <c r="A733" s="192">
        <v>125563</v>
      </c>
      <c r="B733" s="192">
        <v>20779</v>
      </c>
      <c r="C733" s="192" t="s">
        <v>815</v>
      </c>
      <c r="D733" s="192">
        <v>318</v>
      </c>
      <c r="E733" s="192" t="s">
        <v>816</v>
      </c>
      <c r="F733" s="192" t="s">
        <v>817</v>
      </c>
      <c r="G733" s="192">
        <v>0.55000001192092896</v>
      </c>
      <c r="H733" s="192" t="s">
        <v>818</v>
      </c>
      <c r="I733" s="192">
        <v>1</v>
      </c>
      <c r="J733" s="192">
        <f>VLOOKUP($B733,'RBSA Weights'!$A$2:$C$1406,3,FALSE)</f>
        <v>2079.9929999999999</v>
      </c>
    </row>
    <row r="734" spans="1:10">
      <c r="A734" s="192">
        <v>100226</v>
      </c>
      <c r="B734" s="192">
        <v>20783</v>
      </c>
      <c r="C734" s="192" t="s">
        <v>815</v>
      </c>
      <c r="D734" s="192">
        <v>90</v>
      </c>
      <c r="E734" s="192" t="s">
        <v>819</v>
      </c>
      <c r="F734" s="192" t="s">
        <v>821</v>
      </c>
      <c r="G734" s="192">
        <v>0.75</v>
      </c>
      <c r="H734" s="192" t="s">
        <v>821</v>
      </c>
      <c r="I734" s="192">
        <v>1</v>
      </c>
      <c r="J734" s="192">
        <f>VLOOKUP($B734,'RBSA Weights'!$A$2:$C$1406,3,FALSE)</f>
        <v>1144.6790000000001</v>
      </c>
    </row>
    <row r="735" spans="1:10">
      <c r="A735" s="192">
        <v>147242</v>
      </c>
      <c r="B735" s="192">
        <v>20792</v>
      </c>
      <c r="C735" s="192" t="s">
        <v>815</v>
      </c>
      <c r="D735" s="192">
        <v>199</v>
      </c>
      <c r="E735" s="192" t="s">
        <v>819</v>
      </c>
      <c r="F735" s="192" t="s">
        <v>820</v>
      </c>
      <c r="G735" s="192">
        <v>0.75</v>
      </c>
      <c r="H735" s="192" t="s">
        <v>820</v>
      </c>
      <c r="I735" s="192">
        <v>1</v>
      </c>
      <c r="J735" s="192">
        <f>VLOOKUP($B735,'RBSA Weights'!$A$2:$C$1406,3,FALSE)</f>
        <v>1192.4649999999999</v>
      </c>
    </row>
    <row r="736" spans="1:10">
      <c r="A736" s="192">
        <v>682943</v>
      </c>
      <c r="B736" s="192">
        <v>20807</v>
      </c>
      <c r="C736" s="192" t="s">
        <v>815</v>
      </c>
      <c r="D736" s="192">
        <v>193</v>
      </c>
      <c r="E736" s="192" t="s">
        <v>816</v>
      </c>
      <c r="F736" s="192" t="s">
        <v>817</v>
      </c>
      <c r="G736" s="192">
        <v>0.44999998807907104</v>
      </c>
      <c r="H736" s="192" t="s">
        <v>818</v>
      </c>
      <c r="I736" s="192">
        <v>1</v>
      </c>
      <c r="J736" s="192">
        <f>VLOOKUP($B736,'RBSA Weights'!$A$2:$C$1406,3,FALSE)</f>
        <v>12271.31</v>
      </c>
    </row>
    <row r="737" spans="1:10">
      <c r="A737" s="192">
        <v>75979</v>
      </c>
      <c r="B737" s="192">
        <v>20808</v>
      </c>
      <c r="C737" s="192" t="s">
        <v>815</v>
      </c>
      <c r="D737" s="192">
        <v>176</v>
      </c>
      <c r="E737" s="192" t="s">
        <v>816</v>
      </c>
      <c r="F737" s="192" t="s">
        <v>817</v>
      </c>
      <c r="G737" s="192">
        <v>0.44999998807907104</v>
      </c>
      <c r="H737" s="192" t="s">
        <v>818</v>
      </c>
      <c r="I737" s="192">
        <v>1</v>
      </c>
      <c r="J737" s="192">
        <f>VLOOKUP($B737,'RBSA Weights'!$A$2:$C$1406,3,FALSE)</f>
        <v>3785.7640000000001</v>
      </c>
    </row>
    <row r="738" spans="1:10">
      <c r="A738" s="192">
        <v>148515</v>
      </c>
      <c r="B738" s="192">
        <v>20809</v>
      </c>
      <c r="C738" s="192" t="s">
        <v>815</v>
      </c>
      <c r="D738" s="192">
        <v>154</v>
      </c>
      <c r="E738" s="192" t="s">
        <v>816</v>
      </c>
      <c r="F738" s="192" t="s">
        <v>820</v>
      </c>
      <c r="G738" s="192">
        <v>0.85000002384185791</v>
      </c>
      <c r="H738" s="192" t="s">
        <v>820</v>
      </c>
      <c r="I738" s="192">
        <v>1</v>
      </c>
      <c r="J738" s="192">
        <f>VLOOKUP($B738,'RBSA Weights'!$A$2:$C$1406,3,FALSE)</f>
        <v>1192.4649999999999</v>
      </c>
    </row>
    <row r="739" spans="1:10">
      <c r="A739" s="192">
        <v>126877</v>
      </c>
      <c r="B739" s="192">
        <v>20814</v>
      </c>
      <c r="C739" s="192" t="s">
        <v>815</v>
      </c>
      <c r="D739" s="192">
        <v>174</v>
      </c>
      <c r="E739" s="192" t="s">
        <v>816</v>
      </c>
      <c r="F739" s="192" t="s">
        <v>818</v>
      </c>
      <c r="G739" s="192">
        <v>0.60000002384185791</v>
      </c>
      <c r="H739" s="192" t="s">
        <v>818</v>
      </c>
      <c r="I739" s="192">
        <v>1</v>
      </c>
      <c r="J739" s="192">
        <f>VLOOKUP($B739,'RBSA Weights'!$A$2:$C$1406,3,FALSE)</f>
        <v>2079.9929999999999</v>
      </c>
    </row>
    <row r="740" spans="1:10">
      <c r="A740" s="192">
        <v>71256</v>
      </c>
      <c r="B740" s="192">
        <v>20817</v>
      </c>
      <c r="C740" s="192" t="s">
        <v>815</v>
      </c>
      <c r="D740" s="192">
        <v>236</v>
      </c>
      <c r="E740" s="192" t="s">
        <v>816</v>
      </c>
      <c r="F740" s="192" t="s">
        <v>817</v>
      </c>
      <c r="G740" s="192">
        <v>0.44999998807907104</v>
      </c>
      <c r="H740" s="192" t="s">
        <v>818</v>
      </c>
      <c r="I740" s="192">
        <v>1</v>
      </c>
      <c r="J740" s="192">
        <f>VLOOKUP($B740,'RBSA Weights'!$A$2:$C$1406,3,FALSE)</f>
        <v>2079.9929999999999</v>
      </c>
    </row>
    <row r="741" spans="1:10">
      <c r="A741" s="192">
        <v>178152</v>
      </c>
      <c r="B741" s="192">
        <v>20819</v>
      </c>
      <c r="C741" s="192" t="s">
        <v>815</v>
      </c>
      <c r="D741" s="192">
        <v>198</v>
      </c>
      <c r="E741" s="192" t="s">
        <v>816</v>
      </c>
      <c r="F741" s="192" t="s">
        <v>817</v>
      </c>
      <c r="G741" s="192">
        <v>0.55000001192092896</v>
      </c>
      <c r="H741" s="192" t="s">
        <v>818</v>
      </c>
      <c r="I741" s="192">
        <v>1</v>
      </c>
      <c r="J741" s="192">
        <f>VLOOKUP($B741,'RBSA Weights'!$A$2:$C$1406,3,FALSE)</f>
        <v>1192.4649999999999</v>
      </c>
    </row>
    <row r="742" spans="1:10">
      <c r="A742" s="192">
        <v>186618</v>
      </c>
      <c r="B742" s="192">
        <v>20825</v>
      </c>
      <c r="C742" s="192" t="s">
        <v>815</v>
      </c>
      <c r="D742" s="192">
        <v>146</v>
      </c>
      <c r="E742" s="192" t="s">
        <v>816</v>
      </c>
      <c r="F742" s="192" t="s">
        <v>817</v>
      </c>
      <c r="G742" s="192">
        <v>0.44999998807907104</v>
      </c>
      <c r="H742" s="192" t="s">
        <v>818</v>
      </c>
      <c r="I742" s="192">
        <v>1</v>
      </c>
      <c r="J742" s="192">
        <f>VLOOKUP($B742,'RBSA Weights'!$A$2:$C$1406,3,FALSE)</f>
        <v>2079.9929999999999</v>
      </c>
    </row>
    <row r="743" spans="1:10">
      <c r="A743" s="192">
        <v>220710</v>
      </c>
      <c r="B743" s="192">
        <v>20839</v>
      </c>
      <c r="C743" s="192" t="s">
        <v>815</v>
      </c>
      <c r="D743" s="192">
        <v>359</v>
      </c>
      <c r="E743" s="192" t="s">
        <v>816</v>
      </c>
      <c r="F743" s="192" t="s">
        <v>817</v>
      </c>
      <c r="G743" s="192">
        <v>0.44999998807907104</v>
      </c>
      <c r="H743" s="192" t="s">
        <v>818</v>
      </c>
      <c r="I743" s="192">
        <v>1</v>
      </c>
      <c r="J743" s="192">
        <f>VLOOKUP($B743,'RBSA Weights'!$A$2:$C$1406,3,FALSE)</f>
        <v>1904.288</v>
      </c>
    </row>
    <row r="744" spans="1:10">
      <c r="A744" s="192">
        <v>187724</v>
      </c>
      <c r="B744" s="192">
        <v>20853</v>
      </c>
      <c r="C744" s="192" t="s">
        <v>815</v>
      </c>
      <c r="D744" s="192">
        <v>398</v>
      </c>
      <c r="E744" s="192" t="s">
        <v>816</v>
      </c>
      <c r="F744" s="192" t="s">
        <v>822</v>
      </c>
      <c r="G744" s="192">
        <v>0.75</v>
      </c>
      <c r="H744" s="192" t="s">
        <v>820</v>
      </c>
      <c r="I744" s="192">
        <v>1</v>
      </c>
      <c r="J744" s="192">
        <f>VLOOKUP($B744,'RBSA Weights'!$A$2:$C$1406,3,FALSE)</f>
        <v>1612.692</v>
      </c>
    </row>
    <row r="745" spans="1:10">
      <c r="A745" s="192">
        <v>66384</v>
      </c>
      <c r="B745" s="192">
        <v>20859</v>
      </c>
      <c r="C745" s="192" t="s">
        <v>815</v>
      </c>
      <c r="D745" s="192">
        <v>110</v>
      </c>
      <c r="E745" s="192" t="s">
        <v>816</v>
      </c>
      <c r="F745" s="192" t="s">
        <v>817</v>
      </c>
      <c r="G745" s="192">
        <v>0.55000001192092896</v>
      </c>
      <c r="H745" s="192" t="s">
        <v>818</v>
      </c>
      <c r="I745" s="192">
        <v>1</v>
      </c>
      <c r="J745" s="192">
        <f>VLOOKUP($B745,'RBSA Weights'!$A$2:$C$1406,3,FALSE)</f>
        <v>2079.9929999999999</v>
      </c>
    </row>
    <row r="746" spans="1:10">
      <c r="A746" s="192">
        <v>168833</v>
      </c>
      <c r="B746" s="192">
        <v>20861</v>
      </c>
      <c r="C746" s="192" t="s">
        <v>815</v>
      </c>
      <c r="D746" s="192">
        <v>106</v>
      </c>
      <c r="E746" s="192" t="s">
        <v>816</v>
      </c>
      <c r="F746" s="192" t="s">
        <v>817</v>
      </c>
      <c r="G746" s="192">
        <v>0.44999998807907104</v>
      </c>
      <c r="H746" s="192" t="s">
        <v>818</v>
      </c>
      <c r="I746" s="192">
        <v>1</v>
      </c>
      <c r="J746" s="192">
        <f>VLOOKUP($B746,'RBSA Weights'!$A$2:$C$1406,3,FALSE)</f>
        <v>2130.886</v>
      </c>
    </row>
    <row r="747" spans="1:10">
      <c r="A747" s="192">
        <v>200673</v>
      </c>
      <c r="B747" s="192">
        <v>20863</v>
      </c>
      <c r="C747" s="192" t="s">
        <v>815</v>
      </c>
      <c r="D747" s="192">
        <v>257</v>
      </c>
      <c r="E747" s="192" t="s">
        <v>816</v>
      </c>
      <c r="F747" s="192" t="s">
        <v>817</v>
      </c>
      <c r="G747" s="192">
        <v>0.55000001192092896</v>
      </c>
      <c r="H747" s="192" t="s">
        <v>818</v>
      </c>
      <c r="I747" s="192">
        <v>1</v>
      </c>
      <c r="J747" s="192">
        <f>VLOOKUP($B747,'RBSA Weights'!$A$2:$C$1406,3,FALSE)</f>
        <v>8559.1039999999994</v>
      </c>
    </row>
    <row r="748" spans="1:10">
      <c r="A748" s="192">
        <v>84208</v>
      </c>
      <c r="B748" s="192">
        <v>20878</v>
      </c>
      <c r="C748" s="192" t="s">
        <v>815</v>
      </c>
      <c r="D748" s="192">
        <v>272</v>
      </c>
      <c r="E748" s="192" t="s">
        <v>816</v>
      </c>
      <c r="F748" s="192" t="s">
        <v>822</v>
      </c>
      <c r="G748" s="192">
        <v>0.75</v>
      </c>
      <c r="H748" s="192" t="s">
        <v>820</v>
      </c>
      <c r="I748" s="192">
        <v>1</v>
      </c>
      <c r="J748" s="192">
        <f>VLOOKUP($B748,'RBSA Weights'!$A$2:$C$1406,3,FALSE)</f>
        <v>1904.288</v>
      </c>
    </row>
    <row r="749" spans="1:10">
      <c r="A749" s="192">
        <v>218974</v>
      </c>
      <c r="B749" s="192">
        <v>20894</v>
      </c>
      <c r="C749" s="192" t="s">
        <v>815</v>
      </c>
      <c r="D749" s="192">
        <v>116</v>
      </c>
      <c r="E749" s="192" t="s">
        <v>816</v>
      </c>
      <c r="F749" s="192" t="s">
        <v>817</v>
      </c>
      <c r="G749" s="192">
        <v>0.44999998807907104</v>
      </c>
      <c r="H749" s="192" t="s">
        <v>818</v>
      </c>
      <c r="I749" s="192">
        <v>1</v>
      </c>
      <c r="J749" s="192">
        <f>VLOOKUP($B749,'RBSA Weights'!$A$2:$C$1406,3,FALSE)</f>
        <v>2079.9929999999999</v>
      </c>
    </row>
    <row r="750" spans="1:10">
      <c r="A750" s="192">
        <v>114097</v>
      </c>
      <c r="B750" s="192">
        <v>20895</v>
      </c>
      <c r="C750" s="192" t="s">
        <v>815</v>
      </c>
      <c r="D750" s="192">
        <v>119</v>
      </c>
      <c r="E750" s="192" t="s">
        <v>816</v>
      </c>
      <c r="F750" s="192" t="s">
        <v>818</v>
      </c>
      <c r="G750" s="192">
        <v>0.60000002384185791</v>
      </c>
      <c r="H750" s="192" t="s">
        <v>818</v>
      </c>
      <c r="I750" s="192">
        <v>1</v>
      </c>
      <c r="J750" s="192">
        <f>VLOOKUP($B750,'RBSA Weights'!$A$2:$C$1406,3,FALSE)</f>
        <v>1612.692</v>
      </c>
    </row>
    <row r="751" spans="1:10">
      <c r="A751" s="192">
        <v>122390</v>
      </c>
      <c r="B751" s="192">
        <v>20902</v>
      </c>
      <c r="C751" s="192" t="s">
        <v>815</v>
      </c>
      <c r="D751" s="192">
        <v>294</v>
      </c>
      <c r="E751" s="192" t="s">
        <v>816</v>
      </c>
      <c r="F751" s="192" t="s">
        <v>818</v>
      </c>
      <c r="G751" s="192">
        <v>0.55000001192092896</v>
      </c>
      <c r="H751" s="192" t="s">
        <v>818</v>
      </c>
      <c r="I751" s="192">
        <v>1</v>
      </c>
      <c r="J751" s="192">
        <f>VLOOKUP($B751,'RBSA Weights'!$A$2:$C$1406,3,FALSE)</f>
        <v>2130.886</v>
      </c>
    </row>
    <row r="752" spans="1:10">
      <c r="A752" s="192">
        <v>165079</v>
      </c>
      <c r="B752" s="192">
        <v>20905</v>
      </c>
      <c r="C752" s="192" t="s">
        <v>815</v>
      </c>
      <c r="D752" s="192">
        <v>108</v>
      </c>
      <c r="E752" s="192" t="s">
        <v>816</v>
      </c>
      <c r="F752" s="192" t="s">
        <v>821</v>
      </c>
      <c r="G752" s="192">
        <v>0.94999998807907104</v>
      </c>
      <c r="H752" s="192" t="s">
        <v>821</v>
      </c>
      <c r="I752" s="192">
        <v>1</v>
      </c>
      <c r="J752" s="192">
        <f>VLOOKUP($B752,'RBSA Weights'!$A$2:$C$1406,3,FALSE)</f>
        <v>8264.9449999999997</v>
      </c>
    </row>
    <row r="753" spans="1:10">
      <c r="A753" s="192">
        <v>46575</v>
      </c>
      <c r="B753" s="192">
        <v>20920</v>
      </c>
      <c r="C753" s="192" t="s">
        <v>815</v>
      </c>
      <c r="D753" s="192">
        <v>142</v>
      </c>
      <c r="E753" s="192" t="s">
        <v>816</v>
      </c>
      <c r="F753" s="192" t="s">
        <v>820</v>
      </c>
      <c r="G753" s="192">
        <v>0.85000002384185791</v>
      </c>
      <c r="H753" s="192" t="s">
        <v>820</v>
      </c>
      <c r="I753" s="192">
        <v>1</v>
      </c>
      <c r="J753" s="192">
        <f>VLOOKUP($B753,'RBSA Weights'!$A$2:$C$1406,3,FALSE)</f>
        <v>2079.9929999999999</v>
      </c>
    </row>
    <row r="754" spans="1:10">
      <c r="A754" s="192">
        <v>74988</v>
      </c>
      <c r="B754" s="192">
        <v>20930</v>
      </c>
      <c r="C754" s="192" t="s">
        <v>815</v>
      </c>
      <c r="D754" s="192">
        <v>362</v>
      </c>
      <c r="E754" s="192" t="s">
        <v>816</v>
      </c>
      <c r="F754" s="192" t="s">
        <v>817</v>
      </c>
      <c r="G754" s="192">
        <v>0.55000001192092896</v>
      </c>
      <c r="H754" s="192" t="s">
        <v>818</v>
      </c>
      <c r="I754" s="192">
        <v>1</v>
      </c>
      <c r="J754" s="192">
        <f>VLOOKUP($B754,'RBSA Weights'!$A$2:$C$1406,3,FALSE)</f>
        <v>1904.288</v>
      </c>
    </row>
    <row r="755" spans="1:10">
      <c r="A755" s="192">
        <v>91974</v>
      </c>
      <c r="B755" s="192">
        <v>20936</v>
      </c>
      <c r="C755" s="192" t="s">
        <v>815</v>
      </c>
      <c r="D755" s="192">
        <v>243</v>
      </c>
      <c r="E755" s="192" t="s">
        <v>816</v>
      </c>
      <c r="F755" s="192" t="s">
        <v>818</v>
      </c>
      <c r="G755" s="192">
        <v>0.60000002384185791</v>
      </c>
      <c r="H755" s="192" t="s">
        <v>818</v>
      </c>
      <c r="I755" s="192">
        <v>1</v>
      </c>
      <c r="J755" s="192">
        <f>VLOOKUP($B755,'RBSA Weights'!$A$2:$C$1406,3,FALSE)</f>
        <v>1904.288</v>
      </c>
    </row>
    <row r="756" spans="1:10">
      <c r="A756" s="192">
        <v>217928</v>
      </c>
      <c r="B756" s="192">
        <v>20941</v>
      </c>
      <c r="C756" s="192" t="s">
        <v>815</v>
      </c>
      <c r="D756" s="192">
        <v>65</v>
      </c>
      <c r="E756" s="192" t="s">
        <v>816</v>
      </c>
      <c r="F756" s="192" t="s">
        <v>817</v>
      </c>
      <c r="G756" s="192">
        <v>0.44999998807907104</v>
      </c>
      <c r="H756" s="192" t="s">
        <v>818</v>
      </c>
      <c r="I756" s="192">
        <v>1</v>
      </c>
      <c r="J756" s="192">
        <f>VLOOKUP($B756,'RBSA Weights'!$A$2:$C$1406,3,FALSE)</f>
        <v>3785.7640000000001</v>
      </c>
    </row>
    <row r="757" spans="1:10">
      <c r="A757" s="192">
        <v>191041</v>
      </c>
      <c r="B757" s="192">
        <v>20946</v>
      </c>
      <c r="C757" s="192" t="s">
        <v>815</v>
      </c>
      <c r="D757" s="192">
        <v>235</v>
      </c>
      <c r="E757" s="192" t="s">
        <v>816</v>
      </c>
      <c r="F757" s="192" t="s">
        <v>817</v>
      </c>
      <c r="G757" s="192">
        <v>0.44999998807907104</v>
      </c>
      <c r="H757" s="192" t="s">
        <v>818</v>
      </c>
      <c r="I757" s="192">
        <v>1</v>
      </c>
      <c r="J757" s="192">
        <f>VLOOKUP($B757,'RBSA Weights'!$A$2:$C$1406,3,FALSE)</f>
        <v>2130.886</v>
      </c>
    </row>
    <row r="758" spans="1:10">
      <c r="A758" s="192">
        <v>147338</v>
      </c>
      <c r="B758" s="192">
        <v>20958</v>
      </c>
      <c r="C758" s="192" t="s">
        <v>815</v>
      </c>
      <c r="D758" s="192">
        <v>327</v>
      </c>
      <c r="E758" s="192" t="s">
        <v>816</v>
      </c>
      <c r="F758" s="192" t="s">
        <v>817</v>
      </c>
      <c r="G758" s="192">
        <v>0.44999998807907104</v>
      </c>
      <c r="H758" s="192" t="s">
        <v>818</v>
      </c>
      <c r="I758" s="192">
        <v>1</v>
      </c>
      <c r="J758" s="192">
        <f>VLOOKUP($B758,'RBSA Weights'!$A$2:$C$1406,3,FALSE)</f>
        <v>1192.4649999999999</v>
      </c>
    </row>
    <row r="759" spans="1:10">
      <c r="A759" s="192">
        <v>184784</v>
      </c>
      <c r="B759" s="192">
        <v>20965</v>
      </c>
      <c r="C759" s="192" t="s">
        <v>815</v>
      </c>
      <c r="D759" s="192">
        <v>92</v>
      </c>
      <c r="E759" s="192" t="s">
        <v>816</v>
      </c>
      <c r="F759" s="192" t="s">
        <v>817</v>
      </c>
      <c r="G759" s="192">
        <v>0.44999998807907104</v>
      </c>
      <c r="H759" s="192" t="s">
        <v>818</v>
      </c>
      <c r="I759" s="192">
        <v>1</v>
      </c>
      <c r="J759" s="192">
        <f>VLOOKUP($B759,'RBSA Weights'!$A$2:$C$1406,3,FALSE)</f>
        <v>3785.7640000000001</v>
      </c>
    </row>
    <row r="760" spans="1:10">
      <c r="A760" s="192">
        <v>189677</v>
      </c>
      <c r="B760" s="192">
        <v>20968</v>
      </c>
      <c r="C760" s="192" t="s">
        <v>815</v>
      </c>
      <c r="D760" s="192">
        <v>424</v>
      </c>
      <c r="E760" s="192" t="s">
        <v>816</v>
      </c>
      <c r="F760" s="192" t="s">
        <v>817</v>
      </c>
      <c r="G760" s="192">
        <v>0.44999998807907104</v>
      </c>
      <c r="H760" s="192" t="s">
        <v>818</v>
      </c>
      <c r="I760" s="192">
        <v>1</v>
      </c>
      <c r="J760" s="192">
        <f>VLOOKUP($B760,'RBSA Weights'!$A$2:$C$1406,3,FALSE)</f>
        <v>1612.692</v>
      </c>
    </row>
    <row r="761" spans="1:10">
      <c r="A761" s="192">
        <v>205033</v>
      </c>
      <c r="B761" s="192">
        <v>20970</v>
      </c>
      <c r="C761" s="192" t="s">
        <v>815</v>
      </c>
      <c r="D761" s="192">
        <v>196</v>
      </c>
      <c r="E761" s="192" t="s">
        <v>816</v>
      </c>
      <c r="F761" s="192" t="s">
        <v>817</v>
      </c>
      <c r="G761" s="192">
        <v>0.44999998807907104</v>
      </c>
      <c r="H761" s="192" t="s">
        <v>818</v>
      </c>
      <c r="I761" s="192">
        <v>1</v>
      </c>
      <c r="J761" s="192">
        <f>VLOOKUP($B761,'RBSA Weights'!$A$2:$C$1406,3,FALSE)</f>
        <v>2079.9929999999999</v>
      </c>
    </row>
    <row r="762" spans="1:10">
      <c r="A762" s="192">
        <v>71584</v>
      </c>
      <c r="B762" s="192">
        <v>20974</v>
      </c>
      <c r="C762" s="192" t="s">
        <v>815</v>
      </c>
      <c r="D762" s="192">
        <v>213</v>
      </c>
      <c r="E762" s="192" t="s">
        <v>816</v>
      </c>
      <c r="F762" s="192" t="s">
        <v>817</v>
      </c>
      <c r="G762" s="192">
        <v>0.55000001192092896</v>
      </c>
      <c r="H762" s="192" t="s">
        <v>818</v>
      </c>
      <c r="I762" s="192">
        <v>1</v>
      </c>
      <c r="J762" s="192">
        <f>VLOOKUP($B762,'RBSA Weights'!$A$2:$C$1406,3,FALSE)</f>
        <v>3785.7640000000001</v>
      </c>
    </row>
    <row r="763" spans="1:10">
      <c r="A763" s="192">
        <v>203403</v>
      </c>
      <c r="B763" s="192">
        <v>20976</v>
      </c>
      <c r="C763" s="192" t="s">
        <v>815</v>
      </c>
      <c r="D763" s="192">
        <v>133</v>
      </c>
      <c r="E763" s="192" t="s">
        <v>816</v>
      </c>
      <c r="F763" s="192" t="s">
        <v>817</v>
      </c>
      <c r="G763" s="192">
        <v>0.55000001192092896</v>
      </c>
      <c r="H763" s="192" t="s">
        <v>818</v>
      </c>
      <c r="I763" s="192">
        <v>1</v>
      </c>
      <c r="J763" s="192">
        <f>VLOOKUP($B763,'RBSA Weights'!$A$2:$C$1406,3,FALSE)</f>
        <v>1192.4649999999999</v>
      </c>
    </row>
    <row r="764" spans="1:10">
      <c r="A764" s="192">
        <v>36666</v>
      </c>
      <c r="B764" s="192">
        <v>20995</v>
      </c>
      <c r="C764" s="192" t="s">
        <v>815</v>
      </c>
      <c r="D764" s="192">
        <v>63</v>
      </c>
      <c r="E764" s="192" t="s">
        <v>816</v>
      </c>
      <c r="F764" s="192" t="s">
        <v>821</v>
      </c>
      <c r="G764" s="192">
        <v>0.94999998807907104</v>
      </c>
      <c r="H764" s="192" t="s">
        <v>821</v>
      </c>
      <c r="I764" s="192">
        <v>1</v>
      </c>
      <c r="J764" s="192">
        <f>VLOOKUP($B764,'RBSA Weights'!$A$2:$C$1406,3,FALSE)</f>
        <v>2130.886</v>
      </c>
    </row>
    <row r="765" spans="1:10">
      <c r="A765" s="192">
        <v>675821</v>
      </c>
      <c r="B765" s="192">
        <v>20998</v>
      </c>
      <c r="C765" s="192" t="s">
        <v>815</v>
      </c>
      <c r="D765" s="192">
        <v>234</v>
      </c>
      <c r="E765" s="192" t="s">
        <v>816</v>
      </c>
      <c r="F765" s="192" t="s">
        <v>817</v>
      </c>
      <c r="G765" s="192">
        <v>0.44999998807907104</v>
      </c>
      <c r="H765" s="192" t="s">
        <v>818</v>
      </c>
      <c r="I765" s="192">
        <v>1</v>
      </c>
      <c r="J765" s="192">
        <f>VLOOKUP($B765,'RBSA Weights'!$A$2:$C$1406,3,FALSE)</f>
        <v>3785.7640000000001</v>
      </c>
    </row>
    <row r="766" spans="1:10">
      <c r="A766" s="192">
        <v>88146</v>
      </c>
      <c r="B766" s="192">
        <v>21002</v>
      </c>
      <c r="C766" s="192" t="s">
        <v>815</v>
      </c>
      <c r="D766" s="192">
        <v>132</v>
      </c>
      <c r="E766" s="192" t="s">
        <v>816</v>
      </c>
      <c r="F766" s="192" t="s">
        <v>818</v>
      </c>
      <c r="G766" s="192">
        <v>0.60000002384185791</v>
      </c>
      <c r="H766" s="192" t="s">
        <v>818</v>
      </c>
      <c r="I766" s="192">
        <v>1</v>
      </c>
      <c r="J766" s="192">
        <f>VLOOKUP($B766,'RBSA Weights'!$A$2:$C$1406,3,FALSE)</f>
        <v>1144.6790000000001</v>
      </c>
    </row>
    <row r="767" spans="1:10">
      <c r="A767" s="192">
        <v>230280</v>
      </c>
      <c r="B767" s="192">
        <v>21003</v>
      </c>
      <c r="C767" s="192" t="s">
        <v>815</v>
      </c>
      <c r="D767" s="192">
        <v>394</v>
      </c>
      <c r="E767" s="192" t="s">
        <v>816</v>
      </c>
      <c r="F767" s="192" t="s">
        <v>817</v>
      </c>
      <c r="G767" s="192">
        <v>0.55000001192092896</v>
      </c>
      <c r="H767" s="192" t="s">
        <v>818</v>
      </c>
      <c r="I767" s="192">
        <v>1</v>
      </c>
      <c r="J767" s="192">
        <f>VLOOKUP($B767,'RBSA Weights'!$A$2:$C$1406,3,FALSE)</f>
        <v>2079.9929999999999</v>
      </c>
    </row>
    <row r="768" spans="1:10">
      <c r="A768" s="192">
        <v>139000</v>
      </c>
      <c r="B768" s="192">
        <v>21006</v>
      </c>
      <c r="C768" s="192" t="s">
        <v>815</v>
      </c>
      <c r="D768" s="192">
        <v>187</v>
      </c>
      <c r="E768" s="192" t="s">
        <v>816</v>
      </c>
      <c r="F768" s="192" t="s">
        <v>817</v>
      </c>
      <c r="G768" s="192">
        <v>0.44999998807907104</v>
      </c>
      <c r="H768" s="192" t="s">
        <v>818</v>
      </c>
      <c r="I768" s="192">
        <v>1</v>
      </c>
      <c r="J768" s="192">
        <f>VLOOKUP($B768,'RBSA Weights'!$A$2:$C$1406,3,FALSE)</f>
        <v>1192.4649999999999</v>
      </c>
    </row>
    <row r="769" spans="1:10">
      <c r="A769" s="192">
        <v>71708</v>
      </c>
      <c r="B769" s="192">
        <v>21012</v>
      </c>
      <c r="C769" s="192" t="s">
        <v>815</v>
      </c>
      <c r="D769" s="192">
        <v>139</v>
      </c>
      <c r="E769" s="192" t="s">
        <v>816</v>
      </c>
      <c r="F769" s="192" t="s">
        <v>817</v>
      </c>
      <c r="G769" s="192">
        <v>0.55000001192092896</v>
      </c>
      <c r="H769" s="192" t="s">
        <v>818</v>
      </c>
      <c r="I769" s="192">
        <v>1</v>
      </c>
      <c r="J769" s="192">
        <f>VLOOKUP($B769,'RBSA Weights'!$A$2:$C$1406,3,FALSE)</f>
        <v>3785.7640000000001</v>
      </c>
    </row>
    <row r="770" spans="1:10">
      <c r="A770" s="192">
        <v>45192</v>
      </c>
      <c r="B770" s="192">
        <v>21016</v>
      </c>
      <c r="C770" s="192" t="s">
        <v>815</v>
      </c>
      <c r="D770" s="192">
        <v>186</v>
      </c>
      <c r="E770" s="192" t="s">
        <v>816</v>
      </c>
      <c r="F770" s="192" t="s">
        <v>818</v>
      </c>
      <c r="G770" s="192">
        <v>0.60000002384185791</v>
      </c>
      <c r="H770" s="192" t="s">
        <v>818</v>
      </c>
      <c r="I770" s="192">
        <v>1</v>
      </c>
      <c r="J770" s="192">
        <f>VLOOKUP($B770,'RBSA Weights'!$A$2:$C$1406,3,FALSE)</f>
        <v>3785.7640000000001</v>
      </c>
    </row>
    <row r="771" spans="1:10">
      <c r="A771" s="192">
        <v>160893</v>
      </c>
      <c r="B771" s="192">
        <v>21018</v>
      </c>
      <c r="C771" s="192" t="s">
        <v>815</v>
      </c>
      <c r="D771" s="192">
        <v>68</v>
      </c>
      <c r="E771" s="192" t="s">
        <v>816</v>
      </c>
      <c r="F771" s="192" t="s">
        <v>817</v>
      </c>
      <c r="G771" s="192">
        <v>0.44999998807907104</v>
      </c>
      <c r="H771" s="192" t="s">
        <v>818</v>
      </c>
      <c r="I771" s="192">
        <v>1</v>
      </c>
      <c r="J771" s="192">
        <f>VLOOKUP($B771,'RBSA Weights'!$A$2:$C$1406,3,FALSE)</f>
        <v>2130.886</v>
      </c>
    </row>
    <row r="772" spans="1:10">
      <c r="A772" s="192">
        <v>45870</v>
      </c>
      <c r="B772" s="192">
        <v>21021</v>
      </c>
      <c r="C772" s="192" t="s">
        <v>815</v>
      </c>
      <c r="D772" s="192">
        <v>195</v>
      </c>
      <c r="E772" s="192" t="s">
        <v>816</v>
      </c>
      <c r="F772" s="192" t="s">
        <v>817</v>
      </c>
      <c r="G772" s="192">
        <v>0.55000001192092896</v>
      </c>
      <c r="H772" s="192" t="s">
        <v>818</v>
      </c>
      <c r="I772" s="192">
        <v>1</v>
      </c>
      <c r="J772" s="192">
        <f>VLOOKUP($B772,'RBSA Weights'!$A$2:$C$1406,3,FALSE)</f>
        <v>8264.9449999999997</v>
      </c>
    </row>
    <row r="773" spans="1:10">
      <c r="A773" s="192">
        <v>159914</v>
      </c>
      <c r="B773" s="192">
        <v>21026</v>
      </c>
      <c r="C773" s="192" t="s">
        <v>815</v>
      </c>
      <c r="D773" s="192">
        <v>67</v>
      </c>
      <c r="E773" s="192" t="s">
        <v>816</v>
      </c>
      <c r="F773" s="192" t="s">
        <v>820</v>
      </c>
      <c r="G773" s="192">
        <v>0.80000001192092896</v>
      </c>
      <c r="H773" s="192" t="s">
        <v>820</v>
      </c>
      <c r="I773" s="192">
        <v>1</v>
      </c>
      <c r="J773" s="192">
        <f>VLOOKUP($B773,'RBSA Weights'!$A$2:$C$1406,3,FALSE)</f>
        <v>8264.9449999999997</v>
      </c>
    </row>
    <row r="774" spans="1:10">
      <c r="A774" s="192">
        <v>97848</v>
      </c>
      <c r="B774" s="192">
        <v>21038</v>
      </c>
      <c r="C774" s="192" t="s">
        <v>815</v>
      </c>
      <c r="D774" s="192">
        <v>139</v>
      </c>
      <c r="E774" s="192" t="s">
        <v>816</v>
      </c>
      <c r="F774" s="192" t="s">
        <v>817</v>
      </c>
      <c r="G774" s="192">
        <v>0.55000001192092896</v>
      </c>
      <c r="H774" s="192" t="s">
        <v>818</v>
      </c>
      <c r="I774" s="192">
        <v>1</v>
      </c>
      <c r="J774" s="192">
        <f>VLOOKUP($B774,'RBSA Weights'!$A$2:$C$1406,3,FALSE)</f>
        <v>1904.288</v>
      </c>
    </row>
    <row r="775" spans="1:10">
      <c r="A775" s="192">
        <v>33299</v>
      </c>
      <c r="B775" s="192">
        <v>21045</v>
      </c>
      <c r="C775" s="192" t="s">
        <v>815</v>
      </c>
      <c r="D775" s="192">
        <v>134</v>
      </c>
      <c r="E775" s="192" t="s">
        <v>816</v>
      </c>
      <c r="F775" s="192" t="s">
        <v>817</v>
      </c>
      <c r="G775" s="192">
        <v>0.44999998807907104</v>
      </c>
      <c r="H775" s="192" t="s">
        <v>818</v>
      </c>
      <c r="I775" s="192">
        <v>1</v>
      </c>
      <c r="J775" s="192">
        <f>VLOOKUP($B775,'RBSA Weights'!$A$2:$C$1406,3,FALSE)</f>
        <v>2130.886</v>
      </c>
    </row>
    <row r="776" spans="1:10">
      <c r="A776" s="192">
        <v>180167</v>
      </c>
      <c r="B776" s="192">
        <v>21049</v>
      </c>
      <c r="C776" s="192" t="s">
        <v>815</v>
      </c>
      <c r="D776" s="192">
        <v>313</v>
      </c>
      <c r="E776" s="192" t="s">
        <v>816</v>
      </c>
      <c r="F776" s="192" t="s">
        <v>817</v>
      </c>
      <c r="G776" s="192">
        <v>0.44999998807907104</v>
      </c>
      <c r="H776" s="192" t="s">
        <v>818</v>
      </c>
      <c r="I776" s="192">
        <v>1</v>
      </c>
      <c r="J776" s="192">
        <f>VLOOKUP($B776,'RBSA Weights'!$A$2:$C$1406,3,FALSE)</f>
        <v>2130.886</v>
      </c>
    </row>
    <row r="777" spans="1:10">
      <c r="A777" s="192">
        <v>211461</v>
      </c>
      <c r="B777" s="192">
        <v>21070</v>
      </c>
      <c r="C777" s="192" t="s">
        <v>815</v>
      </c>
      <c r="D777" s="192">
        <v>272</v>
      </c>
      <c r="E777" s="192" t="s">
        <v>816</v>
      </c>
      <c r="F777" s="192" t="s">
        <v>817</v>
      </c>
      <c r="G777" s="192">
        <v>0.55000001192092896</v>
      </c>
      <c r="H777" s="192" t="s">
        <v>818</v>
      </c>
      <c r="I777" s="192">
        <v>1</v>
      </c>
      <c r="J777" s="192">
        <f>VLOOKUP($B777,'RBSA Weights'!$A$2:$C$1406,3,FALSE)</f>
        <v>1904.288</v>
      </c>
    </row>
    <row r="778" spans="1:10">
      <c r="A778" s="192">
        <v>138741</v>
      </c>
      <c r="B778" s="192">
        <v>21085</v>
      </c>
      <c r="C778" s="192" t="s">
        <v>815</v>
      </c>
      <c r="D778" s="192">
        <v>103</v>
      </c>
      <c r="E778" s="192" t="s">
        <v>816</v>
      </c>
      <c r="F778" s="192" t="s">
        <v>818</v>
      </c>
      <c r="G778" s="192">
        <v>0.60000002384185791</v>
      </c>
      <c r="H778" s="192" t="s">
        <v>818</v>
      </c>
      <c r="I778" s="192">
        <v>1</v>
      </c>
      <c r="J778" s="192">
        <f>VLOOKUP($B778,'RBSA Weights'!$A$2:$C$1406,3,FALSE)</f>
        <v>3785.7640000000001</v>
      </c>
    </row>
    <row r="779" spans="1:10">
      <c r="A779" s="192">
        <v>170528</v>
      </c>
      <c r="B779" s="192">
        <v>21089</v>
      </c>
      <c r="C779" s="192" t="s">
        <v>815</v>
      </c>
      <c r="D779" s="192">
        <v>140</v>
      </c>
      <c r="E779" s="192" t="s">
        <v>816</v>
      </c>
      <c r="F779" s="192" t="s">
        <v>818</v>
      </c>
      <c r="G779" s="192">
        <v>0.55000001192092896</v>
      </c>
      <c r="H779" s="192" t="s">
        <v>818</v>
      </c>
      <c r="I779" s="192">
        <v>1</v>
      </c>
      <c r="J779" s="192">
        <f>VLOOKUP($B779,'RBSA Weights'!$A$2:$C$1406,3,FALSE)</f>
        <v>3785.7640000000001</v>
      </c>
    </row>
    <row r="780" spans="1:10">
      <c r="A780" s="192">
        <v>175100</v>
      </c>
      <c r="B780" s="192">
        <v>21091</v>
      </c>
      <c r="C780" s="192" t="s">
        <v>815</v>
      </c>
      <c r="D780" s="192">
        <v>209</v>
      </c>
      <c r="E780" s="192" t="s">
        <v>816</v>
      </c>
      <c r="F780" s="192" t="s">
        <v>818</v>
      </c>
      <c r="G780" s="192">
        <v>0.55000001192092896</v>
      </c>
      <c r="H780" s="192" t="s">
        <v>818</v>
      </c>
      <c r="I780" s="192">
        <v>1</v>
      </c>
      <c r="J780" s="192">
        <f>VLOOKUP($B780,'RBSA Weights'!$A$2:$C$1406,3,FALSE)</f>
        <v>8559.1039999999994</v>
      </c>
    </row>
    <row r="781" spans="1:10">
      <c r="A781" s="192">
        <v>71387</v>
      </c>
      <c r="B781" s="192">
        <v>21103</v>
      </c>
      <c r="C781" s="192" t="s">
        <v>815</v>
      </c>
      <c r="D781" s="192">
        <v>102</v>
      </c>
      <c r="E781" s="192" t="s">
        <v>816</v>
      </c>
      <c r="F781" s="192" t="s">
        <v>817</v>
      </c>
      <c r="G781" s="192">
        <v>0.44999998807907104</v>
      </c>
      <c r="H781" s="192" t="s">
        <v>818</v>
      </c>
      <c r="I781" s="192">
        <v>1</v>
      </c>
      <c r="J781" s="192">
        <f>VLOOKUP($B781,'RBSA Weights'!$A$2:$C$1406,3,FALSE)</f>
        <v>2079.9929999999999</v>
      </c>
    </row>
    <row r="782" spans="1:10">
      <c r="A782" s="192">
        <v>78692</v>
      </c>
      <c r="B782" s="192">
        <v>21107</v>
      </c>
      <c r="C782" s="192" t="s">
        <v>815</v>
      </c>
      <c r="D782" s="192">
        <v>194</v>
      </c>
      <c r="E782" s="192" t="s">
        <v>816</v>
      </c>
      <c r="F782" s="192" t="s">
        <v>818</v>
      </c>
      <c r="G782" s="192">
        <v>0.55000001192092896</v>
      </c>
      <c r="H782" s="192" t="s">
        <v>818</v>
      </c>
      <c r="I782" s="192">
        <v>1</v>
      </c>
      <c r="J782" s="192">
        <f>VLOOKUP($B782,'RBSA Weights'!$A$2:$C$1406,3,FALSE)</f>
        <v>1144.6790000000001</v>
      </c>
    </row>
    <row r="783" spans="1:10">
      <c r="A783" s="192">
        <v>115246</v>
      </c>
      <c r="B783" s="192">
        <v>21109</v>
      </c>
      <c r="C783" s="192" t="s">
        <v>815</v>
      </c>
      <c r="D783" s="192">
        <v>164</v>
      </c>
      <c r="E783" s="192" t="s">
        <v>816</v>
      </c>
      <c r="F783" s="192" t="s">
        <v>817</v>
      </c>
      <c r="G783" s="192">
        <v>0.55000001192092896</v>
      </c>
      <c r="H783" s="192" t="s">
        <v>818</v>
      </c>
      <c r="I783" s="192">
        <v>1</v>
      </c>
      <c r="J783" s="192">
        <f>VLOOKUP($B783,'RBSA Weights'!$A$2:$C$1406,3,FALSE)</f>
        <v>1925.059</v>
      </c>
    </row>
    <row r="784" spans="1:10">
      <c r="A784" s="192">
        <v>128698</v>
      </c>
      <c r="B784" s="192">
        <v>21112</v>
      </c>
      <c r="C784" s="192" t="s">
        <v>815</v>
      </c>
      <c r="D784" s="192">
        <v>243</v>
      </c>
      <c r="E784" s="192" t="s">
        <v>816</v>
      </c>
      <c r="F784" s="192" t="s">
        <v>817</v>
      </c>
      <c r="G784" s="192">
        <v>0.55000001192092896</v>
      </c>
      <c r="H784" s="192" t="s">
        <v>818</v>
      </c>
      <c r="I784" s="192">
        <v>1</v>
      </c>
      <c r="J784" s="192">
        <f>VLOOKUP($B784,'RBSA Weights'!$A$2:$C$1406,3,FALSE)</f>
        <v>1612.692</v>
      </c>
    </row>
    <row r="785" spans="1:10">
      <c r="A785" s="192">
        <v>225615</v>
      </c>
      <c r="B785" s="192">
        <v>21122</v>
      </c>
      <c r="C785" s="192" t="s">
        <v>815</v>
      </c>
      <c r="D785" s="192">
        <v>133</v>
      </c>
      <c r="E785" s="192" t="s">
        <v>816</v>
      </c>
      <c r="F785" s="192" t="s">
        <v>817</v>
      </c>
      <c r="G785" s="192">
        <v>0.44999998807907104</v>
      </c>
      <c r="H785" s="192" t="s">
        <v>818</v>
      </c>
      <c r="I785" s="192">
        <v>1</v>
      </c>
      <c r="J785" s="192">
        <f>VLOOKUP($B785,'RBSA Weights'!$A$2:$C$1406,3,FALSE)</f>
        <v>1904.288</v>
      </c>
    </row>
    <row r="786" spans="1:10">
      <c r="A786" s="192">
        <v>210339</v>
      </c>
      <c r="B786" s="192">
        <v>21132</v>
      </c>
      <c r="C786" s="192" t="s">
        <v>815</v>
      </c>
      <c r="D786" s="192">
        <v>231</v>
      </c>
      <c r="E786" s="192" t="s">
        <v>816</v>
      </c>
      <c r="F786" s="192" t="s">
        <v>817</v>
      </c>
      <c r="G786" s="192">
        <v>0.44999998807907104</v>
      </c>
      <c r="H786" s="192" t="s">
        <v>818</v>
      </c>
      <c r="I786" s="192">
        <v>1</v>
      </c>
      <c r="J786" s="192">
        <f>VLOOKUP($B786,'RBSA Weights'!$A$2:$C$1406,3,FALSE)</f>
        <v>2079.9929999999999</v>
      </c>
    </row>
    <row r="787" spans="1:10">
      <c r="A787" s="192">
        <v>143818</v>
      </c>
      <c r="B787" s="192">
        <v>21137</v>
      </c>
      <c r="C787" s="192" t="s">
        <v>815</v>
      </c>
      <c r="D787" s="192">
        <v>146</v>
      </c>
      <c r="E787" s="192" t="s">
        <v>816</v>
      </c>
      <c r="F787" s="192" t="s">
        <v>820</v>
      </c>
      <c r="G787" s="192">
        <v>0.85000002384185791</v>
      </c>
      <c r="H787" s="192" t="s">
        <v>820</v>
      </c>
      <c r="I787" s="192">
        <v>1</v>
      </c>
      <c r="J787" s="192">
        <f>VLOOKUP($B787,'RBSA Weights'!$A$2:$C$1406,3,FALSE)</f>
        <v>2130.886</v>
      </c>
    </row>
    <row r="788" spans="1:10">
      <c r="A788" s="192">
        <v>669340</v>
      </c>
      <c r="B788" s="192">
        <v>21143</v>
      </c>
      <c r="C788" s="192" t="s">
        <v>815</v>
      </c>
      <c r="D788" s="192">
        <v>153</v>
      </c>
      <c r="E788" s="192" t="s">
        <v>819</v>
      </c>
      <c r="F788" s="192" t="s">
        <v>820</v>
      </c>
      <c r="G788" s="192">
        <v>0.75</v>
      </c>
      <c r="H788" s="192" t="s">
        <v>820</v>
      </c>
      <c r="I788" s="192">
        <v>1</v>
      </c>
      <c r="J788" s="192">
        <f>VLOOKUP($B788,'RBSA Weights'!$A$2:$C$1406,3,FALSE)</f>
        <v>1612.692</v>
      </c>
    </row>
    <row r="789" spans="1:10">
      <c r="A789" s="192">
        <v>188082</v>
      </c>
      <c r="B789" s="192">
        <v>21155</v>
      </c>
      <c r="C789" s="192" t="s">
        <v>815</v>
      </c>
      <c r="D789" s="192">
        <v>348</v>
      </c>
      <c r="E789" s="192" t="s">
        <v>819</v>
      </c>
      <c r="F789" s="192" t="s">
        <v>820</v>
      </c>
      <c r="G789" s="192">
        <v>0.75</v>
      </c>
      <c r="H789" s="192" t="s">
        <v>820</v>
      </c>
      <c r="I789" s="192">
        <v>1</v>
      </c>
      <c r="J789" s="192">
        <f>VLOOKUP($B789,'RBSA Weights'!$A$2:$C$1406,3,FALSE)</f>
        <v>1192.4649999999999</v>
      </c>
    </row>
    <row r="790" spans="1:10">
      <c r="A790" s="192">
        <v>115525</v>
      </c>
      <c r="B790" s="192">
        <v>21160</v>
      </c>
      <c r="C790" s="192" t="s">
        <v>815</v>
      </c>
      <c r="D790" s="192">
        <v>306</v>
      </c>
      <c r="E790" s="192" t="s">
        <v>819</v>
      </c>
      <c r="F790" s="192" t="s">
        <v>821</v>
      </c>
      <c r="G790" s="192">
        <v>0.75</v>
      </c>
      <c r="H790" s="192" t="s">
        <v>821</v>
      </c>
      <c r="I790" s="192">
        <v>1</v>
      </c>
      <c r="J790" s="192">
        <f>VLOOKUP($B790,'RBSA Weights'!$A$2:$C$1406,3,FALSE)</f>
        <v>1925.059</v>
      </c>
    </row>
    <row r="791" spans="1:10">
      <c r="A791" s="192">
        <v>143079</v>
      </c>
      <c r="B791" s="192">
        <v>21176</v>
      </c>
      <c r="C791" s="192" t="s">
        <v>815</v>
      </c>
      <c r="D791" s="192">
        <v>270</v>
      </c>
      <c r="E791" s="192" t="s">
        <v>816</v>
      </c>
      <c r="F791" s="192" t="s">
        <v>817</v>
      </c>
      <c r="G791" s="192">
        <v>0.44999998807907104</v>
      </c>
      <c r="H791" s="192" t="s">
        <v>818</v>
      </c>
      <c r="I791" s="192">
        <v>1</v>
      </c>
      <c r="J791" s="192">
        <f>VLOOKUP($B791,'RBSA Weights'!$A$2:$C$1406,3,FALSE)</f>
        <v>1192.4649999999999</v>
      </c>
    </row>
    <row r="792" spans="1:10">
      <c r="A792" s="192">
        <v>173996</v>
      </c>
      <c r="B792" s="192">
        <v>21180</v>
      </c>
      <c r="C792" s="192" t="s">
        <v>815</v>
      </c>
      <c r="D792" s="192">
        <v>485</v>
      </c>
      <c r="E792" s="192" t="s">
        <v>816</v>
      </c>
      <c r="F792" s="192" t="s">
        <v>817</v>
      </c>
      <c r="G792" s="192">
        <v>0.44999998807907104</v>
      </c>
      <c r="H792" s="192" t="s">
        <v>818</v>
      </c>
      <c r="I792" s="192">
        <v>1</v>
      </c>
      <c r="J792" s="192">
        <f>VLOOKUP($B792,'RBSA Weights'!$A$2:$C$1406,3,FALSE)</f>
        <v>2079.9929999999999</v>
      </c>
    </row>
    <row r="793" spans="1:10">
      <c r="A793" s="192">
        <v>689946</v>
      </c>
      <c r="B793" s="192">
        <v>21188</v>
      </c>
      <c r="C793" s="192" t="s">
        <v>815</v>
      </c>
      <c r="D793" s="192">
        <v>217</v>
      </c>
      <c r="E793" s="192" t="s">
        <v>819</v>
      </c>
      <c r="F793" s="192" t="s">
        <v>823</v>
      </c>
      <c r="G793" s="192">
        <v>0.85000002384185791</v>
      </c>
      <c r="H793" s="192" t="s">
        <v>823</v>
      </c>
      <c r="I793" s="192">
        <v>1</v>
      </c>
      <c r="J793" s="192">
        <f>VLOOKUP($B793,'RBSA Weights'!$A$2:$C$1406,3,FALSE)</f>
        <v>4360.1880000000001</v>
      </c>
    </row>
    <row r="794" spans="1:10">
      <c r="A794" s="192">
        <v>120634</v>
      </c>
      <c r="B794" s="192">
        <v>21201</v>
      </c>
      <c r="C794" s="192" t="s">
        <v>815</v>
      </c>
      <c r="D794" s="192">
        <v>289</v>
      </c>
      <c r="E794" s="192" t="s">
        <v>816</v>
      </c>
      <c r="F794" s="192" t="s">
        <v>817</v>
      </c>
      <c r="G794" s="192">
        <v>0.44999998807907104</v>
      </c>
      <c r="H794" s="192" t="s">
        <v>818</v>
      </c>
      <c r="I794" s="192">
        <v>1</v>
      </c>
      <c r="J794" s="192">
        <f>VLOOKUP($B794,'RBSA Weights'!$A$2:$C$1406,3,FALSE)</f>
        <v>2079.9929999999999</v>
      </c>
    </row>
    <row r="795" spans="1:10">
      <c r="A795" s="192">
        <v>49417</v>
      </c>
      <c r="B795" s="192">
        <v>21203</v>
      </c>
      <c r="C795" s="192" t="s">
        <v>815</v>
      </c>
      <c r="D795" s="192">
        <v>144</v>
      </c>
      <c r="E795" s="192" t="s">
        <v>819</v>
      </c>
      <c r="F795" s="192" t="s">
        <v>818</v>
      </c>
      <c r="G795" s="192">
        <v>0.55000001192092896</v>
      </c>
      <c r="H795" s="192" t="s">
        <v>818</v>
      </c>
      <c r="I795" s="192">
        <v>1</v>
      </c>
      <c r="J795" s="192">
        <f>VLOOKUP($B795,'RBSA Weights'!$A$2:$C$1406,3,FALSE)</f>
        <v>2079.9929999999999</v>
      </c>
    </row>
    <row r="796" spans="1:10">
      <c r="A796" s="192">
        <v>78978</v>
      </c>
      <c r="B796" s="192">
        <v>21214</v>
      </c>
      <c r="C796" s="192" t="s">
        <v>815</v>
      </c>
      <c r="D796" s="192">
        <v>404</v>
      </c>
      <c r="E796" s="192" t="s">
        <v>816</v>
      </c>
      <c r="F796" s="192" t="s">
        <v>817</v>
      </c>
      <c r="G796" s="192">
        <v>0.44999998807907104</v>
      </c>
      <c r="H796" s="192" t="s">
        <v>818</v>
      </c>
      <c r="I796" s="192">
        <v>1</v>
      </c>
      <c r="J796" s="192">
        <f>VLOOKUP($B796,'RBSA Weights'!$A$2:$C$1406,3,FALSE)</f>
        <v>1144.6790000000001</v>
      </c>
    </row>
    <row r="797" spans="1:10">
      <c r="A797" s="192">
        <v>138436</v>
      </c>
      <c r="B797" s="192">
        <v>21218</v>
      </c>
      <c r="C797" s="192" t="s">
        <v>815</v>
      </c>
      <c r="D797" s="192">
        <v>1164</v>
      </c>
      <c r="E797" s="192" t="s">
        <v>816</v>
      </c>
      <c r="F797" s="192" t="s">
        <v>817</v>
      </c>
      <c r="G797" s="192">
        <v>0.44999998807907104</v>
      </c>
      <c r="H797" s="192" t="s">
        <v>818</v>
      </c>
      <c r="I797" s="192">
        <v>1</v>
      </c>
      <c r="J797" s="192">
        <f>VLOOKUP($B797,'RBSA Weights'!$A$2:$C$1406,3,FALSE)</f>
        <v>1192.4649999999999</v>
      </c>
    </row>
    <row r="798" spans="1:10">
      <c r="A798" s="192">
        <v>194766</v>
      </c>
      <c r="B798" s="192">
        <v>21219</v>
      </c>
      <c r="C798" s="192" t="s">
        <v>815</v>
      </c>
      <c r="D798" s="192">
        <v>188</v>
      </c>
      <c r="E798" s="192" t="s">
        <v>816</v>
      </c>
      <c r="F798" s="192" t="s">
        <v>817</v>
      </c>
      <c r="G798" s="192">
        <v>0.44999998807907104</v>
      </c>
      <c r="H798" s="192" t="s">
        <v>818</v>
      </c>
      <c r="I798" s="192">
        <v>1</v>
      </c>
      <c r="J798" s="192">
        <f>VLOOKUP($B798,'RBSA Weights'!$A$2:$C$1406,3,FALSE)</f>
        <v>8559.1039999999994</v>
      </c>
    </row>
    <row r="799" spans="1:10">
      <c r="A799" s="192">
        <v>34321</v>
      </c>
      <c r="B799" s="192">
        <v>21225</v>
      </c>
      <c r="C799" s="192" t="s">
        <v>815</v>
      </c>
      <c r="D799" s="192">
        <v>464</v>
      </c>
      <c r="E799" s="192" t="s">
        <v>816</v>
      </c>
      <c r="F799" s="192" t="s">
        <v>817</v>
      </c>
      <c r="G799" s="192">
        <v>0.44999998807907104</v>
      </c>
      <c r="H799" s="192" t="s">
        <v>818</v>
      </c>
      <c r="I799" s="192">
        <v>1</v>
      </c>
      <c r="J799" s="192">
        <f>VLOOKUP($B799,'RBSA Weights'!$A$2:$C$1406,3,FALSE)</f>
        <v>2130.886</v>
      </c>
    </row>
    <row r="800" spans="1:10">
      <c r="A800" s="192">
        <v>131321</v>
      </c>
      <c r="B800" s="192">
        <v>21228</v>
      </c>
      <c r="C800" s="192" t="s">
        <v>815</v>
      </c>
      <c r="D800" s="192">
        <v>120</v>
      </c>
      <c r="E800" s="192" t="s">
        <v>816</v>
      </c>
      <c r="F800" s="192" t="s">
        <v>818</v>
      </c>
      <c r="G800" s="192">
        <v>0.55000001192092896</v>
      </c>
      <c r="H800" s="192" t="s">
        <v>818</v>
      </c>
      <c r="I800" s="192">
        <v>1</v>
      </c>
      <c r="J800" s="192">
        <f>VLOOKUP($B800,'RBSA Weights'!$A$2:$C$1406,3,FALSE)</f>
        <v>3785.7640000000001</v>
      </c>
    </row>
    <row r="801" spans="1:10">
      <c r="A801" s="192">
        <v>142405</v>
      </c>
      <c r="B801" s="192">
        <v>21231</v>
      </c>
      <c r="C801" s="192" t="s">
        <v>815</v>
      </c>
      <c r="D801" s="192">
        <v>325</v>
      </c>
      <c r="E801" s="192" t="s">
        <v>816</v>
      </c>
      <c r="F801" s="192" t="s">
        <v>817</v>
      </c>
      <c r="G801" s="192">
        <v>0.55000001192092896</v>
      </c>
      <c r="H801" s="192" t="s">
        <v>818</v>
      </c>
      <c r="I801" s="192">
        <v>1</v>
      </c>
      <c r="J801" s="192">
        <f>VLOOKUP($B801,'RBSA Weights'!$A$2:$C$1406,3,FALSE)</f>
        <v>1612.692</v>
      </c>
    </row>
    <row r="802" spans="1:10">
      <c r="A802" s="192">
        <v>95097</v>
      </c>
      <c r="B802" s="192">
        <v>21233</v>
      </c>
      <c r="C802" s="192" t="s">
        <v>815</v>
      </c>
      <c r="D802" s="192">
        <v>124</v>
      </c>
      <c r="E802" s="192" t="s">
        <v>816</v>
      </c>
      <c r="F802" s="192" t="s">
        <v>817</v>
      </c>
      <c r="G802" s="192">
        <v>0.44999998807907104</v>
      </c>
      <c r="H802" s="192" t="s">
        <v>818</v>
      </c>
      <c r="I802" s="192">
        <v>1</v>
      </c>
      <c r="J802" s="192">
        <f>VLOOKUP($B802,'RBSA Weights'!$A$2:$C$1406,3,FALSE)</f>
        <v>2130.886</v>
      </c>
    </row>
    <row r="803" spans="1:10">
      <c r="A803" s="192">
        <v>143483</v>
      </c>
      <c r="B803" s="192">
        <v>21238</v>
      </c>
      <c r="C803" s="192" t="s">
        <v>815</v>
      </c>
      <c r="D803" s="192">
        <v>221</v>
      </c>
      <c r="E803" s="192" t="s">
        <v>816</v>
      </c>
      <c r="F803" s="192" t="s">
        <v>817</v>
      </c>
      <c r="G803" s="192">
        <v>0.44999998807907104</v>
      </c>
      <c r="H803" s="192" t="s">
        <v>818</v>
      </c>
      <c r="I803" s="192">
        <v>1</v>
      </c>
      <c r="J803" s="192">
        <f>VLOOKUP($B803,'RBSA Weights'!$A$2:$C$1406,3,FALSE)</f>
        <v>2130.886</v>
      </c>
    </row>
    <row r="804" spans="1:10">
      <c r="A804" s="192">
        <v>80120</v>
      </c>
      <c r="B804" s="192">
        <v>21242</v>
      </c>
      <c r="C804" s="192" t="s">
        <v>815</v>
      </c>
      <c r="D804" s="192">
        <v>297</v>
      </c>
      <c r="E804" s="192" t="s">
        <v>816</v>
      </c>
      <c r="F804" s="192" t="s">
        <v>822</v>
      </c>
      <c r="G804" s="192">
        <v>0.75</v>
      </c>
      <c r="H804" s="192" t="s">
        <v>820</v>
      </c>
      <c r="I804" s="192">
        <v>1</v>
      </c>
      <c r="J804" s="192">
        <f>VLOOKUP($B804,'RBSA Weights'!$A$2:$C$1406,3,FALSE)</f>
        <v>1925.059</v>
      </c>
    </row>
    <row r="805" spans="1:10">
      <c r="A805" s="192">
        <v>155878</v>
      </c>
      <c r="B805" s="192">
        <v>21252</v>
      </c>
      <c r="C805" s="192" t="s">
        <v>815</v>
      </c>
      <c r="D805" s="192">
        <v>697</v>
      </c>
      <c r="E805" s="192" t="s">
        <v>816</v>
      </c>
      <c r="F805" s="192" t="s">
        <v>817</v>
      </c>
      <c r="G805" s="192">
        <v>0.44999998807907104</v>
      </c>
      <c r="H805" s="192" t="s">
        <v>818</v>
      </c>
      <c r="I805" s="192">
        <v>1</v>
      </c>
      <c r="J805" s="192">
        <f>VLOOKUP($B805,'RBSA Weights'!$A$2:$C$1406,3,FALSE)</f>
        <v>1612.692</v>
      </c>
    </row>
    <row r="806" spans="1:10">
      <c r="A806" s="192">
        <v>201692</v>
      </c>
      <c r="B806" s="192">
        <v>21258</v>
      </c>
      <c r="C806" s="192" t="s">
        <v>815</v>
      </c>
      <c r="D806" s="192">
        <v>225</v>
      </c>
      <c r="E806" s="192" t="s">
        <v>816</v>
      </c>
      <c r="F806" s="192" t="s">
        <v>817</v>
      </c>
      <c r="G806" s="192">
        <v>0.44999998807907104</v>
      </c>
      <c r="H806" s="192" t="s">
        <v>818</v>
      </c>
      <c r="I806" s="192">
        <v>1</v>
      </c>
      <c r="J806" s="192">
        <f>VLOOKUP($B806,'RBSA Weights'!$A$2:$C$1406,3,FALSE)</f>
        <v>1612.692</v>
      </c>
    </row>
    <row r="807" spans="1:10">
      <c r="A807" s="192">
        <v>82663</v>
      </c>
      <c r="B807" s="192">
        <v>21259</v>
      </c>
      <c r="C807" s="192" t="s">
        <v>815</v>
      </c>
      <c r="D807" s="192">
        <v>169</v>
      </c>
      <c r="E807" s="192" t="s">
        <v>816</v>
      </c>
      <c r="F807" s="192" t="s">
        <v>818</v>
      </c>
      <c r="G807" s="192">
        <v>0.60000002384185791</v>
      </c>
      <c r="H807" s="192" t="s">
        <v>818</v>
      </c>
      <c r="I807" s="192">
        <v>1</v>
      </c>
      <c r="J807" s="192">
        <f>VLOOKUP($B807,'RBSA Weights'!$A$2:$C$1406,3,FALSE)</f>
        <v>3785.7640000000001</v>
      </c>
    </row>
    <row r="808" spans="1:10">
      <c r="A808" s="192">
        <v>93750</v>
      </c>
      <c r="B808" s="192">
        <v>21263</v>
      </c>
      <c r="C808" s="192" t="s">
        <v>815</v>
      </c>
      <c r="D808" s="192">
        <v>227</v>
      </c>
      <c r="E808" s="192" t="s">
        <v>816</v>
      </c>
      <c r="F808" s="192" t="s">
        <v>818</v>
      </c>
      <c r="G808" s="192">
        <v>0.60000002384185791</v>
      </c>
      <c r="H808" s="192" t="s">
        <v>818</v>
      </c>
      <c r="I808" s="192">
        <v>1</v>
      </c>
      <c r="J808" s="192">
        <f>VLOOKUP($B808,'RBSA Weights'!$A$2:$C$1406,3,FALSE)</f>
        <v>1904.288</v>
      </c>
    </row>
    <row r="809" spans="1:10">
      <c r="A809" s="192">
        <v>84317</v>
      </c>
      <c r="B809" s="192">
        <v>21264</v>
      </c>
      <c r="C809" s="192" t="s">
        <v>815</v>
      </c>
      <c r="D809" s="192">
        <v>202</v>
      </c>
      <c r="E809" s="192" t="s">
        <v>816</v>
      </c>
      <c r="F809" s="192" t="s">
        <v>817</v>
      </c>
      <c r="G809" s="192">
        <v>0.44999998807907104</v>
      </c>
      <c r="H809" s="192" t="s">
        <v>818</v>
      </c>
      <c r="I809" s="192">
        <v>1</v>
      </c>
      <c r="J809" s="192">
        <f>VLOOKUP($B809,'RBSA Weights'!$A$2:$C$1406,3,FALSE)</f>
        <v>1904.288</v>
      </c>
    </row>
    <row r="810" spans="1:10">
      <c r="A810" s="192">
        <v>123569</v>
      </c>
      <c r="B810" s="192">
        <v>21277</v>
      </c>
      <c r="C810" s="192" t="s">
        <v>815</v>
      </c>
      <c r="D810" s="192">
        <v>290</v>
      </c>
      <c r="E810" s="192" t="s">
        <v>816</v>
      </c>
      <c r="F810" s="192" t="s">
        <v>821</v>
      </c>
      <c r="G810" s="192">
        <v>0.94999998807907104</v>
      </c>
      <c r="H810" s="192" t="s">
        <v>821</v>
      </c>
      <c r="I810" s="192">
        <v>1</v>
      </c>
      <c r="J810" s="192">
        <f>VLOOKUP($B810,'RBSA Weights'!$A$2:$C$1406,3,FALSE)</f>
        <v>1612.692</v>
      </c>
    </row>
    <row r="811" spans="1:10">
      <c r="A811" s="192">
        <v>57520</v>
      </c>
      <c r="B811" s="192">
        <v>21291</v>
      </c>
      <c r="C811" s="192" t="s">
        <v>815</v>
      </c>
      <c r="D811" s="192">
        <v>468</v>
      </c>
      <c r="E811" s="192" t="s">
        <v>816</v>
      </c>
      <c r="F811" s="192" t="s">
        <v>818</v>
      </c>
      <c r="G811" s="192">
        <v>0.60000002384185791</v>
      </c>
      <c r="H811" s="192" t="s">
        <v>818</v>
      </c>
      <c r="I811" s="192">
        <v>1</v>
      </c>
      <c r="J811" s="192">
        <f>VLOOKUP($B811,'RBSA Weights'!$A$2:$C$1406,3,FALSE)</f>
        <v>2079.9929999999999</v>
      </c>
    </row>
    <row r="812" spans="1:10">
      <c r="A812" s="192">
        <v>82879</v>
      </c>
      <c r="B812" s="192">
        <v>21293</v>
      </c>
      <c r="C812" s="192" t="s">
        <v>815</v>
      </c>
      <c r="D812" s="192">
        <v>246</v>
      </c>
      <c r="E812" s="192" t="s">
        <v>816</v>
      </c>
      <c r="F812" s="192" t="s">
        <v>817</v>
      </c>
      <c r="G812" s="192">
        <v>0.55000001192092896</v>
      </c>
      <c r="H812" s="192" t="s">
        <v>818</v>
      </c>
      <c r="I812" s="192">
        <v>1</v>
      </c>
      <c r="J812" s="192">
        <f>VLOOKUP($B812,'RBSA Weights'!$A$2:$C$1406,3,FALSE)</f>
        <v>3785.7640000000001</v>
      </c>
    </row>
    <row r="813" spans="1:10">
      <c r="A813" s="192">
        <v>76221</v>
      </c>
      <c r="B813" s="192">
        <v>21294</v>
      </c>
      <c r="C813" s="192" t="s">
        <v>815</v>
      </c>
      <c r="D813" s="192">
        <v>377</v>
      </c>
      <c r="E813" s="192" t="s">
        <v>816</v>
      </c>
      <c r="F813" s="192" t="s">
        <v>818</v>
      </c>
      <c r="G813" s="192">
        <v>0.55000001192092896</v>
      </c>
      <c r="H813" s="192" t="s">
        <v>818</v>
      </c>
      <c r="I813" s="192">
        <v>1</v>
      </c>
      <c r="J813" s="192">
        <f>VLOOKUP($B813,'RBSA Weights'!$A$2:$C$1406,3,FALSE)</f>
        <v>2079.9929999999999</v>
      </c>
    </row>
    <row r="814" spans="1:10">
      <c r="A814" s="192">
        <v>175355</v>
      </c>
      <c r="B814" s="192">
        <v>21295</v>
      </c>
      <c r="C814" s="192" t="s">
        <v>815</v>
      </c>
      <c r="D814" s="192">
        <v>83</v>
      </c>
      <c r="E814" s="192" t="s">
        <v>816</v>
      </c>
      <c r="F814" s="192" t="s">
        <v>818</v>
      </c>
      <c r="G814" s="192">
        <v>0.55000001192092896</v>
      </c>
      <c r="H814" s="192" t="s">
        <v>818</v>
      </c>
      <c r="I814" s="192">
        <v>1</v>
      </c>
      <c r="J814" s="192">
        <f>VLOOKUP($B814,'RBSA Weights'!$A$2:$C$1406,3,FALSE)</f>
        <v>1612.692</v>
      </c>
    </row>
    <row r="815" spans="1:10">
      <c r="A815" s="192">
        <v>78084</v>
      </c>
      <c r="B815" s="192">
        <v>21296</v>
      </c>
      <c r="C815" s="192" t="s">
        <v>815</v>
      </c>
      <c r="D815" s="192">
        <v>72</v>
      </c>
      <c r="E815" s="192" t="s">
        <v>819</v>
      </c>
      <c r="F815" s="192" t="s">
        <v>821</v>
      </c>
      <c r="G815" s="192">
        <v>0.75</v>
      </c>
      <c r="H815" s="192" t="s">
        <v>821</v>
      </c>
      <c r="I815" s="192">
        <v>1</v>
      </c>
      <c r="J815" s="192">
        <f>VLOOKUP($B815,'RBSA Weights'!$A$2:$C$1406,3,FALSE)</f>
        <v>1925.059</v>
      </c>
    </row>
    <row r="816" spans="1:10">
      <c r="A816" s="192">
        <v>727707</v>
      </c>
      <c r="B816" s="192">
        <v>21298</v>
      </c>
      <c r="C816" s="192" t="s">
        <v>815</v>
      </c>
      <c r="D816" s="192">
        <v>395</v>
      </c>
      <c r="E816" s="192" t="s">
        <v>816</v>
      </c>
      <c r="F816" s="192" t="s">
        <v>817</v>
      </c>
      <c r="G816" s="192">
        <v>0.44999998807907104</v>
      </c>
      <c r="H816" s="192" t="s">
        <v>818</v>
      </c>
      <c r="I816" s="192">
        <v>1</v>
      </c>
      <c r="J816" s="192">
        <f>VLOOKUP($B816,'RBSA Weights'!$A$2:$C$1406,3,FALSE)</f>
        <v>3785.7640000000001</v>
      </c>
    </row>
    <row r="817" spans="1:10">
      <c r="A817" s="192">
        <v>241243</v>
      </c>
      <c r="B817" s="192">
        <v>21305</v>
      </c>
      <c r="C817" s="192" t="s">
        <v>815</v>
      </c>
      <c r="D817" s="192">
        <v>58</v>
      </c>
      <c r="E817" s="192" t="s">
        <v>816</v>
      </c>
      <c r="F817" s="192" t="s">
        <v>817</v>
      </c>
      <c r="G817" s="192">
        <v>0.44999998807907104</v>
      </c>
      <c r="H817" s="192" t="s">
        <v>818</v>
      </c>
      <c r="I817" s="192">
        <v>1</v>
      </c>
      <c r="J817" s="192">
        <f>VLOOKUP($B817,'RBSA Weights'!$A$2:$C$1406,3,FALSE)</f>
        <v>1612.692</v>
      </c>
    </row>
    <row r="818" spans="1:10">
      <c r="A818" s="192">
        <v>663283</v>
      </c>
      <c r="B818" s="192">
        <v>21316</v>
      </c>
      <c r="C818" s="192" t="s">
        <v>815</v>
      </c>
      <c r="D818" s="192">
        <v>91</v>
      </c>
      <c r="E818" s="192" t="s">
        <v>816</v>
      </c>
      <c r="F818" s="192" t="s">
        <v>820</v>
      </c>
      <c r="G818" s="192">
        <v>0.85000002384185791</v>
      </c>
      <c r="H818" s="192" t="s">
        <v>820</v>
      </c>
      <c r="I818" s="192">
        <v>1</v>
      </c>
      <c r="J818" s="192">
        <f>VLOOKUP($B818,'RBSA Weights'!$A$2:$C$1406,3,FALSE)</f>
        <v>3785.7640000000001</v>
      </c>
    </row>
    <row r="819" spans="1:10">
      <c r="A819" s="192">
        <v>725550</v>
      </c>
      <c r="B819" s="192">
        <v>21319</v>
      </c>
      <c r="C819" s="192" t="s">
        <v>815</v>
      </c>
      <c r="D819" s="192">
        <v>117</v>
      </c>
      <c r="E819" s="192" t="s">
        <v>816</v>
      </c>
      <c r="F819" s="192" t="s">
        <v>818</v>
      </c>
      <c r="G819" s="192">
        <v>0.60000002384185791</v>
      </c>
      <c r="H819" s="192" t="s">
        <v>818</v>
      </c>
      <c r="I819" s="192">
        <v>1</v>
      </c>
      <c r="J819" s="192">
        <f>VLOOKUP($B819,'RBSA Weights'!$A$2:$C$1406,3,FALSE)</f>
        <v>2130.886</v>
      </c>
    </row>
    <row r="820" spans="1:10">
      <c r="A820" s="192">
        <v>102910</v>
      </c>
      <c r="B820" s="192">
        <v>21320</v>
      </c>
      <c r="C820" s="192" t="s">
        <v>815</v>
      </c>
      <c r="D820" s="192">
        <v>178</v>
      </c>
      <c r="E820" s="192" t="s">
        <v>816</v>
      </c>
      <c r="F820" s="192" t="s">
        <v>817</v>
      </c>
      <c r="G820" s="192">
        <v>0.55000001192092896</v>
      </c>
      <c r="H820" s="192" t="s">
        <v>818</v>
      </c>
      <c r="I820" s="192">
        <v>1</v>
      </c>
      <c r="J820" s="192">
        <f>VLOOKUP($B820,'RBSA Weights'!$A$2:$C$1406,3,FALSE)</f>
        <v>2079.9929999999999</v>
      </c>
    </row>
    <row r="821" spans="1:10">
      <c r="A821" s="192">
        <v>183449</v>
      </c>
      <c r="B821" s="192">
        <v>21326</v>
      </c>
      <c r="C821" s="192" t="s">
        <v>815</v>
      </c>
      <c r="D821" s="192">
        <v>338</v>
      </c>
      <c r="E821" s="192" t="s">
        <v>816</v>
      </c>
      <c r="F821" s="192" t="s">
        <v>817</v>
      </c>
      <c r="G821" s="192">
        <v>0.55000001192092896</v>
      </c>
      <c r="H821" s="192" t="s">
        <v>818</v>
      </c>
      <c r="I821" s="192">
        <v>1</v>
      </c>
      <c r="J821" s="192">
        <f>VLOOKUP($B821,'RBSA Weights'!$A$2:$C$1406,3,FALSE)</f>
        <v>1925.059</v>
      </c>
    </row>
    <row r="822" spans="1:10">
      <c r="A822" s="192">
        <v>184009</v>
      </c>
      <c r="B822" s="192">
        <v>21334</v>
      </c>
      <c r="C822" s="192" t="s">
        <v>815</v>
      </c>
      <c r="D822" s="192">
        <v>113</v>
      </c>
      <c r="E822" s="192" t="s">
        <v>816</v>
      </c>
      <c r="F822" s="192" t="s">
        <v>820</v>
      </c>
      <c r="G822" s="192">
        <v>0.85000002384185791</v>
      </c>
      <c r="H822" s="192" t="s">
        <v>820</v>
      </c>
      <c r="I822" s="192">
        <v>1</v>
      </c>
      <c r="J822" s="192">
        <f>VLOOKUP($B822,'RBSA Weights'!$A$2:$C$1406,3,FALSE)</f>
        <v>12271.31</v>
      </c>
    </row>
    <row r="823" spans="1:10">
      <c r="A823" s="192">
        <v>219282</v>
      </c>
      <c r="B823" s="192">
        <v>21343</v>
      </c>
      <c r="C823" s="192" t="s">
        <v>815</v>
      </c>
      <c r="D823" s="192">
        <v>198</v>
      </c>
      <c r="E823" s="192" t="s">
        <v>816</v>
      </c>
      <c r="F823" s="192" t="s">
        <v>817</v>
      </c>
      <c r="G823" s="192">
        <v>0.55000001192092896</v>
      </c>
      <c r="H823" s="192" t="s">
        <v>818</v>
      </c>
      <c r="I823" s="192">
        <v>1</v>
      </c>
      <c r="J823" s="192">
        <f>VLOOKUP($B823,'RBSA Weights'!$A$2:$C$1406,3,FALSE)</f>
        <v>8264.9449999999997</v>
      </c>
    </row>
    <row r="824" spans="1:10">
      <c r="A824" s="192">
        <v>174742</v>
      </c>
      <c r="B824" s="192">
        <v>21345</v>
      </c>
      <c r="C824" s="192" t="s">
        <v>815</v>
      </c>
      <c r="D824" s="192">
        <v>82</v>
      </c>
      <c r="E824" s="192" t="s">
        <v>816</v>
      </c>
      <c r="F824" s="192" t="s">
        <v>823</v>
      </c>
      <c r="G824" s="192">
        <v>1.1000000238418579</v>
      </c>
      <c r="H824" s="192" t="s">
        <v>823</v>
      </c>
      <c r="I824" s="192">
        <v>1</v>
      </c>
      <c r="J824" s="192">
        <f>VLOOKUP($B824,'RBSA Weights'!$A$2:$C$1406,3,FALSE)</f>
        <v>1612.692</v>
      </c>
    </row>
    <row r="825" spans="1:10">
      <c r="A825" s="192">
        <v>65936</v>
      </c>
      <c r="B825" s="192">
        <v>21350</v>
      </c>
      <c r="C825" s="192" t="s">
        <v>815</v>
      </c>
      <c r="D825" s="192">
        <v>347</v>
      </c>
      <c r="E825" s="192" t="s">
        <v>816</v>
      </c>
      <c r="F825" s="192" t="s">
        <v>817</v>
      </c>
      <c r="G825" s="192">
        <v>0.44999998807907104</v>
      </c>
      <c r="H825" s="192" t="s">
        <v>818</v>
      </c>
      <c r="I825" s="192">
        <v>1</v>
      </c>
      <c r="J825" s="192">
        <f>VLOOKUP($B825,'RBSA Weights'!$A$2:$C$1406,3,FALSE)</f>
        <v>8264.9449999999997</v>
      </c>
    </row>
    <row r="826" spans="1:10">
      <c r="A826" s="192">
        <v>166789</v>
      </c>
      <c r="B826" s="192">
        <v>21353</v>
      </c>
      <c r="C826" s="192" t="s">
        <v>815</v>
      </c>
      <c r="D826" s="192">
        <v>168</v>
      </c>
      <c r="E826" s="192" t="s">
        <v>816</v>
      </c>
      <c r="F826" s="192" t="s">
        <v>817</v>
      </c>
      <c r="G826" s="192">
        <v>0.44999998807907104</v>
      </c>
      <c r="H826" s="192" t="s">
        <v>818</v>
      </c>
      <c r="I826" s="192">
        <v>1</v>
      </c>
      <c r="J826" s="192">
        <f>VLOOKUP($B826,'RBSA Weights'!$A$2:$C$1406,3,FALSE)</f>
        <v>1192.4649999999999</v>
      </c>
    </row>
    <row r="827" spans="1:10">
      <c r="A827" s="192">
        <v>723059</v>
      </c>
      <c r="B827" s="192">
        <v>21355</v>
      </c>
      <c r="C827" s="192" t="s">
        <v>815</v>
      </c>
      <c r="D827" s="192">
        <v>110</v>
      </c>
      <c r="E827" s="192" t="s">
        <v>816</v>
      </c>
      <c r="F827" s="192" t="s">
        <v>823</v>
      </c>
      <c r="G827" s="192">
        <v>1.1000000238418579</v>
      </c>
      <c r="H827" s="192" t="s">
        <v>823</v>
      </c>
      <c r="I827" s="192">
        <v>1</v>
      </c>
      <c r="J827" s="192">
        <f>VLOOKUP($B827,'RBSA Weights'!$A$2:$C$1406,3,FALSE)</f>
        <v>8264.9449999999997</v>
      </c>
    </row>
    <row r="828" spans="1:10">
      <c r="A828" s="192">
        <v>43629</v>
      </c>
      <c r="B828" s="192">
        <v>21366</v>
      </c>
      <c r="C828" s="192" t="s">
        <v>815</v>
      </c>
      <c r="D828" s="192">
        <v>343</v>
      </c>
      <c r="E828" s="192" t="s">
        <v>816</v>
      </c>
      <c r="F828" s="192" t="s">
        <v>817</v>
      </c>
      <c r="G828" s="192">
        <v>0.44999998807907104</v>
      </c>
      <c r="H828" s="192" t="s">
        <v>818</v>
      </c>
      <c r="I828" s="192">
        <v>1</v>
      </c>
      <c r="J828" s="192">
        <f>VLOOKUP($B828,'RBSA Weights'!$A$2:$C$1406,3,FALSE)</f>
        <v>2130.886</v>
      </c>
    </row>
    <row r="829" spans="1:10">
      <c r="A829" s="192">
        <v>68905</v>
      </c>
      <c r="B829" s="192">
        <v>21367</v>
      </c>
      <c r="C829" s="192" t="s">
        <v>815</v>
      </c>
      <c r="D829" s="192">
        <v>72</v>
      </c>
      <c r="E829" s="192" t="s">
        <v>816</v>
      </c>
      <c r="F829" s="192" t="s">
        <v>821</v>
      </c>
      <c r="G829" s="192">
        <v>0.94999998807907104</v>
      </c>
      <c r="H829" s="192" t="s">
        <v>821</v>
      </c>
      <c r="I829" s="192">
        <v>1</v>
      </c>
      <c r="J829" s="192">
        <f>VLOOKUP($B829,'RBSA Weights'!$A$2:$C$1406,3,FALSE)</f>
        <v>2130.886</v>
      </c>
    </row>
    <row r="830" spans="1:10">
      <c r="A830" s="192">
        <v>123249</v>
      </c>
      <c r="B830" s="192">
        <v>21372</v>
      </c>
      <c r="C830" s="192" t="s">
        <v>815</v>
      </c>
      <c r="D830" s="192">
        <v>542</v>
      </c>
      <c r="E830" s="192" t="s">
        <v>816</v>
      </c>
      <c r="F830" s="192" t="s">
        <v>817</v>
      </c>
      <c r="G830" s="192">
        <v>0.55000001192092896</v>
      </c>
      <c r="H830" s="192" t="s">
        <v>818</v>
      </c>
      <c r="I830" s="192">
        <v>1</v>
      </c>
      <c r="J830" s="192">
        <f>VLOOKUP($B830,'RBSA Weights'!$A$2:$C$1406,3,FALSE)</f>
        <v>1612.692</v>
      </c>
    </row>
    <row r="831" spans="1:10">
      <c r="A831" s="192">
        <v>171802</v>
      </c>
      <c r="B831" s="192">
        <v>21374</v>
      </c>
      <c r="C831" s="192" t="s">
        <v>815</v>
      </c>
      <c r="D831" s="192">
        <v>186</v>
      </c>
      <c r="E831" s="192" t="s">
        <v>816</v>
      </c>
      <c r="F831" s="192" t="s">
        <v>817</v>
      </c>
      <c r="G831" s="192">
        <v>0.44999998807907104</v>
      </c>
      <c r="H831" s="192" t="s">
        <v>818</v>
      </c>
      <c r="I831" s="192">
        <v>1</v>
      </c>
      <c r="J831" s="192">
        <f>VLOOKUP($B831,'RBSA Weights'!$A$2:$C$1406,3,FALSE)</f>
        <v>1612.692</v>
      </c>
    </row>
    <row r="832" spans="1:10">
      <c r="A832" s="192">
        <v>38322</v>
      </c>
      <c r="B832" s="192">
        <v>21376</v>
      </c>
      <c r="C832" s="192" t="s">
        <v>815</v>
      </c>
      <c r="D832" s="192">
        <v>253</v>
      </c>
      <c r="E832" s="192" t="s">
        <v>816</v>
      </c>
      <c r="F832" s="192" t="s">
        <v>820</v>
      </c>
      <c r="G832" s="192">
        <v>0.85000002384185791</v>
      </c>
      <c r="H832" s="192" t="s">
        <v>820</v>
      </c>
      <c r="I832" s="192">
        <v>1</v>
      </c>
      <c r="J832" s="192">
        <f>VLOOKUP($B832,'RBSA Weights'!$A$2:$C$1406,3,FALSE)</f>
        <v>3785.7640000000001</v>
      </c>
    </row>
    <row r="833" spans="1:10">
      <c r="A833" s="192">
        <v>221160</v>
      </c>
      <c r="B833" s="192">
        <v>21384</v>
      </c>
      <c r="C833" s="192" t="s">
        <v>815</v>
      </c>
      <c r="D833" s="192">
        <v>261</v>
      </c>
      <c r="E833" s="192" t="s">
        <v>816</v>
      </c>
      <c r="F833" s="192" t="s">
        <v>817</v>
      </c>
      <c r="G833" s="192">
        <v>0.44999998807907104</v>
      </c>
      <c r="H833" s="192" t="s">
        <v>818</v>
      </c>
      <c r="I833" s="192">
        <v>1</v>
      </c>
      <c r="J833" s="192">
        <f>VLOOKUP($B833,'RBSA Weights'!$A$2:$C$1406,3,FALSE)</f>
        <v>1904.288</v>
      </c>
    </row>
    <row r="834" spans="1:10">
      <c r="A834" s="192">
        <v>200182</v>
      </c>
      <c r="B834" s="192">
        <v>21390</v>
      </c>
      <c r="C834" s="192" t="s">
        <v>815</v>
      </c>
      <c r="D834" s="192">
        <v>278</v>
      </c>
      <c r="E834" s="192" t="s">
        <v>816</v>
      </c>
      <c r="F834" s="192" t="s">
        <v>817</v>
      </c>
      <c r="G834" s="192">
        <v>0.44999998807907104</v>
      </c>
      <c r="H834" s="192" t="s">
        <v>818</v>
      </c>
      <c r="I834" s="192">
        <v>1</v>
      </c>
      <c r="J834" s="192">
        <f>VLOOKUP($B834,'RBSA Weights'!$A$2:$C$1406,3,FALSE)</f>
        <v>2130.886</v>
      </c>
    </row>
    <row r="835" spans="1:10">
      <c r="A835" s="192">
        <v>229591</v>
      </c>
      <c r="B835" s="192">
        <v>21391</v>
      </c>
      <c r="C835" s="192" t="s">
        <v>815</v>
      </c>
      <c r="D835" s="192">
        <v>182</v>
      </c>
      <c r="E835" s="192" t="s">
        <v>816</v>
      </c>
      <c r="F835" s="192" t="s">
        <v>817</v>
      </c>
      <c r="G835" s="192">
        <v>0.55000001192092896</v>
      </c>
      <c r="H835" s="192" t="s">
        <v>818</v>
      </c>
      <c r="I835" s="192">
        <v>1</v>
      </c>
      <c r="J835" s="192">
        <f>VLOOKUP($B835,'RBSA Weights'!$A$2:$C$1406,3,FALSE)</f>
        <v>3785.7640000000001</v>
      </c>
    </row>
    <row r="836" spans="1:10">
      <c r="A836" s="192">
        <v>239929</v>
      </c>
      <c r="B836" s="192">
        <v>21394</v>
      </c>
      <c r="C836" s="192" t="s">
        <v>815</v>
      </c>
      <c r="D836" s="192">
        <v>182</v>
      </c>
      <c r="E836" s="192" t="s">
        <v>816</v>
      </c>
      <c r="F836" s="192" t="s">
        <v>818</v>
      </c>
      <c r="G836" s="192">
        <v>0.60000002384185791</v>
      </c>
      <c r="H836" s="192" t="s">
        <v>818</v>
      </c>
      <c r="I836" s="192">
        <v>1</v>
      </c>
      <c r="J836" s="192">
        <f>VLOOKUP($B836,'RBSA Weights'!$A$2:$C$1406,3,FALSE)</f>
        <v>2079.9929999999999</v>
      </c>
    </row>
    <row r="837" spans="1:10">
      <c r="A837" s="192">
        <v>123752</v>
      </c>
      <c r="B837" s="192">
        <v>21401</v>
      </c>
      <c r="C837" s="192" t="s">
        <v>815</v>
      </c>
      <c r="D837" s="192">
        <v>257</v>
      </c>
      <c r="E837" s="192" t="s">
        <v>816</v>
      </c>
      <c r="F837" s="192" t="s">
        <v>817</v>
      </c>
      <c r="G837" s="192">
        <v>0.44999998807907104</v>
      </c>
      <c r="H837" s="192" t="s">
        <v>818</v>
      </c>
      <c r="I837" s="192">
        <v>1</v>
      </c>
      <c r="J837" s="192">
        <f>VLOOKUP($B837,'RBSA Weights'!$A$2:$C$1406,3,FALSE)</f>
        <v>2130.886</v>
      </c>
    </row>
    <row r="838" spans="1:10">
      <c r="A838" s="192">
        <v>49894</v>
      </c>
      <c r="B838" s="192">
        <v>21403</v>
      </c>
      <c r="C838" s="192" t="s">
        <v>815</v>
      </c>
      <c r="D838" s="192">
        <v>187</v>
      </c>
      <c r="E838" s="192" t="s">
        <v>816</v>
      </c>
      <c r="F838" s="192" t="s">
        <v>818</v>
      </c>
      <c r="G838" s="192">
        <v>0.60000002384185791</v>
      </c>
      <c r="H838" s="192" t="s">
        <v>818</v>
      </c>
      <c r="I838" s="192">
        <v>1</v>
      </c>
      <c r="J838" s="192">
        <f>VLOOKUP($B838,'RBSA Weights'!$A$2:$C$1406,3,FALSE)</f>
        <v>12271.31</v>
      </c>
    </row>
    <row r="839" spans="1:10">
      <c r="A839" s="192">
        <v>241580</v>
      </c>
      <c r="B839" s="192">
        <v>21405</v>
      </c>
      <c r="C839" s="192" t="s">
        <v>815</v>
      </c>
      <c r="D839" s="192">
        <v>475</v>
      </c>
      <c r="E839" s="192" t="s">
        <v>816</v>
      </c>
      <c r="F839" s="192" t="s">
        <v>818</v>
      </c>
      <c r="G839" s="192">
        <v>0.60000002384185791</v>
      </c>
      <c r="H839" s="192" t="s">
        <v>818</v>
      </c>
      <c r="I839" s="192">
        <v>1</v>
      </c>
      <c r="J839" s="192">
        <f>VLOOKUP($B839,'RBSA Weights'!$A$2:$C$1406,3,FALSE)</f>
        <v>12271.31</v>
      </c>
    </row>
    <row r="840" spans="1:10">
      <c r="A840" s="192">
        <v>691821</v>
      </c>
      <c r="B840" s="192">
        <v>21408</v>
      </c>
      <c r="C840" s="192" t="s">
        <v>815</v>
      </c>
      <c r="D840" s="192">
        <v>187</v>
      </c>
      <c r="E840" s="192" t="s">
        <v>816</v>
      </c>
      <c r="F840" s="192" t="s">
        <v>817</v>
      </c>
      <c r="G840" s="192">
        <v>0.44999998807907104</v>
      </c>
      <c r="H840" s="192" t="s">
        <v>818</v>
      </c>
      <c r="I840" s="192">
        <v>1</v>
      </c>
      <c r="J840" s="192">
        <f>VLOOKUP($B840,'RBSA Weights'!$A$2:$C$1406,3,FALSE)</f>
        <v>3785.7640000000001</v>
      </c>
    </row>
    <row r="841" spans="1:10">
      <c r="A841" s="192">
        <v>186783</v>
      </c>
      <c r="B841" s="192">
        <v>21411</v>
      </c>
      <c r="C841" s="192" t="s">
        <v>815</v>
      </c>
      <c r="D841" s="192">
        <v>270</v>
      </c>
      <c r="E841" s="192" t="s">
        <v>819</v>
      </c>
      <c r="F841" s="192" t="s">
        <v>821</v>
      </c>
      <c r="G841" s="192">
        <v>0.75</v>
      </c>
      <c r="H841" s="192" t="s">
        <v>821</v>
      </c>
      <c r="I841" s="192">
        <v>1</v>
      </c>
      <c r="J841" s="192">
        <f>VLOOKUP($B841,'RBSA Weights'!$A$2:$C$1406,3,FALSE)</f>
        <v>2130.886</v>
      </c>
    </row>
    <row r="842" spans="1:10">
      <c r="A842" s="192">
        <v>684002</v>
      </c>
      <c r="B842" s="192">
        <v>21414</v>
      </c>
      <c r="C842" s="192" t="s">
        <v>815</v>
      </c>
      <c r="D842" s="192">
        <v>151</v>
      </c>
      <c r="E842" s="192" t="s">
        <v>816</v>
      </c>
      <c r="F842" s="192" t="s">
        <v>817</v>
      </c>
      <c r="G842" s="192">
        <v>0.55000001192092896</v>
      </c>
      <c r="H842" s="192" t="s">
        <v>818</v>
      </c>
      <c r="I842" s="192">
        <v>1</v>
      </c>
      <c r="J842" s="192">
        <f>VLOOKUP($B842,'RBSA Weights'!$A$2:$C$1406,3,FALSE)</f>
        <v>12271.31</v>
      </c>
    </row>
    <row r="843" spans="1:10">
      <c r="A843" s="192">
        <v>142235</v>
      </c>
      <c r="B843" s="192">
        <v>21417</v>
      </c>
      <c r="C843" s="192" t="s">
        <v>815</v>
      </c>
      <c r="D843" s="192">
        <v>253</v>
      </c>
      <c r="E843" s="192" t="s">
        <v>816</v>
      </c>
      <c r="F843" s="192" t="s">
        <v>817</v>
      </c>
      <c r="G843" s="192">
        <v>0.44999998807907104</v>
      </c>
      <c r="H843" s="192" t="s">
        <v>818</v>
      </c>
      <c r="I843" s="192">
        <v>1</v>
      </c>
      <c r="J843" s="192">
        <f>VLOOKUP($B843,'RBSA Weights'!$A$2:$C$1406,3,FALSE)</f>
        <v>1192.4649999999999</v>
      </c>
    </row>
    <row r="844" spans="1:10">
      <c r="A844" s="192">
        <v>193919</v>
      </c>
      <c r="B844" s="192">
        <v>21419</v>
      </c>
      <c r="C844" s="192" t="s">
        <v>815</v>
      </c>
      <c r="D844" s="192">
        <v>181</v>
      </c>
      <c r="E844" s="192" t="s">
        <v>819</v>
      </c>
      <c r="F844" s="192" t="s">
        <v>821</v>
      </c>
      <c r="G844" s="192">
        <v>0.75</v>
      </c>
      <c r="H844" s="192" t="s">
        <v>821</v>
      </c>
      <c r="I844" s="192">
        <v>1</v>
      </c>
      <c r="J844" s="192">
        <f>VLOOKUP($B844,'RBSA Weights'!$A$2:$C$1406,3,FALSE)</f>
        <v>2130.886</v>
      </c>
    </row>
    <row r="845" spans="1:10">
      <c r="A845" s="192">
        <v>189777</v>
      </c>
      <c r="B845" s="192">
        <v>21427</v>
      </c>
      <c r="C845" s="192" t="s">
        <v>815</v>
      </c>
      <c r="D845" s="192">
        <v>120</v>
      </c>
      <c r="E845" s="192" t="s">
        <v>816</v>
      </c>
      <c r="F845" s="192" t="s">
        <v>820</v>
      </c>
      <c r="G845" s="192">
        <v>0.85000002384185791</v>
      </c>
      <c r="H845" s="192" t="s">
        <v>820</v>
      </c>
      <c r="I845" s="192">
        <v>1</v>
      </c>
      <c r="J845" s="192">
        <f>VLOOKUP($B845,'RBSA Weights'!$A$2:$C$1406,3,FALSE)</f>
        <v>1612.692</v>
      </c>
    </row>
    <row r="846" spans="1:10">
      <c r="A846" s="192">
        <v>105818</v>
      </c>
      <c r="B846" s="192">
        <v>21431</v>
      </c>
      <c r="C846" s="192" t="s">
        <v>815</v>
      </c>
      <c r="D846" s="192">
        <v>208</v>
      </c>
      <c r="E846" s="192" t="s">
        <v>816</v>
      </c>
      <c r="F846" s="192" t="s">
        <v>818</v>
      </c>
      <c r="G846" s="192">
        <v>0.55000001192092896</v>
      </c>
      <c r="H846" s="192" t="s">
        <v>818</v>
      </c>
      <c r="I846" s="192">
        <v>1</v>
      </c>
      <c r="J846" s="192">
        <f>VLOOKUP($B846,'RBSA Weights'!$A$2:$C$1406,3,FALSE)</f>
        <v>1144.6790000000001</v>
      </c>
    </row>
    <row r="847" spans="1:10">
      <c r="A847" s="192">
        <v>71482</v>
      </c>
      <c r="B847" s="192">
        <v>21436</v>
      </c>
      <c r="C847" s="192" t="s">
        <v>815</v>
      </c>
      <c r="D847" s="192">
        <v>103</v>
      </c>
      <c r="E847" s="192" t="s">
        <v>819</v>
      </c>
      <c r="F847" s="192" t="s">
        <v>821</v>
      </c>
      <c r="G847" s="192">
        <v>0.75</v>
      </c>
      <c r="H847" s="192" t="s">
        <v>821</v>
      </c>
      <c r="I847" s="192">
        <v>1</v>
      </c>
      <c r="J847" s="192">
        <f>VLOOKUP($B847,'RBSA Weights'!$A$2:$C$1406,3,FALSE)</f>
        <v>3785.7640000000001</v>
      </c>
    </row>
    <row r="848" spans="1:10">
      <c r="A848" s="192">
        <v>124829</v>
      </c>
      <c r="B848" s="192">
        <v>21437</v>
      </c>
      <c r="C848" s="192" t="s">
        <v>815</v>
      </c>
      <c r="D848" s="192">
        <v>274</v>
      </c>
      <c r="E848" s="192" t="s">
        <v>816</v>
      </c>
      <c r="F848" s="192" t="s">
        <v>817</v>
      </c>
      <c r="G848" s="192">
        <v>0.55000001192092896</v>
      </c>
      <c r="H848" s="192" t="s">
        <v>818</v>
      </c>
      <c r="I848" s="192">
        <v>1</v>
      </c>
      <c r="J848" s="192">
        <f>VLOOKUP($B848,'RBSA Weights'!$A$2:$C$1406,3,FALSE)</f>
        <v>2079.9929999999999</v>
      </c>
    </row>
    <row r="849" spans="1:10">
      <c r="A849" s="192">
        <v>163245</v>
      </c>
      <c r="B849" s="192">
        <v>21438</v>
      </c>
      <c r="C849" s="192" t="s">
        <v>815</v>
      </c>
      <c r="D849" s="192">
        <v>132</v>
      </c>
      <c r="E849" s="192" t="s">
        <v>816</v>
      </c>
      <c r="F849" s="192" t="s">
        <v>820</v>
      </c>
      <c r="G849" s="192">
        <v>0.80000001192092896</v>
      </c>
      <c r="H849" s="192" t="s">
        <v>820</v>
      </c>
      <c r="I849" s="192">
        <v>1</v>
      </c>
      <c r="J849" s="192">
        <f>VLOOKUP($B849,'RBSA Weights'!$A$2:$C$1406,3,FALSE)</f>
        <v>1612.692</v>
      </c>
    </row>
    <row r="850" spans="1:10">
      <c r="A850" s="192">
        <v>119161</v>
      </c>
      <c r="B850" s="192">
        <v>21452</v>
      </c>
      <c r="C850" s="192" t="s">
        <v>815</v>
      </c>
      <c r="D850" s="192">
        <v>253</v>
      </c>
      <c r="E850" s="192" t="s">
        <v>816</v>
      </c>
      <c r="F850" s="192" t="s">
        <v>818</v>
      </c>
      <c r="G850" s="192">
        <v>0.60000002384185791</v>
      </c>
      <c r="H850" s="192" t="s">
        <v>818</v>
      </c>
      <c r="I850" s="192">
        <v>1</v>
      </c>
      <c r="J850" s="192">
        <f>VLOOKUP($B850,'RBSA Weights'!$A$2:$C$1406,3,FALSE)</f>
        <v>1904.288</v>
      </c>
    </row>
    <row r="851" spans="1:10">
      <c r="A851" s="192">
        <v>152876</v>
      </c>
      <c r="B851" s="192">
        <v>21456</v>
      </c>
      <c r="C851" s="192" t="s">
        <v>815</v>
      </c>
      <c r="D851" s="192">
        <v>58</v>
      </c>
      <c r="E851" s="192" t="s">
        <v>816</v>
      </c>
      <c r="F851" s="192" t="s">
        <v>817</v>
      </c>
      <c r="G851" s="192">
        <v>0.55000001192092896</v>
      </c>
      <c r="H851" s="192" t="s">
        <v>818</v>
      </c>
      <c r="I851" s="192">
        <v>1</v>
      </c>
      <c r="J851" s="192">
        <f>VLOOKUP($B851,'RBSA Weights'!$A$2:$C$1406,3,FALSE)</f>
        <v>1612.692</v>
      </c>
    </row>
    <row r="852" spans="1:10">
      <c r="A852" s="192">
        <v>70052</v>
      </c>
      <c r="B852" s="192">
        <v>21459</v>
      </c>
      <c r="C852" s="192" t="s">
        <v>815</v>
      </c>
      <c r="D852" s="192">
        <v>238</v>
      </c>
      <c r="E852" s="192" t="s">
        <v>816</v>
      </c>
      <c r="F852" s="192" t="s">
        <v>817</v>
      </c>
      <c r="G852" s="192">
        <v>0.44999998807907104</v>
      </c>
      <c r="H852" s="192" t="s">
        <v>818</v>
      </c>
      <c r="I852" s="192">
        <v>1</v>
      </c>
      <c r="J852" s="192">
        <f>VLOOKUP($B852,'RBSA Weights'!$A$2:$C$1406,3,FALSE)</f>
        <v>1144.6790000000001</v>
      </c>
    </row>
    <row r="853" spans="1:10">
      <c r="A853" s="192">
        <v>162824</v>
      </c>
      <c r="B853" s="192">
        <v>21460</v>
      </c>
      <c r="C853" s="192" t="s">
        <v>815</v>
      </c>
      <c r="D853" s="192">
        <v>132</v>
      </c>
      <c r="E853" s="192" t="s">
        <v>816</v>
      </c>
      <c r="F853" s="192" t="s">
        <v>817</v>
      </c>
      <c r="G853" s="192">
        <v>0.55000001192092896</v>
      </c>
      <c r="H853" s="192" t="s">
        <v>818</v>
      </c>
      <c r="I853" s="192">
        <v>1</v>
      </c>
      <c r="J853" s="192">
        <f>VLOOKUP($B853,'RBSA Weights'!$A$2:$C$1406,3,FALSE)</f>
        <v>3785.7640000000001</v>
      </c>
    </row>
    <row r="854" spans="1:10">
      <c r="A854" s="192">
        <v>154584</v>
      </c>
      <c r="B854" s="192">
        <v>21463</v>
      </c>
      <c r="C854" s="192" t="s">
        <v>815</v>
      </c>
      <c r="D854" s="192">
        <v>375</v>
      </c>
      <c r="E854" s="192" t="s">
        <v>816</v>
      </c>
      <c r="F854" s="192" t="s">
        <v>821</v>
      </c>
      <c r="G854" s="192">
        <v>0.94999998807907104</v>
      </c>
      <c r="H854" s="192" t="s">
        <v>821</v>
      </c>
      <c r="I854" s="192">
        <v>1</v>
      </c>
      <c r="J854" s="192">
        <f>VLOOKUP($B854,'RBSA Weights'!$A$2:$C$1406,3,FALSE)</f>
        <v>2079.9929999999999</v>
      </c>
    </row>
    <row r="855" spans="1:10">
      <c r="A855" s="192">
        <v>166930</v>
      </c>
      <c r="B855" s="192">
        <v>21464</v>
      </c>
      <c r="C855" s="192" t="s">
        <v>815</v>
      </c>
      <c r="D855" s="192">
        <v>162</v>
      </c>
      <c r="E855" s="192" t="s">
        <v>816</v>
      </c>
      <c r="F855" s="192" t="s">
        <v>817</v>
      </c>
      <c r="G855" s="192">
        <v>0.55000001192092896</v>
      </c>
      <c r="H855" s="192" t="s">
        <v>818</v>
      </c>
      <c r="I855" s="192">
        <v>1</v>
      </c>
      <c r="J855" s="192">
        <f>VLOOKUP($B855,'RBSA Weights'!$A$2:$C$1406,3,FALSE)</f>
        <v>1192.4649999999999</v>
      </c>
    </row>
    <row r="856" spans="1:10">
      <c r="A856" s="192">
        <v>104497</v>
      </c>
      <c r="B856" s="192">
        <v>21469</v>
      </c>
      <c r="C856" s="192" t="s">
        <v>815</v>
      </c>
      <c r="D856" s="192">
        <v>217</v>
      </c>
      <c r="E856" s="192" t="s">
        <v>816</v>
      </c>
      <c r="F856" s="192" t="s">
        <v>820</v>
      </c>
      <c r="G856" s="192">
        <v>0.85000002384185791</v>
      </c>
      <c r="H856" s="192" t="s">
        <v>820</v>
      </c>
      <c r="I856" s="192">
        <v>1</v>
      </c>
      <c r="J856" s="192">
        <f>VLOOKUP($B856,'RBSA Weights'!$A$2:$C$1406,3,FALSE)</f>
        <v>1904.288</v>
      </c>
    </row>
    <row r="857" spans="1:10">
      <c r="A857" s="192">
        <v>49186</v>
      </c>
      <c r="B857" s="192">
        <v>21471</v>
      </c>
      <c r="C857" s="192" t="s">
        <v>815</v>
      </c>
      <c r="D857" s="192">
        <v>255</v>
      </c>
      <c r="E857" s="192" t="s">
        <v>816</v>
      </c>
      <c r="F857" s="192" t="s">
        <v>818</v>
      </c>
      <c r="G857" s="192">
        <v>0.60000002384185791</v>
      </c>
      <c r="H857" s="192" t="s">
        <v>818</v>
      </c>
      <c r="I857" s="192">
        <v>1</v>
      </c>
      <c r="J857" s="192">
        <f>VLOOKUP($B857,'RBSA Weights'!$A$2:$C$1406,3,FALSE)</f>
        <v>2079.9929999999999</v>
      </c>
    </row>
    <row r="858" spans="1:10">
      <c r="A858" s="192">
        <v>211273</v>
      </c>
      <c r="B858" s="192">
        <v>21483</v>
      </c>
      <c r="C858" s="192" t="s">
        <v>815</v>
      </c>
      <c r="D858" s="192">
        <v>215</v>
      </c>
      <c r="E858" s="192" t="s">
        <v>816</v>
      </c>
      <c r="F858" s="192" t="s">
        <v>818</v>
      </c>
      <c r="G858" s="192">
        <v>0.55000001192092896</v>
      </c>
      <c r="H858" s="192" t="s">
        <v>818</v>
      </c>
      <c r="I858" s="192">
        <v>1</v>
      </c>
      <c r="J858" s="192">
        <f>VLOOKUP($B858,'RBSA Weights'!$A$2:$C$1406,3,FALSE)</f>
        <v>1904.288</v>
      </c>
    </row>
    <row r="859" spans="1:10">
      <c r="A859" s="192">
        <v>208895</v>
      </c>
      <c r="B859" s="192">
        <v>21484</v>
      </c>
      <c r="C859" s="192" t="s">
        <v>815</v>
      </c>
      <c r="D859" s="192">
        <v>137</v>
      </c>
      <c r="E859" s="192" t="s">
        <v>819</v>
      </c>
      <c r="F859" s="192" t="s">
        <v>821</v>
      </c>
      <c r="G859" s="192">
        <v>0.75</v>
      </c>
      <c r="H859" s="192" t="s">
        <v>821</v>
      </c>
      <c r="I859" s="192">
        <v>1</v>
      </c>
      <c r="J859" s="192">
        <f>VLOOKUP($B859,'RBSA Weights'!$A$2:$C$1406,3,FALSE)</f>
        <v>3785.7640000000001</v>
      </c>
    </row>
    <row r="860" spans="1:10">
      <c r="A860" s="192">
        <v>150144</v>
      </c>
      <c r="B860" s="192">
        <v>21486</v>
      </c>
      <c r="C860" s="192" t="s">
        <v>815</v>
      </c>
      <c r="D860" s="192">
        <v>193</v>
      </c>
      <c r="E860" s="192" t="s">
        <v>816</v>
      </c>
      <c r="F860" s="192" t="s">
        <v>817</v>
      </c>
      <c r="G860" s="192">
        <v>0.55000001192092896</v>
      </c>
      <c r="H860" s="192" t="s">
        <v>818</v>
      </c>
      <c r="I860" s="192">
        <v>1</v>
      </c>
      <c r="J860" s="192">
        <f>VLOOKUP($B860,'RBSA Weights'!$A$2:$C$1406,3,FALSE)</f>
        <v>1612.692</v>
      </c>
    </row>
    <row r="861" spans="1:10">
      <c r="A861" s="192">
        <v>234145</v>
      </c>
      <c r="B861" s="192">
        <v>21487</v>
      </c>
      <c r="C861" s="192" t="s">
        <v>815</v>
      </c>
      <c r="D861" s="192">
        <v>206</v>
      </c>
      <c r="E861" s="192" t="s">
        <v>816</v>
      </c>
      <c r="F861" s="192" t="s">
        <v>817</v>
      </c>
      <c r="G861" s="192">
        <v>0.44999998807907104</v>
      </c>
      <c r="H861" s="192" t="s">
        <v>818</v>
      </c>
      <c r="I861" s="192">
        <v>1</v>
      </c>
      <c r="J861" s="192">
        <f>VLOOKUP($B861,'RBSA Weights'!$A$2:$C$1406,3,FALSE)</f>
        <v>8264.9449999999997</v>
      </c>
    </row>
    <row r="862" spans="1:10">
      <c r="A862" s="192">
        <v>144272</v>
      </c>
      <c r="B862" s="192">
        <v>21494</v>
      </c>
      <c r="C862" s="192" t="s">
        <v>815</v>
      </c>
      <c r="D862" s="192">
        <v>107</v>
      </c>
      <c r="E862" s="192" t="s">
        <v>816</v>
      </c>
      <c r="F862" s="192" t="s">
        <v>818</v>
      </c>
      <c r="G862" s="192">
        <v>0.55000001192092896</v>
      </c>
      <c r="H862" s="192" t="s">
        <v>818</v>
      </c>
      <c r="I862" s="192">
        <v>1</v>
      </c>
      <c r="J862" s="192">
        <f>VLOOKUP($B862,'RBSA Weights'!$A$2:$C$1406,3,FALSE)</f>
        <v>2130.886</v>
      </c>
    </row>
    <row r="863" spans="1:10">
      <c r="A863" s="192">
        <v>207189</v>
      </c>
      <c r="B863" s="192">
        <v>21499</v>
      </c>
      <c r="C863" s="192" t="s">
        <v>815</v>
      </c>
      <c r="D863" s="192">
        <v>119</v>
      </c>
      <c r="E863" s="192" t="s">
        <v>816</v>
      </c>
      <c r="F863" s="192" t="s">
        <v>817</v>
      </c>
      <c r="G863" s="192">
        <v>0.44999998807907104</v>
      </c>
      <c r="H863" s="192" t="s">
        <v>818</v>
      </c>
      <c r="I863" s="192">
        <v>1</v>
      </c>
      <c r="J863" s="192">
        <f>VLOOKUP($B863,'RBSA Weights'!$A$2:$C$1406,3,FALSE)</f>
        <v>1904.288</v>
      </c>
    </row>
    <row r="864" spans="1:10">
      <c r="A864" s="192">
        <v>56249</v>
      </c>
      <c r="B864" s="192">
        <v>21501</v>
      </c>
      <c r="C864" s="192" t="s">
        <v>815</v>
      </c>
      <c r="D864" s="192">
        <v>183</v>
      </c>
      <c r="E864" s="192" t="s">
        <v>816</v>
      </c>
      <c r="F864" s="192" t="s">
        <v>817</v>
      </c>
      <c r="G864" s="192">
        <v>0.44999998807907104</v>
      </c>
      <c r="H864" s="192" t="s">
        <v>818</v>
      </c>
      <c r="I864" s="192">
        <v>1</v>
      </c>
      <c r="J864" s="192">
        <f>VLOOKUP($B864,'RBSA Weights'!$A$2:$C$1406,3,FALSE)</f>
        <v>3785.7640000000001</v>
      </c>
    </row>
    <row r="865" spans="1:10">
      <c r="A865" s="192">
        <v>110603</v>
      </c>
      <c r="B865" s="192">
        <v>21503</v>
      </c>
      <c r="C865" s="192" t="s">
        <v>815</v>
      </c>
      <c r="D865" s="192">
        <v>167</v>
      </c>
      <c r="E865" s="192" t="s">
        <v>816</v>
      </c>
      <c r="F865" s="192" t="s">
        <v>817</v>
      </c>
      <c r="G865" s="192">
        <v>0.44999998807907104</v>
      </c>
      <c r="H865" s="192" t="s">
        <v>818</v>
      </c>
      <c r="I865" s="192">
        <v>1</v>
      </c>
      <c r="J865" s="192">
        <f>VLOOKUP($B865,'RBSA Weights'!$A$2:$C$1406,3,FALSE)</f>
        <v>2079.9929999999999</v>
      </c>
    </row>
    <row r="866" spans="1:10">
      <c r="A866" s="192">
        <v>95193</v>
      </c>
      <c r="B866" s="192">
        <v>21504</v>
      </c>
      <c r="C866" s="192" t="s">
        <v>815</v>
      </c>
      <c r="D866" s="192">
        <v>98</v>
      </c>
      <c r="E866" s="192" t="s">
        <v>816</v>
      </c>
      <c r="F866" s="192" t="s">
        <v>817</v>
      </c>
      <c r="G866" s="192">
        <v>0.44999998807907104</v>
      </c>
      <c r="H866" s="192" t="s">
        <v>818</v>
      </c>
      <c r="I866" s="192">
        <v>1</v>
      </c>
      <c r="J866" s="192">
        <f>VLOOKUP($B866,'RBSA Weights'!$A$2:$C$1406,3,FALSE)</f>
        <v>1144.6790000000001</v>
      </c>
    </row>
    <row r="867" spans="1:10">
      <c r="A867" s="192">
        <v>220844</v>
      </c>
      <c r="B867" s="192">
        <v>21524</v>
      </c>
      <c r="C867" s="192" t="s">
        <v>815</v>
      </c>
      <c r="D867" s="192">
        <v>399</v>
      </c>
      <c r="E867" s="192" t="s">
        <v>816</v>
      </c>
      <c r="F867" s="192" t="s">
        <v>817</v>
      </c>
      <c r="G867" s="192">
        <v>0.44999998807907104</v>
      </c>
      <c r="H867" s="192" t="s">
        <v>818</v>
      </c>
      <c r="I867" s="192">
        <v>1</v>
      </c>
      <c r="J867" s="192">
        <f>VLOOKUP($B867,'RBSA Weights'!$A$2:$C$1406,3,FALSE)</f>
        <v>1904.288</v>
      </c>
    </row>
    <row r="868" spans="1:10">
      <c r="A868" s="192">
        <v>689830</v>
      </c>
      <c r="B868" s="192">
        <v>21531</v>
      </c>
      <c r="C868" s="192" t="s">
        <v>815</v>
      </c>
      <c r="D868" s="192">
        <v>253</v>
      </c>
      <c r="E868" s="192" t="s">
        <v>816</v>
      </c>
      <c r="F868" s="192" t="s">
        <v>820</v>
      </c>
      <c r="G868" s="192">
        <v>0.80000001192092896</v>
      </c>
      <c r="H868" s="192" t="s">
        <v>820</v>
      </c>
      <c r="I868" s="192">
        <v>1</v>
      </c>
      <c r="J868" s="192">
        <f>VLOOKUP($B868,'RBSA Weights'!$A$2:$C$1406,3,FALSE)</f>
        <v>4360.1880000000001</v>
      </c>
    </row>
    <row r="869" spans="1:10">
      <c r="A869" s="192">
        <v>194945</v>
      </c>
      <c r="B869" s="192">
        <v>21532</v>
      </c>
      <c r="C869" s="192" t="s">
        <v>815</v>
      </c>
      <c r="D869" s="192">
        <v>286</v>
      </c>
      <c r="E869" s="192" t="s">
        <v>816</v>
      </c>
      <c r="F869" s="192" t="s">
        <v>817</v>
      </c>
      <c r="G869" s="192">
        <v>0.44999998807907104</v>
      </c>
      <c r="H869" s="192" t="s">
        <v>818</v>
      </c>
      <c r="I869" s="192">
        <v>1</v>
      </c>
      <c r="J869" s="192">
        <f>VLOOKUP($B869,'RBSA Weights'!$A$2:$C$1406,3,FALSE)</f>
        <v>1925.059</v>
      </c>
    </row>
    <row r="870" spans="1:10">
      <c r="A870" s="192">
        <v>119607</v>
      </c>
      <c r="B870" s="192">
        <v>21537</v>
      </c>
      <c r="C870" s="192" t="s">
        <v>815</v>
      </c>
      <c r="D870" s="192">
        <v>175</v>
      </c>
      <c r="E870" s="192" t="s">
        <v>816</v>
      </c>
      <c r="F870" s="192" t="s">
        <v>817</v>
      </c>
      <c r="G870" s="192">
        <v>0.55000001192092896</v>
      </c>
      <c r="H870" s="192" t="s">
        <v>818</v>
      </c>
      <c r="I870" s="192">
        <v>1</v>
      </c>
      <c r="J870" s="192">
        <f>VLOOKUP($B870,'RBSA Weights'!$A$2:$C$1406,3,FALSE)</f>
        <v>1612.692</v>
      </c>
    </row>
    <row r="871" spans="1:10">
      <c r="A871" s="192">
        <v>231616</v>
      </c>
      <c r="B871" s="192">
        <v>21546</v>
      </c>
      <c r="C871" s="192" t="s">
        <v>815</v>
      </c>
      <c r="D871" s="192">
        <v>672</v>
      </c>
      <c r="E871" s="192" t="s">
        <v>816</v>
      </c>
      <c r="F871" s="192" t="s">
        <v>817</v>
      </c>
      <c r="G871" s="192">
        <v>0.55000001192092896</v>
      </c>
      <c r="H871" s="192" t="s">
        <v>818</v>
      </c>
      <c r="I871" s="192">
        <v>1</v>
      </c>
      <c r="J871" s="192">
        <f>VLOOKUP($B871,'RBSA Weights'!$A$2:$C$1406,3,FALSE)</f>
        <v>1612.692</v>
      </c>
    </row>
    <row r="872" spans="1:10">
      <c r="A872" s="192">
        <v>193999</v>
      </c>
      <c r="B872" s="192">
        <v>21566</v>
      </c>
      <c r="C872" s="192" t="s">
        <v>815</v>
      </c>
      <c r="D872" s="192">
        <v>202</v>
      </c>
      <c r="E872" s="192" t="s">
        <v>819</v>
      </c>
      <c r="F872" s="192" t="s">
        <v>818</v>
      </c>
      <c r="G872" s="192">
        <v>0.5</v>
      </c>
      <c r="H872" s="192" t="s">
        <v>818</v>
      </c>
      <c r="I872" s="192">
        <v>1</v>
      </c>
      <c r="J872" s="192">
        <f>VLOOKUP($B872,'RBSA Weights'!$A$2:$C$1406,3,FALSE)</f>
        <v>2130.886</v>
      </c>
    </row>
    <row r="873" spans="1:10">
      <c r="A873" s="192">
        <v>110795</v>
      </c>
      <c r="B873" s="192">
        <v>21578</v>
      </c>
      <c r="C873" s="192" t="s">
        <v>815</v>
      </c>
      <c r="D873" s="192">
        <v>327</v>
      </c>
      <c r="E873" s="192" t="s">
        <v>816</v>
      </c>
      <c r="F873" s="192" t="s">
        <v>817</v>
      </c>
      <c r="G873" s="192">
        <v>0.55000001192092896</v>
      </c>
      <c r="H873" s="192" t="s">
        <v>818</v>
      </c>
      <c r="I873" s="192">
        <v>1</v>
      </c>
      <c r="J873" s="192">
        <f>VLOOKUP($B873,'RBSA Weights'!$A$2:$C$1406,3,FALSE)</f>
        <v>2079.9929999999999</v>
      </c>
    </row>
    <row r="874" spans="1:10">
      <c r="A874" s="192">
        <v>727847</v>
      </c>
      <c r="B874" s="192">
        <v>21588</v>
      </c>
      <c r="C874" s="192" t="s">
        <v>815</v>
      </c>
      <c r="D874" s="192">
        <v>80</v>
      </c>
      <c r="E874" s="192" t="s">
        <v>816</v>
      </c>
      <c r="F874" s="192" t="s">
        <v>818</v>
      </c>
      <c r="G874" s="192">
        <v>0.60000002384185791</v>
      </c>
      <c r="H874" s="192" t="s">
        <v>818</v>
      </c>
      <c r="I874" s="192">
        <v>1</v>
      </c>
      <c r="J874" s="192">
        <f>VLOOKUP($B874,'RBSA Weights'!$A$2:$C$1406,3,FALSE)</f>
        <v>3785.7640000000001</v>
      </c>
    </row>
    <row r="875" spans="1:10">
      <c r="A875" s="192">
        <v>135430</v>
      </c>
      <c r="B875" s="192">
        <v>21598</v>
      </c>
      <c r="C875" s="192" t="s">
        <v>815</v>
      </c>
      <c r="D875" s="192">
        <v>243</v>
      </c>
      <c r="E875" s="192" t="s">
        <v>819</v>
      </c>
      <c r="F875" s="192" t="s">
        <v>821</v>
      </c>
      <c r="G875" s="192">
        <v>0.75</v>
      </c>
      <c r="H875" s="192" t="s">
        <v>821</v>
      </c>
      <c r="I875" s="192">
        <v>1</v>
      </c>
      <c r="J875" s="192">
        <f>VLOOKUP($B875,'RBSA Weights'!$A$2:$C$1406,3,FALSE)</f>
        <v>8559.1039999999994</v>
      </c>
    </row>
    <row r="876" spans="1:10">
      <c r="A876" s="192">
        <v>238072</v>
      </c>
      <c r="B876" s="192">
        <v>21601</v>
      </c>
      <c r="C876" s="192" t="s">
        <v>815</v>
      </c>
      <c r="D876" s="192">
        <v>159</v>
      </c>
      <c r="E876" s="192" t="s">
        <v>816</v>
      </c>
      <c r="F876" s="192" t="s">
        <v>823</v>
      </c>
      <c r="G876" s="192">
        <v>1.1000000238418579</v>
      </c>
      <c r="H876" s="192" t="s">
        <v>823</v>
      </c>
      <c r="I876" s="192">
        <v>1</v>
      </c>
      <c r="J876" s="192">
        <f>VLOOKUP($B876,'RBSA Weights'!$A$2:$C$1406,3,FALSE)</f>
        <v>2079.9929999999999</v>
      </c>
    </row>
    <row r="877" spans="1:10">
      <c r="A877" s="192">
        <v>33372</v>
      </c>
      <c r="B877" s="192">
        <v>21605</v>
      </c>
      <c r="C877" s="192" t="s">
        <v>815</v>
      </c>
      <c r="D877" s="192">
        <v>111</v>
      </c>
      <c r="E877" s="192" t="s">
        <v>819</v>
      </c>
      <c r="F877" s="192" t="s">
        <v>821</v>
      </c>
      <c r="G877" s="192">
        <v>0.75</v>
      </c>
      <c r="H877" s="192" t="s">
        <v>821</v>
      </c>
      <c r="I877" s="192">
        <v>1</v>
      </c>
      <c r="J877" s="192">
        <f>VLOOKUP($B877,'RBSA Weights'!$A$2:$C$1406,3,FALSE)</f>
        <v>2130.886</v>
      </c>
    </row>
    <row r="878" spans="1:10">
      <c r="A878" s="192">
        <v>102170</v>
      </c>
      <c r="B878" s="192">
        <v>21612</v>
      </c>
      <c r="C878" s="192" t="s">
        <v>815</v>
      </c>
      <c r="D878" s="192">
        <v>118</v>
      </c>
      <c r="E878" s="192" t="s">
        <v>819</v>
      </c>
      <c r="F878" s="192" t="s">
        <v>821</v>
      </c>
      <c r="G878" s="192">
        <v>0.75</v>
      </c>
      <c r="H878" s="192" t="s">
        <v>821</v>
      </c>
      <c r="I878" s="192">
        <v>1</v>
      </c>
      <c r="J878" s="192">
        <f>VLOOKUP($B878,'RBSA Weights'!$A$2:$C$1406,3,FALSE)</f>
        <v>2130.886</v>
      </c>
    </row>
    <row r="879" spans="1:10">
      <c r="A879" s="192">
        <v>683112</v>
      </c>
      <c r="B879" s="192">
        <v>21615</v>
      </c>
      <c r="C879" s="192" t="s">
        <v>815</v>
      </c>
      <c r="D879" s="192">
        <v>173</v>
      </c>
      <c r="E879" s="192" t="s">
        <v>816</v>
      </c>
      <c r="F879" s="192" t="s">
        <v>817</v>
      </c>
      <c r="G879" s="192">
        <v>0.55000001192092896</v>
      </c>
      <c r="H879" s="192" t="s">
        <v>818</v>
      </c>
      <c r="I879" s="192">
        <v>1</v>
      </c>
      <c r="J879" s="192">
        <f>VLOOKUP($B879,'RBSA Weights'!$A$2:$C$1406,3,FALSE)</f>
        <v>12271.31</v>
      </c>
    </row>
    <row r="880" spans="1:10">
      <c r="A880" s="192">
        <v>174139</v>
      </c>
      <c r="B880" s="192">
        <v>21623</v>
      </c>
      <c r="C880" s="192" t="s">
        <v>815</v>
      </c>
      <c r="D880" s="192">
        <v>418</v>
      </c>
      <c r="E880" s="192" t="s">
        <v>816</v>
      </c>
      <c r="F880" s="192" t="s">
        <v>817</v>
      </c>
      <c r="G880" s="192">
        <v>0.44999998807907104</v>
      </c>
      <c r="H880" s="192" t="s">
        <v>818</v>
      </c>
      <c r="I880" s="192">
        <v>1</v>
      </c>
      <c r="J880" s="192">
        <f>VLOOKUP($B880,'RBSA Weights'!$A$2:$C$1406,3,FALSE)</f>
        <v>2079.9929999999999</v>
      </c>
    </row>
    <row r="881" spans="1:10">
      <c r="A881" s="192">
        <v>192926</v>
      </c>
      <c r="B881" s="192">
        <v>21638</v>
      </c>
      <c r="C881" s="192" t="s">
        <v>815</v>
      </c>
      <c r="D881" s="192">
        <v>185</v>
      </c>
      <c r="E881" s="192" t="s">
        <v>816</v>
      </c>
      <c r="F881" s="192" t="s">
        <v>817</v>
      </c>
      <c r="G881" s="192">
        <v>0.55000001192092896</v>
      </c>
      <c r="H881" s="192" t="s">
        <v>818</v>
      </c>
      <c r="I881" s="192">
        <v>1</v>
      </c>
      <c r="J881" s="192">
        <f>VLOOKUP($B881,'RBSA Weights'!$A$2:$C$1406,3,FALSE)</f>
        <v>2130.886</v>
      </c>
    </row>
    <row r="882" spans="1:10">
      <c r="A882" s="192">
        <v>142855</v>
      </c>
      <c r="B882" s="192">
        <v>21647</v>
      </c>
      <c r="C882" s="192" t="s">
        <v>815</v>
      </c>
      <c r="D882" s="192">
        <v>118</v>
      </c>
      <c r="E882" s="192" t="s">
        <v>816</v>
      </c>
      <c r="F882" s="192" t="s">
        <v>820</v>
      </c>
      <c r="G882" s="192">
        <v>0.85000002384185791</v>
      </c>
      <c r="H882" s="192" t="s">
        <v>820</v>
      </c>
      <c r="I882" s="192">
        <v>1</v>
      </c>
      <c r="J882" s="192">
        <f>VLOOKUP($B882,'RBSA Weights'!$A$2:$C$1406,3,FALSE)</f>
        <v>1612.692</v>
      </c>
    </row>
    <row r="883" spans="1:10">
      <c r="A883" s="192">
        <v>101813</v>
      </c>
      <c r="B883" s="192">
        <v>21654</v>
      </c>
      <c r="C883" s="192" t="s">
        <v>815</v>
      </c>
      <c r="D883" s="192">
        <v>156</v>
      </c>
      <c r="E883" s="192" t="s">
        <v>816</v>
      </c>
      <c r="F883" s="192" t="s">
        <v>817</v>
      </c>
      <c r="G883" s="192">
        <v>0.44999998807907104</v>
      </c>
      <c r="H883" s="192" t="s">
        <v>818</v>
      </c>
      <c r="I883" s="192">
        <v>1</v>
      </c>
      <c r="J883" s="192">
        <f>VLOOKUP($B883,'RBSA Weights'!$A$2:$C$1406,3,FALSE)</f>
        <v>1144.6790000000001</v>
      </c>
    </row>
    <row r="884" spans="1:10">
      <c r="A884" s="192">
        <v>81568</v>
      </c>
      <c r="B884" s="192">
        <v>21668</v>
      </c>
      <c r="C884" s="192" t="s">
        <v>815</v>
      </c>
      <c r="D884" s="192">
        <v>162</v>
      </c>
      <c r="E884" s="192" t="s">
        <v>816</v>
      </c>
      <c r="F884" s="192" t="s">
        <v>818</v>
      </c>
      <c r="G884" s="192">
        <v>0.60000002384185791</v>
      </c>
      <c r="H884" s="192" t="s">
        <v>818</v>
      </c>
      <c r="I884" s="192">
        <v>1</v>
      </c>
      <c r="J884" s="192">
        <f>VLOOKUP($B884,'RBSA Weights'!$A$2:$C$1406,3,FALSE)</f>
        <v>3785.7640000000001</v>
      </c>
    </row>
    <row r="885" spans="1:10">
      <c r="A885" s="192">
        <v>235845</v>
      </c>
      <c r="B885" s="192">
        <v>21672</v>
      </c>
      <c r="C885" s="192" t="s">
        <v>815</v>
      </c>
      <c r="D885" s="192">
        <v>224</v>
      </c>
      <c r="E885" s="192" t="s">
        <v>816</v>
      </c>
      <c r="F885" s="192" t="s">
        <v>817</v>
      </c>
      <c r="G885" s="192">
        <v>0.44999998807907104</v>
      </c>
      <c r="H885" s="192" t="s">
        <v>818</v>
      </c>
      <c r="I885" s="192">
        <v>1</v>
      </c>
      <c r="J885" s="192">
        <f>VLOOKUP($B885,'RBSA Weights'!$A$2:$C$1406,3,FALSE)</f>
        <v>1144.6790000000001</v>
      </c>
    </row>
    <row r="886" spans="1:10">
      <c r="A886" s="192">
        <v>229933</v>
      </c>
      <c r="B886" s="192">
        <v>21678</v>
      </c>
      <c r="C886" s="192" t="s">
        <v>815</v>
      </c>
      <c r="D886" s="192">
        <v>188</v>
      </c>
      <c r="E886" s="192" t="s">
        <v>816</v>
      </c>
      <c r="F886" s="192" t="s">
        <v>818</v>
      </c>
      <c r="G886" s="192">
        <v>0.60000002384185791</v>
      </c>
      <c r="H886" s="192" t="s">
        <v>818</v>
      </c>
      <c r="I886" s="192">
        <v>1</v>
      </c>
      <c r="J886" s="192">
        <f>VLOOKUP($B886,'RBSA Weights'!$A$2:$C$1406,3,FALSE)</f>
        <v>3785.7640000000001</v>
      </c>
    </row>
    <row r="887" spans="1:10">
      <c r="A887" s="192">
        <v>132742</v>
      </c>
      <c r="B887" s="192">
        <v>21680</v>
      </c>
      <c r="C887" s="192" t="s">
        <v>815</v>
      </c>
      <c r="D887" s="192">
        <v>319</v>
      </c>
      <c r="E887" s="192" t="s">
        <v>816</v>
      </c>
      <c r="F887" s="192" t="s">
        <v>817</v>
      </c>
      <c r="G887" s="192">
        <v>0.44999998807907104</v>
      </c>
      <c r="H887" s="192" t="s">
        <v>818</v>
      </c>
      <c r="I887" s="192">
        <v>1</v>
      </c>
      <c r="J887" s="192">
        <f>VLOOKUP($B887,'RBSA Weights'!$A$2:$C$1406,3,FALSE)</f>
        <v>1144.6790000000001</v>
      </c>
    </row>
    <row r="888" spans="1:10">
      <c r="A888" s="192">
        <v>783086</v>
      </c>
      <c r="B888" s="192">
        <v>21684</v>
      </c>
      <c r="C888" s="192" t="s">
        <v>815</v>
      </c>
      <c r="D888" s="192">
        <v>381</v>
      </c>
      <c r="E888" s="192" t="s">
        <v>816</v>
      </c>
      <c r="F888" s="192" t="s">
        <v>817</v>
      </c>
      <c r="G888" s="192">
        <v>0.44999998807907104</v>
      </c>
      <c r="H888" s="192" t="s">
        <v>818</v>
      </c>
      <c r="I888" s="192">
        <v>1</v>
      </c>
      <c r="J888" s="192">
        <f>VLOOKUP($B888,'RBSA Weights'!$A$2:$C$1406,3,FALSE)</f>
        <v>8264.9449999999997</v>
      </c>
    </row>
    <row r="889" spans="1:10">
      <c r="A889" s="192">
        <v>203593</v>
      </c>
      <c r="B889" s="192">
        <v>21689</v>
      </c>
      <c r="C889" s="192" t="s">
        <v>815</v>
      </c>
      <c r="D889" s="192">
        <v>208</v>
      </c>
      <c r="E889" s="192" t="s">
        <v>819</v>
      </c>
      <c r="F889" s="192" t="s">
        <v>823</v>
      </c>
      <c r="G889" s="192">
        <v>0.85000002384185791</v>
      </c>
      <c r="H889" s="192" t="s">
        <v>823</v>
      </c>
      <c r="I889" s="192">
        <v>1</v>
      </c>
      <c r="J889" s="192">
        <f>VLOOKUP($B889,'RBSA Weights'!$A$2:$C$1406,3,FALSE)</f>
        <v>3785.7640000000001</v>
      </c>
    </row>
    <row r="890" spans="1:10">
      <c r="A890" s="192">
        <v>90601</v>
      </c>
      <c r="B890" s="192">
        <v>21692</v>
      </c>
      <c r="C890" s="192" t="s">
        <v>815</v>
      </c>
      <c r="D890" s="192">
        <v>161</v>
      </c>
      <c r="E890" s="192" t="s">
        <v>816</v>
      </c>
      <c r="F890" s="192" t="s">
        <v>820</v>
      </c>
      <c r="G890" s="192">
        <v>0.85000002384185791</v>
      </c>
      <c r="H890" s="192" t="s">
        <v>820</v>
      </c>
      <c r="I890" s="192">
        <v>1</v>
      </c>
      <c r="J890" s="192">
        <f>VLOOKUP($B890,'RBSA Weights'!$A$2:$C$1406,3,FALSE)</f>
        <v>8559.1039999999994</v>
      </c>
    </row>
    <row r="891" spans="1:10">
      <c r="A891" s="192">
        <v>165175</v>
      </c>
      <c r="B891" s="192">
        <v>21700</v>
      </c>
      <c r="C891" s="192" t="s">
        <v>815</v>
      </c>
      <c r="D891" s="192">
        <v>158</v>
      </c>
      <c r="E891" s="192" t="s">
        <v>816</v>
      </c>
      <c r="F891" s="192" t="s">
        <v>817</v>
      </c>
      <c r="G891" s="192">
        <v>0.44999998807907104</v>
      </c>
      <c r="H891" s="192" t="s">
        <v>818</v>
      </c>
      <c r="I891" s="192">
        <v>1</v>
      </c>
      <c r="J891" s="192">
        <f>VLOOKUP($B891,'RBSA Weights'!$A$2:$C$1406,3,FALSE)</f>
        <v>8264.9449999999997</v>
      </c>
    </row>
    <row r="892" spans="1:10">
      <c r="A892" s="192">
        <v>204822</v>
      </c>
      <c r="B892" s="192">
        <v>21701</v>
      </c>
      <c r="C892" s="192" t="s">
        <v>815</v>
      </c>
      <c r="D892" s="192">
        <v>105</v>
      </c>
      <c r="E892" s="192" t="s">
        <v>816</v>
      </c>
      <c r="F892" s="192" t="s">
        <v>817</v>
      </c>
      <c r="G892" s="192">
        <v>0.44999998807907104</v>
      </c>
      <c r="H892" s="192" t="s">
        <v>818</v>
      </c>
      <c r="I892" s="192">
        <v>1</v>
      </c>
      <c r="J892" s="192">
        <f>VLOOKUP($B892,'RBSA Weights'!$A$2:$C$1406,3,FALSE)</f>
        <v>1144.6790000000001</v>
      </c>
    </row>
    <row r="893" spans="1:10">
      <c r="A893" s="192">
        <v>110254</v>
      </c>
      <c r="B893" s="192">
        <v>21703</v>
      </c>
      <c r="C893" s="192" t="s">
        <v>815</v>
      </c>
      <c r="D893" s="192">
        <v>204</v>
      </c>
      <c r="E893" s="192" t="s">
        <v>816</v>
      </c>
      <c r="F893" s="192" t="s">
        <v>817</v>
      </c>
      <c r="G893" s="192">
        <v>0.55000001192092896</v>
      </c>
      <c r="H893" s="192" t="s">
        <v>818</v>
      </c>
      <c r="I893" s="192">
        <v>1</v>
      </c>
      <c r="J893" s="192">
        <f>VLOOKUP($B893,'RBSA Weights'!$A$2:$C$1406,3,FALSE)</f>
        <v>1904.288</v>
      </c>
    </row>
    <row r="894" spans="1:10">
      <c r="A894" s="192">
        <v>205256</v>
      </c>
      <c r="B894" s="192">
        <v>21707</v>
      </c>
      <c r="C894" s="192" t="s">
        <v>815</v>
      </c>
      <c r="D894" s="192">
        <v>307</v>
      </c>
      <c r="E894" s="192" t="s">
        <v>816</v>
      </c>
      <c r="F894" s="192" t="s">
        <v>818</v>
      </c>
      <c r="G894" s="192">
        <v>0.60000002384185791</v>
      </c>
      <c r="H894" s="192" t="s">
        <v>818</v>
      </c>
      <c r="I894" s="192">
        <v>1</v>
      </c>
      <c r="J894" s="192">
        <f>VLOOKUP($B894,'RBSA Weights'!$A$2:$C$1406,3,FALSE)</f>
        <v>1904.288</v>
      </c>
    </row>
    <row r="895" spans="1:10">
      <c r="A895" s="192">
        <v>209852</v>
      </c>
      <c r="B895" s="192">
        <v>21708</v>
      </c>
      <c r="C895" s="192" t="s">
        <v>815</v>
      </c>
      <c r="D895" s="192">
        <v>147</v>
      </c>
      <c r="E895" s="192" t="s">
        <v>816</v>
      </c>
      <c r="F895" s="192" t="s">
        <v>818</v>
      </c>
      <c r="G895" s="192">
        <v>0.55000001192092896</v>
      </c>
      <c r="H895" s="192" t="s">
        <v>818</v>
      </c>
      <c r="I895" s="192">
        <v>1</v>
      </c>
      <c r="J895" s="192">
        <f>VLOOKUP($B895,'RBSA Weights'!$A$2:$C$1406,3,FALSE)</f>
        <v>3785.7640000000001</v>
      </c>
    </row>
    <row r="896" spans="1:10">
      <c r="A896" s="192">
        <v>219815</v>
      </c>
      <c r="B896" s="192">
        <v>21710</v>
      </c>
      <c r="C896" s="192" t="s">
        <v>815</v>
      </c>
      <c r="D896" s="192">
        <v>180</v>
      </c>
      <c r="E896" s="192" t="s">
        <v>816</v>
      </c>
      <c r="F896" s="192" t="s">
        <v>817</v>
      </c>
      <c r="G896" s="192">
        <v>0.55000001192092896</v>
      </c>
      <c r="H896" s="192" t="s">
        <v>818</v>
      </c>
      <c r="I896" s="192">
        <v>1</v>
      </c>
      <c r="J896" s="192">
        <f>VLOOKUP($B896,'RBSA Weights'!$A$2:$C$1406,3,FALSE)</f>
        <v>2079.9929999999999</v>
      </c>
    </row>
    <row r="897" spans="1:10">
      <c r="A897" s="192">
        <v>43386</v>
      </c>
      <c r="B897" s="192">
        <v>21719</v>
      </c>
      <c r="C897" s="192" t="s">
        <v>815</v>
      </c>
      <c r="D897" s="192">
        <v>112</v>
      </c>
      <c r="E897" s="192" t="s">
        <v>816</v>
      </c>
      <c r="F897" s="192" t="s">
        <v>818</v>
      </c>
      <c r="G897" s="192">
        <v>0.60000002384185791</v>
      </c>
      <c r="H897" s="192" t="s">
        <v>818</v>
      </c>
      <c r="I897" s="192">
        <v>1</v>
      </c>
      <c r="J897" s="192">
        <f>VLOOKUP($B897,'RBSA Weights'!$A$2:$C$1406,3,FALSE)</f>
        <v>2130.886</v>
      </c>
    </row>
    <row r="898" spans="1:10">
      <c r="A898" s="192">
        <v>67925</v>
      </c>
      <c r="B898" s="192">
        <v>21720</v>
      </c>
      <c r="C898" s="192" t="s">
        <v>815</v>
      </c>
      <c r="D898" s="192">
        <v>159</v>
      </c>
      <c r="E898" s="192" t="s">
        <v>816</v>
      </c>
      <c r="F898" s="192" t="s">
        <v>820</v>
      </c>
      <c r="G898" s="192">
        <v>0.85000002384185791</v>
      </c>
      <c r="H898" s="192" t="s">
        <v>820</v>
      </c>
      <c r="I898" s="192">
        <v>1</v>
      </c>
      <c r="J898" s="192">
        <f>VLOOKUP($B898,'RBSA Weights'!$A$2:$C$1406,3,FALSE)</f>
        <v>3785.7640000000001</v>
      </c>
    </row>
    <row r="899" spans="1:10">
      <c r="A899" s="192">
        <v>202424</v>
      </c>
      <c r="B899" s="192">
        <v>21722</v>
      </c>
      <c r="C899" s="192" t="s">
        <v>815</v>
      </c>
      <c r="D899" s="192">
        <v>145</v>
      </c>
      <c r="E899" s="192" t="s">
        <v>816</v>
      </c>
      <c r="F899" s="192" t="s">
        <v>817</v>
      </c>
      <c r="G899" s="192">
        <v>0.44999998807907104</v>
      </c>
      <c r="H899" s="192" t="s">
        <v>818</v>
      </c>
      <c r="I899" s="192">
        <v>1</v>
      </c>
      <c r="J899" s="192">
        <f>VLOOKUP($B899,'RBSA Weights'!$A$2:$C$1406,3,FALSE)</f>
        <v>2130.886</v>
      </c>
    </row>
    <row r="900" spans="1:10">
      <c r="A900" s="192">
        <v>184651</v>
      </c>
      <c r="B900" s="192">
        <v>21733</v>
      </c>
      <c r="C900" s="192" t="s">
        <v>815</v>
      </c>
      <c r="D900" s="192">
        <v>203</v>
      </c>
      <c r="E900" s="192" t="s">
        <v>816</v>
      </c>
      <c r="F900" s="192" t="s">
        <v>817</v>
      </c>
      <c r="G900" s="192">
        <v>0.44999998807907104</v>
      </c>
      <c r="H900" s="192" t="s">
        <v>818</v>
      </c>
      <c r="I900" s="192">
        <v>1</v>
      </c>
      <c r="J900" s="192">
        <f>VLOOKUP($B900,'RBSA Weights'!$A$2:$C$1406,3,FALSE)</f>
        <v>1192.4649999999999</v>
      </c>
    </row>
    <row r="901" spans="1:10">
      <c r="A901" s="192">
        <v>149470</v>
      </c>
      <c r="B901" s="192">
        <v>21741</v>
      </c>
      <c r="C901" s="192" t="s">
        <v>815</v>
      </c>
      <c r="D901" s="192">
        <v>304</v>
      </c>
      <c r="E901" s="192" t="s">
        <v>816</v>
      </c>
      <c r="F901" s="192" t="s">
        <v>820</v>
      </c>
      <c r="G901" s="192">
        <v>0.85000002384185791</v>
      </c>
      <c r="H901" s="192" t="s">
        <v>820</v>
      </c>
      <c r="I901" s="192">
        <v>1</v>
      </c>
      <c r="J901" s="192">
        <f>VLOOKUP($B901,'RBSA Weights'!$A$2:$C$1406,3,FALSE)</f>
        <v>4360.1880000000001</v>
      </c>
    </row>
    <row r="902" spans="1:10">
      <c r="A902" s="192">
        <v>53306</v>
      </c>
      <c r="B902" s="192">
        <v>21746</v>
      </c>
      <c r="C902" s="192" t="s">
        <v>815</v>
      </c>
      <c r="D902" s="192">
        <v>228</v>
      </c>
      <c r="E902" s="192" t="s">
        <v>816</v>
      </c>
      <c r="F902" s="192" t="s">
        <v>817</v>
      </c>
      <c r="G902" s="192">
        <v>0.55000001192092896</v>
      </c>
      <c r="H902" s="192" t="s">
        <v>818</v>
      </c>
      <c r="I902" s="192">
        <v>1</v>
      </c>
      <c r="J902" s="192">
        <f>VLOOKUP($B902,'RBSA Weights'!$A$2:$C$1406,3,FALSE)</f>
        <v>8264.9449999999997</v>
      </c>
    </row>
    <row r="903" spans="1:10">
      <c r="A903" s="192">
        <v>221920</v>
      </c>
      <c r="B903" s="192">
        <v>21748</v>
      </c>
      <c r="C903" s="192" t="s">
        <v>815</v>
      </c>
      <c r="D903" s="192">
        <v>171</v>
      </c>
      <c r="E903" s="192" t="s">
        <v>816</v>
      </c>
      <c r="F903" s="192" t="s">
        <v>820</v>
      </c>
      <c r="G903" s="192">
        <v>0.85000002384185791</v>
      </c>
      <c r="H903" s="192" t="s">
        <v>820</v>
      </c>
      <c r="I903" s="192">
        <v>1</v>
      </c>
      <c r="J903" s="192">
        <f>VLOOKUP($B903,'RBSA Weights'!$A$2:$C$1406,3,FALSE)</f>
        <v>1192.4649999999999</v>
      </c>
    </row>
    <row r="904" spans="1:10">
      <c r="A904" s="192">
        <v>231450</v>
      </c>
      <c r="B904" s="192">
        <v>21753</v>
      </c>
      <c r="C904" s="192" t="s">
        <v>815</v>
      </c>
      <c r="D904" s="192">
        <v>126</v>
      </c>
      <c r="E904" s="192" t="s">
        <v>816</v>
      </c>
      <c r="F904" s="192" t="s">
        <v>818</v>
      </c>
      <c r="G904" s="192">
        <v>0.60000002384185791</v>
      </c>
      <c r="H904" s="192" t="s">
        <v>818</v>
      </c>
      <c r="I904" s="192">
        <v>1</v>
      </c>
      <c r="J904" s="192">
        <f>VLOOKUP($B904,'RBSA Weights'!$A$2:$C$1406,3,FALSE)</f>
        <v>1612.692</v>
      </c>
    </row>
    <row r="905" spans="1:10">
      <c r="A905" s="192">
        <v>76422</v>
      </c>
      <c r="B905" s="192">
        <v>21768</v>
      </c>
      <c r="C905" s="192" t="s">
        <v>815</v>
      </c>
      <c r="D905" s="192">
        <v>172</v>
      </c>
      <c r="E905" s="192" t="s">
        <v>816</v>
      </c>
      <c r="F905" s="192" t="s">
        <v>817</v>
      </c>
      <c r="G905" s="192">
        <v>0.55000001192092896</v>
      </c>
      <c r="H905" s="192" t="s">
        <v>818</v>
      </c>
      <c r="I905" s="192">
        <v>1</v>
      </c>
      <c r="J905" s="192">
        <f>VLOOKUP($B905,'RBSA Weights'!$A$2:$C$1406,3,FALSE)</f>
        <v>1925.059</v>
      </c>
    </row>
    <row r="906" spans="1:10">
      <c r="A906" s="192">
        <v>95274</v>
      </c>
      <c r="B906" s="192">
        <v>21777</v>
      </c>
      <c r="C906" s="192" t="s">
        <v>815</v>
      </c>
      <c r="D906" s="192">
        <v>196</v>
      </c>
      <c r="E906" s="192" t="s">
        <v>816</v>
      </c>
      <c r="F906" s="192" t="s">
        <v>818</v>
      </c>
      <c r="G906" s="192">
        <v>0.60000002384185791</v>
      </c>
      <c r="H906" s="192" t="s">
        <v>818</v>
      </c>
      <c r="I906" s="192">
        <v>1</v>
      </c>
      <c r="J906" s="192">
        <f>VLOOKUP($B906,'RBSA Weights'!$A$2:$C$1406,3,FALSE)</f>
        <v>2130.886</v>
      </c>
    </row>
    <row r="907" spans="1:10">
      <c r="A907" s="192">
        <v>220060</v>
      </c>
      <c r="B907" s="192">
        <v>21781</v>
      </c>
      <c r="C907" s="192" t="s">
        <v>815</v>
      </c>
      <c r="D907" s="192">
        <v>930</v>
      </c>
      <c r="E907" s="192" t="s">
        <v>816</v>
      </c>
      <c r="F907" s="192" t="s">
        <v>822</v>
      </c>
      <c r="G907" s="192">
        <v>0.75</v>
      </c>
      <c r="H907" s="192" t="s">
        <v>820</v>
      </c>
      <c r="I907" s="192">
        <v>1</v>
      </c>
      <c r="J907" s="192">
        <f>VLOOKUP($B907,'RBSA Weights'!$A$2:$C$1406,3,FALSE)</f>
        <v>1612.692</v>
      </c>
    </row>
    <row r="908" spans="1:10">
      <c r="A908" s="192">
        <v>194676</v>
      </c>
      <c r="B908" s="192">
        <v>21783</v>
      </c>
      <c r="C908" s="192" t="s">
        <v>815</v>
      </c>
      <c r="D908" s="192">
        <v>133</v>
      </c>
      <c r="E908" s="192" t="s">
        <v>816</v>
      </c>
      <c r="F908" s="192" t="s">
        <v>817</v>
      </c>
      <c r="G908" s="192">
        <v>0.44999998807907104</v>
      </c>
      <c r="H908" s="192" t="s">
        <v>818</v>
      </c>
      <c r="I908" s="192">
        <v>1</v>
      </c>
      <c r="J908" s="192">
        <f>VLOOKUP($B908,'RBSA Weights'!$A$2:$C$1406,3,FALSE)</f>
        <v>8264.9449999999997</v>
      </c>
    </row>
    <row r="909" spans="1:10">
      <c r="A909" s="192">
        <v>227443</v>
      </c>
      <c r="B909" s="192">
        <v>21787</v>
      </c>
      <c r="C909" s="192" t="s">
        <v>815</v>
      </c>
      <c r="D909" s="192">
        <v>302</v>
      </c>
      <c r="E909" s="192" t="s">
        <v>816</v>
      </c>
      <c r="F909" s="192" t="s">
        <v>817</v>
      </c>
      <c r="G909" s="192">
        <v>0.44999998807907104</v>
      </c>
      <c r="H909" s="192" t="s">
        <v>818</v>
      </c>
      <c r="I909" s="192">
        <v>1</v>
      </c>
      <c r="J909" s="192">
        <f>VLOOKUP($B909,'RBSA Weights'!$A$2:$C$1406,3,FALSE)</f>
        <v>4360.1880000000001</v>
      </c>
    </row>
    <row r="910" spans="1:10">
      <c r="A910" s="192">
        <v>168197</v>
      </c>
      <c r="B910" s="192">
        <v>21791</v>
      </c>
      <c r="C910" s="192" t="s">
        <v>815</v>
      </c>
      <c r="D910" s="192">
        <v>168</v>
      </c>
      <c r="E910" s="192" t="s">
        <v>816</v>
      </c>
      <c r="F910" s="192" t="s">
        <v>817</v>
      </c>
      <c r="G910" s="192">
        <v>0.55000001192092896</v>
      </c>
      <c r="H910" s="192" t="s">
        <v>818</v>
      </c>
      <c r="I910" s="192">
        <v>1</v>
      </c>
      <c r="J910" s="192">
        <f>VLOOKUP($B910,'RBSA Weights'!$A$2:$C$1406,3,FALSE)</f>
        <v>1612.692</v>
      </c>
    </row>
    <row r="911" spans="1:10">
      <c r="A911" s="192">
        <v>82371</v>
      </c>
      <c r="B911" s="192">
        <v>21796</v>
      </c>
      <c r="C911" s="192" t="s">
        <v>815</v>
      </c>
      <c r="D911" s="192">
        <v>853</v>
      </c>
      <c r="E911" s="192" t="s">
        <v>816</v>
      </c>
      <c r="F911" s="192" t="s">
        <v>817</v>
      </c>
      <c r="G911" s="192">
        <v>0.55000001192092896</v>
      </c>
      <c r="H911" s="192" t="s">
        <v>818</v>
      </c>
      <c r="I911" s="192">
        <v>1</v>
      </c>
      <c r="J911" s="192">
        <f>VLOOKUP($B911,'RBSA Weights'!$A$2:$C$1406,3,FALSE)</f>
        <v>1192.4649999999999</v>
      </c>
    </row>
    <row r="912" spans="1:10">
      <c r="A912" s="192">
        <v>683866</v>
      </c>
      <c r="B912" s="192">
        <v>21799</v>
      </c>
      <c r="C912" s="192" t="s">
        <v>815</v>
      </c>
      <c r="D912" s="192">
        <v>234</v>
      </c>
      <c r="E912" s="192" t="s">
        <v>816</v>
      </c>
      <c r="F912" s="192" t="s">
        <v>817</v>
      </c>
      <c r="G912" s="192">
        <v>0.44999998807907104</v>
      </c>
      <c r="H912" s="192" t="s">
        <v>818</v>
      </c>
      <c r="I912" s="192">
        <v>1</v>
      </c>
      <c r="J912" s="192">
        <f>VLOOKUP($B912,'RBSA Weights'!$A$2:$C$1406,3,FALSE)</f>
        <v>1904.288</v>
      </c>
    </row>
    <row r="913" spans="1:10">
      <c r="A913" s="192">
        <v>151659</v>
      </c>
      <c r="B913" s="192">
        <v>21816</v>
      </c>
      <c r="C913" s="192" t="s">
        <v>815</v>
      </c>
      <c r="D913" s="192">
        <v>165</v>
      </c>
      <c r="E913" s="192" t="s">
        <v>816</v>
      </c>
      <c r="F913" s="192" t="s">
        <v>818</v>
      </c>
      <c r="G913" s="192">
        <v>0.60000002384185791</v>
      </c>
      <c r="H913" s="192" t="s">
        <v>818</v>
      </c>
      <c r="I913" s="192">
        <v>1</v>
      </c>
      <c r="J913" s="192">
        <f>VLOOKUP($B913,'RBSA Weights'!$A$2:$C$1406,3,FALSE)</f>
        <v>1192.4649999999999</v>
      </c>
    </row>
    <row r="914" spans="1:10">
      <c r="A914" s="192">
        <v>191535</v>
      </c>
      <c r="B914" s="192">
        <v>21818</v>
      </c>
      <c r="C914" s="192" t="s">
        <v>815</v>
      </c>
      <c r="D914" s="192">
        <v>32</v>
      </c>
      <c r="E914" s="192" t="s">
        <v>816</v>
      </c>
      <c r="F914" s="192" t="s">
        <v>818</v>
      </c>
      <c r="G914" s="192">
        <v>0.60000002384185791</v>
      </c>
      <c r="H914" s="192" t="s">
        <v>818</v>
      </c>
      <c r="I914" s="192">
        <v>1</v>
      </c>
      <c r="J914" s="192">
        <f>VLOOKUP($B914,'RBSA Weights'!$A$2:$C$1406,3,FALSE)</f>
        <v>2130.886</v>
      </c>
    </row>
    <row r="915" spans="1:10">
      <c r="A915" s="192">
        <v>111591</v>
      </c>
      <c r="B915" s="192">
        <v>21828</v>
      </c>
      <c r="C915" s="192" t="s">
        <v>815</v>
      </c>
      <c r="D915" s="192">
        <v>166</v>
      </c>
      <c r="E915" s="192" t="s">
        <v>816</v>
      </c>
      <c r="F915" s="192" t="s">
        <v>817</v>
      </c>
      <c r="G915" s="192">
        <v>0.55000001192092896</v>
      </c>
      <c r="H915" s="192" t="s">
        <v>818</v>
      </c>
      <c r="I915" s="192">
        <v>1</v>
      </c>
      <c r="J915" s="192">
        <f>VLOOKUP($B915,'RBSA Weights'!$A$2:$C$1406,3,FALSE)</f>
        <v>1904.288</v>
      </c>
    </row>
    <row r="916" spans="1:10">
      <c r="A916" s="192">
        <v>103480</v>
      </c>
      <c r="B916" s="192">
        <v>21831</v>
      </c>
      <c r="C916" s="192" t="s">
        <v>815</v>
      </c>
      <c r="D916" s="192">
        <v>99</v>
      </c>
      <c r="E916" s="192" t="s">
        <v>816</v>
      </c>
      <c r="F916" s="192" t="s">
        <v>820</v>
      </c>
      <c r="G916" s="192">
        <v>0.80000001192092896</v>
      </c>
      <c r="H916" s="192" t="s">
        <v>820</v>
      </c>
      <c r="I916" s="192">
        <v>1</v>
      </c>
      <c r="J916" s="192">
        <f>VLOOKUP($B916,'RBSA Weights'!$A$2:$C$1406,3,FALSE)</f>
        <v>1144.6790000000001</v>
      </c>
    </row>
    <row r="917" spans="1:10">
      <c r="A917" s="192">
        <v>102085</v>
      </c>
      <c r="B917" s="192">
        <v>21856</v>
      </c>
      <c r="C917" s="192" t="s">
        <v>815</v>
      </c>
      <c r="D917" s="192">
        <v>91</v>
      </c>
      <c r="E917" s="192" t="s">
        <v>819</v>
      </c>
      <c r="F917" s="192" t="s">
        <v>817</v>
      </c>
      <c r="G917" s="192">
        <v>0.40000000596046448</v>
      </c>
      <c r="H917" s="192" t="s">
        <v>818</v>
      </c>
      <c r="I917" s="192">
        <v>1</v>
      </c>
      <c r="J917" s="192">
        <f>VLOOKUP($B917,'RBSA Weights'!$A$2:$C$1406,3,FALSE)</f>
        <v>2130.886</v>
      </c>
    </row>
    <row r="918" spans="1:10">
      <c r="A918" s="192">
        <v>157371</v>
      </c>
      <c r="B918" s="192">
        <v>21862</v>
      </c>
      <c r="C918" s="192" t="s">
        <v>815</v>
      </c>
      <c r="D918" s="192">
        <v>494</v>
      </c>
      <c r="E918" s="192" t="s">
        <v>816</v>
      </c>
      <c r="F918" s="192" t="s">
        <v>817</v>
      </c>
      <c r="G918" s="192">
        <v>0.55000001192092896</v>
      </c>
      <c r="H918" s="192" t="s">
        <v>818</v>
      </c>
      <c r="I918" s="192">
        <v>1</v>
      </c>
      <c r="J918" s="192">
        <f>VLOOKUP($B918,'RBSA Weights'!$A$2:$C$1406,3,FALSE)</f>
        <v>1192.4649999999999</v>
      </c>
    </row>
    <row r="919" spans="1:10">
      <c r="A919" s="192">
        <v>226171</v>
      </c>
      <c r="B919" s="192">
        <v>21877</v>
      </c>
      <c r="C919" s="192" t="s">
        <v>815</v>
      </c>
      <c r="D919" s="192">
        <v>181</v>
      </c>
      <c r="E919" s="192" t="s">
        <v>816</v>
      </c>
      <c r="F919" s="192" t="s">
        <v>817</v>
      </c>
      <c r="G919" s="192">
        <v>0.44999998807907104</v>
      </c>
      <c r="H919" s="192" t="s">
        <v>818</v>
      </c>
      <c r="I919" s="192">
        <v>1</v>
      </c>
      <c r="J919" s="192">
        <f>VLOOKUP($B919,'RBSA Weights'!$A$2:$C$1406,3,FALSE)</f>
        <v>1904.288</v>
      </c>
    </row>
    <row r="920" spans="1:10">
      <c r="A920" s="192">
        <v>171525</v>
      </c>
      <c r="B920" s="192">
        <v>21881</v>
      </c>
      <c r="C920" s="192" t="s">
        <v>815</v>
      </c>
      <c r="D920" s="192">
        <v>106</v>
      </c>
      <c r="E920" s="192" t="s">
        <v>816</v>
      </c>
      <c r="F920" s="192" t="s">
        <v>818</v>
      </c>
      <c r="G920" s="192">
        <v>0.60000002384185791</v>
      </c>
      <c r="H920" s="192" t="s">
        <v>818</v>
      </c>
      <c r="I920" s="192">
        <v>1</v>
      </c>
      <c r="J920" s="192">
        <f>VLOOKUP($B920,'RBSA Weights'!$A$2:$C$1406,3,FALSE)</f>
        <v>1192.4649999999999</v>
      </c>
    </row>
    <row r="921" spans="1:10">
      <c r="A921" s="192">
        <v>95608</v>
      </c>
      <c r="B921" s="192">
        <v>21883</v>
      </c>
      <c r="C921" s="192" t="s">
        <v>815</v>
      </c>
      <c r="D921" s="192">
        <v>228</v>
      </c>
      <c r="E921" s="192" t="s">
        <v>819</v>
      </c>
      <c r="F921" s="192" t="s">
        <v>821</v>
      </c>
      <c r="G921" s="192">
        <v>0.75</v>
      </c>
      <c r="H921" s="192" t="s">
        <v>821</v>
      </c>
      <c r="I921" s="192">
        <v>1</v>
      </c>
      <c r="J921" s="192">
        <f>VLOOKUP($B921,'RBSA Weights'!$A$2:$C$1406,3,FALSE)</f>
        <v>1144.6790000000001</v>
      </c>
    </row>
    <row r="922" spans="1:10">
      <c r="A922" s="192">
        <v>108788</v>
      </c>
      <c r="B922" s="192">
        <v>21888</v>
      </c>
      <c r="C922" s="192" t="s">
        <v>815</v>
      </c>
      <c r="D922" s="192">
        <v>149</v>
      </c>
      <c r="E922" s="192" t="s">
        <v>816</v>
      </c>
      <c r="F922" s="192" t="s">
        <v>818</v>
      </c>
      <c r="G922" s="192">
        <v>0.60000002384185791</v>
      </c>
      <c r="H922" s="192" t="s">
        <v>818</v>
      </c>
      <c r="I922" s="192">
        <v>1</v>
      </c>
      <c r="J922" s="192">
        <f>VLOOKUP($B922,'RBSA Weights'!$A$2:$C$1406,3,FALSE)</f>
        <v>8559.1039999999994</v>
      </c>
    </row>
    <row r="923" spans="1:10">
      <c r="A923" s="192">
        <v>115371</v>
      </c>
      <c r="B923" s="192">
        <v>21889</v>
      </c>
      <c r="C923" s="192" t="s">
        <v>815</v>
      </c>
      <c r="D923" s="192">
        <v>306</v>
      </c>
      <c r="E923" s="192" t="s">
        <v>816</v>
      </c>
      <c r="F923" s="192" t="s">
        <v>817</v>
      </c>
      <c r="G923" s="192">
        <v>0.55000001192092896</v>
      </c>
      <c r="H923" s="192" t="s">
        <v>818</v>
      </c>
      <c r="I923" s="192">
        <v>1</v>
      </c>
      <c r="J923" s="192">
        <f>VLOOKUP($B923,'RBSA Weights'!$A$2:$C$1406,3,FALSE)</f>
        <v>1925.059</v>
      </c>
    </row>
    <row r="924" spans="1:10">
      <c r="A924" s="192">
        <v>127352</v>
      </c>
      <c r="B924" s="192">
        <v>21896</v>
      </c>
      <c r="C924" s="192" t="s">
        <v>815</v>
      </c>
      <c r="D924" s="192">
        <v>106</v>
      </c>
      <c r="E924" s="192" t="s">
        <v>819</v>
      </c>
      <c r="F924" s="192" t="s">
        <v>818</v>
      </c>
      <c r="G924" s="192">
        <v>0.55000001192092896</v>
      </c>
      <c r="H924" s="192" t="s">
        <v>818</v>
      </c>
      <c r="I924" s="192">
        <v>1</v>
      </c>
      <c r="J924" s="192">
        <f>VLOOKUP($B924,'RBSA Weights'!$A$2:$C$1406,3,FALSE)</f>
        <v>1144.6790000000001</v>
      </c>
    </row>
    <row r="925" spans="1:10">
      <c r="A925" s="192">
        <v>48760</v>
      </c>
      <c r="B925" s="192">
        <v>21898</v>
      </c>
      <c r="C925" s="192" t="s">
        <v>815</v>
      </c>
      <c r="D925" s="192">
        <v>326</v>
      </c>
      <c r="E925" s="192" t="s">
        <v>816</v>
      </c>
      <c r="F925" s="192" t="s">
        <v>818</v>
      </c>
      <c r="G925" s="192">
        <v>0.55000001192092896</v>
      </c>
      <c r="H925" s="192" t="s">
        <v>818</v>
      </c>
      <c r="I925" s="192">
        <v>1</v>
      </c>
      <c r="J925" s="192">
        <f>VLOOKUP($B925,'RBSA Weights'!$A$2:$C$1406,3,FALSE)</f>
        <v>3785.7640000000001</v>
      </c>
    </row>
    <row r="926" spans="1:10">
      <c r="A926" s="192">
        <v>784415</v>
      </c>
      <c r="B926" s="192">
        <v>21899</v>
      </c>
      <c r="C926" s="192" t="s">
        <v>815</v>
      </c>
      <c r="D926" s="192">
        <v>321</v>
      </c>
      <c r="E926" s="192" t="s">
        <v>816</v>
      </c>
      <c r="F926" s="192" t="s">
        <v>817</v>
      </c>
      <c r="G926" s="192">
        <v>0.44999998807907104</v>
      </c>
      <c r="H926" s="192" t="s">
        <v>818</v>
      </c>
      <c r="I926" s="192">
        <v>1</v>
      </c>
      <c r="J926" s="192">
        <f>VLOOKUP($B926,'RBSA Weights'!$A$2:$C$1406,3,FALSE)</f>
        <v>8264.9449999999997</v>
      </c>
    </row>
    <row r="927" spans="1:10">
      <c r="A927" s="192">
        <v>683219</v>
      </c>
      <c r="B927" s="192">
        <v>21905</v>
      </c>
      <c r="C927" s="192" t="s">
        <v>815</v>
      </c>
      <c r="D927" s="192">
        <v>347</v>
      </c>
      <c r="E927" s="192" t="s">
        <v>816</v>
      </c>
      <c r="F927" s="192" t="s">
        <v>818</v>
      </c>
      <c r="G927" s="192">
        <v>0.60000002384185791</v>
      </c>
      <c r="H927" s="192" t="s">
        <v>818</v>
      </c>
      <c r="I927" s="192">
        <v>1</v>
      </c>
      <c r="J927" s="192">
        <f>VLOOKUP($B927,'RBSA Weights'!$A$2:$C$1406,3,FALSE)</f>
        <v>12271.31</v>
      </c>
    </row>
    <row r="928" spans="1:10">
      <c r="A928" s="192">
        <v>160997</v>
      </c>
      <c r="B928" s="192">
        <v>21906</v>
      </c>
      <c r="C928" s="192" t="s">
        <v>815</v>
      </c>
      <c r="D928" s="192">
        <v>228</v>
      </c>
      <c r="E928" s="192" t="s">
        <v>816</v>
      </c>
      <c r="F928" s="192" t="s">
        <v>824</v>
      </c>
      <c r="G928" s="192">
        <v>0.89999997615814209</v>
      </c>
      <c r="H928" s="192" t="s">
        <v>821</v>
      </c>
      <c r="I928" s="192">
        <v>1</v>
      </c>
      <c r="J928" s="192">
        <f>VLOOKUP($B928,'RBSA Weights'!$A$2:$C$1406,3,FALSE)</f>
        <v>2130.886</v>
      </c>
    </row>
    <row r="929" spans="1:10">
      <c r="A929" s="192">
        <v>199078</v>
      </c>
      <c r="B929" s="192">
        <v>21914</v>
      </c>
      <c r="C929" s="192" t="s">
        <v>815</v>
      </c>
      <c r="D929" s="192">
        <v>885</v>
      </c>
      <c r="E929" s="192" t="s">
        <v>816</v>
      </c>
      <c r="F929" s="192" t="s">
        <v>817</v>
      </c>
      <c r="G929" s="192">
        <v>0.44999998807907104</v>
      </c>
      <c r="H929" s="192" t="s">
        <v>818</v>
      </c>
      <c r="I929" s="192">
        <v>1</v>
      </c>
      <c r="J929" s="192">
        <f>VLOOKUP($B929,'RBSA Weights'!$A$2:$C$1406,3,FALSE)</f>
        <v>1612.692</v>
      </c>
    </row>
    <row r="930" spans="1:10">
      <c r="A930" s="192">
        <v>111346</v>
      </c>
      <c r="B930" s="192">
        <v>21922</v>
      </c>
      <c r="C930" s="192" t="s">
        <v>815</v>
      </c>
      <c r="D930" s="192">
        <v>122</v>
      </c>
      <c r="E930" s="192" t="s">
        <v>816</v>
      </c>
      <c r="F930" s="192" t="s">
        <v>817</v>
      </c>
      <c r="G930" s="192">
        <v>0.55000001192092896</v>
      </c>
      <c r="H930" s="192" t="s">
        <v>818</v>
      </c>
      <c r="I930" s="192">
        <v>1</v>
      </c>
      <c r="J930" s="192">
        <f>VLOOKUP($B930,'RBSA Weights'!$A$2:$C$1406,3,FALSE)</f>
        <v>1904.288</v>
      </c>
    </row>
    <row r="931" spans="1:10">
      <c r="A931" s="192">
        <v>38230</v>
      </c>
      <c r="B931" s="192">
        <v>21934</v>
      </c>
      <c r="C931" s="192" t="s">
        <v>815</v>
      </c>
      <c r="D931" s="192">
        <v>66</v>
      </c>
      <c r="E931" s="192" t="s">
        <v>816</v>
      </c>
      <c r="F931" s="192" t="s">
        <v>820</v>
      </c>
      <c r="G931" s="192">
        <v>0.85000002384185791</v>
      </c>
      <c r="H931" s="192" t="s">
        <v>820</v>
      </c>
      <c r="I931" s="192">
        <v>1</v>
      </c>
      <c r="J931" s="192">
        <f>VLOOKUP($B931,'RBSA Weights'!$A$2:$C$1406,3,FALSE)</f>
        <v>3785.7640000000001</v>
      </c>
    </row>
    <row r="932" spans="1:10">
      <c r="A932" s="192">
        <v>52205</v>
      </c>
      <c r="B932" s="192">
        <v>21936</v>
      </c>
      <c r="C932" s="192" t="s">
        <v>815</v>
      </c>
      <c r="D932" s="192">
        <v>57</v>
      </c>
      <c r="E932" s="192" t="s">
        <v>816</v>
      </c>
      <c r="F932" s="192" t="s">
        <v>821</v>
      </c>
      <c r="G932" s="192">
        <v>0.94999998807907104</v>
      </c>
      <c r="H932" s="192" t="s">
        <v>821</v>
      </c>
      <c r="I932" s="192">
        <v>1</v>
      </c>
      <c r="J932" s="192">
        <f>VLOOKUP($B932,'RBSA Weights'!$A$2:$C$1406,3,FALSE)</f>
        <v>2130.886</v>
      </c>
    </row>
    <row r="933" spans="1:10">
      <c r="A933" s="192">
        <v>200370</v>
      </c>
      <c r="B933" s="192">
        <v>21950</v>
      </c>
      <c r="C933" s="192" t="s">
        <v>815</v>
      </c>
      <c r="D933" s="192">
        <v>342</v>
      </c>
      <c r="E933" s="192" t="s">
        <v>816</v>
      </c>
      <c r="F933" s="192" t="s">
        <v>818</v>
      </c>
      <c r="G933" s="192">
        <v>0.55000001192092896</v>
      </c>
      <c r="H933" s="192" t="s">
        <v>818</v>
      </c>
      <c r="I933" s="192">
        <v>1</v>
      </c>
      <c r="J933" s="192">
        <f>VLOOKUP($B933,'RBSA Weights'!$A$2:$C$1406,3,FALSE)</f>
        <v>2130.886</v>
      </c>
    </row>
    <row r="934" spans="1:10">
      <c r="A934" s="192">
        <v>140579</v>
      </c>
      <c r="B934" s="192">
        <v>21951</v>
      </c>
      <c r="C934" s="192" t="s">
        <v>815</v>
      </c>
      <c r="D934" s="192">
        <v>176</v>
      </c>
      <c r="E934" s="192" t="s">
        <v>816</v>
      </c>
      <c r="F934" s="192" t="s">
        <v>817</v>
      </c>
      <c r="G934" s="192">
        <v>0.44999998807907104</v>
      </c>
      <c r="H934" s="192" t="s">
        <v>818</v>
      </c>
      <c r="I934" s="192">
        <v>1</v>
      </c>
      <c r="J934" s="192">
        <f>VLOOKUP($B934,'RBSA Weights'!$A$2:$C$1406,3,FALSE)</f>
        <v>1192.4649999999999</v>
      </c>
    </row>
    <row r="935" spans="1:10">
      <c r="A935" s="192">
        <v>229439</v>
      </c>
      <c r="B935" s="192">
        <v>21961</v>
      </c>
      <c r="C935" s="192" t="s">
        <v>815</v>
      </c>
      <c r="D935" s="192">
        <v>275</v>
      </c>
      <c r="E935" s="192" t="s">
        <v>816</v>
      </c>
      <c r="F935" s="192" t="s">
        <v>817</v>
      </c>
      <c r="G935" s="192">
        <v>0.44999998807907104</v>
      </c>
      <c r="H935" s="192" t="s">
        <v>818</v>
      </c>
      <c r="I935" s="192">
        <v>1</v>
      </c>
      <c r="J935" s="192">
        <f>VLOOKUP($B935,'RBSA Weights'!$A$2:$C$1406,3,FALSE)</f>
        <v>2079.9929999999999</v>
      </c>
    </row>
    <row r="936" spans="1:10">
      <c r="A936" s="192">
        <v>111426</v>
      </c>
      <c r="B936" s="192">
        <v>21967</v>
      </c>
      <c r="C936" s="192" t="s">
        <v>815</v>
      </c>
      <c r="D936" s="192">
        <v>301</v>
      </c>
      <c r="E936" s="192" t="s">
        <v>816</v>
      </c>
      <c r="F936" s="192" t="s">
        <v>817</v>
      </c>
      <c r="G936" s="192">
        <v>0.44999998807907104</v>
      </c>
      <c r="H936" s="192" t="s">
        <v>818</v>
      </c>
      <c r="I936" s="192">
        <v>1</v>
      </c>
      <c r="J936" s="192">
        <f>VLOOKUP($B936,'RBSA Weights'!$A$2:$C$1406,3,FALSE)</f>
        <v>1904.288</v>
      </c>
    </row>
    <row r="937" spans="1:10">
      <c r="A937" s="192">
        <v>654825</v>
      </c>
      <c r="B937" s="192">
        <v>21974</v>
      </c>
      <c r="C937" s="192" t="s">
        <v>815</v>
      </c>
      <c r="D937" s="192">
        <v>191</v>
      </c>
      <c r="E937" s="192" t="s">
        <v>816</v>
      </c>
      <c r="F937" s="192" t="s">
        <v>823</v>
      </c>
      <c r="G937" s="192">
        <v>1.1000000238418579</v>
      </c>
      <c r="H937" s="192" t="s">
        <v>823</v>
      </c>
      <c r="I937" s="192">
        <v>1</v>
      </c>
      <c r="J937" s="192">
        <f>VLOOKUP($B937,'RBSA Weights'!$A$2:$C$1406,3,FALSE)</f>
        <v>3785.7640000000001</v>
      </c>
    </row>
    <row r="938" spans="1:10">
      <c r="A938" s="192">
        <v>83985</v>
      </c>
      <c r="B938" s="192">
        <v>21977</v>
      </c>
      <c r="C938" s="192" t="s">
        <v>815</v>
      </c>
      <c r="D938" s="192">
        <v>16</v>
      </c>
      <c r="E938" s="192" t="s">
        <v>816</v>
      </c>
      <c r="F938" s="192" t="s">
        <v>817</v>
      </c>
      <c r="G938" s="192">
        <v>0.55000001192092896</v>
      </c>
      <c r="H938" s="192" t="s">
        <v>818</v>
      </c>
      <c r="I938" s="192">
        <v>1</v>
      </c>
      <c r="J938" s="192">
        <f>VLOOKUP($B938,'RBSA Weights'!$A$2:$C$1406,3,FALSE)</f>
        <v>8559.1039999999994</v>
      </c>
    </row>
    <row r="939" spans="1:10">
      <c r="A939" s="192">
        <v>70544</v>
      </c>
      <c r="B939" s="192">
        <v>21978</v>
      </c>
      <c r="C939" s="192" t="s">
        <v>815</v>
      </c>
      <c r="D939" s="192">
        <v>256</v>
      </c>
      <c r="E939" s="192" t="s">
        <v>816</v>
      </c>
      <c r="F939" s="192" t="s">
        <v>818</v>
      </c>
      <c r="G939" s="192">
        <v>0.60000002384185791</v>
      </c>
      <c r="H939" s="192" t="s">
        <v>818</v>
      </c>
      <c r="I939" s="192">
        <v>1</v>
      </c>
      <c r="J939" s="192">
        <f>VLOOKUP($B939,'RBSA Weights'!$A$2:$C$1406,3,FALSE)</f>
        <v>1904.288</v>
      </c>
    </row>
    <row r="940" spans="1:10">
      <c r="A940" s="192">
        <v>136117</v>
      </c>
      <c r="B940" s="192">
        <v>21979</v>
      </c>
      <c r="C940" s="192" t="s">
        <v>815</v>
      </c>
      <c r="D940" s="192">
        <v>246</v>
      </c>
      <c r="E940" s="192" t="s">
        <v>816</v>
      </c>
      <c r="F940" s="192" t="s">
        <v>817</v>
      </c>
      <c r="G940" s="192">
        <v>0.44999998807907104</v>
      </c>
      <c r="H940" s="192" t="s">
        <v>818</v>
      </c>
      <c r="I940" s="192">
        <v>1</v>
      </c>
      <c r="J940" s="192">
        <f>VLOOKUP($B940,'RBSA Weights'!$A$2:$C$1406,3,FALSE)</f>
        <v>1612.692</v>
      </c>
    </row>
    <row r="941" spans="1:10">
      <c r="A941" s="192">
        <v>189921</v>
      </c>
      <c r="B941" s="192">
        <v>21981</v>
      </c>
      <c r="C941" s="192" t="s">
        <v>815</v>
      </c>
      <c r="D941" s="192">
        <v>65</v>
      </c>
      <c r="E941" s="192" t="s">
        <v>816</v>
      </c>
      <c r="F941" s="192" t="s">
        <v>817</v>
      </c>
      <c r="G941" s="192">
        <v>0.44999998807907104</v>
      </c>
      <c r="H941" s="192" t="s">
        <v>818</v>
      </c>
      <c r="I941" s="192">
        <v>1</v>
      </c>
      <c r="J941" s="192">
        <f>VLOOKUP($B941,'RBSA Weights'!$A$2:$C$1406,3,FALSE)</f>
        <v>2079.9929999999999</v>
      </c>
    </row>
    <row r="942" spans="1:10">
      <c r="A942" s="192">
        <v>124600</v>
      </c>
      <c r="B942" s="192">
        <v>21988</v>
      </c>
      <c r="C942" s="192" t="s">
        <v>815</v>
      </c>
      <c r="D942" s="192">
        <v>232</v>
      </c>
      <c r="E942" s="192" t="s">
        <v>816</v>
      </c>
      <c r="F942" s="192" t="s">
        <v>818</v>
      </c>
      <c r="G942" s="192">
        <v>0.60000002384185791</v>
      </c>
      <c r="H942" s="192" t="s">
        <v>818</v>
      </c>
      <c r="I942" s="192">
        <v>1</v>
      </c>
      <c r="J942" s="192">
        <f>VLOOKUP($B942,'RBSA Weights'!$A$2:$C$1406,3,FALSE)</f>
        <v>2079.9929999999999</v>
      </c>
    </row>
    <row r="943" spans="1:10">
      <c r="A943" s="192">
        <v>62921</v>
      </c>
      <c r="B943" s="192">
        <v>22000</v>
      </c>
      <c r="C943" s="192" t="s">
        <v>815</v>
      </c>
      <c r="D943" s="192">
        <v>195</v>
      </c>
      <c r="E943" s="192" t="s">
        <v>819</v>
      </c>
      <c r="F943" s="192" t="s">
        <v>821</v>
      </c>
      <c r="G943" s="192">
        <v>0.75</v>
      </c>
      <c r="H943" s="192" t="s">
        <v>821</v>
      </c>
      <c r="I943" s="192">
        <v>1</v>
      </c>
      <c r="J943" s="192">
        <f>VLOOKUP($B943,'RBSA Weights'!$A$2:$C$1406,3,FALSE)</f>
        <v>3785.7640000000001</v>
      </c>
    </row>
    <row r="944" spans="1:10">
      <c r="A944" s="192">
        <v>88237</v>
      </c>
      <c r="B944" s="192">
        <v>22005</v>
      </c>
      <c r="C944" s="192" t="s">
        <v>815</v>
      </c>
      <c r="D944" s="192">
        <v>298</v>
      </c>
      <c r="E944" s="192" t="s">
        <v>816</v>
      </c>
      <c r="F944" s="192" t="s">
        <v>817</v>
      </c>
      <c r="G944" s="192">
        <v>0.44999998807907104</v>
      </c>
      <c r="H944" s="192" t="s">
        <v>818</v>
      </c>
      <c r="I944" s="192">
        <v>1</v>
      </c>
      <c r="J944" s="192">
        <f>VLOOKUP($B944,'RBSA Weights'!$A$2:$C$1406,3,FALSE)</f>
        <v>1144.6790000000001</v>
      </c>
    </row>
    <row r="945" spans="1:10">
      <c r="A945" s="192">
        <v>32297</v>
      </c>
      <c r="B945" s="192">
        <v>22015</v>
      </c>
      <c r="C945" s="192" t="s">
        <v>815</v>
      </c>
      <c r="D945" s="192">
        <v>117</v>
      </c>
      <c r="E945" s="192" t="s">
        <v>816</v>
      </c>
      <c r="F945" s="192" t="s">
        <v>821</v>
      </c>
      <c r="G945" s="192">
        <v>0.94999998807907104</v>
      </c>
      <c r="H945" s="192" t="s">
        <v>821</v>
      </c>
      <c r="I945" s="192">
        <v>1</v>
      </c>
      <c r="J945" s="192">
        <f>VLOOKUP($B945,'RBSA Weights'!$A$2:$C$1406,3,FALSE)</f>
        <v>2130.886</v>
      </c>
    </row>
    <row r="946" spans="1:10">
      <c r="A946" s="192">
        <v>64021</v>
      </c>
      <c r="B946" s="192">
        <v>22019</v>
      </c>
      <c r="C946" s="192" t="s">
        <v>815</v>
      </c>
      <c r="D946" s="192">
        <v>205</v>
      </c>
      <c r="E946" s="192" t="s">
        <v>816</v>
      </c>
      <c r="F946" s="192" t="s">
        <v>818</v>
      </c>
      <c r="G946" s="192">
        <v>0.60000002384185791</v>
      </c>
      <c r="H946" s="192" t="s">
        <v>818</v>
      </c>
      <c r="I946" s="192">
        <v>1</v>
      </c>
      <c r="J946" s="192">
        <f>VLOOKUP($B946,'RBSA Weights'!$A$2:$C$1406,3,FALSE)</f>
        <v>1904.288</v>
      </c>
    </row>
    <row r="947" spans="1:10">
      <c r="A947" s="192">
        <v>203495</v>
      </c>
      <c r="B947" s="192">
        <v>22021</v>
      </c>
      <c r="C947" s="192" t="s">
        <v>815</v>
      </c>
      <c r="D947" s="192">
        <v>47</v>
      </c>
      <c r="E947" s="192" t="s">
        <v>816</v>
      </c>
      <c r="F947" s="192" t="s">
        <v>817</v>
      </c>
      <c r="G947" s="192">
        <v>0.55000001192092896</v>
      </c>
      <c r="H947" s="192" t="s">
        <v>818</v>
      </c>
      <c r="I947" s="192">
        <v>1</v>
      </c>
      <c r="J947" s="192">
        <f>VLOOKUP($B947,'RBSA Weights'!$A$2:$C$1406,3,FALSE)</f>
        <v>1192.4649999999999</v>
      </c>
    </row>
    <row r="948" spans="1:10">
      <c r="A948" s="192">
        <v>111024</v>
      </c>
      <c r="B948" s="192">
        <v>22023</v>
      </c>
      <c r="C948" s="192" t="s">
        <v>815</v>
      </c>
      <c r="D948" s="192">
        <v>226</v>
      </c>
      <c r="E948" s="192" t="s">
        <v>816</v>
      </c>
      <c r="F948" s="192" t="s">
        <v>817</v>
      </c>
      <c r="G948" s="192">
        <v>0.55000001192092896</v>
      </c>
      <c r="H948" s="192" t="s">
        <v>818</v>
      </c>
      <c r="I948" s="192">
        <v>1</v>
      </c>
      <c r="J948" s="192">
        <f>VLOOKUP($B948,'RBSA Weights'!$A$2:$C$1406,3,FALSE)</f>
        <v>2079.9929999999999</v>
      </c>
    </row>
    <row r="949" spans="1:10">
      <c r="A949" s="192">
        <v>173875</v>
      </c>
      <c r="B949" s="192">
        <v>22024</v>
      </c>
      <c r="C949" s="192" t="s">
        <v>815</v>
      </c>
      <c r="D949" s="192">
        <v>278</v>
      </c>
      <c r="E949" s="192" t="s">
        <v>816</v>
      </c>
      <c r="F949" s="192" t="s">
        <v>817</v>
      </c>
      <c r="G949" s="192">
        <v>0.55000001192092896</v>
      </c>
      <c r="H949" s="192" t="s">
        <v>818</v>
      </c>
      <c r="I949" s="192">
        <v>1</v>
      </c>
      <c r="J949" s="192">
        <f>VLOOKUP($B949,'RBSA Weights'!$A$2:$C$1406,3,FALSE)</f>
        <v>1192.4649999999999</v>
      </c>
    </row>
    <row r="950" spans="1:10">
      <c r="A950" s="192">
        <v>93896</v>
      </c>
      <c r="B950" s="192">
        <v>22039</v>
      </c>
      <c r="C950" s="192" t="s">
        <v>815</v>
      </c>
      <c r="D950" s="192">
        <v>242</v>
      </c>
      <c r="E950" s="192" t="s">
        <v>816</v>
      </c>
      <c r="F950" s="192" t="s">
        <v>817</v>
      </c>
      <c r="G950" s="192">
        <v>0.55000001192092896</v>
      </c>
      <c r="H950" s="192" t="s">
        <v>818</v>
      </c>
      <c r="I950" s="192">
        <v>1</v>
      </c>
      <c r="J950" s="192">
        <f>VLOOKUP($B950,'RBSA Weights'!$A$2:$C$1406,3,FALSE)</f>
        <v>1904.288</v>
      </c>
    </row>
    <row r="951" spans="1:10">
      <c r="A951" s="192">
        <v>143936</v>
      </c>
      <c r="B951" s="192">
        <v>22041</v>
      </c>
      <c r="C951" s="192" t="s">
        <v>815</v>
      </c>
      <c r="D951" s="192">
        <v>112</v>
      </c>
      <c r="E951" s="192" t="s">
        <v>816</v>
      </c>
      <c r="F951" s="192" t="s">
        <v>818</v>
      </c>
      <c r="G951" s="192">
        <v>0.60000002384185791</v>
      </c>
      <c r="H951" s="192" t="s">
        <v>818</v>
      </c>
      <c r="I951" s="192">
        <v>1</v>
      </c>
      <c r="J951" s="192">
        <f>VLOOKUP($B951,'RBSA Weights'!$A$2:$C$1406,3,FALSE)</f>
        <v>2130.886</v>
      </c>
    </row>
    <row r="952" spans="1:10">
      <c r="A952" s="192">
        <v>104975</v>
      </c>
      <c r="B952" s="192">
        <v>22047</v>
      </c>
      <c r="C952" s="192" t="s">
        <v>815</v>
      </c>
      <c r="D952" s="192">
        <v>119</v>
      </c>
      <c r="E952" s="192" t="s">
        <v>816</v>
      </c>
      <c r="F952" s="192" t="s">
        <v>817</v>
      </c>
      <c r="G952" s="192">
        <v>0.55000001192092896</v>
      </c>
      <c r="H952" s="192" t="s">
        <v>818</v>
      </c>
      <c r="I952" s="192">
        <v>1</v>
      </c>
      <c r="J952" s="192">
        <f>VLOOKUP($B952,'RBSA Weights'!$A$2:$C$1406,3,FALSE)</f>
        <v>3785.7640000000001</v>
      </c>
    </row>
    <row r="953" spans="1:10">
      <c r="A953" s="192">
        <v>226274</v>
      </c>
      <c r="B953" s="192">
        <v>22052</v>
      </c>
      <c r="C953" s="192" t="s">
        <v>815</v>
      </c>
      <c r="D953" s="192">
        <v>190</v>
      </c>
      <c r="E953" s="192" t="s">
        <v>816</v>
      </c>
      <c r="F953" s="192" t="s">
        <v>817</v>
      </c>
      <c r="G953" s="192">
        <v>0.44999998807907104</v>
      </c>
      <c r="H953" s="192" t="s">
        <v>818</v>
      </c>
      <c r="I953" s="192">
        <v>1</v>
      </c>
      <c r="J953" s="192">
        <f>VLOOKUP($B953,'RBSA Weights'!$A$2:$C$1406,3,FALSE)</f>
        <v>1904.288</v>
      </c>
    </row>
    <row r="954" spans="1:10">
      <c r="A954" s="192">
        <v>42348</v>
      </c>
      <c r="B954" s="192">
        <v>22053</v>
      </c>
      <c r="C954" s="192" t="s">
        <v>815</v>
      </c>
      <c r="D954" s="192">
        <v>332</v>
      </c>
      <c r="E954" s="192" t="s">
        <v>816</v>
      </c>
      <c r="F954" s="192" t="s">
        <v>818</v>
      </c>
      <c r="G954" s="192">
        <v>0.60000002384185791</v>
      </c>
      <c r="H954" s="192" t="s">
        <v>818</v>
      </c>
      <c r="I954" s="192">
        <v>1</v>
      </c>
      <c r="J954" s="192">
        <f>VLOOKUP($B954,'RBSA Weights'!$A$2:$C$1406,3,FALSE)</f>
        <v>2079.9929999999999</v>
      </c>
    </row>
    <row r="955" spans="1:10">
      <c r="A955" s="192">
        <v>74872</v>
      </c>
      <c r="B955" s="192">
        <v>22059</v>
      </c>
      <c r="C955" s="192" t="s">
        <v>815</v>
      </c>
      <c r="D955" s="192">
        <v>117</v>
      </c>
      <c r="E955" s="192" t="s">
        <v>816</v>
      </c>
      <c r="F955" s="192" t="s">
        <v>818</v>
      </c>
      <c r="G955" s="192">
        <v>0.55000001192092896</v>
      </c>
      <c r="H955" s="192" t="s">
        <v>818</v>
      </c>
      <c r="I955" s="192">
        <v>1</v>
      </c>
      <c r="J955" s="192">
        <f>VLOOKUP($B955,'RBSA Weights'!$A$2:$C$1406,3,FALSE)</f>
        <v>1904.288</v>
      </c>
    </row>
    <row r="956" spans="1:10">
      <c r="A956" s="192">
        <v>226636</v>
      </c>
      <c r="B956" s="192">
        <v>22061</v>
      </c>
      <c r="C956" s="192" t="s">
        <v>815</v>
      </c>
      <c r="D956" s="192">
        <v>296</v>
      </c>
      <c r="E956" s="192" t="s">
        <v>816</v>
      </c>
      <c r="F956" s="192" t="s">
        <v>817</v>
      </c>
      <c r="G956" s="192">
        <v>0.44999998807907104</v>
      </c>
      <c r="H956" s="192" t="s">
        <v>818</v>
      </c>
      <c r="I956" s="192">
        <v>1</v>
      </c>
      <c r="J956" s="192">
        <f>VLOOKUP($B956,'RBSA Weights'!$A$2:$C$1406,3,FALSE)</f>
        <v>1904.288</v>
      </c>
    </row>
    <row r="957" spans="1:10">
      <c r="A957" s="192">
        <v>720010</v>
      </c>
      <c r="B957" s="192">
        <v>22077</v>
      </c>
      <c r="C957" s="192" t="s">
        <v>815</v>
      </c>
      <c r="D957" s="192">
        <v>154</v>
      </c>
      <c r="E957" s="192" t="s">
        <v>816</v>
      </c>
      <c r="F957" s="192" t="s">
        <v>821</v>
      </c>
      <c r="G957" s="192">
        <v>0.94999998807907104</v>
      </c>
      <c r="H957" s="192" t="s">
        <v>821</v>
      </c>
      <c r="I957" s="192">
        <v>1</v>
      </c>
      <c r="J957" s="192">
        <f>VLOOKUP($B957,'RBSA Weights'!$A$2:$C$1406,3,FALSE)</f>
        <v>3785.7640000000001</v>
      </c>
    </row>
    <row r="958" spans="1:10">
      <c r="A958" s="192">
        <v>176806</v>
      </c>
      <c r="B958" s="192">
        <v>22084</v>
      </c>
      <c r="C958" s="192" t="s">
        <v>815</v>
      </c>
      <c r="D958" s="192">
        <v>314</v>
      </c>
      <c r="E958" s="192" t="s">
        <v>816</v>
      </c>
      <c r="F958" s="192" t="s">
        <v>817</v>
      </c>
      <c r="G958" s="192">
        <v>0.44999998807907104</v>
      </c>
      <c r="H958" s="192" t="s">
        <v>818</v>
      </c>
      <c r="I958" s="192">
        <v>1</v>
      </c>
      <c r="J958" s="192">
        <f>VLOOKUP($B958,'RBSA Weights'!$A$2:$C$1406,3,FALSE)</f>
        <v>2130.886</v>
      </c>
    </row>
    <row r="959" spans="1:10">
      <c r="A959" s="192">
        <v>720101</v>
      </c>
      <c r="B959" s="192">
        <v>22086</v>
      </c>
      <c r="C959" s="192" t="s">
        <v>815</v>
      </c>
      <c r="D959" s="192">
        <v>341</v>
      </c>
      <c r="E959" s="192" t="s">
        <v>816</v>
      </c>
      <c r="F959" s="192" t="s">
        <v>817</v>
      </c>
      <c r="G959" s="192">
        <v>0.44999998807907104</v>
      </c>
      <c r="H959" s="192" t="s">
        <v>818</v>
      </c>
      <c r="I959" s="192">
        <v>1</v>
      </c>
      <c r="J959" s="192">
        <f>VLOOKUP($B959,'RBSA Weights'!$A$2:$C$1406,3,FALSE)</f>
        <v>3785.7640000000001</v>
      </c>
    </row>
    <row r="960" spans="1:10">
      <c r="A960" s="192">
        <v>201901</v>
      </c>
      <c r="B960" s="192">
        <v>22087</v>
      </c>
      <c r="C960" s="192" t="s">
        <v>815</v>
      </c>
      <c r="D960" s="192">
        <v>404</v>
      </c>
      <c r="E960" s="192" t="s">
        <v>816</v>
      </c>
      <c r="F960" s="192" t="s">
        <v>817</v>
      </c>
      <c r="G960" s="192">
        <v>0.44999998807907104</v>
      </c>
      <c r="H960" s="192" t="s">
        <v>818</v>
      </c>
      <c r="I960" s="192">
        <v>1</v>
      </c>
      <c r="J960" s="192">
        <f>VLOOKUP($B960,'RBSA Weights'!$A$2:$C$1406,3,FALSE)</f>
        <v>1612.692</v>
      </c>
    </row>
    <row r="961" spans="1:10">
      <c r="A961" s="192">
        <v>144155</v>
      </c>
      <c r="B961" s="192">
        <v>22095</v>
      </c>
      <c r="C961" s="192" t="s">
        <v>815</v>
      </c>
      <c r="D961" s="192">
        <v>180</v>
      </c>
      <c r="E961" s="192" t="s">
        <v>816</v>
      </c>
      <c r="F961" s="192" t="s">
        <v>818</v>
      </c>
      <c r="G961" s="192">
        <v>0.60000002384185791</v>
      </c>
      <c r="H961" s="192" t="s">
        <v>818</v>
      </c>
      <c r="I961" s="192">
        <v>1</v>
      </c>
      <c r="J961" s="192">
        <f>VLOOKUP($B961,'RBSA Weights'!$A$2:$C$1406,3,FALSE)</f>
        <v>2130.886</v>
      </c>
    </row>
    <row r="962" spans="1:10">
      <c r="A962" s="192">
        <v>76093</v>
      </c>
      <c r="B962" s="192">
        <v>22096</v>
      </c>
      <c r="C962" s="192" t="s">
        <v>815</v>
      </c>
      <c r="D962" s="192">
        <v>225</v>
      </c>
      <c r="E962" s="192" t="s">
        <v>816</v>
      </c>
      <c r="F962" s="192" t="s">
        <v>817</v>
      </c>
      <c r="G962" s="192">
        <v>0.55000001192092896</v>
      </c>
      <c r="H962" s="192" t="s">
        <v>818</v>
      </c>
      <c r="I962" s="192">
        <v>1</v>
      </c>
      <c r="J962" s="192">
        <f>VLOOKUP($B962,'RBSA Weights'!$A$2:$C$1406,3,FALSE)</f>
        <v>3785.7640000000001</v>
      </c>
    </row>
    <row r="963" spans="1:10">
      <c r="A963" s="192">
        <v>114240</v>
      </c>
      <c r="B963" s="192">
        <v>22108</v>
      </c>
      <c r="C963" s="192" t="s">
        <v>815</v>
      </c>
      <c r="D963" s="192">
        <v>238</v>
      </c>
      <c r="E963" s="192" t="s">
        <v>816</v>
      </c>
      <c r="F963" s="192" t="s">
        <v>817</v>
      </c>
      <c r="G963" s="192">
        <v>0.55000001192092896</v>
      </c>
      <c r="H963" s="192" t="s">
        <v>818</v>
      </c>
      <c r="I963" s="192">
        <v>1</v>
      </c>
      <c r="J963" s="192">
        <f>VLOOKUP($B963,'RBSA Weights'!$A$2:$C$1406,3,FALSE)</f>
        <v>1612.692</v>
      </c>
    </row>
    <row r="964" spans="1:10">
      <c r="A964" s="192">
        <v>211125</v>
      </c>
      <c r="B964" s="192">
        <v>22109</v>
      </c>
      <c r="C964" s="192" t="s">
        <v>815</v>
      </c>
      <c r="D964" s="192">
        <v>436</v>
      </c>
      <c r="E964" s="192" t="s">
        <v>816</v>
      </c>
      <c r="F964" s="192" t="s">
        <v>817</v>
      </c>
      <c r="G964" s="192">
        <v>0.55000001192092896</v>
      </c>
      <c r="H964" s="192" t="s">
        <v>818</v>
      </c>
      <c r="I964" s="192">
        <v>1</v>
      </c>
      <c r="J964" s="192">
        <f>VLOOKUP($B964,'RBSA Weights'!$A$2:$C$1406,3,FALSE)</f>
        <v>1904.288</v>
      </c>
    </row>
    <row r="965" spans="1:10">
      <c r="A965" s="192">
        <v>242270</v>
      </c>
      <c r="B965" s="192">
        <v>22123</v>
      </c>
      <c r="C965" s="192" t="s">
        <v>815</v>
      </c>
      <c r="D965" s="192">
        <v>42</v>
      </c>
      <c r="E965" s="192" t="s">
        <v>816</v>
      </c>
      <c r="F965" s="192" t="s">
        <v>823</v>
      </c>
      <c r="G965" s="192">
        <v>1.1000000238418579</v>
      </c>
      <c r="H965" s="192" t="s">
        <v>823</v>
      </c>
      <c r="I965" s="192">
        <v>1</v>
      </c>
      <c r="J965" s="192">
        <f>VLOOKUP($B965,'RBSA Weights'!$A$2:$C$1406,3,FALSE)</f>
        <v>1192.4649999999999</v>
      </c>
    </row>
    <row r="966" spans="1:10">
      <c r="A966" s="192">
        <v>802435</v>
      </c>
      <c r="B966" s="192">
        <v>22124</v>
      </c>
      <c r="C966" s="192" t="s">
        <v>815</v>
      </c>
      <c r="D966" s="192">
        <v>363</v>
      </c>
      <c r="E966" s="192" t="s">
        <v>816</v>
      </c>
      <c r="F966" s="192" t="s">
        <v>817</v>
      </c>
      <c r="G966" s="192">
        <v>0.44999998807907104</v>
      </c>
      <c r="H966" s="192" t="s">
        <v>818</v>
      </c>
      <c r="I966" s="192">
        <v>1</v>
      </c>
      <c r="J966" s="192">
        <f>VLOOKUP($B966,'RBSA Weights'!$A$2:$C$1406,3,FALSE)</f>
        <v>4360.1880000000001</v>
      </c>
    </row>
    <row r="967" spans="1:10">
      <c r="A967" s="192">
        <v>107313</v>
      </c>
      <c r="B967" s="192">
        <v>22125</v>
      </c>
      <c r="C967" s="192" t="s">
        <v>815</v>
      </c>
      <c r="D967" s="192">
        <v>297</v>
      </c>
      <c r="E967" s="192" t="s">
        <v>819</v>
      </c>
      <c r="F967" s="192" t="s">
        <v>823</v>
      </c>
      <c r="G967" s="192">
        <v>0.85000002384185791</v>
      </c>
      <c r="H967" s="192" t="s">
        <v>823</v>
      </c>
      <c r="I967" s="192">
        <v>1</v>
      </c>
      <c r="J967" s="192">
        <f>VLOOKUP($B967,'RBSA Weights'!$A$2:$C$1406,3,FALSE)</f>
        <v>2079.9929999999999</v>
      </c>
    </row>
    <row r="968" spans="1:10">
      <c r="A968" s="192">
        <v>719892</v>
      </c>
      <c r="B968" s="192">
        <v>22127</v>
      </c>
      <c r="C968" s="192" t="s">
        <v>815</v>
      </c>
      <c r="D968" s="192">
        <v>209</v>
      </c>
      <c r="E968" s="192" t="s">
        <v>816</v>
      </c>
      <c r="F968" s="192" t="s">
        <v>821</v>
      </c>
      <c r="G968" s="192">
        <v>0.94999998807907104</v>
      </c>
      <c r="H968" s="192" t="s">
        <v>821</v>
      </c>
      <c r="I968" s="192">
        <v>1</v>
      </c>
      <c r="J968" s="192">
        <f>VLOOKUP($B968,'RBSA Weights'!$A$2:$C$1406,3,FALSE)</f>
        <v>3785.7640000000001</v>
      </c>
    </row>
    <row r="969" spans="1:10">
      <c r="A969" s="192">
        <v>222378</v>
      </c>
      <c r="B969" s="192">
        <v>22129</v>
      </c>
      <c r="C969" s="192" t="s">
        <v>815</v>
      </c>
      <c r="D969" s="192">
        <v>423</v>
      </c>
      <c r="E969" s="192" t="s">
        <v>816</v>
      </c>
      <c r="F969" s="192" t="s">
        <v>817</v>
      </c>
      <c r="G969" s="192">
        <v>0.55000001192092896</v>
      </c>
      <c r="H969" s="192" t="s">
        <v>818</v>
      </c>
      <c r="I969" s="192">
        <v>1</v>
      </c>
      <c r="J969" s="192">
        <f>VLOOKUP($B969,'RBSA Weights'!$A$2:$C$1406,3,FALSE)</f>
        <v>1925.059</v>
      </c>
    </row>
    <row r="970" spans="1:10">
      <c r="A970" s="192">
        <v>138278</v>
      </c>
      <c r="B970" s="192">
        <v>22131</v>
      </c>
      <c r="C970" s="192" t="s">
        <v>815</v>
      </c>
      <c r="D970" s="192">
        <v>120</v>
      </c>
      <c r="E970" s="192" t="s">
        <v>816</v>
      </c>
      <c r="F970" s="192" t="s">
        <v>817</v>
      </c>
      <c r="G970" s="192">
        <v>0.44999998807907104</v>
      </c>
      <c r="H970" s="192" t="s">
        <v>818</v>
      </c>
      <c r="I970" s="192">
        <v>1</v>
      </c>
      <c r="J970" s="192">
        <f>VLOOKUP($B970,'RBSA Weights'!$A$2:$C$1406,3,FALSE)</f>
        <v>8264.9449999999997</v>
      </c>
    </row>
    <row r="971" spans="1:10">
      <c r="A971" s="192">
        <v>233400</v>
      </c>
      <c r="B971" s="192">
        <v>22138</v>
      </c>
      <c r="C971" s="192" t="s">
        <v>815</v>
      </c>
      <c r="D971" s="192">
        <v>528</v>
      </c>
      <c r="E971" s="192" t="s">
        <v>816</v>
      </c>
      <c r="F971" s="192" t="s">
        <v>818</v>
      </c>
      <c r="G971" s="192">
        <v>0.60000002384185791</v>
      </c>
      <c r="H971" s="192" t="s">
        <v>818</v>
      </c>
      <c r="I971" s="192">
        <v>1</v>
      </c>
      <c r="J971" s="192">
        <f>VLOOKUP($B971,'RBSA Weights'!$A$2:$C$1406,3,FALSE)</f>
        <v>3785.7640000000001</v>
      </c>
    </row>
    <row r="972" spans="1:10">
      <c r="A972" s="192">
        <v>675572</v>
      </c>
      <c r="B972" s="192">
        <v>22144</v>
      </c>
      <c r="C972" s="192" t="s">
        <v>815</v>
      </c>
      <c r="D972" s="192">
        <v>229</v>
      </c>
      <c r="E972" s="192" t="s">
        <v>816</v>
      </c>
      <c r="F972" s="192" t="s">
        <v>818</v>
      </c>
      <c r="G972" s="192">
        <v>0.55000001192092896</v>
      </c>
      <c r="H972" s="192" t="s">
        <v>818</v>
      </c>
      <c r="I972" s="192">
        <v>1</v>
      </c>
      <c r="J972" s="192">
        <f>VLOOKUP($B972,'RBSA Weights'!$A$2:$C$1406,3,FALSE)</f>
        <v>3785.7640000000001</v>
      </c>
    </row>
    <row r="973" spans="1:10">
      <c r="A973" s="192">
        <v>184088</v>
      </c>
      <c r="B973" s="192">
        <v>22153</v>
      </c>
      <c r="C973" s="192" t="s">
        <v>815</v>
      </c>
      <c r="D973" s="192">
        <v>277</v>
      </c>
      <c r="E973" s="192" t="s">
        <v>816</v>
      </c>
      <c r="F973" s="192" t="s">
        <v>817</v>
      </c>
      <c r="G973" s="192">
        <v>0.55000001192092896</v>
      </c>
      <c r="H973" s="192" t="s">
        <v>818</v>
      </c>
      <c r="I973" s="192">
        <v>1</v>
      </c>
      <c r="J973" s="192">
        <f>VLOOKUP($B973,'RBSA Weights'!$A$2:$C$1406,3,FALSE)</f>
        <v>1192.4649999999999</v>
      </c>
    </row>
    <row r="974" spans="1:10">
      <c r="A974" s="192">
        <v>178264</v>
      </c>
      <c r="B974" s="192">
        <v>22159</v>
      </c>
      <c r="C974" s="192" t="s">
        <v>815</v>
      </c>
      <c r="D974" s="192">
        <v>351</v>
      </c>
      <c r="E974" s="192" t="s">
        <v>816</v>
      </c>
      <c r="F974" s="192" t="s">
        <v>817</v>
      </c>
      <c r="G974" s="192">
        <v>0.44999998807907104</v>
      </c>
      <c r="H974" s="192" t="s">
        <v>818</v>
      </c>
      <c r="I974" s="192">
        <v>1</v>
      </c>
      <c r="J974" s="192">
        <f>VLOOKUP($B974,'RBSA Weights'!$A$2:$C$1406,3,FALSE)</f>
        <v>1192.4649999999999</v>
      </c>
    </row>
    <row r="975" spans="1:10">
      <c r="A975" s="192">
        <v>130027</v>
      </c>
      <c r="B975" s="192">
        <v>22172</v>
      </c>
      <c r="C975" s="192" t="s">
        <v>815</v>
      </c>
      <c r="D975" s="192">
        <v>204</v>
      </c>
      <c r="E975" s="192" t="s">
        <v>816</v>
      </c>
      <c r="F975" s="192" t="s">
        <v>817</v>
      </c>
      <c r="G975" s="192">
        <v>0.44999998807907104</v>
      </c>
      <c r="H975" s="192" t="s">
        <v>818</v>
      </c>
      <c r="I975" s="192">
        <v>1</v>
      </c>
      <c r="J975" s="192">
        <f>VLOOKUP($B975,'RBSA Weights'!$A$2:$C$1406,3,FALSE)</f>
        <v>1904.288</v>
      </c>
    </row>
    <row r="976" spans="1:10">
      <c r="A976" s="192">
        <v>174626</v>
      </c>
      <c r="B976" s="192">
        <v>22175</v>
      </c>
      <c r="C976" s="192" t="s">
        <v>815</v>
      </c>
      <c r="D976" s="192">
        <v>316</v>
      </c>
      <c r="E976" s="192" t="s">
        <v>816</v>
      </c>
      <c r="F976" s="192" t="s">
        <v>817</v>
      </c>
      <c r="G976" s="192">
        <v>0.44999998807907104</v>
      </c>
      <c r="H976" s="192" t="s">
        <v>818</v>
      </c>
      <c r="I976" s="192">
        <v>1</v>
      </c>
      <c r="J976" s="192">
        <f>VLOOKUP($B976,'RBSA Weights'!$A$2:$C$1406,3,FALSE)</f>
        <v>2079.9929999999999</v>
      </c>
    </row>
    <row r="977" spans="1:10">
      <c r="A977" s="192">
        <v>176219</v>
      </c>
      <c r="B977" s="192">
        <v>22176</v>
      </c>
      <c r="C977" s="192" t="s">
        <v>815</v>
      </c>
      <c r="D977" s="192">
        <v>425</v>
      </c>
      <c r="E977" s="192" t="s">
        <v>816</v>
      </c>
      <c r="F977" s="192" t="s">
        <v>817</v>
      </c>
      <c r="G977" s="192">
        <v>0.44999998807907104</v>
      </c>
      <c r="H977" s="192" t="s">
        <v>818</v>
      </c>
      <c r="I977" s="192">
        <v>1</v>
      </c>
      <c r="J977" s="192">
        <f>VLOOKUP($B977,'RBSA Weights'!$A$2:$C$1406,3,FALSE)</f>
        <v>2130.886</v>
      </c>
    </row>
    <row r="978" spans="1:10">
      <c r="A978" s="192">
        <v>722484</v>
      </c>
      <c r="B978" s="192">
        <v>22177</v>
      </c>
      <c r="C978" s="192" t="s">
        <v>815</v>
      </c>
      <c r="D978" s="192">
        <v>376</v>
      </c>
      <c r="E978" s="192" t="s">
        <v>816</v>
      </c>
      <c r="F978" s="192" t="s">
        <v>817</v>
      </c>
      <c r="G978" s="192">
        <v>0.44999998807907104</v>
      </c>
      <c r="H978" s="192" t="s">
        <v>818</v>
      </c>
      <c r="I978" s="192">
        <v>1</v>
      </c>
      <c r="J978" s="192">
        <f>VLOOKUP($B978,'RBSA Weights'!$A$2:$C$1406,3,FALSE)</f>
        <v>1612.692</v>
      </c>
    </row>
    <row r="979" spans="1:10">
      <c r="A979" s="192">
        <v>209010</v>
      </c>
      <c r="B979" s="192">
        <v>22179</v>
      </c>
      <c r="C979" s="192" t="s">
        <v>815</v>
      </c>
      <c r="D979" s="192">
        <v>171</v>
      </c>
      <c r="E979" s="192" t="s">
        <v>816</v>
      </c>
      <c r="F979" s="192" t="s">
        <v>817</v>
      </c>
      <c r="G979" s="192">
        <v>0.44999998807907104</v>
      </c>
      <c r="H979" s="192" t="s">
        <v>818</v>
      </c>
      <c r="I979" s="192">
        <v>1</v>
      </c>
      <c r="J979" s="192">
        <f>VLOOKUP($B979,'RBSA Weights'!$A$2:$C$1406,3,FALSE)</f>
        <v>3785.7640000000001</v>
      </c>
    </row>
    <row r="980" spans="1:10">
      <c r="A980" s="192">
        <v>156119</v>
      </c>
      <c r="B980" s="192">
        <v>22180</v>
      </c>
      <c r="C980" s="192" t="s">
        <v>815</v>
      </c>
      <c r="D980" s="192">
        <v>182</v>
      </c>
      <c r="E980" s="192" t="s">
        <v>816</v>
      </c>
      <c r="F980" s="192" t="s">
        <v>825</v>
      </c>
      <c r="G980" s="192">
        <v>0.2199999988079071</v>
      </c>
      <c r="H980" s="192" t="s">
        <v>826</v>
      </c>
      <c r="I980" s="192">
        <v>1</v>
      </c>
      <c r="J980" s="192">
        <f>VLOOKUP($B980,'RBSA Weights'!$A$2:$C$1406,3,FALSE)</f>
        <v>2079.9929999999999</v>
      </c>
    </row>
    <row r="981" spans="1:10">
      <c r="A981" s="192">
        <v>205939</v>
      </c>
      <c r="B981" s="192">
        <v>22181</v>
      </c>
      <c r="C981" s="192" t="s">
        <v>815</v>
      </c>
      <c r="D981" s="192">
        <v>135</v>
      </c>
      <c r="E981" s="192" t="s">
        <v>816</v>
      </c>
      <c r="F981" s="192" t="s">
        <v>818</v>
      </c>
      <c r="G981" s="192">
        <v>0.55000001192092896</v>
      </c>
      <c r="H981" s="192" t="s">
        <v>818</v>
      </c>
      <c r="I981" s="192">
        <v>1</v>
      </c>
      <c r="J981" s="192">
        <f>VLOOKUP($B981,'RBSA Weights'!$A$2:$C$1406,3,FALSE)</f>
        <v>1192.4649999999999</v>
      </c>
    </row>
    <row r="982" spans="1:10">
      <c r="A982" s="192">
        <v>106959</v>
      </c>
      <c r="B982" s="192">
        <v>22186</v>
      </c>
      <c r="C982" s="192" t="s">
        <v>815</v>
      </c>
      <c r="D982" s="192">
        <v>139</v>
      </c>
      <c r="E982" s="192" t="s">
        <v>816</v>
      </c>
      <c r="F982" s="192" t="s">
        <v>817</v>
      </c>
      <c r="G982" s="192">
        <v>0.55000001192092896</v>
      </c>
      <c r="H982" s="192" t="s">
        <v>818</v>
      </c>
      <c r="I982" s="192">
        <v>1</v>
      </c>
      <c r="J982" s="192">
        <f>VLOOKUP($B982,'RBSA Weights'!$A$2:$C$1406,3,FALSE)</f>
        <v>3785.7640000000001</v>
      </c>
    </row>
    <row r="983" spans="1:10">
      <c r="A983" s="192">
        <v>194875</v>
      </c>
      <c r="B983" s="192">
        <v>22191</v>
      </c>
      <c r="C983" s="192" t="s">
        <v>815</v>
      </c>
      <c r="D983" s="192">
        <v>81</v>
      </c>
      <c r="E983" s="192" t="s">
        <v>816</v>
      </c>
      <c r="F983" s="192" t="s">
        <v>817</v>
      </c>
      <c r="G983" s="192">
        <v>0.44999998807907104</v>
      </c>
      <c r="H983" s="192" t="s">
        <v>818</v>
      </c>
      <c r="I983" s="192">
        <v>1</v>
      </c>
      <c r="J983" s="192">
        <f>VLOOKUP($B983,'RBSA Weights'!$A$2:$C$1406,3,FALSE)</f>
        <v>8559.1039999999994</v>
      </c>
    </row>
    <row r="984" spans="1:10">
      <c r="A984" s="192">
        <v>718148</v>
      </c>
      <c r="B984" s="192">
        <v>22198</v>
      </c>
      <c r="C984" s="192" t="s">
        <v>815</v>
      </c>
      <c r="D984" s="192">
        <v>428</v>
      </c>
      <c r="E984" s="192" t="s">
        <v>816</v>
      </c>
      <c r="F984" s="192" t="s">
        <v>817</v>
      </c>
      <c r="G984" s="192">
        <v>0.44999998807907104</v>
      </c>
      <c r="H984" s="192" t="s">
        <v>818</v>
      </c>
      <c r="I984" s="192">
        <v>1</v>
      </c>
      <c r="J984" s="192">
        <f>VLOOKUP($B984,'RBSA Weights'!$A$2:$C$1406,3,FALSE)</f>
        <v>3785.7640000000001</v>
      </c>
    </row>
    <row r="985" spans="1:10">
      <c r="A985" s="192">
        <v>140487</v>
      </c>
      <c r="B985" s="192">
        <v>22200</v>
      </c>
      <c r="C985" s="192" t="s">
        <v>815</v>
      </c>
      <c r="D985" s="192">
        <v>111</v>
      </c>
      <c r="E985" s="192" t="s">
        <v>816</v>
      </c>
      <c r="F985" s="192" t="s">
        <v>817</v>
      </c>
      <c r="G985" s="192">
        <v>0.55000001192092896</v>
      </c>
      <c r="H985" s="192" t="s">
        <v>818</v>
      </c>
      <c r="I985" s="192">
        <v>1</v>
      </c>
      <c r="J985" s="192">
        <f>VLOOKUP($B985,'RBSA Weights'!$A$2:$C$1406,3,FALSE)</f>
        <v>1192.4649999999999</v>
      </c>
    </row>
    <row r="986" spans="1:10">
      <c r="A986" s="192">
        <v>88677</v>
      </c>
      <c r="B986" s="192">
        <v>22203</v>
      </c>
      <c r="C986" s="192" t="s">
        <v>815</v>
      </c>
      <c r="D986" s="192">
        <v>218</v>
      </c>
      <c r="E986" s="192" t="s">
        <v>816</v>
      </c>
      <c r="F986" s="192" t="s">
        <v>817</v>
      </c>
      <c r="G986" s="192">
        <v>0.55000001192092896</v>
      </c>
      <c r="H986" s="192" t="s">
        <v>818</v>
      </c>
      <c r="I986" s="192">
        <v>1</v>
      </c>
      <c r="J986" s="192">
        <f>VLOOKUP($B986,'RBSA Weights'!$A$2:$C$1406,3,FALSE)</f>
        <v>1925.059</v>
      </c>
    </row>
    <row r="987" spans="1:10">
      <c r="A987" s="192">
        <v>126199</v>
      </c>
      <c r="B987" s="192">
        <v>22205</v>
      </c>
      <c r="C987" s="192" t="s">
        <v>815</v>
      </c>
      <c r="D987" s="192">
        <v>248</v>
      </c>
      <c r="E987" s="192" t="s">
        <v>816</v>
      </c>
      <c r="F987" s="192" t="s">
        <v>817</v>
      </c>
      <c r="G987" s="192">
        <v>0.55000001192092896</v>
      </c>
      <c r="H987" s="192" t="s">
        <v>818</v>
      </c>
      <c r="I987" s="192">
        <v>1</v>
      </c>
      <c r="J987" s="192">
        <f>VLOOKUP($B987,'RBSA Weights'!$A$2:$C$1406,3,FALSE)</f>
        <v>1904.288</v>
      </c>
    </row>
    <row r="988" spans="1:10">
      <c r="A988" s="192">
        <v>116549</v>
      </c>
      <c r="B988" s="192">
        <v>22212</v>
      </c>
      <c r="C988" s="192" t="s">
        <v>815</v>
      </c>
      <c r="D988" s="192">
        <v>122</v>
      </c>
      <c r="E988" s="192" t="s">
        <v>819</v>
      </c>
      <c r="F988" s="192" t="s">
        <v>821</v>
      </c>
      <c r="G988" s="192">
        <v>0.75</v>
      </c>
      <c r="H988" s="192" t="s">
        <v>821</v>
      </c>
      <c r="I988" s="192">
        <v>1</v>
      </c>
      <c r="J988" s="192">
        <f>VLOOKUP($B988,'RBSA Weights'!$A$2:$C$1406,3,FALSE)</f>
        <v>1612.692</v>
      </c>
    </row>
    <row r="989" spans="1:10">
      <c r="A989" s="192">
        <v>231174</v>
      </c>
      <c r="B989" s="192">
        <v>22214</v>
      </c>
      <c r="C989" s="192" t="s">
        <v>815</v>
      </c>
      <c r="D989" s="192">
        <v>152</v>
      </c>
      <c r="E989" s="192" t="s">
        <v>816</v>
      </c>
      <c r="F989" s="192" t="s">
        <v>817</v>
      </c>
      <c r="G989" s="192">
        <v>0.44999998807907104</v>
      </c>
      <c r="H989" s="192" t="s">
        <v>818</v>
      </c>
      <c r="I989" s="192">
        <v>1</v>
      </c>
      <c r="J989" s="192">
        <f>VLOOKUP($B989,'RBSA Weights'!$A$2:$C$1406,3,FALSE)</f>
        <v>2130.886</v>
      </c>
    </row>
    <row r="990" spans="1:10">
      <c r="A990" s="192">
        <v>50114</v>
      </c>
      <c r="B990" s="192">
        <v>22215</v>
      </c>
      <c r="C990" s="192" t="s">
        <v>815</v>
      </c>
      <c r="D990" s="192">
        <v>181</v>
      </c>
      <c r="E990" s="192" t="s">
        <v>816</v>
      </c>
      <c r="F990" s="192" t="s">
        <v>817</v>
      </c>
      <c r="G990" s="192">
        <v>0.55000001192092896</v>
      </c>
      <c r="H990" s="192" t="s">
        <v>818</v>
      </c>
      <c r="I990" s="192">
        <v>1</v>
      </c>
      <c r="J990" s="192">
        <f>VLOOKUP($B990,'RBSA Weights'!$A$2:$C$1406,3,FALSE)</f>
        <v>3785.7640000000001</v>
      </c>
    </row>
    <row r="991" spans="1:10">
      <c r="A991" s="192">
        <v>192843</v>
      </c>
      <c r="B991" s="192">
        <v>22222</v>
      </c>
      <c r="C991" s="192" t="s">
        <v>815</v>
      </c>
      <c r="D991" s="192">
        <v>62</v>
      </c>
      <c r="E991" s="192" t="s">
        <v>819</v>
      </c>
      <c r="F991" s="192" t="s">
        <v>820</v>
      </c>
      <c r="G991" s="192">
        <v>0.69999998807907104</v>
      </c>
      <c r="H991" s="192" t="s">
        <v>820</v>
      </c>
      <c r="I991" s="192">
        <v>1</v>
      </c>
      <c r="J991" s="192">
        <f>VLOOKUP($B991,'RBSA Weights'!$A$2:$C$1406,3,FALSE)</f>
        <v>1904.288</v>
      </c>
    </row>
    <row r="992" spans="1:10">
      <c r="A992" s="192">
        <v>179020</v>
      </c>
      <c r="B992" s="192">
        <v>22225</v>
      </c>
      <c r="C992" s="192" t="s">
        <v>815</v>
      </c>
      <c r="D992" s="192">
        <v>111</v>
      </c>
      <c r="E992" s="192" t="s">
        <v>816</v>
      </c>
      <c r="F992" s="192" t="s">
        <v>820</v>
      </c>
      <c r="G992" s="192">
        <v>0.85000002384185791</v>
      </c>
      <c r="H992" s="192" t="s">
        <v>820</v>
      </c>
      <c r="I992" s="192">
        <v>1</v>
      </c>
      <c r="J992" s="192">
        <f>VLOOKUP($B992,'RBSA Weights'!$A$2:$C$1406,3,FALSE)</f>
        <v>1925.059</v>
      </c>
    </row>
    <row r="993" spans="1:10">
      <c r="A993" s="192">
        <v>49797</v>
      </c>
      <c r="B993" s="192">
        <v>22226</v>
      </c>
      <c r="C993" s="192" t="s">
        <v>815</v>
      </c>
      <c r="D993" s="192">
        <v>332</v>
      </c>
      <c r="E993" s="192" t="s">
        <v>816</v>
      </c>
      <c r="F993" s="192" t="s">
        <v>817</v>
      </c>
      <c r="G993" s="192">
        <v>0.55000001192092896</v>
      </c>
      <c r="H993" s="192" t="s">
        <v>818</v>
      </c>
      <c r="I993" s="192">
        <v>1</v>
      </c>
      <c r="J993" s="192">
        <f>VLOOKUP($B993,'RBSA Weights'!$A$2:$C$1406,3,FALSE)</f>
        <v>3785.7640000000001</v>
      </c>
    </row>
    <row r="994" spans="1:10">
      <c r="A994" s="192">
        <v>156215</v>
      </c>
      <c r="B994" s="192">
        <v>22228</v>
      </c>
      <c r="C994" s="192" t="s">
        <v>815</v>
      </c>
      <c r="D994" s="192">
        <v>224</v>
      </c>
      <c r="E994" s="192" t="s">
        <v>816</v>
      </c>
      <c r="F994" s="192" t="s">
        <v>817</v>
      </c>
      <c r="G994" s="192">
        <v>0.55000001192092896</v>
      </c>
      <c r="H994" s="192" t="s">
        <v>818</v>
      </c>
      <c r="I994" s="192">
        <v>1</v>
      </c>
      <c r="J994" s="192">
        <f>VLOOKUP($B994,'RBSA Weights'!$A$2:$C$1406,3,FALSE)</f>
        <v>1612.692</v>
      </c>
    </row>
    <row r="995" spans="1:10">
      <c r="A995" s="192">
        <v>91686</v>
      </c>
      <c r="B995" s="192">
        <v>22232</v>
      </c>
      <c r="C995" s="192" t="s">
        <v>815</v>
      </c>
      <c r="D995" s="192">
        <v>132</v>
      </c>
      <c r="E995" s="192" t="s">
        <v>816</v>
      </c>
      <c r="F995" s="192" t="s">
        <v>817</v>
      </c>
      <c r="G995" s="192">
        <v>0.44999998807907104</v>
      </c>
      <c r="H995" s="192" t="s">
        <v>818</v>
      </c>
      <c r="I995" s="192">
        <v>1</v>
      </c>
      <c r="J995" s="192">
        <f>VLOOKUP($B995,'RBSA Weights'!$A$2:$C$1406,3,FALSE)</f>
        <v>1904.288</v>
      </c>
    </row>
    <row r="996" spans="1:10">
      <c r="A996" s="192">
        <v>96480</v>
      </c>
      <c r="B996" s="192">
        <v>22233</v>
      </c>
      <c r="C996" s="192" t="s">
        <v>815</v>
      </c>
      <c r="D996" s="192">
        <v>185</v>
      </c>
      <c r="E996" s="192" t="s">
        <v>816</v>
      </c>
      <c r="F996" s="192" t="s">
        <v>817</v>
      </c>
      <c r="G996" s="192">
        <v>0.44999998807907104</v>
      </c>
      <c r="H996" s="192" t="s">
        <v>818</v>
      </c>
      <c r="I996" s="192">
        <v>1</v>
      </c>
      <c r="J996" s="192">
        <f>VLOOKUP($B996,'RBSA Weights'!$A$2:$C$1406,3,FALSE)</f>
        <v>1925.059</v>
      </c>
    </row>
    <row r="997" spans="1:10">
      <c r="A997" s="192">
        <v>167392</v>
      </c>
      <c r="B997" s="192">
        <v>22240</v>
      </c>
      <c r="C997" s="192" t="s">
        <v>815</v>
      </c>
      <c r="D997" s="192">
        <v>170</v>
      </c>
      <c r="E997" s="192" t="s">
        <v>816</v>
      </c>
      <c r="F997" s="192" t="s">
        <v>817</v>
      </c>
      <c r="G997" s="192">
        <v>0.55000001192092896</v>
      </c>
      <c r="H997" s="192" t="s">
        <v>818</v>
      </c>
      <c r="I997" s="192">
        <v>1</v>
      </c>
      <c r="J997" s="192">
        <f>VLOOKUP($B997,'RBSA Weights'!$A$2:$C$1406,3,FALSE)</f>
        <v>3785.7640000000001</v>
      </c>
    </row>
    <row r="998" spans="1:10">
      <c r="A998" s="192">
        <v>31445</v>
      </c>
      <c r="B998" s="192">
        <v>22245</v>
      </c>
      <c r="C998" s="192" t="s">
        <v>815</v>
      </c>
      <c r="D998" s="192">
        <v>84</v>
      </c>
      <c r="E998" s="192" t="s">
        <v>816</v>
      </c>
      <c r="F998" s="192" t="s">
        <v>818</v>
      </c>
      <c r="G998" s="192">
        <v>0.55000001192092896</v>
      </c>
      <c r="H998" s="192" t="s">
        <v>818</v>
      </c>
      <c r="I998" s="192">
        <v>1</v>
      </c>
      <c r="J998" s="192">
        <f>VLOOKUP($B998,'RBSA Weights'!$A$2:$C$1406,3,FALSE)</f>
        <v>12271.31</v>
      </c>
    </row>
    <row r="999" spans="1:10">
      <c r="A999" s="192">
        <v>200953</v>
      </c>
      <c r="B999" s="192">
        <v>22246</v>
      </c>
      <c r="C999" s="192" t="s">
        <v>815</v>
      </c>
      <c r="D999" s="192">
        <v>120</v>
      </c>
      <c r="E999" s="192" t="s">
        <v>816</v>
      </c>
      <c r="F999" s="192" t="s">
        <v>818</v>
      </c>
      <c r="G999" s="192">
        <v>0.55000001192092896</v>
      </c>
      <c r="H999" s="192" t="s">
        <v>818</v>
      </c>
      <c r="I999" s="192">
        <v>1</v>
      </c>
      <c r="J999" s="192">
        <f>VLOOKUP($B999,'RBSA Weights'!$A$2:$C$1406,3,FALSE)</f>
        <v>1925.059</v>
      </c>
    </row>
    <row r="1000" spans="1:10">
      <c r="A1000" s="192">
        <v>241477</v>
      </c>
      <c r="B1000" s="192">
        <v>22250</v>
      </c>
      <c r="C1000" s="192" t="s">
        <v>815</v>
      </c>
      <c r="D1000" s="192">
        <v>135</v>
      </c>
      <c r="E1000" s="192" t="s">
        <v>816</v>
      </c>
      <c r="F1000" s="192" t="s">
        <v>823</v>
      </c>
      <c r="G1000" s="192">
        <v>1.1000000238418579</v>
      </c>
      <c r="H1000" s="192" t="s">
        <v>823</v>
      </c>
      <c r="I1000" s="192">
        <v>1</v>
      </c>
      <c r="J1000" s="192">
        <f>VLOOKUP($B1000,'RBSA Weights'!$A$2:$C$1406,3,FALSE)</f>
        <v>1904.288</v>
      </c>
    </row>
    <row r="1001" spans="1:10">
      <c r="A1001" s="192">
        <v>784537</v>
      </c>
      <c r="B1001" s="192">
        <v>22273</v>
      </c>
      <c r="C1001" s="192" t="s">
        <v>815</v>
      </c>
      <c r="D1001" s="192">
        <v>92</v>
      </c>
      <c r="E1001" s="192" t="s">
        <v>816</v>
      </c>
      <c r="F1001" s="192" t="s">
        <v>820</v>
      </c>
      <c r="G1001" s="192">
        <v>0.80000001192092896</v>
      </c>
      <c r="H1001" s="192" t="s">
        <v>820</v>
      </c>
      <c r="I1001" s="192">
        <v>1</v>
      </c>
      <c r="J1001" s="192">
        <f>VLOOKUP($B1001,'RBSA Weights'!$A$2:$C$1406,3,FALSE)</f>
        <v>1904.288</v>
      </c>
    </row>
    <row r="1002" spans="1:10">
      <c r="A1002" s="192">
        <v>241895</v>
      </c>
      <c r="B1002" s="192">
        <v>22280</v>
      </c>
      <c r="C1002" s="192" t="s">
        <v>815</v>
      </c>
      <c r="D1002" s="192">
        <v>585</v>
      </c>
      <c r="E1002" s="192" t="s">
        <v>816</v>
      </c>
      <c r="F1002" s="192" t="s">
        <v>817</v>
      </c>
      <c r="G1002" s="192">
        <v>0.55000001192092896</v>
      </c>
      <c r="H1002" s="192" t="s">
        <v>818</v>
      </c>
      <c r="I1002" s="192">
        <v>1</v>
      </c>
      <c r="J1002" s="192">
        <f>VLOOKUP($B1002,'RBSA Weights'!$A$2:$C$1406,3,FALSE)</f>
        <v>12271.31</v>
      </c>
    </row>
    <row r="1003" spans="1:10">
      <c r="A1003" s="192">
        <v>260520</v>
      </c>
      <c r="B1003" s="192">
        <v>22284</v>
      </c>
      <c r="C1003" s="192" t="s">
        <v>815</v>
      </c>
      <c r="D1003" s="192">
        <v>173</v>
      </c>
      <c r="E1003" s="192" t="s">
        <v>816</v>
      </c>
      <c r="F1003" s="192" t="s">
        <v>817</v>
      </c>
      <c r="G1003" s="192">
        <v>0.55000001192092896</v>
      </c>
      <c r="H1003" s="192" t="s">
        <v>818</v>
      </c>
      <c r="I1003" s="192">
        <v>1</v>
      </c>
      <c r="J1003" s="192">
        <f>VLOOKUP($B1003,'RBSA Weights'!$A$2:$C$1406,3,FALSE)</f>
        <v>1144.6790000000001</v>
      </c>
    </row>
    <row r="1004" spans="1:10">
      <c r="A1004" s="192">
        <v>234827</v>
      </c>
      <c r="B1004" s="192">
        <v>22288</v>
      </c>
      <c r="C1004" s="192" t="s">
        <v>815</v>
      </c>
      <c r="D1004" s="192">
        <v>383</v>
      </c>
      <c r="E1004" s="192" t="s">
        <v>816</v>
      </c>
      <c r="F1004" s="192" t="s">
        <v>817</v>
      </c>
      <c r="G1004" s="192">
        <v>0.55000001192092896</v>
      </c>
      <c r="H1004" s="192" t="s">
        <v>818</v>
      </c>
      <c r="I1004" s="192">
        <v>1</v>
      </c>
      <c r="J1004" s="192">
        <f>VLOOKUP($B1004,'RBSA Weights'!$A$2:$C$1406,3,FALSE)</f>
        <v>2079.9929999999999</v>
      </c>
    </row>
    <row r="1005" spans="1:10">
      <c r="A1005" s="192">
        <v>158299</v>
      </c>
      <c r="B1005" s="192">
        <v>22289</v>
      </c>
      <c r="C1005" s="192" t="s">
        <v>815</v>
      </c>
      <c r="D1005" s="192">
        <v>202</v>
      </c>
      <c r="E1005" s="192" t="s">
        <v>819</v>
      </c>
      <c r="F1005" s="192" t="s">
        <v>820</v>
      </c>
      <c r="G1005" s="192">
        <v>0.75</v>
      </c>
      <c r="H1005" s="192" t="s">
        <v>820</v>
      </c>
      <c r="I1005" s="192">
        <v>1</v>
      </c>
      <c r="J1005" s="192">
        <f>VLOOKUP($B1005,'RBSA Weights'!$A$2:$C$1406,3,FALSE)</f>
        <v>4360.1880000000001</v>
      </c>
    </row>
    <row r="1006" spans="1:10">
      <c r="A1006" s="192">
        <v>193268</v>
      </c>
      <c r="B1006" s="192">
        <v>22291</v>
      </c>
      <c r="C1006" s="192" t="s">
        <v>815</v>
      </c>
      <c r="D1006" s="192">
        <v>143</v>
      </c>
      <c r="E1006" s="192" t="s">
        <v>816</v>
      </c>
      <c r="F1006" s="192" t="s">
        <v>818</v>
      </c>
      <c r="G1006" s="192">
        <v>0.60000002384185791</v>
      </c>
      <c r="H1006" s="192" t="s">
        <v>818</v>
      </c>
      <c r="I1006" s="192">
        <v>1</v>
      </c>
      <c r="J1006" s="192">
        <f>VLOOKUP($B1006,'RBSA Weights'!$A$2:$C$1406,3,FALSE)</f>
        <v>1192.4649999999999</v>
      </c>
    </row>
    <row r="1007" spans="1:10">
      <c r="A1007" s="192">
        <v>90479</v>
      </c>
      <c r="B1007" s="192">
        <v>22293</v>
      </c>
      <c r="C1007" s="192" t="s">
        <v>815</v>
      </c>
      <c r="D1007" s="192">
        <v>251</v>
      </c>
      <c r="E1007" s="192" t="s">
        <v>816</v>
      </c>
      <c r="F1007" s="192" t="s">
        <v>823</v>
      </c>
      <c r="G1007" s="192">
        <v>1.1000000238418579</v>
      </c>
      <c r="H1007" s="192" t="s">
        <v>823</v>
      </c>
      <c r="I1007" s="192">
        <v>1</v>
      </c>
      <c r="J1007" s="192">
        <f>VLOOKUP($B1007,'RBSA Weights'!$A$2:$C$1406,3,FALSE)</f>
        <v>1925.059</v>
      </c>
    </row>
    <row r="1008" spans="1:10">
      <c r="A1008" s="192">
        <v>194407</v>
      </c>
      <c r="B1008" s="192">
        <v>22295</v>
      </c>
      <c r="C1008" s="192" t="s">
        <v>815</v>
      </c>
      <c r="D1008" s="192">
        <v>60</v>
      </c>
      <c r="E1008" s="192" t="s">
        <v>816</v>
      </c>
      <c r="F1008" s="192" t="s">
        <v>817</v>
      </c>
      <c r="G1008" s="192">
        <v>0.44999998807907104</v>
      </c>
      <c r="H1008" s="192" t="s">
        <v>818</v>
      </c>
      <c r="I1008" s="192">
        <v>1</v>
      </c>
      <c r="J1008" s="192">
        <f>VLOOKUP($B1008,'RBSA Weights'!$A$2:$C$1406,3,FALSE)</f>
        <v>1925.059</v>
      </c>
    </row>
    <row r="1009" spans="1:10">
      <c r="A1009" s="192">
        <v>195921</v>
      </c>
      <c r="B1009" s="192">
        <v>22302</v>
      </c>
      <c r="C1009" s="192" t="s">
        <v>815</v>
      </c>
      <c r="D1009" s="192">
        <v>279</v>
      </c>
      <c r="E1009" s="192" t="s">
        <v>816</v>
      </c>
      <c r="F1009" s="192" t="s">
        <v>817</v>
      </c>
      <c r="G1009" s="192">
        <v>0.44999998807907104</v>
      </c>
      <c r="H1009" s="192" t="s">
        <v>818</v>
      </c>
      <c r="I1009" s="192">
        <v>1</v>
      </c>
      <c r="J1009" s="192">
        <f>VLOOKUP($B1009,'RBSA Weights'!$A$2:$C$1406,3,FALSE)</f>
        <v>1612.692</v>
      </c>
    </row>
    <row r="1010" spans="1:10">
      <c r="A1010" s="192">
        <v>179384</v>
      </c>
      <c r="B1010" s="192">
        <v>22306</v>
      </c>
      <c r="C1010" s="192" t="s">
        <v>815</v>
      </c>
      <c r="D1010" s="192">
        <v>97</v>
      </c>
      <c r="E1010" s="192" t="s">
        <v>819</v>
      </c>
      <c r="F1010" s="192" t="s">
        <v>817</v>
      </c>
      <c r="G1010" s="192">
        <v>0.40000000596046448</v>
      </c>
      <c r="H1010" s="192" t="s">
        <v>818</v>
      </c>
      <c r="I1010" s="192">
        <v>1</v>
      </c>
      <c r="J1010" s="192">
        <f>VLOOKUP($B1010,'RBSA Weights'!$A$2:$C$1406,3,FALSE)</f>
        <v>2130.886</v>
      </c>
    </row>
    <row r="1011" spans="1:10">
      <c r="A1011" s="192">
        <v>178873</v>
      </c>
      <c r="B1011" s="192">
        <v>22312</v>
      </c>
      <c r="C1011" s="192" t="s">
        <v>815</v>
      </c>
      <c r="D1011" s="192">
        <v>503</v>
      </c>
      <c r="E1011" s="192" t="s">
        <v>816</v>
      </c>
      <c r="F1011" s="192" t="s">
        <v>818</v>
      </c>
      <c r="G1011" s="192">
        <v>0.60000002384185791</v>
      </c>
      <c r="H1011" s="192" t="s">
        <v>818</v>
      </c>
      <c r="I1011" s="192">
        <v>1</v>
      </c>
      <c r="J1011" s="192">
        <f>VLOOKUP($B1011,'RBSA Weights'!$A$2:$C$1406,3,FALSE)</f>
        <v>3785.7640000000001</v>
      </c>
    </row>
    <row r="1012" spans="1:10">
      <c r="A1012" s="192">
        <v>77196</v>
      </c>
      <c r="B1012" s="192">
        <v>22319</v>
      </c>
      <c r="C1012" s="192" t="s">
        <v>815</v>
      </c>
      <c r="D1012" s="192">
        <v>199</v>
      </c>
      <c r="E1012" s="192" t="s">
        <v>816</v>
      </c>
      <c r="F1012" s="192" t="s">
        <v>817</v>
      </c>
      <c r="G1012" s="192">
        <v>0.55000001192092896</v>
      </c>
      <c r="H1012" s="192" t="s">
        <v>818</v>
      </c>
      <c r="I1012" s="192">
        <v>1</v>
      </c>
      <c r="J1012" s="192">
        <f>VLOOKUP($B1012,'RBSA Weights'!$A$2:$C$1406,3,FALSE)</f>
        <v>3785.7640000000001</v>
      </c>
    </row>
    <row r="1013" spans="1:10">
      <c r="A1013" s="192">
        <v>171642</v>
      </c>
      <c r="B1013" s="192">
        <v>22322</v>
      </c>
      <c r="C1013" s="192" t="s">
        <v>815</v>
      </c>
      <c r="D1013" s="192">
        <v>422</v>
      </c>
      <c r="E1013" s="192" t="s">
        <v>816</v>
      </c>
      <c r="F1013" s="192" t="s">
        <v>817</v>
      </c>
      <c r="G1013" s="192">
        <v>0.44999998807907104</v>
      </c>
      <c r="H1013" s="192" t="s">
        <v>818</v>
      </c>
      <c r="I1013" s="192">
        <v>1</v>
      </c>
      <c r="J1013" s="192">
        <f>VLOOKUP($B1013,'RBSA Weights'!$A$2:$C$1406,3,FALSE)</f>
        <v>1612.692</v>
      </c>
    </row>
    <row r="1014" spans="1:10">
      <c r="A1014" s="192">
        <v>128292</v>
      </c>
      <c r="B1014" s="192">
        <v>22333</v>
      </c>
      <c r="C1014" s="192" t="s">
        <v>815</v>
      </c>
      <c r="D1014" s="192">
        <v>146</v>
      </c>
      <c r="E1014" s="192" t="s">
        <v>816</v>
      </c>
      <c r="F1014" s="192" t="s">
        <v>817</v>
      </c>
      <c r="G1014" s="192">
        <v>0.55000001192092896</v>
      </c>
      <c r="H1014" s="192" t="s">
        <v>818</v>
      </c>
      <c r="I1014" s="192">
        <v>1</v>
      </c>
      <c r="J1014" s="192">
        <f>VLOOKUP($B1014,'RBSA Weights'!$A$2:$C$1406,3,FALSE)</f>
        <v>1144.6790000000001</v>
      </c>
    </row>
    <row r="1015" spans="1:10">
      <c r="A1015" s="192">
        <v>142336</v>
      </c>
      <c r="B1015" s="192">
        <v>22352</v>
      </c>
      <c r="C1015" s="192" t="s">
        <v>815</v>
      </c>
      <c r="D1015" s="192">
        <v>129</v>
      </c>
      <c r="E1015" s="192" t="s">
        <v>816</v>
      </c>
      <c r="F1015" s="192" t="s">
        <v>820</v>
      </c>
      <c r="G1015" s="192">
        <v>0.85000002384185791</v>
      </c>
      <c r="H1015" s="192" t="s">
        <v>820</v>
      </c>
      <c r="I1015" s="192">
        <v>1</v>
      </c>
      <c r="J1015" s="192">
        <f>VLOOKUP($B1015,'RBSA Weights'!$A$2:$C$1406,3,FALSE)</f>
        <v>1192.4649999999999</v>
      </c>
    </row>
    <row r="1016" spans="1:10">
      <c r="A1016" s="192">
        <v>68097</v>
      </c>
      <c r="B1016" s="192">
        <v>22369</v>
      </c>
      <c r="C1016" s="192" t="s">
        <v>815</v>
      </c>
      <c r="D1016" s="192">
        <v>294</v>
      </c>
      <c r="E1016" s="192" t="s">
        <v>816</v>
      </c>
      <c r="F1016" s="192" t="s">
        <v>818</v>
      </c>
      <c r="G1016" s="192">
        <v>0.60000002384185791</v>
      </c>
      <c r="H1016" s="192" t="s">
        <v>818</v>
      </c>
      <c r="I1016" s="192">
        <v>1</v>
      </c>
      <c r="J1016" s="192">
        <f>VLOOKUP($B1016,'RBSA Weights'!$A$2:$C$1406,3,FALSE)</f>
        <v>2130.886</v>
      </c>
    </row>
    <row r="1017" spans="1:10">
      <c r="A1017" s="192">
        <v>135622</v>
      </c>
      <c r="B1017" s="192">
        <v>22375</v>
      </c>
      <c r="C1017" s="192" t="s">
        <v>815</v>
      </c>
      <c r="D1017" s="192">
        <v>234</v>
      </c>
      <c r="E1017" s="192" t="s">
        <v>816</v>
      </c>
      <c r="F1017" s="192" t="s">
        <v>817</v>
      </c>
      <c r="G1017" s="192">
        <v>0.44999998807907104</v>
      </c>
      <c r="H1017" s="192" t="s">
        <v>818</v>
      </c>
      <c r="I1017" s="192">
        <v>1</v>
      </c>
      <c r="J1017" s="192">
        <f>VLOOKUP($B1017,'RBSA Weights'!$A$2:$C$1406,3,FALSE)</f>
        <v>1612.692</v>
      </c>
    </row>
    <row r="1018" spans="1:10">
      <c r="A1018" s="192">
        <v>95399</v>
      </c>
      <c r="B1018" s="192">
        <v>22398</v>
      </c>
      <c r="C1018" s="192" t="s">
        <v>815</v>
      </c>
      <c r="D1018" s="192">
        <v>191</v>
      </c>
      <c r="E1018" s="192" t="s">
        <v>816</v>
      </c>
      <c r="F1018" s="192" t="s">
        <v>818</v>
      </c>
      <c r="G1018" s="192">
        <v>0.60000002384185791</v>
      </c>
      <c r="H1018" s="192" t="s">
        <v>818</v>
      </c>
      <c r="I1018" s="192">
        <v>1</v>
      </c>
      <c r="J1018" s="192">
        <f>VLOOKUP($B1018,'RBSA Weights'!$A$2:$C$1406,3,FALSE)</f>
        <v>1144.6790000000001</v>
      </c>
    </row>
    <row r="1019" spans="1:10">
      <c r="A1019" s="192">
        <v>111247</v>
      </c>
      <c r="B1019" s="192">
        <v>22404</v>
      </c>
      <c r="C1019" s="192" t="s">
        <v>815</v>
      </c>
      <c r="D1019" s="192">
        <v>82</v>
      </c>
      <c r="E1019" s="192" t="s">
        <v>816</v>
      </c>
      <c r="F1019" s="192" t="s">
        <v>817</v>
      </c>
      <c r="G1019" s="192">
        <v>0.55000001192092896</v>
      </c>
      <c r="H1019" s="192" t="s">
        <v>818</v>
      </c>
      <c r="I1019" s="192">
        <v>1</v>
      </c>
      <c r="J1019" s="192">
        <f>VLOOKUP($B1019,'RBSA Weights'!$A$2:$C$1406,3,FALSE)</f>
        <v>2079.9929999999999</v>
      </c>
    </row>
    <row r="1020" spans="1:10">
      <c r="A1020" s="192">
        <v>57427</v>
      </c>
      <c r="B1020" s="192">
        <v>22411</v>
      </c>
      <c r="C1020" s="192" t="s">
        <v>815</v>
      </c>
      <c r="D1020" s="192">
        <v>200</v>
      </c>
      <c r="E1020" s="192" t="s">
        <v>816</v>
      </c>
      <c r="F1020" s="192" t="s">
        <v>821</v>
      </c>
      <c r="G1020" s="192">
        <v>0.94999998807907104</v>
      </c>
      <c r="H1020" s="192" t="s">
        <v>821</v>
      </c>
      <c r="I1020" s="192">
        <v>1</v>
      </c>
      <c r="J1020" s="192">
        <f>VLOOKUP($B1020,'RBSA Weights'!$A$2:$C$1406,3,FALSE)</f>
        <v>2079.9929999999999</v>
      </c>
    </row>
    <row r="1021" spans="1:10">
      <c r="A1021" s="192">
        <v>691695</v>
      </c>
      <c r="B1021" s="192">
        <v>22413</v>
      </c>
      <c r="C1021" s="192" t="s">
        <v>815</v>
      </c>
      <c r="D1021" s="192">
        <v>192</v>
      </c>
      <c r="E1021" s="192" t="s">
        <v>816</v>
      </c>
      <c r="F1021" s="192" t="s">
        <v>818</v>
      </c>
      <c r="G1021" s="192">
        <v>0.55000001192092896</v>
      </c>
      <c r="H1021" s="192" t="s">
        <v>818</v>
      </c>
      <c r="I1021" s="192">
        <v>1</v>
      </c>
      <c r="J1021" s="192">
        <f>VLOOKUP($B1021,'RBSA Weights'!$A$2:$C$1406,3,FALSE)</f>
        <v>3785.7640000000001</v>
      </c>
    </row>
    <row r="1022" spans="1:10">
      <c r="A1022" s="192">
        <v>107056</v>
      </c>
      <c r="B1022" s="192">
        <v>22425</v>
      </c>
      <c r="C1022" s="192" t="s">
        <v>815</v>
      </c>
      <c r="D1022" s="192">
        <v>143</v>
      </c>
      <c r="E1022" s="192" t="s">
        <v>819</v>
      </c>
      <c r="F1022" s="192" t="s">
        <v>820</v>
      </c>
      <c r="G1022" s="192">
        <v>0.75</v>
      </c>
      <c r="H1022" s="192" t="s">
        <v>820</v>
      </c>
      <c r="I1022" s="192">
        <v>1</v>
      </c>
      <c r="J1022" s="192">
        <f>VLOOKUP($B1022,'RBSA Weights'!$A$2:$C$1406,3,FALSE)</f>
        <v>3785.7640000000001</v>
      </c>
    </row>
    <row r="1023" spans="1:10">
      <c r="A1023" s="192">
        <v>99464</v>
      </c>
      <c r="B1023" s="192">
        <v>22432</v>
      </c>
      <c r="C1023" s="192" t="s">
        <v>815</v>
      </c>
      <c r="D1023" s="192">
        <v>453</v>
      </c>
      <c r="E1023" s="192" t="s">
        <v>816</v>
      </c>
      <c r="F1023" s="192" t="s">
        <v>817</v>
      </c>
      <c r="G1023" s="192">
        <v>0.44999998807907104</v>
      </c>
      <c r="H1023" s="192" t="s">
        <v>818</v>
      </c>
      <c r="I1023" s="192">
        <v>1</v>
      </c>
      <c r="J1023" s="192">
        <f>VLOOKUP($B1023,'RBSA Weights'!$A$2:$C$1406,3,FALSE)</f>
        <v>1925.059</v>
      </c>
    </row>
    <row r="1024" spans="1:10">
      <c r="A1024" s="192">
        <v>79122</v>
      </c>
      <c r="B1024" s="192">
        <v>22439</v>
      </c>
      <c r="C1024" s="192" t="s">
        <v>815</v>
      </c>
      <c r="D1024" s="192">
        <v>200</v>
      </c>
      <c r="E1024" s="192" t="s">
        <v>816</v>
      </c>
      <c r="F1024" s="192" t="s">
        <v>818</v>
      </c>
      <c r="G1024" s="192">
        <v>0.55000001192092896</v>
      </c>
      <c r="H1024" s="192" t="s">
        <v>818</v>
      </c>
      <c r="I1024" s="192">
        <v>1</v>
      </c>
      <c r="J1024" s="192">
        <f>VLOOKUP($B1024,'RBSA Weights'!$A$2:$C$1406,3,FALSE)</f>
        <v>2079.9929999999999</v>
      </c>
    </row>
    <row r="1025" spans="1:10">
      <c r="A1025" s="192">
        <v>36761</v>
      </c>
      <c r="B1025" s="192">
        <v>22445</v>
      </c>
      <c r="C1025" s="192" t="s">
        <v>815</v>
      </c>
      <c r="D1025" s="192">
        <v>255</v>
      </c>
      <c r="E1025" s="192" t="s">
        <v>816</v>
      </c>
      <c r="F1025" s="192" t="s">
        <v>817</v>
      </c>
      <c r="G1025" s="192">
        <v>0.44999998807907104</v>
      </c>
      <c r="H1025" s="192" t="s">
        <v>818</v>
      </c>
      <c r="I1025" s="192">
        <v>1</v>
      </c>
      <c r="J1025" s="192">
        <f>VLOOKUP($B1025,'RBSA Weights'!$A$2:$C$1406,3,FALSE)</f>
        <v>12271.31</v>
      </c>
    </row>
    <row r="1026" spans="1:10">
      <c r="A1026" s="192">
        <v>119349</v>
      </c>
      <c r="B1026" s="192">
        <v>22458</v>
      </c>
      <c r="C1026" s="192" t="s">
        <v>815</v>
      </c>
      <c r="D1026" s="192">
        <v>156</v>
      </c>
      <c r="E1026" s="192" t="s">
        <v>816</v>
      </c>
      <c r="F1026" s="192" t="s">
        <v>817</v>
      </c>
      <c r="G1026" s="192">
        <v>0.55000001192092896</v>
      </c>
      <c r="H1026" s="192" t="s">
        <v>818</v>
      </c>
      <c r="I1026" s="192">
        <v>1</v>
      </c>
      <c r="J1026" s="192">
        <f>VLOOKUP($B1026,'RBSA Weights'!$A$2:$C$1406,3,FALSE)</f>
        <v>3785.7640000000001</v>
      </c>
    </row>
    <row r="1027" spans="1:10">
      <c r="A1027" s="192">
        <v>33543</v>
      </c>
      <c r="B1027" s="192">
        <v>22460</v>
      </c>
      <c r="C1027" s="192" t="s">
        <v>815</v>
      </c>
      <c r="D1027" s="192">
        <v>212</v>
      </c>
      <c r="E1027" s="192" t="s">
        <v>816</v>
      </c>
      <c r="F1027" s="192" t="s">
        <v>818</v>
      </c>
      <c r="G1027" s="192">
        <v>0.55000001192092896</v>
      </c>
      <c r="H1027" s="192" t="s">
        <v>818</v>
      </c>
      <c r="I1027" s="192">
        <v>1</v>
      </c>
      <c r="J1027" s="192">
        <f>VLOOKUP($B1027,'RBSA Weights'!$A$2:$C$1406,3,FALSE)</f>
        <v>3785.7640000000001</v>
      </c>
    </row>
    <row r="1028" spans="1:10">
      <c r="A1028" s="192">
        <v>73052</v>
      </c>
      <c r="B1028" s="192">
        <v>22474</v>
      </c>
      <c r="C1028" s="192" t="s">
        <v>815</v>
      </c>
      <c r="D1028" s="192">
        <v>302</v>
      </c>
      <c r="E1028" s="192" t="s">
        <v>816</v>
      </c>
      <c r="F1028" s="192" t="s">
        <v>818</v>
      </c>
      <c r="G1028" s="192">
        <v>0.60000002384185791</v>
      </c>
      <c r="H1028" s="192" t="s">
        <v>818</v>
      </c>
      <c r="I1028" s="192">
        <v>1</v>
      </c>
      <c r="J1028" s="192">
        <f>VLOOKUP($B1028,'RBSA Weights'!$A$2:$C$1406,3,FALSE)</f>
        <v>1904.288</v>
      </c>
    </row>
    <row r="1029" spans="1:10">
      <c r="A1029" s="192">
        <v>220590</v>
      </c>
      <c r="B1029" s="192">
        <v>22475</v>
      </c>
      <c r="C1029" s="192" t="s">
        <v>815</v>
      </c>
      <c r="D1029" s="192">
        <v>230</v>
      </c>
      <c r="E1029" s="192" t="s">
        <v>816</v>
      </c>
      <c r="F1029" s="192" t="s">
        <v>817</v>
      </c>
      <c r="G1029" s="192">
        <v>0.44999998807907104</v>
      </c>
      <c r="H1029" s="192" t="s">
        <v>818</v>
      </c>
      <c r="I1029" s="192">
        <v>1</v>
      </c>
      <c r="J1029" s="192">
        <f>VLOOKUP($B1029,'RBSA Weights'!$A$2:$C$1406,3,FALSE)</f>
        <v>2130.886</v>
      </c>
    </row>
    <row r="1030" spans="1:10">
      <c r="A1030" s="192">
        <v>232503</v>
      </c>
      <c r="B1030" s="192">
        <v>22479</v>
      </c>
      <c r="C1030" s="192" t="s">
        <v>815</v>
      </c>
      <c r="D1030" s="192">
        <v>319</v>
      </c>
      <c r="E1030" s="192" t="s">
        <v>816</v>
      </c>
      <c r="F1030" s="192" t="s">
        <v>818</v>
      </c>
      <c r="G1030" s="192">
        <v>0.55000001192092896</v>
      </c>
      <c r="H1030" s="192" t="s">
        <v>818</v>
      </c>
      <c r="I1030" s="192">
        <v>1</v>
      </c>
      <c r="J1030" s="192">
        <f>VLOOKUP($B1030,'RBSA Weights'!$A$2:$C$1406,3,FALSE)</f>
        <v>1904.288</v>
      </c>
    </row>
    <row r="1031" spans="1:10">
      <c r="A1031" s="192">
        <v>76847</v>
      </c>
      <c r="B1031" s="192">
        <v>22493</v>
      </c>
      <c r="C1031" s="192" t="s">
        <v>815</v>
      </c>
      <c r="D1031" s="192">
        <v>622</v>
      </c>
      <c r="E1031" s="192" t="s">
        <v>816</v>
      </c>
      <c r="F1031" s="192" t="s">
        <v>817</v>
      </c>
      <c r="G1031" s="192">
        <v>0.55000001192092896</v>
      </c>
      <c r="H1031" s="192" t="s">
        <v>818</v>
      </c>
      <c r="I1031" s="192">
        <v>1</v>
      </c>
      <c r="J1031" s="192">
        <f>VLOOKUP($B1031,'RBSA Weights'!$A$2:$C$1406,3,FALSE)</f>
        <v>1925.059</v>
      </c>
    </row>
    <row r="1032" spans="1:10">
      <c r="A1032" s="192">
        <v>55001</v>
      </c>
      <c r="B1032" s="192">
        <v>22509</v>
      </c>
      <c r="C1032" s="192" t="s">
        <v>815</v>
      </c>
      <c r="D1032" s="192">
        <v>140</v>
      </c>
      <c r="E1032" s="192" t="s">
        <v>816</v>
      </c>
      <c r="F1032" s="192" t="s">
        <v>817</v>
      </c>
      <c r="G1032" s="192">
        <v>0.44999998807907104</v>
      </c>
      <c r="H1032" s="192" t="s">
        <v>818</v>
      </c>
      <c r="I1032" s="192">
        <v>1</v>
      </c>
      <c r="J1032" s="192">
        <f>VLOOKUP($B1032,'RBSA Weights'!$A$2:$C$1406,3,FALSE)</f>
        <v>2079.9929999999999</v>
      </c>
    </row>
    <row r="1033" spans="1:10">
      <c r="A1033" s="192">
        <v>675687</v>
      </c>
      <c r="B1033" s="192">
        <v>22514</v>
      </c>
      <c r="C1033" s="192" t="s">
        <v>815</v>
      </c>
      <c r="D1033" s="192">
        <v>148</v>
      </c>
      <c r="E1033" s="192" t="s">
        <v>816</v>
      </c>
      <c r="F1033" s="192" t="s">
        <v>817</v>
      </c>
      <c r="G1033" s="192">
        <v>0.44999998807907104</v>
      </c>
      <c r="H1033" s="192" t="s">
        <v>818</v>
      </c>
      <c r="I1033" s="192">
        <v>1</v>
      </c>
      <c r="J1033" s="192">
        <f>VLOOKUP($B1033,'RBSA Weights'!$A$2:$C$1406,3,FALSE)</f>
        <v>3785.7640000000001</v>
      </c>
    </row>
    <row r="1034" spans="1:10">
      <c r="A1034" s="192">
        <v>53180</v>
      </c>
      <c r="B1034" s="192">
        <v>22515</v>
      </c>
      <c r="C1034" s="192" t="s">
        <v>815</v>
      </c>
      <c r="D1034" s="192">
        <v>164</v>
      </c>
      <c r="E1034" s="192" t="s">
        <v>816</v>
      </c>
      <c r="F1034" s="192" t="s">
        <v>820</v>
      </c>
      <c r="G1034" s="192">
        <v>0.85000002384185791</v>
      </c>
      <c r="H1034" s="192" t="s">
        <v>820</v>
      </c>
      <c r="I1034" s="192">
        <v>1</v>
      </c>
      <c r="J1034" s="192">
        <f>VLOOKUP($B1034,'RBSA Weights'!$A$2:$C$1406,3,FALSE)</f>
        <v>2079.9929999999999</v>
      </c>
    </row>
    <row r="1035" spans="1:10">
      <c r="A1035" s="192">
        <v>35493</v>
      </c>
      <c r="B1035" s="192">
        <v>22519</v>
      </c>
      <c r="C1035" s="192" t="s">
        <v>815</v>
      </c>
      <c r="D1035" s="192">
        <v>88</v>
      </c>
      <c r="E1035" s="192" t="s">
        <v>816</v>
      </c>
      <c r="F1035" s="192" t="s">
        <v>817</v>
      </c>
      <c r="G1035" s="192">
        <v>0.44999998807907104</v>
      </c>
      <c r="H1035" s="192" t="s">
        <v>818</v>
      </c>
      <c r="I1035" s="192">
        <v>1</v>
      </c>
      <c r="J1035" s="192">
        <f>VLOOKUP($B1035,'RBSA Weights'!$A$2:$C$1406,3,FALSE)</f>
        <v>2130.886</v>
      </c>
    </row>
    <row r="1036" spans="1:10">
      <c r="A1036" s="192">
        <v>210564</v>
      </c>
      <c r="B1036" s="192">
        <v>22521</v>
      </c>
      <c r="C1036" s="192" t="s">
        <v>815</v>
      </c>
      <c r="D1036" s="192">
        <v>126</v>
      </c>
      <c r="E1036" s="192" t="s">
        <v>816</v>
      </c>
      <c r="F1036" s="192" t="s">
        <v>817</v>
      </c>
      <c r="G1036" s="192">
        <v>0.44999998807907104</v>
      </c>
      <c r="H1036" s="192" t="s">
        <v>818</v>
      </c>
      <c r="I1036" s="192">
        <v>1</v>
      </c>
      <c r="J1036" s="192">
        <f>VLOOKUP($B1036,'RBSA Weights'!$A$2:$C$1406,3,FALSE)</f>
        <v>1612.692</v>
      </c>
    </row>
    <row r="1037" spans="1:10">
      <c r="A1037" s="192">
        <v>170760</v>
      </c>
      <c r="B1037" s="192">
        <v>22530</v>
      </c>
      <c r="C1037" s="192" t="s">
        <v>815</v>
      </c>
      <c r="D1037" s="192">
        <v>145</v>
      </c>
      <c r="E1037" s="192" t="s">
        <v>816</v>
      </c>
      <c r="F1037" s="192" t="s">
        <v>818</v>
      </c>
      <c r="G1037" s="192">
        <v>0.55000001192092896</v>
      </c>
      <c r="H1037" s="192" t="s">
        <v>818</v>
      </c>
      <c r="I1037" s="192">
        <v>1</v>
      </c>
      <c r="J1037" s="192">
        <f>VLOOKUP($B1037,'RBSA Weights'!$A$2:$C$1406,3,FALSE)</f>
        <v>1612.692</v>
      </c>
    </row>
    <row r="1038" spans="1:10">
      <c r="A1038" s="192">
        <v>87797</v>
      </c>
      <c r="B1038" s="192">
        <v>22533</v>
      </c>
      <c r="C1038" s="192" t="s">
        <v>815</v>
      </c>
      <c r="D1038" s="192">
        <v>111</v>
      </c>
      <c r="E1038" s="192" t="s">
        <v>816</v>
      </c>
      <c r="F1038" s="192" t="s">
        <v>817</v>
      </c>
      <c r="G1038" s="192">
        <v>0.44999998807907104</v>
      </c>
      <c r="H1038" s="192" t="s">
        <v>818</v>
      </c>
      <c r="I1038" s="192">
        <v>1</v>
      </c>
      <c r="J1038" s="192">
        <f>VLOOKUP($B1038,'RBSA Weights'!$A$2:$C$1406,3,FALSE)</f>
        <v>1144.6790000000001</v>
      </c>
    </row>
    <row r="1039" spans="1:10">
      <c r="A1039" s="192">
        <v>53422</v>
      </c>
      <c r="B1039" s="192">
        <v>22546</v>
      </c>
      <c r="C1039" s="192" t="s">
        <v>815</v>
      </c>
      <c r="D1039" s="192">
        <v>78</v>
      </c>
      <c r="E1039" s="192" t="s">
        <v>819</v>
      </c>
      <c r="F1039" s="192" t="s">
        <v>817</v>
      </c>
      <c r="G1039" s="192">
        <v>0.40000000596046448</v>
      </c>
      <c r="H1039" s="192" t="s">
        <v>818</v>
      </c>
      <c r="I1039" s="192">
        <v>1</v>
      </c>
      <c r="J1039" s="192">
        <f>VLOOKUP($B1039,'RBSA Weights'!$A$2:$C$1406,3,FALSE)</f>
        <v>2079.9929999999999</v>
      </c>
    </row>
    <row r="1040" spans="1:10">
      <c r="A1040" s="192">
        <v>101179</v>
      </c>
      <c r="B1040" s="192">
        <v>22557</v>
      </c>
      <c r="C1040" s="192" t="s">
        <v>815</v>
      </c>
      <c r="D1040" s="192">
        <v>268</v>
      </c>
      <c r="E1040" s="192" t="s">
        <v>816</v>
      </c>
      <c r="F1040" s="192" t="s">
        <v>820</v>
      </c>
      <c r="G1040" s="192">
        <v>0.80000001192092896</v>
      </c>
      <c r="H1040" s="192" t="s">
        <v>820</v>
      </c>
      <c r="I1040" s="192">
        <v>1</v>
      </c>
      <c r="J1040" s="192">
        <f>VLOOKUP($B1040,'RBSA Weights'!$A$2:$C$1406,3,FALSE)</f>
        <v>2079.9929999999999</v>
      </c>
    </row>
    <row r="1041" spans="1:10">
      <c r="A1041" s="192">
        <v>167578</v>
      </c>
      <c r="B1041" s="192">
        <v>22559</v>
      </c>
      <c r="C1041" s="192" t="s">
        <v>815</v>
      </c>
      <c r="D1041" s="192">
        <v>252</v>
      </c>
      <c r="E1041" s="192" t="s">
        <v>816</v>
      </c>
      <c r="F1041" s="192" t="s">
        <v>817</v>
      </c>
      <c r="G1041" s="192">
        <v>0.44999998807907104</v>
      </c>
      <c r="H1041" s="192" t="s">
        <v>818</v>
      </c>
      <c r="I1041" s="192">
        <v>1</v>
      </c>
      <c r="J1041" s="192">
        <f>VLOOKUP($B1041,'RBSA Weights'!$A$2:$C$1406,3,FALSE)</f>
        <v>1192.4649999999999</v>
      </c>
    </row>
    <row r="1042" spans="1:10">
      <c r="A1042" s="192">
        <v>151436</v>
      </c>
      <c r="B1042" s="192">
        <v>22566</v>
      </c>
      <c r="C1042" s="192" t="s">
        <v>815</v>
      </c>
      <c r="D1042" s="192">
        <v>38</v>
      </c>
      <c r="E1042" s="192" t="s">
        <v>816</v>
      </c>
      <c r="F1042" s="192" t="s">
        <v>818</v>
      </c>
      <c r="G1042" s="192">
        <v>0.60000002384185791</v>
      </c>
      <c r="H1042" s="192" t="s">
        <v>818</v>
      </c>
      <c r="I1042" s="192">
        <v>1</v>
      </c>
      <c r="J1042" s="192">
        <f>VLOOKUP($B1042,'RBSA Weights'!$A$2:$C$1406,3,FALSE)</f>
        <v>1144.6790000000001</v>
      </c>
    </row>
    <row r="1043" spans="1:10">
      <c r="A1043" s="192">
        <v>77784</v>
      </c>
      <c r="B1043" s="192">
        <v>22570</v>
      </c>
      <c r="C1043" s="192" t="s">
        <v>815</v>
      </c>
      <c r="D1043" s="192">
        <v>100</v>
      </c>
      <c r="E1043" s="192" t="s">
        <v>816</v>
      </c>
      <c r="F1043" s="192" t="s">
        <v>817</v>
      </c>
      <c r="G1043" s="192">
        <v>0.44999998807907104</v>
      </c>
      <c r="H1043" s="192" t="s">
        <v>818</v>
      </c>
      <c r="I1043" s="192">
        <v>1</v>
      </c>
      <c r="J1043" s="192">
        <f>VLOOKUP($B1043,'RBSA Weights'!$A$2:$C$1406,3,FALSE)</f>
        <v>1144.6790000000001</v>
      </c>
    </row>
    <row r="1044" spans="1:10">
      <c r="A1044" s="192">
        <v>97144</v>
      </c>
      <c r="B1044" s="192">
        <v>22571</v>
      </c>
      <c r="C1044" s="192" t="s">
        <v>815</v>
      </c>
      <c r="D1044" s="192">
        <v>197</v>
      </c>
      <c r="E1044" s="192" t="s">
        <v>816</v>
      </c>
      <c r="F1044" s="192" t="s">
        <v>817</v>
      </c>
      <c r="G1044" s="192">
        <v>0.55000001192092896</v>
      </c>
      <c r="H1044" s="192" t="s">
        <v>818</v>
      </c>
      <c r="I1044" s="192">
        <v>1</v>
      </c>
      <c r="J1044" s="192">
        <f>VLOOKUP($B1044,'RBSA Weights'!$A$2:$C$1406,3,FALSE)</f>
        <v>3785.7640000000001</v>
      </c>
    </row>
    <row r="1045" spans="1:10">
      <c r="A1045" s="192">
        <v>240012</v>
      </c>
      <c r="B1045" s="192">
        <v>22576</v>
      </c>
      <c r="C1045" s="192" t="s">
        <v>815</v>
      </c>
      <c r="D1045" s="192">
        <v>261</v>
      </c>
      <c r="E1045" s="192" t="s">
        <v>816</v>
      </c>
      <c r="F1045" s="192" t="s">
        <v>817</v>
      </c>
      <c r="G1045" s="192">
        <v>0.55000001192092896</v>
      </c>
      <c r="H1045" s="192" t="s">
        <v>818</v>
      </c>
      <c r="I1045" s="192">
        <v>1</v>
      </c>
      <c r="J1045" s="192">
        <f>VLOOKUP($B1045,'RBSA Weights'!$A$2:$C$1406,3,FALSE)</f>
        <v>2079.9929999999999</v>
      </c>
    </row>
    <row r="1046" spans="1:10">
      <c r="A1046" s="192">
        <v>196600</v>
      </c>
      <c r="B1046" s="192">
        <v>22577</v>
      </c>
      <c r="C1046" s="192" t="s">
        <v>815</v>
      </c>
      <c r="D1046" s="192">
        <v>107</v>
      </c>
      <c r="E1046" s="192" t="s">
        <v>816</v>
      </c>
      <c r="F1046" s="192" t="s">
        <v>817</v>
      </c>
      <c r="G1046" s="192">
        <v>0.44999998807907104</v>
      </c>
      <c r="H1046" s="192" t="s">
        <v>818</v>
      </c>
      <c r="I1046" s="192">
        <v>1</v>
      </c>
      <c r="J1046" s="192">
        <f>VLOOKUP($B1046,'RBSA Weights'!$A$2:$C$1406,3,FALSE)</f>
        <v>1925.059</v>
      </c>
    </row>
    <row r="1047" spans="1:10">
      <c r="A1047" s="192">
        <v>241735</v>
      </c>
      <c r="B1047" s="192">
        <v>22580</v>
      </c>
      <c r="C1047" s="192" t="s">
        <v>815</v>
      </c>
      <c r="D1047" s="192">
        <v>223</v>
      </c>
      <c r="E1047" s="192" t="s">
        <v>816</v>
      </c>
      <c r="F1047" s="192" t="s">
        <v>817</v>
      </c>
      <c r="G1047" s="192">
        <v>0.55000001192092896</v>
      </c>
      <c r="H1047" s="192" t="s">
        <v>818</v>
      </c>
      <c r="I1047" s="192">
        <v>1</v>
      </c>
      <c r="J1047" s="192">
        <f>VLOOKUP($B1047,'RBSA Weights'!$A$2:$C$1406,3,FALSE)</f>
        <v>12271.31</v>
      </c>
    </row>
    <row r="1048" spans="1:10">
      <c r="A1048" s="192">
        <v>169304</v>
      </c>
      <c r="B1048" s="192">
        <v>22583</v>
      </c>
      <c r="C1048" s="192" t="s">
        <v>815</v>
      </c>
      <c r="D1048" s="192">
        <v>133</v>
      </c>
      <c r="E1048" s="192" t="s">
        <v>816</v>
      </c>
      <c r="F1048" s="192" t="s">
        <v>817</v>
      </c>
      <c r="G1048" s="192">
        <v>0.55000001192092896</v>
      </c>
      <c r="H1048" s="192" t="s">
        <v>818</v>
      </c>
      <c r="I1048" s="192">
        <v>1</v>
      </c>
      <c r="J1048" s="192">
        <f>VLOOKUP($B1048,'RBSA Weights'!$A$2:$C$1406,3,FALSE)</f>
        <v>2130.886</v>
      </c>
    </row>
    <row r="1049" spans="1:10">
      <c r="A1049" s="192">
        <v>172029</v>
      </c>
      <c r="B1049" s="192">
        <v>22590</v>
      </c>
      <c r="C1049" s="192" t="s">
        <v>815</v>
      </c>
      <c r="D1049" s="192">
        <v>243</v>
      </c>
      <c r="E1049" s="192" t="s">
        <v>816</v>
      </c>
      <c r="F1049" s="192" t="s">
        <v>818</v>
      </c>
      <c r="G1049" s="192">
        <v>0.55000001192092896</v>
      </c>
      <c r="H1049" s="192" t="s">
        <v>818</v>
      </c>
      <c r="I1049" s="192">
        <v>1</v>
      </c>
      <c r="J1049" s="192">
        <f>VLOOKUP($B1049,'RBSA Weights'!$A$2:$C$1406,3,FALSE)</f>
        <v>1192.4649999999999</v>
      </c>
    </row>
    <row r="1050" spans="1:10">
      <c r="A1050" s="192">
        <v>148757</v>
      </c>
      <c r="B1050" s="192">
        <v>22597</v>
      </c>
      <c r="C1050" s="192" t="s">
        <v>815</v>
      </c>
      <c r="D1050" s="192">
        <v>82</v>
      </c>
      <c r="E1050" s="192" t="s">
        <v>819</v>
      </c>
      <c r="F1050" s="192" t="s">
        <v>823</v>
      </c>
      <c r="G1050" s="192">
        <v>0.85000002384185791</v>
      </c>
      <c r="H1050" s="192" t="s">
        <v>823</v>
      </c>
      <c r="I1050" s="192">
        <v>1</v>
      </c>
      <c r="J1050" s="192">
        <f>VLOOKUP($B1050,'RBSA Weights'!$A$2:$C$1406,3,FALSE)</f>
        <v>8264.9449999999997</v>
      </c>
    </row>
    <row r="1051" spans="1:10">
      <c r="A1051" s="192">
        <v>196173</v>
      </c>
      <c r="B1051" s="192">
        <v>22598</v>
      </c>
      <c r="C1051" s="192" t="s">
        <v>815</v>
      </c>
      <c r="D1051" s="192">
        <v>785</v>
      </c>
      <c r="E1051" s="192" t="s">
        <v>816</v>
      </c>
      <c r="F1051" s="192" t="s">
        <v>817</v>
      </c>
      <c r="G1051" s="192">
        <v>0.44999998807907104</v>
      </c>
      <c r="H1051" s="192" t="s">
        <v>818</v>
      </c>
      <c r="I1051" s="192">
        <v>1</v>
      </c>
      <c r="J1051" s="192">
        <f>VLOOKUP($B1051,'RBSA Weights'!$A$2:$C$1406,3,FALSE)</f>
        <v>2130.886</v>
      </c>
    </row>
    <row r="1052" spans="1:10">
      <c r="A1052" s="192">
        <v>94104</v>
      </c>
      <c r="B1052" s="192">
        <v>22602</v>
      </c>
      <c r="C1052" s="192" t="s">
        <v>815</v>
      </c>
      <c r="D1052" s="192">
        <v>337</v>
      </c>
      <c r="E1052" s="192" t="s">
        <v>816</v>
      </c>
      <c r="F1052" s="192" t="s">
        <v>818</v>
      </c>
      <c r="G1052" s="192">
        <v>0.55000001192092896</v>
      </c>
      <c r="H1052" s="192" t="s">
        <v>818</v>
      </c>
      <c r="I1052" s="192">
        <v>1</v>
      </c>
      <c r="J1052" s="192">
        <f>VLOOKUP($B1052,'RBSA Weights'!$A$2:$C$1406,3,FALSE)</f>
        <v>1904.288</v>
      </c>
    </row>
    <row r="1053" spans="1:10">
      <c r="A1053" s="192">
        <v>152775</v>
      </c>
      <c r="B1053" s="192">
        <v>22607</v>
      </c>
      <c r="C1053" s="192" t="s">
        <v>815</v>
      </c>
      <c r="D1053" s="192">
        <v>136</v>
      </c>
      <c r="E1053" s="192" t="s">
        <v>819</v>
      </c>
      <c r="F1053" s="192" t="s">
        <v>823</v>
      </c>
      <c r="G1053" s="192">
        <v>0.85000002384185791</v>
      </c>
      <c r="H1053" s="192" t="s">
        <v>823</v>
      </c>
      <c r="I1053" s="192">
        <v>1</v>
      </c>
      <c r="J1053" s="192">
        <f>VLOOKUP($B1053,'RBSA Weights'!$A$2:$C$1406,3,FALSE)</f>
        <v>1612.692</v>
      </c>
    </row>
    <row r="1054" spans="1:10">
      <c r="A1054" s="192">
        <v>48886</v>
      </c>
      <c r="B1054" s="192">
        <v>22612</v>
      </c>
      <c r="C1054" s="192" t="s">
        <v>815</v>
      </c>
      <c r="D1054" s="192">
        <v>225</v>
      </c>
      <c r="E1054" s="192" t="s">
        <v>816</v>
      </c>
      <c r="F1054" s="192" t="s">
        <v>817</v>
      </c>
      <c r="G1054" s="192">
        <v>0.55000001192092896</v>
      </c>
      <c r="H1054" s="192" t="s">
        <v>818</v>
      </c>
      <c r="I1054" s="192">
        <v>1</v>
      </c>
      <c r="J1054" s="192">
        <f>VLOOKUP($B1054,'RBSA Weights'!$A$2:$C$1406,3,FALSE)</f>
        <v>3785.7640000000001</v>
      </c>
    </row>
    <row r="1055" spans="1:10">
      <c r="A1055" s="192">
        <v>248412</v>
      </c>
      <c r="B1055" s="192">
        <v>22615</v>
      </c>
      <c r="C1055" s="192" t="s">
        <v>815</v>
      </c>
      <c r="D1055" s="192">
        <v>134</v>
      </c>
      <c r="E1055" s="192" t="s">
        <v>816</v>
      </c>
      <c r="F1055" s="192" t="s">
        <v>817</v>
      </c>
      <c r="G1055" s="192">
        <v>0.44999998807907104</v>
      </c>
      <c r="H1055" s="192" t="s">
        <v>818</v>
      </c>
      <c r="I1055" s="192">
        <v>1</v>
      </c>
      <c r="J1055" s="192">
        <f>VLOOKUP($B1055,'RBSA Weights'!$A$2:$C$1406,3,FALSE)</f>
        <v>2130.886</v>
      </c>
    </row>
    <row r="1056" spans="1:10">
      <c r="A1056" s="192">
        <v>193745</v>
      </c>
      <c r="B1056" s="192">
        <v>22618</v>
      </c>
      <c r="C1056" s="192" t="s">
        <v>815</v>
      </c>
      <c r="D1056" s="192">
        <v>88</v>
      </c>
      <c r="E1056" s="192" t="s">
        <v>816</v>
      </c>
      <c r="F1056" s="192" t="s">
        <v>818</v>
      </c>
      <c r="G1056" s="192">
        <v>0.55000001192092896</v>
      </c>
      <c r="H1056" s="192" t="s">
        <v>818</v>
      </c>
      <c r="I1056" s="192">
        <v>1</v>
      </c>
      <c r="J1056" s="192">
        <f>VLOOKUP($B1056,'RBSA Weights'!$A$2:$C$1406,3,FALSE)</f>
        <v>2130.886</v>
      </c>
    </row>
    <row r="1057" spans="1:10">
      <c r="A1057" s="192">
        <v>215951</v>
      </c>
      <c r="B1057" s="192">
        <v>22620</v>
      </c>
      <c r="C1057" s="192" t="s">
        <v>815</v>
      </c>
      <c r="D1057" s="192">
        <v>286</v>
      </c>
      <c r="E1057" s="192" t="s">
        <v>816</v>
      </c>
      <c r="F1057" s="192" t="s">
        <v>817</v>
      </c>
      <c r="G1057" s="192">
        <v>0.44999998807907104</v>
      </c>
      <c r="H1057" s="192" t="s">
        <v>818</v>
      </c>
      <c r="I1057" s="192">
        <v>1</v>
      </c>
      <c r="J1057" s="192">
        <f>VLOOKUP($B1057,'RBSA Weights'!$A$2:$C$1406,3,FALSE)</f>
        <v>2079.9929999999999</v>
      </c>
    </row>
    <row r="1058" spans="1:10">
      <c r="A1058" s="192">
        <v>690172</v>
      </c>
      <c r="B1058" s="192">
        <v>22625</v>
      </c>
      <c r="C1058" s="192" t="s">
        <v>815</v>
      </c>
      <c r="D1058" s="192">
        <v>131</v>
      </c>
      <c r="E1058" s="192" t="s">
        <v>816</v>
      </c>
      <c r="F1058" s="192" t="s">
        <v>820</v>
      </c>
      <c r="G1058" s="192">
        <v>0.80000001192092896</v>
      </c>
      <c r="H1058" s="192" t="s">
        <v>820</v>
      </c>
      <c r="I1058" s="192">
        <v>1</v>
      </c>
      <c r="J1058" s="192">
        <f>VLOOKUP($B1058,'RBSA Weights'!$A$2:$C$1406,3,FALSE)</f>
        <v>1904.288</v>
      </c>
    </row>
    <row r="1059" spans="1:10">
      <c r="A1059" s="192">
        <v>101903</v>
      </c>
      <c r="B1059" s="192">
        <v>22627</v>
      </c>
      <c r="C1059" s="192" t="s">
        <v>815</v>
      </c>
      <c r="D1059" s="192">
        <v>49</v>
      </c>
      <c r="E1059" s="192" t="s">
        <v>816</v>
      </c>
      <c r="F1059" s="192" t="s">
        <v>817</v>
      </c>
      <c r="G1059" s="192">
        <v>0.55000001192092896</v>
      </c>
      <c r="H1059" s="192" t="s">
        <v>818</v>
      </c>
      <c r="I1059" s="192">
        <v>1</v>
      </c>
      <c r="J1059" s="192">
        <f>VLOOKUP($B1059,'RBSA Weights'!$A$2:$C$1406,3,FALSE)</f>
        <v>2130.886</v>
      </c>
    </row>
    <row r="1060" spans="1:10">
      <c r="A1060" s="192">
        <v>232819</v>
      </c>
      <c r="B1060" s="192">
        <v>22632</v>
      </c>
      <c r="C1060" s="192" t="s">
        <v>815</v>
      </c>
      <c r="D1060" s="192">
        <v>97</v>
      </c>
      <c r="E1060" s="192" t="s">
        <v>816</v>
      </c>
      <c r="F1060" s="192" t="s">
        <v>817</v>
      </c>
      <c r="G1060" s="192">
        <v>0.44999998807907104</v>
      </c>
      <c r="H1060" s="192" t="s">
        <v>818</v>
      </c>
      <c r="I1060" s="192">
        <v>1</v>
      </c>
      <c r="J1060" s="192">
        <f>VLOOKUP($B1060,'RBSA Weights'!$A$2:$C$1406,3,FALSE)</f>
        <v>1144.6790000000001</v>
      </c>
    </row>
    <row r="1061" spans="1:10">
      <c r="A1061" s="192">
        <v>106042</v>
      </c>
      <c r="B1061" s="192">
        <v>22641</v>
      </c>
      <c r="C1061" s="192" t="s">
        <v>815</v>
      </c>
      <c r="D1061" s="192">
        <v>832</v>
      </c>
      <c r="E1061" s="192" t="s">
        <v>816</v>
      </c>
      <c r="F1061" s="192" t="s">
        <v>825</v>
      </c>
      <c r="G1061" s="192">
        <v>0.2199999988079071</v>
      </c>
      <c r="H1061" s="192" t="s">
        <v>826</v>
      </c>
      <c r="I1061" s="192">
        <v>1</v>
      </c>
      <c r="J1061" s="192">
        <f>VLOOKUP($B1061,'RBSA Weights'!$A$2:$C$1406,3,FALSE)</f>
        <v>1144.6790000000001</v>
      </c>
    </row>
    <row r="1062" spans="1:10">
      <c r="A1062" s="192">
        <v>175908</v>
      </c>
      <c r="B1062" s="192">
        <v>22649</v>
      </c>
      <c r="C1062" s="192" t="s">
        <v>815</v>
      </c>
      <c r="D1062" s="192">
        <v>157</v>
      </c>
      <c r="E1062" s="192" t="s">
        <v>816</v>
      </c>
      <c r="F1062" s="192" t="s">
        <v>818</v>
      </c>
      <c r="G1062" s="192">
        <v>0.55000001192092896</v>
      </c>
      <c r="H1062" s="192" t="s">
        <v>818</v>
      </c>
      <c r="I1062" s="192">
        <v>1</v>
      </c>
      <c r="J1062" s="192">
        <f>VLOOKUP($B1062,'RBSA Weights'!$A$2:$C$1406,3,FALSE)</f>
        <v>1925.059</v>
      </c>
    </row>
    <row r="1063" spans="1:10">
      <c r="A1063" s="192">
        <v>113173</v>
      </c>
      <c r="B1063" s="192">
        <v>22652</v>
      </c>
      <c r="C1063" s="192" t="s">
        <v>815</v>
      </c>
      <c r="D1063" s="192">
        <v>321</v>
      </c>
      <c r="E1063" s="192" t="s">
        <v>816</v>
      </c>
      <c r="F1063" s="192" t="s">
        <v>817</v>
      </c>
      <c r="G1063" s="192">
        <v>0.55000001192092896</v>
      </c>
      <c r="H1063" s="192" t="s">
        <v>818</v>
      </c>
      <c r="I1063" s="192">
        <v>1</v>
      </c>
      <c r="J1063" s="192">
        <f>VLOOKUP($B1063,'RBSA Weights'!$A$2:$C$1406,3,FALSE)</f>
        <v>2079.9929999999999</v>
      </c>
    </row>
    <row r="1064" spans="1:10">
      <c r="A1064" s="192">
        <v>153709</v>
      </c>
      <c r="B1064" s="192">
        <v>22663</v>
      </c>
      <c r="C1064" s="192" t="s">
        <v>815</v>
      </c>
      <c r="D1064" s="192">
        <v>163</v>
      </c>
      <c r="E1064" s="192" t="s">
        <v>816</v>
      </c>
      <c r="F1064" s="192" t="s">
        <v>818</v>
      </c>
      <c r="G1064" s="192">
        <v>0.55000001192092896</v>
      </c>
      <c r="H1064" s="192" t="s">
        <v>818</v>
      </c>
      <c r="I1064" s="192">
        <v>1</v>
      </c>
      <c r="J1064" s="192">
        <f>VLOOKUP($B1064,'RBSA Weights'!$A$2:$C$1406,3,FALSE)</f>
        <v>1904.288</v>
      </c>
    </row>
    <row r="1065" spans="1:10">
      <c r="A1065" s="192">
        <v>179983</v>
      </c>
      <c r="B1065" s="192">
        <v>22671</v>
      </c>
      <c r="C1065" s="192" t="s">
        <v>815</v>
      </c>
      <c r="D1065" s="192">
        <v>110</v>
      </c>
      <c r="E1065" s="192" t="s">
        <v>816</v>
      </c>
      <c r="F1065" s="192" t="s">
        <v>823</v>
      </c>
      <c r="G1065" s="192">
        <v>1.1000000238418579</v>
      </c>
      <c r="H1065" s="192" t="s">
        <v>823</v>
      </c>
      <c r="I1065" s="192">
        <v>1</v>
      </c>
      <c r="J1065" s="192">
        <f>VLOOKUP($B1065,'RBSA Weights'!$A$2:$C$1406,3,FALSE)</f>
        <v>1612.692</v>
      </c>
    </row>
    <row r="1066" spans="1:10">
      <c r="A1066" s="192">
        <v>68314</v>
      </c>
      <c r="B1066" s="192">
        <v>22673</v>
      </c>
      <c r="C1066" s="192" t="s">
        <v>815</v>
      </c>
      <c r="D1066" s="192">
        <v>452</v>
      </c>
      <c r="E1066" s="192" t="s">
        <v>816</v>
      </c>
      <c r="F1066" s="192" t="s">
        <v>817</v>
      </c>
      <c r="G1066" s="192">
        <v>0.44999998807907104</v>
      </c>
      <c r="H1066" s="192" t="s">
        <v>818</v>
      </c>
      <c r="I1066" s="192">
        <v>1</v>
      </c>
      <c r="J1066" s="192">
        <f>VLOOKUP($B1066,'RBSA Weights'!$A$2:$C$1406,3,FALSE)</f>
        <v>1144.6790000000001</v>
      </c>
    </row>
    <row r="1067" spans="1:10">
      <c r="A1067" s="192">
        <v>192167</v>
      </c>
      <c r="B1067" s="192">
        <v>22679</v>
      </c>
      <c r="C1067" s="192" t="s">
        <v>815</v>
      </c>
      <c r="D1067" s="192">
        <v>234</v>
      </c>
      <c r="E1067" s="192" t="s">
        <v>816</v>
      </c>
      <c r="F1067" s="192" t="s">
        <v>817</v>
      </c>
      <c r="G1067" s="192">
        <v>0.44999998807907104</v>
      </c>
      <c r="H1067" s="192" t="s">
        <v>818</v>
      </c>
      <c r="I1067" s="192">
        <v>1</v>
      </c>
      <c r="J1067" s="192">
        <f>VLOOKUP($B1067,'RBSA Weights'!$A$2:$C$1406,3,FALSE)</f>
        <v>2130.886</v>
      </c>
    </row>
    <row r="1068" spans="1:10">
      <c r="A1068" s="192">
        <v>139128</v>
      </c>
      <c r="B1068" s="192">
        <v>22681</v>
      </c>
      <c r="C1068" s="192" t="s">
        <v>815</v>
      </c>
      <c r="D1068" s="192">
        <v>280</v>
      </c>
      <c r="E1068" s="192" t="s">
        <v>816</v>
      </c>
      <c r="F1068" s="192" t="s">
        <v>818</v>
      </c>
      <c r="G1068" s="192">
        <v>0.55000001192092896</v>
      </c>
      <c r="H1068" s="192" t="s">
        <v>818</v>
      </c>
      <c r="I1068" s="192">
        <v>1</v>
      </c>
      <c r="J1068" s="192">
        <f>VLOOKUP($B1068,'RBSA Weights'!$A$2:$C$1406,3,FALSE)</f>
        <v>1192.4649999999999</v>
      </c>
    </row>
    <row r="1069" spans="1:10">
      <c r="A1069" s="192">
        <v>103119</v>
      </c>
      <c r="B1069" s="192">
        <v>22683</v>
      </c>
      <c r="C1069" s="192" t="s">
        <v>815</v>
      </c>
      <c r="D1069" s="192">
        <v>90</v>
      </c>
      <c r="E1069" s="192" t="s">
        <v>816</v>
      </c>
      <c r="F1069" s="192" t="s">
        <v>817</v>
      </c>
      <c r="G1069" s="192">
        <v>0.55000001192092896</v>
      </c>
      <c r="H1069" s="192" t="s">
        <v>818</v>
      </c>
      <c r="I1069" s="192">
        <v>1</v>
      </c>
      <c r="J1069" s="192">
        <f>VLOOKUP($B1069,'RBSA Weights'!$A$2:$C$1406,3,FALSE)</f>
        <v>2079.9929999999999</v>
      </c>
    </row>
    <row r="1070" spans="1:10">
      <c r="A1070" s="192">
        <v>101673</v>
      </c>
      <c r="B1070" s="192">
        <v>22688</v>
      </c>
      <c r="C1070" s="192" t="s">
        <v>815</v>
      </c>
      <c r="D1070" s="192">
        <v>97</v>
      </c>
      <c r="E1070" s="192" t="s">
        <v>816</v>
      </c>
      <c r="F1070" s="192" t="s">
        <v>820</v>
      </c>
      <c r="G1070" s="192">
        <v>0.85000002384185791</v>
      </c>
      <c r="H1070" s="192" t="s">
        <v>820</v>
      </c>
      <c r="I1070" s="192">
        <v>1</v>
      </c>
      <c r="J1070" s="192">
        <f>VLOOKUP($B1070,'RBSA Weights'!$A$2:$C$1406,3,FALSE)</f>
        <v>1925.059</v>
      </c>
    </row>
    <row r="1071" spans="1:10">
      <c r="A1071" s="192">
        <v>44457</v>
      </c>
      <c r="B1071" s="192">
        <v>22693</v>
      </c>
      <c r="C1071" s="192" t="s">
        <v>815</v>
      </c>
      <c r="D1071" s="192">
        <v>116</v>
      </c>
      <c r="E1071" s="192" t="s">
        <v>816</v>
      </c>
      <c r="F1071" s="192" t="s">
        <v>817</v>
      </c>
      <c r="G1071" s="192">
        <v>0.44999998807907104</v>
      </c>
      <c r="H1071" s="192" t="s">
        <v>818</v>
      </c>
      <c r="I1071" s="192">
        <v>1</v>
      </c>
      <c r="J1071" s="192">
        <f>VLOOKUP($B1071,'RBSA Weights'!$A$2:$C$1406,3,FALSE)</f>
        <v>12271.31</v>
      </c>
    </row>
    <row r="1072" spans="1:10">
      <c r="A1072" s="192">
        <v>113068</v>
      </c>
      <c r="B1072" s="192">
        <v>22694</v>
      </c>
      <c r="C1072" s="192" t="s">
        <v>815</v>
      </c>
      <c r="D1072" s="192">
        <v>214</v>
      </c>
      <c r="E1072" s="192" t="s">
        <v>816</v>
      </c>
      <c r="F1072" s="192" t="s">
        <v>823</v>
      </c>
      <c r="G1072" s="192">
        <v>1.1000000238418579</v>
      </c>
      <c r="H1072" s="192" t="s">
        <v>823</v>
      </c>
      <c r="I1072" s="192">
        <v>1</v>
      </c>
      <c r="J1072" s="192">
        <f>VLOOKUP($B1072,'RBSA Weights'!$A$2:$C$1406,3,FALSE)</f>
        <v>2079.9929999999999</v>
      </c>
    </row>
    <row r="1073" spans="1:10">
      <c r="A1073" s="192">
        <v>199336</v>
      </c>
      <c r="B1073" s="192">
        <v>22699</v>
      </c>
      <c r="C1073" s="192" t="s">
        <v>815</v>
      </c>
      <c r="D1073" s="192">
        <v>216</v>
      </c>
      <c r="E1073" s="192" t="s">
        <v>816</v>
      </c>
      <c r="F1073" s="192" t="s">
        <v>817</v>
      </c>
      <c r="G1073" s="192">
        <v>0.55000001192092896</v>
      </c>
      <c r="H1073" s="192" t="s">
        <v>818</v>
      </c>
      <c r="I1073" s="192">
        <v>1</v>
      </c>
      <c r="J1073" s="192">
        <f>VLOOKUP($B1073,'RBSA Weights'!$A$2:$C$1406,3,FALSE)</f>
        <v>1612.692</v>
      </c>
    </row>
    <row r="1074" spans="1:10">
      <c r="A1074" s="192">
        <v>97563</v>
      </c>
      <c r="B1074" s="192">
        <v>22701</v>
      </c>
      <c r="C1074" s="192" t="s">
        <v>815</v>
      </c>
      <c r="D1074" s="192">
        <v>166</v>
      </c>
      <c r="E1074" s="192" t="s">
        <v>816</v>
      </c>
      <c r="F1074" s="192" t="s">
        <v>821</v>
      </c>
      <c r="G1074" s="192">
        <v>0.94999998807907104</v>
      </c>
      <c r="H1074" s="192" t="s">
        <v>821</v>
      </c>
      <c r="I1074" s="192">
        <v>1</v>
      </c>
      <c r="J1074" s="192">
        <f>VLOOKUP($B1074,'RBSA Weights'!$A$2:$C$1406,3,FALSE)</f>
        <v>1925.059</v>
      </c>
    </row>
    <row r="1075" spans="1:10">
      <c r="A1075" s="192">
        <v>227118</v>
      </c>
      <c r="B1075" s="192">
        <v>22702</v>
      </c>
      <c r="C1075" s="192" t="s">
        <v>815</v>
      </c>
      <c r="D1075" s="192">
        <v>626</v>
      </c>
      <c r="E1075" s="192" t="s">
        <v>816</v>
      </c>
      <c r="F1075" s="192" t="s">
        <v>817</v>
      </c>
      <c r="G1075" s="192">
        <v>0.55000001192092896</v>
      </c>
      <c r="H1075" s="192" t="s">
        <v>818</v>
      </c>
      <c r="I1075" s="192">
        <v>1</v>
      </c>
      <c r="J1075" s="192">
        <f>VLOOKUP($B1075,'RBSA Weights'!$A$2:$C$1406,3,FALSE)</f>
        <v>4360.1880000000001</v>
      </c>
    </row>
    <row r="1076" spans="1:10">
      <c r="A1076" s="192">
        <v>672094</v>
      </c>
      <c r="B1076" s="192">
        <v>22703</v>
      </c>
      <c r="C1076" s="192" t="s">
        <v>815</v>
      </c>
      <c r="D1076" s="192">
        <v>115</v>
      </c>
      <c r="E1076" s="192" t="s">
        <v>816</v>
      </c>
      <c r="F1076" s="192" t="s">
        <v>818</v>
      </c>
      <c r="G1076" s="192">
        <v>0.55000001192092896</v>
      </c>
      <c r="H1076" s="192" t="s">
        <v>818</v>
      </c>
      <c r="I1076" s="192">
        <v>1</v>
      </c>
      <c r="J1076" s="192">
        <f>VLOOKUP($B1076,'RBSA Weights'!$A$2:$C$1406,3,FALSE)</f>
        <v>2079.9929999999999</v>
      </c>
    </row>
    <row r="1077" spans="1:10">
      <c r="A1077" s="192">
        <v>105936</v>
      </c>
      <c r="B1077" s="192">
        <v>22705</v>
      </c>
      <c r="C1077" s="192" t="s">
        <v>815</v>
      </c>
      <c r="D1077" s="192">
        <v>233</v>
      </c>
      <c r="E1077" s="192" t="s">
        <v>816</v>
      </c>
      <c r="F1077" s="192" t="s">
        <v>817</v>
      </c>
      <c r="G1077" s="192">
        <v>0.44999998807907104</v>
      </c>
      <c r="H1077" s="192" t="s">
        <v>818</v>
      </c>
      <c r="I1077" s="192">
        <v>1</v>
      </c>
      <c r="J1077" s="192">
        <f>VLOOKUP($B1077,'RBSA Weights'!$A$2:$C$1406,3,FALSE)</f>
        <v>1144.6790000000001</v>
      </c>
    </row>
    <row r="1078" spans="1:10">
      <c r="A1078" s="192">
        <v>68243</v>
      </c>
      <c r="B1078" s="192">
        <v>22721</v>
      </c>
      <c r="C1078" s="192" t="s">
        <v>815</v>
      </c>
      <c r="D1078" s="192">
        <v>91</v>
      </c>
      <c r="E1078" s="192" t="s">
        <v>816</v>
      </c>
      <c r="F1078" s="192" t="s">
        <v>820</v>
      </c>
      <c r="G1078" s="192">
        <v>0.80000001192092896</v>
      </c>
      <c r="H1078" s="192" t="s">
        <v>820</v>
      </c>
      <c r="I1078" s="192">
        <v>1</v>
      </c>
      <c r="J1078" s="192">
        <f>VLOOKUP($B1078,'RBSA Weights'!$A$2:$C$1406,3,FALSE)</f>
        <v>2130.886</v>
      </c>
    </row>
    <row r="1079" spans="1:10">
      <c r="A1079" s="192">
        <v>167687</v>
      </c>
      <c r="B1079" s="192">
        <v>22724</v>
      </c>
      <c r="C1079" s="192" t="s">
        <v>815</v>
      </c>
      <c r="D1079" s="192">
        <v>55</v>
      </c>
      <c r="E1079" s="192" t="s">
        <v>816</v>
      </c>
      <c r="F1079" s="192" t="s">
        <v>818</v>
      </c>
      <c r="G1079" s="192">
        <v>0.60000002384185791</v>
      </c>
      <c r="H1079" s="192" t="s">
        <v>818</v>
      </c>
      <c r="I1079" s="192">
        <v>1</v>
      </c>
      <c r="J1079" s="192">
        <f>VLOOKUP($B1079,'RBSA Weights'!$A$2:$C$1406,3,FALSE)</f>
        <v>3785.7640000000001</v>
      </c>
    </row>
    <row r="1080" spans="1:10">
      <c r="A1080" s="192">
        <v>88049</v>
      </c>
      <c r="B1080" s="192">
        <v>22728</v>
      </c>
      <c r="C1080" s="192" t="s">
        <v>815</v>
      </c>
      <c r="D1080" s="192">
        <v>161</v>
      </c>
      <c r="E1080" s="192" t="s">
        <v>816</v>
      </c>
      <c r="F1080" s="192" t="s">
        <v>817</v>
      </c>
      <c r="G1080" s="192">
        <v>0.44999998807907104</v>
      </c>
      <c r="H1080" s="192" t="s">
        <v>818</v>
      </c>
      <c r="I1080" s="192">
        <v>1</v>
      </c>
      <c r="J1080" s="192">
        <f>VLOOKUP($B1080,'RBSA Weights'!$A$2:$C$1406,3,FALSE)</f>
        <v>1144.6790000000001</v>
      </c>
    </row>
    <row r="1081" spans="1:10">
      <c r="A1081" s="192">
        <v>178742</v>
      </c>
      <c r="B1081" s="192">
        <v>22733</v>
      </c>
      <c r="C1081" s="192" t="s">
        <v>815</v>
      </c>
      <c r="D1081" s="192">
        <v>294</v>
      </c>
      <c r="E1081" s="192" t="s">
        <v>816</v>
      </c>
      <c r="F1081" s="192" t="s">
        <v>817</v>
      </c>
      <c r="G1081" s="192">
        <v>0.44999998807907104</v>
      </c>
      <c r="H1081" s="192" t="s">
        <v>818</v>
      </c>
      <c r="I1081" s="192">
        <v>1</v>
      </c>
      <c r="J1081" s="192">
        <f>VLOOKUP($B1081,'RBSA Weights'!$A$2:$C$1406,3,FALSE)</f>
        <v>1192.4649999999999</v>
      </c>
    </row>
    <row r="1082" spans="1:10">
      <c r="A1082" s="192">
        <v>155315</v>
      </c>
      <c r="B1082" s="192">
        <v>22739</v>
      </c>
      <c r="C1082" s="192" t="s">
        <v>815</v>
      </c>
      <c r="D1082" s="192">
        <v>476</v>
      </c>
      <c r="E1082" s="192" t="s">
        <v>816</v>
      </c>
      <c r="F1082" s="192" t="s">
        <v>818</v>
      </c>
      <c r="G1082" s="192">
        <v>0.60000002384185791</v>
      </c>
      <c r="H1082" s="192" t="s">
        <v>818</v>
      </c>
      <c r="I1082" s="192">
        <v>1</v>
      </c>
      <c r="J1082" s="192">
        <f>VLOOKUP($B1082,'RBSA Weights'!$A$2:$C$1406,3,FALSE)</f>
        <v>1192.4649999999999</v>
      </c>
    </row>
    <row r="1083" spans="1:10">
      <c r="A1083" s="192">
        <v>106404</v>
      </c>
      <c r="B1083" s="192">
        <v>22743</v>
      </c>
      <c r="C1083" s="192" t="s">
        <v>815</v>
      </c>
      <c r="D1083" s="192">
        <v>486</v>
      </c>
      <c r="E1083" s="192" t="s">
        <v>816</v>
      </c>
      <c r="F1083" s="192" t="s">
        <v>817</v>
      </c>
      <c r="G1083" s="192">
        <v>0.55000001192092896</v>
      </c>
      <c r="H1083" s="192" t="s">
        <v>818</v>
      </c>
      <c r="I1083" s="192">
        <v>1</v>
      </c>
      <c r="J1083" s="192">
        <f>VLOOKUP($B1083,'RBSA Weights'!$A$2:$C$1406,3,FALSE)</f>
        <v>3785.7640000000001</v>
      </c>
    </row>
    <row r="1084" spans="1:10">
      <c r="A1084" s="192">
        <v>185914</v>
      </c>
      <c r="B1084" s="192">
        <v>22751</v>
      </c>
      <c r="C1084" s="192" t="s">
        <v>815</v>
      </c>
      <c r="D1084" s="192">
        <v>80</v>
      </c>
      <c r="E1084" s="192" t="s">
        <v>816</v>
      </c>
      <c r="F1084" s="192" t="s">
        <v>817</v>
      </c>
      <c r="G1084" s="192">
        <v>0.44999998807907104</v>
      </c>
      <c r="H1084" s="192" t="s">
        <v>818</v>
      </c>
      <c r="I1084" s="192">
        <v>1</v>
      </c>
      <c r="J1084" s="192">
        <f>VLOOKUP($B1084,'RBSA Weights'!$A$2:$C$1406,3,FALSE)</f>
        <v>1925.059</v>
      </c>
    </row>
    <row r="1085" spans="1:10">
      <c r="A1085" s="192">
        <v>195258</v>
      </c>
      <c r="B1085" s="192">
        <v>22756</v>
      </c>
      <c r="C1085" s="192" t="s">
        <v>815</v>
      </c>
      <c r="D1085" s="192">
        <v>277</v>
      </c>
      <c r="E1085" s="192" t="s">
        <v>816</v>
      </c>
      <c r="F1085" s="192" t="s">
        <v>818</v>
      </c>
      <c r="G1085" s="192">
        <v>0.60000002384185791</v>
      </c>
      <c r="H1085" s="192" t="s">
        <v>818</v>
      </c>
      <c r="I1085" s="192">
        <v>1</v>
      </c>
      <c r="J1085" s="192">
        <f>VLOOKUP($B1085,'RBSA Weights'!$A$2:$C$1406,3,FALSE)</f>
        <v>1904.288</v>
      </c>
    </row>
    <row r="1086" spans="1:10">
      <c r="A1086" s="192">
        <v>238495</v>
      </c>
      <c r="B1086" s="192">
        <v>22767</v>
      </c>
      <c r="C1086" s="192" t="s">
        <v>815</v>
      </c>
      <c r="D1086" s="192">
        <v>196</v>
      </c>
      <c r="E1086" s="192" t="s">
        <v>816</v>
      </c>
      <c r="F1086" s="192" t="s">
        <v>817</v>
      </c>
      <c r="G1086" s="192">
        <v>0.55000001192092896</v>
      </c>
      <c r="H1086" s="192" t="s">
        <v>818</v>
      </c>
      <c r="I1086" s="192">
        <v>1</v>
      </c>
      <c r="J1086" s="192">
        <f>VLOOKUP($B1086,'RBSA Weights'!$A$2:$C$1406,3,FALSE)</f>
        <v>2079.9929999999999</v>
      </c>
    </row>
    <row r="1087" spans="1:10">
      <c r="A1087" s="192">
        <v>74361</v>
      </c>
      <c r="B1087" s="192">
        <v>22774</v>
      </c>
      <c r="C1087" s="192" t="s">
        <v>815</v>
      </c>
      <c r="D1087" s="192">
        <v>118</v>
      </c>
      <c r="E1087" s="192" t="s">
        <v>816</v>
      </c>
      <c r="F1087" s="192" t="s">
        <v>817</v>
      </c>
      <c r="G1087" s="192">
        <v>0.44999998807907104</v>
      </c>
      <c r="H1087" s="192" t="s">
        <v>818</v>
      </c>
      <c r="I1087" s="192">
        <v>1</v>
      </c>
      <c r="J1087" s="192">
        <f>VLOOKUP($B1087,'RBSA Weights'!$A$2:$C$1406,3,FALSE)</f>
        <v>1144.6790000000001</v>
      </c>
    </row>
    <row r="1088" spans="1:10">
      <c r="A1088" s="192">
        <v>241311</v>
      </c>
      <c r="B1088" s="192">
        <v>22785</v>
      </c>
      <c r="C1088" s="192" t="s">
        <v>815</v>
      </c>
      <c r="D1088" s="192">
        <v>146</v>
      </c>
      <c r="E1088" s="192" t="s">
        <v>819</v>
      </c>
      <c r="F1088" s="192" t="s">
        <v>823</v>
      </c>
      <c r="G1088" s="192">
        <v>0.85000002384185791</v>
      </c>
      <c r="H1088" s="192" t="s">
        <v>823</v>
      </c>
      <c r="I1088" s="192">
        <v>1</v>
      </c>
      <c r="J1088" s="192">
        <f>VLOOKUP($B1088,'RBSA Weights'!$A$2:$C$1406,3,FALSE)</f>
        <v>2079.9929999999999</v>
      </c>
    </row>
    <row r="1089" spans="1:10">
      <c r="A1089" s="192">
        <v>112443</v>
      </c>
      <c r="B1089" s="192">
        <v>22787</v>
      </c>
      <c r="C1089" s="192" t="s">
        <v>815</v>
      </c>
      <c r="D1089" s="192">
        <v>304</v>
      </c>
      <c r="E1089" s="192" t="s">
        <v>816</v>
      </c>
      <c r="F1089" s="192" t="s">
        <v>817</v>
      </c>
      <c r="G1089" s="192">
        <v>0.55000001192092896</v>
      </c>
      <c r="H1089" s="192" t="s">
        <v>818</v>
      </c>
      <c r="I1089" s="192">
        <v>1</v>
      </c>
      <c r="J1089" s="192">
        <f>VLOOKUP($B1089,'RBSA Weights'!$A$2:$C$1406,3,FALSE)</f>
        <v>3785.7640000000001</v>
      </c>
    </row>
    <row r="1090" spans="1:10">
      <c r="A1090" s="192">
        <v>235155</v>
      </c>
      <c r="B1090" s="192">
        <v>22822</v>
      </c>
      <c r="C1090" s="192" t="s">
        <v>815</v>
      </c>
      <c r="D1090" s="192">
        <v>111</v>
      </c>
      <c r="E1090" s="192" t="s">
        <v>819</v>
      </c>
      <c r="F1090" s="192" t="s">
        <v>823</v>
      </c>
      <c r="G1090" s="192">
        <v>0.85000002384185791</v>
      </c>
      <c r="H1090" s="192" t="s">
        <v>823</v>
      </c>
      <c r="I1090" s="192">
        <v>1</v>
      </c>
      <c r="J1090" s="192">
        <f>VLOOKUP($B1090,'RBSA Weights'!$A$2:$C$1406,3,FALSE)</f>
        <v>1904.288</v>
      </c>
    </row>
    <row r="1091" spans="1:10">
      <c r="A1091" s="192">
        <v>163030</v>
      </c>
      <c r="B1091" s="192">
        <v>22832</v>
      </c>
      <c r="C1091" s="192" t="s">
        <v>815</v>
      </c>
      <c r="D1091" s="192">
        <v>130</v>
      </c>
      <c r="E1091" s="192" t="s">
        <v>816</v>
      </c>
      <c r="F1091" s="192" t="s">
        <v>817</v>
      </c>
      <c r="G1091" s="192">
        <v>0.55000001192092896</v>
      </c>
      <c r="H1091" s="192" t="s">
        <v>818</v>
      </c>
      <c r="I1091" s="192">
        <v>1</v>
      </c>
      <c r="J1091" s="192">
        <f>VLOOKUP($B1091,'RBSA Weights'!$A$2:$C$1406,3,FALSE)</f>
        <v>1612.692</v>
      </c>
    </row>
    <row r="1092" spans="1:10">
      <c r="A1092" s="192">
        <v>120202</v>
      </c>
      <c r="B1092" s="192">
        <v>22833</v>
      </c>
      <c r="C1092" s="192" t="s">
        <v>815</v>
      </c>
      <c r="D1092" s="192">
        <v>315</v>
      </c>
      <c r="E1092" s="192" t="s">
        <v>816</v>
      </c>
      <c r="F1092" s="192" t="s">
        <v>817</v>
      </c>
      <c r="G1092" s="192">
        <v>0.55000001192092896</v>
      </c>
      <c r="H1092" s="192" t="s">
        <v>818</v>
      </c>
      <c r="I1092" s="192">
        <v>1</v>
      </c>
      <c r="J1092" s="192">
        <f>VLOOKUP($B1092,'RBSA Weights'!$A$2:$C$1406,3,FALSE)</f>
        <v>3785.7640000000001</v>
      </c>
    </row>
    <row r="1093" spans="1:10">
      <c r="A1093" s="192">
        <v>87690</v>
      </c>
      <c r="B1093" s="192">
        <v>22845</v>
      </c>
      <c r="C1093" s="192" t="s">
        <v>815</v>
      </c>
      <c r="D1093" s="192">
        <v>184</v>
      </c>
      <c r="E1093" s="192" t="s">
        <v>816</v>
      </c>
      <c r="F1093" s="192" t="s">
        <v>817</v>
      </c>
      <c r="G1093" s="192">
        <v>0.44999998807907104</v>
      </c>
      <c r="H1093" s="192" t="s">
        <v>818</v>
      </c>
      <c r="I1093" s="192">
        <v>1</v>
      </c>
      <c r="J1093" s="192">
        <f>VLOOKUP($B1093,'RBSA Weights'!$A$2:$C$1406,3,FALSE)</f>
        <v>1144.6790000000001</v>
      </c>
    </row>
    <row r="1094" spans="1:10">
      <c r="A1094" s="192">
        <v>242119</v>
      </c>
      <c r="B1094" s="192">
        <v>22854</v>
      </c>
      <c r="C1094" s="192" t="s">
        <v>815</v>
      </c>
      <c r="D1094" s="192">
        <v>441</v>
      </c>
      <c r="E1094" s="192" t="s">
        <v>816</v>
      </c>
      <c r="F1094" s="192" t="s">
        <v>817</v>
      </c>
      <c r="G1094" s="192">
        <v>0.55000001192092896</v>
      </c>
      <c r="H1094" s="192" t="s">
        <v>818</v>
      </c>
      <c r="I1094" s="192">
        <v>1</v>
      </c>
      <c r="J1094" s="192">
        <f>VLOOKUP($B1094,'RBSA Weights'!$A$2:$C$1406,3,FALSE)</f>
        <v>1144.6790000000001</v>
      </c>
    </row>
    <row r="1095" spans="1:10">
      <c r="A1095" s="192">
        <v>48246</v>
      </c>
      <c r="B1095" s="192">
        <v>22855</v>
      </c>
      <c r="C1095" s="192" t="s">
        <v>815</v>
      </c>
      <c r="D1095" s="192">
        <v>246</v>
      </c>
      <c r="E1095" s="192" t="s">
        <v>816</v>
      </c>
      <c r="F1095" s="192" t="s">
        <v>818</v>
      </c>
      <c r="G1095" s="192">
        <v>0.60000002384185791</v>
      </c>
      <c r="H1095" s="192" t="s">
        <v>818</v>
      </c>
      <c r="I1095" s="192">
        <v>1</v>
      </c>
      <c r="J1095" s="192">
        <f>VLOOKUP($B1095,'RBSA Weights'!$A$2:$C$1406,3,FALSE)</f>
        <v>2079.9929999999999</v>
      </c>
    </row>
    <row r="1096" spans="1:10">
      <c r="A1096" s="192">
        <v>204915</v>
      </c>
      <c r="B1096" s="192">
        <v>22869</v>
      </c>
      <c r="C1096" s="192" t="s">
        <v>815</v>
      </c>
      <c r="D1096" s="192">
        <v>280</v>
      </c>
      <c r="E1096" s="192" t="s">
        <v>816</v>
      </c>
      <c r="F1096" s="192" t="s">
        <v>817</v>
      </c>
      <c r="G1096" s="192">
        <v>0.55000001192092896</v>
      </c>
      <c r="H1096" s="192" t="s">
        <v>818</v>
      </c>
      <c r="I1096" s="192">
        <v>1</v>
      </c>
      <c r="J1096" s="192">
        <f>VLOOKUP($B1096,'RBSA Weights'!$A$2:$C$1406,3,FALSE)</f>
        <v>2079.9929999999999</v>
      </c>
    </row>
    <row r="1097" spans="1:10">
      <c r="A1097" s="192">
        <v>184223</v>
      </c>
      <c r="B1097" s="192">
        <v>22872</v>
      </c>
      <c r="C1097" s="192" t="s">
        <v>815</v>
      </c>
      <c r="D1097" s="192">
        <v>172</v>
      </c>
      <c r="E1097" s="192" t="s">
        <v>816</v>
      </c>
      <c r="F1097" s="192" t="s">
        <v>818</v>
      </c>
      <c r="G1097" s="192">
        <v>0.55000001192092896</v>
      </c>
      <c r="H1097" s="192" t="s">
        <v>818</v>
      </c>
      <c r="I1097" s="192">
        <v>1</v>
      </c>
      <c r="J1097" s="192">
        <f>VLOOKUP($B1097,'RBSA Weights'!$A$2:$C$1406,3,FALSE)</f>
        <v>3785.7640000000001</v>
      </c>
    </row>
    <row r="1098" spans="1:10">
      <c r="A1098" s="192">
        <v>156917</v>
      </c>
      <c r="B1098" s="192">
        <v>22878</v>
      </c>
      <c r="C1098" s="192" t="s">
        <v>815</v>
      </c>
      <c r="D1098" s="192">
        <v>413</v>
      </c>
      <c r="E1098" s="192" t="s">
        <v>816</v>
      </c>
      <c r="F1098" s="192" t="s">
        <v>817</v>
      </c>
      <c r="G1098" s="192">
        <v>0.55000001192092896</v>
      </c>
      <c r="H1098" s="192" t="s">
        <v>818</v>
      </c>
      <c r="I1098" s="192">
        <v>1</v>
      </c>
      <c r="J1098" s="192">
        <f>VLOOKUP($B1098,'RBSA Weights'!$A$2:$C$1406,3,FALSE)</f>
        <v>3785.7640000000001</v>
      </c>
    </row>
    <row r="1099" spans="1:10">
      <c r="A1099" s="192">
        <v>189487</v>
      </c>
      <c r="B1099" s="192">
        <v>22880</v>
      </c>
      <c r="C1099" s="192" t="s">
        <v>815</v>
      </c>
      <c r="D1099" s="192">
        <v>117</v>
      </c>
      <c r="E1099" s="192" t="s">
        <v>816</v>
      </c>
      <c r="F1099" s="192" t="s">
        <v>817</v>
      </c>
      <c r="G1099" s="192">
        <v>0.44999998807907104</v>
      </c>
      <c r="H1099" s="192" t="s">
        <v>818</v>
      </c>
      <c r="I1099" s="192">
        <v>1</v>
      </c>
      <c r="J1099" s="192">
        <f>VLOOKUP($B1099,'RBSA Weights'!$A$2:$C$1406,3,FALSE)</f>
        <v>1612.692</v>
      </c>
    </row>
    <row r="1100" spans="1:10">
      <c r="A1100" s="192">
        <v>98078</v>
      </c>
      <c r="B1100" s="192">
        <v>22890</v>
      </c>
      <c r="C1100" s="192" t="s">
        <v>815</v>
      </c>
      <c r="D1100" s="192">
        <v>184</v>
      </c>
      <c r="E1100" s="192" t="s">
        <v>816</v>
      </c>
      <c r="F1100" s="192" t="s">
        <v>817</v>
      </c>
      <c r="G1100" s="192">
        <v>0.55000001192092896</v>
      </c>
      <c r="H1100" s="192" t="s">
        <v>818</v>
      </c>
      <c r="I1100" s="192">
        <v>1</v>
      </c>
      <c r="J1100" s="192">
        <f>VLOOKUP($B1100,'RBSA Weights'!$A$2:$C$1406,3,FALSE)</f>
        <v>1904.288</v>
      </c>
    </row>
    <row r="1101" spans="1:10">
      <c r="A1101" s="192">
        <v>96870</v>
      </c>
      <c r="B1101" s="192">
        <v>22891</v>
      </c>
      <c r="C1101" s="192" t="s">
        <v>815</v>
      </c>
      <c r="D1101" s="192">
        <v>185</v>
      </c>
      <c r="E1101" s="192" t="s">
        <v>816</v>
      </c>
      <c r="F1101" s="192" t="s">
        <v>818</v>
      </c>
      <c r="G1101" s="192">
        <v>0.60000002384185791</v>
      </c>
      <c r="H1101" s="192" t="s">
        <v>818</v>
      </c>
      <c r="I1101" s="192">
        <v>1</v>
      </c>
      <c r="J1101" s="192">
        <f>VLOOKUP($B1101,'RBSA Weights'!$A$2:$C$1406,3,FALSE)</f>
        <v>3785.7640000000001</v>
      </c>
    </row>
    <row r="1102" spans="1:10">
      <c r="A1102" s="192">
        <v>81373</v>
      </c>
      <c r="B1102" s="192">
        <v>22897</v>
      </c>
      <c r="C1102" s="192" t="s">
        <v>815</v>
      </c>
      <c r="D1102" s="192">
        <v>168</v>
      </c>
      <c r="E1102" s="192" t="s">
        <v>816</v>
      </c>
      <c r="F1102" s="192" t="s">
        <v>817</v>
      </c>
      <c r="G1102" s="192">
        <v>0.55000001192092896</v>
      </c>
      <c r="H1102" s="192" t="s">
        <v>818</v>
      </c>
      <c r="I1102" s="192">
        <v>1</v>
      </c>
      <c r="J1102" s="192">
        <f>VLOOKUP($B1102,'RBSA Weights'!$A$2:$C$1406,3,FALSE)</f>
        <v>2079.9929999999999</v>
      </c>
    </row>
    <row r="1103" spans="1:10">
      <c r="A1103" s="192">
        <v>164288</v>
      </c>
      <c r="B1103" s="192">
        <v>22902</v>
      </c>
      <c r="C1103" s="192" t="s">
        <v>815</v>
      </c>
      <c r="D1103" s="192">
        <v>215</v>
      </c>
      <c r="E1103" s="192" t="s">
        <v>819</v>
      </c>
      <c r="F1103" s="192" t="s">
        <v>821</v>
      </c>
      <c r="G1103" s="192">
        <v>0.75</v>
      </c>
      <c r="H1103" s="192" t="s">
        <v>821</v>
      </c>
      <c r="I1103" s="192">
        <v>1</v>
      </c>
      <c r="J1103" s="192">
        <f>VLOOKUP($B1103,'RBSA Weights'!$A$2:$C$1406,3,FALSE)</f>
        <v>2130.886</v>
      </c>
    </row>
    <row r="1104" spans="1:10">
      <c r="A1104" s="192">
        <v>106836</v>
      </c>
      <c r="B1104" s="192">
        <v>22903</v>
      </c>
      <c r="C1104" s="192" t="s">
        <v>815</v>
      </c>
      <c r="D1104" s="192">
        <v>277</v>
      </c>
      <c r="E1104" s="192" t="s">
        <v>816</v>
      </c>
      <c r="F1104" s="192" t="s">
        <v>817</v>
      </c>
      <c r="G1104" s="192">
        <v>0.44999998807907104</v>
      </c>
      <c r="H1104" s="192" t="s">
        <v>818</v>
      </c>
      <c r="I1104" s="192">
        <v>1</v>
      </c>
      <c r="J1104" s="192">
        <f>VLOOKUP($B1104,'RBSA Weights'!$A$2:$C$1406,3,FALSE)</f>
        <v>1904.288</v>
      </c>
    </row>
    <row r="1105" spans="1:10">
      <c r="A1105" s="192">
        <v>201800</v>
      </c>
      <c r="B1105" s="192">
        <v>22904</v>
      </c>
      <c r="C1105" s="192" t="s">
        <v>815</v>
      </c>
      <c r="D1105" s="192">
        <v>429</v>
      </c>
      <c r="E1105" s="192" t="s">
        <v>816</v>
      </c>
      <c r="F1105" s="192" t="s">
        <v>817</v>
      </c>
      <c r="G1105" s="192">
        <v>0.44999998807907104</v>
      </c>
      <c r="H1105" s="192" t="s">
        <v>818</v>
      </c>
      <c r="I1105" s="192">
        <v>1</v>
      </c>
      <c r="J1105" s="192">
        <f>VLOOKUP($B1105,'RBSA Weights'!$A$2:$C$1406,3,FALSE)</f>
        <v>1612.692</v>
      </c>
    </row>
    <row r="1106" spans="1:10">
      <c r="A1106" s="192">
        <v>677818</v>
      </c>
      <c r="B1106" s="192">
        <v>22909</v>
      </c>
      <c r="C1106" s="192" t="s">
        <v>815</v>
      </c>
      <c r="D1106" s="192">
        <v>237</v>
      </c>
      <c r="E1106" s="192" t="s">
        <v>816</v>
      </c>
      <c r="F1106" s="192" t="s">
        <v>817</v>
      </c>
      <c r="G1106" s="192">
        <v>0.44999998807907104</v>
      </c>
      <c r="H1106" s="192" t="s">
        <v>818</v>
      </c>
      <c r="I1106" s="192">
        <v>1</v>
      </c>
      <c r="J1106" s="192">
        <f>VLOOKUP($B1106,'RBSA Weights'!$A$2:$C$1406,3,FALSE)</f>
        <v>3785.7640000000001</v>
      </c>
    </row>
    <row r="1107" spans="1:10">
      <c r="A1107" s="192">
        <v>124713</v>
      </c>
      <c r="B1107" s="192">
        <v>22919</v>
      </c>
      <c r="C1107" s="192" t="s">
        <v>815</v>
      </c>
      <c r="D1107" s="192">
        <v>215</v>
      </c>
      <c r="E1107" s="192" t="s">
        <v>816</v>
      </c>
      <c r="F1107" s="192" t="s">
        <v>820</v>
      </c>
      <c r="G1107" s="192">
        <v>0.85000002384185791</v>
      </c>
      <c r="H1107" s="192" t="s">
        <v>820</v>
      </c>
      <c r="I1107" s="192">
        <v>1</v>
      </c>
      <c r="J1107" s="192">
        <f>VLOOKUP($B1107,'RBSA Weights'!$A$2:$C$1406,3,FALSE)</f>
        <v>2079.9929999999999</v>
      </c>
    </row>
    <row r="1108" spans="1:10">
      <c r="A1108" s="192">
        <v>185038</v>
      </c>
      <c r="B1108" s="192">
        <v>22935</v>
      </c>
      <c r="C1108" s="192" t="s">
        <v>815</v>
      </c>
      <c r="D1108" s="192">
        <v>193</v>
      </c>
      <c r="E1108" s="192" t="s">
        <v>816</v>
      </c>
      <c r="F1108" s="192" t="s">
        <v>822</v>
      </c>
      <c r="G1108" s="192">
        <v>0.75</v>
      </c>
      <c r="H1108" s="192" t="s">
        <v>820</v>
      </c>
      <c r="I1108" s="192">
        <v>1</v>
      </c>
      <c r="J1108" s="192">
        <f>VLOOKUP($B1108,'RBSA Weights'!$A$2:$C$1406,3,FALSE)</f>
        <v>1192.4649999999999</v>
      </c>
    </row>
    <row r="1109" spans="1:10">
      <c r="A1109" s="192">
        <v>682824</v>
      </c>
      <c r="B1109" s="192">
        <v>22938</v>
      </c>
      <c r="C1109" s="192" t="s">
        <v>815</v>
      </c>
      <c r="D1109" s="192">
        <v>217</v>
      </c>
      <c r="E1109" s="192" t="s">
        <v>816</v>
      </c>
      <c r="F1109" s="192" t="s">
        <v>820</v>
      </c>
      <c r="G1109" s="192">
        <v>0.85000002384185791</v>
      </c>
      <c r="H1109" s="192" t="s">
        <v>820</v>
      </c>
      <c r="I1109" s="192">
        <v>1</v>
      </c>
      <c r="J1109" s="192">
        <f>VLOOKUP($B1109,'RBSA Weights'!$A$2:$C$1406,3,FALSE)</f>
        <v>12271.31</v>
      </c>
    </row>
    <row r="1110" spans="1:10">
      <c r="A1110" s="192">
        <v>110915</v>
      </c>
      <c r="B1110" s="192">
        <v>22944</v>
      </c>
      <c r="C1110" s="192" t="s">
        <v>815</v>
      </c>
      <c r="D1110" s="192">
        <v>132</v>
      </c>
      <c r="E1110" s="192" t="s">
        <v>819</v>
      </c>
      <c r="F1110" s="192" t="s">
        <v>820</v>
      </c>
      <c r="G1110" s="192">
        <v>0.75</v>
      </c>
      <c r="H1110" s="192" t="s">
        <v>820</v>
      </c>
      <c r="I1110" s="192">
        <v>1</v>
      </c>
      <c r="J1110" s="192">
        <f>VLOOKUP($B1110,'RBSA Weights'!$A$2:$C$1406,3,FALSE)</f>
        <v>2079.9929999999999</v>
      </c>
    </row>
    <row r="1111" spans="1:10">
      <c r="A1111" s="192">
        <v>161218</v>
      </c>
      <c r="B1111" s="192">
        <v>22950</v>
      </c>
      <c r="C1111" s="192" t="s">
        <v>815</v>
      </c>
      <c r="D1111" s="192">
        <v>333</v>
      </c>
      <c r="E1111" s="192" t="s">
        <v>816</v>
      </c>
      <c r="F1111" s="192" t="s">
        <v>817</v>
      </c>
      <c r="G1111" s="192">
        <v>0.55000001192092896</v>
      </c>
      <c r="H1111" s="192" t="s">
        <v>818</v>
      </c>
      <c r="I1111" s="192">
        <v>1</v>
      </c>
      <c r="J1111" s="192">
        <f>VLOOKUP($B1111,'RBSA Weights'!$A$2:$C$1406,3,FALSE)</f>
        <v>2130.886</v>
      </c>
    </row>
    <row r="1112" spans="1:10">
      <c r="A1112" s="192">
        <v>78897</v>
      </c>
      <c r="B1112" s="192">
        <v>22953</v>
      </c>
      <c r="C1112" s="192" t="s">
        <v>815</v>
      </c>
      <c r="D1112" s="192">
        <v>226</v>
      </c>
      <c r="E1112" s="192" t="s">
        <v>819</v>
      </c>
      <c r="F1112" s="192" t="s">
        <v>821</v>
      </c>
      <c r="G1112" s="192">
        <v>0.75</v>
      </c>
      <c r="H1112" s="192" t="s">
        <v>821</v>
      </c>
      <c r="I1112" s="192">
        <v>1</v>
      </c>
      <c r="J1112" s="192">
        <f>VLOOKUP($B1112,'RBSA Weights'!$A$2:$C$1406,3,FALSE)</f>
        <v>1144.6790000000001</v>
      </c>
    </row>
    <row r="1113" spans="1:10">
      <c r="A1113" s="192">
        <v>56350</v>
      </c>
      <c r="B1113" s="192">
        <v>22955</v>
      </c>
      <c r="C1113" s="192" t="s">
        <v>815</v>
      </c>
      <c r="D1113" s="192">
        <v>113</v>
      </c>
      <c r="E1113" s="192" t="s">
        <v>816</v>
      </c>
      <c r="F1113" s="192" t="s">
        <v>818</v>
      </c>
      <c r="G1113" s="192">
        <v>0.55000001192092896</v>
      </c>
      <c r="H1113" s="192" t="s">
        <v>818</v>
      </c>
      <c r="I1113" s="192">
        <v>1</v>
      </c>
      <c r="J1113" s="192">
        <f>VLOOKUP($B1113,'RBSA Weights'!$A$2:$C$1406,3,FALSE)</f>
        <v>3785.7640000000001</v>
      </c>
    </row>
    <row r="1114" spans="1:10">
      <c r="A1114" s="192">
        <v>101571</v>
      </c>
      <c r="B1114" s="192">
        <v>22957</v>
      </c>
      <c r="C1114" s="192" t="s">
        <v>815</v>
      </c>
      <c r="D1114" s="192">
        <v>204</v>
      </c>
      <c r="E1114" s="192" t="s">
        <v>816</v>
      </c>
      <c r="F1114" s="192" t="s">
        <v>817</v>
      </c>
      <c r="G1114" s="192">
        <v>0.55000001192092896</v>
      </c>
      <c r="H1114" s="192" t="s">
        <v>818</v>
      </c>
      <c r="I1114" s="192">
        <v>1</v>
      </c>
      <c r="J1114" s="192">
        <f>VLOOKUP($B1114,'RBSA Weights'!$A$2:$C$1406,3,FALSE)</f>
        <v>1925.059</v>
      </c>
    </row>
    <row r="1115" spans="1:10">
      <c r="A1115" s="192">
        <v>168944</v>
      </c>
      <c r="B1115" s="192">
        <v>22960</v>
      </c>
      <c r="C1115" s="192" t="s">
        <v>815</v>
      </c>
      <c r="D1115" s="192">
        <v>313</v>
      </c>
      <c r="E1115" s="192" t="s">
        <v>816</v>
      </c>
      <c r="F1115" s="192" t="s">
        <v>817</v>
      </c>
      <c r="G1115" s="192">
        <v>0.44999998807907104</v>
      </c>
      <c r="H1115" s="192" t="s">
        <v>818</v>
      </c>
      <c r="I1115" s="192">
        <v>1</v>
      </c>
      <c r="J1115" s="192">
        <f>VLOOKUP($B1115,'RBSA Weights'!$A$2:$C$1406,3,FALSE)</f>
        <v>2130.886</v>
      </c>
    </row>
    <row r="1116" spans="1:10">
      <c r="A1116" s="192">
        <v>189276</v>
      </c>
      <c r="B1116" s="192">
        <v>22965</v>
      </c>
      <c r="C1116" s="192" t="s">
        <v>815</v>
      </c>
      <c r="D1116" s="192">
        <v>253</v>
      </c>
      <c r="E1116" s="192" t="s">
        <v>816</v>
      </c>
      <c r="F1116" s="192" t="s">
        <v>817</v>
      </c>
      <c r="G1116" s="192">
        <v>0.44999998807907104</v>
      </c>
      <c r="H1116" s="192" t="s">
        <v>818</v>
      </c>
      <c r="I1116" s="192">
        <v>1</v>
      </c>
      <c r="J1116" s="192">
        <f>VLOOKUP($B1116,'RBSA Weights'!$A$2:$C$1406,3,FALSE)</f>
        <v>1612.692</v>
      </c>
    </row>
    <row r="1117" spans="1:10">
      <c r="A1117" s="192">
        <v>69871</v>
      </c>
      <c r="B1117" s="192">
        <v>22966</v>
      </c>
      <c r="C1117" s="192" t="s">
        <v>815</v>
      </c>
      <c r="D1117" s="192">
        <v>121</v>
      </c>
      <c r="E1117" s="192" t="s">
        <v>816</v>
      </c>
      <c r="F1117" s="192" t="s">
        <v>817</v>
      </c>
      <c r="G1117" s="192">
        <v>0.44999998807907104</v>
      </c>
      <c r="H1117" s="192" t="s">
        <v>818</v>
      </c>
      <c r="I1117" s="192">
        <v>1</v>
      </c>
      <c r="J1117" s="192">
        <f>VLOOKUP($B1117,'RBSA Weights'!$A$2:$C$1406,3,FALSE)</f>
        <v>2130.886</v>
      </c>
    </row>
    <row r="1118" spans="1:10">
      <c r="A1118" s="192">
        <v>204326</v>
      </c>
      <c r="B1118" s="192">
        <v>22969</v>
      </c>
      <c r="C1118" s="192" t="s">
        <v>815</v>
      </c>
      <c r="D1118" s="192">
        <v>326</v>
      </c>
      <c r="E1118" s="192" t="s">
        <v>816</v>
      </c>
      <c r="F1118" s="192" t="s">
        <v>817</v>
      </c>
      <c r="G1118" s="192">
        <v>0.44999998807907104</v>
      </c>
      <c r="H1118" s="192" t="s">
        <v>818</v>
      </c>
      <c r="I1118" s="192">
        <v>1</v>
      </c>
      <c r="J1118" s="192">
        <f>VLOOKUP($B1118,'RBSA Weights'!$A$2:$C$1406,3,FALSE)</f>
        <v>2079.9929999999999</v>
      </c>
    </row>
    <row r="1119" spans="1:10">
      <c r="A1119" s="192">
        <v>81661</v>
      </c>
      <c r="B1119" s="192">
        <v>22977</v>
      </c>
      <c r="C1119" s="192" t="s">
        <v>815</v>
      </c>
      <c r="D1119" s="192">
        <v>444</v>
      </c>
      <c r="E1119" s="192" t="s">
        <v>816</v>
      </c>
      <c r="F1119" s="192" t="s">
        <v>817</v>
      </c>
      <c r="G1119" s="192">
        <v>0.55000001192092896</v>
      </c>
      <c r="H1119" s="192" t="s">
        <v>818</v>
      </c>
      <c r="I1119" s="192">
        <v>1</v>
      </c>
      <c r="J1119" s="192">
        <f>VLOOKUP($B1119,'RBSA Weights'!$A$2:$C$1406,3,FALSE)</f>
        <v>1925.059</v>
      </c>
    </row>
    <row r="1120" spans="1:10">
      <c r="A1120" s="192">
        <v>215680</v>
      </c>
      <c r="B1120" s="192">
        <v>22982</v>
      </c>
      <c r="C1120" s="192" t="s">
        <v>815</v>
      </c>
      <c r="D1120" s="192">
        <v>364</v>
      </c>
      <c r="E1120" s="192" t="s">
        <v>816</v>
      </c>
      <c r="F1120" s="192" t="s">
        <v>817</v>
      </c>
      <c r="G1120" s="192">
        <v>0.44999998807907104</v>
      </c>
      <c r="H1120" s="192" t="s">
        <v>818</v>
      </c>
      <c r="I1120" s="192">
        <v>1</v>
      </c>
      <c r="J1120" s="192">
        <f>VLOOKUP($B1120,'RBSA Weights'!$A$2:$C$1406,3,FALSE)</f>
        <v>2079.9929999999999</v>
      </c>
    </row>
    <row r="1121" spans="1:10">
      <c r="A1121" s="192">
        <v>154476</v>
      </c>
      <c r="B1121" s="192">
        <v>22985</v>
      </c>
      <c r="C1121" s="192" t="s">
        <v>815</v>
      </c>
      <c r="D1121" s="192">
        <v>405</v>
      </c>
      <c r="E1121" s="192" t="s">
        <v>816</v>
      </c>
      <c r="F1121" s="192" t="s">
        <v>817</v>
      </c>
      <c r="G1121" s="192">
        <v>0.44999998807907104</v>
      </c>
      <c r="H1121" s="192" t="s">
        <v>818</v>
      </c>
      <c r="I1121" s="192">
        <v>1</v>
      </c>
      <c r="J1121" s="192">
        <f>VLOOKUP($B1121,'RBSA Weights'!$A$2:$C$1406,3,FALSE)</f>
        <v>6932.7380000000003</v>
      </c>
    </row>
    <row r="1122" spans="1:10">
      <c r="A1122" s="192">
        <v>164664</v>
      </c>
      <c r="B1122" s="192">
        <v>22993</v>
      </c>
      <c r="C1122" s="192" t="s">
        <v>815</v>
      </c>
      <c r="D1122" s="192">
        <v>169</v>
      </c>
      <c r="E1122" s="192" t="s">
        <v>816</v>
      </c>
      <c r="F1122" s="192" t="s">
        <v>820</v>
      </c>
      <c r="G1122" s="192">
        <v>0.80000001192092896</v>
      </c>
      <c r="H1122" s="192" t="s">
        <v>820</v>
      </c>
      <c r="I1122" s="192">
        <v>1</v>
      </c>
      <c r="J1122" s="192">
        <f>VLOOKUP($B1122,'RBSA Weights'!$A$2:$C$1406,3,FALSE)</f>
        <v>8264.9449999999997</v>
      </c>
    </row>
    <row r="1123" spans="1:10">
      <c r="A1123" s="192">
        <v>189582</v>
      </c>
      <c r="B1123" s="192">
        <v>22994</v>
      </c>
      <c r="C1123" s="192" t="s">
        <v>815</v>
      </c>
      <c r="D1123" s="192">
        <v>167</v>
      </c>
      <c r="E1123" s="192" t="s">
        <v>816</v>
      </c>
      <c r="F1123" s="192" t="s">
        <v>822</v>
      </c>
      <c r="G1123" s="192">
        <v>0.75</v>
      </c>
      <c r="H1123" s="192" t="s">
        <v>820</v>
      </c>
      <c r="I1123" s="192">
        <v>1</v>
      </c>
      <c r="J1123" s="192">
        <f>VLOOKUP($B1123,'RBSA Weights'!$A$2:$C$1406,3,FALSE)</f>
        <v>1612.692</v>
      </c>
    </row>
    <row r="1124" spans="1:10">
      <c r="A1124" s="192">
        <v>113308</v>
      </c>
      <c r="B1124" s="192">
        <v>23003</v>
      </c>
      <c r="C1124" s="192" t="s">
        <v>815</v>
      </c>
      <c r="D1124" s="192">
        <v>129</v>
      </c>
      <c r="E1124" s="192" t="s">
        <v>816</v>
      </c>
      <c r="F1124" s="192" t="s">
        <v>817</v>
      </c>
      <c r="G1124" s="192">
        <v>0.55000001192092896</v>
      </c>
      <c r="H1124" s="192" t="s">
        <v>818</v>
      </c>
      <c r="I1124" s="192">
        <v>1</v>
      </c>
      <c r="J1124" s="192">
        <f>VLOOKUP($B1124,'RBSA Weights'!$A$2:$C$1406,3,FALSE)</f>
        <v>2079.9929999999999</v>
      </c>
    </row>
    <row r="1125" spans="1:10">
      <c r="A1125" s="192">
        <v>682165</v>
      </c>
      <c r="B1125" s="192">
        <v>23017</v>
      </c>
      <c r="C1125" s="192" t="s">
        <v>815</v>
      </c>
      <c r="D1125" s="192">
        <v>258</v>
      </c>
      <c r="E1125" s="192" t="s">
        <v>816</v>
      </c>
      <c r="F1125" s="192" t="s">
        <v>817</v>
      </c>
      <c r="G1125" s="192">
        <v>0.44999998807907104</v>
      </c>
      <c r="H1125" s="192" t="s">
        <v>818</v>
      </c>
      <c r="I1125" s="192">
        <v>1</v>
      </c>
      <c r="J1125" s="192">
        <f>VLOOKUP($B1125,'RBSA Weights'!$A$2:$C$1406,3,FALSE)</f>
        <v>3785.7640000000001</v>
      </c>
    </row>
    <row r="1126" spans="1:10">
      <c r="A1126" s="192">
        <v>132295</v>
      </c>
      <c r="B1126" s="192">
        <v>23021</v>
      </c>
      <c r="C1126" s="192" t="s">
        <v>815</v>
      </c>
      <c r="D1126" s="192">
        <v>186</v>
      </c>
      <c r="E1126" s="192" t="s">
        <v>816</v>
      </c>
      <c r="F1126" s="192" t="s">
        <v>817</v>
      </c>
      <c r="G1126" s="192">
        <v>0.44999998807907104</v>
      </c>
      <c r="H1126" s="192" t="s">
        <v>818</v>
      </c>
      <c r="I1126" s="192">
        <v>1</v>
      </c>
      <c r="J1126" s="192">
        <f>VLOOKUP($B1126,'RBSA Weights'!$A$2:$C$1406,3,FALSE)</f>
        <v>1144.6790000000001</v>
      </c>
    </row>
    <row r="1127" spans="1:10">
      <c r="A1127" s="192">
        <v>683397</v>
      </c>
      <c r="B1127" s="192">
        <v>23028</v>
      </c>
      <c r="C1127" s="192" t="s">
        <v>815</v>
      </c>
      <c r="D1127" s="192">
        <v>325</v>
      </c>
      <c r="E1127" s="192" t="s">
        <v>816</v>
      </c>
      <c r="F1127" s="192" t="s">
        <v>818</v>
      </c>
      <c r="G1127" s="192">
        <v>0.60000002384185791</v>
      </c>
      <c r="H1127" s="192" t="s">
        <v>818</v>
      </c>
      <c r="I1127" s="192">
        <v>1</v>
      </c>
      <c r="J1127" s="192">
        <f>VLOOKUP($B1127,'RBSA Weights'!$A$2:$C$1406,3,FALSE)</f>
        <v>12271.31</v>
      </c>
    </row>
    <row r="1128" spans="1:10">
      <c r="A1128" s="192">
        <v>182585</v>
      </c>
      <c r="B1128" s="192">
        <v>23029</v>
      </c>
      <c r="C1128" s="192" t="s">
        <v>815</v>
      </c>
      <c r="D1128" s="192">
        <v>365</v>
      </c>
      <c r="E1128" s="192" t="s">
        <v>816</v>
      </c>
      <c r="F1128" s="192" t="s">
        <v>817</v>
      </c>
      <c r="G1128" s="192">
        <v>0.44999998807907104</v>
      </c>
      <c r="H1128" s="192" t="s">
        <v>818</v>
      </c>
      <c r="I1128" s="192">
        <v>1</v>
      </c>
      <c r="J1128" s="192">
        <f>VLOOKUP($B1128,'RBSA Weights'!$A$2:$C$1406,3,FALSE)</f>
        <v>1612.692</v>
      </c>
    </row>
    <row r="1129" spans="1:10">
      <c r="A1129" s="192">
        <v>178503</v>
      </c>
      <c r="B1129" s="192">
        <v>23034</v>
      </c>
      <c r="C1129" s="192" t="s">
        <v>815</v>
      </c>
      <c r="D1129" s="192">
        <v>607</v>
      </c>
      <c r="E1129" s="192" t="s">
        <v>816</v>
      </c>
      <c r="F1129" s="192" t="s">
        <v>817</v>
      </c>
      <c r="G1129" s="192">
        <v>0.44999998807907104</v>
      </c>
      <c r="H1129" s="192" t="s">
        <v>818</v>
      </c>
      <c r="I1129" s="192">
        <v>1</v>
      </c>
      <c r="J1129" s="192">
        <f>VLOOKUP($B1129,'RBSA Weights'!$A$2:$C$1406,3,FALSE)</f>
        <v>1192.4649999999999</v>
      </c>
    </row>
    <row r="1130" spans="1:10">
      <c r="A1130" s="192">
        <v>239082</v>
      </c>
      <c r="B1130" s="192">
        <v>23049</v>
      </c>
      <c r="C1130" s="192" t="s">
        <v>815</v>
      </c>
      <c r="D1130" s="192">
        <v>273</v>
      </c>
      <c r="E1130" s="192" t="s">
        <v>816</v>
      </c>
      <c r="F1130" s="192" t="s">
        <v>817</v>
      </c>
      <c r="G1130" s="192">
        <v>0.44999998807907104</v>
      </c>
      <c r="H1130" s="192" t="s">
        <v>818</v>
      </c>
      <c r="I1130" s="192">
        <v>1</v>
      </c>
      <c r="J1130" s="192">
        <f>VLOOKUP($B1130,'RBSA Weights'!$A$2:$C$1406,3,FALSE)</f>
        <v>3785.7640000000001</v>
      </c>
    </row>
    <row r="1131" spans="1:10">
      <c r="A1131" s="192">
        <v>686847</v>
      </c>
      <c r="B1131" s="192">
        <v>23084</v>
      </c>
      <c r="C1131" s="192" t="s">
        <v>815</v>
      </c>
      <c r="D1131" s="192">
        <v>227</v>
      </c>
      <c r="E1131" s="192" t="s">
        <v>816</v>
      </c>
      <c r="F1131" s="192" t="s">
        <v>818</v>
      </c>
      <c r="G1131" s="192">
        <v>0.60000002384185791</v>
      </c>
      <c r="H1131" s="192" t="s">
        <v>818</v>
      </c>
      <c r="I1131" s="192">
        <v>1</v>
      </c>
      <c r="J1131" s="192">
        <f>VLOOKUP($B1131,'RBSA Weights'!$A$2:$C$1406,3,FALSE)</f>
        <v>2079.9929999999999</v>
      </c>
    </row>
    <row r="1132" spans="1:10">
      <c r="A1132" s="192">
        <v>51308</v>
      </c>
      <c r="B1132" s="192">
        <v>23110</v>
      </c>
      <c r="C1132" s="192" t="s">
        <v>815</v>
      </c>
      <c r="D1132" s="192">
        <v>89</v>
      </c>
      <c r="E1132" s="192" t="s">
        <v>816</v>
      </c>
      <c r="F1132" s="192" t="s">
        <v>820</v>
      </c>
      <c r="G1132" s="192">
        <v>0.85000002384185791</v>
      </c>
      <c r="H1132" s="192" t="s">
        <v>820</v>
      </c>
      <c r="I1132" s="192">
        <v>1</v>
      </c>
      <c r="J1132" s="192">
        <f>VLOOKUP($B1132,'RBSA Weights'!$A$2:$C$1406,3,FALSE)</f>
        <v>3785.7640000000001</v>
      </c>
    </row>
    <row r="1133" spans="1:10">
      <c r="A1133" s="192">
        <v>166608</v>
      </c>
      <c r="B1133" s="192">
        <v>23111</v>
      </c>
      <c r="C1133" s="192" t="s">
        <v>815</v>
      </c>
      <c r="D1133" s="192">
        <v>328</v>
      </c>
      <c r="E1133" s="192" t="s">
        <v>816</v>
      </c>
      <c r="F1133" s="192" t="s">
        <v>817</v>
      </c>
      <c r="G1133" s="192">
        <v>0.44999998807907104</v>
      </c>
      <c r="H1133" s="192" t="s">
        <v>818</v>
      </c>
      <c r="I1133" s="192">
        <v>1</v>
      </c>
      <c r="J1133" s="192">
        <f>VLOOKUP($B1133,'RBSA Weights'!$A$2:$C$1406,3,FALSE)</f>
        <v>1192.4649999999999</v>
      </c>
    </row>
    <row r="1134" spans="1:10">
      <c r="A1134" s="192">
        <v>232312</v>
      </c>
      <c r="B1134" s="192">
        <v>23112</v>
      </c>
      <c r="C1134" s="192" t="s">
        <v>815</v>
      </c>
      <c r="D1134" s="192">
        <v>280</v>
      </c>
      <c r="E1134" s="192" t="s">
        <v>816</v>
      </c>
      <c r="F1134" s="192" t="s">
        <v>817</v>
      </c>
      <c r="G1134" s="192">
        <v>0.44999998807907104</v>
      </c>
      <c r="H1134" s="192" t="s">
        <v>818</v>
      </c>
      <c r="I1134" s="192">
        <v>1</v>
      </c>
      <c r="J1134" s="192">
        <f>VLOOKUP($B1134,'RBSA Weights'!$A$2:$C$1406,3,FALSE)</f>
        <v>1904.288</v>
      </c>
    </row>
    <row r="1135" spans="1:10">
      <c r="A1135" s="192">
        <v>86942</v>
      </c>
      <c r="B1135" s="192">
        <v>23113</v>
      </c>
      <c r="C1135" s="192" t="s">
        <v>815</v>
      </c>
      <c r="D1135" s="192">
        <v>293</v>
      </c>
      <c r="E1135" s="192" t="s">
        <v>816</v>
      </c>
      <c r="F1135" s="192" t="s">
        <v>818</v>
      </c>
      <c r="G1135" s="192">
        <v>0.55000001192092896</v>
      </c>
      <c r="H1135" s="192" t="s">
        <v>818</v>
      </c>
      <c r="I1135" s="192">
        <v>1</v>
      </c>
      <c r="J1135" s="192">
        <f>VLOOKUP($B1135,'RBSA Weights'!$A$2:$C$1406,3,FALSE)</f>
        <v>1144.6790000000001</v>
      </c>
    </row>
    <row r="1136" spans="1:10">
      <c r="A1136" s="192">
        <v>187937</v>
      </c>
      <c r="B1136" s="192">
        <v>23119</v>
      </c>
      <c r="C1136" s="192" t="s">
        <v>815</v>
      </c>
      <c r="D1136" s="192">
        <v>450</v>
      </c>
      <c r="E1136" s="192" t="s">
        <v>816</v>
      </c>
      <c r="F1136" s="192" t="s">
        <v>817</v>
      </c>
      <c r="G1136" s="192">
        <v>0.44999998807907104</v>
      </c>
      <c r="H1136" s="192" t="s">
        <v>818</v>
      </c>
      <c r="I1136" s="192">
        <v>1</v>
      </c>
      <c r="J1136" s="192">
        <f>VLOOKUP($B1136,'RBSA Weights'!$A$2:$C$1406,3,FALSE)</f>
        <v>1612.692</v>
      </c>
    </row>
    <row r="1137" spans="1:10">
      <c r="A1137" s="192">
        <v>133488</v>
      </c>
      <c r="B1137" s="192">
        <v>23122</v>
      </c>
      <c r="C1137" s="192" t="s">
        <v>815</v>
      </c>
      <c r="D1137" s="192">
        <v>284</v>
      </c>
      <c r="E1137" s="192" t="s">
        <v>816</v>
      </c>
      <c r="F1137" s="192" t="s">
        <v>817</v>
      </c>
      <c r="G1137" s="192">
        <v>0.44999998807907104</v>
      </c>
      <c r="H1137" s="192" t="s">
        <v>818</v>
      </c>
      <c r="I1137" s="192">
        <v>1</v>
      </c>
      <c r="J1137" s="192">
        <f>VLOOKUP($B1137,'RBSA Weights'!$A$2:$C$1406,3,FALSE)</f>
        <v>2079.9929999999999</v>
      </c>
    </row>
    <row r="1138" spans="1:10">
      <c r="A1138" s="192">
        <v>33975</v>
      </c>
      <c r="B1138" s="192">
        <v>23123</v>
      </c>
      <c r="C1138" s="192" t="s">
        <v>815</v>
      </c>
      <c r="D1138" s="192">
        <v>192</v>
      </c>
      <c r="E1138" s="192" t="s">
        <v>816</v>
      </c>
      <c r="F1138" s="192" t="s">
        <v>825</v>
      </c>
      <c r="G1138" s="192">
        <v>0.2199999988079071</v>
      </c>
      <c r="H1138" s="192" t="s">
        <v>826</v>
      </c>
      <c r="I1138" s="192">
        <v>1</v>
      </c>
      <c r="J1138" s="192">
        <f>VLOOKUP($B1138,'RBSA Weights'!$A$2:$C$1406,3,FALSE)</f>
        <v>2130.886</v>
      </c>
    </row>
    <row r="1139" spans="1:10">
      <c r="A1139" s="192">
        <v>207297</v>
      </c>
      <c r="B1139" s="192">
        <v>23138</v>
      </c>
      <c r="C1139" s="192" t="s">
        <v>815</v>
      </c>
      <c r="D1139" s="192">
        <v>171</v>
      </c>
      <c r="E1139" s="192" t="s">
        <v>816</v>
      </c>
      <c r="F1139" s="192" t="s">
        <v>818</v>
      </c>
      <c r="G1139" s="192">
        <v>0.55000001192092896</v>
      </c>
      <c r="H1139" s="192" t="s">
        <v>818</v>
      </c>
      <c r="I1139" s="192">
        <v>1</v>
      </c>
      <c r="J1139" s="192">
        <f>VLOOKUP($B1139,'RBSA Weights'!$A$2:$C$1406,3,FALSE)</f>
        <v>1904.288</v>
      </c>
    </row>
    <row r="1140" spans="1:10">
      <c r="A1140" s="192">
        <v>208782</v>
      </c>
      <c r="B1140" s="192">
        <v>23145</v>
      </c>
      <c r="C1140" s="192" t="s">
        <v>815</v>
      </c>
      <c r="D1140" s="192">
        <v>252</v>
      </c>
      <c r="E1140" s="192" t="s">
        <v>816</v>
      </c>
      <c r="F1140" s="192" t="s">
        <v>817</v>
      </c>
      <c r="G1140" s="192">
        <v>0.55000001192092896</v>
      </c>
      <c r="H1140" s="192" t="s">
        <v>818</v>
      </c>
      <c r="I1140" s="192">
        <v>1</v>
      </c>
      <c r="J1140" s="192">
        <f>VLOOKUP($B1140,'RBSA Weights'!$A$2:$C$1406,3,FALSE)</f>
        <v>3785.7640000000001</v>
      </c>
    </row>
    <row r="1141" spans="1:10">
      <c r="A1141" s="192">
        <v>37353</v>
      </c>
      <c r="B1141" s="192">
        <v>23151</v>
      </c>
      <c r="C1141" s="192" t="s">
        <v>815</v>
      </c>
      <c r="D1141" s="192">
        <v>327</v>
      </c>
      <c r="E1141" s="192" t="s">
        <v>816</v>
      </c>
      <c r="F1141" s="192" t="s">
        <v>818</v>
      </c>
      <c r="G1141" s="192">
        <v>0.55000001192092896</v>
      </c>
      <c r="H1141" s="192" t="s">
        <v>818</v>
      </c>
      <c r="I1141" s="192">
        <v>1</v>
      </c>
      <c r="J1141" s="192">
        <f>VLOOKUP($B1141,'RBSA Weights'!$A$2:$C$1406,3,FALSE)</f>
        <v>12271.31</v>
      </c>
    </row>
    <row r="1142" spans="1:10">
      <c r="A1142" s="192">
        <v>50490</v>
      </c>
      <c r="B1142" s="192">
        <v>23155</v>
      </c>
      <c r="C1142" s="192" t="s">
        <v>815</v>
      </c>
      <c r="D1142" s="192">
        <v>356</v>
      </c>
      <c r="E1142" s="192" t="s">
        <v>816</v>
      </c>
      <c r="F1142" s="192" t="s">
        <v>820</v>
      </c>
      <c r="G1142" s="192">
        <v>0.85000002384185791</v>
      </c>
      <c r="H1142" s="192" t="s">
        <v>820</v>
      </c>
      <c r="I1142" s="192">
        <v>1</v>
      </c>
      <c r="J1142" s="192">
        <f>VLOOKUP($B1142,'RBSA Weights'!$A$2:$C$1406,3,FALSE)</f>
        <v>2079.9929999999999</v>
      </c>
    </row>
    <row r="1143" spans="1:10">
      <c r="A1143" s="192">
        <v>80879</v>
      </c>
      <c r="B1143" s="192">
        <v>23178</v>
      </c>
      <c r="C1143" s="192" t="s">
        <v>815</v>
      </c>
      <c r="D1143" s="192">
        <v>108</v>
      </c>
      <c r="E1143" s="192" t="s">
        <v>816</v>
      </c>
      <c r="F1143" s="192" t="s">
        <v>817</v>
      </c>
      <c r="G1143" s="192">
        <v>0.44999998807907104</v>
      </c>
      <c r="H1143" s="192" t="s">
        <v>818</v>
      </c>
      <c r="I1143" s="192">
        <v>1</v>
      </c>
      <c r="J1143" s="192">
        <f>VLOOKUP($B1143,'RBSA Weights'!$A$2:$C$1406,3,FALSE)</f>
        <v>3785.7640000000001</v>
      </c>
    </row>
    <row r="1144" spans="1:10">
      <c r="A1144" s="192">
        <v>33686</v>
      </c>
      <c r="B1144" s="192">
        <v>23183</v>
      </c>
      <c r="C1144" s="192" t="s">
        <v>815</v>
      </c>
      <c r="D1144" s="192">
        <v>226</v>
      </c>
      <c r="E1144" s="192" t="s">
        <v>816</v>
      </c>
      <c r="F1144" s="192" t="s">
        <v>818</v>
      </c>
      <c r="G1144" s="192">
        <v>0.60000002384185791</v>
      </c>
      <c r="H1144" s="192" t="s">
        <v>818</v>
      </c>
      <c r="I1144" s="192">
        <v>1</v>
      </c>
      <c r="J1144" s="192">
        <f>VLOOKUP($B1144,'RBSA Weights'!$A$2:$C$1406,3,FALSE)</f>
        <v>3785.7640000000001</v>
      </c>
    </row>
    <row r="1145" spans="1:10">
      <c r="A1145" s="192">
        <v>132562</v>
      </c>
      <c r="B1145" s="192">
        <v>23185</v>
      </c>
      <c r="C1145" s="192" t="s">
        <v>815</v>
      </c>
      <c r="D1145" s="192">
        <v>364</v>
      </c>
      <c r="E1145" s="192" t="s">
        <v>816</v>
      </c>
      <c r="F1145" s="192" t="s">
        <v>817</v>
      </c>
      <c r="G1145" s="192">
        <v>0.44999998807907104</v>
      </c>
      <c r="H1145" s="192" t="s">
        <v>818</v>
      </c>
      <c r="I1145" s="192">
        <v>1</v>
      </c>
      <c r="J1145" s="192">
        <f>VLOOKUP($B1145,'RBSA Weights'!$A$2:$C$1406,3,FALSE)</f>
        <v>1144.6790000000001</v>
      </c>
    </row>
    <row r="1146" spans="1:10">
      <c r="A1146" s="192">
        <v>133328</v>
      </c>
      <c r="B1146" s="192">
        <v>23188</v>
      </c>
      <c r="C1146" s="192" t="s">
        <v>815</v>
      </c>
      <c r="D1146" s="192">
        <v>124</v>
      </c>
      <c r="E1146" s="192" t="s">
        <v>816</v>
      </c>
      <c r="F1146" s="192" t="s">
        <v>823</v>
      </c>
      <c r="G1146" s="192">
        <v>1.1000000238418579</v>
      </c>
      <c r="H1146" s="192" t="s">
        <v>823</v>
      </c>
      <c r="I1146" s="192">
        <v>1</v>
      </c>
      <c r="J1146" s="192">
        <f>VLOOKUP($B1146,'RBSA Weights'!$A$2:$C$1406,3,FALSE)</f>
        <v>2079.9929999999999</v>
      </c>
    </row>
    <row r="1147" spans="1:10">
      <c r="A1147" s="192">
        <v>91819</v>
      </c>
      <c r="B1147" s="192">
        <v>23192</v>
      </c>
      <c r="C1147" s="192" t="s">
        <v>815</v>
      </c>
      <c r="D1147" s="192">
        <v>266</v>
      </c>
      <c r="E1147" s="192" t="s">
        <v>816</v>
      </c>
      <c r="F1147" s="192" t="s">
        <v>817</v>
      </c>
      <c r="G1147" s="192">
        <v>0.44999998807907104</v>
      </c>
      <c r="H1147" s="192" t="s">
        <v>818</v>
      </c>
      <c r="I1147" s="192">
        <v>1</v>
      </c>
      <c r="J1147" s="192">
        <f>VLOOKUP($B1147,'RBSA Weights'!$A$2:$C$1406,3,FALSE)</f>
        <v>1904.288</v>
      </c>
    </row>
    <row r="1148" spans="1:10">
      <c r="A1148" s="192">
        <v>54535</v>
      </c>
      <c r="B1148" s="192">
        <v>23196</v>
      </c>
      <c r="C1148" s="192" t="s">
        <v>815</v>
      </c>
      <c r="D1148" s="192">
        <v>164</v>
      </c>
      <c r="E1148" s="192" t="s">
        <v>819</v>
      </c>
      <c r="F1148" s="192" t="s">
        <v>817</v>
      </c>
      <c r="G1148" s="192">
        <v>0.40000000596046448</v>
      </c>
      <c r="H1148" s="192" t="s">
        <v>818</v>
      </c>
      <c r="I1148" s="192">
        <v>1</v>
      </c>
      <c r="J1148" s="192">
        <f>VLOOKUP($B1148,'RBSA Weights'!$A$2:$C$1406,3,FALSE)</f>
        <v>2079.9929999999999</v>
      </c>
    </row>
    <row r="1149" spans="1:10">
      <c r="A1149" s="192">
        <v>176658</v>
      </c>
      <c r="B1149" s="192">
        <v>23211</v>
      </c>
      <c r="C1149" s="192" t="s">
        <v>815</v>
      </c>
      <c r="D1149" s="192">
        <v>533</v>
      </c>
      <c r="E1149" s="192" t="s">
        <v>819</v>
      </c>
      <c r="F1149" s="192" t="s">
        <v>822</v>
      </c>
      <c r="G1149" s="192">
        <v>0.64999997615814209</v>
      </c>
      <c r="H1149" s="192" t="s">
        <v>820</v>
      </c>
      <c r="I1149" s="192">
        <v>1</v>
      </c>
      <c r="J1149" s="192">
        <f>VLOOKUP($B1149,'RBSA Weights'!$A$2:$C$1406,3,FALSE)</f>
        <v>2130.886</v>
      </c>
    </row>
    <row r="1150" spans="1:10">
      <c r="A1150" s="192">
        <v>42591</v>
      </c>
      <c r="B1150" s="192">
        <v>23213</v>
      </c>
      <c r="C1150" s="192" t="s">
        <v>815</v>
      </c>
      <c r="D1150" s="192">
        <v>374</v>
      </c>
      <c r="E1150" s="192" t="s">
        <v>816</v>
      </c>
      <c r="F1150" s="192" t="s">
        <v>817</v>
      </c>
      <c r="G1150" s="192">
        <v>0.44999998807907104</v>
      </c>
      <c r="H1150" s="192" t="s">
        <v>818</v>
      </c>
      <c r="I1150" s="192">
        <v>1</v>
      </c>
      <c r="J1150" s="192">
        <f>VLOOKUP($B1150,'RBSA Weights'!$A$2:$C$1406,3,FALSE)</f>
        <v>2130.886</v>
      </c>
    </row>
    <row r="1151" spans="1:10">
      <c r="A1151" s="192">
        <v>209139</v>
      </c>
      <c r="B1151" s="192">
        <v>23233</v>
      </c>
      <c r="C1151" s="192" t="s">
        <v>815</v>
      </c>
      <c r="D1151" s="192">
        <v>174</v>
      </c>
      <c r="E1151" s="192" t="s">
        <v>816</v>
      </c>
      <c r="F1151" s="192" t="s">
        <v>818</v>
      </c>
      <c r="G1151" s="192">
        <v>0.60000002384185791</v>
      </c>
      <c r="H1151" s="192" t="s">
        <v>818</v>
      </c>
      <c r="I1151" s="192">
        <v>1</v>
      </c>
      <c r="J1151" s="192">
        <f>VLOOKUP($B1151,'RBSA Weights'!$A$2:$C$1406,3,FALSE)</f>
        <v>1904.288</v>
      </c>
    </row>
    <row r="1152" spans="1:10">
      <c r="A1152" s="192">
        <v>134513</v>
      </c>
      <c r="B1152" s="192">
        <v>23235</v>
      </c>
      <c r="C1152" s="192" t="s">
        <v>815</v>
      </c>
      <c r="D1152" s="192">
        <v>86</v>
      </c>
      <c r="E1152" s="192" t="s">
        <v>816</v>
      </c>
      <c r="F1152" s="192" t="s">
        <v>821</v>
      </c>
      <c r="G1152" s="192">
        <v>0.94999998807907104</v>
      </c>
      <c r="H1152" s="192" t="s">
        <v>821</v>
      </c>
      <c r="I1152" s="192">
        <v>1</v>
      </c>
      <c r="J1152" s="192">
        <f>VLOOKUP($B1152,'RBSA Weights'!$A$2:$C$1406,3,FALSE)</f>
        <v>1612.692</v>
      </c>
    </row>
    <row r="1153" spans="1:10">
      <c r="A1153" s="192">
        <v>57950</v>
      </c>
      <c r="B1153" s="192">
        <v>23241</v>
      </c>
      <c r="C1153" s="192" t="s">
        <v>815</v>
      </c>
      <c r="D1153" s="192">
        <v>250</v>
      </c>
      <c r="E1153" s="192" t="s">
        <v>816</v>
      </c>
      <c r="F1153" s="192" t="s">
        <v>818</v>
      </c>
      <c r="G1153" s="192">
        <v>0.60000002384185791</v>
      </c>
      <c r="H1153" s="192" t="s">
        <v>818</v>
      </c>
      <c r="I1153" s="192">
        <v>1</v>
      </c>
      <c r="J1153" s="192">
        <f>VLOOKUP($B1153,'RBSA Weights'!$A$2:$C$1406,3,FALSE)</f>
        <v>2079.9929999999999</v>
      </c>
    </row>
    <row r="1154" spans="1:10">
      <c r="A1154" s="192">
        <v>119262</v>
      </c>
      <c r="B1154" s="192">
        <v>23260</v>
      </c>
      <c r="C1154" s="192" t="s">
        <v>815</v>
      </c>
      <c r="D1154" s="192">
        <v>267</v>
      </c>
      <c r="E1154" s="192" t="s">
        <v>816</v>
      </c>
      <c r="F1154" s="192" t="s">
        <v>817</v>
      </c>
      <c r="G1154" s="192">
        <v>0.44999998807907104</v>
      </c>
      <c r="H1154" s="192" t="s">
        <v>818</v>
      </c>
      <c r="I1154" s="192">
        <v>1</v>
      </c>
      <c r="J1154" s="192">
        <f>VLOOKUP($B1154,'RBSA Weights'!$A$2:$C$1406,3,FALSE)</f>
        <v>1904.288</v>
      </c>
    </row>
    <row r="1155" spans="1:10">
      <c r="A1155" s="192">
        <v>190008</v>
      </c>
      <c r="B1155" s="192">
        <v>23262</v>
      </c>
      <c r="C1155" s="192" t="s">
        <v>815</v>
      </c>
      <c r="D1155" s="192">
        <v>195</v>
      </c>
      <c r="E1155" s="192" t="s">
        <v>816</v>
      </c>
      <c r="F1155" s="192" t="s">
        <v>817</v>
      </c>
      <c r="G1155" s="192">
        <v>0.55000001192092896</v>
      </c>
      <c r="H1155" s="192" t="s">
        <v>818</v>
      </c>
      <c r="I1155" s="192">
        <v>1</v>
      </c>
      <c r="J1155" s="192">
        <f>VLOOKUP($B1155,'RBSA Weights'!$A$2:$C$1406,3,FALSE)</f>
        <v>1612.692</v>
      </c>
    </row>
    <row r="1156" spans="1:10">
      <c r="A1156" s="192">
        <v>678471</v>
      </c>
      <c r="B1156" s="192">
        <v>23267</v>
      </c>
      <c r="C1156" s="192" t="s">
        <v>815</v>
      </c>
      <c r="D1156" s="192">
        <v>379</v>
      </c>
      <c r="E1156" s="192" t="s">
        <v>816</v>
      </c>
      <c r="F1156" s="192" t="s">
        <v>817</v>
      </c>
      <c r="G1156" s="192">
        <v>0.55000001192092896</v>
      </c>
      <c r="H1156" s="192" t="s">
        <v>818</v>
      </c>
      <c r="I1156" s="192">
        <v>1</v>
      </c>
      <c r="J1156" s="192">
        <f>VLOOKUP($B1156,'RBSA Weights'!$A$2:$C$1406,3,FALSE)</f>
        <v>8264.9449999999997</v>
      </c>
    </row>
    <row r="1157" spans="1:10">
      <c r="A1157" s="192">
        <v>123836</v>
      </c>
      <c r="B1157" s="192">
        <v>23274</v>
      </c>
      <c r="C1157" s="192" t="s">
        <v>815</v>
      </c>
      <c r="D1157" s="192">
        <v>223</v>
      </c>
      <c r="E1157" s="192" t="s">
        <v>816</v>
      </c>
      <c r="F1157" s="192" t="s">
        <v>817</v>
      </c>
      <c r="G1157" s="192">
        <v>0.44999998807907104</v>
      </c>
      <c r="H1157" s="192" t="s">
        <v>818</v>
      </c>
      <c r="I1157" s="192">
        <v>1</v>
      </c>
      <c r="J1157" s="192">
        <f>VLOOKUP($B1157,'RBSA Weights'!$A$2:$C$1406,3,FALSE)</f>
        <v>1144.6790000000001</v>
      </c>
    </row>
    <row r="1158" spans="1:10">
      <c r="A1158" s="192">
        <v>164961</v>
      </c>
      <c r="B1158" s="192">
        <v>23278</v>
      </c>
      <c r="C1158" s="192" t="s">
        <v>815</v>
      </c>
      <c r="D1158" s="192">
        <v>127</v>
      </c>
      <c r="E1158" s="192" t="s">
        <v>816</v>
      </c>
      <c r="F1158" s="192" t="s">
        <v>817</v>
      </c>
      <c r="G1158" s="192">
        <v>0.55000001192092896</v>
      </c>
      <c r="H1158" s="192" t="s">
        <v>818</v>
      </c>
      <c r="I1158" s="192">
        <v>1</v>
      </c>
      <c r="J1158" s="192">
        <f>VLOOKUP($B1158,'RBSA Weights'!$A$2:$C$1406,3,FALSE)</f>
        <v>1612.692</v>
      </c>
    </row>
    <row r="1159" spans="1:10">
      <c r="A1159" s="192">
        <v>144460</v>
      </c>
      <c r="B1159" s="192">
        <v>23282</v>
      </c>
      <c r="C1159" s="192" t="s">
        <v>815</v>
      </c>
      <c r="D1159" s="192">
        <v>261</v>
      </c>
      <c r="E1159" s="192" t="s">
        <v>816</v>
      </c>
      <c r="F1159" s="192" t="s">
        <v>822</v>
      </c>
      <c r="G1159" s="192">
        <v>0.75</v>
      </c>
      <c r="H1159" s="192" t="s">
        <v>820</v>
      </c>
      <c r="I1159" s="192">
        <v>1</v>
      </c>
      <c r="J1159" s="192">
        <f>VLOOKUP($B1159,'RBSA Weights'!$A$2:$C$1406,3,FALSE)</f>
        <v>3785.7640000000001</v>
      </c>
    </row>
    <row r="1160" spans="1:10">
      <c r="A1160" s="192">
        <v>178597</v>
      </c>
      <c r="B1160" s="192">
        <v>23283</v>
      </c>
      <c r="C1160" s="192" t="s">
        <v>815</v>
      </c>
      <c r="D1160" s="192">
        <v>244</v>
      </c>
      <c r="E1160" s="192" t="s">
        <v>816</v>
      </c>
      <c r="F1160" s="192" t="s">
        <v>817</v>
      </c>
      <c r="G1160" s="192">
        <v>0.44999998807907104</v>
      </c>
      <c r="H1160" s="192" t="s">
        <v>818</v>
      </c>
      <c r="I1160" s="192">
        <v>1</v>
      </c>
      <c r="J1160" s="192">
        <f>VLOOKUP($B1160,'RBSA Weights'!$A$2:$C$1406,3,FALSE)</f>
        <v>1925.059</v>
      </c>
    </row>
    <row r="1161" spans="1:10">
      <c r="A1161" s="192">
        <v>677725</v>
      </c>
      <c r="B1161" s="192">
        <v>23284</v>
      </c>
      <c r="C1161" s="192" t="s">
        <v>815</v>
      </c>
      <c r="D1161" s="192">
        <v>198</v>
      </c>
      <c r="E1161" s="192" t="s">
        <v>816</v>
      </c>
      <c r="F1161" s="192" t="s">
        <v>820</v>
      </c>
      <c r="G1161" s="192">
        <v>0.85000002384185791</v>
      </c>
      <c r="H1161" s="192" t="s">
        <v>820</v>
      </c>
      <c r="I1161" s="192">
        <v>1</v>
      </c>
      <c r="J1161" s="192">
        <f>VLOOKUP($B1161,'RBSA Weights'!$A$2:$C$1406,3,FALSE)</f>
        <v>3785.7640000000001</v>
      </c>
    </row>
    <row r="1162" spans="1:10">
      <c r="A1162" s="192">
        <v>200837</v>
      </c>
      <c r="B1162" s="192">
        <v>23287</v>
      </c>
      <c r="C1162" s="192" t="s">
        <v>815</v>
      </c>
      <c r="D1162" s="192">
        <v>327</v>
      </c>
      <c r="E1162" s="192" t="s">
        <v>816</v>
      </c>
      <c r="F1162" s="192" t="s">
        <v>817</v>
      </c>
      <c r="G1162" s="192">
        <v>0.44999998807907104</v>
      </c>
      <c r="H1162" s="192" t="s">
        <v>818</v>
      </c>
      <c r="I1162" s="192">
        <v>1</v>
      </c>
      <c r="J1162" s="192">
        <f>VLOOKUP($B1162,'RBSA Weights'!$A$2:$C$1406,3,FALSE)</f>
        <v>1612.692</v>
      </c>
    </row>
    <row r="1163" spans="1:10">
      <c r="A1163" s="192">
        <v>209263</v>
      </c>
      <c r="B1163" s="192">
        <v>23294</v>
      </c>
      <c r="C1163" s="192" t="s">
        <v>815</v>
      </c>
      <c r="D1163" s="192">
        <v>224</v>
      </c>
      <c r="E1163" s="192" t="s">
        <v>816</v>
      </c>
      <c r="F1163" s="192" t="s">
        <v>818</v>
      </c>
      <c r="G1163" s="192">
        <v>0.55000001192092896</v>
      </c>
      <c r="H1163" s="192" t="s">
        <v>818</v>
      </c>
      <c r="I1163" s="192">
        <v>1</v>
      </c>
      <c r="J1163" s="192">
        <f>VLOOKUP($B1163,'RBSA Weights'!$A$2:$C$1406,3,FALSE)</f>
        <v>1904.288</v>
      </c>
    </row>
    <row r="1164" spans="1:10">
      <c r="A1164" s="192">
        <v>194496</v>
      </c>
      <c r="B1164" s="192">
        <v>23300</v>
      </c>
      <c r="C1164" s="192" t="s">
        <v>815</v>
      </c>
      <c r="D1164" s="192">
        <v>195</v>
      </c>
      <c r="E1164" s="192" t="s">
        <v>816</v>
      </c>
      <c r="F1164" s="192" t="s">
        <v>817</v>
      </c>
      <c r="G1164" s="192">
        <v>0.44999998807907104</v>
      </c>
      <c r="H1164" s="192" t="s">
        <v>818</v>
      </c>
      <c r="I1164" s="192">
        <v>1</v>
      </c>
      <c r="J1164" s="192">
        <f>VLOOKUP($B1164,'RBSA Weights'!$A$2:$C$1406,3,FALSE)</f>
        <v>1925.059</v>
      </c>
    </row>
    <row r="1165" spans="1:10">
      <c r="A1165" s="192">
        <v>162383</v>
      </c>
      <c r="B1165" s="192">
        <v>23314</v>
      </c>
      <c r="C1165" s="192" t="s">
        <v>815</v>
      </c>
      <c r="D1165" s="192">
        <v>194</v>
      </c>
      <c r="E1165" s="192" t="s">
        <v>816</v>
      </c>
      <c r="F1165" s="192" t="s">
        <v>818</v>
      </c>
      <c r="G1165" s="192">
        <v>0.60000002384185791</v>
      </c>
      <c r="H1165" s="192" t="s">
        <v>818</v>
      </c>
      <c r="I1165" s="192">
        <v>1</v>
      </c>
      <c r="J1165" s="192">
        <f>VLOOKUP($B1165,'RBSA Weights'!$A$2:$C$1406,3,FALSE)</f>
        <v>2130.886</v>
      </c>
    </row>
    <row r="1166" spans="1:10">
      <c r="A1166" s="192">
        <v>103568</v>
      </c>
      <c r="B1166" s="192">
        <v>23318</v>
      </c>
      <c r="C1166" s="192" t="s">
        <v>815</v>
      </c>
      <c r="D1166" s="192">
        <v>89</v>
      </c>
      <c r="E1166" s="192" t="s">
        <v>816</v>
      </c>
      <c r="F1166" s="192" t="s">
        <v>817</v>
      </c>
      <c r="G1166" s="192">
        <v>0.44999998807907104</v>
      </c>
      <c r="H1166" s="192" t="s">
        <v>818</v>
      </c>
      <c r="I1166" s="192">
        <v>1</v>
      </c>
      <c r="J1166" s="192">
        <f>VLOOKUP($B1166,'RBSA Weights'!$A$2:$C$1406,3,FALSE)</f>
        <v>1144.6790000000001</v>
      </c>
    </row>
    <row r="1167" spans="1:10">
      <c r="A1167" s="192">
        <v>189026</v>
      </c>
      <c r="B1167" s="192">
        <v>23335</v>
      </c>
      <c r="C1167" s="192" t="s">
        <v>815</v>
      </c>
      <c r="D1167" s="192">
        <v>422</v>
      </c>
      <c r="E1167" s="192" t="s">
        <v>816</v>
      </c>
      <c r="F1167" s="192" t="s">
        <v>817</v>
      </c>
      <c r="G1167" s="192">
        <v>0.44999998807907104</v>
      </c>
      <c r="H1167" s="192" t="s">
        <v>818</v>
      </c>
      <c r="I1167" s="192">
        <v>1</v>
      </c>
      <c r="J1167" s="192">
        <f>VLOOKUP($B1167,'RBSA Weights'!$A$2:$C$1406,3,FALSE)</f>
        <v>1192.4649999999999</v>
      </c>
    </row>
    <row r="1168" spans="1:10">
      <c r="A1168" s="192">
        <v>101280</v>
      </c>
      <c r="B1168" s="192">
        <v>23345</v>
      </c>
      <c r="C1168" s="192" t="s">
        <v>815</v>
      </c>
      <c r="D1168" s="192">
        <v>435</v>
      </c>
      <c r="E1168" s="192" t="s">
        <v>816</v>
      </c>
      <c r="F1168" s="192" t="s">
        <v>817</v>
      </c>
      <c r="G1168" s="192">
        <v>0.44999998807907104</v>
      </c>
      <c r="H1168" s="192" t="s">
        <v>818</v>
      </c>
      <c r="I1168" s="192">
        <v>1</v>
      </c>
      <c r="J1168" s="192">
        <f>VLOOKUP($B1168,'RBSA Weights'!$A$2:$C$1406,3,FALSE)</f>
        <v>2079.9929999999999</v>
      </c>
    </row>
    <row r="1169" spans="1:10">
      <c r="A1169" s="192">
        <v>177097</v>
      </c>
      <c r="B1169" s="192">
        <v>23355</v>
      </c>
      <c r="C1169" s="192" t="s">
        <v>815</v>
      </c>
      <c r="D1169" s="192">
        <v>143</v>
      </c>
      <c r="E1169" s="192" t="s">
        <v>816</v>
      </c>
      <c r="F1169" s="192" t="s">
        <v>817</v>
      </c>
      <c r="G1169" s="192">
        <v>0.55000001192092896</v>
      </c>
      <c r="H1169" s="192" t="s">
        <v>818</v>
      </c>
      <c r="I1169" s="192">
        <v>1</v>
      </c>
      <c r="J1169" s="192">
        <f>VLOOKUP($B1169,'RBSA Weights'!$A$2:$C$1406,3,FALSE)</f>
        <v>1192.4649999999999</v>
      </c>
    </row>
    <row r="1170" spans="1:10">
      <c r="A1170" s="192">
        <v>158880</v>
      </c>
      <c r="B1170" s="192">
        <v>23358</v>
      </c>
      <c r="C1170" s="192" t="s">
        <v>815</v>
      </c>
      <c r="D1170" s="192">
        <v>120</v>
      </c>
      <c r="E1170" s="192" t="s">
        <v>816</v>
      </c>
      <c r="F1170" s="192" t="s">
        <v>817</v>
      </c>
      <c r="G1170" s="192">
        <v>0.55000001192092896</v>
      </c>
      <c r="H1170" s="192" t="s">
        <v>818</v>
      </c>
      <c r="I1170" s="192">
        <v>1</v>
      </c>
      <c r="J1170" s="192">
        <f>VLOOKUP($B1170,'RBSA Weights'!$A$2:$C$1406,3,FALSE)</f>
        <v>2130.886</v>
      </c>
    </row>
    <row r="1171" spans="1:10">
      <c r="A1171" s="192">
        <v>210048</v>
      </c>
      <c r="B1171" s="192">
        <v>23366</v>
      </c>
      <c r="C1171" s="192" t="s">
        <v>815</v>
      </c>
      <c r="D1171" s="192">
        <v>263</v>
      </c>
      <c r="E1171" s="192" t="s">
        <v>816</v>
      </c>
      <c r="F1171" s="192" t="s">
        <v>817</v>
      </c>
      <c r="G1171" s="192">
        <v>0.44999998807907104</v>
      </c>
      <c r="H1171" s="192" t="s">
        <v>818</v>
      </c>
      <c r="I1171" s="192">
        <v>1</v>
      </c>
      <c r="J1171" s="192">
        <f>VLOOKUP($B1171,'RBSA Weights'!$A$2:$C$1406,3,FALSE)</f>
        <v>1925.059</v>
      </c>
    </row>
    <row r="1172" spans="1:10">
      <c r="A1172" s="192">
        <v>239393</v>
      </c>
      <c r="B1172" s="192">
        <v>23368</v>
      </c>
      <c r="C1172" s="192" t="s">
        <v>815</v>
      </c>
      <c r="D1172" s="192">
        <v>258</v>
      </c>
      <c r="E1172" s="192" t="s">
        <v>816</v>
      </c>
      <c r="F1172" s="192" t="s">
        <v>817</v>
      </c>
      <c r="G1172" s="192">
        <v>0.55000001192092896</v>
      </c>
      <c r="H1172" s="192" t="s">
        <v>818</v>
      </c>
      <c r="I1172" s="192">
        <v>1</v>
      </c>
      <c r="J1172" s="192">
        <f>VLOOKUP($B1172,'RBSA Weights'!$A$2:$C$1406,3,FALSE)</f>
        <v>1612.692</v>
      </c>
    </row>
    <row r="1173" spans="1:10">
      <c r="A1173" s="192">
        <v>689563</v>
      </c>
      <c r="B1173" s="192">
        <v>23379</v>
      </c>
      <c r="C1173" s="192" t="s">
        <v>815</v>
      </c>
      <c r="D1173" s="192">
        <v>212</v>
      </c>
      <c r="E1173" s="192" t="s">
        <v>816</v>
      </c>
      <c r="F1173" s="192" t="s">
        <v>820</v>
      </c>
      <c r="G1173" s="192">
        <v>0.80000001192092896</v>
      </c>
      <c r="H1173" s="192" t="s">
        <v>820</v>
      </c>
      <c r="I1173" s="192">
        <v>1</v>
      </c>
      <c r="J1173" s="192">
        <f>VLOOKUP($B1173,'RBSA Weights'!$A$2:$C$1406,3,FALSE)</f>
        <v>12271.31</v>
      </c>
    </row>
    <row r="1174" spans="1:10">
      <c r="A1174" s="192">
        <v>151574</v>
      </c>
      <c r="B1174" s="192">
        <v>23380</v>
      </c>
      <c r="C1174" s="192" t="s">
        <v>815</v>
      </c>
      <c r="D1174" s="192">
        <v>149</v>
      </c>
      <c r="E1174" s="192" t="s">
        <v>819</v>
      </c>
      <c r="F1174" s="192" t="s">
        <v>821</v>
      </c>
      <c r="G1174" s="192">
        <v>0.75</v>
      </c>
      <c r="H1174" s="192" t="s">
        <v>821</v>
      </c>
      <c r="I1174" s="192">
        <v>1</v>
      </c>
      <c r="J1174" s="192">
        <f>VLOOKUP($B1174,'RBSA Weights'!$A$2:$C$1406,3,FALSE)</f>
        <v>3785.7640000000001</v>
      </c>
    </row>
    <row r="1175" spans="1:10">
      <c r="A1175" s="192">
        <v>224219</v>
      </c>
      <c r="B1175" s="192">
        <v>23381</v>
      </c>
      <c r="C1175" s="192" t="s">
        <v>815</v>
      </c>
      <c r="D1175" s="192">
        <v>400</v>
      </c>
      <c r="E1175" s="192" t="s">
        <v>816</v>
      </c>
      <c r="F1175" s="192" t="s">
        <v>817</v>
      </c>
      <c r="G1175" s="192">
        <v>0.44999998807907104</v>
      </c>
      <c r="H1175" s="192" t="s">
        <v>818</v>
      </c>
      <c r="I1175" s="192">
        <v>1</v>
      </c>
      <c r="J1175" s="192">
        <f>VLOOKUP($B1175,'RBSA Weights'!$A$2:$C$1406,3,FALSE)</f>
        <v>2079.9929999999999</v>
      </c>
    </row>
    <row r="1176" spans="1:10">
      <c r="A1176" s="192">
        <v>724892</v>
      </c>
      <c r="B1176" s="192">
        <v>23384</v>
      </c>
      <c r="C1176" s="192" t="s">
        <v>815</v>
      </c>
      <c r="D1176" s="192">
        <v>170</v>
      </c>
      <c r="E1176" s="192" t="s">
        <v>816</v>
      </c>
      <c r="F1176" s="192" t="s">
        <v>817</v>
      </c>
      <c r="G1176" s="192">
        <v>0.44999998807907104</v>
      </c>
      <c r="H1176" s="192" t="s">
        <v>818</v>
      </c>
      <c r="I1176" s="192">
        <v>1</v>
      </c>
      <c r="J1176" s="192">
        <f>VLOOKUP($B1176,'RBSA Weights'!$A$2:$C$1406,3,FALSE)</f>
        <v>8264.9449999999997</v>
      </c>
    </row>
    <row r="1177" spans="1:10">
      <c r="A1177" s="192">
        <v>176112</v>
      </c>
      <c r="B1177" s="192">
        <v>23387</v>
      </c>
      <c r="C1177" s="192" t="s">
        <v>815</v>
      </c>
      <c r="D1177" s="192">
        <v>389</v>
      </c>
      <c r="E1177" s="192" t="s">
        <v>816</v>
      </c>
      <c r="F1177" s="192" t="s">
        <v>817</v>
      </c>
      <c r="G1177" s="192">
        <v>0.55000001192092896</v>
      </c>
      <c r="H1177" s="192" t="s">
        <v>818</v>
      </c>
      <c r="I1177" s="192">
        <v>1</v>
      </c>
      <c r="J1177" s="192">
        <f>VLOOKUP($B1177,'RBSA Weights'!$A$2:$C$1406,3,FALSE)</f>
        <v>1144.6790000000001</v>
      </c>
    </row>
    <row r="1178" spans="1:10">
      <c r="A1178" s="192">
        <v>77854</v>
      </c>
      <c r="B1178" s="192">
        <v>23390</v>
      </c>
      <c r="C1178" s="192" t="s">
        <v>815</v>
      </c>
      <c r="D1178" s="192">
        <v>173</v>
      </c>
      <c r="E1178" s="192" t="s">
        <v>816</v>
      </c>
      <c r="F1178" s="192" t="s">
        <v>817</v>
      </c>
      <c r="G1178" s="192">
        <v>0.44999998807907104</v>
      </c>
      <c r="H1178" s="192" t="s">
        <v>818</v>
      </c>
      <c r="I1178" s="192">
        <v>1</v>
      </c>
      <c r="J1178" s="192">
        <f>VLOOKUP($B1178,'RBSA Weights'!$A$2:$C$1406,3,FALSE)</f>
        <v>2130.886</v>
      </c>
    </row>
    <row r="1179" spans="1:10">
      <c r="A1179" s="192">
        <v>131493</v>
      </c>
      <c r="B1179" s="192">
        <v>23391</v>
      </c>
      <c r="C1179" s="192" t="s">
        <v>815</v>
      </c>
      <c r="D1179" s="192">
        <v>172</v>
      </c>
      <c r="E1179" s="192" t="s">
        <v>816</v>
      </c>
      <c r="F1179" s="192" t="s">
        <v>817</v>
      </c>
      <c r="G1179" s="192">
        <v>0.44999998807907104</v>
      </c>
      <c r="H1179" s="192" t="s">
        <v>818</v>
      </c>
      <c r="I1179" s="192">
        <v>1</v>
      </c>
      <c r="J1179" s="192">
        <f>VLOOKUP($B1179,'RBSA Weights'!$A$2:$C$1406,3,FALSE)</f>
        <v>1612.692</v>
      </c>
    </row>
    <row r="1180" spans="1:10">
      <c r="A1180" s="192">
        <v>180878</v>
      </c>
      <c r="B1180" s="192">
        <v>23392</v>
      </c>
      <c r="C1180" s="192" t="s">
        <v>815</v>
      </c>
      <c r="D1180" s="192">
        <v>484</v>
      </c>
      <c r="E1180" s="192" t="s">
        <v>816</v>
      </c>
      <c r="F1180" s="192" t="s">
        <v>817</v>
      </c>
      <c r="G1180" s="192">
        <v>0.44999998807907104</v>
      </c>
      <c r="H1180" s="192" t="s">
        <v>818</v>
      </c>
      <c r="I1180" s="192">
        <v>1</v>
      </c>
      <c r="J1180" s="192">
        <f>VLOOKUP($B1180,'RBSA Weights'!$A$2:$C$1406,3,FALSE)</f>
        <v>1925.059</v>
      </c>
    </row>
    <row r="1181" spans="1:10">
      <c r="A1181" s="192">
        <v>106527</v>
      </c>
      <c r="B1181" s="192">
        <v>23400</v>
      </c>
      <c r="C1181" s="192" t="s">
        <v>815</v>
      </c>
      <c r="D1181" s="192">
        <v>26</v>
      </c>
      <c r="E1181" s="192" t="s">
        <v>816</v>
      </c>
      <c r="F1181" s="192" t="s">
        <v>817</v>
      </c>
      <c r="G1181" s="192">
        <v>0.55000001192092896</v>
      </c>
      <c r="H1181" s="192" t="s">
        <v>818</v>
      </c>
      <c r="I1181" s="192">
        <v>1</v>
      </c>
      <c r="J1181" s="192">
        <f>VLOOKUP($B1181,'RBSA Weights'!$A$2:$C$1406,3,FALSE)</f>
        <v>3785.7640000000001</v>
      </c>
    </row>
    <row r="1182" spans="1:10">
      <c r="A1182" s="192">
        <v>166044</v>
      </c>
      <c r="B1182" s="192">
        <v>23403</v>
      </c>
      <c r="C1182" s="192" t="s">
        <v>815</v>
      </c>
      <c r="D1182" s="192">
        <v>205</v>
      </c>
      <c r="E1182" s="192" t="s">
        <v>816</v>
      </c>
      <c r="F1182" s="192" t="s">
        <v>817</v>
      </c>
      <c r="G1182" s="192">
        <v>0.44999998807907104</v>
      </c>
      <c r="H1182" s="192" t="s">
        <v>818</v>
      </c>
      <c r="I1182" s="192">
        <v>1</v>
      </c>
      <c r="J1182" s="192">
        <f>VLOOKUP($B1182,'RBSA Weights'!$A$2:$C$1406,3,FALSE)</f>
        <v>3785.7640000000001</v>
      </c>
    </row>
    <row r="1183" spans="1:10">
      <c r="A1183" s="192">
        <v>78305</v>
      </c>
      <c r="B1183" s="192">
        <v>23408</v>
      </c>
      <c r="C1183" s="192" t="s">
        <v>815</v>
      </c>
      <c r="D1183" s="192">
        <v>204</v>
      </c>
      <c r="E1183" s="192" t="s">
        <v>816</v>
      </c>
      <c r="F1183" s="192" t="s">
        <v>817</v>
      </c>
      <c r="G1183" s="192">
        <v>0.55000001192092896</v>
      </c>
      <c r="H1183" s="192" t="s">
        <v>818</v>
      </c>
      <c r="I1183" s="192">
        <v>1</v>
      </c>
      <c r="J1183" s="192">
        <f>VLOOKUP($B1183,'RBSA Weights'!$A$2:$C$1406,3,FALSE)</f>
        <v>3785.7640000000001</v>
      </c>
    </row>
    <row r="1184" spans="1:10">
      <c r="A1184" s="192">
        <v>231749</v>
      </c>
      <c r="B1184" s="192">
        <v>23414</v>
      </c>
      <c r="C1184" s="192" t="s">
        <v>815</v>
      </c>
      <c r="D1184" s="192">
        <v>237</v>
      </c>
      <c r="E1184" s="192" t="s">
        <v>816</v>
      </c>
      <c r="F1184" s="192" t="s">
        <v>817</v>
      </c>
      <c r="G1184" s="192">
        <v>0.55000001192092896</v>
      </c>
      <c r="H1184" s="192" t="s">
        <v>818</v>
      </c>
      <c r="I1184" s="192">
        <v>1</v>
      </c>
      <c r="J1184" s="192">
        <f>VLOOKUP($B1184,'RBSA Weights'!$A$2:$C$1406,3,FALSE)</f>
        <v>2079.9929999999999</v>
      </c>
    </row>
    <row r="1185" spans="1:10">
      <c r="A1185" s="192">
        <v>106711</v>
      </c>
      <c r="B1185" s="192">
        <v>23424</v>
      </c>
      <c r="C1185" s="192" t="s">
        <v>815</v>
      </c>
      <c r="D1185" s="192">
        <v>147</v>
      </c>
      <c r="E1185" s="192" t="s">
        <v>819</v>
      </c>
      <c r="F1185" s="192" t="s">
        <v>820</v>
      </c>
      <c r="G1185" s="192">
        <v>0.75</v>
      </c>
      <c r="H1185" s="192" t="s">
        <v>820</v>
      </c>
      <c r="I1185" s="192">
        <v>1</v>
      </c>
      <c r="J1185" s="192">
        <f>VLOOKUP($B1185,'RBSA Weights'!$A$2:$C$1406,3,FALSE)</f>
        <v>3785.7640000000001</v>
      </c>
    </row>
    <row r="1186" spans="1:10">
      <c r="A1186" s="192">
        <v>202725</v>
      </c>
      <c r="B1186" s="192">
        <v>23427</v>
      </c>
      <c r="C1186" s="192" t="s">
        <v>815</v>
      </c>
      <c r="D1186" s="192">
        <v>274</v>
      </c>
      <c r="E1186" s="192" t="s">
        <v>816</v>
      </c>
      <c r="F1186" s="192" t="s">
        <v>818</v>
      </c>
      <c r="G1186" s="192">
        <v>0.60000002384185791</v>
      </c>
      <c r="H1186" s="192" t="s">
        <v>818</v>
      </c>
      <c r="I1186" s="192">
        <v>1</v>
      </c>
      <c r="J1186" s="192">
        <f>VLOOKUP($B1186,'RBSA Weights'!$A$2:$C$1406,3,FALSE)</f>
        <v>2130.886</v>
      </c>
    </row>
    <row r="1187" spans="1:10">
      <c r="A1187" s="192">
        <v>97702</v>
      </c>
      <c r="B1187" s="192">
        <v>23428</v>
      </c>
      <c r="C1187" s="192" t="s">
        <v>815</v>
      </c>
      <c r="D1187" s="192">
        <v>282</v>
      </c>
      <c r="E1187" s="192" t="s">
        <v>816</v>
      </c>
      <c r="F1187" s="192" t="s">
        <v>817</v>
      </c>
      <c r="G1187" s="192">
        <v>0.55000001192092896</v>
      </c>
      <c r="H1187" s="192" t="s">
        <v>818</v>
      </c>
      <c r="I1187" s="192">
        <v>1</v>
      </c>
      <c r="J1187" s="192">
        <f>VLOOKUP($B1187,'RBSA Weights'!$A$2:$C$1406,3,FALSE)</f>
        <v>12271.31</v>
      </c>
    </row>
    <row r="1188" spans="1:10">
      <c r="A1188" s="192">
        <v>122842</v>
      </c>
      <c r="B1188" s="192">
        <v>23439</v>
      </c>
      <c r="C1188" s="192" t="s">
        <v>815</v>
      </c>
      <c r="D1188" s="192">
        <v>172</v>
      </c>
      <c r="E1188" s="192" t="s">
        <v>816</v>
      </c>
      <c r="F1188" s="192" t="s">
        <v>820</v>
      </c>
      <c r="G1188" s="192">
        <v>0.85000002384185791</v>
      </c>
      <c r="H1188" s="192" t="s">
        <v>820</v>
      </c>
      <c r="I1188" s="192">
        <v>1</v>
      </c>
      <c r="J1188" s="192">
        <f>VLOOKUP($B1188,'RBSA Weights'!$A$2:$C$1406,3,FALSE)</f>
        <v>1925.059</v>
      </c>
    </row>
    <row r="1189" spans="1:10">
      <c r="A1189" s="192">
        <v>205517</v>
      </c>
      <c r="B1189" s="192">
        <v>23440</v>
      </c>
      <c r="C1189" s="192" t="s">
        <v>815</v>
      </c>
      <c r="D1189" s="192">
        <v>308</v>
      </c>
      <c r="E1189" s="192" t="s">
        <v>816</v>
      </c>
      <c r="F1189" s="192" t="s">
        <v>817</v>
      </c>
      <c r="G1189" s="192">
        <v>0.44999998807907104</v>
      </c>
      <c r="H1189" s="192" t="s">
        <v>818</v>
      </c>
      <c r="I1189" s="192">
        <v>1</v>
      </c>
      <c r="J1189" s="192">
        <f>VLOOKUP($B1189,'RBSA Weights'!$A$2:$C$1406,3,FALSE)</f>
        <v>1904.288</v>
      </c>
    </row>
    <row r="1190" spans="1:10">
      <c r="A1190" s="192">
        <v>216353</v>
      </c>
      <c r="B1190" s="192">
        <v>23444</v>
      </c>
      <c r="C1190" s="192" t="s">
        <v>815</v>
      </c>
      <c r="D1190" s="192">
        <v>216</v>
      </c>
      <c r="E1190" s="192" t="s">
        <v>816</v>
      </c>
      <c r="F1190" s="192" t="s">
        <v>817</v>
      </c>
      <c r="G1190" s="192">
        <v>0.55000001192092896</v>
      </c>
      <c r="H1190" s="192" t="s">
        <v>818</v>
      </c>
      <c r="I1190" s="192">
        <v>1</v>
      </c>
      <c r="J1190" s="192">
        <f>VLOOKUP($B1190,'RBSA Weights'!$A$2:$C$1406,3,FALSE)</f>
        <v>2079.9929999999999</v>
      </c>
    </row>
    <row r="1191" spans="1:10">
      <c r="A1191" s="192">
        <v>231854</v>
      </c>
      <c r="B1191" s="192">
        <v>23446</v>
      </c>
      <c r="C1191" s="192" t="s">
        <v>815</v>
      </c>
      <c r="D1191" s="192">
        <v>172</v>
      </c>
      <c r="E1191" s="192" t="s">
        <v>819</v>
      </c>
      <c r="F1191" s="192" t="s">
        <v>821</v>
      </c>
      <c r="G1191" s="192">
        <v>0.75</v>
      </c>
      <c r="H1191" s="192" t="s">
        <v>821</v>
      </c>
      <c r="I1191" s="192">
        <v>1</v>
      </c>
      <c r="J1191" s="192">
        <f>VLOOKUP($B1191,'RBSA Weights'!$A$2:$C$1406,3,FALSE)</f>
        <v>2079.9929999999999</v>
      </c>
    </row>
    <row r="1192" spans="1:10">
      <c r="A1192" s="192">
        <v>141640</v>
      </c>
      <c r="B1192" s="192">
        <v>23449</v>
      </c>
      <c r="C1192" s="192" t="s">
        <v>815</v>
      </c>
      <c r="D1192" s="192">
        <v>136</v>
      </c>
      <c r="E1192" s="192" t="s">
        <v>816</v>
      </c>
      <c r="F1192" s="192" t="s">
        <v>817</v>
      </c>
      <c r="G1192" s="192">
        <v>0.55000001192092896</v>
      </c>
      <c r="H1192" s="192" t="s">
        <v>818</v>
      </c>
      <c r="I1192" s="192">
        <v>1</v>
      </c>
      <c r="J1192" s="192">
        <f>VLOOKUP($B1192,'RBSA Weights'!$A$2:$C$1406,3,FALSE)</f>
        <v>8264.9449999999997</v>
      </c>
    </row>
    <row r="1193" spans="1:10">
      <c r="A1193" s="192">
        <v>180545</v>
      </c>
      <c r="B1193" s="192">
        <v>23465</v>
      </c>
      <c r="C1193" s="192" t="s">
        <v>815</v>
      </c>
      <c r="D1193" s="192">
        <v>209</v>
      </c>
      <c r="E1193" s="192" t="s">
        <v>816</v>
      </c>
      <c r="F1193" s="192" t="s">
        <v>817</v>
      </c>
      <c r="G1193" s="192">
        <v>0.44999998807907104</v>
      </c>
      <c r="H1193" s="192" t="s">
        <v>818</v>
      </c>
      <c r="I1193" s="192">
        <v>1</v>
      </c>
      <c r="J1193" s="192">
        <f>VLOOKUP($B1193,'RBSA Weights'!$A$2:$C$1406,3,FALSE)</f>
        <v>1925.059</v>
      </c>
    </row>
    <row r="1194" spans="1:10">
      <c r="A1194" s="192">
        <v>154061</v>
      </c>
      <c r="B1194" s="192">
        <v>23480</v>
      </c>
      <c r="C1194" s="192" t="s">
        <v>815</v>
      </c>
      <c r="D1194" s="192">
        <v>160</v>
      </c>
      <c r="E1194" s="192" t="s">
        <v>816</v>
      </c>
      <c r="F1194" s="192" t="s">
        <v>817</v>
      </c>
      <c r="G1194" s="192">
        <v>0.44999998807907104</v>
      </c>
      <c r="H1194" s="192" t="s">
        <v>818</v>
      </c>
      <c r="I1194" s="192">
        <v>1</v>
      </c>
      <c r="J1194" s="192">
        <f>VLOOKUP($B1194,'RBSA Weights'!$A$2:$C$1406,3,FALSE)</f>
        <v>1612.692</v>
      </c>
    </row>
    <row r="1195" spans="1:10">
      <c r="A1195" s="192">
        <v>52764</v>
      </c>
      <c r="B1195" s="192">
        <v>23482</v>
      </c>
      <c r="C1195" s="192" t="s">
        <v>815</v>
      </c>
      <c r="D1195" s="192">
        <v>266</v>
      </c>
      <c r="E1195" s="192" t="s">
        <v>816</v>
      </c>
      <c r="F1195" s="192" t="s">
        <v>820</v>
      </c>
      <c r="G1195" s="192">
        <v>0.80000001192092896</v>
      </c>
      <c r="H1195" s="192" t="s">
        <v>820</v>
      </c>
      <c r="I1195" s="192">
        <v>1</v>
      </c>
      <c r="J1195" s="192">
        <f>VLOOKUP($B1195,'RBSA Weights'!$A$2:$C$1406,3,FALSE)</f>
        <v>2079.9929999999999</v>
      </c>
    </row>
    <row r="1196" spans="1:10">
      <c r="A1196" s="192">
        <v>175460</v>
      </c>
      <c r="B1196" s="192">
        <v>23486</v>
      </c>
      <c r="C1196" s="192" t="s">
        <v>815</v>
      </c>
      <c r="D1196" s="192">
        <v>150</v>
      </c>
      <c r="E1196" s="192" t="s">
        <v>816</v>
      </c>
      <c r="F1196" s="192" t="s">
        <v>817</v>
      </c>
      <c r="G1196" s="192">
        <v>0.44999998807907104</v>
      </c>
      <c r="H1196" s="192" t="s">
        <v>818</v>
      </c>
      <c r="I1196" s="192">
        <v>1</v>
      </c>
      <c r="J1196" s="192">
        <f>VLOOKUP($B1196,'RBSA Weights'!$A$2:$C$1406,3,FALSE)</f>
        <v>1612.692</v>
      </c>
    </row>
    <row r="1197" spans="1:10">
      <c r="A1197" s="192">
        <v>183336</v>
      </c>
      <c r="B1197" s="192">
        <v>23489</v>
      </c>
      <c r="C1197" s="192" t="s">
        <v>815</v>
      </c>
      <c r="D1197" s="192">
        <v>266</v>
      </c>
      <c r="E1197" s="192" t="s">
        <v>816</v>
      </c>
      <c r="F1197" s="192" t="s">
        <v>822</v>
      </c>
      <c r="G1197" s="192">
        <v>0.75</v>
      </c>
      <c r="H1197" s="192" t="s">
        <v>820</v>
      </c>
      <c r="I1197" s="192">
        <v>1</v>
      </c>
      <c r="J1197" s="192">
        <f>VLOOKUP($B1197,'RBSA Weights'!$A$2:$C$1406,3,FALSE)</f>
        <v>3785.7640000000001</v>
      </c>
    </row>
    <row r="1198" spans="1:10">
      <c r="A1198" s="192">
        <v>55136</v>
      </c>
      <c r="B1198" s="192">
        <v>23501</v>
      </c>
      <c r="C1198" s="192" t="s">
        <v>815</v>
      </c>
      <c r="D1198" s="192">
        <v>217</v>
      </c>
      <c r="E1198" s="192" t="s">
        <v>816</v>
      </c>
      <c r="F1198" s="192" t="s">
        <v>817</v>
      </c>
      <c r="G1198" s="192">
        <v>0.44999998807907104</v>
      </c>
      <c r="H1198" s="192" t="s">
        <v>818</v>
      </c>
      <c r="I1198" s="192">
        <v>1</v>
      </c>
      <c r="J1198" s="192">
        <f>VLOOKUP($B1198,'RBSA Weights'!$A$2:$C$1406,3,FALSE)</f>
        <v>2079.9929999999999</v>
      </c>
    </row>
    <row r="1199" spans="1:10">
      <c r="A1199" s="192">
        <v>95719</v>
      </c>
      <c r="B1199" s="192">
        <v>23502</v>
      </c>
      <c r="C1199" s="192" t="s">
        <v>815</v>
      </c>
      <c r="D1199" s="192">
        <v>114</v>
      </c>
      <c r="E1199" s="192" t="s">
        <v>816</v>
      </c>
      <c r="F1199" s="192" t="s">
        <v>817</v>
      </c>
      <c r="G1199" s="192">
        <v>0.55000001192092896</v>
      </c>
      <c r="H1199" s="192" t="s">
        <v>818</v>
      </c>
      <c r="I1199" s="192">
        <v>1</v>
      </c>
      <c r="J1199" s="192">
        <f>VLOOKUP($B1199,'RBSA Weights'!$A$2:$C$1406,3,FALSE)</f>
        <v>1144.6790000000001</v>
      </c>
    </row>
    <row r="1200" spans="1:10">
      <c r="A1200" s="192">
        <v>140764</v>
      </c>
      <c r="B1200" s="192">
        <v>23504</v>
      </c>
      <c r="C1200" s="192" t="s">
        <v>815</v>
      </c>
      <c r="D1200" s="192">
        <v>172</v>
      </c>
      <c r="E1200" s="192" t="s">
        <v>816</v>
      </c>
      <c r="F1200" s="192" t="s">
        <v>817</v>
      </c>
      <c r="G1200" s="192">
        <v>0.44999998807907104</v>
      </c>
      <c r="H1200" s="192" t="s">
        <v>818</v>
      </c>
      <c r="I1200" s="192">
        <v>1</v>
      </c>
      <c r="J1200" s="192">
        <f>VLOOKUP($B1200,'RBSA Weights'!$A$2:$C$1406,3,FALSE)</f>
        <v>1612.692</v>
      </c>
    </row>
    <row r="1201" spans="1:10">
      <c r="A1201" s="192">
        <v>209957</v>
      </c>
      <c r="B1201" s="192">
        <v>23511</v>
      </c>
      <c r="C1201" s="192" t="s">
        <v>815</v>
      </c>
      <c r="D1201" s="192">
        <v>154</v>
      </c>
      <c r="E1201" s="192" t="s">
        <v>816</v>
      </c>
      <c r="F1201" s="192" t="s">
        <v>817</v>
      </c>
      <c r="G1201" s="192">
        <v>0.44999998807907104</v>
      </c>
      <c r="H1201" s="192" t="s">
        <v>818</v>
      </c>
      <c r="I1201" s="192">
        <v>1</v>
      </c>
      <c r="J1201" s="192">
        <f>VLOOKUP($B1201,'RBSA Weights'!$A$2:$C$1406,3,FALSE)</f>
        <v>3785.7640000000001</v>
      </c>
    </row>
    <row r="1202" spans="1:10">
      <c r="A1202" s="192">
        <v>187328</v>
      </c>
      <c r="B1202" s="192">
        <v>23526</v>
      </c>
      <c r="C1202" s="192" t="s">
        <v>815</v>
      </c>
      <c r="D1202" s="192">
        <v>296</v>
      </c>
      <c r="E1202" s="192" t="s">
        <v>819</v>
      </c>
      <c r="F1202" s="192" t="s">
        <v>821</v>
      </c>
      <c r="G1202" s="192">
        <v>0.75</v>
      </c>
      <c r="H1202" s="192" t="s">
        <v>821</v>
      </c>
      <c r="I1202" s="192">
        <v>1</v>
      </c>
      <c r="J1202" s="192">
        <f>VLOOKUP($B1202,'RBSA Weights'!$A$2:$C$1406,3,FALSE)</f>
        <v>1925.059</v>
      </c>
    </row>
    <row r="1203" spans="1:10">
      <c r="A1203" s="192">
        <v>168735</v>
      </c>
      <c r="B1203" s="192">
        <v>23538</v>
      </c>
      <c r="C1203" s="192" t="s">
        <v>815</v>
      </c>
      <c r="D1203" s="192">
        <v>334</v>
      </c>
      <c r="E1203" s="192" t="s">
        <v>816</v>
      </c>
      <c r="F1203" s="192" t="s">
        <v>817</v>
      </c>
      <c r="G1203" s="192">
        <v>0.44999998807907104</v>
      </c>
      <c r="H1203" s="192" t="s">
        <v>818</v>
      </c>
      <c r="I1203" s="192">
        <v>1</v>
      </c>
      <c r="J1203" s="192">
        <f>VLOOKUP($B1203,'RBSA Weights'!$A$2:$C$1406,3,FALSE)</f>
        <v>4360.1880000000001</v>
      </c>
    </row>
    <row r="1204" spans="1:10">
      <c r="A1204" s="192">
        <v>121839</v>
      </c>
      <c r="B1204" s="192">
        <v>23539</v>
      </c>
      <c r="C1204" s="192" t="s">
        <v>815</v>
      </c>
      <c r="D1204" s="192">
        <v>156</v>
      </c>
      <c r="E1204" s="192" t="s">
        <v>819</v>
      </c>
      <c r="F1204" s="192" t="s">
        <v>821</v>
      </c>
      <c r="G1204" s="192">
        <v>0.75</v>
      </c>
      <c r="H1204" s="192" t="s">
        <v>821</v>
      </c>
      <c r="I1204" s="192">
        <v>1</v>
      </c>
      <c r="J1204" s="192">
        <f>VLOOKUP($B1204,'RBSA Weights'!$A$2:$C$1406,3,FALSE)</f>
        <v>2079.9929999999999</v>
      </c>
    </row>
    <row r="1205" spans="1:10">
      <c r="A1205" s="192">
        <v>171366</v>
      </c>
      <c r="B1205" s="192">
        <v>23544</v>
      </c>
      <c r="C1205" s="192" t="s">
        <v>815</v>
      </c>
      <c r="D1205" s="192">
        <v>106</v>
      </c>
      <c r="E1205" s="192" t="s">
        <v>816</v>
      </c>
      <c r="F1205" s="192" t="s">
        <v>817</v>
      </c>
      <c r="G1205" s="192">
        <v>0.55000001192092896</v>
      </c>
      <c r="H1205" s="192" t="s">
        <v>818</v>
      </c>
      <c r="I1205" s="192">
        <v>1</v>
      </c>
      <c r="J1205" s="192">
        <f>VLOOKUP($B1205,'RBSA Weights'!$A$2:$C$1406,3,FALSE)</f>
        <v>1192.4649999999999</v>
      </c>
    </row>
    <row r="1206" spans="1:10">
      <c r="A1206" s="192">
        <v>130394</v>
      </c>
      <c r="B1206" s="192">
        <v>23545</v>
      </c>
      <c r="C1206" s="192" t="s">
        <v>815</v>
      </c>
      <c r="D1206" s="192">
        <v>205</v>
      </c>
      <c r="E1206" s="192" t="s">
        <v>816</v>
      </c>
      <c r="F1206" s="192" t="s">
        <v>817</v>
      </c>
      <c r="G1206" s="192">
        <v>0.44999998807907104</v>
      </c>
      <c r="H1206" s="192" t="s">
        <v>818</v>
      </c>
      <c r="I1206" s="192">
        <v>1</v>
      </c>
      <c r="J1206" s="192">
        <f>VLOOKUP($B1206,'RBSA Weights'!$A$2:$C$1406,3,FALSE)</f>
        <v>1612.692</v>
      </c>
    </row>
    <row r="1207" spans="1:10">
      <c r="A1207" s="192">
        <v>73678</v>
      </c>
      <c r="B1207" s="192">
        <v>23546</v>
      </c>
      <c r="C1207" s="192" t="s">
        <v>815</v>
      </c>
      <c r="D1207" s="192">
        <v>115</v>
      </c>
      <c r="E1207" s="192" t="s">
        <v>816</v>
      </c>
      <c r="F1207" s="192" t="s">
        <v>817</v>
      </c>
      <c r="G1207" s="192">
        <v>0.44999998807907104</v>
      </c>
      <c r="H1207" s="192" t="s">
        <v>818</v>
      </c>
      <c r="I1207" s="192">
        <v>1</v>
      </c>
      <c r="J1207" s="192">
        <f>VLOOKUP($B1207,'RBSA Weights'!$A$2:$C$1406,3,FALSE)</f>
        <v>2079.9929999999999</v>
      </c>
    </row>
    <row r="1208" spans="1:10">
      <c r="A1208" s="192">
        <v>163848</v>
      </c>
      <c r="B1208" s="192">
        <v>23547</v>
      </c>
      <c r="C1208" s="192" t="s">
        <v>815</v>
      </c>
      <c r="D1208" s="192">
        <v>198</v>
      </c>
      <c r="E1208" s="192" t="s">
        <v>816</v>
      </c>
      <c r="F1208" s="192" t="s">
        <v>817</v>
      </c>
      <c r="G1208" s="192">
        <v>0.55000001192092896</v>
      </c>
      <c r="H1208" s="192" t="s">
        <v>818</v>
      </c>
      <c r="I1208" s="192">
        <v>1</v>
      </c>
      <c r="J1208" s="192">
        <f>VLOOKUP($B1208,'RBSA Weights'!$A$2:$C$1406,3,FALSE)</f>
        <v>2130.886</v>
      </c>
    </row>
    <row r="1209" spans="1:10">
      <c r="A1209" s="192">
        <v>126323</v>
      </c>
      <c r="B1209" s="192">
        <v>23554</v>
      </c>
      <c r="C1209" s="192" t="s">
        <v>815</v>
      </c>
      <c r="D1209" s="192">
        <v>258</v>
      </c>
      <c r="E1209" s="192" t="s">
        <v>816</v>
      </c>
      <c r="F1209" s="192" t="s">
        <v>817</v>
      </c>
      <c r="G1209" s="192">
        <v>0.44999998807907104</v>
      </c>
      <c r="H1209" s="192" t="s">
        <v>818</v>
      </c>
      <c r="I1209" s="192">
        <v>1</v>
      </c>
      <c r="J1209" s="192">
        <f>VLOOKUP($B1209,'RBSA Weights'!$A$2:$C$1406,3,FALSE)</f>
        <v>1192.4649999999999</v>
      </c>
    </row>
    <row r="1210" spans="1:10">
      <c r="A1210" s="192">
        <v>148669</v>
      </c>
      <c r="B1210" s="192">
        <v>23556</v>
      </c>
      <c r="C1210" s="192" t="s">
        <v>815</v>
      </c>
      <c r="D1210" s="192">
        <v>163</v>
      </c>
      <c r="E1210" s="192" t="s">
        <v>816</v>
      </c>
      <c r="F1210" s="192" t="s">
        <v>817</v>
      </c>
      <c r="G1210" s="192">
        <v>0.55000001192092896</v>
      </c>
      <c r="H1210" s="192" t="s">
        <v>818</v>
      </c>
      <c r="I1210" s="192">
        <v>1</v>
      </c>
      <c r="J1210" s="192">
        <f>VLOOKUP($B1210,'RBSA Weights'!$A$2:$C$1406,3,FALSE)</f>
        <v>8264.9449999999997</v>
      </c>
    </row>
    <row r="1211" spans="1:10">
      <c r="A1211" s="192">
        <v>46814</v>
      </c>
      <c r="B1211" s="192">
        <v>23559</v>
      </c>
      <c r="C1211" s="192" t="s">
        <v>815</v>
      </c>
      <c r="D1211" s="192">
        <v>174</v>
      </c>
      <c r="E1211" s="192" t="s">
        <v>816</v>
      </c>
      <c r="F1211" s="192" t="s">
        <v>817</v>
      </c>
      <c r="G1211" s="192">
        <v>0.55000001192092896</v>
      </c>
      <c r="H1211" s="192" t="s">
        <v>818</v>
      </c>
      <c r="I1211" s="192">
        <v>1</v>
      </c>
      <c r="J1211" s="192">
        <f>VLOOKUP($B1211,'RBSA Weights'!$A$2:$C$1406,3,FALSE)</f>
        <v>8264.9449999999997</v>
      </c>
    </row>
    <row r="1212" spans="1:10">
      <c r="A1212" s="192">
        <v>43290</v>
      </c>
      <c r="B1212" s="192">
        <v>23564</v>
      </c>
      <c r="C1212" s="192" t="s">
        <v>815</v>
      </c>
      <c r="D1212" s="192">
        <v>52</v>
      </c>
      <c r="E1212" s="192" t="s">
        <v>816</v>
      </c>
      <c r="F1212" s="192" t="s">
        <v>821</v>
      </c>
      <c r="G1212" s="192">
        <v>0.94999998807907104</v>
      </c>
      <c r="H1212" s="192" t="s">
        <v>821</v>
      </c>
      <c r="I1212" s="192">
        <v>1</v>
      </c>
      <c r="J1212" s="192">
        <f>VLOOKUP($B1212,'RBSA Weights'!$A$2:$C$1406,3,FALSE)</f>
        <v>2130.886</v>
      </c>
    </row>
    <row r="1213" spans="1:10">
      <c r="A1213" s="192">
        <v>94519</v>
      </c>
      <c r="B1213" s="192">
        <v>23566</v>
      </c>
      <c r="C1213" s="192" t="s">
        <v>815</v>
      </c>
      <c r="D1213" s="192">
        <v>306</v>
      </c>
      <c r="E1213" s="192" t="s">
        <v>816</v>
      </c>
      <c r="F1213" s="192" t="s">
        <v>817</v>
      </c>
      <c r="G1213" s="192">
        <v>0.44999998807907104</v>
      </c>
      <c r="H1213" s="192" t="s">
        <v>818</v>
      </c>
      <c r="I1213" s="192">
        <v>1</v>
      </c>
      <c r="J1213" s="192">
        <f>VLOOKUP($B1213,'RBSA Weights'!$A$2:$C$1406,3,FALSE)</f>
        <v>1144.6790000000001</v>
      </c>
    </row>
    <row r="1214" spans="1:10">
      <c r="A1214" s="192">
        <v>134318</v>
      </c>
      <c r="B1214" s="192">
        <v>23581</v>
      </c>
      <c r="C1214" s="192" t="s">
        <v>815</v>
      </c>
      <c r="D1214" s="192">
        <v>286</v>
      </c>
      <c r="E1214" s="192" t="s">
        <v>816</v>
      </c>
      <c r="F1214" s="192" t="s">
        <v>823</v>
      </c>
      <c r="G1214" s="192">
        <v>1.1000000238418579</v>
      </c>
      <c r="H1214" s="192" t="s">
        <v>823</v>
      </c>
      <c r="I1214" s="192">
        <v>1</v>
      </c>
      <c r="J1214" s="192">
        <f>VLOOKUP($B1214,'RBSA Weights'!$A$2:$C$1406,3,FALSE)</f>
        <v>1612.692</v>
      </c>
    </row>
    <row r="1215" spans="1:10">
      <c r="A1215" s="192">
        <v>163346</v>
      </c>
      <c r="B1215" s="192">
        <v>23602</v>
      </c>
      <c r="C1215" s="192" t="s">
        <v>815</v>
      </c>
      <c r="D1215" s="192">
        <v>210</v>
      </c>
      <c r="E1215" s="192" t="s">
        <v>816</v>
      </c>
      <c r="F1215" s="192" t="s">
        <v>817</v>
      </c>
      <c r="G1215" s="192">
        <v>0.44999998807907104</v>
      </c>
      <c r="H1215" s="192" t="s">
        <v>818</v>
      </c>
      <c r="I1215" s="192">
        <v>1</v>
      </c>
      <c r="J1215" s="192">
        <f>VLOOKUP($B1215,'RBSA Weights'!$A$2:$C$1406,3,FALSE)</f>
        <v>1192.4649999999999</v>
      </c>
    </row>
    <row r="1216" spans="1:10">
      <c r="A1216" s="192">
        <v>107502</v>
      </c>
      <c r="B1216" s="192">
        <v>23607</v>
      </c>
      <c r="C1216" s="192" t="s">
        <v>815</v>
      </c>
      <c r="D1216" s="192">
        <v>417</v>
      </c>
      <c r="E1216" s="192" t="s">
        <v>816</v>
      </c>
      <c r="F1216" s="192" t="s">
        <v>817</v>
      </c>
      <c r="G1216" s="192">
        <v>0.55000001192092896</v>
      </c>
      <c r="H1216" s="192" t="s">
        <v>818</v>
      </c>
      <c r="I1216" s="192">
        <v>1</v>
      </c>
      <c r="J1216" s="192">
        <f>VLOOKUP($B1216,'RBSA Weights'!$A$2:$C$1406,3,FALSE)</f>
        <v>2079.9929999999999</v>
      </c>
    </row>
    <row r="1217" spans="1:10">
      <c r="A1217" s="192">
        <v>100004</v>
      </c>
      <c r="B1217" s="192">
        <v>23611</v>
      </c>
      <c r="C1217" s="192" t="s">
        <v>815</v>
      </c>
      <c r="D1217" s="192">
        <v>216</v>
      </c>
      <c r="E1217" s="192" t="s">
        <v>816</v>
      </c>
      <c r="F1217" s="192" t="s">
        <v>818</v>
      </c>
      <c r="G1217" s="192">
        <v>0.55000001192092896</v>
      </c>
      <c r="H1217" s="192" t="s">
        <v>818</v>
      </c>
      <c r="I1217" s="192">
        <v>1</v>
      </c>
      <c r="J1217" s="192">
        <f>VLOOKUP($B1217,'RBSA Weights'!$A$2:$C$1406,3,FALSE)</f>
        <v>1144.6790000000001</v>
      </c>
    </row>
    <row r="1218" spans="1:10">
      <c r="A1218" s="192">
        <v>234471</v>
      </c>
      <c r="B1218" s="192">
        <v>23618</v>
      </c>
      <c r="C1218" s="192" t="s">
        <v>815</v>
      </c>
      <c r="D1218" s="192">
        <v>140</v>
      </c>
      <c r="E1218" s="192" t="s">
        <v>816</v>
      </c>
      <c r="F1218" s="192" t="s">
        <v>817</v>
      </c>
      <c r="G1218" s="192">
        <v>0.55000001192092896</v>
      </c>
      <c r="H1218" s="192" t="s">
        <v>818</v>
      </c>
      <c r="I1218" s="192">
        <v>1</v>
      </c>
      <c r="J1218" s="192">
        <f>VLOOKUP($B1218,'RBSA Weights'!$A$2:$C$1406,3,FALSE)</f>
        <v>3785.7640000000001</v>
      </c>
    </row>
    <row r="1219" spans="1:10">
      <c r="A1219" s="192">
        <v>229217</v>
      </c>
      <c r="B1219" s="192">
        <v>23619</v>
      </c>
      <c r="C1219" s="192" t="s">
        <v>815</v>
      </c>
      <c r="D1219" s="192">
        <v>287</v>
      </c>
      <c r="E1219" s="192" t="s">
        <v>816</v>
      </c>
      <c r="F1219" s="192" t="s">
        <v>817</v>
      </c>
      <c r="G1219" s="192">
        <v>0.44999998807907104</v>
      </c>
      <c r="H1219" s="192" t="s">
        <v>818</v>
      </c>
      <c r="I1219" s="192">
        <v>1</v>
      </c>
      <c r="J1219" s="192">
        <f>VLOOKUP($B1219,'RBSA Weights'!$A$2:$C$1406,3,FALSE)</f>
        <v>2079.9929999999999</v>
      </c>
    </row>
    <row r="1220" spans="1:10">
      <c r="A1220" s="192">
        <v>137950</v>
      </c>
      <c r="B1220" s="192">
        <v>23621</v>
      </c>
      <c r="C1220" s="192" t="s">
        <v>815</v>
      </c>
      <c r="D1220" s="192">
        <v>155</v>
      </c>
      <c r="E1220" s="192" t="s">
        <v>816</v>
      </c>
      <c r="F1220" s="192" t="s">
        <v>817</v>
      </c>
      <c r="G1220" s="192">
        <v>0.44999998807907104</v>
      </c>
      <c r="H1220" s="192" t="s">
        <v>818</v>
      </c>
      <c r="I1220" s="192">
        <v>1</v>
      </c>
      <c r="J1220" s="192">
        <f>VLOOKUP($B1220,'RBSA Weights'!$A$2:$C$1406,3,FALSE)</f>
        <v>2130.886</v>
      </c>
    </row>
    <row r="1221" spans="1:10">
      <c r="A1221" s="192">
        <v>240851</v>
      </c>
      <c r="B1221" s="192">
        <v>23624</v>
      </c>
      <c r="C1221" s="192" t="s">
        <v>815</v>
      </c>
      <c r="D1221" s="192">
        <v>153</v>
      </c>
      <c r="E1221" s="192" t="s">
        <v>816</v>
      </c>
      <c r="F1221" s="192" t="s">
        <v>817</v>
      </c>
      <c r="G1221" s="192">
        <v>0.55000001192092896</v>
      </c>
      <c r="H1221" s="192" t="s">
        <v>818</v>
      </c>
      <c r="I1221" s="192">
        <v>1</v>
      </c>
      <c r="J1221" s="192">
        <f>VLOOKUP($B1221,'RBSA Weights'!$A$2:$C$1406,3,FALSE)</f>
        <v>3785.7640000000001</v>
      </c>
    </row>
    <row r="1222" spans="1:10">
      <c r="A1222" s="192">
        <v>188782</v>
      </c>
      <c r="B1222" s="192">
        <v>23627</v>
      </c>
      <c r="C1222" s="192" t="s">
        <v>815</v>
      </c>
      <c r="D1222" s="192">
        <v>317</v>
      </c>
      <c r="E1222" s="192" t="s">
        <v>816</v>
      </c>
      <c r="F1222" s="192" t="s">
        <v>817</v>
      </c>
      <c r="G1222" s="192">
        <v>0.44999998807907104</v>
      </c>
      <c r="H1222" s="192" t="s">
        <v>818</v>
      </c>
      <c r="I1222" s="192">
        <v>1</v>
      </c>
      <c r="J1222" s="192">
        <f>VLOOKUP($B1222,'RBSA Weights'!$A$2:$C$1406,3,FALSE)</f>
        <v>1192.4649999999999</v>
      </c>
    </row>
    <row r="1223" spans="1:10">
      <c r="A1223" s="192">
        <v>173481</v>
      </c>
      <c r="B1223" s="192">
        <v>23631</v>
      </c>
      <c r="C1223" s="192" t="s">
        <v>815</v>
      </c>
      <c r="D1223" s="192">
        <v>263</v>
      </c>
      <c r="E1223" s="192" t="s">
        <v>816</v>
      </c>
      <c r="F1223" s="192" t="s">
        <v>817</v>
      </c>
      <c r="G1223" s="192">
        <v>0.44999998807907104</v>
      </c>
      <c r="H1223" s="192" t="s">
        <v>818</v>
      </c>
      <c r="I1223" s="192">
        <v>1</v>
      </c>
      <c r="J1223" s="192">
        <f>VLOOKUP($B1223,'RBSA Weights'!$A$2:$C$1406,3,FALSE)</f>
        <v>1925.059</v>
      </c>
    </row>
    <row r="1224" spans="1:10">
      <c r="A1224" s="192">
        <v>220365</v>
      </c>
      <c r="B1224" s="192">
        <v>23640</v>
      </c>
      <c r="C1224" s="192" t="s">
        <v>815</v>
      </c>
      <c r="D1224" s="192">
        <v>215</v>
      </c>
      <c r="E1224" s="192" t="s">
        <v>816</v>
      </c>
      <c r="F1224" s="192" t="s">
        <v>817</v>
      </c>
      <c r="G1224" s="192">
        <v>0.44999998807907104</v>
      </c>
      <c r="H1224" s="192" t="s">
        <v>818</v>
      </c>
      <c r="I1224" s="192">
        <v>1</v>
      </c>
      <c r="J1224" s="192">
        <f>VLOOKUP($B1224,'RBSA Weights'!$A$2:$C$1406,3,FALSE)</f>
        <v>2130.886</v>
      </c>
    </row>
    <row r="1225" spans="1:10">
      <c r="A1225" s="192">
        <v>190111</v>
      </c>
      <c r="B1225" s="192">
        <v>23645</v>
      </c>
      <c r="C1225" s="192" t="s">
        <v>815</v>
      </c>
      <c r="D1225" s="192">
        <v>160</v>
      </c>
      <c r="E1225" s="192" t="s">
        <v>816</v>
      </c>
      <c r="F1225" s="192" t="s">
        <v>820</v>
      </c>
      <c r="G1225" s="192">
        <v>0.85000002384185791</v>
      </c>
      <c r="H1225" s="192" t="s">
        <v>820</v>
      </c>
      <c r="I1225" s="192">
        <v>1</v>
      </c>
      <c r="J1225" s="192">
        <f>VLOOKUP($B1225,'RBSA Weights'!$A$2:$C$1406,3,FALSE)</f>
        <v>1612.692</v>
      </c>
    </row>
    <row r="1226" spans="1:10">
      <c r="A1226" s="192">
        <v>207861</v>
      </c>
      <c r="B1226" s="192">
        <v>23666</v>
      </c>
      <c r="C1226" s="192" t="s">
        <v>815</v>
      </c>
      <c r="D1226" s="192">
        <v>297</v>
      </c>
      <c r="E1226" s="192" t="s">
        <v>816</v>
      </c>
      <c r="F1226" s="192" t="s">
        <v>817</v>
      </c>
      <c r="G1226" s="192">
        <v>0.55000001192092896</v>
      </c>
      <c r="H1226" s="192" t="s">
        <v>818</v>
      </c>
      <c r="I1226" s="192">
        <v>1</v>
      </c>
      <c r="J1226" s="192">
        <f>VLOOKUP($B1226,'RBSA Weights'!$A$2:$C$1406,3,FALSE)</f>
        <v>1904.288</v>
      </c>
    </row>
    <row r="1227" spans="1:10">
      <c r="A1227" s="192">
        <v>131678</v>
      </c>
      <c r="B1227" s="192">
        <v>23667</v>
      </c>
      <c r="C1227" s="192" t="s">
        <v>815</v>
      </c>
      <c r="D1227" s="192">
        <v>141</v>
      </c>
      <c r="E1227" s="192" t="s">
        <v>816</v>
      </c>
      <c r="F1227" s="192" t="s">
        <v>817</v>
      </c>
      <c r="G1227" s="192">
        <v>0.55000001192092896</v>
      </c>
      <c r="H1227" s="192" t="s">
        <v>818</v>
      </c>
      <c r="I1227" s="192">
        <v>1</v>
      </c>
      <c r="J1227" s="192">
        <f>VLOOKUP($B1227,'RBSA Weights'!$A$2:$C$1406,3,FALSE)</f>
        <v>8264.9449999999997</v>
      </c>
    </row>
    <row r="1228" spans="1:10">
      <c r="A1228" s="192">
        <v>89577</v>
      </c>
      <c r="B1228" s="192">
        <v>23674</v>
      </c>
      <c r="C1228" s="192" t="s">
        <v>815</v>
      </c>
      <c r="D1228" s="192">
        <v>119</v>
      </c>
      <c r="E1228" s="192" t="s">
        <v>816</v>
      </c>
      <c r="F1228" s="192" t="s">
        <v>818</v>
      </c>
      <c r="G1228" s="192">
        <v>0.55000001192092896</v>
      </c>
      <c r="H1228" s="192" t="s">
        <v>818</v>
      </c>
      <c r="I1228" s="192">
        <v>1</v>
      </c>
      <c r="J1228" s="192">
        <f>VLOOKUP($B1228,'RBSA Weights'!$A$2:$C$1406,3,FALSE)</f>
        <v>1144.6790000000001</v>
      </c>
    </row>
    <row r="1229" spans="1:10">
      <c r="A1229" s="192">
        <v>52640</v>
      </c>
      <c r="B1229" s="192">
        <v>23676</v>
      </c>
      <c r="C1229" s="192" t="s">
        <v>815</v>
      </c>
      <c r="D1229" s="192">
        <v>215</v>
      </c>
      <c r="E1229" s="192" t="s">
        <v>816</v>
      </c>
      <c r="F1229" s="192" t="s">
        <v>817</v>
      </c>
      <c r="G1229" s="192">
        <v>0.55000001192092896</v>
      </c>
      <c r="H1229" s="192" t="s">
        <v>818</v>
      </c>
      <c r="I1229" s="192">
        <v>1</v>
      </c>
      <c r="J1229" s="192">
        <f>VLOOKUP($B1229,'RBSA Weights'!$A$2:$C$1406,3,FALSE)</f>
        <v>2079.9929999999999</v>
      </c>
    </row>
    <row r="1230" spans="1:10">
      <c r="A1230" s="192">
        <v>144706</v>
      </c>
      <c r="B1230" s="192">
        <v>23696</v>
      </c>
      <c r="C1230" s="192" t="s">
        <v>815</v>
      </c>
      <c r="D1230" s="192">
        <v>247</v>
      </c>
      <c r="E1230" s="192" t="s">
        <v>816</v>
      </c>
      <c r="F1230" s="192" t="s">
        <v>817</v>
      </c>
      <c r="G1230" s="192">
        <v>0.44999998807907104</v>
      </c>
      <c r="H1230" s="192" t="s">
        <v>818</v>
      </c>
      <c r="I1230" s="192">
        <v>1</v>
      </c>
      <c r="J1230" s="192">
        <f>VLOOKUP($B1230,'RBSA Weights'!$A$2:$C$1406,3,FALSE)</f>
        <v>3785.7640000000001</v>
      </c>
    </row>
    <row r="1231" spans="1:10">
      <c r="A1231" s="192">
        <v>179870</v>
      </c>
      <c r="B1231" s="192">
        <v>23704</v>
      </c>
      <c r="C1231" s="192" t="s">
        <v>815</v>
      </c>
      <c r="D1231" s="192">
        <v>368</v>
      </c>
      <c r="E1231" s="192" t="s">
        <v>816</v>
      </c>
      <c r="F1231" s="192" t="s">
        <v>823</v>
      </c>
      <c r="G1231" s="192">
        <v>1.1000000238418579</v>
      </c>
      <c r="H1231" s="192" t="s">
        <v>823</v>
      </c>
      <c r="I1231" s="192">
        <v>1</v>
      </c>
      <c r="J1231" s="192">
        <f>VLOOKUP($B1231,'RBSA Weights'!$A$2:$C$1406,3,FALSE)</f>
        <v>1612.692</v>
      </c>
    </row>
    <row r="1232" spans="1:10">
      <c r="A1232" s="192">
        <v>154144</v>
      </c>
      <c r="B1232" s="192">
        <v>23705</v>
      </c>
      <c r="C1232" s="192" t="s">
        <v>815</v>
      </c>
      <c r="D1232" s="192">
        <v>168</v>
      </c>
      <c r="E1232" s="192" t="s">
        <v>819</v>
      </c>
      <c r="F1232" s="192" t="s">
        <v>820</v>
      </c>
      <c r="G1232" s="192">
        <v>0.75</v>
      </c>
      <c r="H1232" s="192" t="s">
        <v>820</v>
      </c>
      <c r="I1232" s="192">
        <v>1</v>
      </c>
      <c r="J1232" s="192">
        <f>VLOOKUP($B1232,'RBSA Weights'!$A$2:$C$1406,3,FALSE)</f>
        <v>1612.692</v>
      </c>
    </row>
    <row r="1233" spans="1:10">
      <c r="A1233" s="192">
        <v>238267</v>
      </c>
      <c r="B1233" s="192">
        <v>23710</v>
      </c>
      <c r="C1233" s="192" t="s">
        <v>815</v>
      </c>
      <c r="D1233" s="192">
        <v>314</v>
      </c>
      <c r="E1233" s="192" t="s">
        <v>816</v>
      </c>
      <c r="F1233" s="192" t="s">
        <v>817</v>
      </c>
      <c r="G1233" s="192">
        <v>0.55000001192092896</v>
      </c>
      <c r="H1233" s="192" t="s">
        <v>818</v>
      </c>
      <c r="I1233" s="192">
        <v>1</v>
      </c>
      <c r="J1233" s="192">
        <f>VLOOKUP($B1233,'RBSA Weights'!$A$2:$C$1406,3,FALSE)</f>
        <v>2079.9929999999999</v>
      </c>
    </row>
    <row r="1234" spans="1:10">
      <c r="A1234" s="192">
        <v>47007</v>
      </c>
      <c r="B1234" s="192">
        <v>23714</v>
      </c>
      <c r="C1234" s="192" t="s">
        <v>815</v>
      </c>
      <c r="D1234" s="192">
        <v>163</v>
      </c>
      <c r="E1234" s="192" t="s">
        <v>816</v>
      </c>
      <c r="F1234" s="192" t="s">
        <v>818</v>
      </c>
      <c r="G1234" s="192">
        <v>0.60000002384185791</v>
      </c>
      <c r="H1234" s="192" t="s">
        <v>818</v>
      </c>
      <c r="I1234" s="192">
        <v>1</v>
      </c>
      <c r="J1234" s="192">
        <f>VLOOKUP($B1234,'RBSA Weights'!$A$2:$C$1406,3,FALSE)</f>
        <v>8264.9449999999997</v>
      </c>
    </row>
    <row r="1235" spans="1:10">
      <c r="A1235" s="192">
        <v>208288</v>
      </c>
      <c r="B1235" s="192">
        <v>23720</v>
      </c>
      <c r="C1235" s="192" t="s">
        <v>815</v>
      </c>
      <c r="D1235" s="192">
        <v>433</v>
      </c>
      <c r="E1235" s="192" t="s">
        <v>816</v>
      </c>
      <c r="F1235" s="192" t="s">
        <v>820</v>
      </c>
      <c r="G1235" s="192">
        <v>0.85000002384185791</v>
      </c>
      <c r="H1235" s="192" t="s">
        <v>820</v>
      </c>
      <c r="I1235" s="192">
        <v>1</v>
      </c>
      <c r="J1235" s="192">
        <f>VLOOKUP($B1235,'RBSA Weights'!$A$2:$C$1406,3,FALSE)</f>
        <v>1904.288</v>
      </c>
    </row>
    <row r="1236" spans="1:10">
      <c r="A1236" s="192">
        <v>68641</v>
      </c>
      <c r="B1236" s="192">
        <v>23721</v>
      </c>
      <c r="C1236" s="192" t="s">
        <v>815</v>
      </c>
      <c r="D1236" s="192">
        <v>95</v>
      </c>
      <c r="E1236" s="192" t="s">
        <v>816</v>
      </c>
      <c r="F1236" s="192" t="s">
        <v>821</v>
      </c>
      <c r="G1236" s="192">
        <v>0.94999998807907104</v>
      </c>
      <c r="H1236" s="192" t="s">
        <v>821</v>
      </c>
      <c r="I1236" s="192">
        <v>1</v>
      </c>
      <c r="J1236" s="192">
        <f>VLOOKUP($B1236,'RBSA Weights'!$A$2:$C$1406,3,FALSE)</f>
        <v>1144.6790000000001</v>
      </c>
    </row>
    <row r="1237" spans="1:10">
      <c r="A1237" s="192">
        <v>168283</v>
      </c>
      <c r="B1237" s="192">
        <v>23724</v>
      </c>
      <c r="C1237" s="192" t="s">
        <v>815</v>
      </c>
      <c r="D1237" s="192">
        <v>163</v>
      </c>
      <c r="E1237" s="192" t="s">
        <v>816</v>
      </c>
      <c r="F1237" s="192" t="s">
        <v>817</v>
      </c>
      <c r="G1237" s="192">
        <v>0.55000001192092896</v>
      </c>
      <c r="H1237" s="192" t="s">
        <v>818</v>
      </c>
      <c r="I1237" s="192">
        <v>1</v>
      </c>
      <c r="J1237" s="192">
        <f>VLOOKUP($B1237,'RBSA Weights'!$A$2:$C$1406,3,FALSE)</f>
        <v>1612.692</v>
      </c>
    </row>
    <row r="1238" spans="1:10">
      <c r="A1238" s="192">
        <v>124501</v>
      </c>
      <c r="B1238" s="192">
        <v>23734</v>
      </c>
      <c r="C1238" s="192" t="s">
        <v>815</v>
      </c>
      <c r="D1238" s="192">
        <v>116</v>
      </c>
      <c r="E1238" s="192" t="s">
        <v>816</v>
      </c>
      <c r="F1238" s="192" t="s">
        <v>820</v>
      </c>
      <c r="G1238" s="192">
        <v>0.85000002384185791</v>
      </c>
      <c r="H1238" s="192" t="s">
        <v>820</v>
      </c>
      <c r="I1238" s="192">
        <v>1</v>
      </c>
      <c r="J1238" s="192">
        <f>VLOOKUP($B1238,'RBSA Weights'!$A$2:$C$1406,3,FALSE)</f>
        <v>2079.9929999999999</v>
      </c>
    </row>
    <row r="1239" spans="1:10">
      <c r="A1239" s="192">
        <v>218540</v>
      </c>
      <c r="B1239" s="192">
        <v>23742</v>
      </c>
      <c r="C1239" s="192" t="s">
        <v>815</v>
      </c>
      <c r="D1239" s="192">
        <v>490</v>
      </c>
      <c r="E1239" s="192" t="s">
        <v>816</v>
      </c>
      <c r="F1239" s="192" t="s">
        <v>817</v>
      </c>
      <c r="G1239" s="192">
        <v>0.55000001192092896</v>
      </c>
      <c r="H1239" s="192" t="s">
        <v>818</v>
      </c>
      <c r="I1239" s="192">
        <v>1</v>
      </c>
      <c r="J1239" s="192">
        <f>VLOOKUP($B1239,'RBSA Weights'!$A$2:$C$1406,3,FALSE)</f>
        <v>3785.7640000000001</v>
      </c>
    </row>
    <row r="1240" spans="1:10">
      <c r="A1240" s="192">
        <v>97943</v>
      </c>
      <c r="B1240" s="192">
        <v>23744</v>
      </c>
      <c r="C1240" s="192" t="s">
        <v>815</v>
      </c>
      <c r="D1240" s="192">
        <v>75</v>
      </c>
      <c r="E1240" s="192" t="s">
        <v>816</v>
      </c>
      <c r="F1240" s="192" t="s">
        <v>818</v>
      </c>
      <c r="G1240" s="192">
        <v>0.60000002384185791</v>
      </c>
      <c r="H1240" s="192" t="s">
        <v>818</v>
      </c>
      <c r="I1240" s="192">
        <v>1</v>
      </c>
      <c r="J1240" s="192">
        <f>VLOOKUP($B1240,'RBSA Weights'!$A$2:$C$1406,3,FALSE)</f>
        <v>1904.288</v>
      </c>
    </row>
    <row r="1241" spans="1:10">
      <c r="A1241" s="192">
        <v>200508</v>
      </c>
      <c r="B1241" s="192">
        <v>23746</v>
      </c>
      <c r="C1241" s="192" t="s">
        <v>815</v>
      </c>
      <c r="D1241" s="192">
        <v>173</v>
      </c>
      <c r="E1241" s="192" t="s">
        <v>816</v>
      </c>
      <c r="F1241" s="192" t="s">
        <v>817</v>
      </c>
      <c r="G1241" s="192">
        <v>0.55000001192092896</v>
      </c>
      <c r="H1241" s="192" t="s">
        <v>818</v>
      </c>
      <c r="I1241" s="192">
        <v>1</v>
      </c>
      <c r="J1241" s="192">
        <f>VLOOKUP($B1241,'RBSA Weights'!$A$2:$C$1406,3,FALSE)</f>
        <v>8559.1039999999994</v>
      </c>
    </row>
    <row r="1242" spans="1:10">
      <c r="A1242" s="192">
        <v>208409</v>
      </c>
      <c r="B1242" s="192">
        <v>23756</v>
      </c>
      <c r="C1242" s="192" t="s">
        <v>815</v>
      </c>
      <c r="D1242" s="192">
        <v>155</v>
      </c>
      <c r="E1242" s="192" t="s">
        <v>816</v>
      </c>
      <c r="F1242" s="192" t="s">
        <v>820</v>
      </c>
      <c r="G1242" s="192">
        <v>0.80000001192092896</v>
      </c>
      <c r="H1242" s="192" t="s">
        <v>820</v>
      </c>
      <c r="I1242" s="192">
        <v>1</v>
      </c>
      <c r="J1242" s="192">
        <f>VLOOKUP($B1242,'RBSA Weights'!$A$2:$C$1406,3,FALSE)</f>
        <v>1904.288</v>
      </c>
    </row>
    <row r="1243" spans="1:10">
      <c r="A1243" s="192">
        <v>138208</v>
      </c>
      <c r="B1243" s="192">
        <v>23762</v>
      </c>
      <c r="C1243" s="192" t="s">
        <v>815</v>
      </c>
      <c r="D1243" s="192">
        <v>109</v>
      </c>
      <c r="E1243" s="192" t="s">
        <v>816</v>
      </c>
      <c r="F1243" s="192" t="s">
        <v>817</v>
      </c>
      <c r="G1243" s="192">
        <v>0.44999998807907104</v>
      </c>
      <c r="H1243" s="192" t="s">
        <v>818</v>
      </c>
      <c r="I1243" s="192">
        <v>1</v>
      </c>
      <c r="J1243" s="192">
        <f>VLOOKUP($B1243,'RBSA Weights'!$A$2:$C$1406,3,FALSE)</f>
        <v>8264.9449999999997</v>
      </c>
    </row>
    <row r="1244" spans="1:10">
      <c r="A1244" s="192">
        <v>79848</v>
      </c>
      <c r="B1244" s="192">
        <v>23763</v>
      </c>
      <c r="C1244" s="192" t="s">
        <v>815</v>
      </c>
      <c r="D1244" s="192">
        <v>367</v>
      </c>
      <c r="E1244" s="192" t="s">
        <v>816</v>
      </c>
      <c r="F1244" s="192" t="s">
        <v>818</v>
      </c>
      <c r="G1244" s="192">
        <v>0.60000002384185791</v>
      </c>
      <c r="H1244" s="192" t="s">
        <v>818</v>
      </c>
      <c r="I1244" s="192">
        <v>1</v>
      </c>
      <c r="J1244" s="192">
        <f>VLOOKUP($B1244,'RBSA Weights'!$A$2:$C$1406,3,FALSE)</f>
        <v>2079.9929999999999</v>
      </c>
    </row>
    <row r="1245" spans="1:10">
      <c r="A1245" s="192">
        <v>132966</v>
      </c>
      <c r="B1245" s="192">
        <v>23765</v>
      </c>
      <c r="C1245" s="192" t="s">
        <v>815</v>
      </c>
      <c r="D1245" s="192">
        <v>329</v>
      </c>
      <c r="E1245" s="192" t="s">
        <v>816</v>
      </c>
      <c r="F1245" s="192" t="s">
        <v>818</v>
      </c>
      <c r="G1245" s="192">
        <v>0.55000001192092896</v>
      </c>
      <c r="H1245" s="192" t="s">
        <v>818</v>
      </c>
      <c r="I1245" s="192">
        <v>1</v>
      </c>
      <c r="J1245" s="192">
        <f>VLOOKUP($B1245,'RBSA Weights'!$A$2:$C$1406,3,FALSE)</f>
        <v>1144.6790000000001</v>
      </c>
    </row>
    <row r="1246" spans="1:10">
      <c r="A1246" s="192">
        <v>169821</v>
      </c>
      <c r="B1246" s="192">
        <v>23788</v>
      </c>
      <c r="C1246" s="192" t="s">
        <v>815</v>
      </c>
      <c r="D1246" s="192">
        <v>120</v>
      </c>
      <c r="E1246" s="192" t="s">
        <v>816</v>
      </c>
      <c r="F1246" s="192" t="s">
        <v>821</v>
      </c>
      <c r="G1246" s="192">
        <v>0.94999998807907104</v>
      </c>
      <c r="H1246" s="192" t="s">
        <v>821</v>
      </c>
      <c r="I1246" s="192">
        <v>1</v>
      </c>
      <c r="J1246" s="192">
        <f>VLOOKUP($B1246,'RBSA Weights'!$A$2:$C$1406,3,FALSE)</f>
        <v>1192.4649999999999</v>
      </c>
    </row>
    <row r="1247" spans="1:10">
      <c r="A1247" s="192">
        <v>226383</v>
      </c>
      <c r="B1247" s="192">
        <v>23791</v>
      </c>
      <c r="C1247" s="192" t="s">
        <v>815</v>
      </c>
      <c r="D1247" s="192">
        <v>268</v>
      </c>
      <c r="E1247" s="192" t="s">
        <v>816</v>
      </c>
      <c r="F1247" s="192" t="s">
        <v>817</v>
      </c>
      <c r="G1247" s="192">
        <v>0.44999998807907104</v>
      </c>
      <c r="H1247" s="192" t="s">
        <v>818</v>
      </c>
      <c r="I1247" s="192">
        <v>1</v>
      </c>
      <c r="J1247" s="192">
        <f>VLOOKUP($B1247,'RBSA Weights'!$A$2:$C$1406,3,FALSE)</f>
        <v>1904.288</v>
      </c>
    </row>
    <row r="1248" spans="1:10">
      <c r="A1248" s="192">
        <v>121595</v>
      </c>
      <c r="B1248" s="192">
        <v>23813</v>
      </c>
      <c r="C1248" s="192" t="s">
        <v>815</v>
      </c>
      <c r="D1248" s="192">
        <v>235</v>
      </c>
      <c r="E1248" s="192" t="s">
        <v>816</v>
      </c>
      <c r="F1248" s="192" t="s">
        <v>820</v>
      </c>
      <c r="G1248" s="192">
        <v>0.80000001192092896</v>
      </c>
      <c r="H1248" s="192" t="s">
        <v>820</v>
      </c>
      <c r="I1248" s="192">
        <v>1</v>
      </c>
      <c r="J1248" s="192">
        <f>VLOOKUP($B1248,'RBSA Weights'!$A$2:$C$1406,3,FALSE)</f>
        <v>1904.288</v>
      </c>
    </row>
    <row r="1249" spans="1:10">
      <c r="A1249" s="192">
        <v>137842</v>
      </c>
      <c r="B1249" s="192">
        <v>23824</v>
      </c>
      <c r="C1249" s="192" t="s">
        <v>815</v>
      </c>
      <c r="D1249" s="192">
        <v>236</v>
      </c>
      <c r="E1249" s="192" t="s">
        <v>816</v>
      </c>
      <c r="F1249" s="192" t="s">
        <v>817</v>
      </c>
      <c r="G1249" s="192">
        <v>0.55000001192092896</v>
      </c>
      <c r="H1249" s="192" t="s">
        <v>818</v>
      </c>
      <c r="I1249" s="192">
        <v>1</v>
      </c>
      <c r="J1249" s="192">
        <f>VLOOKUP($B1249,'RBSA Weights'!$A$2:$C$1406,3,FALSE)</f>
        <v>1144.6790000000001</v>
      </c>
    </row>
    <row r="1250" spans="1:10">
      <c r="A1250" s="192">
        <v>213625</v>
      </c>
      <c r="B1250" s="192">
        <v>23830</v>
      </c>
      <c r="C1250" s="192" t="s">
        <v>815</v>
      </c>
      <c r="D1250" s="192">
        <v>282</v>
      </c>
      <c r="E1250" s="192" t="s">
        <v>816</v>
      </c>
      <c r="F1250" s="192" t="s">
        <v>817</v>
      </c>
      <c r="G1250" s="192">
        <v>0.44999998807907104</v>
      </c>
      <c r="H1250" s="192" t="s">
        <v>818</v>
      </c>
      <c r="I1250" s="192">
        <v>1</v>
      </c>
      <c r="J1250" s="192">
        <f>VLOOKUP($B1250,'RBSA Weights'!$A$2:$C$1406,3,FALSE)</f>
        <v>1612.692</v>
      </c>
    </row>
    <row r="1251" spans="1:10">
      <c r="A1251" s="192">
        <v>45753</v>
      </c>
      <c r="B1251" s="192">
        <v>23835</v>
      </c>
      <c r="C1251" s="192" t="s">
        <v>815</v>
      </c>
      <c r="D1251" s="192">
        <v>401</v>
      </c>
      <c r="E1251" s="192" t="s">
        <v>819</v>
      </c>
      <c r="F1251" s="192" t="s">
        <v>821</v>
      </c>
      <c r="G1251" s="192">
        <v>0.75</v>
      </c>
      <c r="H1251" s="192" t="s">
        <v>821</v>
      </c>
      <c r="I1251" s="192">
        <v>1</v>
      </c>
      <c r="J1251" s="192">
        <f>VLOOKUP($B1251,'RBSA Weights'!$A$2:$C$1406,3,FALSE)</f>
        <v>8264.9449999999997</v>
      </c>
    </row>
    <row r="1252" spans="1:10">
      <c r="A1252" s="192">
        <v>99114</v>
      </c>
      <c r="B1252" s="192">
        <v>23840</v>
      </c>
      <c r="C1252" s="192" t="s">
        <v>815</v>
      </c>
      <c r="D1252" s="192">
        <v>133</v>
      </c>
      <c r="E1252" s="192" t="s">
        <v>816</v>
      </c>
      <c r="F1252" s="192" t="s">
        <v>818</v>
      </c>
      <c r="G1252" s="192">
        <v>0.55000001192092896</v>
      </c>
      <c r="H1252" s="192" t="s">
        <v>818</v>
      </c>
      <c r="I1252" s="192">
        <v>1</v>
      </c>
      <c r="J1252" s="192">
        <f>VLOOKUP($B1252,'RBSA Weights'!$A$2:$C$1406,3,FALSE)</f>
        <v>1144.6790000000001</v>
      </c>
    </row>
    <row r="1253" spans="1:10">
      <c r="A1253" s="192">
        <v>87393</v>
      </c>
      <c r="B1253" s="192">
        <v>23846</v>
      </c>
      <c r="C1253" s="192" t="s">
        <v>815</v>
      </c>
      <c r="D1253" s="192">
        <v>174</v>
      </c>
      <c r="E1253" s="192" t="s">
        <v>819</v>
      </c>
      <c r="F1253" s="192" t="s">
        <v>818</v>
      </c>
      <c r="G1253" s="192">
        <v>0.5</v>
      </c>
      <c r="H1253" s="192" t="s">
        <v>818</v>
      </c>
      <c r="I1253" s="192">
        <v>1</v>
      </c>
      <c r="J1253" s="192">
        <f>VLOOKUP($B1253,'RBSA Weights'!$A$2:$C$1406,3,FALSE)</f>
        <v>1144.6790000000001</v>
      </c>
    </row>
    <row r="1254" spans="1:10">
      <c r="A1254" s="192">
        <v>59847</v>
      </c>
      <c r="B1254" s="192">
        <v>23847</v>
      </c>
      <c r="C1254" s="192" t="s">
        <v>815</v>
      </c>
      <c r="D1254" s="192">
        <v>163</v>
      </c>
      <c r="E1254" s="192" t="s">
        <v>816</v>
      </c>
      <c r="F1254" s="192" t="s">
        <v>817</v>
      </c>
      <c r="G1254" s="192">
        <v>0.55000001192092896</v>
      </c>
      <c r="H1254" s="192" t="s">
        <v>818</v>
      </c>
      <c r="I1254" s="192">
        <v>1</v>
      </c>
      <c r="J1254" s="192">
        <f>VLOOKUP($B1254,'RBSA Weights'!$A$2:$C$1406,3,FALSE)</f>
        <v>2079.9929999999999</v>
      </c>
    </row>
    <row r="1255" spans="1:10">
      <c r="A1255" s="192">
        <v>260629</v>
      </c>
      <c r="B1255" s="192">
        <v>23857</v>
      </c>
      <c r="C1255" s="192" t="s">
        <v>815</v>
      </c>
      <c r="D1255" s="192">
        <v>158</v>
      </c>
      <c r="E1255" s="192" t="s">
        <v>816</v>
      </c>
      <c r="F1255" s="192" t="s">
        <v>817</v>
      </c>
      <c r="G1255" s="192">
        <v>0.44999998807907104</v>
      </c>
      <c r="H1255" s="192" t="s">
        <v>818</v>
      </c>
      <c r="I1255" s="192">
        <v>1</v>
      </c>
      <c r="J1255" s="192">
        <f>VLOOKUP($B1255,'RBSA Weights'!$A$2:$C$1406,3,FALSE)</f>
        <v>1144.6790000000001</v>
      </c>
    </row>
    <row r="1256" spans="1:10">
      <c r="A1256" s="192">
        <v>52108</v>
      </c>
      <c r="B1256" s="192">
        <v>23859</v>
      </c>
      <c r="C1256" s="192" t="s">
        <v>815</v>
      </c>
      <c r="D1256" s="192">
        <v>95</v>
      </c>
      <c r="E1256" s="192" t="s">
        <v>816</v>
      </c>
      <c r="F1256" s="192" t="s">
        <v>818</v>
      </c>
      <c r="G1256" s="192">
        <v>0.60000002384185791</v>
      </c>
      <c r="H1256" s="192" t="s">
        <v>818</v>
      </c>
      <c r="I1256" s="192">
        <v>1</v>
      </c>
      <c r="J1256" s="192">
        <f>VLOOKUP($B1256,'RBSA Weights'!$A$2:$C$1406,3,FALSE)</f>
        <v>2130.886</v>
      </c>
    </row>
    <row r="1257" spans="1:10">
      <c r="A1257" s="192">
        <v>85502</v>
      </c>
      <c r="B1257" s="192">
        <v>23860</v>
      </c>
      <c r="C1257" s="192" t="s">
        <v>815</v>
      </c>
      <c r="D1257" s="192">
        <v>389</v>
      </c>
      <c r="E1257" s="192" t="s">
        <v>816</v>
      </c>
      <c r="F1257" s="192" t="s">
        <v>817</v>
      </c>
      <c r="G1257" s="192">
        <v>0.55000001192092896</v>
      </c>
      <c r="H1257" s="192" t="s">
        <v>818</v>
      </c>
      <c r="I1257" s="192">
        <v>1</v>
      </c>
      <c r="J1257" s="192">
        <f>VLOOKUP($B1257,'RBSA Weights'!$A$2:$C$1406,3,FALSE)</f>
        <v>1925.059</v>
      </c>
    </row>
    <row r="1258" spans="1:10">
      <c r="A1258" s="192">
        <v>161105</v>
      </c>
      <c r="B1258" s="192">
        <v>23870</v>
      </c>
      <c r="C1258" s="192" t="s">
        <v>815</v>
      </c>
      <c r="D1258" s="192">
        <v>164</v>
      </c>
      <c r="E1258" s="192" t="s">
        <v>819</v>
      </c>
      <c r="F1258" s="192" t="s">
        <v>821</v>
      </c>
      <c r="G1258" s="192">
        <v>0.75</v>
      </c>
      <c r="H1258" s="192" t="s">
        <v>821</v>
      </c>
      <c r="I1258" s="192">
        <v>1</v>
      </c>
      <c r="J1258" s="192">
        <f>VLOOKUP($B1258,'RBSA Weights'!$A$2:$C$1406,3,FALSE)</f>
        <v>2130.886</v>
      </c>
    </row>
    <row r="1259" spans="1:10">
      <c r="A1259" s="192">
        <v>239692</v>
      </c>
      <c r="B1259" s="192">
        <v>23879</v>
      </c>
      <c r="C1259" s="192" t="s">
        <v>815</v>
      </c>
      <c r="D1259" s="192">
        <v>288</v>
      </c>
      <c r="E1259" s="192" t="s">
        <v>816</v>
      </c>
      <c r="F1259" s="192" t="s">
        <v>817</v>
      </c>
      <c r="G1259" s="192">
        <v>0.55000001192092896</v>
      </c>
      <c r="H1259" s="192" t="s">
        <v>818</v>
      </c>
      <c r="I1259" s="192">
        <v>1</v>
      </c>
      <c r="J1259" s="192">
        <f>VLOOKUP($B1259,'RBSA Weights'!$A$2:$C$1406,3,FALSE)</f>
        <v>2079.9929999999999</v>
      </c>
    </row>
    <row r="1260" spans="1:10">
      <c r="A1260" s="192">
        <v>86703</v>
      </c>
      <c r="B1260" s="192">
        <v>23882</v>
      </c>
      <c r="C1260" s="192" t="s">
        <v>815</v>
      </c>
      <c r="D1260" s="192">
        <v>613</v>
      </c>
      <c r="E1260" s="192" t="s">
        <v>816</v>
      </c>
      <c r="F1260" s="192" t="s">
        <v>818</v>
      </c>
      <c r="G1260" s="192">
        <v>0.55000001192092896</v>
      </c>
      <c r="H1260" s="192" t="s">
        <v>818</v>
      </c>
      <c r="I1260" s="192">
        <v>1</v>
      </c>
      <c r="J1260" s="192">
        <f>VLOOKUP($B1260,'RBSA Weights'!$A$2:$C$1406,3,FALSE)</f>
        <v>1144.6790000000001</v>
      </c>
    </row>
    <row r="1261" spans="1:10">
      <c r="A1261" s="192">
        <v>169969</v>
      </c>
      <c r="B1261" s="192">
        <v>23886</v>
      </c>
      <c r="C1261" s="192" t="s">
        <v>815</v>
      </c>
      <c r="D1261" s="192">
        <v>398</v>
      </c>
      <c r="E1261" s="192" t="s">
        <v>816</v>
      </c>
      <c r="F1261" s="192" t="s">
        <v>817</v>
      </c>
      <c r="G1261" s="192">
        <v>0.44999998807907104</v>
      </c>
      <c r="H1261" s="192" t="s">
        <v>818</v>
      </c>
      <c r="I1261" s="192">
        <v>1</v>
      </c>
      <c r="J1261" s="192">
        <f>VLOOKUP($B1261,'RBSA Weights'!$A$2:$C$1406,3,FALSE)</f>
        <v>1192.4649999999999</v>
      </c>
    </row>
    <row r="1262" spans="1:10">
      <c r="A1262" s="192">
        <v>183615</v>
      </c>
      <c r="B1262" s="192">
        <v>23889</v>
      </c>
      <c r="C1262" s="192" t="s">
        <v>815</v>
      </c>
      <c r="D1262" s="192">
        <v>253</v>
      </c>
      <c r="E1262" s="192" t="s">
        <v>816</v>
      </c>
      <c r="F1262" s="192" t="s">
        <v>817</v>
      </c>
      <c r="G1262" s="192">
        <v>0.44999998807907104</v>
      </c>
      <c r="H1262" s="192" t="s">
        <v>818</v>
      </c>
      <c r="I1262" s="192">
        <v>1</v>
      </c>
      <c r="J1262" s="192">
        <f>VLOOKUP($B1262,'RBSA Weights'!$A$2:$C$1406,3,FALSE)</f>
        <v>1612.692</v>
      </c>
    </row>
    <row r="1263" spans="1:10">
      <c r="A1263" s="192">
        <v>71125</v>
      </c>
      <c r="B1263" s="192">
        <v>23905</v>
      </c>
      <c r="C1263" s="192" t="s">
        <v>815</v>
      </c>
      <c r="D1263" s="192">
        <v>220</v>
      </c>
      <c r="E1263" s="192" t="s">
        <v>816</v>
      </c>
      <c r="F1263" s="192" t="s">
        <v>817</v>
      </c>
      <c r="G1263" s="192">
        <v>0.44999998807907104</v>
      </c>
      <c r="H1263" s="192" t="s">
        <v>818</v>
      </c>
      <c r="I1263" s="192">
        <v>1</v>
      </c>
      <c r="J1263" s="192">
        <f>VLOOKUP($B1263,'RBSA Weights'!$A$2:$C$1406,3,FALSE)</f>
        <v>2079.9929999999999</v>
      </c>
    </row>
    <row r="1264" spans="1:10">
      <c r="A1264" s="192">
        <v>166246</v>
      </c>
      <c r="B1264" s="192">
        <v>23909</v>
      </c>
      <c r="C1264" s="192" t="s">
        <v>815</v>
      </c>
      <c r="D1264" s="192">
        <v>166</v>
      </c>
      <c r="E1264" s="192" t="s">
        <v>816</v>
      </c>
      <c r="F1264" s="192" t="s">
        <v>818</v>
      </c>
      <c r="G1264" s="192">
        <v>0.60000002384185791</v>
      </c>
      <c r="H1264" s="192" t="s">
        <v>818</v>
      </c>
      <c r="I1264" s="192">
        <v>1</v>
      </c>
      <c r="J1264" s="192">
        <f>VLOOKUP($B1264,'RBSA Weights'!$A$2:$C$1406,3,FALSE)</f>
        <v>1192.4649999999999</v>
      </c>
    </row>
    <row r="1265" spans="1:10">
      <c r="A1265" s="192">
        <v>218205</v>
      </c>
      <c r="B1265" s="192">
        <v>23910</v>
      </c>
      <c r="C1265" s="192" t="s">
        <v>815</v>
      </c>
      <c r="D1265" s="192">
        <v>683</v>
      </c>
      <c r="E1265" s="192" t="s">
        <v>816</v>
      </c>
      <c r="F1265" s="192" t="s">
        <v>817</v>
      </c>
      <c r="G1265" s="192">
        <v>0.44999998807907104</v>
      </c>
      <c r="H1265" s="192" t="s">
        <v>818</v>
      </c>
      <c r="I1265" s="192">
        <v>1</v>
      </c>
      <c r="J1265" s="192">
        <f>VLOOKUP($B1265,'RBSA Weights'!$A$2:$C$1406,3,FALSE)</f>
        <v>3785.7640000000001</v>
      </c>
    </row>
    <row r="1266" spans="1:10">
      <c r="A1266" s="192">
        <v>107401</v>
      </c>
      <c r="B1266" s="192">
        <v>23913</v>
      </c>
      <c r="C1266" s="192" t="s">
        <v>815</v>
      </c>
      <c r="D1266" s="192">
        <v>112</v>
      </c>
      <c r="E1266" s="192" t="s">
        <v>816</v>
      </c>
      <c r="F1266" s="192" t="s">
        <v>817</v>
      </c>
      <c r="G1266" s="192">
        <v>0.55000001192092896</v>
      </c>
      <c r="H1266" s="192" t="s">
        <v>818</v>
      </c>
      <c r="I1266" s="192">
        <v>1</v>
      </c>
      <c r="J1266" s="192">
        <f>VLOOKUP($B1266,'RBSA Weights'!$A$2:$C$1406,3,FALSE)</f>
        <v>2079.9929999999999</v>
      </c>
    </row>
    <row r="1267" spans="1:10">
      <c r="A1267" s="192">
        <v>132418</v>
      </c>
      <c r="B1267" s="192">
        <v>23914</v>
      </c>
      <c r="C1267" s="192" t="s">
        <v>815</v>
      </c>
      <c r="D1267" s="192">
        <v>211</v>
      </c>
      <c r="E1267" s="192" t="s">
        <v>816</v>
      </c>
      <c r="F1267" s="192" t="s">
        <v>817</v>
      </c>
      <c r="G1267" s="192">
        <v>0.44999998807907104</v>
      </c>
      <c r="H1267" s="192" t="s">
        <v>818</v>
      </c>
      <c r="I1267" s="192">
        <v>1</v>
      </c>
      <c r="J1267" s="192">
        <f>VLOOKUP($B1267,'RBSA Weights'!$A$2:$C$1406,3,FALSE)</f>
        <v>1144.6790000000001</v>
      </c>
    </row>
    <row r="1268" spans="1:10">
      <c r="A1268" s="192">
        <v>169888</v>
      </c>
      <c r="B1268" s="192">
        <v>23926</v>
      </c>
      <c r="C1268" s="192" t="s">
        <v>815</v>
      </c>
      <c r="D1268" s="192">
        <v>123</v>
      </c>
      <c r="E1268" s="192" t="s">
        <v>816</v>
      </c>
      <c r="F1268" s="192" t="s">
        <v>818</v>
      </c>
      <c r="G1268" s="192">
        <v>0.60000002384185791</v>
      </c>
      <c r="H1268" s="192" t="s">
        <v>818</v>
      </c>
      <c r="I1268" s="192">
        <v>1</v>
      </c>
      <c r="J1268" s="192">
        <f>VLOOKUP($B1268,'RBSA Weights'!$A$2:$C$1406,3,FALSE)</f>
        <v>3785.7640000000001</v>
      </c>
    </row>
    <row r="1269" spans="1:10">
      <c r="A1269" s="192">
        <v>74451</v>
      </c>
      <c r="B1269" s="192">
        <v>23931</v>
      </c>
      <c r="C1269" s="192" t="s">
        <v>815</v>
      </c>
      <c r="D1269" s="192">
        <v>329</v>
      </c>
      <c r="E1269" s="192" t="s">
        <v>816</v>
      </c>
      <c r="F1269" s="192" t="s">
        <v>817</v>
      </c>
      <c r="G1269" s="192">
        <v>0.44999998807907104</v>
      </c>
      <c r="H1269" s="192" t="s">
        <v>818</v>
      </c>
      <c r="I1269" s="192">
        <v>1</v>
      </c>
      <c r="J1269" s="192">
        <f>VLOOKUP($B1269,'RBSA Weights'!$A$2:$C$1406,3,FALSE)</f>
        <v>1144.6790000000001</v>
      </c>
    </row>
    <row r="1270" spans="1:10">
      <c r="A1270" s="192">
        <v>218688</v>
      </c>
      <c r="B1270" s="192">
        <v>23932</v>
      </c>
      <c r="C1270" s="192" t="s">
        <v>815</v>
      </c>
      <c r="D1270" s="192">
        <v>224</v>
      </c>
      <c r="E1270" s="192" t="s">
        <v>816</v>
      </c>
      <c r="F1270" s="192" t="s">
        <v>818</v>
      </c>
      <c r="G1270" s="192">
        <v>0.55000001192092896</v>
      </c>
      <c r="H1270" s="192" t="s">
        <v>818</v>
      </c>
      <c r="I1270" s="192">
        <v>1</v>
      </c>
      <c r="J1270" s="192">
        <f>VLOOKUP($B1270,'RBSA Weights'!$A$2:$C$1406,3,FALSE)</f>
        <v>3785.7640000000001</v>
      </c>
    </row>
    <row r="1271" spans="1:10">
      <c r="A1271" s="192">
        <v>677624</v>
      </c>
      <c r="B1271" s="192">
        <v>23933</v>
      </c>
      <c r="C1271" s="192" t="s">
        <v>815</v>
      </c>
      <c r="D1271" s="192">
        <v>84</v>
      </c>
      <c r="E1271" s="192" t="s">
        <v>816</v>
      </c>
      <c r="F1271" s="192" t="s">
        <v>827</v>
      </c>
      <c r="G1271" s="192">
        <v>0.34999999403953552</v>
      </c>
      <c r="H1271" s="192" t="s">
        <v>827</v>
      </c>
      <c r="I1271" s="192">
        <v>1</v>
      </c>
      <c r="J1271" s="192">
        <f>VLOOKUP($B1271,'RBSA Weights'!$A$2:$C$1406,3,FALSE)</f>
        <v>3785.7640000000001</v>
      </c>
    </row>
    <row r="1272" spans="1:10">
      <c r="A1272" s="192">
        <v>119477</v>
      </c>
      <c r="B1272" s="192">
        <v>23936</v>
      </c>
      <c r="C1272" s="192" t="s">
        <v>815</v>
      </c>
      <c r="D1272" s="192">
        <v>127</v>
      </c>
      <c r="E1272" s="192" t="s">
        <v>816</v>
      </c>
      <c r="F1272" s="192" t="s">
        <v>817</v>
      </c>
      <c r="G1272" s="192">
        <v>0.55000001192092896</v>
      </c>
      <c r="H1272" s="192" t="s">
        <v>818</v>
      </c>
      <c r="I1272" s="192">
        <v>1</v>
      </c>
      <c r="J1272" s="192">
        <f>VLOOKUP($B1272,'RBSA Weights'!$A$2:$C$1406,3,FALSE)</f>
        <v>3785.7640000000001</v>
      </c>
    </row>
    <row r="1273" spans="1:10">
      <c r="A1273" s="192">
        <v>191168</v>
      </c>
      <c r="B1273" s="192">
        <v>23939</v>
      </c>
      <c r="C1273" s="192" t="s">
        <v>815</v>
      </c>
      <c r="D1273" s="192">
        <v>89</v>
      </c>
      <c r="E1273" s="192" t="s">
        <v>816</v>
      </c>
      <c r="F1273" s="192" t="s">
        <v>817</v>
      </c>
      <c r="G1273" s="192">
        <v>0.44999998807907104</v>
      </c>
      <c r="H1273" s="192" t="s">
        <v>818</v>
      </c>
      <c r="I1273" s="192">
        <v>1</v>
      </c>
      <c r="J1273" s="192">
        <f>VLOOKUP($B1273,'RBSA Weights'!$A$2:$C$1406,3,FALSE)</f>
        <v>2130.886</v>
      </c>
    </row>
    <row r="1274" spans="1:10">
      <c r="A1274" s="192">
        <v>113483</v>
      </c>
      <c r="B1274" s="192">
        <v>23946</v>
      </c>
      <c r="C1274" s="192" t="s">
        <v>815</v>
      </c>
      <c r="D1274" s="192">
        <v>181</v>
      </c>
      <c r="E1274" s="192" t="s">
        <v>816</v>
      </c>
      <c r="F1274" s="192" t="s">
        <v>818</v>
      </c>
      <c r="G1274" s="192">
        <v>0.55000001192092896</v>
      </c>
      <c r="H1274" s="192" t="s">
        <v>818</v>
      </c>
      <c r="I1274" s="192">
        <v>1</v>
      </c>
      <c r="J1274" s="192">
        <f>VLOOKUP($B1274,'RBSA Weights'!$A$2:$C$1406,3,FALSE)</f>
        <v>2079.9929999999999</v>
      </c>
    </row>
    <row r="1275" spans="1:10">
      <c r="A1275" s="192">
        <v>202014</v>
      </c>
      <c r="B1275" s="192">
        <v>23948</v>
      </c>
      <c r="C1275" s="192" t="s">
        <v>815</v>
      </c>
      <c r="D1275" s="192">
        <v>341</v>
      </c>
      <c r="E1275" s="192" t="s">
        <v>816</v>
      </c>
      <c r="F1275" s="192" t="s">
        <v>820</v>
      </c>
      <c r="G1275" s="192">
        <v>0.80000001192092896</v>
      </c>
      <c r="H1275" s="192" t="s">
        <v>820</v>
      </c>
      <c r="I1275" s="192">
        <v>1</v>
      </c>
      <c r="J1275" s="192">
        <f>VLOOKUP($B1275,'RBSA Weights'!$A$2:$C$1406,3,FALSE)</f>
        <v>1612.692</v>
      </c>
    </row>
    <row r="1276" spans="1:10">
      <c r="A1276" s="192">
        <v>213953</v>
      </c>
      <c r="B1276" s="192">
        <v>23952</v>
      </c>
      <c r="C1276" s="192" t="s">
        <v>815</v>
      </c>
      <c r="D1276" s="192">
        <v>292</v>
      </c>
      <c r="E1276" s="192" t="s">
        <v>816</v>
      </c>
      <c r="F1276" s="192" t="s">
        <v>817</v>
      </c>
      <c r="G1276" s="192">
        <v>0.44999998807907104</v>
      </c>
      <c r="H1276" s="192" t="s">
        <v>818</v>
      </c>
      <c r="I1276" s="192">
        <v>1</v>
      </c>
      <c r="J1276" s="192">
        <f>VLOOKUP($B1276,'RBSA Weights'!$A$2:$C$1406,3,FALSE)</f>
        <v>1612.692</v>
      </c>
    </row>
    <row r="1277" spans="1:10">
      <c r="A1277" s="192">
        <v>726057</v>
      </c>
      <c r="B1277" s="192">
        <v>23960</v>
      </c>
      <c r="C1277" s="192" t="s">
        <v>815</v>
      </c>
      <c r="D1277" s="192">
        <v>148</v>
      </c>
      <c r="E1277" s="192" t="s">
        <v>819</v>
      </c>
      <c r="F1277" s="192" t="s">
        <v>817</v>
      </c>
      <c r="G1277" s="192">
        <v>0.40000000596046448</v>
      </c>
      <c r="H1277" s="192" t="s">
        <v>818</v>
      </c>
      <c r="I1277" s="192">
        <v>1</v>
      </c>
      <c r="J1277" s="192">
        <f>VLOOKUP($B1277,'RBSA Weights'!$A$2:$C$1406,3,FALSE)</f>
        <v>1192.4649999999999</v>
      </c>
    </row>
    <row r="1278" spans="1:10">
      <c r="A1278" s="192">
        <v>226506</v>
      </c>
      <c r="B1278" s="192">
        <v>23965</v>
      </c>
      <c r="C1278" s="192" t="s">
        <v>815</v>
      </c>
      <c r="D1278" s="192">
        <v>348</v>
      </c>
      <c r="E1278" s="192" t="s">
        <v>816</v>
      </c>
      <c r="F1278" s="192" t="s">
        <v>817</v>
      </c>
      <c r="G1278" s="192">
        <v>0.44999998807907104</v>
      </c>
      <c r="H1278" s="192" t="s">
        <v>818</v>
      </c>
      <c r="I1278" s="192">
        <v>1</v>
      </c>
      <c r="J1278" s="192">
        <f>VLOOKUP($B1278,'RBSA Weights'!$A$2:$C$1406,3,FALSE)</f>
        <v>1904.288</v>
      </c>
    </row>
    <row r="1279" spans="1:10">
      <c r="A1279" s="192">
        <v>173799</v>
      </c>
      <c r="B1279" s="192">
        <v>23966</v>
      </c>
      <c r="C1279" s="192" t="s">
        <v>815</v>
      </c>
      <c r="D1279" s="192">
        <v>90</v>
      </c>
      <c r="E1279" s="192" t="s">
        <v>816</v>
      </c>
      <c r="F1279" s="192" t="s">
        <v>818</v>
      </c>
      <c r="G1279" s="192">
        <v>0.60000002384185791</v>
      </c>
      <c r="H1279" s="192" t="s">
        <v>818</v>
      </c>
      <c r="I1279" s="192">
        <v>1</v>
      </c>
      <c r="J1279" s="192">
        <f>VLOOKUP($B1279,'RBSA Weights'!$A$2:$C$1406,3,FALSE)</f>
        <v>3785.7640000000001</v>
      </c>
    </row>
    <row r="1280" spans="1:10">
      <c r="A1280" s="192">
        <v>164516</v>
      </c>
      <c r="B1280" s="192">
        <v>23972</v>
      </c>
      <c r="C1280" s="192" t="s">
        <v>815</v>
      </c>
      <c r="D1280" s="192">
        <v>145</v>
      </c>
      <c r="E1280" s="192" t="s">
        <v>816</v>
      </c>
      <c r="F1280" s="192" t="s">
        <v>818</v>
      </c>
      <c r="G1280" s="192">
        <v>0.55000001192092896</v>
      </c>
      <c r="H1280" s="192" t="s">
        <v>818</v>
      </c>
      <c r="I1280" s="192">
        <v>1</v>
      </c>
      <c r="J1280" s="192">
        <f>VLOOKUP($B1280,'RBSA Weights'!$A$2:$C$1406,3,FALSE)</f>
        <v>2130.886</v>
      </c>
    </row>
    <row r="1281" spans="1:10">
      <c r="A1281" s="192">
        <v>177215</v>
      </c>
      <c r="B1281" s="192">
        <v>23973</v>
      </c>
      <c r="C1281" s="192" t="s">
        <v>815</v>
      </c>
      <c r="D1281" s="192">
        <v>80</v>
      </c>
      <c r="E1281" s="192" t="s">
        <v>816</v>
      </c>
      <c r="F1281" s="192" t="s">
        <v>818</v>
      </c>
      <c r="G1281" s="192">
        <v>0.55000001192092896</v>
      </c>
      <c r="H1281" s="192" t="s">
        <v>818</v>
      </c>
      <c r="I1281" s="192">
        <v>1</v>
      </c>
      <c r="J1281" s="192">
        <f>VLOOKUP($B1281,'RBSA Weights'!$A$2:$C$1406,3,FALSE)</f>
        <v>1192.4649999999999</v>
      </c>
    </row>
    <row r="1282" spans="1:10">
      <c r="A1282" s="192">
        <v>190852</v>
      </c>
      <c r="B1282" s="192">
        <v>23986</v>
      </c>
      <c r="C1282" s="192" t="s">
        <v>815</v>
      </c>
      <c r="D1282" s="192">
        <v>237</v>
      </c>
      <c r="E1282" s="192" t="s">
        <v>816</v>
      </c>
      <c r="F1282" s="192" t="s">
        <v>817</v>
      </c>
      <c r="G1282" s="192">
        <v>0.44999998807907104</v>
      </c>
      <c r="H1282" s="192" t="s">
        <v>818</v>
      </c>
      <c r="I1282" s="192">
        <v>1</v>
      </c>
      <c r="J1282" s="192">
        <f>VLOOKUP($B1282,'RBSA Weights'!$A$2:$C$1406,3,FALSE)</f>
        <v>2130.886</v>
      </c>
    </row>
    <row r="1283" spans="1:10">
      <c r="A1283" s="192">
        <v>170406</v>
      </c>
      <c r="B1283" s="192">
        <v>23994</v>
      </c>
      <c r="C1283" s="192" t="s">
        <v>815</v>
      </c>
      <c r="D1283" s="192">
        <v>250</v>
      </c>
      <c r="E1283" s="192" t="s">
        <v>816</v>
      </c>
      <c r="F1283" s="192" t="s">
        <v>820</v>
      </c>
      <c r="G1283" s="192">
        <v>0.85000002384185791</v>
      </c>
      <c r="H1283" s="192" t="s">
        <v>820</v>
      </c>
      <c r="I1283" s="192">
        <v>1</v>
      </c>
      <c r="J1283" s="192">
        <f>VLOOKUP($B1283,'RBSA Weights'!$A$2:$C$1406,3,FALSE)</f>
        <v>3785.7640000000001</v>
      </c>
    </row>
    <row r="1284" spans="1:10">
      <c r="A1284" s="192">
        <v>122514</v>
      </c>
      <c r="B1284" s="192">
        <v>23995</v>
      </c>
      <c r="C1284" s="192" t="s">
        <v>815</v>
      </c>
      <c r="D1284" s="192">
        <v>174</v>
      </c>
      <c r="E1284" s="192" t="s">
        <v>816</v>
      </c>
      <c r="F1284" s="192" t="s">
        <v>818</v>
      </c>
      <c r="G1284" s="192">
        <v>0.55000001192092896</v>
      </c>
      <c r="H1284" s="192" t="s">
        <v>818</v>
      </c>
      <c r="I1284" s="192">
        <v>1</v>
      </c>
      <c r="J1284" s="192">
        <f>VLOOKUP($B1284,'RBSA Weights'!$A$2:$C$1406,3,FALSE)</f>
        <v>2130.886</v>
      </c>
    </row>
    <row r="1285" spans="1:10">
      <c r="A1285" s="192">
        <v>219951</v>
      </c>
      <c r="B1285" s="192">
        <v>24016</v>
      </c>
      <c r="C1285" s="192" t="s">
        <v>815</v>
      </c>
      <c r="D1285" s="192">
        <v>119</v>
      </c>
      <c r="E1285" s="192" t="s">
        <v>816</v>
      </c>
      <c r="F1285" s="192" t="s">
        <v>818</v>
      </c>
      <c r="G1285" s="192">
        <v>0.60000002384185791</v>
      </c>
      <c r="H1285" s="192" t="s">
        <v>818</v>
      </c>
      <c r="I1285" s="192">
        <v>1</v>
      </c>
      <c r="J1285" s="192">
        <f>VLOOKUP($B1285,'RBSA Weights'!$A$2:$C$1406,3,FALSE)</f>
        <v>12271.31</v>
      </c>
    </row>
    <row r="1286" spans="1:10">
      <c r="A1286" s="192">
        <v>122978</v>
      </c>
      <c r="B1286" s="192">
        <v>24027</v>
      </c>
      <c r="C1286" s="192" t="s">
        <v>815</v>
      </c>
      <c r="D1286" s="192">
        <v>87</v>
      </c>
      <c r="E1286" s="192" t="s">
        <v>816</v>
      </c>
      <c r="F1286" s="192" t="s">
        <v>817</v>
      </c>
      <c r="G1286" s="192">
        <v>0.55000001192092896</v>
      </c>
      <c r="H1286" s="192" t="s">
        <v>818</v>
      </c>
      <c r="I1286" s="192">
        <v>1</v>
      </c>
      <c r="J1286" s="192">
        <f>VLOOKUP($B1286,'RBSA Weights'!$A$2:$C$1406,3,FALSE)</f>
        <v>1925.059</v>
      </c>
    </row>
    <row r="1287" spans="1:10">
      <c r="A1287" s="192">
        <v>107634</v>
      </c>
      <c r="B1287" s="192">
        <v>24033</v>
      </c>
      <c r="C1287" s="192" t="s">
        <v>815</v>
      </c>
      <c r="D1287" s="192">
        <v>164</v>
      </c>
      <c r="E1287" s="192" t="s">
        <v>816</v>
      </c>
      <c r="F1287" s="192" t="s">
        <v>817</v>
      </c>
      <c r="G1287" s="192">
        <v>0.55000001192092896</v>
      </c>
      <c r="H1287" s="192" t="s">
        <v>818</v>
      </c>
      <c r="I1287" s="192">
        <v>1</v>
      </c>
      <c r="J1287" s="192">
        <f>VLOOKUP($B1287,'RBSA Weights'!$A$2:$C$1406,3,FALSE)</f>
        <v>2079.9929999999999</v>
      </c>
    </row>
    <row r="1288" spans="1:10">
      <c r="A1288" s="192">
        <v>231957</v>
      </c>
      <c r="B1288" s="192">
        <v>24040</v>
      </c>
      <c r="C1288" s="192" t="s">
        <v>815</v>
      </c>
      <c r="D1288" s="192">
        <v>112</v>
      </c>
      <c r="E1288" s="192" t="s">
        <v>816</v>
      </c>
      <c r="F1288" s="192" t="s">
        <v>817</v>
      </c>
      <c r="G1288" s="192">
        <v>0.55000001192092896</v>
      </c>
      <c r="H1288" s="192" t="s">
        <v>818</v>
      </c>
      <c r="I1288" s="192">
        <v>1</v>
      </c>
      <c r="J1288" s="192">
        <f>VLOOKUP($B1288,'RBSA Weights'!$A$2:$C$1406,3,FALSE)</f>
        <v>2079.9929999999999</v>
      </c>
    </row>
    <row r="1289" spans="1:10">
      <c r="A1289" s="192">
        <v>96984</v>
      </c>
      <c r="B1289" s="192">
        <v>24048</v>
      </c>
      <c r="C1289" s="192" t="s">
        <v>815</v>
      </c>
      <c r="D1289" s="192">
        <v>323</v>
      </c>
      <c r="E1289" s="192" t="s">
        <v>816</v>
      </c>
      <c r="F1289" s="192" t="s">
        <v>818</v>
      </c>
      <c r="G1289" s="192">
        <v>0.60000002384185791</v>
      </c>
      <c r="H1289" s="192" t="s">
        <v>818</v>
      </c>
      <c r="I1289" s="192">
        <v>1</v>
      </c>
      <c r="J1289" s="192">
        <f>VLOOKUP($B1289,'RBSA Weights'!$A$2:$C$1406,3,FALSE)</f>
        <v>3785.7640000000001</v>
      </c>
    </row>
    <row r="1290" spans="1:10">
      <c r="A1290" s="192">
        <v>235601</v>
      </c>
      <c r="B1290" s="192">
        <v>24083</v>
      </c>
      <c r="C1290" s="192" t="s">
        <v>815</v>
      </c>
      <c r="D1290" s="192">
        <v>146</v>
      </c>
      <c r="E1290" s="192" t="s">
        <v>816</v>
      </c>
      <c r="F1290" s="192" t="s">
        <v>818</v>
      </c>
      <c r="G1290" s="192">
        <v>0.60000002384185791</v>
      </c>
      <c r="H1290" s="192" t="s">
        <v>818</v>
      </c>
      <c r="I1290" s="192">
        <v>1</v>
      </c>
      <c r="J1290" s="192">
        <f>VLOOKUP($B1290,'RBSA Weights'!$A$2:$C$1406,3,FALSE)</f>
        <v>1904.288</v>
      </c>
    </row>
    <row r="1291" spans="1:10">
      <c r="A1291" s="192">
        <v>180302</v>
      </c>
      <c r="B1291" s="192">
        <v>24093</v>
      </c>
      <c r="C1291" s="192" t="s">
        <v>815</v>
      </c>
      <c r="D1291" s="192">
        <v>375</v>
      </c>
      <c r="E1291" s="192" t="s">
        <v>816</v>
      </c>
      <c r="F1291" s="192" t="s">
        <v>817</v>
      </c>
      <c r="G1291" s="192">
        <v>0.44999998807907104</v>
      </c>
      <c r="H1291" s="192" t="s">
        <v>818</v>
      </c>
      <c r="I1291" s="192">
        <v>1</v>
      </c>
      <c r="J1291" s="192">
        <f>VLOOKUP($B1291,'RBSA Weights'!$A$2:$C$1406,3,FALSE)</f>
        <v>1192.4649999999999</v>
      </c>
    </row>
    <row r="1292" spans="1:10">
      <c r="A1292" s="192">
        <v>802095</v>
      </c>
      <c r="B1292" s="192">
        <v>24119</v>
      </c>
      <c r="C1292" s="192" t="s">
        <v>815</v>
      </c>
      <c r="D1292" s="192">
        <v>205</v>
      </c>
      <c r="E1292" s="192" t="s">
        <v>816</v>
      </c>
      <c r="F1292" s="192" t="s">
        <v>817</v>
      </c>
      <c r="G1292" s="192">
        <v>0.44999998807907104</v>
      </c>
      <c r="H1292" s="192" t="s">
        <v>818</v>
      </c>
      <c r="I1292" s="192">
        <v>1</v>
      </c>
      <c r="J1292" s="192">
        <f>VLOOKUP($B1292,'RBSA Weights'!$A$2:$C$1406,3,FALSE)</f>
        <v>2079.9929999999999</v>
      </c>
    </row>
    <row r="1293" spans="1:10">
      <c r="A1293" s="192">
        <v>162525</v>
      </c>
      <c r="B1293" s="192">
        <v>24120</v>
      </c>
      <c r="C1293" s="192" t="s">
        <v>815</v>
      </c>
      <c r="D1293" s="192">
        <v>123</v>
      </c>
      <c r="E1293" s="192" t="s">
        <v>816</v>
      </c>
      <c r="F1293" s="192" t="s">
        <v>817</v>
      </c>
      <c r="G1293" s="192">
        <v>0.44999998807907104</v>
      </c>
      <c r="H1293" s="192" t="s">
        <v>818</v>
      </c>
      <c r="I1293" s="192">
        <v>1</v>
      </c>
      <c r="J1293" s="192">
        <f>VLOOKUP($B1293,'RBSA Weights'!$A$2:$C$1406,3,FALSE)</f>
        <v>2130.886</v>
      </c>
    </row>
    <row r="1294" spans="1:10">
      <c r="A1294" s="192">
        <v>80261</v>
      </c>
      <c r="B1294" s="192">
        <v>24151</v>
      </c>
      <c r="C1294" s="192" t="s">
        <v>815</v>
      </c>
      <c r="D1294" s="192">
        <v>142</v>
      </c>
      <c r="E1294" s="192" t="s">
        <v>816</v>
      </c>
      <c r="F1294" s="192" t="s">
        <v>817</v>
      </c>
      <c r="G1294" s="192">
        <v>0.55000001192092896</v>
      </c>
      <c r="H1294" s="192" t="s">
        <v>818</v>
      </c>
      <c r="I1294" s="192">
        <v>1</v>
      </c>
      <c r="J1294" s="192">
        <f>VLOOKUP($B1294,'RBSA Weights'!$A$2:$C$1406,3,FALSE)</f>
        <v>1925.059</v>
      </c>
    </row>
    <row r="1295" spans="1:10">
      <c r="A1295" s="192">
        <v>154929</v>
      </c>
      <c r="B1295" s="192">
        <v>24153</v>
      </c>
      <c r="C1295" s="192" t="s">
        <v>815</v>
      </c>
      <c r="D1295" s="192">
        <v>163</v>
      </c>
      <c r="E1295" s="192" t="s">
        <v>816</v>
      </c>
      <c r="F1295" s="192" t="s">
        <v>818</v>
      </c>
      <c r="G1295" s="192">
        <v>0.60000002384185791</v>
      </c>
      <c r="H1295" s="192" t="s">
        <v>818</v>
      </c>
      <c r="I1295" s="192">
        <v>1</v>
      </c>
      <c r="J1295" s="192">
        <f>VLOOKUP($B1295,'RBSA Weights'!$A$2:$C$1406,3,FALSE)</f>
        <v>1144.6790000000001</v>
      </c>
    </row>
    <row r="1296" spans="1:10">
      <c r="A1296" s="192">
        <v>113387</v>
      </c>
      <c r="B1296" s="192">
        <v>24158</v>
      </c>
      <c r="C1296" s="192" t="s">
        <v>815</v>
      </c>
      <c r="D1296" s="192">
        <v>189</v>
      </c>
      <c r="E1296" s="192" t="s">
        <v>816</v>
      </c>
      <c r="F1296" s="192" t="s">
        <v>817</v>
      </c>
      <c r="G1296" s="192">
        <v>0.55000001192092896</v>
      </c>
      <c r="H1296" s="192" t="s">
        <v>818</v>
      </c>
      <c r="I1296" s="192">
        <v>1</v>
      </c>
      <c r="J1296" s="192">
        <f>VLOOKUP($B1296,'RBSA Weights'!$A$2:$C$1406,3,FALSE)</f>
        <v>2079.9929999999999</v>
      </c>
    </row>
    <row r="1297" spans="1:10">
      <c r="A1297" s="192">
        <v>57683</v>
      </c>
      <c r="B1297" s="192">
        <v>24171</v>
      </c>
      <c r="C1297" s="192" t="s">
        <v>815</v>
      </c>
      <c r="D1297" s="192">
        <v>308</v>
      </c>
      <c r="E1297" s="192" t="s">
        <v>816</v>
      </c>
      <c r="F1297" s="192" t="s">
        <v>818</v>
      </c>
      <c r="G1297" s="192">
        <v>0.60000002384185791</v>
      </c>
      <c r="H1297" s="192" t="s">
        <v>818</v>
      </c>
      <c r="I1297" s="192">
        <v>1</v>
      </c>
      <c r="J1297" s="192">
        <f>VLOOKUP($B1297,'RBSA Weights'!$A$2:$C$1406,3,FALSE)</f>
        <v>2079.9929999999999</v>
      </c>
    </row>
    <row r="1298" spans="1:10">
      <c r="A1298" s="192">
        <v>212043</v>
      </c>
      <c r="B1298" s="192">
        <v>24184</v>
      </c>
      <c r="C1298" s="192" t="s">
        <v>815</v>
      </c>
      <c r="D1298" s="192">
        <v>527</v>
      </c>
      <c r="E1298" s="192" t="s">
        <v>816</v>
      </c>
      <c r="F1298" s="192" t="s">
        <v>818</v>
      </c>
      <c r="G1298" s="192">
        <v>0.60000002384185791</v>
      </c>
      <c r="H1298" s="192" t="s">
        <v>818</v>
      </c>
      <c r="I1298" s="192">
        <v>1</v>
      </c>
      <c r="J1298" s="192">
        <f>VLOOKUP($B1298,'RBSA Weights'!$A$2:$C$1406,3,FALSE)</f>
        <v>4360.1880000000001</v>
      </c>
    </row>
    <row r="1299" spans="1:10">
      <c r="A1299" s="192">
        <v>134606</v>
      </c>
      <c r="B1299" s="192">
        <v>24196</v>
      </c>
      <c r="C1299" s="192" t="s">
        <v>815</v>
      </c>
      <c r="D1299" s="192">
        <v>250</v>
      </c>
      <c r="E1299" s="192" t="s">
        <v>816</v>
      </c>
      <c r="F1299" s="192" t="s">
        <v>817</v>
      </c>
      <c r="G1299" s="192">
        <v>0.44999998807907104</v>
      </c>
      <c r="H1299" s="192" t="s">
        <v>818</v>
      </c>
      <c r="I1299" s="192">
        <v>1</v>
      </c>
      <c r="J1299" s="192">
        <f>VLOOKUP($B1299,'RBSA Weights'!$A$2:$C$1406,3,FALSE)</f>
        <v>1904.288</v>
      </c>
    </row>
    <row r="1300" spans="1:10">
      <c r="A1300" s="192">
        <v>240498</v>
      </c>
      <c r="B1300" s="192">
        <v>24202</v>
      </c>
      <c r="C1300" s="192" t="s">
        <v>815</v>
      </c>
      <c r="D1300" s="192">
        <v>258</v>
      </c>
      <c r="E1300" s="192" t="s">
        <v>816</v>
      </c>
      <c r="F1300" s="192" t="s">
        <v>817</v>
      </c>
      <c r="G1300" s="192">
        <v>0.44999998807907104</v>
      </c>
      <c r="H1300" s="192" t="s">
        <v>818</v>
      </c>
      <c r="I1300" s="192">
        <v>1</v>
      </c>
      <c r="J1300" s="192">
        <f>VLOOKUP($B1300,'RBSA Weights'!$A$2:$C$1406,3,FALSE)</f>
        <v>1192.4649999999999</v>
      </c>
    </row>
    <row r="1301" spans="1:10">
      <c r="A1301" s="192">
        <v>235477</v>
      </c>
      <c r="B1301" s="192">
        <v>24203</v>
      </c>
      <c r="C1301" s="192" t="s">
        <v>815</v>
      </c>
      <c r="D1301" s="192">
        <v>178</v>
      </c>
      <c r="E1301" s="192" t="s">
        <v>816</v>
      </c>
      <c r="F1301" s="192" t="s">
        <v>817</v>
      </c>
      <c r="G1301" s="192">
        <v>0.44999998807907104</v>
      </c>
      <c r="H1301" s="192" t="s">
        <v>818</v>
      </c>
      <c r="I1301" s="192">
        <v>1</v>
      </c>
      <c r="J1301" s="192">
        <f>VLOOKUP($B1301,'RBSA Weights'!$A$2:$C$1406,3,FALSE)</f>
        <v>1904.288</v>
      </c>
    </row>
    <row r="1302" spans="1:10">
      <c r="A1302" s="192">
        <v>126429</v>
      </c>
      <c r="B1302" s="192">
        <v>24205</v>
      </c>
      <c r="C1302" s="192" t="s">
        <v>815</v>
      </c>
      <c r="D1302" s="192">
        <v>625</v>
      </c>
      <c r="E1302" s="192" t="s">
        <v>816</v>
      </c>
      <c r="F1302" s="192" t="s">
        <v>817</v>
      </c>
      <c r="G1302" s="192">
        <v>0.55000001192092896</v>
      </c>
      <c r="H1302" s="192" t="s">
        <v>818</v>
      </c>
      <c r="I1302" s="192">
        <v>1</v>
      </c>
      <c r="J1302" s="192">
        <f>VLOOKUP($B1302,'RBSA Weights'!$A$2:$C$1406,3,FALSE)</f>
        <v>1192.4649999999999</v>
      </c>
    </row>
    <row r="1303" spans="1:10">
      <c r="A1303" s="192">
        <v>185981</v>
      </c>
      <c r="B1303" s="192">
        <v>24207</v>
      </c>
      <c r="C1303" s="192" t="s">
        <v>815</v>
      </c>
      <c r="D1303" s="192">
        <v>116</v>
      </c>
      <c r="E1303" s="192" t="s">
        <v>816</v>
      </c>
      <c r="F1303" s="192" t="s">
        <v>817</v>
      </c>
      <c r="G1303" s="192">
        <v>0.44999998807907104</v>
      </c>
      <c r="H1303" s="192" t="s">
        <v>818</v>
      </c>
      <c r="I1303" s="192">
        <v>1</v>
      </c>
      <c r="J1303" s="192">
        <f>VLOOKUP($B1303,'RBSA Weights'!$A$2:$C$1406,3,FALSE)</f>
        <v>1925.059</v>
      </c>
    </row>
    <row r="1304" spans="1:10">
      <c r="A1304" s="192">
        <v>98193</v>
      </c>
      <c r="B1304" s="192">
        <v>24209</v>
      </c>
      <c r="C1304" s="192" t="s">
        <v>815</v>
      </c>
      <c r="D1304" s="192">
        <v>295</v>
      </c>
      <c r="E1304" s="192" t="s">
        <v>816</v>
      </c>
      <c r="F1304" s="192" t="s">
        <v>818</v>
      </c>
      <c r="G1304" s="192">
        <v>0.60000002384185791</v>
      </c>
      <c r="H1304" s="192" t="s">
        <v>818</v>
      </c>
      <c r="I1304" s="192">
        <v>1</v>
      </c>
      <c r="J1304" s="192">
        <f>VLOOKUP($B1304,'RBSA Weights'!$A$2:$C$1406,3,FALSE)</f>
        <v>1904.288</v>
      </c>
    </row>
    <row r="1305" spans="1:10">
      <c r="A1305" s="192">
        <v>153592</v>
      </c>
      <c r="B1305" s="192">
        <v>24221</v>
      </c>
      <c r="C1305" s="192" t="s">
        <v>815</v>
      </c>
      <c r="D1305" s="192">
        <v>207</v>
      </c>
      <c r="E1305" s="192" t="s">
        <v>816</v>
      </c>
      <c r="F1305" s="192" t="s">
        <v>818</v>
      </c>
      <c r="G1305" s="192">
        <v>0.55000001192092896</v>
      </c>
      <c r="H1305" s="192" t="s">
        <v>818</v>
      </c>
      <c r="I1305" s="192">
        <v>1</v>
      </c>
      <c r="J1305" s="192">
        <f>VLOOKUP($B1305,'RBSA Weights'!$A$2:$C$1406,3,FALSE)</f>
        <v>1192.4649999999999</v>
      </c>
    </row>
    <row r="1306" spans="1:10">
      <c r="A1306" s="192">
        <v>110147</v>
      </c>
      <c r="B1306" s="192">
        <v>24224</v>
      </c>
      <c r="C1306" s="192" t="s">
        <v>815</v>
      </c>
      <c r="D1306" s="192">
        <v>187</v>
      </c>
      <c r="E1306" s="192" t="s">
        <v>816</v>
      </c>
      <c r="F1306" s="192" t="s">
        <v>817</v>
      </c>
      <c r="G1306" s="192">
        <v>0.55000001192092896</v>
      </c>
      <c r="H1306" s="192" t="s">
        <v>818</v>
      </c>
      <c r="I1306" s="192">
        <v>1</v>
      </c>
      <c r="J1306" s="192">
        <f>VLOOKUP($B1306,'RBSA Weights'!$A$2:$C$1406,3,FALSE)</f>
        <v>1904.288</v>
      </c>
    </row>
    <row r="1307" spans="1:10">
      <c r="A1307" s="192">
        <v>220979</v>
      </c>
      <c r="B1307" s="192">
        <v>24227</v>
      </c>
      <c r="C1307" s="192" t="s">
        <v>815</v>
      </c>
      <c r="D1307" s="192">
        <v>138</v>
      </c>
      <c r="E1307" s="192" t="s">
        <v>816</v>
      </c>
      <c r="F1307" s="192" t="s">
        <v>817</v>
      </c>
      <c r="G1307" s="192">
        <v>0.55000001192092896</v>
      </c>
      <c r="H1307" s="192" t="s">
        <v>818</v>
      </c>
      <c r="I1307" s="192">
        <v>1</v>
      </c>
      <c r="J1307" s="192">
        <f>VLOOKUP($B1307,'RBSA Weights'!$A$2:$C$1406,3,FALSE)</f>
        <v>2130.886</v>
      </c>
    </row>
    <row r="1308" spans="1:10">
      <c r="A1308" s="192">
        <v>238800</v>
      </c>
      <c r="B1308" s="192">
        <v>24232</v>
      </c>
      <c r="C1308" s="192" t="s">
        <v>815</v>
      </c>
      <c r="D1308" s="192">
        <v>221</v>
      </c>
      <c r="E1308" s="192" t="s">
        <v>819</v>
      </c>
      <c r="F1308" s="192" t="s">
        <v>823</v>
      </c>
      <c r="G1308" s="192">
        <v>0.85000002384185791</v>
      </c>
      <c r="H1308" s="192" t="s">
        <v>823</v>
      </c>
      <c r="I1308" s="192">
        <v>1</v>
      </c>
      <c r="J1308" s="192">
        <f>VLOOKUP($B1308,'RBSA Weights'!$A$2:$C$1406,3,FALSE)</f>
        <v>2079.9929999999999</v>
      </c>
    </row>
    <row r="1309" spans="1:10">
      <c r="A1309" s="192">
        <v>190695</v>
      </c>
      <c r="B1309" s="192">
        <v>24242</v>
      </c>
      <c r="C1309" s="192" t="s">
        <v>815</v>
      </c>
      <c r="D1309" s="192">
        <v>149</v>
      </c>
      <c r="E1309" s="192" t="s">
        <v>819</v>
      </c>
      <c r="F1309" s="192" t="s">
        <v>818</v>
      </c>
      <c r="G1309" s="192">
        <v>0.55000001192092896</v>
      </c>
      <c r="H1309" s="192" t="s">
        <v>818</v>
      </c>
      <c r="I1309" s="192">
        <v>1</v>
      </c>
      <c r="J1309" s="192">
        <f>VLOOKUP($B1309,'RBSA Weights'!$A$2:$C$1406,3,FALSE)</f>
        <v>2130.886</v>
      </c>
    </row>
    <row r="1310" spans="1:10">
      <c r="A1310" s="192">
        <v>121950</v>
      </c>
      <c r="B1310" s="192">
        <v>24245</v>
      </c>
      <c r="C1310" s="192" t="s">
        <v>815</v>
      </c>
      <c r="D1310" s="192">
        <v>111</v>
      </c>
      <c r="E1310" s="192" t="s">
        <v>816</v>
      </c>
      <c r="F1310" s="192" t="s">
        <v>817</v>
      </c>
      <c r="G1310" s="192">
        <v>0.55000001192092896</v>
      </c>
      <c r="H1310" s="192" t="s">
        <v>818</v>
      </c>
      <c r="I1310" s="192">
        <v>1</v>
      </c>
      <c r="J1310" s="192">
        <f>VLOOKUP($B1310,'RBSA Weights'!$A$2:$C$1406,3,FALSE)</f>
        <v>1612.692</v>
      </c>
    </row>
    <row r="1311" spans="1:10">
      <c r="A1311" s="192">
        <v>129007</v>
      </c>
      <c r="B1311" s="192">
        <v>24246</v>
      </c>
      <c r="C1311" s="192" t="s">
        <v>815</v>
      </c>
      <c r="D1311" s="192">
        <v>435</v>
      </c>
      <c r="E1311" s="192" t="s">
        <v>816</v>
      </c>
      <c r="F1311" s="192" t="s">
        <v>821</v>
      </c>
      <c r="G1311" s="192">
        <v>0.94999998807907104</v>
      </c>
      <c r="H1311" s="192" t="s">
        <v>821</v>
      </c>
      <c r="I1311" s="192">
        <v>1</v>
      </c>
      <c r="J1311" s="192">
        <f>VLOOKUP($B1311,'RBSA Weights'!$A$2:$C$1406,3,FALSE)</f>
        <v>3785.7640000000001</v>
      </c>
    </row>
    <row r="1312" spans="1:10">
      <c r="A1312" s="192">
        <v>222803</v>
      </c>
      <c r="B1312" s="192">
        <v>24247</v>
      </c>
      <c r="C1312" s="192" t="s">
        <v>815</v>
      </c>
      <c r="D1312" s="192">
        <v>270</v>
      </c>
      <c r="E1312" s="192" t="s">
        <v>816</v>
      </c>
      <c r="F1312" s="192" t="s">
        <v>817</v>
      </c>
      <c r="G1312" s="192">
        <v>0.55000001192092896</v>
      </c>
      <c r="H1312" s="192" t="s">
        <v>818</v>
      </c>
      <c r="I1312" s="192">
        <v>1</v>
      </c>
      <c r="J1312" s="192">
        <f>VLOOKUP($B1312,'RBSA Weights'!$A$2:$C$1406,3,FALSE)</f>
        <v>1612.692</v>
      </c>
    </row>
    <row r="1313" spans="1:10">
      <c r="A1313" s="192">
        <v>110352</v>
      </c>
      <c r="B1313" s="192">
        <v>24249</v>
      </c>
      <c r="C1313" s="192" t="s">
        <v>815</v>
      </c>
      <c r="D1313" s="192">
        <v>334</v>
      </c>
      <c r="E1313" s="192" t="s">
        <v>816</v>
      </c>
      <c r="F1313" s="192" t="s">
        <v>817</v>
      </c>
      <c r="G1313" s="192">
        <v>0.44999998807907104</v>
      </c>
      <c r="H1313" s="192" t="s">
        <v>818</v>
      </c>
      <c r="I1313" s="192">
        <v>1</v>
      </c>
      <c r="J1313" s="192">
        <f>VLOOKUP($B1313,'RBSA Weights'!$A$2:$C$1406,3,FALSE)</f>
        <v>1904.288</v>
      </c>
    </row>
    <row r="1314" spans="1:10">
      <c r="A1314" s="192">
        <v>103645</v>
      </c>
      <c r="B1314" s="192">
        <v>24259</v>
      </c>
      <c r="C1314" s="192" t="s">
        <v>815</v>
      </c>
      <c r="D1314" s="192">
        <v>173</v>
      </c>
      <c r="E1314" s="192" t="s">
        <v>816</v>
      </c>
      <c r="F1314" s="192" t="s">
        <v>818</v>
      </c>
      <c r="G1314" s="192">
        <v>0.55000001192092896</v>
      </c>
      <c r="H1314" s="192" t="s">
        <v>818</v>
      </c>
      <c r="I1314" s="192">
        <v>1</v>
      </c>
      <c r="J1314" s="192">
        <f>VLOOKUP($B1314,'RBSA Weights'!$A$2:$C$1406,3,FALSE)</f>
        <v>1144.6790000000001</v>
      </c>
    </row>
    <row r="1315" spans="1:10">
      <c r="A1315" s="192">
        <v>44685</v>
      </c>
      <c r="B1315" s="192">
        <v>24266</v>
      </c>
      <c r="C1315" s="192" t="s">
        <v>815</v>
      </c>
      <c r="D1315" s="192">
        <v>316</v>
      </c>
      <c r="E1315" s="192" t="s">
        <v>816</v>
      </c>
      <c r="F1315" s="192" t="s">
        <v>818</v>
      </c>
      <c r="G1315" s="192">
        <v>0.55000001192092896</v>
      </c>
      <c r="H1315" s="192" t="s">
        <v>818</v>
      </c>
      <c r="I1315" s="192">
        <v>1</v>
      </c>
      <c r="J1315" s="192">
        <f>VLOOKUP($B1315,'RBSA Weights'!$A$2:$C$1406,3,FALSE)</f>
        <v>8264.9449999999997</v>
      </c>
    </row>
    <row r="1316" spans="1:10">
      <c r="A1316" s="192">
        <v>34166</v>
      </c>
      <c r="B1316" s="192">
        <v>24288</v>
      </c>
      <c r="C1316" s="192" t="s">
        <v>815</v>
      </c>
      <c r="D1316" s="192">
        <v>443</v>
      </c>
      <c r="E1316" s="192" t="s">
        <v>816</v>
      </c>
      <c r="F1316" s="192" t="s">
        <v>817</v>
      </c>
      <c r="G1316" s="192">
        <v>0.44999998807907104</v>
      </c>
      <c r="H1316" s="192" t="s">
        <v>818</v>
      </c>
      <c r="I1316" s="192">
        <v>1</v>
      </c>
      <c r="J1316" s="192">
        <f>VLOOKUP($B1316,'RBSA Weights'!$A$2:$C$1406,3,FALSE)</f>
        <v>2130.886</v>
      </c>
    </row>
    <row r="1317" spans="1:10">
      <c r="A1317" s="192">
        <v>80984</v>
      </c>
      <c r="B1317" s="192">
        <v>24296</v>
      </c>
      <c r="C1317" s="192" t="s">
        <v>815</v>
      </c>
      <c r="D1317" s="192">
        <v>195</v>
      </c>
      <c r="E1317" s="192" t="s">
        <v>816</v>
      </c>
      <c r="F1317" s="192" t="s">
        <v>817</v>
      </c>
      <c r="G1317" s="192">
        <v>0.44999998807907104</v>
      </c>
      <c r="H1317" s="192" t="s">
        <v>818</v>
      </c>
      <c r="I1317" s="192">
        <v>1</v>
      </c>
      <c r="J1317" s="192">
        <f>VLOOKUP($B1317,'RBSA Weights'!$A$2:$C$1406,3,FALSE)</f>
        <v>3785.7640000000001</v>
      </c>
    </row>
    <row r="1318" spans="1:10">
      <c r="A1318" s="192">
        <v>690065</v>
      </c>
      <c r="B1318" s="192">
        <v>24310</v>
      </c>
      <c r="C1318" s="192" t="s">
        <v>815</v>
      </c>
      <c r="D1318" s="192">
        <v>140</v>
      </c>
      <c r="E1318" s="192" t="s">
        <v>816</v>
      </c>
      <c r="F1318" s="192" t="s">
        <v>818</v>
      </c>
      <c r="G1318" s="192">
        <v>0.55000001192092896</v>
      </c>
      <c r="H1318" s="192" t="s">
        <v>818</v>
      </c>
      <c r="I1318" s="192">
        <v>1</v>
      </c>
      <c r="J1318" s="192">
        <f>VLOOKUP($B1318,'RBSA Weights'!$A$2:$C$1406,3,FALSE)</f>
        <v>1904.288</v>
      </c>
    </row>
    <row r="1319" spans="1:10">
      <c r="A1319" s="192">
        <v>783197</v>
      </c>
      <c r="B1319" s="192">
        <v>24311</v>
      </c>
      <c r="C1319" s="192" t="s">
        <v>815</v>
      </c>
      <c r="D1319" s="192">
        <v>178</v>
      </c>
      <c r="E1319" s="192" t="s">
        <v>816</v>
      </c>
      <c r="F1319" s="192" t="s">
        <v>818</v>
      </c>
      <c r="G1319" s="192">
        <v>0.55000001192092896</v>
      </c>
      <c r="H1319" s="192" t="s">
        <v>818</v>
      </c>
      <c r="I1319" s="192">
        <v>1</v>
      </c>
      <c r="J1319" s="192">
        <f>VLOOKUP($B1319,'RBSA Weights'!$A$2:$C$1406,3,FALSE)</f>
        <v>8264.9449999999997</v>
      </c>
    </row>
    <row r="1320" spans="1:10">
      <c r="A1320" s="192">
        <v>161561</v>
      </c>
      <c r="B1320" s="192">
        <v>24312</v>
      </c>
      <c r="C1320" s="192" t="s">
        <v>815</v>
      </c>
      <c r="D1320" s="192">
        <v>167</v>
      </c>
      <c r="E1320" s="192" t="s">
        <v>816</v>
      </c>
      <c r="F1320" s="192" t="s">
        <v>821</v>
      </c>
      <c r="G1320" s="192">
        <v>0.94999998807907104</v>
      </c>
      <c r="H1320" s="192" t="s">
        <v>821</v>
      </c>
      <c r="I1320" s="192">
        <v>1</v>
      </c>
      <c r="J1320" s="192">
        <f>VLOOKUP($B1320,'RBSA Weights'!$A$2:$C$1406,3,FALSE)</f>
        <v>2079.9929999999999</v>
      </c>
    </row>
    <row r="1321" spans="1:10">
      <c r="A1321" s="192">
        <v>95935</v>
      </c>
      <c r="B1321" s="192">
        <v>24317</v>
      </c>
      <c r="C1321" s="192" t="s">
        <v>815</v>
      </c>
      <c r="D1321" s="192">
        <v>337</v>
      </c>
      <c r="E1321" s="192" t="s">
        <v>816</v>
      </c>
      <c r="F1321" s="192" t="s">
        <v>825</v>
      </c>
      <c r="G1321" s="192">
        <v>0.2199999988079071</v>
      </c>
      <c r="H1321" s="192" t="s">
        <v>826</v>
      </c>
      <c r="I1321" s="192">
        <v>1</v>
      </c>
      <c r="J1321" s="192">
        <f>VLOOKUP($B1321,'RBSA Weights'!$A$2:$C$1406,3,FALSE)</f>
        <v>1144.6790000000001</v>
      </c>
    </row>
    <row r="1322" spans="1:10">
      <c r="A1322" s="192">
        <v>52012</v>
      </c>
      <c r="B1322" s="192">
        <v>24332</v>
      </c>
      <c r="C1322" s="192" t="s">
        <v>815</v>
      </c>
      <c r="D1322" s="192">
        <v>156</v>
      </c>
      <c r="E1322" s="192" t="s">
        <v>816</v>
      </c>
      <c r="F1322" s="192" t="s">
        <v>817</v>
      </c>
      <c r="G1322" s="192">
        <v>0.44999998807907104</v>
      </c>
      <c r="H1322" s="192" t="s">
        <v>818</v>
      </c>
      <c r="I1322" s="192">
        <v>1</v>
      </c>
      <c r="J1322" s="192">
        <f>VLOOKUP($B1322,'RBSA Weights'!$A$2:$C$1406,3,FALSE)</f>
        <v>2130.886</v>
      </c>
    </row>
    <row r="1323" spans="1:10">
      <c r="A1323" s="192">
        <v>112196</v>
      </c>
      <c r="B1323" s="192">
        <v>24341</v>
      </c>
      <c r="C1323" s="192" t="s">
        <v>815</v>
      </c>
      <c r="D1323" s="192">
        <v>235</v>
      </c>
      <c r="E1323" s="192" t="s">
        <v>816</v>
      </c>
      <c r="F1323" s="192" t="s">
        <v>818</v>
      </c>
      <c r="G1323" s="192">
        <v>0.60000002384185791</v>
      </c>
      <c r="H1323" s="192" t="s">
        <v>818</v>
      </c>
      <c r="I1323" s="192">
        <v>1</v>
      </c>
      <c r="J1323" s="192">
        <f>VLOOKUP($B1323,'RBSA Weights'!$A$2:$C$1406,3,FALSE)</f>
        <v>1904.288</v>
      </c>
    </row>
    <row r="1324" spans="1:10">
      <c r="A1324" s="192">
        <v>106218</v>
      </c>
      <c r="B1324" s="192">
        <v>24342</v>
      </c>
      <c r="C1324" s="192" t="s">
        <v>815</v>
      </c>
      <c r="D1324" s="192">
        <v>140</v>
      </c>
      <c r="E1324" s="192" t="s">
        <v>816</v>
      </c>
      <c r="F1324" s="192" t="s">
        <v>818</v>
      </c>
      <c r="G1324" s="192">
        <v>0.60000002384185791</v>
      </c>
      <c r="H1324" s="192" t="s">
        <v>818</v>
      </c>
      <c r="I1324" s="192">
        <v>1</v>
      </c>
      <c r="J1324" s="192">
        <f>VLOOKUP($B1324,'RBSA Weights'!$A$2:$C$1406,3,FALSE)</f>
        <v>2130.886</v>
      </c>
    </row>
    <row r="1325" spans="1:10">
      <c r="A1325" s="192">
        <v>128551</v>
      </c>
      <c r="B1325" s="192">
        <v>24347</v>
      </c>
      <c r="C1325" s="192" t="s">
        <v>815</v>
      </c>
      <c r="D1325" s="192">
        <v>415</v>
      </c>
      <c r="E1325" s="192" t="s">
        <v>816</v>
      </c>
      <c r="F1325" s="192" t="s">
        <v>818</v>
      </c>
      <c r="G1325" s="192">
        <v>0.60000002384185791</v>
      </c>
      <c r="H1325" s="192" t="s">
        <v>818</v>
      </c>
      <c r="I1325" s="192">
        <v>1</v>
      </c>
      <c r="J1325" s="192">
        <f>VLOOKUP($B1325,'RBSA Weights'!$A$2:$C$1406,3,FALSE)</f>
        <v>1904.288</v>
      </c>
    </row>
    <row r="1326" spans="1:10">
      <c r="A1326" s="192">
        <v>803441</v>
      </c>
      <c r="B1326" s="192">
        <v>24349</v>
      </c>
      <c r="C1326" s="192" t="s">
        <v>815</v>
      </c>
      <c r="D1326" s="192">
        <v>172</v>
      </c>
      <c r="E1326" s="192" t="s">
        <v>819</v>
      </c>
      <c r="F1326" s="192" t="s">
        <v>821</v>
      </c>
      <c r="G1326" s="192">
        <v>0.75</v>
      </c>
      <c r="H1326" s="192" t="s">
        <v>821</v>
      </c>
      <c r="I1326" s="192">
        <v>1</v>
      </c>
      <c r="J1326" s="192">
        <f>VLOOKUP($B1326,'RBSA Weights'!$A$2:$C$1406,3,FALSE)</f>
        <v>8559.1039999999994</v>
      </c>
    </row>
    <row r="1327" spans="1:10">
      <c r="A1327" s="192">
        <v>95820</v>
      </c>
      <c r="B1327" s="192">
        <v>24351</v>
      </c>
      <c r="C1327" s="192" t="s">
        <v>815</v>
      </c>
      <c r="D1327" s="192">
        <v>263</v>
      </c>
      <c r="E1327" s="192" t="s">
        <v>816</v>
      </c>
      <c r="F1327" s="192" t="s">
        <v>817</v>
      </c>
      <c r="G1327" s="192">
        <v>0.44999998807907104</v>
      </c>
      <c r="H1327" s="192" t="s">
        <v>818</v>
      </c>
      <c r="I1327" s="192">
        <v>1</v>
      </c>
      <c r="J1327" s="192">
        <f>VLOOKUP($B1327,'RBSA Weights'!$A$2:$C$1406,3,FALSE)</f>
        <v>1144.6790000000001</v>
      </c>
    </row>
    <row r="1328" spans="1:10">
      <c r="A1328" s="192">
        <v>67714</v>
      </c>
      <c r="B1328" s="192">
        <v>24363</v>
      </c>
      <c r="C1328" s="192" t="s">
        <v>815</v>
      </c>
      <c r="D1328" s="192">
        <v>190</v>
      </c>
      <c r="E1328" s="192" t="s">
        <v>816</v>
      </c>
      <c r="F1328" s="192" t="s">
        <v>817</v>
      </c>
      <c r="G1328" s="192">
        <v>0.44999998807907104</v>
      </c>
      <c r="H1328" s="192" t="s">
        <v>818</v>
      </c>
      <c r="I1328" s="192">
        <v>1</v>
      </c>
      <c r="J1328" s="192">
        <f>VLOOKUP($B1328,'RBSA Weights'!$A$2:$C$1406,3,FALSE)</f>
        <v>3785.7640000000001</v>
      </c>
    </row>
    <row r="1329" spans="1:10">
      <c r="A1329" s="192">
        <v>690390</v>
      </c>
      <c r="B1329" s="192">
        <v>24366</v>
      </c>
      <c r="C1329" s="192" t="s">
        <v>815</v>
      </c>
      <c r="D1329" s="192">
        <v>211</v>
      </c>
      <c r="E1329" s="192" t="s">
        <v>816</v>
      </c>
      <c r="F1329" s="192" t="s">
        <v>817</v>
      </c>
      <c r="G1329" s="192">
        <v>0.44999998807907104</v>
      </c>
      <c r="H1329" s="192" t="s">
        <v>818</v>
      </c>
      <c r="I1329" s="192">
        <v>1</v>
      </c>
      <c r="J1329" s="192">
        <f>VLOOKUP($B1329,'RBSA Weights'!$A$2:$C$1406,3,FALSE)</f>
        <v>12271.31</v>
      </c>
    </row>
    <row r="1330" spans="1:10">
      <c r="A1330" s="192">
        <v>225718</v>
      </c>
      <c r="B1330" s="192">
        <v>24373</v>
      </c>
      <c r="C1330" s="192" t="s">
        <v>815</v>
      </c>
      <c r="D1330" s="192">
        <v>261</v>
      </c>
      <c r="E1330" s="192" t="s">
        <v>816</v>
      </c>
      <c r="F1330" s="192" t="s">
        <v>817</v>
      </c>
      <c r="G1330" s="192">
        <v>0.55000001192092896</v>
      </c>
      <c r="H1330" s="192" t="s">
        <v>818</v>
      </c>
      <c r="I1330" s="192">
        <v>1</v>
      </c>
      <c r="J1330" s="192">
        <f>VLOOKUP($B1330,'RBSA Weights'!$A$2:$C$1406,3,FALSE)</f>
        <v>1904.288</v>
      </c>
    </row>
    <row r="1331" spans="1:10">
      <c r="A1331" s="192">
        <v>669456</v>
      </c>
      <c r="B1331" s="192">
        <v>24375</v>
      </c>
      <c r="C1331" s="192" t="s">
        <v>815</v>
      </c>
      <c r="D1331" s="192">
        <v>128</v>
      </c>
      <c r="E1331" s="192" t="s">
        <v>816</v>
      </c>
      <c r="F1331" s="192" t="s">
        <v>817</v>
      </c>
      <c r="G1331" s="192">
        <v>0.44999998807907104</v>
      </c>
      <c r="H1331" s="192" t="s">
        <v>818</v>
      </c>
      <c r="I1331" s="192">
        <v>1</v>
      </c>
      <c r="J1331" s="192">
        <f>VLOOKUP($B1331,'RBSA Weights'!$A$2:$C$1406,3,FALSE)</f>
        <v>1612.692</v>
      </c>
    </row>
    <row r="1332" spans="1:10">
      <c r="A1332" s="192">
        <v>725915</v>
      </c>
      <c r="B1332" s="192">
        <v>24378</v>
      </c>
      <c r="C1332" s="192" t="s">
        <v>815</v>
      </c>
      <c r="D1332" s="192">
        <v>198</v>
      </c>
      <c r="E1332" s="192" t="s">
        <v>816</v>
      </c>
      <c r="F1332" s="192" t="s">
        <v>817</v>
      </c>
      <c r="G1332" s="192">
        <v>0.44999998807907104</v>
      </c>
      <c r="H1332" s="192" t="s">
        <v>818</v>
      </c>
      <c r="I1332" s="192">
        <v>1</v>
      </c>
      <c r="J1332" s="192">
        <f>VLOOKUP($B1332,'RBSA Weights'!$A$2:$C$1406,3,FALSE)</f>
        <v>12271.31</v>
      </c>
    </row>
    <row r="1333" spans="1:10">
      <c r="A1333" s="192">
        <v>168065</v>
      </c>
      <c r="B1333" s="192">
        <v>24398</v>
      </c>
      <c r="C1333" s="192" t="s">
        <v>815</v>
      </c>
      <c r="D1333" s="192">
        <v>135</v>
      </c>
      <c r="E1333" s="192" t="s">
        <v>816</v>
      </c>
      <c r="F1333" s="192" t="s">
        <v>817</v>
      </c>
      <c r="G1333" s="192">
        <v>0.44999998807907104</v>
      </c>
      <c r="H1333" s="192" t="s">
        <v>818</v>
      </c>
      <c r="I1333" s="192">
        <v>1</v>
      </c>
      <c r="J1333" s="192">
        <f>VLOOKUP($B1333,'RBSA Weights'!$A$2:$C$1406,3,FALSE)</f>
        <v>1612.692</v>
      </c>
    </row>
    <row r="1334" spans="1:10">
      <c r="A1334" s="192">
        <v>685558</v>
      </c>
      <c r="B1334" s="192">
        <v>24400</v>
      </c>
      <c r="C1334" s="192" t="s">
        <v>815</v>
      </c>
      <c r="D1334" s="192">
        <v>347</v>
      </c>
      <c r="E1334" s="192" t="s">
        <v>816</v>
      </c>
      <c r="F1334" s="192" t="s">
        <v>820</v>
      </c>
      <c r="G1334" s="192">
        <v>0.85000002384185791</v>
      </c>
      <c r="H1334" s="192" t="s">
        <v>820</v>
      </c>
      <c r="I1334" s="192">
        <v>1</v>
      </c>
      <c r="J1334" s="192">
        <f>VLOOKUP($B1334,'RBSA Weights'!$A$2:$C$1406,3,FALSE)</f>
        <v>1612.692</v>
      </c>
    </row>
    <row r="1335" spans="1:10">
      <c r="A1335" s="192">
        <v>130138</v>
      </c>
      <c r="B1335" s="192">
        <v>24401</v>
      </c>
      <c r="C1335" s="192" t="s">
        <v>815</v>
      </c>
      <c r="D1335" s="192">
        <v>362</v>
      </c>
      <c r="E1335" s="192" t="s">
        <v>816</v>
      </c>
      <c r="F1335" s="192" t="s">
        <v>817</v>
      </c>
      <c r="G1335" s="192">
        <v>0.55000001192092896</v>
      </c>
      <c r="H1335" s="192" t="s">
        <v>818</v>
      </c>
      <c r="I1335" s="192">
        <v>1</v>
      </c>
      <c r="J1335" s="192">
        <f>VLOOKUP($B1335,'RBSA Weights'!$A$2:$C$1406,3,FALSE)</f>
        <v>1612.692</v>
      </c>
    </row>
    <row r="1336" spans="1:10">
      <c r="A1336" s="192">
        <v>187057</v>
      </c>
      <c r="B1336" s="192">
        <v>24402</v>
      </c>
      <c r="C1336" s="192" t="s">
        <v>815</v>
      </c>
      <c r="D1336" s="192">
        <v>231</v>
      </c>
      <c r="E1336" s="192" t="s">
        <v>816</v>
      </c>
      <c r="F1336" s="192" t="s">
        <v>818</v>
      </c>
      <c r="G1336" s="192">
        <v>0.55000001192092896</v>
      </c>
      <c r="H1336" s="192" t="s">
        <v>818</v>
      </c>
      <c r="I1336" s="192">
        <v>1</v>
      </c>
      <c r="J1336" s="192">
        <f>VLOOKUP($B1336,'RBSA Weights'!$A$2:$C$1406,3,FALSE)</f>
        <v>4360.1880000000001</v>
      </c>
    </row>
    <row r="1337" spans="1:10">
      <c r="A1337" s="192">
        <v>170631</v>
      </c>
      <c r="B1337" s="192">
        <v>24408</v>
      </c>
      <c r="C1337" s="192" t="s">
        <v>815</v>
      </c>
      <c r="D1337" s="192">
        <v>344</v>
      </c>
      <c r="E1337" s="192" t="s">
        <v>816</v>
      </c>
      <c r="F1337" s="192" t="s">
        <v>820</v>
      </c>
      <c r="G1337" s="192">
        <v>0.80000001192092896</v>
      </c>
      <c r="H1337" s="192" t="s">
        <v>820</v>
      </c>
      <c r="I1337" s="192">
        <v>1</v>
      </c>
      <c r="J1337" s="192">
        <f>VLOOKUP($B1337,'RBSA Weights'!$A$2:$C$1406,3,FALSE)</f>
        <v>1612.692</v>
      </c>
    </row>
    <row r="1338" spans="1:10">
      <c r="A1338" s="192">
        <v>128405</v>
      </c>
      <c r="B1338" s="192">
        <v>24410</v>
      </c>
      <c r="C1338" s="192" t="s">
        <v>815</v>
      </c>
      <c r="D1338" s="192">
        <v>320</v>
      </c>
      <c r="E1338" s="192" t="s">
        <v>816</v>
      </c>
      <c r="F1338" s="192" t="s">
        <v>817</v>
      </c>
      <c r="G1338" s="192">
        <v>0.44999998807907104</v>
      </c>
      <c r="H1338" s="192" t="s">
        <v>818</v>
      </c>
      <c r="I1338" s="192">
        <v>1</v>
      </c>
      <c r="J1338" s="192">
        <f>VLOOKUP($B1338,'RBSA Weights'!$A$2:$C$1406,3,FALSE)</f>
        <v>1144.6790000000001</v>
      </c>
    </row>
    <row r="1339" spans="1:10">
      <c r="A1339" s="192">
        <v>205433</v>
      </c>
      <c r="B1339" s="192">
        <v>24417</v>
      </c>
      <c r="C1339" s="192" t="s">
        <v>815</v>
      </c>
      <c r="D1339" s="192">
        <v>150</v>
      </c>
      <c r="E1339" s="192" t="s">
        <v>816</v>
      </c>
      <c r="F1339" s="192" t="s">
        <v>820</v>
      </c>
      <c r="G1339" s="192">
        <v>0.85000002384185791</v>
      </c>
      <c r="H1339" s="192" t="s">
        <v>820</v>
      </c>
      <c r="I1339" s="192">
        <v>1</v>
      </c>
      <c r="J1339" s="192">
        <f>VLOOKUP($B1339,'RBSA Weights'!$A$2:$C$1406,3,FALSE)</f>
        <v>1904.288</v>
      </c>
    </row>
    <row r="1340" spans="1:10">
      <c r="A1340" s="192">
        <v>109257</v>
      </c>
      <c r="B1340" s="192">
        <v>24418</v>
      </c>
      <c r="C1340" s="192" t="s">
        <v>815</v>
      </c>
      <c r="D1340" s="192">
        <v>581</v>
      </c>
      <c r="E1340" s="192" t="s">
        <v>816</v>
      </c>
      <c r="F1340" s="192" t="s">
        <v>817</v>
      </c>
      <c r="G1340" s="192">
        <v>0.44999998807907104</v>
      </c>
      <c r="H1340" s="192" t="s">
        <v>818</v>
      </c>
      <c r="I1340" s="192">
        <v>1</v>
      </c>
      <c r="J1340" s="192">
        <f>VLOOKUP($B1340,'RBSA Weights'!$A$2:$C$1406,3,FALSE)</f>
        <v>1144.6790000000001</v>
      </c>
    </row>
    <row r="1341" spans="1:10">
      <c r="A1341" s="192">
        <v>222905</v>
      </c>
      <c r="B1341" s="192">
        <v>24419</v>
      </c>
      <c r="C1341" s="192" t="s">
        <v>815</v>
      </c>
      <c r="D1341" s="192">
        <v>250</v>
      </c>
      <c r="E1341" s="192" t="s">
        <v>816</v>
      </c>
      <c r="F1341" s="192" t="s">
        <v>817</v>
      </c>
      <c r="G1341" s="192">
        <v>0.55000001192092896</v>
      </c>
      <c r="H1341" s="192" t="s">
        <v>818</v>
      </c>
      <c r="I1341" s="192">
        <v>1</v>
      </c>
      <c r="J1341" s="192">
        <f>VLOOKUP($B1341,'RBSA Weights'!$A$2:$C$1406,3,FALSE)</f>
        <v>1612.692</v>
      </c>
    </row>
    <row r="1342" spans="1:10">
      <c r="A1342" s="192">
        <v>42103</v>
      </c>
      <c r="B1342" s="192">
        <v>24436</v>
      </c>
      <c r="C1342" s="192" t="s">
        <v>815</v>
      </c>
      <c r="D1342" s="192">
        <v>326</v>
      </c>
      <c r="E1342" s="192" t="s">
        <v>816</v>
      </c>
      <c r="F1342" s="192" t="s">
        <v>818</v>
      </c>
      <c r="G1342" s="192">
        <v>0.60000002384185791</v>
      </c>
      <c r="H1342" s="192" t="s">
        <v>818</v>
      </c>
      <c r="I1342" s="192">
        <v>1</v>
      </c>
      <c r="J1342" s="192">
        <f>VLOOKUP($B1342,'RBSA Weights'!$A$2:$C$1406,3,FALSE)</f>
        <v>2079.9929999999999</v>
      </c>
    </row>
    <row r="1343" spans="1:10">
      <c r="A1343" s="192">
        <v>70282</v>
      </c>
      <c r="B1343" s="192">
        <v>24445</v>
      </c>
      <c r="C1343" s="192" t="s">
        <v>815</v>
      </c>
      <c r="D1343" s="192">
        <v>249</v>
      </c>
      <c r="E1343" s="192" t="s">
        <v>816</v>
      </c>
      <c r="F1343" s="192" t="s">
        <v>820</v>
      </c>
      <c r="G1343" s="192">
        <v>0.85000002384185791</v>
      </c>
      <c r="H1343" s="192" t="s">
        <v>820</v>
      </c>
      <c r="I1343" s="192">
        <v>1</v>
      </c>
      <c r="J1343" s="192">
        <f>VLOOKUP($B1343,'RBSA Weights'!$A$2:$C$1406,3,FALSE)</f>
        <v>1904.288</v>
      </c>
    </row>
    <row r="1344" spans="1:10">
      <c r="A1344" s="192">
        <v>107827</v>
      </c>
      <c r="B1344" s="192">
        <v>24451</v>
      </c>
      <c r="C1344" s="192" t="s">
        <v>815</v>
      </c>
      <c r="D1344" s="192">
        <v>136</v>
      </c>
      <c r="E1344" s="192" t="s">
        <v>816</v>
      </c>
      <c r="F1344" s="192" t="s">
        <v>820</v>
      </c>
      <c r="G1344" s="192">
        <v>0.85000002384185791</v>
      </c>
      <c r="H1344" s="192" t="s">
        <v>820</v>
      </c>
      <c r="I1344" s="192">
        <v>1</v>
      </c>
      <c r="J1344" s="192">
        <f>VLOOKUP($B1344,'RBSA Weights'!$A$2:$C$1406,3,FALSE)</f>
        <v>2079.9929999999999</v>
      </c>
    </row>
    <row r="1345" spans="1:10">
      <c r="A1345" s="192">
        <v>143709</v>
      </c>
      <c r="B1345" s="192">
        <v>24456</v>
      </c>
      <c r="C1345" s="192" t="s">
        <v>815</v>
      </c>
      <c r="D1345" s="192">
        <v>212</v>
      </c>
      <c r="E1345" s="192" t="s">
        <v>816</v>
      </c>
      <c r="F1345" s="192" t="s">
        <v>818</v>
      </c>
      <c r="G1345" s="192">
        <v>0.55000001192092896</v>
      </c>
      <c r="H1345" s="192" t="s">
        <v>818</v>
      </c>
      <c r="I1345" s="192">
        <v>1</v>
      </c>
      <c r="J1345" s="192">
        <f>VLOOKUP($B1345,'RBSA Weights'!$A$2:$C$1406,3,FALSE)</f>
        <v>2130.886</v>
      </c>
    </row>
    <row r="1346" spans="1:10">
      <c r="A1346" s="192">
        <v>222696</v>
      </c>
      <c r="B1346" s="192">
        <v>24462</v>
      </c>
      <c r="C1346" s="192" t="s">
        <v>815</v>
      </c>
      <c r="D1346" s="192">
        <v>213</v>
      </c>
      <c r="E1346" s="192" t="s">
        <v>816</v>
      </c>
      <c r="F1346" s="192" t="s">
        <v>820</v>
      </c>
      <c r="G1346" s="192">
        <v>0.85000002384185791</v>
      </c>
      <c r="H1346" s="192" t="s">
        <v>820</v>
      </c>
      <c r="I1346" s="192">
        <v>1</v>
      </c>
      <c r="J1346" s="192">
        <f>VLOOKUP($B1346,'RBSA Weights'!$A$2:$C$1406,3,FALSE)</f>
        <v>3785.7640000000001</v>
      </c>
    </row>
    <row r="1347" spans="1:10">
      <c r="A1347" s="192">
        <v>187583</v>
      </c>
      <c r="B1347" s="192">
        <v>24467</v>
      </c>
      <c r="C1347" s="192" t="s">
        <v>815</v>
      </c>
      <c r="D1347" s="192">
        <v>309</v>
      </c>
      <c r="E1347" s="192" t="s">
        <v>816</v>
      </c>
      <c r="F1347" s="192" t="s">
        <v>817</v>
      </c>
      <c r="G1347" s="192">
        <v>0.55000001192092896</v>
      </c>
      <c r="H1347" s="192" t="s">
        <v>818</v>
      </c>
      <c r="I1347" s="192">
        <v>1</v>
      </c>
      <c r="J1347" s="192">
        <f>VLOOKUP($B1347,'RBSA Weights'!$A$2:$C$1406,3,FALSE)</f>
        <v>1612.692</v>
      </c>
    </row>
    <row r="1348" spans="1:10">
      <c r="A1348" s="192">
        <v>175639</v>
      </c>
      <c r="B1348" s="192">
        <v>24479</v>
      </c>
      <c r="C1348" s="192" t="s">
        <v>815</v>
      </c>
      <c r="D1348" s="192">
        <v>135</v>
      </c>
      <c r="E1348" s="192" t="s">
        <v>816</v>
      </c>
      <c r="F1348" s="192" t="s">
        <v>817</v>
      </c>
      <c r="G1348" s="192">
        <v>0.44999998807907104</v>
      </c>
      <c r="H1348" s="192" t="s">
        <v>818</v>
      </c>
      <c r="I1348" s="192">
        <v>1</v>
      </c>
      <c r="J1348" s="192">
        <f>VLOOKUP($B1348,'RBSA Weights'!$A$2:$C$1406,3,FALSE)</f>
        <v>8264.9449999999997</v>
      </c>
    </row>
    <row r="1349" spans="1:10">
      <c r="A1349" s="192">
        <v>57812</v>
      </c>
      <c r="B1349" s="192">
        <v>24488</v>
      </c>
      <c r="C1349" s="192" t="s">
        <v>815</v>
      </c>
      <c r="D1349" s="192">
        <v>407</v>
      </c>
      <c r="E1349" s="192" t="s">
        <v>816</v>
      </c>
      <c r="F1349" s="192" t="s">
        <v>818</v>
      </c>
      <c r="G1349" s="192">
        <v>0.55000001192092896</v>
      </c>
      <c r="H1349" s="192" t="s">
        <v>818</v>
      </c>
      <c r="I1349" s="192">
        <v>1</v>
      </c>
      <c r="J1349" s="192">
        <f>VLOOKUP($B1349,'RBSA Weights'!$A$2:$C$1406,3,FALSE)</f>
        <v>2079.9929999999999</v>
      </c>
    </row>
    <row r="1350" spans="1:10">
      <c r="A1350" s="192">
        <v>680338</v>
      </c>
      <c r="B1350" s="192">
        <v>24495</v>
      </c>
      <c r="C1350" s="192" t="s">
        <v>815</v>
      </c>
      <c r="D1350" s="192">
        <v>421</v>
      </c>
      <c r="E1350" s="192" t="s">
        <v>816</v>
      </c>
      <c r="F1350" s="192" t="s">
        <v>818</v>
      </c>
      <c r="G1350" s="192">
        <v>0.55000001192092896</v>
      </c>
      <c r="H1350" s="192" t="s">
        <v>818</v>
      </c>
      <c r="I1350" s="192">
        <v>1</v>
      </c>
      <c r="J1350" s="192">
        <f>VLOOKUP($B1350,'RBSA Weights'!$A$2:$C$1406,3,FALSE)</f>
        <v>4360.1880000000001</v>
      </c>
    </row>
    <row r="1351" spans="1:10">
      <c r="A1351" s="192">
        <v>192612</v>
      </c>
      <c r="B1351" s="192">
        <v>24499</v>
      </c>
      <c r="C1351" s="192" t="s">
        <v>815</v>
      </c>
      <c r="D1351" s="192">
        <v>153</v>
      </c>
      <c r="E1351" s="192" t="s">
        <v>816</v>
      </c>
      <c r="F1351" s="192" t="s">
        <v>820</v>
      </c>
      <c r="G1351" s="192">
        <v>0.85000002384185791</v>
      </c>
      <c r="H1351" s="192" t="s">
        <v>820</v>
      </c>
      <c r="I1351" s="192">
        <v>1</v>
      </c>
      <c r="J1351" s="192">
        <f>VLOOKUP($B1351,'RBSA Weights'!$A$2:$C$1406,3,FALSE)</f>
        <v>1192.4649999999999</v>
      </c>
    </row>
    <row r="1352" spans="1:10">
      <c r="A1352" s="192">
        <v>163134</v>
      </c>
      <c r="B1352" s="192">
        <v>24500</v>
      </c>
      <c r="C1352" s="192" t="s">
        <v>815</v>
      </c>
      <c r="D1352" s="192">
        <v>197</v>
      </c>
      <c r="E1352" s="192" t="s">
        <v>816</v>
      </c>
      <c r="F1352" s="192" t="s">
        <v>817</v>
      </c>
      <c r="G1352" s="192">
        <v>0.55000001192092896</v>
      </c>
      <c r="H1352" s="192" t="s">
        <v>818</v>
      </c>
      <c r="I1352" s="192">
        <v>1</v>
      </c>
      <c r="J1352" s="192">
        <f>VLOOKUP($B1352,'RBSA Weights'!$A$2:$C$1406,3,FALSE)</f>
        <v>1192.4649999999999</v>
      </c>
    </row>
    <row r="1353" spans="1:10">
      <c r="A1353" s="192">
        <v>226033</v>
      </c>
      <c r="B1353" s="192">
        <v>24510</v>
      </c>
      <c r="C1353" s="192" t="s">
        <v>815</v>
      </c>
      <c r="D1353" s="192">
        <v>342</v>
      </c>
      <c r="E1353" s="192" t="s">
        <v>816</v>
      </c>
      <c r="F1353" s="192" t="s">
        <v>822</v>
      </c>
      <c r="G1353" s="192">
        <v>0.75</v>
      </c>
      <c r="H1353" s="192" t="s">
        <v>820</v>
      </c>
      <c r="I1353" s="192">
        <v>1</v>
      </c>
      <c r="J1353" s="192">
        <f>VLOOKUP($B1353,'RBSA Weights'!$A$2:$C$1406,3,FALSE)</f>
        <v>1904.288</v>
      </c>
    </row>
    <row r="1354" spans="1:10">
      <c r="A1354" s="192">
        <v>68989</v>
      </c>
      <c r="B1354" s="192">
        <v>24521</v>
      </c>
      <c r="C1354" s="192" t="s">
        <v>815</v>
      </c>
      <c r="D1354" s="192">
        <v>85</v>
      </c>
      <c r="E1354" s="192" t="s">
        <v>819</v>
      </c>
      <c r="F1354" s="192" t="s">
        <v>821</v>
      </c>
      <c r="G1354" s="192">
        <v>0.75</v>
      </c>
      <c r="H1354" s="192" t="s">
        <v>821</v>
      </c>
      <c r="I1354" s="192">
        <v>1</v>
      </c>
      <c r="J1354" s="192">
        <f>VLOOKUP($B1354,'RBSA Weights'!$A$2:$C$1406,3,FALSE)</f>
        <v>2130.886</v>
      </c>
    </row>
    <row r="1355" spans="1:10">
      <c r="A1355" s="192">
        <v>123952</v>
      </c>
      <c r="B1355" s="192">
        <v>24522</v>
      </c>
      <c r="C1355" s="192" t="s">
        <v>815</v>
      </c>
      <c r="D1355" s="192">
        <v>341</v>
      </c>
      <c r="E1355" s="192" t="s">
        <v>816</v>
      </c>
      <c r="F1355" s="192" t="s">
        <v>817</v>
      </c>
      <c r="G1355" s="192">
        <v>0.44999998807907104</v>
      </c>
      <c r="H1355" s="192" t="s">
        <v>818</v>
      </c>
      <c r="I1355" s="192">
        <v>1</v>
      </c>
      <c r="J1355" s="192">
        <f>VLOOKUP($B1355,'RBSA Weights'!$A$2:$C$1406,3,FALSE)</f>
        <v>2079.9929999999999</v>
      </c>
    </row>
    <row r="1356" spans="1:10">
      <c r="A1356" s="192">
        <v>80344</v>
      </c>
      <c r="B1356" s="192">
        <v>24524</v>
      </c>
      <c r="C1356" s="192" t="s">
        <v>815</v>
      </c>
      <c r="D1356" s="192">
        <v>204</v>
      </c>
      <c r="E1356" s="192" t="s">
        <v>816</v>
      </c>
      <c r="F1356" s="192" t="s">
        <v>818</v>
      </c>
      <c r="G1356" s="192">
        <v>0.60000002384185791</v>
      </c>
      <c r="H1356" s="192" t="s">
        <v>818</v>
      </c>
      <c r="I1356" s="192">
        <v>1</v>
      </c>
      <c r="J1356" s="192">
        <f>VLOOKUP($B1356,'RBSA Weights'!$A$2:$C$1406,3,FALSE)</f>
        <v>1925.059</v>
      </c>
    </row>
    <row r="1357" spans="1:10">
      <c r="A1357" s="192">
        <v>152114</v>
      </c>
      <c r="B1357" s="192">
        <v>24533</v>
      </c>
      <c r="C1357" s="192" t="s">
        <v>815</v>
      </c>
      <c r="D1357" s="192">
        <v>222</v>
      </c>
      <c r="E1357" s="192" t="s">
        <v>816</v>
      </c>
      <c r="F1357" s="192" t="s">
        <v>817</v>
      </c>
      <c r="G1357" s="192">
        <v>0.44999998807907104</v>
      </c>
      <c r="H1357" s="192" t="s">
        <v>818</v>
      </c>
      <c r="I1357" s="192">
        <v>1</v>
      </c>
      <c r="J1357" s="192">
        <f>VLOOKUP($B1357,'RBSA Weights'!$A$2:$C$1406,3,FALSE)</f>
        <v>1612.692</v>
      </c>
    </row>
    <row r="1358" spans="1:10">
      <c r="A1358" s="192">
        <v>185740</v>
      </c>
      <c r="B1358" s="192">
        <v>24536</v>
      </c>
      <c r="C1358" s="192" t="s">
        <v>815</v>
      </c>
      <c r="D1358" s="192">
        <v>180</v>
      </c>
      <c r="E1358" s="192" t="s">
        <v>819</v>
      </c>
      <c r="F1358" s="192" t="s">
        <v>821</v>
      </c>
      <c r="G1358" s="192">
        <v>0.75</v>
      </c>
      <c r="H1358" s="192" t="s">
        <v>821</v>
      </c>
      <c r="I1358" s="192">
        <v>1</v>
      </c>
      <c r="J1358" s="192">
        <f>VLOOKUP($B1358,'RBSA Weights'!$A$2:$C$1406,3,FALSE)</f>
        <v>1192.4649999999999</v>
      </c>
    </row>
    <row r="1359" spans="1:10">
      <c r="A1359" s="192">
        <v>165515</v>
      </c>
      <c r="B1359" s="192">
        <v>24540</v>
      </c>
      <c r="C1359" s="192" t="s">
        <v>815</v>
      </c>
      <c r="D1359" s="192">
        <v>238</v>
      </c>
      <c r="E1359" s="192" t="s">
        <v>816</v>
      </c>
      <c r="F1359" s="192" t="s">
        <v>818</v>
      </c>
      <c r="G1359" s="192">
        <v>0.55000001192092896</v>
      </c>
      <c r="H1359" s="192" t="s">
        <v>818</v>
      </c>
      <c r="I1359" s="192">
        <v>1</v>
      </c>
      <c r="J1359" s="192">
        <f>VLOOKUP($B1359,'RBSA Weights'!$A$2:$C$1406,3,FALSE)</f>
        <v>1612.692</v>
      </c>
    </row>
    <row r="1360" spans="1:10">
      <c r="A1360" s="192">
        <v>101977</v>
      </c>
      <c r="B1360" s="192">
        <v>24547</v>
      </c>
      <c r="C1360" s="192" t="s">
        <v>815</v>
      </c>
      <c r="D1360" s="192">
        <v>161</v>
      </c>
      <c r="E1360" s="192" t="s">
        <v>816</v>
      </c>
      <c r="F1360" s="192" t="s">
        <v>817</v>
      </c>
      <c r="G1360" s="192">
        <v>0.44999998807907104</v>
      </c>
      <c r="H1360" s="192" t="s">
        <v>818</v>
      </c>
      <c r="I1360" s="192">
        <v>1</v>
      </c>
      <c r="J1360" s="192">
        <f>VLOOKUP($B1360,'RBSA Weights'!$A$2:$C$1406,3,FALSE)</f>
        <v>1144.6790000000001</v>
      </c>
    </row>
    <row r="1361" spans="1:10">
      <c r="A1361" s="192">
        <v>46915</v>
      </c>
      <c r="B1361" s="192">
        <v>24550</v>
      </c>
      <c r="C1361" s="192" t="s">
        <v>815</v>
      </c>
      <c r="D1361" s="192">
        <v>192</v>
      </c>
      <c r="E1361" s="192" t="s">
        <v>816</v>
      </c>
      <c r="F1361" s="192" t="s">
        <v>818</v>
      </c>
      <c r="G1361" s="192">
        <v>0.55000001192092896</v>
      </c>
      <c r="H1361" s="192" t="s">
        <v>818</v>
      </c>
      <c r="I1361" s="192">
        <v>1</v>
      </c>
      <c r="J1361" s="192">
        <f>VLOOKUP($B1361,'RBSA Weights'!$A$2:$C$1406,3,FALSE)</f>
        <v>8264.9449999999997</v>
      </c>
    </row>
    <row r="1362" spans="1:10">
      <c r="A1362" s="192">
        <v>179505</v>
      </c>
      <c r="B1362" s="192">
        <v>24551</v>
      </c>
      <c r="C1362" s="192" t="s">
        <v>815</v>
      </c>
      <c r="D1362" s="192">
        <v>205</v>
      </c>
      <c r="E1362" s="192" t="s">
        <v>816</v>
      </c>
      <c r="F1362" s="192" t="s">
        <v>817</v>
      </c>
      <c r="G1362" s="192">
        <v>0.55000001192092896</v>
      </c>
      <c r="H1362" s="192" t="s">
        <v>818</v>
      </c>
      <c r="I1362" s="192">
        <v>1</v>
      </c>
      <c r="J1362" s="192">
        <f>VLOOKUP($B1362,'RBSA Weights'!$A$2:$C$1406,3,FALSE)</f>
        <v>2130.886</v>
      </c>
    </row>
    <row r="1363" spans="1:10">
      <c r="A1363" s="192">
        <v>79999</v>
      </c>
      <c r="B1363" s="192">
        <v>24553</v>
      </c>
      <c r="C1363" s="192" t="s">
        <v>815</v>
      </c>
      <c r="D1363" s="192">
        <v>115</v>
      </c>
      <c r="E1363" s="192" t="s">
        <v>816</v>
      </c>
      <c r="F1363" s="192" t="s">
        <v>823</v>
      </c>
      <c r="G1363" s="192">
        <v>1.1000000238418579</v>
      </c>
      <c r="H1363" s="192" t="s">
        <v>823</v>
      </c>
      <c r="I1363" s="192">
        <v>1</v>
      </c>
      <c r="J1363" s="192">
        <f>VLOOKUP($B1363,'RBSA Weights'!$A$2:$C$1406,3,FALSE)</f>
        <v>1925.059</v>
      </c>
    </row>
    <row r="1364" spans="1:10">
      <c r="A1364" s="192">
        <v>163967</v>
      </c>
      <c r="B1364" s="192">
        <v>24559</v>
      </c>
      <c r="C1364" s="192" t="s">
        <v>815</v>
      </c>
      <c r="D1364" s="192">
        <v>182</v>
      </c>
      <c r="E1364" s="192" t="s">
        <v>816</v>
      </c>
      <c r="F1364" s="192" t="s">
        <v>817</v>
      </c>
      <c r="G1364" s="192">
        <v>0.44999998807907104</v>
      </c>
      <c r="H1364" s="192" t="s">
        <v>818</v>
      </c>
      <c r="I1364" s="192">
        <v>1</v>
      </c>
      <c r="J1364" s="192">
        <f>VLOOKUP($B1364,'RBSA Weights'!$A$2:$C$1406,3,FALSE)</f>
        <v>2130.886</v>
      </c>
    </row>
    <row r="1365" spans="1:10">
      <c r="A1365" s="192">
        <v>222586</v>
      </c>
      <c r="B1365" s="192">
        <v>24563</v>
      </c>
      <c r="C1365" s="192" t="s">
        <v>815</v>
      </c>
      <c r="D1365" s="192">
        <v>176</v>
      </c>
      <c r="E1365" s="192" t="s">
        <v>816</v>
      </c>
      <c r="F1365" s="192" t="s">
        <v>817</v>
      </c>
      <c r="G1365" s="192">
        <v>0.55000001192092896</v>
      </c>
      <c r="H1365" s="192" t="s">
        <v>818</v>
      </c>
      <c r="I1365" s="192">
        <v>1</v>
      </c>
      <c r="J1365" s="192">
        <f>VLOOKUP($B1365,'RBSA Weights'!$A$2:$C$1406,3,FALSE)</f>
        <v>3785.7640000000001</v>
      </c>
    </row>
    <row r="1366" spans="1:10">
      <c r="A1366" s="192">
        <v>171083</v>
      </c>
      <c r="B1366" s="192">
        <v>24572</v>
      </c>
      <c r="C1366" s="192" t="s">
        <v>815</v>
      </c>
      <c r="D1366" s="192">
        <v>105</v>
      </c>
      <c r="E1366" s="192" t="s">
        <v>816</v>
      </c>
      <c r="F1366" s="192" t="s">
        <v>821</v>
      </c>
      <c r="G1366" s="192">
        <v>0.94999998807907104</v>
      </c>
      <c r="H1366" s="192" t="s">
        <v>821</v>
      </c>
      <c r="I1366" s="192">
        <v>1</v>
      </c>
      <c r="J1366" s="192">
        <f>VLOOKUP($B1366,'RBSA Weights'!$A$2:$C$1406,3,FALSE)</f>
        <v>4360.1880000000001</v>
      </c>
    </row>
    <row r="1367" spans="1:10">
      <c r="A1367" s="192">
        <v>131893</v>
      </c>
      <c r="B1367" s="192">
        <v>24594</v>
      </c>
      <c r="C1367" s="192" t="s">
        <v>815</v>
      </c>
      <c r="D1367" s="192">
        <v>385</v>
      </c>
      <c r="E1367" s="192" t="s">
        <v>816</v>
      </c>
      <c r="F1367" s="192" t="s">
        <v>820</v>
      </c>
      <c r="G1367" s="192">
        <v>0.80000001192092896</v>
      </c>
      <c r="H1367" s="192" t="s">
        <v>820</v>
      </c>
      <c r="I1367" s="192">
        <v>1</v>
      </c>
      <c r="J1367" s="192">
        <f>VLOOKUP($B1367,'RBSA Weights'!$A$2:$C$1406,3,FALSE)</f>
        <v>1612.692</v>
      </c>
    </row>
    <row r="1368" spans="1:10">
      <c r="A1368" s="192">
        <v>156822</v>
      </c>
      <c r="B1368" s="192">
        <v>24607</v>
      </c>
      <c r="C1368" s="192" t="s">
        <v>815</v>
      </c>
      <c r="D1368" s="192">
        <v>169</v>
      </c>
      <c r="E1368" s="192" t="s">
        <v>816</v>
      </c>
      <c r="F1368" s="192" t="s">
        <v>818</v>
      </c>
      <c r="G1368" s="192">
        <v>0.55000001192092896</v>
      </c>
      <c r="H1368" s="192" t="s">
        <v>818</v>
      </c>
      <c r="I1368" s="192">
        <v>1</v>
      </c>
      <c r="J1368" s="192">
        <f>VLOOKUP($B1368,'RBSA Weights'!$A$2:$C$1406,3,FALSE)</f>
        <v>1192.4649999999999</v>
      </c>
    </row>
    <row r="1369" spans="1:10">
      <c r="A1369" s="192">
        <v>223977</v>
      </c>
      <c r="B1369" s="192">
        <v>24614</v>
      </c>
      <c r="C1369" s="192" t="s">
        <v>815</v>
      </c>
      <c r="D1369" s="192">
        <v>202</v>
      </c>
      <c r="E1369" s="192" t="s">
        <v>816</v>
      </c>
      <c r="F1369" s="192" t="s">
        <v>817</v>
      </c>
      <c r="G1369" s="192">
        <v>0.44999998807907104</v>
      </c>
      <c r="H1369" s="192" t="s">
        <v>818</v>
      </c>
      <c r="I1369" s="192">
        <v>1</v>
      </c>
      <c r="J1369" s="192">
        <f>VLOOKUP($B1369,'RBSA Weights'!$A$2:$C$1406,3,FALSE)</f>
        <v>2079.9929999999999</v>
      </c>
    </row>
    <row r="1370" spans="1:10">
      <c r="A1370" s="192">
        <v>176920</v>
      </c>
      <c r="B1370" s="192">
        <v>24622</v>
      </c>
      <c r="C1370" s="192" t="s">
        <v>815</v>
      </c>
      <c r="D1370" s="192">
        <v>88</v>
      </c>
      <c r="E1370" s="192" t="s">
        <v>819</v>
      </c>
      <c r="F1370" s="192" t="s">
        <v>818</v>
      </c>
      <c r="G1370" s="192">
        <v>0.5</v>
      </c>
      <c r="H1370" s="192" t="s">
        <v>818</v>
      </c>
      <c r="I1370" s="192">
        <v>1</v>
      </c>
      <c r="J1370" s="192">
        <f>VLOOKUP($B1370,'RBSA Weights'!$A$2:$C$1406,3,FALSE)</f>
        <v>2130.886</v>
      </c>
    </row>
    <row r="1371" spans="1:10">
      <c r="A1371" s="192">
        <v>204176</v>
      </c>
      <c r="B1371" s="192">
        <v>24623</v>
      </c>
      <c r="C1371" s="192" t="s">
        <v>815</v>
      </c>
      <c r="D1371" s="192">
        <v>570</v>
      </c>
      <c r="E1371" s="192" t="s">
        <v>816</v>
      </c>
      <c r="F1371" s="192" t="s">
        <v>822</v>
      </c>
      <c r="G1371" s="192">
        <v>0.75</v>
      </c>
      <c r="H1371" s="192" t="s">
        <v>820</v>
      </c>
      <c r="I1371" s="192">
        <v>1</v>
      </c>
      <c r="J1371" s="192">
        <f>VLOOKUP($B1371,'RBSA Weights'!$A$2:$C$1406,3,FALSE)</f>
        <v>1612.692</v>
      </c>
    </row>
    <row r="1372" spans="1:10">
      <c r="A1372" s="192">
        <v>188536</v>
      </c>
      <c r="B1372" s="192">
        <v>24647</v>
      </c>
      <c r="C1372" s="192" t="s">
        <v>815</v>
      </c>
      <c r="D1372" s="192">
        <v>123</v>
      </c>
      <c r="E1372" s="192" t="s">
        <v>816</v>
      </c>
      <c r="F1372" s="192" t="s">
        <v>821</v>
      </c>
      <c r="G1372" s="192">
        <v>0.94999998807907104</v>
      </c>
      <c r="H1372" s="192" t="s">
        <v>821</v>
      </c>
      <c r="I1372" s="192">
        <v>1</v>
      </c>
      <c r="J1372" s="192">
        <f>VLOOKUP($B1372,'RBSA Weights'!$A$2:$C$1406,3,FALSE)</f>
        <v>1904.288</v>
      </c>
    </row>
    <row r="1373" spans="1:10">
      <c r="A1373" s="192">
        <v>89647</v>
      </c>
      <c r="B1373" s="192">
        <v>24655</v>
      </c>
      <c r="C1373" s="192" t="s">
        <v>815</v>
      </c>
      <c r="D1373" s="192">
        <v>182</v>
      </c>
      <c r="E1373" s="192" t="s">
        <v>816</v>
      </c>
      <c r="F1373" s="192" t="s">
        <v>818</v>
      </c>
      <c r="G1373" s="192">
        <v>0.55000001192092896</v>
      </c>
      <c r="H1373" s="192" t="s">
        <v>818</v>
      </c>
      <c r="I1373" s="192">
        <v>1</v>
      </c>
      <c r="J1373" s="192">
        <f>VLOOKUP($B1373,'RBSA Weights'!$A$2:$C$1406,3,FALSE)</f>
        <v>1144.6790000000001</v>
      </c>
    </row>
    <row r="1374" spans="1:10">
      <c r="A1374" s="192">
        <v>58070</v>
      </c>
      <c r="B1374" s="192">
        <v>24662</v>
      </c>
      <c r="C1374" s="192" t="s">
        <v>815</v>
      </c>
      <c r="D1374" s="192">
        <v>304</v>
      </c>
      <c r="E1374" s="192" t="s">
        <v>816</v>
      </c>
      <c r="F1374" s="192" t="s">
        <v>820</v>
      </c>
      <c r="G1374" s="192">
        <v>0.85000002384185791</v>
      </c>
      <c r="H1374" s="192" t="s">
        <v>820</v>
      </c>
      <c r="I1374" s="192">
        <v>1</v>
      </c>
      <c r="J1374" s="192">
        <f>VLOOKUP($B1374,'RBSA Weights'!$A$2:$C$1406,3,FALSE)</f>
        <v>2079.9929999999999</v>
      </c>
    </row>
    <row r="1375" spans="1:10">
      <c r="A1375" s="192">
        <v>88783</v>
      </c>
      <c r="B1375" s="192">
        <v>24671</v>
      </c>
      <c r="C1375" s="192" t="s">
        <v>815</v>
      </c>
      <c r="D1375" s="192">
        <v>144</v>
      </c>
      <c r="E1375" s="192" t="s">
        <v>816</v>
      </c>
      <c r="F1375" s="192" t="s">
        <v>817</v>
      </c>
      <c r="G1375" s="192">
        <v>0.55000001192092896</v>
      </c>
      <c r="H1375" s="192" t="s">
        <v>818</v>
      </c>
      <c r="I1375" s="192">
        <v>1</v>
      </c>
      <c r="J1375" s="192">
        <f>VLOOKUP($B1375,'RBSA Weights'!$A$2:$C$1406,3,FALSE)</f>
        <v>1925.059</v>
      </c>
    </row>
    <row r="1376" spans="1:10">
      <c r="A1376" s="192">
        <v>162696</v>
      </c>
      <c r="B1376" s="192">
        <v>24672</v>
      </c>
      <c r="C1376" s="192" t="s">
        <v>815</v>
      </c>
      <c r="D1376" s="192">
        <v>521</v>
      </c>
      <c r="E1376" s="192" t="s">
        <v>816</v>
      </c>
      <c r="F1376" s="192" t="s">
        <v>817</v>
      </c>
      <c r="G1376" s="192">
        <v>0.44999998807907104</v>
      </c>
      <c r="H1376" s="192" t="s">
        <v>818</v>
      </c>
      <c r="I1376" s="192">
        <v>1</v>
      </c>
      <c r="J1376" s="192">
        <f>VLOOKUP($B1376,'RBSA Weights'!$A$2:$C$1406,3,FALSE)</f>
        <v>3785.7640000000001</v>
      </c>
    </row>
    <row r="1377" spans="1:10">
      <c r="A1377" s="192">
        <v>676108</v>
      </c>
      <c r="B1377" s="192">
        <v>24684</v>
      </c>
      <c r="C1377" s="192" t="s">
        <v>815</v>
      </c>
      <c r="D1377" s="192">
        <v>255</v>
      </c>
      <c r="E1377" s="192" t="s">
        <v>816</v>
      </c>
      <c r="F1377" s="192" t="s">
        <v>817</v>
      </c>
      <c r="G1377" s="192">
        <v>0.55000001192092896</v>
      </c>
      <c r="H1377" s="192" t="s">
        <v>818</v>
      </c>
      <c r="I1377" s="192">
        <v>1</v>
      </c>
      <c r="J1377" s="192">
        <f>VLOOKUP($B1377,'RBSA Weights'!$A$2:$C$1406,3,FALSE)</f>
        <v>1904.288</v>
      </c>
    </row>
    <row r="1378" spans="1:10">
      <c r="A1378" s="192">
        <v>87060</v>
      </c>
      <c r="B1378" s="192">
        <v>24686</v>
      </c>
      <c r="C1378" s="192" t="s">
        <v>815</v>
      </c>
      <c r="D1378" s="192">
        <v>207</v>
      </c>
      <c r="E1378" s="192" t="s">
        <v>816</v>
      </c>
      <c r="F1378" s="192" t="s">
        <v>820</v>
      </c>
      <c r="G1378" s="192">
        <v>0.85000002384185791</v>
      </c>
      <c r="H1378" s="192" t="s">
        <v>820</v>
      </c>
      <c r="I1378" s="192">
        <v>1</v>
      </c>
      <c r="J1378" s="192">
        <f>VLOOKUP($B1378,'RBSA Weights'!$A$2:$C$1406,3,FALSE)</f>
        <v>1144.6790000000001</v>
      </c>
    </row>
    <row r="1379" spans="1:10">
      <c r="A1379" s="192">
        <v>114571</v>
      </c>
      <c r="B1379" s="192">
        <v>24689</v>
      </c>
      <c r="C1379" s="192" t="s">
        <v>815</v>
      </c>
      <c r="D1379" s="192">
        <v>257</v>
      </c>
      <c r="E1379" s="192" t="s">
        <v>816</v>
      </c>
      <c r="F1379" s="192" t="s">
        <v>817</v>
      </c>
      <c r="G1379" s="192">
        <v>0.55000001192092896</v>
      </c>
      <c r="H1379" s="192" t="s">
        <v>818</v>
      </c>
      <c r="I1379" s="192">
        <v>1</v>
      </c>
      <c r="J1379" s="192">
        <f>VLOOKUP($B1379,'RBSA Weights'!$A$2:$C$1406,3,FALSE)</f>
        <v>1904.288</v>
      </c>
    </row>
    <row r="1380" spans="1:10">
      <c r="A1380" s="192">
        <v>107743</v>
      </c>
      <c r="B1380" s="192">
        <v>24696</v>
      </c>
      <c r="C1380" s="192" t="s">
        <v>815</v>
      </c>
      <c r="D1380" s="192">
        <v>115</v>
      </c>
      <c r="E1380" s="192" t="s">
        <v>819</v>
      </c>
      <c r="F1380" s="192" t="s">
        <v>821</v>
      </c>
      <c r="G1380" s="192">
        <v>0.75</v>
      </c>
      <c r="H1380" s="192" t="s">
        <v>821</v>
      </c>
      <c r="I1380" s="192">
        <v>1</v>
      </c>
      <c r="J1380" s="192">
        <f>VLOOKUP($B1380,'RBSA Weights'!$A$2:$C$1406,3,FALSE)</f>
        <v>2079.9929999999999</v>
      </c>
    </row>
    <row r="1381" spans="1:10">
      <c r="A1381" s="192">
        <v>152641</v>
      </c>
      <c r="B1381" s="192">
        <v>24699</v>
      </c>
      <c r="C1381" s="192" t="s">
        <v>815</v>
      </c>
      <c r="D1381" s="192">
        <v>77</v>
      </c>
      <c r="E1381" s="192" t="s">
        <v>816</v>
      </c>
      <c r="F1381" s="192" t="s">
        <v>821</v>
      </c>
      <c r="G1381" s="192">
        <v>0.94999998807907104</v>
      </c>
      <c r="H1381" s="192" t="s">
        <v>821</v>
      </c>
      <c r="I1381" s="192">
        <v>1</v>
      </c>
      <c r="J1381" s="192">
        <f>VLOOKUP($B1381,'RBSA Weights'!$A$2:$C$1406,3,FALSE)</f>
        <v>1144.6790000000001</v>
      </c>
    </row>
    <row r="1382" spans="1:10">
      <c r="A1382" s="192">
        <v>117162</v>
      </c>
      <c r="B1382" s="192">
        <v>24706</v>
      </c>
      <c r="C1382" s="192" t="s">
        <v>815</v>
      </c>
      <c r="D1382" s="192">
        <v>57</v>
      </c>
      <c r="E1382" s="192" t="s">
        <v>816</v>
      </c>
      <c r="F1382" s="192" t="s">
        <v>820</v>
      </c>
      <c r="G1382" s="192">
        <v>0.85000002384185791</v>
      </c>
      <c r="H1382" s="192" t="s">
        <v>820</v>
      </c>
      <c r="I1382" s="192">
        <v>1</v>
      </c>
      <c r="J1382" s="192">
        <f>VLOOKUP($B1382,'RBSA Weights'!$A$2:$C$1406,3,FALSE)</f>
        <v>1612.692</v>
      </c>
    </row>
    <row r="1383" spans="1:10">
      <c r="A1383" s="192">
        <v>119026</v>
      </c>
      <c r="B1383" s="192">
        <v>24713</v>
      </c>
      <c r="C1383" s="192" t="s">
        <v>815</v>
      </c>
      <c r="D1383" s="192">
        <v>176</v>
      </c>
      <c r="E1383" s="192" t="s">
        <v>816</v>
      </c>
      <c r="F1383" s="192" t="s">
        <v>820</v>
      </c>
      <c r="G1383" s="192">
        <v>0.80000001192092896</v>
      </c>
      <c r="H1383" s="192" t="s">
        <v>820</v>
      </c>
      <c r="I1383" s="192">
        <v>1</v>
      </c>
      <c r="J1383" s="192">
        <f>VLOOKUP($B1383,'RBSA Weights'!$A$2:$C$1406,3,FALSE)</f>
        <v>1925.059</v>
      </c>
    </row>
    <row r="1384" spans="1:10">
      <c r="A1384" s="192">
        <v>180463</v>
      </c>
      <c r="B1384" s="192">
        <v>24733</v>
      </c>
      <c r="C1384" s="192" t="s">
        <v>815</v>
      </c>
      <c r="D1384" s="192">
        <v>156</v>
      </c>
      <c r="E1384" s="192" t="s">
        <v>816</v>
      </c>
      <c r="F1384" s="192" t="s">
        <v>818</v>
      </c>
      <c r="G1384" s="192">
        <v>0.55000001192092896</v>
      </c>
      <c r="H1384" s="192" t="s">
        <v>818</v>
      </c>
      <c r="I1384" s="192">
        <v>1</v>
      </c>
      <c r="J1384" s="192">
        <f>VLOOKUP($B1384,'RBSA Weights'!$A$2:$C$1406,3,FALSE)</f>
        <v>4360.1880000000001</v>
      </c>
    </row>
    <row r="1385" spans="1:10">
      <c r="A1385" s="192">
        <v>176472</v>
      </c>
      <c r="B1385" s="192">
        <v>24740</v>
      </c>
      <c r="C1385" s="192" t="s">
        <v>815</v>
      </c>
      <c r="D1385" s="192">
        <v>339</v>
      </c>
      <c r="E1385" s="192" t="s">
        <v>816</v>
      </c>
      <c r="F1385" s="192" t="s">
        <v>818</v>
      </c>
      <c r="G1385" s="192">
        <v>0.55000001192092896</v>
      </c>
      <c r="H1385" s="192" t="s">
        <v>818</v>
      </c>
      <c r="I1385" s="192">
        <v>1</v>
      </c>
      <c r="J1385" s="192">
        <f>VLOOKUP($B1385,'RBSA Weights'!$A$2:$C$1406,3,FALSE)</f>
        <v>2130.886</v>
      </c>
    </row>
    <row r="1386" spans="1:10">
      <c r="A1386" s="192">
        <v>150676</v>
      </c>
      <c r="B1386" s="192">
        <v>24765</v>
      </c>
      <c r="C1386" s="192" t="s">
        <v>815</v>
      </c>
      <c r="D1386" s="192">
        <v>101</v>
      </c>
      <c r="E1386" s="192" t="s">
        <v>816</v>
      </c>
      <c r="F1386" s="192" t="s">
        <v>817</v>
      </c>
      <c r="G1386" s="192">
        <v>0.44999998807907104</v>
      </c>
      <c r="H1386" s="192" t="s">
        <v>818</v>
      </c>
      <c r="I1386" s="192">
        <v>1</v>
      </c>
      <c r="J1386" s="192">
        <f>VLOOKUP($B1386,'RBSA Weights'!$A$2:$C$1406,3,FALSE)</f>
        <v>1144.6790000000001</v>
      </c>
    </row>
    <row r="1387" spans="1:10">
      <c r="A1387" s="192">
        <v>229812</v>
      </c>
      <c r="B1387" s="192">
        <v>24770</v>
      </c>
      <c r="C1387" s="192" t="s">
        <v>815</v>
      </c>
      <c r="D1387" s="192">
        <v>185</v>
      </c>
      <c r="E1387" s="192" t="s">
        <v>816</v>
      </c>
      <c r="F1387" s="192" t="s">
        <v>817</v>
      </c>
      <c r="G1387" s="192">
        <v>0.55000001192092896</v>
      </c>
      <c r="H1387" s="192" t="s">
        <v>818</v>
      </c>
      <c r="I1387" s="192">
        <v>1</v>
      </c>
      <c r="J1387" s="192">
        <f>VLOOKUP($B1387,'RBSA Weights'!$A$2:$C$1406,3,FALSE)</f>
        <v>3785.7640000000001</v>
      </c>
    </row>
    <row r="1388" spans="1:10">
      <c r="A1388" s="192">
        <v>73499</v>
      </c>
      <c r="B1388" s="192">
        <v>24781</v>
      </c>
      <c r="C1388" s="192" t="s">
        <v>815</v>
      </c>
      <c r="D1388" s="192">
        <v>340</v>
      </c>
      <c r="E1388" s="192" t="s">
        <v>816</v>
      </c>
      <c r="F1388" s="192" t="s">
        <v>818</v>
      </c>
      <c r="G1388" s="192">
        <v>0.55000001192092896</v>
      </c>
      <c r="H1388" s="192" t="s">
        <v>818</v>
      </c>
      <c r="I1388" s="192">
        <v>1</v>
      </c>
      <c r="J1388" s="192">
        <f>VLOOKUP($B1388,'RBSA Weights'!$A$2:$C$1406,3,FALSE)</f>
        <v>2079.9929999999999</v>
      </c>
    </row>
    <row r="1389" spans="1:10">
      <c r="A1389" s="192">
        <v>221081</v>
      </c>
      <c r="B1389" s="192">
        <v>24785</v>
      </c>
      <c r="C1389" s="192" t="s">
        <v>815</v>
      </c>
      <c r="D1389" s="192">
        <v>44</v>
      </c>
      <c r="E1389" s="192" t="s">
        <v>816</v>
      </c>
      <c r="F1389" s="192" t="s">
        <v>818</v>
      </c>
      <c r="G1389" s="192">
        <v>0.55000001192092896</v>
      </c>
      <c r="H1389" s="192" t="s">
        <v>818</v>
      </c>
      <c r="I1389" s="192">
        <v>1</v>
      </c>
      <c r="J1389" s="192">
        <f>VLOOKUP($B1389,'RBSA Weights'!$A$2:$C$1406,3,FALSE)</f>
        <v>1904.288</v>
      </c>
    </row>
    <row r="1390" spans="1:10">
      <c r="A1390" s="192">
        <v>121288</v>
      </c>
      <c r="B1390" s="192">
        <v>24790</v>
      </c>
      <c r="C1390" s="192" t="s">
        <v>815</v>
      </c>
      <c r="D1390" s="192">
        <v>518</v>
      </c>
      <c r="E1390" s="192" t="s">
        <v>816</v>
      </c>
      <c r="F1390" s="192" t="s">
        <v>817</v>
      </c>
      <c r="G1390" s="192">
        <v>0.44999998807907104</v>
      </c>
      <c r="H1390" s="192" t="s">
        <v>818</v>
      </c>
      <c r="I1390" s="192">
        <v>1</v>
      </c>
      <c r="J1390" s="192">
        <f>VLOOKUP($B1390,'RBSA Weights'!$A$2:$C$1406,3,FALSE)</f>
        <v>2079.9929999999999</v>
      </c>
    </row>
    <row r="1391" spans="1:10">
      <c r="A1391" s="192">
        <v>198909</v>
      </c>
      <c r="B1391" s="192">
        <v>24795</v>
      </c>
      <c r="C1391" s="192" t="s">
        <v>815</v>
      </c>
      <c r="D1391" s="192">
        <v>254</v>
      </c>
      <c r="E1391" s="192" t="s">
        <v>816</v>
      </c>
      <c r="F1391" s="192" t="s">
        <v>817</v>
      </c>
      <c r="G1391" s="192">
        <v>0.44999998807907104</v>
      </c>
      <c r="H1391" s="192" t="s">
        <v>818</v>
      </c>
      <c r="I1391" s="192">
        <v>1</v>
      </c>
      <c r="J1391" s="192">
        <f>VLOOKUP($B1391,'RBSA Weights'!$A$2:$C$1406,3,FALSE)</f>
        <v>2079.9929999999999</v>
      </c>
    </row>
    <row r="1392" spans="1:10">
      <c r="A1392" s="192">
        <v>215814</v>
      </c>
      <c r="B1392" s="192">
        <v>24807</v>
      </c>
      <c r="C1392" s="192" t="s">
        <v>815</v>
      </c>
      <c r="D1392" s="192">
        <v>264</v>
      </c>
      <c r="E1392" s="192" t="s">
        <v>816</v>
      </c>
      <c r="F1392" s="192" t="s">
        <v>817</v>
      </c>
      <c r="G1392" s="192">
        <v>0.44999998807907104</v>
      </c>
      <c r="H1392" s="192" t="s">
        <v>818</v>
      </c>
      <c r="I1392" s="192">
        <v>1</v>
      </c>
      <c r="J1392" s="192">
        <f>VLOOKUP($B1392,'RBSA Weights'!$A$2:$C$1406,3,FALSE)</f>
        <v>2079.9929999999999</v>
      </c>
    </row>
    <row r="1393" spans="1:10">
      <c r="A1393" s="192">
        <v>732586</v>
      </c>
      <c r="B1393" s="192">
        <v>24808</v>
      </c>
      <c r="C1393" s="192" t="s">
        <v>815</v>
      </c>
      <c r="D1393" s="192">
        <v>114</v>
      </c>
      <c r="E1393" s="192" t="s">
        <v>816</v>
      </c>
      <c r="F1393" s="192" t="s">
        <v>817</v>
      </c>
      <c r="G1393" s="192">
        <v>0.55000001192092896</v>
      </c>
      <c r="H1393" s="192" t="s">
        <v>818</v>
      </c>
      <c r="I1393" s="192">
        <v>1</v>
      </c>
      <c r="J1393" s="192">
        <f>VLOOKUP($B1393,'RBSA Weights'!$A$2:$C$1406,3,FALSE)</f>
        <v>3785.7640000000001</v>
      </c>
    </row>
    <row r="1394" spans="1:10">
      <c r="A1394" s="192">
        <v>65229</v>
      </c>
      <c r="B1394" s="192">
        <v>24816</v>
      </c>
      <c r="C1394" s="192" t="s">
        <v>815</v>
      </c>
      <c r="D1394" s="192">
        <v>178</v>
      </c>
      <c r="E1394" s="192" t="s">
        <v>816</v>
      </c>
      <c r="F1394" s="192" t="s">
        <v>818</v>
      </c>
      <c r="G1394" s="192">
        <v>0.60000002384185791</v>
      </c>
      <c r="H1394" s="192" t="s">
        <v>818</v>
      </c>
      <c r="I1394" s="192">
        <v>1</v>
      </c>
      <c r="J1394" s="192">
        <f>VLOOKUP($B1394,'RBSA Weights'!$A$2:$C$1406,3,FALSE)</f>
        <v>2079.9929999999999</v>
      </c>
    </row>
    <row r="1395" spans="1:10">
      <c r="A1395" s="192">
        <v>675273</v>
      </c>
      <c r="B1395" s="192">
        <v>24822</v>
      </c>
      <c r="C1395" s="192" t="s">
        <v>815</v>
      </c>
      <c r="D1395" s="192">
        <v>198</v>
      </c>
      <c r="E1395" s="192" t="s">
        <v>819</v>
      </c>
      <c r="F1395" s="192" t="s">
        <v>818</v>
      </c>
      <c r="G1395" s="192">
        <v>0.55000001192092896</v>
      </c>
      <c r="H1395" s="192" t="s">
        <v>818</v>
      </c>
      <c r="I1395" s="192">
        <v>1</v>
      </c>
      <c r="J1395" s="192">
        <f>VLOOKUP($B1395,'RBSA Weights'!$A$2:$C$1406,3,FALSE)</f>
        <v>1144.6790000000001</v>
      </c>
    </row>
    <row r="1396" spans="1:10">
      <c r="A1396" s="192">
        <v>183732</v>
      </c>
      <c r="B1396" s="192">
        <v>24826</v>
      </c>
      <c r="C1396" s="192" t="s">
        <v>815</v>
      </c>
      <c r="D1396" s="192">
        <v>203</v>
      </c>
      <c r="E1396" s="192" t="s">
        <v>816</v>
      </c>
      <c r="F1396" s="192" t="s">
        <v>817</v>
      </c>
      <c r="G1396" s="192">
        <v>0.44999998807907104</v>
      </c>
      <c r="H1396" s="192" t="s">
        <v>818</v>
      </c>
      <c r="I1396" s="192">
        <v>1</v>
      </c>
      <c r="J1396" s="192">
        <f>VLOOKUP($B1396,'RBSA Weights'!$A$2:$C$1406,3,FALSE)</f>
        <v>1612.692</v>
      </c>
    </row>
    <row r="1397" spans="1:10">
      <c r="A1397" s="192">
        <v>87569</v>
      </c>
      <c r="B1397" s="192">
        <v>24827</v>
      </c>
      <c r="C1397" s="192" t="s">
        <v>815</v>
      </c>
      <c r="D1397" s="192">
        <v>1185</v>
      </c>
      <c r="E1397" s="192" t="s">
        <v>816</v>
      </c>
      <c r="F1397" s="192" t="s">
        <v>817</v>
      </c>
      <c r="G1397" s="192">
        <v>0.55000001192092896</v>
      </c>
      <c r="H1397" s="192" t="s">
        <v>818</v>
      </c>
      <c r="I1397" s="192">
        <v>1</v>
      </c>
      <c r="J1397" s="192">
        <f>VLOOKUP($B1397,'RBSA Weights'!$A$2:$C$1406,3,FALSE)</f>
        <v>1144.6790000000001</v>
      </c>
    </row>
    <row r="1398" spans="1:10">
      <c r="A1398" s="192">
        <v>689463</v>
      </c>
      <c r="B1398" s="192">
        <v>24833</v>
      </c>
      <c r="C1398" s="192" t="s">
        <v>815</v>
      </c>
      <c r="D1398" s="192">
        <v>108</v>
      </c>
      <c r="E1398" s="192" t="s">
        <v>816</v>
      </c>
      <c r="F1398" s="192" t="s">
        <v>817</v>
      </c>
      <c r="G1398" s="192">
        <v>0.44999998807907104</v>
      </c>
      <c r="H1398" s="192" t="s">
        <v>818</v>
      </c>
      <c r="I1398" s="192">
        <v>1</v>
      </c>
      <c r="J1398" s="192">
        <f>VLOOKUP($B1398,'RBSA Weights'!$A$2:$C$1406,3,FALSE)</f>
        <v>12271.31</v>
      </c>
    </row>
    <row r="1399" spans="1:10">
      <c r="A1399" s="192">
        <v>682276</v>
      </c>
      <c r="B1399" s="192">
        <v>24844</v>
      </c>
      <c r="C1399" s="192" t="s">
        <v>815</v>
      </c>
      <c r="D1399" s="192">
        <v>81</v>
      </c>
      <c r="E1399" s="192" t="s">
        <v>816</v>
      </c>
      <c r="F1399" s="192" t="s">
        <v>818</v>
      </c>
      <c r="G1399" s="192">
        <v>0.55000001192092896</v>
      </c>
      <c r="H1399" s="192" t="s">
        <v>818</v>
      </c>
      <c r="I1399" s="192">
        <v>1</v>
      </c>
      <c r="J1399" s="192">
        <f>VLOOKUP($B1399,'RBSA Weights'!$A$2:$C$1406,3,FALSE)</f>
        <v>3785.7640000000001</v>
      </c>
    </row>
    <row r="1400" spans="1:10">
      <c r="A1400" s="192">
        <v>203690</v>
      </c>
      <c r="B1400" s="192">
        <v>24850</v>
      </c>
      <c r="C1400" s="192" t="s">
        <v>815</v>
      </c>
      <c r="D1400" s="192">
        <v>180</v>
      </c>
      <c r="E1400" s="192" t="s">
        <v>816</v>
      </c>
      <c r="F1400" s="192" t="s">
        <v>817</v>
      </c>
      <c r="G1400" s="192">
        <v>0.44999998807907104</v>
      </c>
      <c r="H1400" s="192" t="s">
        <v>818</v>
      </c>
      <c r="I1400" s="192">
        <v>1</v>
      </c>
      <c r="J1400" s="192">
        <f>VLOOKUP($B1400,'RBSA Weights'!$A$2:$C$1406,3,FALSE)</f>
        <v>1192.4649999999999</v>
      </c>
    </row>
    <row r="1401" spans="1:10">
      <c r="A1401" s="192">
        <v>32493</v>
      </c>
      <c r="B1401" s="192">
        <v>24863</v>
      </c>
      <c r="C1401" s="192" t="s">
        <v>815</v>
      </c>
      <c r="D1401" s="192">
        <v>288</v>
      </c>
      <c r="E1401" s="192" t="s">
        <v>819</v>
      </c>
      <c r="F1401" s="192" t="s">
        <v>821</v>
      </c>
      <c r="G1401" s="192">
        <v>0.75</v>
      </c>
      <c r="H1401" s="192" t="s">
        <v>821</v>
      </c>
      <c r="I1401" s="192">
        <v>1</v>
      </c>
      <c r="J1401" s="192">
        <f>VLOOKUP($B1401,'RBSA Weights'!$A$2:$C$1406,3,FALSE)</f>
        <v>3785.7640000000001</v>
      </c>
    </row>
    <row r="1402" spans="1:10">
      <c r="A1402" s="192">
        <v>196826</v>
      </c>
      <c r="B1402" s="192">
        <v>24866</v>
      </c>
      <c r="C1402" s="192" t="s">
        <v>815</v>
      </c>
      <c r="D1402" s="192">
        <v>314</v>
      </c>
      <c r="E1402" s="192" t="s">
        <v>816</v>
      </c>
      <c r="F1402" s="192" t="s">
        <v>820</v>
      </c>
      <c r="G1402" s="192">
        <v>0.85000002384185791</v>
      </c>
      <c r="H1402" s="192" t="s">
        <v>820</v>
      </c>
      <c r="I1402" s="192">
        <v>1</v>
      </c>
      <c r="J1402" s="192">
        <f>VLOOKUP($B1402,'RBSA Weights'!$A$2:$C$1406,3,FALSE)</f>
        <v>4360.1880000000001</v>
      </c>
    </row>
    <row r="1403" spans="1:10">
      <c r="A1403" s="192">
        <v>70987</v>
      </c>
      <c r="B1403" s="192">
        <v>10002</v>
      </c>
      <c r="C1403" s="192" t="s">
        <v>829</v>
      </c>
      <c r="D1403" s="192">
        <v>18</v>
      </c>
      <c r="E1403" s="192" t="s">
        <v>816</v>
      </c>
      <c r="F1403" s="192" t="s">
        <v>820</v>
      </c>
      <c r="G1403" s="192">
        <v>0.85000002384185791</v>
      </c>
      <c r="H1403" s="192" t="s">
        <v>820</v>
      </c>
      <c r="I1403" s="192">
        <v>2</v>
      </c>
      <c r="J1403" s="192">
        <f>VLOOKUP($B1403,'RBSA Weights'!$A$2:$C$1406,3,FALSE)</f>
        <v>1524.7619999999999</v>
      </c>
    </row>
    <row r="1404" spans="1:10">
      <c r="A1404" s="192">
        <v>136990</v>
      </c>
      <c r="B1404" s="192">
        <v>10062</v>
      </c>
      <c r="C1404" s="192" t="s">
        <v>829</v>
      </c>
      <c r="D1404" s="192">
        <v>125</v>
      </c>
      <c r="E1404" s="192" t="s">
        <v>816</v>
      </c>
      <c r="F1404" s="192" t="s">
        <v>820</v>
      </c>
      <c r="G1404" s="192">
        <v>0.85000002384185791</v>
      </c>
      <c r="H1404" s="192" t="s">
        <v>820</v>
      </c>
      <c r="I1404" s="192">
        <v>2</v>
      </c>
      <c r="J1404" s="192">
        <f>VLOOKUP($B1404,'RBSA Weights'!$A$2:$C$1406,3,FALSE)</f>
        <v>4956.4930000000004</v>
      </c>
    </row>
    <row r="1405" spans="1:10">
      <c r="A1405" s="192">
        <v>802596</v>
      </c>
      <c r="B1405" s="192">
        <v>10068</v>
      </c>
      <c r="C1405" s="192" t="s">
        <v>829</v>
      </c>
      <c r="D1405" s="192">
        <v>5</v>
      </c>
      <c r="E1405" s="192" t="s">
        <v>816</v>
      </c>
      <c r="F1405" s="192" t="s">
        <v>817</v>
      </c>
      <c r="G1405" s="192">
        <v>0.55000001192092896</v>
      </c>
      <c r="H1405" s="192" t="s">
        <v>818</v>
      </c>
      <c r="I1405" s="192">
        <v>2</v>
      </c>
      <c r="J1405" s="192">
        <f>VLOOKUP($B1405,'RBSA Weights'!$A$2:$C$1406,3,FALSE)</f>
        <v>2003.7159999999999</v>
      </c>
    </row>
    <row r="1406" spans="1:10">
      <c r="A1406" s="192">
        <v>720816</v>
      </c>
      <c r="B1406" s="192">
        <v>10082</v>
      </c>
      <c r="C1406" s="192" t="s">
        <v>829</v>
      </c>
      <c r="D1406" s="192">
        <v>52</v>
      </c>
      <c r="E1406" s="192" t="s">
        <v>816</v>
      </c>
      <c r="F1406" s="192" t="s">
        <v>818</v>
      </c>
      <c r="G1406" s="192">
        <v>0.60000002384185791</v>
      </c>
      <c r="H1406" s="192" t="s">
        <v>818</v>
      </c>
      <c r="I1406" s="192">
        <v>2</v>
      </c>
      <c r="J1406" s="192">
        <f>VLOOKUP($B1406,'RBSA Weights'!$A$2:$C$1406,3,FALSE)</f>
        <v>4956.4930000000004</v>
      </c>
    </row>
    <row r="1407" spans="1:10">
      <c r="A1407" s="192">
        <v>43987</v>
      </c>
      <c r="B1407" s="192">
        <v>10096</v>
      </c>
      <c r="C1407" s="192" t="s">
        <v>829</v>
      </c>
      <c r="D1407" s="192">
        <v>15</v>
      </c>
      <c r="E1407" s="192" t="s">
        <v>816</v>
      </c>
      <c r="F1407" s="192" t="s">
        <v>828</v>
      </c>
      <c r="G1407" s="192">
        <v>0.94999998807907104</v>
      </c>
      <c r="H1407" s="192" t="s">
        <v>823</v>
      </c>
      <c r="I1407" s="192">
        <v>2</v>
      </c>
      <c r="J1407" s="192">
        <f>VLOOKUP($B1407,'RBSA Weights'!$A$2:$C$1406,3,FALSE)</f>
        <v>1188.027</v>
      </c>
    </row>
    <row r="1408" spans="1:10">
      <c r="A1408" s="192">
        <v>108555</v>
      </c>
      <c r="B1408" s="192">
        <v>10100</v>
      </c>
      <c r="C1408" s="192" t="s">
        <v>829</v>
      </c>
      <c r="D1408" s="192">
        <v>65</v>
      </c>
      <c r="E1408" s="192" t="s">
        <v>819</v>
      </c>
      <c r="F1408" s="192" t="s">
        <v>821</v>
      </c>
      <c r="G1408" s="192">
        <v>0.75</v>
      </c>
      <c r="H1408" s="192" t="s">
        <v>821</v>
      </c>
      <c r="I1408" s="192">
        <v>2</v>
      </c>
      <c r="J1408" s="192">
        <f>VLOOKUP($B1408,'RBSA Weights'!$A$2:$C$1406,3,FALSE)</f>
        <v>1464.694</v>
      </c>
    </row>
    <row r="1409" spans="1:10">
      <c r="A1409" s="192">
        <v>116647</v>
      </c>
      <c r="B1409" s="192">
        <v>10134</v>
      </c>
      <c r="C1409" s="192" t="s">
        <v>829</v>
      </c>
      <c r="D1409" s="192">
        <v>24</v>
      </c>
      <c r="E1409" s="192" t="s">
        <v>816</v>
      </c>
      <c r="F1409" s="192" t="s">
        <v>821</v>
      </c>
      <c r="G1409" s="192">
        <v>0.94999998807907104</v>
      </c>
      <c r="H1409" s="192" t="s">
        <v>821</v>
      </c>
      <c r="I1409" s="192">
        <v>2</v>
      </c>
      <c r="J1409" s="192">
        <f>VLOOKUP($B1409,'RBSA Weights'!$A$2:$C$1406,3,FALSE)</f>
        <v>1464.694</v>
      </c>
    </row>
    <row r="1410" spans="1:10">
      <c r="A1410" s="192">
        <v>114752</v>
      </c>
      <c r="B1410" s="192">
        <v>10141</v>
      </c>
      <c r="C1410" s="192" t="s">
        <v>829</v>
      </c>
      <c r="D1410" s="192">
        <v>46</v>
      </c>
      <c r="E1410" s="192" t="s">
        <v>819</v>
      </c>
      <c r="F1410" s="192" t="s">
        <v>820</v>
      </c>
      <c r="G1410" s="192">
        <v>0.69999998807907104</v>
      </c>
      <c r="H1410" s="192" t="s">
        <v>820</v>
      </c>
      <c r="I1410" s="192">
        <v>2</v>
      </c>
      <c r="J1410" s="192">
        <f>VLOOKUP($B1410,'RBSA Weights'!$A$2:$C$1406,3,FALSE)</f>
        <v>4956.4930000000004</v>
      </c>
    </row>
    <row r="1411" spans="1:10">
      <c r="A1411" s="192">
        <v>27947</v>
      </c>
      <c r="B1411" s="192">
        <v>10172</v>
      </c>
      <c r="C1411" s="192" t="s">
        <v>829</v>
      </c>
      <c r="D1411" s="192">
        <v>7</v>
      </c>
      <c r="E1411" s="192" t="s">
        <v>816</v>
      </c>
      <c r="F1411" s="192" t="s">
        <v>823</v>
      </c>
      <c r="G1411" s="192">
        <v>1.1000000238418579</v>
      </c>
      <c r="H1411" s="192" t="s">
        <v>823</v>
      </c>
      <c r="I1411" s="192">
        <v>2</v>
      </c>
      <c r="J1411" s="192">
        <f>VLOOKUP($B1411,'RBSA Weights'!$A$2:$C$1406,3,FALSE)</f>
        <v>1524.7619999999999</v>
      </c>
    </row>
    <row r="1412" spans="1:10">
      <c r="A1412" s="192">
        <v>27477</v>
      </c>
      <c r="B1412" s="192">
        <v>10186</v>
      </c>
      <c r="C1412" s="192" t="s">
        <v>829</v>
      </c>
      <c r="D1412" s="192">
        <v>40</v>
      </c>
      <c r="E1412" s="192" t="s">
        <v>816</v>
      </c>
      <c r="F1412" s="192" t="s">
        <v>818</v>
      </c>
      <c r="G1412" s="192">
        <v>0.60000002384185791</v>
      </c>
      <c r="H1412" s="192" t="s">
        <v>818</v>
      </c>
      <c r="I1412" s="192">
        <v>2</v>
      </c>
      <c r="J1412" s="192">
        <f>VLOOKUP($B1412,'RBSA Weights'!$A$2:$C$1406,3,FALSE)</f>
        <v>1524.7619999999999</v>
      </c>
    </row>
    <row r="1413" spans="1:10">
      <c r="A1413" s="192">
        <v>90727</v>
      </c>
      <c r="B1413" s="192">
        <v>10229</v>
      </c>
      <c r="C1413" s="192" t="s">
        <v>829</v>
      </c>
      <c r="D1413" s="192">
        <v>18</v>
      </c>
      <c r="E1413" s="192" t="s">
        <v>816</v>
      </c>
      <c r="F1413" s="192" t="s">
        <v>821</v>
      </c>
      <c r="G1413" s="192">
        <v>0.94999998807907104</v>
      </c>
      <c r="H1413" s="192" t="s">
        <v>821</v>
      </c>
      <c r="I1413" s="192">
        <v>2</v>
      </c>
      <c r="J1413" s="192">
        <f>VLOOKUP($B1413,'RBSA Weights'!$A$2:$C$1406,3,FALSE)</f>
        <v>4956.4930000000004</v>
      </c>
    </row>
    <row r="1414" spans="1:10">
      <c r="A1414" s="192">
        <v>168483</v>
      </c>
      <c r="B1414" s="192">
        <v>10245</v>
      </c>
      <c r="C1414" s="192" t="s">
        <v>829</v>
      </c>
      <c r="D1414" s="192">
        <v>120</v>
      </c>
      <c r="E1414" s="192" t="s">
        <v>816</v>
      </c>
      <c r="F1414" s="192" t="s">
        <v>823</v>
      </c>
      <c r="G1414" s="192">
        <v>1.1000000238418579</v>
      </c>
      <c r="H1414" s="192" t="s">
        <v>823</v>
      </c>
      <c r="I1414" s="192">
        <v>2</v>
      </c>
      <c r="J1414" s="192">
        <f>VLOOKUP($B1414,'RBSA Weights'!$A$2:$C$1406,3,FALSE)</f>
        <v>6932.7380000000003</v>
      </c>
    </row>
    <row r="1415" spans="1:10">
      <c r="A1415" s="192">
        <v>69775</v>
      </c>
      <c r="B1415" s="192">
        <v>10265</v>
      </c>
      <c r="C1415" s="192" t="s">
        <v>829</v>
      </c>
      <c r="D1415" s="192">
        <v>17</v>
      </c>
      <c r="E1415" s="192" t="s">
        <v>816</v>
      </c>
      <c r="F1415" s="192" t="s">
        <v>823</v>
      </c>
      <c r="G1415" s="192">
        <v>1.1000000238418579</v>
      </c>
      <c r="H1415" s="192" t="s">
        <v>823</v>
      </c>
      <c r="I1415" s="192">
        <v>2</v>
      </c>
      <c r="J1415" s="192">
        <f>VLOOKUP($B1415,'RBSA Weights'!$A$2:$C$1406,3,FALSE)</f>
        <v>2003.7159999999999</v>
      </c>
    </row>
    <row r="1416" spans="1:10">
      <c r="A1416" s="192">
        <v>209595</v>
      </c>
      <c r="B1416" s="192">
        <v>10268</v>
      </c>
      <c r="C1416" s="192" t="s">
        <v>829</v>
      </c>
      <c r="D1416" s="192">
        <v>100</v>
      </c>
      <c r="E1416" s="192" t="s">
        <v>816</v>
      </c>
      <c r="F1416" s="192" t="s">
        <v>818</v>
      </c>
      <c r="G1416" s="192">
        <v>0.60000002384185791</v>
      </c>
      <c r="H1416" s="192" t="s">
        <v>818</v>
      </c>
      <c r="I1416" s="192">
        <v>2</v>
      </c>
      <c r="J1416" s="192">
        <f>VLOOKUP($B1416,'RBSA Weights'!$A$2:$C$1406,3,FALSE)</f>
        <v>1464.694</v>
      </c>
    </row>
    <row r="1417" spans="1:10">
      <c r="A1417" s="192">
        <v>30141</v>
      </c>
      <c r="B1417" s="192">
        <v>10288</v>
      </c>
      <c r="C1417" s="192" t="s">
        <v>829</v>
      </c>
      <c r="D1417" s="192">
        <v>94</v>
      </c>
      <c r="E1417" s="192" t="s">
        <v>816</v>
      </c>
      <c r="F1417" s="192" t="s">
        <v>818</v>
      </c>
      <c r="G1417" s="192">
        <v>0.55000001192092896</v>
      </c>
      <c r="H1417" s="192" t="s">
        <v>818</v>
      </c>
      <c r="I1417" s="192">
        <v>2</v>
      </c>
      <c r="J1417" s="192">
        <f>VLOOKUP($B1417,'RBSA Weights'!$A$2:$C$1406,3,FALSE)</f>
        <v>1524.7619999999999</v>
      </c>
    </row>
    <row r="1418" spans="1:10">
      <c r="A1418" s="192">
        <v>34423</v>
      </c>
      <c r="B1418" s="192">
        <v>10289</v>
      </c>
      <c r="C1418" s="192" t="s">
        <v>829</v>
      </c>
      <c r="D1418" s="192">
        <v>91</v>
      </c>
      <c r="E1418" s="192" t="s">
        <v>816</v>
      </c>
      <c r="F1418" s="192" t="s">
        <v>823</v>
      </c>
      <c r="G1418" s="192">
        <v>1.1000000238418579</v>
      </c>
      <c r="H1418" s="192" t="s">
        <v>823</v>
      </c>
      <c r="I1418" s="192">
        <v>2</v>
      </c>
      <c r="J1418" s="192">
        <f>VLOOKUP($B1418,'RBSA Weights'!$A$2:$C$1406,3,FALSE)</f>
        <v>1524.7619999999999</v>
      </c>
    </row>
    <row r="1419" spans="1:10">
      <c r="A1419" s="192">
        <v>36104</v>
      </c>
      <c r="B1419" s="192">
        <v>10298</v>
      </c>
      <c r="C1419" s="192" t="s">
        <v>829</v>
      </c>
      <c r="D1419" s="192">
        <v>202</v>
      </c>
      <c r="E1419" s="192" t="s">
        <v>816</v>
      </c>
      <c r="F1419" s="192" t="s">
        <v>817</v>
      </c>
      <c r="G1419" s="192">
        <v>0.44999998807907104</v>
      </c>
      <c r="H1419" s="192" t="s">
        <v>818</v>
      </c>
      <c r="I1419" s="192">
        <v>2</v>
      </c>
      <c r="J1419" s="192">
        <f>VLOOKUP($B1419,'RBSA Weights'!$A$2:$C$1406,3,FALSE)</f>
        <v>1524.7619999999999</v>
      </c>
    </row>
    <row r="1420" spans="1:10">
      <c r="A1420" s="192">
        <v>31127</v>
      </c>
      <c r="B1420" s="192">
        <v>10318</v>
      </c>
      <c r="C1420" s="192" t="s">
        <v>829</v>
      </c>
      <c r="D1420" s="192">
        <v>190</v>
      </c>
      <c r="E1420" s="192" t="s">
        <v>816</v>
      </c>
      <c r="F1420" s="192" t="s">
        <v>817</v>
      </c>
      <c r="G1420" s="192">
        <v>0.44999998807907104</v>
      </c>
      <c r="H1420" s="192" t="s">
        <v>818</v>
      </c>
      <c r="I1420" s="192">
        <v>2</v>
      </c>
      <c r="J1420" s="192">
        <f>VLOOKUP($B1420,'RBSA Weights'!$A$2:$C$1406,3,FALSE)</f>
        <v>1524.7619999999999</v>
      </c>
    </row>
    <row r="1421" spans="1:10">
      <c r="A1421" s="192">
        <v>191411</v>
      </c>
      <c r="B1421" s="192">
        <v>10334</v>
      </c>
      <c r="C1421" s="192" t="s">
        <v>829</v>
      </c>
      <c r="D1421" s="192">
        <v>18</v>
      </c>
      <c r="E1421" s="192" t="s">
        <v>816</v>
      </c>
      <c r="F1421" s="192" t="s">
        <v>821</v>
      </c>
      <c r="G1421" s="192">
        <v>0.94999998807907104</v>
      </c>
      <c r="H1421" s="192" t="s">
        <v>821</v>
      </c>
      <c r="I1421" s="192">
        <v>2</v>
      </c>
      <c r="J1421" s="192">
        <f>VLOOKUP($B1421,'RBSA Weights'!$A$2:$C$1406,3,FALSE)</f>
        <v>4956.4930000000004</v>
      </c>
    </row>
    <row r="1422" spans="1:10">
      <c r="A1422" s="192">
        <v>37507</v>
      </c>
      <c r="B1422" s="192">
        <v>10335</v>
      </c>
      <c r="C1422" s="192" t="s">
        <v>829</v>
      </c>
      <c r="D1422" s="192">
        <v>4</v>
      </c>
      <c r="E1422" s="192" t="s">
        <v>816</v>
      </c>
      <c r="F1422" s="192" t="s">
        <v>821</v>
      </c>
      <c r="G1422" s="192">
        <v>0.94999998807907104</v>
      </c>
      <c r="H1422" s="192" t="s">
        <v>821</v>
      </c>
      <c r="I1422" s="192">
        <v>2</v>
      </c>
      <c r="J1422" s="192">
        <f>VLOOKUP($B1422,'RBSA Weights'!$A$2:$C$1406,3,FALSE)</f>
        <v>1524.7619999999999</v>
      </c>
    </row>
    <row r="1423" spans="1:10">
      <c r="A1423" s="192">
        <v>38470</v>
      </c>
      <c r="B1423" s="192">
        <v>10352</v>
      </c>
      <c r="C1423" s="192" t="s">
        <v>829</v>
      </c>
      <c r="D1423" s="192">
        <v>38</v>
      </c>
      <c r="E1423" s="192" t="s">
        <v>816</v>
      </c>
      <c r="F1423" s="192" t="s">
        <v>818</v>
      </c>
      <c r="G1423" s="192">
        <v>0.60000002384185791</v>
      </c>
      <c r="H1423" s="192" t="s">
        <v>818</v>
      </c>
      <c r="I1423" s="192">
        <v>2</v>
      </c>
      <c r="J1423" s="192">
        <f>VLOOKUP($B1423,'RBSA Weights'!$A$2:$C$1406,3,FALSE)</f>
        <v>1188.027</v>
      </c>
    </row>
    <row r="1424" spans="1:10">
      <c r="A1424" s="192">
        <v>174290</v>
      </c>
      <c r="B1424" s="192">
        <v>10398</v>
      </c>
      <c r="C1424" s="192" t="s">
        <v>829</v>
      </c>
      <c r="D1424" s="192">
        <v>9</v>
      </c>
      <c r="E1424" s="192" t="s">
        <v>816</v>
      </c>
      <c r="F1424" s="192" t="s">
        <v>817</v>
      </c>
      <c r="G1424" s="192">
        <v>0.44999998807907104</v>
      </c>
      <c r="H1424" s="192" t="s">
        <v>818</v>
      </c>
      <c r="I1424" s="192">
        <v>2</v>
      </c>
      <c r="J1424" s="192">
        <f>VLOOKUP($B1424,'RBSA Weights'!$A$2:$C$1406,3,FALSE)</f>
        <v>6932.7380000000003</v>
      </c>
    </row>
    <row r="1425" spans="1:10">
      <c r="A1425" s="192">
        <v>59059</v>
      </c>
      <c r="B1425" s="192">
        <v>10401</v>
      </c>
      <c r="C1425" s="192" t="s">
        <v>829</v>
      </c>
      <c r="D1425" s="192">
        <v>124</v>
      </c>
      <c r="E1425" s="192" t="s">
        <v>816</v>
      </c>
      <c r="F1425" s="192" t="s">
        <v>823</v>
      </c>
      <c r="G1425" s="192">
        <v>1.1000000238418579</v>
      </c>
      <c r="H1425" s="192" t="s">
        <v>823</v>
      </c>
      <c r="I1425" s="192">
        <v>2</v>
      </c>
      <c r="J1425" s="192">
        <f>VLOOKUP($B1425,'RBSA Weights'!$A$2:$C$1406,3,FALSE)</f>
        <v>2003.7159999999999</v>
      </c>
    </row>
    <row r="1426" spans="1:10">
      <c r="A1426" s="192">
        <v>38948</v>
      </c>
      <c r="B1426" s="192">
        <v>10413</v>
      </c>
      <c r="C1426" s="192" t="s">
        <v>829</v>
      </c>
      <c r="D1426" s="192">
        <v>89</v>
      </c>
      <c r="E1426" s="192" t="s">
        <v>816</v>
      </c>
      <c r="F1426" s="192" t="s">
        <v>821</v>
      </c>
      <c r="G1426" s="192">
        <v>0.94999998807907104</v>
      </c>
      <c r="H1426" s="192" t="s">
        <v>821</v>
      </c>
      <c r="I1426" s="192">
        <v>2</v>
      </c>
      <c r="J1426" s="192">
        <f>VLOOKUP($B1426,'RBSA Weights'!$A$2:$C$1406,3,FALSE)</f>
        <v>1524.7619999999999</v>
      </c>
    </row>
    <row r="1427" spans="1:10">
      <c r="A1427" s="192">
        <v>108175</v>
      </c>
      <c r="B1427" s="192">
        <v>10425</v>
      </c>
      <c r="C1427" s="192" t="s">
        <v>829</v>
      </c>
      <c r="D1427" s="192">
        <v>76</v>
      </c>
      <c r="E1427" s="192" t="s">
        <v>819</v>
      </c>
      <c r="F1427" s="192" t="s">
        <v>818</v>
      </c>
      <c r="G1427" s="192">
        <v>0.55000001192092896</v>
      </c>
      <c r="H1427" s="192" t="s">
        <v>818</v>
      </c>
      <c r="I1427" s="192">
        <v>2</v>
      </c>
      <c r="J1427" s="192">
        <f>VLOOKUP($B1427,'RBSA Weights'!$A$2:$C$1406,3,FALSE)</f>
        <v>4956.4930000000004</v>
      </c>
    </row>
    <row r="1428" spans="1:10">
      <c r="A1428" s="192">
        <v>183217</v>
      </c>
      <c r="B1428" s="192">
        <v>10430</v>
      </c>
      <c r="C1428" s="192" t="s">
        <v>829</v>
      </c>
      <c r="D1428" s="192">
        <v>48</v>
      </c>
      <c r="E1428" s="192" t="s">
        <v>816</v>
      </c>
      <c r="F1428" s="192" t="s">
        <v>823</v>
      </c>
      <c r="G1428" s="192">
        <v>1.1000000238418579</v>
      </c>
      <c r="H1428" s="192" t="s">
        <v>823</v>
      </c>
      <c r="I1428" s="192">
        <v>2</v>
      </c>
      <c r="J1428" s="192">
        <f>VLOOKUP($B1428,'RBSA Weights'!$A$2:$C$1406,3,FALSE)</f>
        <v>1464.694</v>
      </c>
    </row>
    <row r="1429" spans="1:10">
      <c r="A1429" s="192">
        <v>66711</v>
      </c>
      <c r="B1429" s="192">
        <v>10435</v>
      </c>
      <c r="C1429" s="192" t="s">
        <v>829</v>
      </c>
      <c r="D1429" s="192">
        <v>7</v>
      </c>
      <c r="E1429" s="192" t="s">
        <v>816</v>
      </c>
      <c r="F1429" s="192" t="s">
        <v>821</v>
      </c>
      <c r="G1429" s="192">
        <v>0.94999998807907104</v>
      </c>
      <c r="H1429" s="192" t="s">
        <v>821</v>
      </c>
      <c r="I1429" s="192">
        <v>2</v>
      </c>
      <c r="J1429" s="192">
        <f>VLOOKUP($B1429,'RBSA Weights'!$A$2:$C$1406,3,FALSE)</f>
        <v>1524.7619999999999</v>
      </c>
    </row>
    <row r="1430" spans="1:10">
      <c r="A1430" s="192">
        <v>27365</v>
      </c>
      <c r="B1430" s="192">
        <v>10459</v>
      </c>
      <c r="C1430" s="192" t="s">
        <v>829</v>
      </c>
      <c r="D1430" s="192">
        <v>15</v>
      </c>
      <c r="E1430" s="192" t="s">
        <v>816</v>
      </c>
      <c r="F1430" s="192" t="s">
        <v>821</v>
      </c>
      <c r="G1430" s="192">
        <v>0.94999998807907104</v>
      </c>
      <c r="H1430" s="192" t="s">
        <v>821</v>
      </c>
      <c r="I1430" s="192">
        <v>2</v>
      </c>
      <c r="J1430" s="192">
        <f>VLOOKUP($B1430,'RBSA Weights'!$A$2:$C$1406,3,FALSE)</f>
        <v>1524.7619999999999</v>
      </c>
    </row>
    <row r="1431" spans="1:10">
      <c r="A1431" s="192">
        <v>223024</v>
      </c>
      <c r="B1431" s="192">
        <v>10476</v>
      </c>
      <c r="C1431" s="192" t="s">
        <v>829</v>
      </c>
      <c r="D1431" s="192">
        <v>47</v>
      </c>
      <c r="E1431" s="192" t="s">
        <v>816</v>
      </c>
      <c r="F1431" s="192" t="s">
        <v>818</v>
      </c>
      <c r="G1431" s="192">
        <v>0.55000001192092896</v>
      </c>
      <c r="H1431" s="192" t="s">
        <v>818</v>
      </c>
      <c r="I1431" s="192">
        <v>2</v>
      </c>
      <c r="J1431" s="192">
        <f>VLOOKUP($B1431,'RBSA Weights'!$A$2:$C$1406,3,FALSE)</f>
        <v>4956.4930000000004</v>
      </c>
    </row>
    <row r="1432" spans="1:10">
      <c r="A1432" s="192">
        <v>678776</v>
      </c>
      <c r="B1432" s="192">
        <v>10490</v>
      </c>
      <c r="C1432" s="192" t="s">
        <v>829</v>
      </c>
      <c r="D1432" s="192">
        <v>77</v>
      </c>
      <c r="E1432" s="192" t="s">
        <v>816</v>
      </c>
      <c r="F1432" s="192" t="s">
        <v>820</v>
      </c>
      <c r="G1432" s="192">
        <v>0.85000002384185791</v>
      </c>
      <c r="H1432" s="192" t="s">
        <v>820</v>
      </c>
      <c r="I1432" s="192">
        <v>2</v>
      </c>
      <c r="J1432" s="192">
        <f>VLOOKUP($B1432,'RBSA Weights'!$A$2:$C$1406,3,FALSE)</f>
        <v>4956.4930000000004</v>
      </c>
    </row>
    <row r="1433" spans="1:10">
      <c r="A1433" s="192">
        <v>50596</v>
      </c>
      <c r="B1433" s="192">
        <v>10493</v>
      </c>
      <c r="C1433" s="192" t="s">
        <v>829</v>
      </c>
      <c r="D1433" s="192">
        <v>76</v>
      </c>
      <c r="E1433" s="192" t="s">
        <v>816</v>
      </c>
      <c r="F1433" s="192" t="s">
        <v>823</v>
      </c>
      <c r="G1433" s="192">
        <v>1.1000000238418579</v>
      </c>
      <c r="H1433" s="192" t="s">
        <v>823</v>
      </c>
      <c r="I1433" s="192">
        <v>2</v>
      </c>
      <c r="J1433" s="192">
        <f>VLOOKUP($B1433,'RBSA Weights'!$A$2:$C$1406,3,FALSE)</f>
        <v>1524.7619999999999</v>
      </c>
    </row>
    <row r="1434" spans="1:10">
      <c r="A1434" s="192">
        <v>149333</v>
      </c>
      <c r="B1434" s="192">
        <v>10518</v>
      </c>
      <c r="C1434" s="192" t="s">
        <v>829</v>
      </c>
      <c r="D1434" s="192">
        <v>160</v>
      </c>
      <c r="E1434" s="192" t="s">
        <v>816</v>
      </c>
      <c r="F1434" s="192" t="s">
        <v>817</v>
      </c>
      <c r="G1434" s="192">
        <v>0.55000001192092896</v>
      </c>
      <c r="H1434" s="192" t="s">
        <v>818</v>
      </c>
      <c r="I1434" s="192">
        <v>2</v>
      </c>
      <c r="J1434" s="192">
        <f>VLOOKUP($B1434,'RBSA Weights'!$A$2:$C$1406,3,FALSE)</f>
        <v>4956.4930000000004</v>
      </c>
    </row>
    <row r="1435" spans="1:10">
      <c r="A1435" s="192">
        <v>118260</v>
      </c>
      <c r="B1435" s="192">
        <v>10525</v>
      </c>
      <c r="C1435" s="192" t="s">
        <v>829</v>
      </c>
      <c r="D1435" s="192">
        <v>2</v>
      </c>
      <c r="E1435" s="192" t="s">
        <v>816</v>
      </c>
      <c r="F1435" s="192" t="s">
        <v>821</v>
      </c>
      <c r="G1435" s="192">
        <v>0.94999998807907104</v>
      </c>
      <c r="H1435" s="192" t="s">
        <v>821</v>
      </c>
      <c r="I1435" s="192">
        <v>2</v>
      </c>
      <c r="J1435" s="192">
        <f>VLOOKUP($B1435,'RBSA Weights'!$A$2:$C$1406,3,FALSE)</f>
        <v>1464.694</v>
      </c>
    </row>
    <row r="1436" spans="1:10">
      <c r="A1436" s="192">
        <v>28102</v>
      </c>
      <c r="B1436" s="192">
        <v>10551</v>
      </c>
      <c r="C1436" s="192" t="s">
        <v>829</v>
      </c>
      <c r="D1436" s="192">
        <v>50</v>
      </c>
      <c r="E1436" s="192" t="s">
        <v>816</v>
      </c>
      <c r="F1436" s="192" t="s">
        <v>821</v>
      </c>
      <c r="G1436" s="192">
        <v>0.94999998807907104</v>
      </c>
      <c r="H1436" s="192" t="s">
        <v>821</v>
      </c>
      <c r="I1436" s="192">
        <v>2</v>
      </c>
      <c r="J1436" s="192">
        <f>VLOOKUP($B1436,'RBSA Weights'!$A$2:$C$1406,3,FALSE)</f>
        <v>1524.7619999999999</v>
      </c>
    </row>
    <row r="1437" spans="1:10">
      <c r="A1437" s="192">
        <v>115747</v>
      </c>
      <c r="B1437" s="192">
        <v>10552</v>
      </c>
      <c r="C1437" s="192" t="s">
        <v>829</v>
      </c>
      <c r="D1437" s="192">
        <v>54</v>
      </c>
      <c r="E1437" s="192" t="s">
        <v>819</v>
      </c>
      <c r="F1437" s="192" t="s">
        <v>821</v>
      </c>
      <c r="G1437" s="192">
        <v>0.75</v>
      </c>
      <c r="H1437" s="192" t="s">
        <v>821</v>
      </c>
      <c r="I1437" s="192">
        <v>2</v>
      </c>
      <c r="J1437" s="192">
        <f>VLOOKUP($B1437,'RBSA Weights'!$A$2:$C$1406,3,FALSE)</f>
        <v>1464.694</v>
      </c>
    </row>
    <row r="1438" spans="1:10">
      <c r="A1438" s="192">
        <v>30767</v>
      </c>
      <c r="B1438" s="192">
        <v>10557</v>
      </c>
      <c r="C1438" s="192" t="s">
        <v>829</v>
      </c>
      <c r="D1438" s="192">
        <v>69</v>
      </c>
      <c r="E1438" s="192" t="s">
        <v>816</v>
      </c>
      <c r="F1438" s="192" t="s">
        <v>821</v>
      </c>
      <c r="G1438" s="192">
        <v>0.94999998807907104</v>
      </c>
      <c r="H1438" s="192" t="s">
        <v>821</v>
      </c>
      <c r="I1438" s="192">
        <v>2</v>
      </c>
      <c r="J1438" s="192">
        <f>VLOOKUP($B1438,'RBSA Weights'!$A$2:$C$1406,3,FALSE)</f>
        <v>1524.7619999999999</v>
      </c>
    </row>
    <row r="1439" spans="1:10">
      <c r="A1439" s="192">
        <v>85118</v>
      </c>
      <c r="B1439" s="192">
        <v>10565</v>
      </c>
      <c r="C1439" s="192" t="s">
        <v>829</v>
      </c>
      <c r="D1439" s="192">
        <v>9</v>
      </c>
      <c r="E1439" s="192" t="s">
        <v>816</v>
      </c>
      <c r="F1439" s="192" t="s">
        <v>821</v>
      </c>
      <c r="G1439" s="192">
        <v>0.94999998807907104</v>
      </c>
      <c r="H1439" s="192" t="s">
        <v>821</v>
      </c>
      <c r="I1439" s="192">
        <v>2</v>
      </c>
      <c r="J1439" s="192">
        <f>VLOOKUP($B1439,'RBSA Weights'!$A$2:$C$1406,3,FALSE)</f>
        <v>2003.7159999999999</v>
      </c>
    </row>
    <row r="1440" spans="1:10">
      <c r="A1440" s="192">
        <v>31282</v>
      </c>
      <c r="B1440" s="192">
        <v>10580</v>
      </c>
      <c r="C1440" s="192" t="s">
        <v>829</v>
      </c>
      <c r="D1440" s="192">
        <v>66</v>
      </c>
      <c r="E1440" s="192" t="s">
        <v>816</v>
      </c>
      <c r="F1440" s="192" t="s">
        <v>817</v>
      </c>
      <c r="G1440" s="192">
        <v>0.55000001192092896</v>
      </c>
      <c r="H1440" s="192" t="s">
        <v>818</v>
      </c>
      <c r="I1440" s="192">
        <v>2</v>
      </c>
      <c r="J1440" s="192">
        <f>VLOOKUP($B1440,'RBSA Weights'!$A$2:$C$1406,3,FALSE)</f>
        <v>1524.7619999999999</v>
      </c>
    </row>
    <row r="1441" spans="1:10">
      <c r="A1441" s="192">
        <v>27567</v>
      </c>
      <c r="B1441" s="192">
        <v>10595</v>
      </c>
      <c r="C1441" s="192" t="s">
        <v>829</v>
      </c>
      <c r="D1441" s="192">
        <v>26</v>
      </c>
      <c r="E1441" s="192" t="s">
        <v>816</v>
      </c>
      <c r="F1441" s="192" t="s">
        <v>821</v>
      </c>
      <c r="G1441" s="192">
        <v>0.94999998807907104</v>
      </c>
      <c r="H1441" s="192" t="s">
        <v>821</v>
      </c>
      <c r="I1441" s="192">
        <v>2</v>
      </c>
      <c r="J1441" s="192">
        <f>VLOOKUP($B1441,'RBSA Weights'!$A$2:$C$1406,3,FALSE)</f>
        <v>1524.7619999999999</v>
      </c>
    </row>
    <row r="1442" spans="1:10">
      <c r="A1442" s="192">
        <v>135745</v>
      </c>
      <c r="B1442" s="192">
        <v>10612</v>
      </c>
      <c r="C1442" s="192" t="s">
        <v>829</v>
      </c>
      <c r="D1442" s="192">
        <v>9</v>
      </c>
      <c r="E1442" s="192" t="s">
        <v>816</v>
      </c>
      <c r="F1442" s="192" t="s">
        <v>824</v>
      </c>
      <c r="G1442" s="192">
        <v>0.89999997615814209</v>
      </c>
      <c r="H1442" s="192" t="s">
        <v>821</v>
      </c>
      <c r="I1442" s="192">
        <v>2</v>
      </c>
      <c r="J1442" s="192">
        <f>VLOOKUP($B1442,'RBSA Weights'!$A$2:$C$1406,3,FALSE)</f>
        <v>6932.7380000000003</v>
      </c>
    </row>
    <row r="1443" spans="1:10">
      <c r="A1443" s="192">
        <v>216097</v>
      </c>
      <c r="B1443" s="192">
        <v>10649</v>
      </c>
      <c r="C1443" s="192" t="s">
        <v>829</v>
      </c>
      <c r="D1443" s="192">
        <v>42</v>
      </c>
      <c r="E1443" s="192" t="s">
        <v>816</v>
      </c>
      <c r="F1443" s="192" t="s">
        <v>822</v>
      </c>
      <c r="G1443" s="192">
        <v>0.75</v>
      </c>
      <c r="H1443" s="192" t="s">
        <v>820</v>
      </c>
      <c r="I1443" s="192">
        <v>2</v>
      </c>
      <c r="J1443" s="192">
        <f>VLOOKUP($B1443,'RBSA Weights'!$A$2:$C$1406,3,FALSE)</f>
        <v>6932.7380000000003</v>
      </c>
    </row>
    <row r="1444" spans="1:10">
      <c r="A1444" s="192">
        <v>201059</v>
      </c>
      <c r="B1444" s="192">
        <v>10664</v>
      </c>
      <c r="C1444" s="192" t="s">
        <v>829</v>
      </c>
      <c r="D1444" s="192">
        <v>23</v>
      </c>
      <c r="E1444" s="192" t="s">
        <v>816</v>
      </c>
      <c r="F1444" s="192" t="s">
        <v>817</v>
      </c>
      <c r="G1444" s="192">
        <v>0.55000001192092896</v>
      </c>
      <c r="H1444" s="192" t="s">
        <v>818</v>
      </c>
      <c r="I1444" s="192">
        <v>2</v>
      </c>
      <c r="J1444" s="192">
        <f>VLOOKUP($B1444,'RBSA Weights'!$A$2:$C$1406,3,FALSE)</f>
        <v>8264.9449999999997</v>
      </c>
    </row>
    <row r="1445" spans="1:10">
      <c r="A1445" s="192">
        <v>216743</v>
      </c>
      <c r="B1445" s="192">
        <v>10695</v>
      </c>
      <c r="C1445" s="192" t="s">
        <v>829</v>
      </c>
      <c r="D1445" s="192">
        <v>42</v>
      </c>
      <c r="E1445" s="192" t="s">
        <v>816</v>
      </c>
      <c r="F1445" s="192" t="s">
        <v>818</v>
      </c>
      <c r="G1445" s="192">
        <v>0.60000002384185791</v>
      </c>
      <c r="H1445" s="192" t="s">
        <v>818</v>
      </c>
      <c r="I1445" s="192">
        <v>2</v>
      </c>
      <c r="J1445" s="192">
        <f>VLOOKUP($B1445,'RBSA Weights'!$A$2:$C$1406,3,FALSE)</f>
        <v>1464.694</v>
      </c>
    </row>
    <row r="1446" spans="1:10">
      <c r="A1446" s="192">
        <v>39810</v>
      </c>
      <c r="B1446" s="192">
        <v>10697</v>
      </c>
      <c r="C1446" s="192" t="s">
        <v>829</v>
      </c>
      <c r="D1446" s="192">
        <v>13</v>
      </c>
      <c r="E1446" s="192" t="s">
        <v>816</v>
      </c>
      <c r="F1446" s="192" t="s">
        <v>821</v>
      </c>
      <c r="G1446" s="192">
        <v>0.94999998807907104</v>
      </c>
      <c r="H1446" s="192" t="s">
        <v>821</v>
      </c>
      <c r="I1446" s="192">
        <v>2</v>
      </c>
      <c r="J1446" s="192">
        <f>VLOOKUP($B1446,'RBSA Weights'!$A$2:$C$1406,3,FALSE)</f>
        <v>1524.7619999999999</v>
      </c>
    </row>
    <row r="1447" spans="1:10">
      <c r="A1447" s="192">
        <v>224072</v>
      </c>
      <c r="B1447" s="192">
        <v>10710</v>
      </c>
      <c r="C1447" s="192" t="s">
        <v>829</v>
      </c>
      <c r="D1447" s="192">
        <v>134</v>
      </c>
      <c r="E1447" s="192" t="s">
        <v>819</v>
      </c>
      <c r="F1447" s="192" t="s">
        <v>821</v>
      </c>
      <c r="G1447" s="192">
        <v>0.75</v>
      </c>
      <c r="H1447" s="192" t="s">
        <v>821</v>
      </c>
      <c r="I1447" s="192">
        <v>2</v>
      </c>
      <c r="J1447" s="192">
        <f>VLOOKUP($B1447,'RBSA Weights'!$A$2:$C$1406,3,FALSE)</f>
        <v>6932.7380000000003</v>
      </c>
    </row>
    <row r="1448" spans="1:10">
      <c r="A1448" s="192">
        <v>216905</v>
      </c>
      <c r="B1448" s="192">
        <v>10728</v>
      </c>
      <c r="C1448" s="192" t="s">
        <v>829</v>
      </c>
      <c r="D1448" s="192">
        <v>38</v>
      </c>
      <c r="E1448" s="192" t="s">
        <v>816</v>
      </c>
      <c r="F1448" s="192" t="s">
        <v>821</v>
      </c>
      <c r="G1448" s="192">
        <v>0.94999998807907104</v>
      </c>
      <c r="H1448" s="192" t="s">
        <v>821</v>
      </c>
      <c r="I1448" s="192">
        <v>2</v>
      </c>
      <c r="J1448" s="192">
        <f>VLOOKUP($B1448,'RBSA Weights'!$A$2:$C$1406,3,FALSE)</f>
        <v>2003.7159999999999</v>
      </c>
    </row>
    <row r="1449" spans="1:10">
      <c r="A1449" s="192">
        <v>44568</v>
      </c>
      <c r="B1449" s="192">
        <v>10733</v>
      </c>
      <c r="C1449" s="192" t="s">
        <v>829</v>
      </c>
      <c r="D1449" s="192">
        <v>64</v>
      </c>
      <c r="E1449" s="192" t="s">
        <v>816</v>
      </c>
      <c r="F1449" s="192" t="s">
        <v>817</v>
      </c>
      <c r="G1449" s="192">
        <v>0.44999998807907104</v>
      </c>
      <c r="H1449" s="192" t="s">
        <v>818</v>
      </c>
      <c r="I1449" s="192">
        <v>2</v>
      </c>
      <c r="J1449" s="192">
        <f>VLOOKUP($B1449,'RBSA Weights'!$A$2:$C$1406,3,FALSE)</f>
        <v>1524.7619999999999</v>
      </c>
    </row>
    <row r="1450" spans="1:10">
      <c r="A1450" s="192">
        <v>51579</v>
      </c>
      <c r="B1450" s="192">
        <v>10738</v>
      </c>
      <c r="C1450" s="192" t="s">
        <v>829</v>
      </c>
      <c r="D1450" s="192">
        <v>21</v>
      </c>
      <c r="E1450" s="192" t="s">
        <v>816</v>
      </c>
      <c r="F1450" s="192" t="s">
        <v>823</v>
      </c>
      <c r="G1450" s="192">
        <v>1.1000000238418579</v>
      </c>
      <c r="H1450" s="192" t="s">
        <v>823</v>
      </c>
      <c r="I1450" s="192">
        <v>2</v>
      </c>
      <c r="J1450" s="192">
        <f>VLOOKUP($B1450,'RBSA Weights'!$A$2:$C$1406,3,FALSE)</f>
        <v>1188.027</v>
      </c>
    </row>
    <row r="1451" spans="1:10">
      <c r="A1451" s="192">
        <v>35319</v>
      </c>
      <c r="B1451" s="192">
        <v>10741</v>
      </c>
      <c r="C1451" s="192" t="s">
        <v>829</v>
      </c>
      <c r="D1451" s="192">
        <v>39</v>
      </c>
      <c r="E1451" s="192" t="s">
        <v>816</v>
      </c>
      <c r="F1451" s="192" t="s">
        <v>821</v>
      </c>
      <c r="G1451" s="192">
        <v>0.94999998807907104</v>
      </c>
      <c r="H1451" s="192" t="s">
        <v>821</v>
      </c>
      <c r="I1451" s="192">
        <v>2</v>
      </c>
      <c r="J1451" s="192">
        <f>VLOOKUP($B1451,'RBSA Weights'!$A$2:$C$1406,3,FALSE)</f>
        <v>1524.7619999999999</v>
      </c>
    </row>
    <row r="1452" spans="1:10">
      <c r="A1452" s="192">
        <v>186933</v>
      </c>
      <c r="B1452" s="192">
        <v>10752</v>
      </c>
      <c r="C1452" s="192" t="s">
        <v>829</v>
      </c>
      <c r="D1452" s="192">
        <v>147</v>
      </c>
      <c r="E1452" s="192" t="s">
        <v>816</v>
      </c>
      <c r="F1452" s="192" t="s">
        <v>818</v>
      </c>
      <c r="G1452" s="192">
        <v>0.60000002384185791</v>
      </c>
      <c r="H1452" s="192" t="s">
        <v>818</v>
      </c>
      <c r="I1452" s="192">
        <v>2</v>
      </c>
      <c r="J1452" s="192">
        <f>VLOOKUP($B1452,'RBSA Weights'!$A$2:$C$1406,3,FALSE)</f>
        <v>4956.4930000000004</v>
      </c>
    </row>
    <row r="1453" spans="1:10">
      <c r="A1453" s="192">
        <v>65331</v>
      </c>
      <c r="B1453" s="192">
        <v>10786</v>
      </c>
      <c r="C1453" s="192" t="s">
        <v>829</v>
      </c>
      <c r="D1453" s="192">
        <v>25</v>
      </c>
      <c r="E1453" s="192" t="s">
        <v>816</v>
      </c>
      <c r="F1453" s="192" t="s">
        <v>818</v>
      </c>
      <c r="G1453" s="192">
        <v>0.60000002384185791</v>
      </c>
      <c r="H1453" s="192" t="s">
        <v>818</v>
      </c>
      <c r="I1453" s="192">
        <v>2</v>
      </c>
      <c r="J1453" s="192">
        <f>VLOOKUP($B1453,'RBSA Weights'!$A$2:$C$1406,3,FALSE)</f>
        <v>2003.7159999999999</v>
      </c>
    </row>
    <row r="1454" spans="1:10">
      <c r="A1454" s="192">
        <v>182075</v>
      </c>
      <c r="B1454" s="192">
        <v>10801</v>
      </c>
      <c r="C1454" s="192" t="s">
        <v>829</v>
      </c>
      <c r="D1454" s="192">
        <v>36</v>
      </c>
      <c r="E1454" s="192" t="s">
        <v>816</v>
      </c>
      <c r="F1454" s="192" t="s">
        <v>820</v>
      </c>
      <c r="G1454" s="192">
        <v>0.85000002384185791</v>
      </c>
      <c r="H1454" s="192" t="s">
        <v>820</v>
      </c>
      <c r="I1454" s="192">
        <v>2</v>
      </c>
      <c r="J1454" s="192">
        <f>VLOOKUP($B1454,'RBSA Weights'!$A$2:$C$1406,3,FALSE)</f>
        <v>4956.4930000000004</v>
      </c>
    </row>
    <row r="1455" spans="1:10">
      <c r="A1455" s="192">
        <v>163547</v>
      </c>
      <c r="B1455" s="192">
        <v>10809</v>
      </c>
      <c r="C1455" s="192" t="s">
        <v>829</v>
      </c>
      <c r="D1455" s="192">
        <v>16</v>
      </c>
      <c r="E1455" s="192" t="s">
        <v>816</v>
      </c>
      <c r="F1455" s="192" t="s">
        <v>821</v>
      </c>
      <c r="G1455" s="192">
        <v>0.94999998807907104</v>
      </c>
      <c r="H1455" s="192" t="s">
        <v>821</v>
      </c>
      <c r="I1455" s="192">
        <v>2</v>
      </c>
      <c r="J1455" s="192">
        <f>VLOOKUP($B1455,'RBSA Weights'!$A$2:$C$1406,3,FALSE)</f>
        <v>4956.4930000000004</v>
      </c>
    </row>
    <row r="1456" spans="1:10">
      <c r="A1456" s="192">
        <v>83574</v>
      </c>
      <c r="B1456" s="192">
        <v>10822</v>
      </c>
      <c r="C1456" s="192" t="s">
        <v>829</v>
      </c>
      <c r="D1456" s="192">
        <v>63</v>
      </c>
      <c r="E1456" s="192" t="s">
        <v>816</v>
      </c>
      <c r="F1456" s="192" t="s">
        <v>822</v>
      </c>
      <c r="G1456" s="192">
        <v>0.75</v>
      </c>
      <c r="H1456" s="192" t="s">
        <v>820</v>
      </c>
      <c r="I1456" s="192">
        <v>2</v>
      </c>
      <c r="J1456" s="192">
        <f>VLOOKUP($B1456,'RBSA Weights'!$A$2:$C$1406,3,FALSE)</f>
        <v>2003.7159999999999</v>
      </c>
    </row>
    <row r="1457" spans="1:10">
      <c r="A1457" s="192">
        <v>61273</v>
      </c>
      <c r="B1457" s="192">
        <v>10823</v>
      </c>
      <c r="C1457" s="192" t="s">
        <v>829</v>
      </c>
      <c r="D1457" s="192">
        <v>24</v>
      </c>
      <c r="E1457" s="192" t="s">
        <v>816</v>
      </c>
      <c r="F1457" s="192" t="s">
        <v>821</v>
      </c>
      <c r="G1457" s="192">
        <v>0.94999998807907104</v>
      </c>
      <c r="H1457" s="192" t="s">
        <v>821</v>
      </c>
      <c r="I1457" s="192">
        <v>2</v>
      </c>
      <c r="J1457" s="192">
        <f>VLOOKUP($B1457,'RBSA Weights'!$A$2:$C$1406,3,FALSE)</f>
        <v>1524.7619999999999</v>
      </c>
    </row>
    <row r="1458" spans="1:10">
      <c r="A1458" s="192">
        <v>35610</v>
      </c>
      <c r="B1458" s="192">
        <v>10840</v>
      </c>
      <c r="C1458" s="192" t="s">
        <v>829</v>
      </c>
      <c r="D1458" s="192">
        <v>35</v>
      </c>
      <c r="E1458" s="192" t="s">
        <v>816</v>
      </c>
      <c r="F1458" s="192" t="s">
        <v>823</v>
      </c>
      <c r="G1458" s="192">
        <v>1.1000000238418579</v>
      </c>
      <c r="H1458" s="192" t="s">
        <v>823</v>
      </c>
      <c r="I1458" s="192">
        <v>2</v>
      </c>
      <c r="J1458" s="192">
        <f>VLOOKUP($B1458,'RBSA Weights'!$A$2:$C$1406,3,FALSE)</f>
        <v>1524.7619999999999</v>
      </c>
    </row>
    <row r="1459" spans="1:10">
      <c r="A1459" s="192">
        <v>678196</v>
      </c>
      <c r="B1459" s="192">
        <v>10887</v>
      </c>
      <c r="C1459" s="192" t="s">
        <v>829</v>
      </c>
      <c r="D1459" s="192">
        <v>87</v>
      </c>
      <c r="E1459" s="192" t="s">
        <v>816</v>
      </c>
      <c r="F1459" s="192" t="s">
        <v>817</v>
      </c>
      <c r="G1459" s="192">
        <v>0.44999998807907104</v>
      </c>
      <c r="H1459" s="192" t="s">
        <v>818</v>
      </c>
      <c r="I1459" s="192">
        <v>2</v>
      </c>
      <c r="J1459" s="192">
        <f>VLOOKUP($B1459,'RBSA Weights'!$A$2:$C$1406,3,FALSE)</f>
        <v>1464.694</v>
      </c>
    </row>
    <row r="1460" spans="1:10">
      <c r="A1460" s="192">
        <v>103749</v>
      </c>
      <c r="B1460" s="192">
        <v>10948</v>
      </c>
      <c r="C1460" s="192" t="s">
        <v>829</v>
      </c>
      <c r="D1460" s="192">
        <v>66</v>
      </c>
      <c r="E1460" s="192" t="s">
        <v>816</v>
      </c>
      <c r="F1460" s="192" t="s">
        <v>817</v>
      </c>
      <c r="G1460" s="192">
        <v>0.44999998807907104</v>
      </c>
      <c r="H1460" s="192" t="s">
        <v>818</v>
      </c>
      <c r="I1460" s="192">
        <v>2</v>
      </c>
      <c r="J1460" s="192">
        <f>VLOOKUP($B1460,'RBSA Weights'!$A$2:$C$1406,3,FALSE)</f>
        <v>2003.7159999999999</v>
      </c>
    </row>
    <row r="1461" spans="1:10">
      <c r="A1461" s="192">
        <v>30036</v>
      </c>
      <c r="B1461" s="192">
        <v>10978</v>
      </c>
      <c r="C1461" s="192" t="s">
        <v>829</v>
      </c>
      <c r="D1461" s="192">
        <v>25</v>
      </c>
      <c r="E1461" s="192" t="s">
        <v>816</v>
      </c>
      <c r="F1461" s="192" t="s">
        <v>821</v>
      </c>
      <c r="G1461" s="192">
        <v>0.94999998807907104</v>
      </c>
      <c r="H1461" s="192" t="s">
        <v>821</v>
      </c>
      <c r="I1461" s="192">
        <v>2</v>
      </c>
      <c r="J1461" s="192">
        <f>VLOOKUP($B1461,'RBSA Weights'!$A$2:$C$1406,3,FALSE)</f>
        <v>1524.7619999999999</v>
      </c>
    </row>
    <row r="1462" spans="1:10">
      <c r="A1462" s="192">
        <v>29839</v>
      </c>
      <c r="B1462" s="192">
        <v>11006</v>
      </c>
      <c r="C1462" s="192" t="s">
        <v>829</v>
      </c>
      <c r="D1462" s="192">
        <v>28</v>
      </c>
      <c r="E1462" s="192" t="s">
        <v>816</v>
      </c>
      <c r="F1462" s="192" t="s">
        <v>821</v>
      </c>
      <c r="G1462" s="192">
        <v>0.94999998807907104</v>
      </c>
      <c r="H1462" s="192" t="s">
        <v>821</v>
      </c>
      <c r="I1462" s="192">
        <v>2</v>
      </c>
      <c r="J1462" s="192">
        <f>VLOOKUP($B1462,'RBSA Weights'!$A$2:$C$1406,3,FALSE)</f>
        <v>1524.7619999999999</v>
      </c>
    </row>
    <row r="1463" spans="1:10">
      <c r="A1463" s="192">
        <v>724792</v>
      </c>
      <c r="B1463" s="192">
        <v>11021</v>
      </c>
      <c r="C1463" s="192" t="s">
        <v>829</v>
      </c>
      <c r="D1463" s="192">
        <v>55</v>
      </c>
      <c r="E1463" s="192" t="s">
        <v>816</v>
      </c>
      <c r="F1463" s="192" t="s">
        <v>821</v>
      </c>
      <c r="G1463" s="192">
        <v>0.94999998807907104</v>
      </c>
      <c r="H1463" s="192" t="s">
        <v>821</v>
      </c>
      <c r="I1463" s="192">
        <v>2</v>
      </c>
      <c r="J1463" s="192">
        <f>VLOOKUP($B1463,'RBSA Weights'!$A$2:$C$1406,3,FALSE)</f>
        <v>1464.694</v>
      </c>
    </row>
    <row r="1464" spans="1:10">
      <c r="A1464" s="192">
        <v>31829</v>
      </c>
      <c r="B1464" s="192">
        <v>11032</v>
      </c>
      <c r="C1464" s="192" t="s">
        <v>829</v>
      </c>
      <c r="D1464" s="192">
        <v>16</v>
      </c>
      <c r="E1464" s="192" t="s">
        <v>816</v>
      </c>
      <c r="F1464" s="192" t="s">
        <v>818</v>
      </c>
      <c r="G1464" s="192">
        <v>0.60000002384185791</v>
      </c>
      <c r="H1464" s="192" t="s">
        <v>818</v>
      </c>
      <c r="I1464" s="192">
        <v>2</v>
      </c>
      <c r="J1464" s="192">
        <f>VLOOKUP($B1464,'RBSA Weights'!$A$2:$C$1406,3,FALSE)</f>
        <v>1188.027</v>
      </c>
    </row>
    <row r="1465" spans="1:10">
      <c r="A1465" s="192">
        <v>33076</v>
      </c>
      <c r="B1465" s="192">
        <v>11035</v>
      </c>
      <c r="C1465" s="192" t="s">
        <v>829</v>
      </c>
      <c r="D1465" s="192">
        <v>4</v>
      </c>
      <c r="E1465" s="192" t="s">
        <v>816</v>
      </c>
      <c r="F1465" s="192" t="s">
        <v>817</v>
      </c>
      <c r="G1465" s="192">
        <v>0.55000001192092896</v>
      </c>
      <c r="H1465" s="192" t="s">
        <v>818</v>
      </c>
      <c r="I1465" s="192">
        <v>2</v>
      </c>
      <c r="J1465" s="192">
        <f>VLOOKUP($B1465,'RBSA Weights'!$A$2:$C$1406,3,FALSE)</f>
        <v>1150.8789999999999</v>
      </c>
    </row>
    <row r="1466" spans="1:10">
      <c r="A1466" s="192">
        <v>130969</v>
      </c>
      <c r="B1466" s="192">
        <v>11054</v>
      </c>
      <c r="C1466" s="192" t="s">
        <v>829</v>
      </c>
      <c r="D1466" s="192">
        <v>30</v>
      </c>
      <c r="E1466" s="192" t="s">
        <v>816</v>
      </c>
      <c r="F1466" s="192" t="s">
        <v>823</v>
      </c>
      <c r="G1466" s="192">
        <v>1.1000000238418579</v>
      </c>
      <c r="H1466" s="192" t="s">
        <v>823</v>
      </c>
      <c r="I1466" s="192">
        <v>2</v>
      </c>
      <c r="J1466" s="192">
        <f>VLOOKUP($B1466,'RBSA Weights'!$A$2:$C$1406,3,FALSE)</f>
        <v>2003.7159999999999</v>
      </c>
    </row>
    <row r="1467" spans="1:10">
      <c r="A1467" s="192">
        <v>802743</v>
      </c>
      <c r="B1467" s="192">
        <v>11055</v>
      </c>
      <c r="C1467" s="192" t="s">
        <v>829</v>
      </c>
      <c r="D1467" s="192">
        <v>22</v>
      </c>
      <c r="E1467" s="192" t="s">
        <v>816</v>
      </c>
      <c r="F1467" s="192" t="s">
        <v>818</v>
      </c>
      <c r="G1467" s="192">
        <v>0.60000002384185791</v>
      </c>
      <c r="H1467" s="192" t="s">
        <v>818</v>
      </c>
      <c r="I1467" s="192">
        <v>2</v>
      </c>
      <c r="J1467" s="192">
        <f>VLOOKUP($B1467,'RBSA Weights'!$A$2:$C$1406,3,FALSE)</f>
        <v>1464.694</v>
      </c>
    </row>
    <row r="1468" spans="1:10">
      <c r="A1468" s="192">
        <v>174422</v>
      </c>
      <c r="B1468" s="192">
        <v>11154</v>
      </c>
      <c r="C1468" s="192" t="s">
        <v>829</v>
      </c>
      <c r="D1468" s="192">
        <v>76</v>
      </c>
      <c r="E1468" s="192" t="s">
        <v>816</v>
      </c>
      <c r="F1468" s="192" t="s">
        <v>821</v>
      </c>
      <c r="G1468" s="192">
        <v>0.94999998807907104</v>
      </c>
      <c r="H1468" s="192" t="s">
        <v>821</v>
      </c>
      <c r="I1468" s="192">
        <v>2</v>
      </c>
      <c r="J1468" s="192">
        <f>VLOOKUP($B1468,'RBSA Weights'!$A$2:$C$1406,3,FALSE)</f>
        <v>6932.7380000000003</v>
      </c>
    </row>
    <row r="1469" spans="1:10">
      <c r="A1469" s="192">
        <v>120917</v>
      </c>
      <c r="B1469" s="192">
        <v>11163</v>
      </c>
      <c r="C1469" s="192" t="s">
        <v>829</v>
      </c>
      <c r="D1469" s="192">
        <v>63</v>
      </c>
      <c r="E1469" s="192" t="s">
        <v>819</v>
      </c>
      <c r="F1469" s="192" t="s">
        <v>817</v>
      </c>
      <c r="G1469" s="192">
        <v>0.5</v>
      </c>
      <c r="H1469" s="192" t="s">
        <v>818</v>
      </c>
      <c r="I1469" s="192">
        <v>2</v>
      </c>
      <c r="J1469" s="192">
        <f>VLOOKUP($B1469,'RBSA Weights'!$A$2:$C$1406,3,FALSE)</f>
        <v>4956.4930000000004</v>
      </c>
    </row>
    <row r="1470" spans="1:10">
      <c r="A1470" s="192">
        <v>28386</v>
      </c>
      <c r="B1470" s="192">
        <v>11178</v>
      </c>
      <c r="C1470" s="192" t="s">
        <v>829</v>
      </c>
      <c r="D1470" s="192">
        <v>12</v>
      </c>
      <c r="E1470" s="192" t="s">
        <v>816</v>
      </c>
      <c r="F1470" s="192" t="s">
        <v>818</v>
      </c>
      <c r="G1470" s="192">
        <v>0.60000002384185791</v>
      </c>
      <c r="H1470" s="192" t="s">
        <v>818</v>
      </c>
      <c r="I1470" s="192">
        <v>2</v>
      </c>
      <c r="J1470" s="192">
        <f>VLOOKUP($B1470,'RBSA Weights'!$A$2:$C$1406,3,FALSE)</f>
        <v>1524.7619999999999</v>
      </c>
    </row>
    <row r="1471" spans="1:10">
      <c r="A1471" s="192">
        <v>57049</v>
      </c>
      <c r="B1471" s="192">
        <v>11210</v>
      </c>
      <c r="C1471" s="192" t="s">
        <v>829</v>
      </c>
      <c r="D1471" s="192">
        <v>8</v>
      </c>
      <c r="E1471" s="192" t="s">
        <v>816</v>
      </c>
      <c r="F1471" s="192" t="s">
        <v>821</v>
      </c>
      <c r="G1471" s="192">
        <v>0.94999998807907104</v>
      </c>
      <c r="H1471" s="192" t="s">
        <v>821</v>
      </c>
      <c r="I1471" s="192">
        <v>2</v>
      </c>
      <c r="J1471" s="192">
        <f>VLOOKUP($B1471,'RBSA Weights'!$A$2:$C$1406,3,FALSE)</f>
        <v>1524.7619999999999</v>
      </c>
    </row>
    <row r="1472" spans="1:10">
      <c r="A1472" s="192">
        <v>109479</v>
      </c>
      <c r="B1472" s="192">
        <v>11222</v>
      </c>
      <c r="C1472" s="192" t="s">
        <v>829</v>
      </c>
      <c r="D1472" s="192">
        <v>213</v>
      </c>
      <c r="E1472" s="192" t="s">
        <v>816</v>
      </c>
      <c r="F1472" s="192" t="s">
        <v>820</v>
      </c>
      <c r="G1472" s="192">
        <v>0.85000002384185791</v>
      </c>
      <c r="H1472" s="192" t="s">
        <v>820</v>
      </c>
      <c r="I1472" s="192">
        <v>2</v>
      </c>
      <c r="J1472" s="192">
        <f>VLOOKUP($B1472,'RBSA Weights'!$A$2:$C$1406,3,FALSE)</f>
        <v>4956.4930000000004</v>
      </c>
    </row>
    <row r="1473" spans="1:10">
      <c r="A1473" s="192">
        <v>91552</v>
      </c>
      <c r="B1473" s="192">
        <v>11236</v>
      </c>
      <c r="C1473" s="192" t="s">
        <v>829</v>
      </c>
      <c r="D1473" s="192">
        <v>84</v>
      </c>
      <c r="E1473" s="192" t="s">
        <v>816</v>
      </c>
      <c r="F1473" s="192" t="s">
        <v>817</v>
      </c>
      <c r="G1473" s="192">
        <v>0.55000001192092896</v>
      </c>
      <c r="H1473" s="192" t="s">
        <v>818</v>
      </c>
      <c r="I1473" s="192">
        <v>2</v>
      </c>
      <c r="J1473" s="192">
        <f>VLOOKUP($B1473,'RBSA Weights'!$A$2:$C$1406,3,FALSE)</f>
        <v>4956.4930000000004</v>
      </c>
    </row>
    <row r="1474" spans="1:10">
      <c r="A1474" s="192">
        <v>47817</v>
      </c>
      <c r="B1474" s="192">
        <v>11273</v>
      </c>
      <c r="C1474" s="192" t="s">
        <v>829</v>
      </c>
      <c r="D1474" s="192">
        <v>100</v>
      </c>
      <c r="E1474" s="192" t="s">
        <v>816</v>
      </c>
      <c r="F1474" s="192" t="s">
        <v>821</v>
      </c>
      <c r="G1474" s="192">
        <v>0.94999998807907104</v>
      </c>
      <c r="H1474" s="192" t="s">
        <v>821</v>
      </c>
      <c r="I1474" s="192">
        <v>2</v>
      </c>
      <c r="J1474" s="192">
        <f>VLOOKUP($B1474,'RBSA Weights'!$A$2:$C$1406,3,FALSE)</f>
        <v>1524.7619999999999</v>
      </c>
    </row>
    <row r="1475" spans="1:10">
      <c r="A1475" s="192">
        <v>201217</v>
      </c>
      <c r="B1475" s="192">
        <v>11282</v>
      </c>
      <c r="C1475" s="192" t="s">
        <v>829</v>
      </c>
      <c r="D1475" s="192">
        <v>295</v>
      </c>
      <c r="E1475" s="192" t="s">
        <v>816</v>
      </c>
      <c r="F1475" s="192" t="s">
        <v>823</v>
      </c>
      <c r="G1475" s="192">
        <v>1.1000000238418579</v>
      </c>
      <c r="H1475" s="192" t="s">
        <v>823</v>
      </c>
      <c r="I1475" s="192">
        <v>2</v>
      </c>
      <c r="J1475" s="192">
        <f>VLOOKUP($B1475,'RBSA Weights'!$A$2:$C$1406,3,FALSE)</f>
        <v>6932.7380000000003</v>
      </c>
    </row>
    <row r="1476" spans="1:10">
      <c r="A1476" s="192">
        <v>159652</v>
      </c>
      <c r="B1476" s="192">
        <v>11283</v>
      </c>
      <c r="C1476" s="192" t="s">
        <v>829</v>
      </c>
      <c r="D1476" s="192">
        <v>65</v>
      </c>
      <c r="E1476" s="192" t="s">
        <v>819</v>
      </c>
      <c r="F1476" s="192" t="s">
        <v>821</v>
      </c>
      <c r="G1476" s="192">
        <v>0.75</v>
      </c>
      <c r="H1476" s="192" t="s">
        <v>821</v>
      </c>
      <c r="I1476" s="192">
        <v>2</v>
      </c>
      <c r="J1476" s="192">
        <f>VLOOKUP($B1476,'RBSA Weights'!$A$2:$C$1406,3,FALSE)</f>
        <v>6932.7380000000003</v>
      </c>
    </row>
    <row r="1477" spans="1:10">
      <c r="A1477" s="192">
        <v>78421</v>
      </c>
      <c r="B1477" s="192">
        <v>11302</v>
      </c>
      <c r="C1477" s="192" t="s">
        <v>829</v>
      </c>
      <c r="D1477" s="192">
        <v>18</v>
      </c>
      <c r="E1477" s="192" t="s">
        <v>816</v>
      </c>
      <c r="F1477" s="192" t="s">
        <v>821</v>
      </c>
      <c r="G1477" s="192">
        <v>0.94999998807907104</v>
      </c>
      <c r="H1477" s="192" t="s">
        <v>821</v>
      </c>
      <c r="I1477" s="192">
        <v>2</v>
      </c>
      <c r="J1477" s="192">
        <f>VLOOKUP($B1477,'RBSA Weights'!$A$2:$C$1406,3,FALSE)</f>
        <v>1524.7619999999999</v>
      </c>
    </row>
    <row r="1478" spans="1:10">
      <c r="A1478" s="192">
        <v>105377</v>
      </c>
      <c r="B1478" s="192">
        <v>11347</v>
      </c>
      <c r="C1478" s="192" t="s">
        <v>829</v>
      </c>
      <c r="D1478" s="192">
        <v>6</v>
      </c>
      <c r="E1478" s="192" t="s">
        <v>816</v>
      </c>
      <c r="F1478" s="192" t="s">
        <v>821</v>
      </c>
      <c r="G1478" s="192">
        <v>0.94999998807907104</v>
      </c>
      <c r="H1478" s="192" t="s">
        <v>821</v>
      </c>
      <c r="I1478" s="192">
        <v>2</v>
      </c>
      <c r="J1478" s="192">
        <f>VLOOKUP($B1478,'RBSA Weights'!$A$2:$C$1406,3,FALSE)</f>
        <v>4956.4930000000004</v>
      </c>
    </row>
    <row r="1479" spans="1:10">
      <c r="A1479" s="192">
        <v>190364</v>
      </c>
      <c r="B1479" s="192">
        <v>11352</v>
      </c>
      <c r="C1479" s="192" t="s">
        <v>829</v>
      </c>
      <c r="D1479" s="192">
        <v>112</v>
      </c>
      <c r="E1479" s="192" t="s">
        <v>816</v>
      </c>
      <c r="F1479" s="192" t="s">
        <v>821</v>
      </c>
      <c r="G1479" s="192">
        <v>0.94999998807907104</v>
      </c>
      <c r="H1479" s="192" t="s">
        <v>821</v>
      </c>
      <c r="I1479" s="192">
        <v>2</v>
      </c>
      <c r="J1479" s="192">
        <f>VLOOKUP($B1479,'RBSA Weights'!$A$2:$C$1406,3,FALSE)</f>
        <v>6932.7380000000003</v>
      </c>
    </row>
    <row r="1480" spans="1:10">
      <c r="A1480" s="192">
        <v>140860</v>
      </c>
      <c r="B1480" s="192">
        <v>11414</v>
      </c>
      <c r="C1480" s="192" t="s">
        <v>829</v>
      </c>
      <c r="D1480" s="192">
        <v>167</v>
      </c>
      <c r="E1480" s="192" t="s">
        <v>816</v>
      </c>
      <c r="F1480" s="192" t="s">
        <v>823</v>
      </c>
      <c r="G1480" s="192">
        <v>1.1000000238418579</v>
      </c>
      <c r="H1480" s="192" t="s">
        <v>823</v>
      </c>
      <c r="I1480" s="192">
        <v>2</v>
      </c>
      <c r="J1480" s="192">
        <f>VLOOKUP($B1480,'RBSA Weights'!$A$2:$C$1406,3,FALSE)</f>
        <v>4956.4930000000004</v>
      </c>
    </row>
    <row r="1481" spans="1:10">
      <c r="A1481" s="192">
        <v>50815</v>
      </c>
      <c r="B1481" s="192">
        <v>11437</v>
      </c>
      <c r="C1481" s="192" t="s">
        <v>829</v>
      </c>
      <c r="D1481" s="192">
        <v>24</v>
      </c>
      <c r="E1481" s="192" t="s">
        <v>816</v>
      </c>
      <c r="F1481" s="192" t="s">
        <v>818</v>
      </c>
      <c r="G1481" s="192">
        <v>0.60000002384185791</v>
      </c>
      <c r="H1481" s="192" t="s">
        <v>818</v>
      </c>
      <c r="I1481" s="192">
        <v>2</v>
      </c>
      <c r="J1481" s="192">
        <f>VLOOKUP($B1481,'RBSA Weights'!$A$2:$C$1406,3,FALSE)</f>
        <v>1524.7619999999999</v>
      </c>
    </row>
    <row r="1482" spans="1:10">
      <c r="A1482" s="192">
        <v>159202</v>
      </c>
      <c r="B1482" s="192">
        <v>11452</v>
      </c>
      <c r="C1482" s="192" t="s">
        <v>829</v>
      </c>
      <c r="D1482" s="192">
        <v>16</v>
      </c>
      <c r="E1482" s="192" t="s">
        <v>816</v>
      </c>
      <c r="F1482" s="192" t="s">
        <v>823</v>
      </c>
      <c r="G1482" s="192">
        <v>1.1000000238418579</v>
      </c>
      <c r="H1482" s="192" t="s">
        <v>823</v>
      </c>
      <c r="I1482" s="192">
        <v>2</v>
      </c>
      <c r="J1482" s="192">
        <f>VLOOKUP($B1482,'RBSA Weights'!$A$2:$C$1406,3,FALSE)</f>
        <v>6932.7380000000003</v>
      </c>
    </row>
    <row r="1483" spans="1:10">
      <c r="A1483" s="192">
        <v>38694</v>
      </c>
      <c r="B1483" s="192">
        <v>11467</v>
      </c>
      <c r="C1483" s="192" t="s">
        <v>829</v>
      </c>
      <c r="D1483" s="192">
        <v>6</v>
      </c>
      <c r="E1483" s="192" t="s">
        <v>816</v>
      </c>
      <c r="F1483" s="192" t="s">
        <v>821</v>
      </c>
      <c r="G1483" s="192">
        <v>0.94999998807907104</v>
      </c>
      <c r="H1483" s="192" t="s">
        <v>821</v>
      </c>
      <c r="I1483" s="192">
        <v>2</v>
      </c>
      <c r="J1483" s="192">
        <f>VLOOKUP($B1483,'RBSA Weights'!$A$2:$C$1406,3,FALSE)</f>
        <v>1524.7619999999999</v>
      </c>
    </row>
    <row r="1484" spans="1:10">
      <c r="A1484" s="192">
        <v>54290</v>
      </c>
      <c r="B1484" s="192">
        <v>11499</v>
      </c>
      <c r="C1484" s="192" t="s">
        <v>829</v>
      </c>
      <c r="D1484" s="192">
        <v>10</v>
      </c>
      <c r="E1484" s="192" t="s">
        <v>816</v>
      </c>
      <c r="F1484" s="192" t="s">
        <v>821</v>
      </c>
      <c r="G1484" s="192">
        <v>0.94999998807907104</v>
      </c>
      <c r="H1484" s="192" t="s">
        <v>821</v>
      </c>
      <c r="I1484" s="192">
        <v>2</v>
      </c>
      <c r="J1484" s="192">
        <f>VLOOKUP($B1484,'RBSA Weights'!$A$2:$C$1406,3,FALSE)</f>
        <v>1188.027</v>
      </c>
    </row>
    <row r="1485" spans="1:10">
      <c r="A1485" s="192">
        <v>219677</v>
      </c>
      <c r="B1485" s="192">
        <v>11504</v>
      </c>
      <c r="C1485" s="192" t="s">
        <v>829</v>
      </c>
      <c r="D1485" s="192">
        <v>246</v>
      </c>
      <c r="E1485" s="192" t="s">
        <v>816</v>
      </c>
      <c r="F1485" s="192" t="s">
        <v>817</v>
      </c>
      <c r="G1485" s="192">
        <v>0.44999998807907104</v>
      </c>
      <c r="H1485" s="192" t="s">
        <v>818</v>
      </c>
      <c r="I1485" s="192">
        <v>2</v>
      </c>
      <c r="J1485" s="192">
        <f>VLOOKUP($B1485,'RBSA Weights'!$A$2:$C$1406,3,FALSE)</f>
        <v>6932.7380000000003</v>
      </c>
    </row>
    <row r="1486" spans="1:10">
      <c r="A1486" s="192">
        <v>73765</v>
      </c>
      <c r="B1486" s="192">
        <v>11533</v>
      </c>
      <c r="C1486" s="192" t="s">
        <v>829</v>
      </c>
      <c r="D1486" s="192">
        <v>81</v>
      </c>
      <c r="E1486" s="192" t="s">
        <v>816</v>
      </c>
      <c r="F1486" s="192" t="s">
        <v>817</v>
      </c>
      <c r="G1486" s="192">
        <v>0.44999998807907104</v>
      </c>
      <c r="H1486" s="192" t="s">
        <v>818</v>
      </c>
      <c r="I1486" s="192">
        <v>2</v>
      </c>
      <c r="J1486" s="192">
        <f>VLOOKUP($B1486,'RBSA Weights'!$A$2:$C$1406,3,FALSE)</f>
        <v>2003.7159999999999</v>
      </c>
    </row>
    <row r="1487" spans="1:10">
      <c r="A1487" s="192">
        <v>46087</v>
      </c>
      <c r="B1487" s="192">
        <v>11536</v>
      </c>
      <c r="C1487" s="192" t="s">
        <v>829</v>
      </c>
      <c r="D1487" s="192">
        <v>8</v>
      </c>
      <c r="E1487" s="192" t="s">
        <v>816</v>
      </c>
      <c r="F1487" s="192" t="s">
        <v>821</v>
      </c>
      <c r="G1487" s="192">
        <v>0.94999998807907104</v>
      </c>
      <c r="H1487" s="192" t="s">
        <v>821</v>
      </c>
      <c r="I1487" s="192">
        <v>2</v>
      </c>
      <c r="J1487" s="192">
        <f>VLOOKUP($B1487,'RBSA Weights'!$A$2:$C$1406,3,FALSE)</f>
        <v>1188.027</v>
      </c>
    </row>
    <row r="1488" spans="1:10">
      <c r="A1488" s="192">
        <v>105081</v>
      </c>
      <c r="B1488" s="192">
        <v>11574</v>
      </c>
      <c r="C1488" s="192" t="s">
        <v>829</v>
      </c>
      <c r="D1488" s="192">
        <v>26</v>
      </c>
      <c r="E1488" s="192" t="s">
        <v>816</v>
      </c>
      <c r="F1488" s="192" t="s">
        <v>823</v>
      </c>
      <c r="G1488" s="192">
        <v>1.1000000238418579</v>
      </c>
      <c r="H1488" s="192" t="s">
        <v>823</v>
      </c>
      <c r="I1488" s="192">
        <v>2</v>
      </c>
      <c r="J1488" s="192">
        <f>VLOOKUP($B1488,'RBSA Weights'!$A$2:$C$1406,3,FALSE)</f>
        <v>4956.4930000000004</v>
      </c>
    </row>
    <row r="1489" spans="1:10">
      <c r="A1489" s="192">
        <v>667106</v>
      </c>
      <c r="B1489" s="192">
        <v>11636</v>
      </c>
      <c r="C1489" s="192" t="s">
        <v>829</v>
      </c>
      <c r="D1489" s="192">
        <v>126</v>
      </c>
      <c r="E1489" s="192" t="s">
        <v>816</v>
      </c>
      <c r="F1489" s="192" t="s">
        <v>820</v>
      </c>
      <c r="G1489" s="192">
        <v>0.85000002384185791</v>
      </c>
      <c r="H1489" s="192" t="s">
        <v>820</v>
      </c>
      <c r="I1489" s="192">
        <v>2</v>
      </c>
      <c r="J1489" s="192">
        <f>VLOOKUP($B1489,'RBSA Weights'!$A$2:$C$1406,3,FALSE)</f>
        <v>1464.694</v>
      </c>
    </row>
    <row r="1490" spans="1:10">
      <c r="A1490" s="192">
        <v>47190</v>
      </c>
      <c r="B1490" s="192">
        <v>11653</v>
      </c>
      <c r="C1490" s="192" t="s">
        <v>829</v>
      </c>
      <c r="D1490" s="192">
        <v>158</v>
      </c>
      <c r="E1490" s="192" t="s">
        <v>816</v>
      </c>
      <c r="F1490" s="192" t="s">
        <v>817</v>
      </c>
      <c r="G1490" s="192">
        <v>0.44999998807907104</v>
      </c>
      <c r="H1490" s="192" t="s">
        <v>818</v>
      </c>
      <c r="I1490" s="192">
        <v>2</v>
      </c>
      <c r="J1490" s="192">
        <f>VLOOKUP($B1490,'RBSA Weights'!$A$2:$C$1406,3,FALSE)</f>
        <v>1524.7619999999999</v>
      </c>
    </row>
    <row r="1491" spans="1:10">
      <c r="A1491" s="192">
        <v>182731</v>
      </c>
      <c r="B1491" s="192">
        <v>11679</v>
      </c>
      <c r="C1491" s="192" t="s">
        <v>829</v>
      </c>
      <c r="D1491" s="192">
        <v>39</v>
      </c>
      <c r="E1491" s="192" t="s">
        <v>816</v>
      </c>
      <c r="F1491" s="192" t="s">
        <v>817</v>
      </c>
      <c r="G1491" s="192">
        <v>0.55000001192092896</v>
      </c>
      <c r="H1491" s="192" t="s">
        <v>818</v>
      </c>
      <c r="I1491" s="192">
        <v>2</v>
      </c>
      <c r="J1491" s="192">
        <f>VLOOKUP($B1491,'RBSA Weights'!$A$2:$C$1406,3,FALSE)</f>
        <v>6932.7380000000003</v>
      </c>
    </row>
    <row r="1492" spans="1:10">
      <c r="A1492" s="192">
        <v>823429</v>
      </c>
      <c r="B1492" s="192">
        <v>11705</v>
      </c>
      <c r="C1492" s="192" t="s">
        <v>829</v>
      </c>
      <c r="D1492" s="192">
        <v>17</v>
      </c>
      <c r="E1492" s="192" t="s">
        <v>816</v>
      </c>
      <c r="F1492" s="192" t="s">
        <v>820</v>
      </c>
      <c r="G1492" s="192">
        <v>0.85000002384185791</v>
      </c>
      <c r="H1492" s="192" t="s">
        <v>820</v>
      </c>
      <c r="I1492" s="192">
        <v>2</v>
      </c>
      <c r="J1492" s="192">
        <f>VLOOKUP($B1492,'RBSA Weights'!$A$2:$C$1406,3,FALSE)</f>
        <v>1464.694</v>
      </c>
    </row>
    <row r="1493" spans="1:10">
      <c r="A1493" s="192">
        <v>132029</v>
      </c>
      <c r="B1493" s="192">
        <v>11717</v>
      </c>
      <c r="C1493" s="192" t="s">
        <v>829</v>
      </c>
      <c r="D1493" s="192">
        <v>80</v>
      </c>
      <c r="E1493" s="192" t="s">
        <v>816</v>
      </c>
      <c r="F1493" s="192" t="s">
        <v>818</v>
      </c>
      <c r="G1493" s="192">
        <v>0.60000002384185791</v>
      </c>
      <c r="H1493" s="192" t="s">
        <v>818</v>
      </c>
      <c r="I1493" s="192">
        <v>2</v>
      </c>
      <c r="J1493" s="192">
        <f>VLOOKUP($B1493,'RBSA Weights'!$A$2:$C$1406,3,FALSE)</f>
        <v>6932.7380000000003</v>
      </c>
    </row>
    <row r="1494" spans="1:10">
      <c r="A1494" s="192">
        <v>724188</v>
      </c>
      <c r="B1494" s="192">
        <v>11725</v>
      </c>
      <c r="C1494" s="192" t="s">
        <v>829</v>
      </c>
      <c r="D1494" s="192">
        <v>4</v>
      </c>
      <c r="E1494" s="192" t="s">
        <v>816</v>
      </c>
      <c r="F1494" s="192" t="s">
        <v>817</v>
      </c>
      <c r="G1494" s="192">
        <v>0.44999998807907104</v>
      </c>
      <c r="H1494" s="192" t="s">
        <v>818</v>
      </c>
      <c r="I1494" s="192">
        <v>2</v>
      </c>
      <c r="J1494" s="192">
        <f>VLOOKUP($B1494,'RBSA Weights'!$A$2:$C$1406,3,FALSE)</f>
        <v>1524.7619999999999</v>
      </c>
    </row>
    <row r="1495" spans="1:10">
      <c r="A1495" s="192">
        <v>130510</v>
      </c>
      <c r="B1495" s="192">
        <v>11766</v>
      </c>
      <c r="C1495" s="192" t="s">
        <v>829</v>
      </c>
      <c r="D1495" s="192">
        <v>66</v>
      </c>
      <c r="E1495" s="192" t="s">
        <v>816</v>
      </c>
      <c r="F1495" s="192" t="s">
        <v>817</v>
      </c>
      <c r="G1495" s="192">
        <v>0.44999998807907104</v>
      </c>
      <c r="H1495" s="192" t="s">
        <v>818</v>
      </c>
      <c r="I1495" s="192">
        <v>2</v>
      </c>
      <c r="J1495" s="192">
        <f>VLOOKUP($B1495,'RBSA Weights'!$A$2:$C$1406,3,FALSE)</f>
        <v>4956.4930000000004</v>
      </c>
    </row>
    <row r="1496" spans="1:10">
      <c r="A1496" s="192">
        <v>237819</v>
      </c>
      <c r="B1496" s="192">
        <v>11775</v>
      </c>
      <c r="C1496" s="192" t="s">
        <v>829</v>
      </c>
      <c r="D1496" s="192">
        <v>50</v>
      </c>
      <c r="E1496" s="192" t="s">
        <v>816</v>
      </c>
      <c r="F1496" s="192" t="s">
        <v>820</v>
      </c>
      <c r="G1496" s="192">
        <v>0.85000002384185791</v>
      </c>
      <c r="H1496" s="192" t="s">
        <v>820</v>
      </c>
      <c r="I1496" s="192">
        <v>2</v>
      </c>
      <c r="J1496" s="192">
        <f>VLOOKUP($B1496,'RBSA Weights'!$A$2:$C$1406,3,FALSE)</f>
        <v>4956.4930000000004</v>
      </c>
    </row>
    <row r="1497" spans="1:10">
      <c r="A1497" s="192">
        <v>37715</v>
      </c>
      <c r="B1497" s="192">
        <v>11779</v>
      </c>
      <c r="C1497" s="192" t="s">
        <v>829</v>
      </c>
      <c r="D1497" s="192">
        <v>94</v>
      </c>
      <c r="E1497" s="192" t="s">
        <v>816</v>
      </c>
      <c r="F1497" s="192" t="s">
        <v>820</v>
      </c>
      <c r="G1497" s="192">
        <v>0.85000002384185791</v>
      </c>
      <c r="H1497" s="192" t="s">
        <v>820</v>
      </c>
      <c r="I1497" s="192">
        <v>2</v>
      </c>
      <c r="J1497" s="192">
        <f>VLOOKUP($B1497,'RBSA Weights'!$A$2:$C$1406,3,FALSE)</f>
        <v>1524.7619999999999</v>
      </c>
    </row>
    <row r="1498" spans="1:10">
      <c r="A1498" s="192">
        <v>182875</v>
      </c>
      <c r="B1498" s="192">
        <v>11815</v>
      </c>
      <c r="C1498" s="192" t="s">
        <v>829</v>
      </c>
      <c r="D1498" s="192">
        <v>20</v>
      </c>
      <c r="E1498" s="192" t="s">
        <v>819</v>
      </c>
      <c r="F1498" s="192" t="s">
        <v>817</v>
      </c>
      <c r="G1498" s="192">
        <v>0.40000000596046448</v>
      </c>
      <c r="H1498" s="192" t="s">
        <v>818</v>
      </c>
      <c r="I1498" s="192">
        <v>2</v>
      </c>
      <c r="J1498" s="192">
        <f>VLOOKUP($B1498,'RBSA Weights'!$A$2:$C$1406,3,FALSE)</f>
        <v>6932.7380000000003</v>
      </c>
    </row>
    <row r="1499" spans="1:10">
      <c r="A1499" s="192">
        <v>803222</v>
      </c>
      <c r="B1499" s="192">
        <v>11825</v>
      </c>
      <c r="C1499" s="192" t="s">
        <v>829</v>
      </c>
      <c r="D1499" s="192">
        <v>21</v>
      </c>
      <c r="E1499" s="192" t="s">
        <v>819</v>
      </c>
      <c r="F1499" s="192" t="s">
        <v>821</v>
      </c>
      <c r="G1499" s="192">
        <v>0.75</v>
      </c>
      <c r="H1499" s="192" t="s">
        <v>821</v>
      </c>
      <c r="I1499" s="192">
        <v>2</v>
      </c>
      <c r="J1499" s="192">
        <f>VLOOKUP($B1499,'RBSA Weights'!$A$2:$C$1406,3,FALSE)</f>
        <v>1464.694</v>
      </c>
    </row>
    <row r="1500" spans="1:10">
      <c r="A1500" s="192">
        <v>96584</v>
      </c>
      <c r="B1500" s="192">
        <v>11836</v>
      </c>
      <c r="C1500" s="192" t="s">
        <v>829</v>
      </c>
      <c r="D1500" s="192">
        <v>94</v>
      </c>
      <c r="E1500" s="192" t="s">
        <v>816</v>
      </c>
      <c r="F1500" s="192" t="s">
        <v>818</v>
      </c>
      <c r="G1500" s="192">
        <v>0.60000002384185791</v>
      </c>
      <c r="H1500" s="192" t="s">
        <v>818</v>
      </c>
      <c r="I1500" s="192">
        <v>2</v>
      </c>
      <c r="J1500" s="192">
        <f>VLOOKUP($B1500,'RBSA Weights'!$A$2:$C$1406,3,FALSE)</f>
        <v>2003.7159999999999</v>
      </c>
    </row>
    <row r="1501" spans="1:10">
      <c r="A1501" s="192">
        <v>77535</v>
      </c>
      <c r="B1501" s="192">
        <v>11838</v>
      </c>
      <c r="C1501" s="192" t="s">
        <v>829</v>
      </c>
      <c r="D1501" s="192">
        <v>119</v>
      </c>
      <c r="E1501" s="192" t="s">
        <v>819</v>
      </c>
      <c r="F1501" s="192" t="s">
        <v>823</v>
      </c>
      <c r="G1501" s="192">
        <v>0.85000002384185791</v>
      </c>
      <c r="H1501" s="192" t="s">
        <v>823</v>
      </c>
      <c r="I1501" s="192">
        <v>2</v>
      </c>
      <c r="J1501" s="192">
        <f>VLOOKUP($B1501,'RBSA Weights'!$A$2:$C$1406,3,FALSE)</f>
        <v>2003.7159999999999</v>
      </c>
    </row>
    <row r="1502" spans="1:10">
      <c r="A1502" s="192">
        <v>89041</v>
      </c>
      <c r="B1502" s="192">
        <v>11860</v>
      </c>
      <c r="C1502" s="192" t="s">
        <v>829</v>
      </c>
      <c r="D1502" s="192">
        <v>84</v>
      </c>
      <c r="E1502" s="192" t="s">
        <v>816</v>
      </c>
      <c r="F1502" s="192" t="s">
        <v>818</v>
      </c>
      <c r="G1502" s="192">
        <v>0.55000001192092896</v>
      </c>
      <c r="H1502" s="192" t="s">
        <v>818</v>
      </c>
      <c r="I1502" s="192">
        <v>2</v>
      </c>
      <c r="J1502" s="192">
        <f>VLOOKUP($B1502,'RBSA Weights'!$A$2:$C$1406,3,FALSE)</f>
        <v>2003.7159999999999</v>
      </c>
    </row>
    <row r="1503" spans="1:10">
      <c r="A1503" s="192">
        <v>41982</v>
      </c>
      <c r="B1503" s="192">
        <v>11872</v>
      </c>
      <c r="C1503" s="192" t="s">
        <v>829</v>
      </c>
      <c r="D1503" s="192">
        <v>24</v>
      </c>
      <c r="E1503" s="192" t="s">
        <v>816</v>
      </c>
      <c r="F1503" s="192" t="s">
        <v>820</v>
      </c>
      <c r="G1503" s="192">
        <v>0.85000002384185791</v>
      </c>
      <c r="H1503" s="192" t="s">
        <v>820</v>
      </c>
      <c r="I1503" s="192">
        <v>2</v>
      </c>
      <c r="J1503" s="192">
        <f>VLOOKUP($B1503,'RBSA Weights'!$A$2:$C$1406,3,FALSE)</f>
        <v>1524.7619999999999</v>
      </c>
    </row>
    <row r="1504" spans="1:10">
      <c r="A1504" s="192">
        <v>137212</v>
      </c>
      <c r="B1504" s="192">
        <v>11880</v>
      </c>
      <c r="C1504" s="192" t="s">
        <v>829</v>
      </c>
      <c r="D1504" s="192">
        <v>52</v>
      </c>
      <c r="E1504" s="192" t="s">
        <v>816</v>
      </c>
      <c r="F1504" s="192" t="s">
        <v>821</v>
      </c>
      <c r="G1504" s="192">
        <v>0.94999998807907104</v>
      </c>
      <c r="H1504" s="192" t="s">
        <v>821</v>
      </c>
      <c r="I1504" s="192">
        <v>2</v>
      </c>
      <c r="J1504" s="192">
        <f>VLOOKUP($B1504,'RBSA Weights'!$A$2:$C$1406,3,FALSE)</f>
        <v>2003.7159999999999</v>
      </c>
    </row>
    <row r="1505" spans="1:10">
      <c r="A1505" s="192">
        <v>66996</v>
      </c>
      <c r="B1505" s="192">
        <v>11910</v>
      </c>
      <c r="C1505" s="192" t="s">
        <v>829</v>
      </c>
      <c r="D1505" s="192">
        <v>157</v>
      </c>
      <c r="E1505" s="192" t="s">
        <v>816</v>
      </c>
      <c r="F1505" s="192" t="s">
        <v>820</v>
      </c>
      <c r="G1505" s="192">
        <v>0.85000002384185791</v>
      </c>
      <c r="H1505" s="192" t="s">
        <v>820</v>
      </c>
      <c r="I1505" s="192">
        <v>2</v>
      </c>
      <c r="J1505" s="192">
        <f>VLOOKUP($B1505,'RBSA Weights'!$A$2:$C$1406,3,FALSE)</f>
        <v>2003.7159999999999</v>
      </c>
    </row>
    <row r="1506" spans="1:10">
      <c r="A1506" s="192">
        <v>802343</v>
      </c>
      <c r="B1506" s="192">
        <v>11953</v>
      </c>
      <c r="C1506" s="192" t="s">
        <v>829</v>
      </c>
      <c r="D1506" s="192">
        <v>48</v>
      </c>
      <c r="E1506" s="192" t="s">
        <v>816</v>
      </c>
      <c r="F1506" s="192" t="s">
        <v>817</v>
      </c>
      <c r="G1506" s="192">
        <v>0.44999998807907104</v>
      </c>
      <c r="H1506" s="192" t="s">
        <v>818</v>
      </c>
      <c r="I1506" s="192">
        <v>2</v>
      </c>
      <c r="J1506" s="192">
        <f>VLOOKUP($B1506,'RBSA Weights'!$A$2:$C$1406,3,FALSE)</f>
        <v>2003.7159999999999</v>
      </c>
    </row>
    <row r="1507" spans="1:10">
      <c r="A1507" s="192">
        <v>56920</v>
      </c>
      <c r="B1507" s="192">
        <v>11978</v>
      </c>
      <c r="C1507" s="192" t="s">
        <v>829</v>
      </c>
      <c r="D1507" s="192">
        <v>200</v>
      </c>
      <c r="E1507" s="192" t="s">
        <v>816</v>
      </c>
      <c r="F1507" s="192" t="s">
        <v>818</v>
      </c>
      <c r="G1507" s="192">
        <v>0.60000002384185791</v>
      </c>
      <c r="H1507" s="192" t="s">
        <v>818</v>
      </c>
      <c r="I1507" s="192">
        <v>2</v>
      </c>
      <c r="J1507" s="192">
        <f>VLOOKUP($B1507,'RBSA Weights'!$A$2:$C$1406,3,FALSE)</f>
        <v>1188.027</v>
      </c>
    </row>
    <row r="1508" spans="1:10">
      <c r="A1508" s="192">
        <v>31009</v>
      </c>
      <c r="B1508" s="192">
        <v>12022</v>
      </c>
      <c r="C1508" s="192" t="s">
        <v>829</v>
      </c>
      <c r="D1508" s="192">
        <v>20</v>
      </c>
      <c r="E1508" s="192" t="s">
        <v>816</v>
      </c>
      <c r="F1508" s="192" t="s">
        <v>823</v>
      </c>
      <c r="G1508" s="192">
        <v>1.1000000238418579</v>
      </c>
      <c r="H1508" s="192" t="s">
        <v>823</v>
      </c>
      <c r="I1508" s="192">
        <v>2</v>
      </c>
      <c r="J1508" s="192">
        <f>VLOOKUP($B1508,'RBSA Weights'!$A$2:$C$1406,3,FALSE)</f>
        <v>1524.7619999999999</v>
      </c>
    </row>
    <row r="1509" spans="1:10">
      <c r="A1509" s="192">
        <v>208073</v>
      </c>
      <c r="B1509" s="192">
        <v>12029</v>
      </c>
      <c r="C1509" s="192" t="s">
        <v>829</v>
      </c>
      <c r="D1509" s="192">
        <v>70</v>
      </c>
      <c r="E1509" s="192" t="s">
        <v>816</v>
      </c>
      <c r="F1509" s="192" t="s">
        <v>818</v>
      </c>
      <c r="G1509" s="192">
        <v>0.55000001192092896</v>
      </c>
      <c r="H1509" s="192" t="s">
        <v>818</v>
      </c>
      <c r="I1509" s="192">
        <v>2</v>
      </c>
      <c r="J1509" s="192">
        <f>VLOOKUP($B1509,'RBSA Weights'!$A$2:$C$1406,3,FALSE)</f>
        <v>1464.694</v>
      </c>
    </row>
    <row r="1510" spans="1:10">
      <c r="A1510" s="192">
        <v>93145</v>
      </c>
      <c r="B1510" s="192">
        <v>12035</v>
      </c>
      <c r="C1510" s="192" t="s">
        <v>829</v>
      </c>
      <c r="D1510" s="192">
        <v>72</v>
      </c>
      <c r="E1510" s="192" t="s">
        <v>816</v>
      </c>
      <c r="F1510" s="192" t="s">
        <v>820</v>
      </c>
      <c r="G1510" s="192">
        <v>0.85000002384185791</v>
      </c>
      <c r="H1510" s="192" t="s">
        <v>820</v>
      </c>
      <c r="I1510" s="192">
        <v>2</v>
      </c>
      <c r="J1510" s="192">
        <f>VLOOKUP($B1510,'RBSA Weights'!$A$2:$C$1406,3,FALSE)</f>
        <v>2003.7159999999999</v>
      </c>
    </row>
    <row r="1511" spans="1:10">
      <c r="A1511" s="192">
        <v>658760</v>
      </c>
      <c r="B1511" s="192">
        <v>12049</v>
      </c>
      <c r="C1511" s="192" t="s">
        <v>829</v>
      </c>
      <c r="D1511" s="192">
        <v>35</v>
      </c>
      <c r="E1511" s="192" t="s">
        <v>816</v>
      </c>
      <c r="F1511" s="192" t="s">
        <v>821</v>
      </c>
      <c r="G1511" s="192">
        <v>0.94999998807907104</v>
      </c>
      <c r="H1511" s="192" t="s">
        <v>821</v>
      </c>
      <c r="I1511" s="192">
        <v>2</v>
      </c>
      <c r="J1511" s="192">
        <f>VLOOKUP($B1511,'RBSA Weights'!$A$2:$C$1406,3,FALSE)</f>
        <v>1464.694</v>
      </c>
    </row>
    <row r="1512" spans="1:10">
      <c r="A1512" s="192">
        <v>48038</v>
      </c>
      <c r="B1512" s="192">
        <v>12054</v>
      </c>
      <c r="C1512" s="192" t="s">
        <v>829</v>
      </c>
      <c r="D1512" s="192">
        <v>96</v>
      </c>
      <c r="E1512" s="192" t="s">
        <v>816</v>
      </c>
      <c r="F1512" s="192" t="s">
        <v>822</v>
      </c>
      <c r="G1512" s="192">
        <v>0.75</v>
      </c>
      <c r="H1512" s="192" t="s">
        <v>820</v>
      </c>
      <c r="I1512" s="192">
        <v>2</v>
      </c>
      <c r="J1512" s="192">
        <f>VLOOKUP($B1512,'RBSA Weights'!$A$2:$C$1406,3,FALSE)</f>
        <v>1524.7619999999999</v>
      </c>
    </row>
    <row r="1513" spans="1:10">
      <c r="A1513" s="192">
        <v>823622</v>
      </c>
      <c r="B1513" s="192">
        <v>12060</v>
      </c>
      <c r="C1513" s="192" t="s">
        <v>829</v>
      </c>
      <c r="D1513" s="192">
        <v>10</v>
      </c>
      <c r="E1513" s="192" t="s">
        <v>816</v>
      </c>
      <c r="F1513" s="192" t="s">
        <v>817</v>
      </c>
      <c r="G1513" s="192">
        <v>0.55000001192092896</v>
      </c>
      <c r="H1513" s="192" t="s">
        <v>818</v>
      </c>
      <c r="I1513" s="192">
        <v>2</v>
      </c>
      <c r="J1513" s="192">
        <f>VLOOKUP($B1513,'RBSA Weights'!$A$2:$C$1406,3,FALSE)</f>
        <v>1464.694</v>
      </c>
    </row>
    <row r="1514" spans="1:10">
      <c r="A1514" s="192">
        <v>191619</v>
      </c>
      <c r="B1514" s="192">
        <v>12062</v>
      </c>
      <c r="C1514" s="192" t="s">
        <v>829</v>
      </c>
      <c r="D1514" s="192">
        <v>50</v>
      </c>
      <c r="E1514" s="192" t="s">
        <v>819</v>
      </c>
      <c r="F1514" s="192" t="s">
        <v>823</v>
      </c>
      <c r="G1514" s="192">
        <v>0.85000002384185791</v>
      </c>
      <c r="H1514" s="192" t="s">
        <v>823</v>
      </c>
      <c r="I1514" s="192">
        <v>2</v>
      </c>
      <c r="J1514" s="192">
        <f>VLOOKUP($B1514,'RBSA Weights'!$A$2:$C$1406,3,FALSE)</f>
        <v>6932.7380000000003</v>
      </c>
    </row>
    <row r="1515" spans="1:10">
      <c r="A1515" s="192">
        <v>660178</v>
      </c>
      <c r="B1515" s="192">
        <v>12063</v>
      </c>
      <c r="C1515" s="192" t="s">
        <v>829</v>
      </c>
      <c r="D1515" s="192">
        <v>65</v>
      </c>
      <c r="E1515" s="192" t="s">
        <v>816</v>
      </c>
      <c r="F1515" s="192" t="s">
        <v>818</v>
      </c>
      <c r="G1515" s="192">
        <v>0.55000001192092896</v>
      </c>
      <c r="H1515" s="192" t="s">
        <v>818</v>
      </c>
      <c r="I1515" s="192">
        <v>2</v>
      </c>
      <c r="J1515" s="192">
        <f>VLOOKUP($B1515,'RBSA Weights'!$A$2:$C$1406,3,FALSE)</f>
        <v>1464.694</v>
      </c>
    </row>
    <row r="1516" spans="1:10">
      <c r="A1516" s="192">
        <v>225883</v>
      </c>
      <c r="B1516" s="192">
        <v>12101</v>
      </c>
      <c r="C1516" s="192" t="s">
        <v>829</v>
      </c>
      <c r="D1516" s="192">
        <v>12</v>
      </c>
      <c r="E1516" s="192" t="s">
        <v>816</v>
      </c>
      <c r="F1516" s="192" t="s">
        <v>823</v>
      </c>
      <c r="G1516" s="192">
        <v>1.1000000238418579</v>
      </c>
      <c r="H1516" s="192" t="s">
        <v>823</v>
      </c>
      <c r="I1516" s="192">
        <v>2</v>
      </c>
      <c r="J1516" s="192">
        <f>VLOOKUP($B1516,'RBSA Weights'!$A$2:$C$1406,3,FALSE)</f>
        <v>4956.4930000000004</v>
      </c>
    </row>
    <row r="1517" spans="1:10">
      <c r="A1517" s="192">
        <v>155515</v>
      </c>
      <c r="B1517" s="192">
        <v>12103</v>
      </c>
      <c r="C1517" s="192" t="s">
        <v>829</v>
      </c>
      <c r="D1517" s="192">
        <v>4</v>
      </c>
      <c r="E1517" s="192" t="s">
        <v>819</v>
      </c>
      <c r="F1517" s="192" t="s">
        <v>820</v>
      </c>
      <c r="G1517" s="192">
        <v>0.75</v>
      </c>
      <c r="H1517" s="192" t="s">
        <v>820</v>
      </c>
      <c r="I1517" s="192">
        <v>2</v>
      </c>
      <c r="J1517" s="192">
        <f>VLOOKUP($B1517,'RBSA Weights'!$A$2:$C$1406,3,FALSE)</f>
        <v>4956.4930000000004</v>
      </c>
    </row>
    <row r="1518" spans="1:10">
      <c r="A1518" s="192">
        <v>802994</v>
      </c>
      <c r="B1518" s="192">
        <v>12111</v>
      </c>
      <c r="C1518" s="192" t="s">
        <v>829</v>
      </c>
      <c r="D1518" s="192">
        <v>6</v>
      </c>
      <c r="E1518" s="192" t="s">
        <v>816</v>
      </c>
      <c r="F1518" s="192" t="s">
        <v>818</v>
      </c>
      <c r="G1518" s="192">
        <v>0.60000002384185791</v>
      </c>
      <c r="H1518" s="192" t="s">
        <v>818</v>
      </c>
      <c r="I1518" s="192">
        <v>2</v>
      </c>
      <c r="J1518" s="192">
        <f>VLOOKUP($B1518,'RBSA Weights'!$A$2:$C$1406,3,FALSE)</f>
        <v>1464.694</v>
      </c>
    </row>
    <row r="1519" spans="1:10">
      <c r="A1519" s="192">
        <v>65695</v>
      </c>
      <c r="B1519" s="192">
        <v>12142</v>
      </c>
      <c r="C1519" s="192" t="s">
        <v>829</v>
      </c>
      <c r="D1519" s="192">
        <v>53</v>
      </c>
      <c r="E1519" s="192" t="s">
        <v>816</v>
      </c>
      <c r="F1519" s="192" t="s">
        <v>817</v>
      </c>
      <c r="G1519" s="192">
        <v>0.55000001192092896</v>
      </c>
      <c r="H1519" s="192" t="s">
        <v>818</v>
      </c>
      <c r="I1519" s="192">
        <v>2</v>
      </c>
      <c r="J1519" s="192">
        <f>VLOOKUP($B1519,'RBSA Weights'!$A$2:$C$1406,3,FALSE)</f>
        <v>1524.7619999999999</v>
      </c>
    </row>
    <row r="1520" spans="1:10">
      <c r="A1520" s="192">
        <v>206613</v>
      </c>
      <c r="B1520" s="192">
        <v>12144</v>
      </c>
      <c r="C1520" s="192" t="s">
        <v>829</v>
      </c>
      <c r="D1520" s="192">
        <v>118</v>
      </c>
      <c r="E1520" s="192" t="s">
        <v>816</v>
      </c>
      <c r="F1520" s="192" t="s">
        <v>817</v>
      </c>
      <c r="G1520" s="192">
        <v>0.44999998807907104</v>
      </c>
      <c r="H1520" s="192" t="s">
        <v>818</v>
      </c>
      <c r="I1520" s="192">
        <v>2</v>
      </c>
      <c r="J1520" s="192">
        <f>VLOOKUP($B1520,'RBSA Weights'!$A$2:$C$1406,3,FALSE)</f>
        <v>6932.7380000000003</v>
      </c>
    </row>
    <row r="1521" spans="1:10">
      <c r="A1521" s="192">
        <v>231292</v>
      </c>
      <c r="B1521" s="192">
        <v>12146</v>
      </c>
      <c r="C1521" s="192" t="s">
        <v>829</v>
      </c>
      <c r="D1521" s="192">
        <v>57</v>
      </c>
      <c r="E1521" s="192" t="s">
        <v>816</v>
      </c>
      <c r="F1521" s="192" t="s">
        <v>821</v>
      </c>
      <c r="G1521" s="192">
        <v>0.94999998807907104</v>
      </c>
      <c r="H1521" s="192" t="s">
        <v>821</v>
      </c>
      <c r="I1521" s="192">
        <v>2</v>
      </c>
      <c r="J1521" s="192">
        <f>VLOOKUP($B1521,'RBSA Weights'!$A$2:$C$1406,3,FALSE)</f>
        <v>1464.694</v>
      </c>
    </row>
    <row r="1522" spans="1:10">
      <c r="A1522" s="192">
        <v>83477</v>
      </c>
      <c r="B1522" s="192">
        <v>12163</v>
      </c>
      <c r="C1522" s="192" t="s">
        <v>829</v>
      </c>
      <c r="D1522" s="192">
        <v>15</v>
      </c>
      <c r="E1522" s="192" t="s">
        <v>816</v>
      </c>
      <c r="F1522" s="192" t="s">
        <v>821</v>
      </c>
      <c r="G1522" s="192">
        <v>0.94999998807907104</v>
      </c>
      <c r="H1522" s="192" t="s">
        <v>821</v>
      </c>
      <c r="I1522" s="192">
        <v>2</v>
      </c>
      <c r="J1522" s="192">
        <f>VLOOKUP($B1522,'RBSA Weights'!$A$2:$C$1406,3,FALSE)</f>
        <v>1524.7619999999999</v>
      </c>
    </row>
    <row r="1523" spans="1:10">
      <c r="A1523" s="192">
        <v>41842</v>
      </c>
      <c r="B1523" s="192">
        <v>12169</v>
      </c>
      <c r="C1523" s="192" t="s">
        <v>829</v>
      </c>
      <c r="D1523" s="192">
        <v>70</v>
      </c>
      <c r="E1523" s="192" t="s">
        <v>816</v>
      </c>
      <c r="F1523" s="192" t="s">
        <v>823</v>
      </c>
      <c r="G1523" s="192">
        <v>1.1000000238418579</v>
      </c>
      <c r="H1523" s="192" t="s">
        <v>823</v>
      </c>
      <c r="I1523" s="192">
        <v>2</v>
      </c>
      <c r="J1523" s="192">
        <f>VLOOKUP($B1523,'RBSA Weights'!$A$2:$C$1406,3,FALSE)</f>
        <v>1524.7619999999999</v>
      </c>
    </row>
    <row r="1524" spans="1:10">
      <c r="A1524" s="192">
        <v>139887</v>
      </c>
      <c r="B1524" s="192">
        <v>12186</v>
      </c>
      <c r="C1524" s="192" t="s">
        <v>829</v>
      </c>
      <c r="D1524" s="192">
        <v>63</v>
      </c>
      <c r="E1524" s="192" t="s">
        <v>816</v>
      </c>
      <c r="F1524" s="192" t="s">
        <v>820</v>
      </c>
      <c r="G1524" s="192">
        <v>0.85000002384185791</v>
      </c>
      <c r="H1524" s="192" t="s">
        <v>820</v>
      </c>
      <c r="I1524" s="192">
        <v>2</v>
      </c>
      <c r="J1524" s="192">
        <f>VLOOKUP($B1524,'RBSA Weights'!$A$2:$C$1406,3,FALSE)</f>
        <v>4956.4930000000004</v>
      </c>
    </row>
    <row r="1525" spans="1:10">
      <c r="A1525" s="192">
        <v>198688</v>
      </c>
      <c r="B1525" s="192">
        <v>12230</v>
      </c>
      <c r="C1525" s="192" t="s">
        <v>829</v>
      </c>
      <c r="D1525" s="192">
        <v>60</v>
      </c>
      <c r="E1525" s="192" t="s">
        <v>816</v>
      </c>
      <c r="F1525" s="192" t="s">
        <v>817</v>
      </c>
      <c r="G1525" s="192">
        <v>0.44999998807907104</v>
      </c>
      <c r="H1525" s="192" t="s">
        <v>818</v>
      </c>
      <c r="I1525" s="192">
        <v>2</v>
      </c>
      <c r="J1525" s="192">
        <f>VLOOKUP($B1525,'RBSA Weights'!$A$2:$C$1406,3,FALSE)</f>
        <v>6932.7380000000003</v>
      </c>
    </row>
    <row r="1526" spans="1:10">
      <c r="A1526" s="192">
        <v>34780</v>
      </c>
      <c r="B1526" s="192">
        <v>12232</v>
      </c>
      <c r="C1526" s="192" t="s">
        <v>829</v>
      </c>
      <c r="D1526" s="192">
        <v>11</v>
      </c>
      <c r="E1526" s="192" t="s">
        <v>816</v>
      </c>
      <c r="F1526" s="192" t="s">
        <v>821</v>
      </c>
      <c r="G1526" s="192">
        <v>0.94999998807907104</v>
      </c>
      <c r="H1526" s="192" t="s">
        <v>821</v>
      </c>
      <c r="I1526" s="192">
        <v>2</v>
      </c>
      <c r="J1526" s="192">
        <f>VLOOKUP($B1526,'RBSA Weights'!$A$2:$C$1406,3,FALSE)</f>
        <v>1188.027</v>
      </c>
    </row>
    <row r="1527" spans="1:10">
      <c r="A1527" s="192">
        <v>108405</v>
      </c>
      <c r="B1527" s="192">
        <v>12247</v>
      </c>
      <c r="C1527" s="192" t="s">
        <v>829</v>
      </c>
      <c r="D1527" s="192">
        <v>24</v>
      </c>
      <c r="E1527" s="192" t="s">
        <v>816</v>
      </c>
      <c r="F1527" s="192" t="s">
        <v>818</v>
      </c>
      <c r="G1527" s="192">
        <v>0.55000001192092896</v>
      </c>
      <c r="H1527" s="192" t="s">
        <v>818</v>
      </c>
      <c r="I1527" s="192">
        <v>2</v>
      </c>
      <c r="J1527" s="192">
        <f>VLOOKUP($B1527,'RBSA Weights'!$A$2:$C$1406,3,FALSE)</f>
        <v>2003.7159999999999</v>
      </c>
    </row>
    <row r="1528" spans="1:10">
      <c r="A1528" s="192">
        <v>83006</v>
      </c>
      <c r="B1528" s="192">
        <v>12255</v>
      </c>
      <c r="C1528" s="192" t="s">
        <v>829</v>
      </c>
      <c r="D1528" s="192">
        <v>29</v>
      </c>
      <c r="E1528" s="192" t="s">
        <v>816</v>
      </c>
      <c r="F1528" s="192" t="s">
        <v>817</v>
      </c>
      <c r="G1528" s="192">
        <v>0.55000001192092896</v>
      </c>
      <c r="H1528" s="192" t="s">
        <v>818</v>
      </c>
      <c r="I1528" s="192">
        <v>2</v>
      </c>
      <c r="J1528" s="192">
        <f>VLOOKUP($B1528,'RBSA Weights'!$A$2:$C$1406,3,FALSE)</f>
        <v>1188.027</v>
      </c>
    </row>
    <row r="1529" spans="1:10">
      <c r="A1529" s="192">
        <v>96677</v>
      </c>
      <c r="B1529" s="192">
        <v>12266</v>
      </c>
      <c r="C1529" s="192" t="s">
        <v>829</v>
      </c>
      <c r="D1529" s="192">
        <v>22</v>
      </c>
      <c r="E1529" s="192" t="s">
        <v>816</v>
      </c>
      <c r="F1529" s="192" t="s">
        <v>821</v>
      </c>
      <c r="G1529" s="192">
        <v>0.94999998807907104</v>
      </c>
      <c r="H1529" s="192" t="s">
        <v>821</v>
      </c>
      <c r="I1529" s="192">
        <v>2</v>
      </c>
      <c r="J1529" s="192">
        <f>VLOOKUP($B1529,'RBSA Weights'!$A$2:$C$1406,3,FALSE)</f>
        <v>4956.4930000000004</v>
      </c>
    </row>
    <row r="1530" spans="1:10">
      <c r="A1530" s="192">
        <v>61143</v>
      </c>
      <c r="B1530" s="192">
        <v>12271</v>
      </c>
      <c r="C1530" s="192" t="s">
        <v>829</v>
      </c>
      <c r="D1530" s="192">
        <v>137</v>
      </c>
      <c r="E1530" s="192" t="s">
        <v>816</v>
      </c>
      <c r="F1530" s="192" t="s">
        <v>818</v>
      </c>
      <c r="G1530" s="192">
        <v>0.60000002384185791</v>
      </c>
      <c r="H1530" s="192" t="s">
        <v>818</v>
      </c>
      <c r="I1530" s="192">
        <v>2</v>
      </c>
      <c r="J1530" s="192">
        <f>VLOOKUP($B1530,'RBSA Weights'!$A$2:$C$1406,3,FALSE)</f>
        <v>1524.7619999999999</v>
      </c>
    </row>
    <row r="1531" spans="1:10">
      <c r="A1531" s="192">
        <v>677187</v>
      </c>
      <c r="B1531" s="192">
        <v>12274</v>
      </c>
      <c r="C1531" s="192" t="s">
        <v>829</v>
      </c>
      <c r="D1531" s="192">
        <v>14</v>
      </c>
      <c r="E1531" s="192" t="s">
        <v>816</v>
      </c>
      <c r="F1531" s="192" t="s">
        <v>818</v>
      </c>
      <c r="G1531" s="192">
        <v>0.60000002384185791</v>
      </c>
      <c r="H1531" s="192" t="s">
        <v>818</v>
      </c>
      <c r="I1531" s="192">
        <v>2</v>
      </c>
      <c r="J1531" s="192">
        <f>VLOOKUP($B1531,'RBSA Weights'!$A$2:$C$1406,3,FALSE)</f>
        <v>4956.4930000000004</v>
      </c>
    </row>
    <row r="1532" spans="1:10">
      <c r="A1532" s="192">
        <v>35973</v>
      </c>
      <c r="B1532" s="192">
        <v>12307</v>
      </c>
      <c r="C1532" s="192" t="s">
        <v>829</v>
      </c>
      <c r="D1532" s="192">
        <v>112</v>
      </c>
      <c r="E1532" s="192" t="s">
        <v>816</v>
      </c>
      <c r="F1532" s="192" t="s">
        <v>817</v>
      </c>
      <c r="G1532" s="192">
        <v>0.55000001192092896</v>
      </c>
      <c r="H1532" s="192" t="s">
        <v>818</v>
      </c>
      <c r="I1532" s="192">
        <v>2</v>
      </c>
      <c r="J1532" s="192">
        <f>VLOOKUP($B1532,'RBSA Weights'!$A$2:$C$1406,3,FALSE)</f>
        <v>1524.7619999999999</v>
      </c>
    </row>
    <row r="1533" spans="1:10">
      <c r="A1533" s="192">
        <v>122055</v>
      </c>
      <c r="B1533" s="192">
        <v>12315</v>
      </c>
      <c r="C1533" s="192" t="s">
        <v>829</v>
      </c>
      <c r="D1533" s="192">
        <v>59</v>
      </c>
      <c r="E1533" s="192" t="s">
        <v>816</v>
      </c>
      <c r="F1533" s="192" t="s">
        <v>820</v>
      </c>
      <c r="G1533" s="192">
        <v>0.80000001192092896</v>
      </c>
      <c r="H1533" s="192" t="s">
        <v>820</v>
      </c>
      <c r="I1533" s="192">
        <v>2</v>
      </c>
      <c r="J1533" s="192">
        <f>VLOOKUP($B1533,'RBSA Weights'!$A$2:$C$1406,3,FALSE)</f>
        <v>2003.7159999999999</v>
      </c>
    </row>
    <row r="1534" spans="1:10">
      <c r="A1534" s="192">
        <v>79218</v>
      </c>
      <c r="B1534" s="192">
        <v>12320</v>
      </c>
      <c r="C1534" s="192" t="s">
        <v>829</v>
      </c>
      <c r="D1534" s="192">
        <v>33</v>
      </c>
      <c r="E1534" s="192" t="s">
        <v>816</v>
      </c>
      <c r="F1534" s="192" t="s">
        <v>817</v>
      </c>
      <c r="G1534" s="192">
        <v>0.55000001192092896</v>
      </c>
      <c r="H1534" s="192" t="s">
        <v>818</v>
      </c>
      <c r="I1534" s="192">
        <v>2</v>
      </c>
      <c r="J1534" s="192">
        <f>VLOOKUP($B1534,'RBSA Weights'!$A$2:$C$1406,3,FALSE)</f>
        <v>2003.7159999999999</v>
      </c>
    </row>
    <row r="1535" spans="1:10">
      <c r="A1535" s="192">
        <v>223513</v>
      </c>
      <c r="B1535" s="192">
        <v>12341</v>
      </c>
      <c r="C1535" s="192" t="s">
        <v>829</v>
      </c>
      <c r="D1535" s="192">
        <v>37</v>
      </c>
      <c r="E1535" s="192" t="s">
        <v>816</v>
      </c>
      <c r="F1535" s="192" t="s">
        <v>821</v>
      </c>
      <c r="G1535" s="192">
        <v>0.94999998807907104</v>
      </c>
      <c r="H1535" s="192" t="s">
        <v>821</v>
      </c>
      <c r="I1535" s="192">
        <v>2</v>
      </c>
      <c r="J1535" s="192">
        <f>VLOOKUP($B1535,'RBSA Weights'!$A$2:$C$1406,3,FALSE)</f>
        <v>1464.694</v>
      </c>
    </row>
    <row r="1536" spans="1:10">
      <c r="A1536" s="192">
        <v>40849</v>
      </c>
      <c r="B1536" s="192">
        <v>12358</v>
      </c>
      <c r="C1536" s="192" t="s">
        <v>829</v>
      </c>
      <c r="D1536" s="192">
        <v>33</v>
      </c>
      <c r="E1536" s="192" t="s">
        <v>816</v>
      </c>
      <c r="F1536" s="192" t="s">
        <v>818</v>
      </c>
      <c r="G1536" s="192">
        <v>0.60000002384185791</v>
      </c>
      <c r="H1536" s="192" t="s">
        <v>818</v>
      </c>
      <c r="I1536" s="192">
        <v>2</v>
      </c>
      <c r="J1536" s="192">
        <f>VLOOKUP($B1536,'RBSA Weights'!$A$2:$C$1406,3,FALSE)</f>
        <v>1524.7619999999999</v>
      </c>
    </row>
    <row r="1537" spans="1:10">
      <c r="A1537" s="192">
        <v>190213</v>
      </c>
      <c r="B1537" s="192">
        <v>12370</v>
      </c>
      <c r="C1537" s="192" t="s">
        <v>829</v>
      </c>
      <c r="D1537" s="192">
        <v>309</v>
      </c>
      <c r="E1537" s="192" t="s">
        <v>816</v>
      </c>
      <c r="F1537" s="192" t="s">
        <v>820</v>
      </c>
      <c r="G1537" s="192">
        <v>0.85000002384185791</v>
      </c>
      <c r="H1537" s="192" t="s">
        <v>820</v>
      </c>
      <c r="I1537" s="192">
        <v>2</v>
      </c>
      <c r="J1537" s="192">
        <f>VLOOKUP($B1537,'RBSA Weights'!$A$2:$C$1406,3,FALSE)</f>
        <v>6932.7380000000003</v>
      </c>
    </row>
    <row r="1538" spans="1:10">
      <c r="A1538" s="192">
        <v>125315</v>
      </c>
      <c r="B1538" s="192">
        <v>12377</v>
      </c>
      <c r="C1538" s="192" t="s">
        <v>829</v>
      </c>
      <c r="D1538" s="192">
        <v>117</v>
      </c>
      <c r="E1538" s="192" t="s">
        <v>816</v>
      </c>
      <c r="F1538" s="192" t="s">
        <v>817</v>
      </c>
      <c r="G1538" s="192">
        <v>0.55000001192092896</v>
      </c>
      <c r="H1538" s="192" t="s">
        <v>818</v>
      </c>
      <c r="I1538" s="192">
        <v>2</v>
      </c>
      <c r="J1538" s="192">
        <f>VLOOKUP($B1538,'RBSA Weights'!$A$2:$C$1406,3,FALSE)</f>
        <v>6932.7380000000003</v>
      </c>
    </row>
    <row r="1539" spans="1:10">
      <c r="A1539" s="192">
        <v>59947</v>
      </c>
      <c r="B1539" s="192">
        <v>12399</v>
      </c>
      <c r="C1539" s="192" t="s">
        <v>829</v>
      </c>
      <c r="D1539" s="192">
        <v>197</v>
      </c>
      <c r="E1539" s="192" t="s">
        <v>819</v>
      </c>
      <c r="F1539" s="192" t="s">
        <v>821</v>
      </c>
      <c r="G1539" s="192">
        <v>0.75</v>
      </c>
      <c r="H1539" s="192" t="s">
        <v>821</v>
      </c>
      <c r="I1539" s="192">
        <v>2</v>
      </c>
      <c r="J1539" s="192">
        <f>VLOOKUP($B1539,'RBSA Weights'!$A$2:$C$1406,3,FALSE)</f>
        <v>1524.7619999999999</v>
      </c>
    </row>
    <row r="1540" spans="1:10">
      <c r="A1540" s="192">
        <v>32030</v>
      </c>
      <c r="B1540" s="192">
        <v>12427</v>
      </c>
      <c r="C1540" s="192" t="s">
        <v>829</v>
      </c>
      <c r="D1540" s="192">
        <v>169</v>
      </c>
      <c r="E1540" s="192" t="s">
        <v>816</v>
      </c>
      <c r="F1540" s="192" t="s">
        <v>817</v>
      </c>
      <c r="G1540" s="192">
        <v>0.55000001192092896</v>
      </c>
      <c r="H1540" s="192" t="s">
        <v>818</v>
      </c>
      <c r="I1540" s="192">
        <v>2</v>
      </c>
      <c r="J1540" s="192">
        <f>VLOOKUP($B1540,'RBSA Weights'!$A$2:$C$1406,3,FALSE)</f>
        <v>1524.7619999999999</v>
      </c>
    </row>
    <row r="1541" spans="1:10">
      <c r="A1541" s="192">
        <v>103880</v>
      </c>
      <c r="B1541" s="192">
        <v>12494</v>
      </c>
      <c r="C1541" s="192" t="s">
        <v>829</v>
      </c>
      <c r="D1541" s="192">
        <v>112</v>
      </c>
      <c r="E1541" s="192" t="s">
        <v>816</v>
      </c>
      <c r="F1541" s="192" t="s">
        <v>817</v>
      </c>
      <c r="G1541" s="192">
        <v>0.44999998807907104</v>
      </c>
      <c r="H1541" s="192" t="s">
        <v>818</v>
      </c>
      <c r="I1541" s="192">
        <v>2</v>
      </c>
      <c r="J1541" s="192">
        <f>VLOOKUP($B1541,'RBSA Weights'!$A$2:$C$1406,3,FALSE)</f>
        <v>1524.7619999999999</v>
      </c>
    </row>
    <row r="1542" spans="1:10">
      <c r="A1542" s="192">
        <v>133954</v>
      </c>
      <c r="B1542" s="192">
        <v>12499</v>
      </c>
      <c r="C1542" s="192" t="s">
        <v>829</v>
      </c>
      <c r="D1542" s="192">
        <v>44</v>
      </c>
      <c r="E1542" s="192" t="s">
        <v>816</v>
      </c>
      <c r="F1542" s="192" t="s">
        <v>817</v>
      </c>
      <c r="G1542" s="192">
        <v>0.44999998807907104</v>
      </c>
      <c r="H1542" s="192" t="s">
        <v>818</v>
      </c>
      <c r="I1542" s="192">
        <v>2</v>
      </c>
      <c r="J1542" s="192">
        <f>VLOOKUP($B1542,'RBSA Weights'!$A$2:$C$1406,3,FALSE)</f>
        <v>6932.7380000000003</v>
      </c>
    </row>
    <row r="1543" spans="1:10">
      <c r="A1543" s="192">
        <v>76747</v>
      </c>
      <c r="B1543" s="192">
        <v>12514</v>
      </c>
      <c r="C1543" s="192" t="s">
        <v>829</v>
      </c>
      <c r="D1543" s="192">
        <v>102</v>
      </c>
      <c r="E1543" s="192" t="s">
        <v>816</v>
      </c>
      <c r="F1543" s="192" t="s">
        <v>823</v>
      </c>
      <c r="G1543" s="192">
        <v>1.1000000238418579</v>
      </c>
      <c r="H1543" s="192" t="s">
        <v>823</v>
      </c>
      <c r="I1543" s="192">
        <v>2</v>
      </c>
      <c r="J1543" s="192">
        <f>VLOOKUP($B1543,'RBSA Weights'!$A$2:$C$1406,3,FALSE)</f>
        <v>1524.7619999999999</v>
      </c>
    </row>
    <row r="1544" spans="1:10">
      <c r="A1544" s="192">
        <v>149232</v>
      </c>
      <c r="B1544" s="192">
        <v>12561</v>
      </c>
      <c r="C1544" s="192" t="s">
        <v>829</v>
      </c>
      <c r="D1544" s="192">
        <v>66</v>
      </c>
      <c r="E1544" s="192" t="s">
        <v>819</v>
      </c>
      <c r="F1544" s="192" t="s">
        <v>821</v>
      </c>
      <c r="G1544" s="192">
        <v>0.75</v>
      </c>
      <c r="H1544" s="192" t="s">
        <v>821</v>
      </c>
      <c r="I1544" s="192">
        <v>2</v>
      </c>
      <c r="J1544" s="192">
        <f>VLOOKUP($B1544,'RBSA Weights'!$A$2:$C$1406,3,FALSE)</f>
        <v>4956.4930000000004</v>
      </c>
    </row>
    <row r="1545" spans="1:10">
      <c r="A1545" s="192">
        <v>98711</v>
      </c>
      <c r="B1545" s="192">
        <v>12564</v>
      </c>
      <c r="C1545" s="192" t="s">
        <v>829</v>
      </c>
      <c r="D1545" s="192">
        <v>6</v>
      </c>
      <c r="E1545" s="192" t="s">
        <v>819</v>
      </c>
      <c r="F1545" s="192" t="s">
        <v>823</v>
      </c>
      <c r="G1545" s="192">
        <v>0.85000002384185791</v>
      </c>
      <c r="H1545" s="192" t="s">
        <v>823</v>
      </c>
      <c r="I1545" s="192">
        <v>2</v>
      </c>
      <c r="J1545" s="192">
        <f>VLOOKUP($B1545,'RBSA Weights'!$A$2:$C$1406,3,FALSE)</f>
        <v>2003.7159999999999</v>
      </c>
    </row>
    <row r="1546" spans="1:10">
      <c r="A1546" s="192">
        <v>90260</v>
      </c>
      <c r="B1546" s="192">
        <v>12582</v>
      </c>
      <c r="C1546" s="192" t="s">
        <v>829</v>
      </c>
      <c r="D1546" s="192">
        <v>304</v>
      </c>
      <c r="E1546" s="192" t="s">
        <v>816</v>
      </c>
      <c r="F1546" s="192" t="s">
        <v>823</v>
      </c>
      <c r="G1546" s="192">
        <v>1.1000000238418579</v>
      </c>
      <c r="H1546" s="192" t="s">
        <v>823</v>
      </c>
      <c r="I1546" s="192">
        <v>2</v>
      </c>
      <c r="J1546" s="192">
        <f>VLOOKUP($B1546,'RBSA Weights'!$A$2:$C$1406,3,FALSE)</f>
        <v>2003.7159999999999</v>
      </c>
    </row>
    <row r="1547" spans="1:10">
      <c r="A1547" s="192">
        <v>41312</v>
      </c>
      <c r="B1547" s="192">
        <v>12600</v>
      </c>
      <c r="C1547" s="192" t="s">
        <v>829</v>
      </c>
      <c r="D1547" s="192">
        <v>318</v>
      </c>
      <c r="E1547" s="192" t="s">
        <v>816</v>
      </c>
      <c r="F1547" s="192" t="s">
        <v>820</v>
      </c>
      <c r="G1547" s="192">
        <v>0.85000002384185791</v>
      </c>
      <c r="H1547" s="192" t="s">
        <v>820</v>
      </c>
      <c r="I1547" s="192">
        <v>2</v>
      </c>
      <c r="J1547" s="192">
        <f>VLOOKUP($B1547,'RBSA Weights'!$A$2:$C$1406,3,FALSE)</f>
        <v>1524.7619999999999</v>
      </c>
    </row>
    <row r="1548" spans="1:10">
      <c r="A1548" s="192">
        <v>86342</v>
      </c>
      <c r="B1548" s="192">
        <v>12620</v>
      </c>
      <c r="C1548" s="192" t="s">
        <v>829</v>
      </c>
      <c r="D1548" s="192">
        <v>72</v>
      </c>
      <c r="E1548" s="192" t="s">
        <v>816</v>
      </c>
      <c r="F1548" s="192" t="s">
        <v>818</v>
      </c>
      <c r="G1548" s="192">
        <v>0.55000001192092896</v>
      </c>
      <c r="H1548" s="192" t="s">
        <v>818</v>
      </c>
      <c r="I1548" s="192">
        <v>2</v>
      </c>
      <c r="J1548" s="192">
        <f>VLOOKUP($B1548,'RBSA Weights'!$A$2:$C$1406,3,FALSE)</f>
        <v>2003.7159999999999</v>
      </c>
    </row>
    <row r="1549" spans="1:10">
      <c r="A1549" s="192">
        <v>92399</v>
      </c>
      <c r="B1549" s="192">
        <v>12630</v>
      </c>
      <c r="C1549" s="192" t="s">
        <v>829</v>
      </c>
      <c r="D1549" s="192">
        <v>2</v>
      </c>
      <c r="E1549" s="192" t="s">
        <v>816</v>
      </c>
      <c r="F1549" s="192" t="s">
        <v>821</v>
      </c>
      <c r="G1549" s="192">
        <v>0.94999998807907104</v>
      </c>
      <c r="H1549" s="192" t="s">
        <v>821</v>
      </c>
      <c r="I1549" s="192">
        <v>2</v>
      </c>
      <c r="J1549" s="192">
        <f>VLOOKUP($B1549,'RBSA Weights'!$A$2:$C$1406,3,FALSE)</f>
        <v>2003.7159999999999</v>
      </c>
    </row>
    <row r="1550" spans="1:10">
      <c r="A1550" s="192">
        <v>27289</v>
      </c>
      <c r="B1550" s="192">
        <v>12640</v>
      </c>
      <c r="C1550" s="192" t="s">
        <v>829</v>
      </c>
      <c r="D1550" s="192">
        <v>40</v>
      </c>
      <c r="E1550" s="192" t="s">
        <v>819</v>
      </c>
      <c r="F1550" s="192" t="s">
        <v>820</v>
      </c>
      <c r="G1550" s="192">
        <v>0.69999998807907104</v>
      </c>
      <c r="H1550" s="192" t="s">
        <v>820</v>
      </c>
      <c r="I1550" s="192">
        <v>2</v>
      </c>
      <c r="J1550" s="192">
        <f>VLOOKUP($B1550,'RBSA Weights'!$A$2:$C$1406,3,FALSE)</f>
        <v>1150.8789999999999</v>
      </c>
    </row>
    <row r="1551" spans="1:10">
      <c r="A1551" s="192">
        <v>186470</v>
      </c>
      <c r="B1551" s="192">
        <v>12643</v>
      </c>
      <c r="C1551" s="192" t="s">
        <v>829</v>
      </c>
      <c r="D1551" s="192">
        <v>18</v>
      </c>
      <c r="E1551" s="192" t="s">
        <v>816</v>
      </c>
      <c r="F1551" s="192" t="s">
        <v>817</v>
      </c>
      <c r="G1551" s="192">
        <v>0.55000001192092896</v>
      </c>
      <c r="H1551" s="192" t="s">
        <v>818</v>
      </c>
      <c r="I1551" s="192">
        <v>2</v>
      </c>
      <c r="J1551" s="192">
        <f>VLOOKUP($B1551,'RBSA Weights'!$A$2:$C$1406,3,FALSE)</f>
        <v>6932.7380000000003</v>
      </c>
    </row>
    <row r="1552" spans="1:10">
      <c r="A1552" s="192">
        <v>823799</v>
      </c>
      <c r="B1552" s="192">
        <v>12661</v>
      </c>
      <c r="C1552" s="192" t="s">
        <v>829</v>
      </c>
      <c r="D1552" s="192">
        <v>8</v>
      </c>
      <c r="E1552" s="192" t="s">
        <v>816</v>
      </c>
      <c r="F1552" s="192" t="s">
        <v>823</v>
      </c>
      <c r="G1552" s="192">
        <v>1.1000000238418579</v>
      </c>
      <c r="H1552" s="192" t="s">
        <v>823</v>
      </c>
      <c r="I1552" s="192">
        <v>2</v>
      </c>
      <c r="J1552" s="192">
        <f>VLOOKUP($B1552,'RBSA Weights'!$A$2:$C$1406,3,FALSE)</f>
        <v>2003.7159999999999</v>
      </c>
    </row>
    <row r="1553" spans="1:10">
      <c r="A1553" s="192">
        <v>148010</v>
      </c>
      <c r="B1553" s="192">
        <v>12669</v>
      </c>
      <c r="C1553" s="192" t="s">
        <v>829</v>
      </c>
      <c r="D1553" s="192">
        <v>4</v>
      </c>
      <c r="E1553" s="192" t="s">
        <v>816</v>
      </c>
      <c r="F1553" s="192" t="s">
        <v>821</v>
      </c>
      <c r="G1553" s="192">
        <v>0.94999998807907104</v>
      </c>
      <c r="H1553" s="192" t="s">
        <v>821</v>
      </c>
      <c r="I1553" s="192">
        <v>2</v>
      </c>
      <c r="J1553" s="192">
        <f>VLOOKUP($B1553,'RBSA Weights'!$A$2:$C$1406,3,FALSE)</f>
        <v>4956.4930000000004</v>
      </c>
    </row>
    <row r="1554" spans="1:10">
      <c r="A1554" s="192">
        <v>85324</v>
      </c>
      <c r="B1554" s="192">
        <v>12678</v>
      </c>
      <c r="C1554" s="192" t="s">
        <v>829</v>
      </c>
      <c r="D1554" s="192">
        <v>9</v>
      </c>
      <c r="E1554" s="192" t="s">
        <v>816</v>
      </c>
      <c r="F1554" s="192" t="s">
        <v>818</v>
      </c>
      <c r="G1554" s="192">
        <v>0.60000002384185791</v>
      </c>
      <c r="H1554" s="192" t="s">
        <v>818</v>
      </c>
      <c r="I1554" s="192">
        <v>2</v>
      </c>
      <c r="J1554" s="192">
        <f>VLOOKUP($B1554,'RBSA Weights'!$A$2:$C$1406,3,FALSE)</f>
        <v>2003.7159999999999</v>
      </c>
    </row>
    <row r="1555" spans="1:10">
      <c r="A1555" s="192">
        <v>125441</v>
      </c>
      <c r="B1555" s="192">
        <v>12693</v>
      </c>
      <c r="C1555" s="192" t="s">
        <v>829</v>
      </c>
      <c r="D1555" s="192">
        <v>12</v>
      </c>
      <c r="E1555" s="192" t="s">
        <v>816</v>
      </c>
      <c r="F1555" s="192" t="s">
        <v>820</v>
      </c>
      <c r="G1555" s="192">
        <v>0.80000001192092896</v>
      </c>
      <c r="H1555" s="192" t="s">
        <v>820</v>
      </c>
      <c r="I1555" s="192">
        <v>2</v>
      </c>
      <c r="J1555" s="192">
        <f>VLOOKUP($B1555,'RBSA Weights'!$A$2:$C$1406,3,FALSE)</f>
        <v>4956.4930000000004</v>
      </c>
    </row>
    <row r="1556" spans="1:10">
      <c r="A1556" s="192">
        <v>195771</v>
      </c>
      <c r="B1556" s="192">
        <v>12737</v>
      </c>
      <c r="C1556" s="192" t="s">
        <v>829</v>
      </c>
      <c r="D1556" s="192">
        <v>99</v>
      </c>
      <c r="E1556" s="192" t="s">
        <v>816</v>
      </c>
      <c r="F1556" s="192" t="s">
        <v>820</v>
      </c>
      <c r="G1556" s="192">
        <v>0.85000002384185791</v>
      </c>
      <c r="H1556" s="192" t="s">
        <v>820</v>
      </c>
      <c r="I1556" s="192">
        <v>2</v>
      </c>
      <c r="J1556" s="192">
        <f>VLOOKUP($B1556,'RBSA Weights'!$A$2:$C$1406,3,FALSE)</f>
        <v>6932.7380000000003</v>
      </c>
    </row>
    <row r="1557" spans="1:10">
      <c r="A1557" s="192">
        <v>46204</v>
      </c>
      <c r="B1557" s="192">
        <v>12739</v>
      </c>
      <c r="C1557" s="192" t="s">
        <v>829</v>
      </c>
      <c r="D1557" s="192">
        <v>8</v>
      </c>
      <c r="E1557" s="192" t="s">
        <v>816</v>
      </c>
      <c r="F1557" s="192" t="s">
        <v>818</v>
      </c>
      <c r="G1557" s="192">
        <v>0.60000002384185791</v>
      </c>
      <c r="H1557" s="192" t="s">
        <v>818</v>
      </c>
      <c r="I1557" s="192">
        <v>2</v>
      </c>
      <c r="J1557" s="192">
        <f>VLOOKUP($B1557,'RBSA Weights'!$A$2:$C$1406,3,FALSE)</f>
        <v>1188.027</v>
      </c>
    </row>
    <row r="1558" spans="1:10">
      <c r="A1558" s="192">
        <v>129691</v>
      </c>
      <c r="B1558" s="192">
        <v>12745</v>
      </c>
      <c r="C1558" s="192" t="s">
        <v>829</v>
      </c>
      <c r="D1558" s="192">
        <v>32</v>
      </c>
      <c r="E1558" s="192" t="s">
        <v>819</v>
      </c>
      <c r="F1558" s="192" t="s">
        <v>818</v>
      </c>
      <c r="G1558" s="192">
        <v>0.5</v>
      </c>
      <c r="H1558" s="192" t="s">
        <v>818</v>
      </c>
      <c r="I1558" s="192">
        <v>2</v>
      </c>
      <c r="J1558" s="192">
        <f>VLOOKUP($B1558,'RBSA Weights'!$A$2:$C$1406,3,FALSE)</f>
        <v>1524.7619999999999</v>
      </c>
    </row>
    <row r="1559" spans="1:10">
      <c r="A1559" s="192">
        <v>130656</v>
      </c>
      <c r="B1559" s="192">
        <v>12818</v>
      </c>
      <c r="C1559" s="192" t="s">
        <v>829</v>
      </c>
      <c r="D1559" s="192">
        <v>15</v>
      </c>
      <c r="E1559" s="192" t="s">
        <v>816</v>
      </c>
      <c r="F1559" s="192" t="s">
        <v>821</v>
      </c>
      <c r="G1559" s="192">
        <v>0.94999998807907104</v>
      </c>
      <c r="H1559" s="192" t="s">
        <v>821</v>
      </c>
      <c r="I1559" s="192">
        <v>2</v>
      </c>
      <c r="J1559" s="192">
        <f>VLOOKUP($B1559,'RBSA Weights'!$A$2:$C$1406,3,FALSE)</f>
        <v>1524.7619999999999</v>
      </c>
    </row>
    <row r="1560" spans="1:10">
      <c r="A1560" s="192">
        <v>89883</v>
      </c>
      <c r="B1560" s="192">
        <v>12833</v>
      </c>
      <c r="C1560" s="192" t="s">
        <v>829</v>
      </c>
      <c r="D1560" s="192">
        <v>117</v>
      </c>
      <c r="E1560" s="192" t="s">
        <v>816</v>
      </c>
      <c r="F1560" s="192" t="s">
        <v>818</v>
      </c>
      <c r="G1560" s="192">
        <v>0.55000001192092896</v>
      </c>
      <c r="H1560" s="192" t="s">
        <v>818</v>
      </c>
      <c r="I1560" s="192">
        <v>2</v>
      </c>
      <c r="J1560" s="192">
        <f>VLOOKUP($B1560,'RBSA Weights'!$A$2:$C$1406,3,FALSE)</f>
        <v>2003.7159999999999</v>
      </c>
    </row>
    <row r="1561" spans="1:10">
      <c r="A1561" s="192">
        <v>141132</v>
      </c>
      <c r="B1561" s="192">
        <v>12856</v>
      </c>
      <c r="C1561" s="192" t="s">
        <v>829</v>
      </c>
      <c r="D1561" s="192">
        <v>11</v>
      </c>
      <c r="E1561" s="192" t="s">
        <v>816</v>
      </c>
      <c r="F1561" s="192" t="s">
        <v>821</v>
      </c>
      <c r="G1561" s="192">
        <v>0.94999998807907104</v>
      </c>
      <c r="H1561" s="192" t="s">
        <v>821</v>
      </c>
      <c r="I1561" s="192">
        <v>2</v>
      </c>
      <c r="J1561" s="192">
        <f>VLOOKUP($B1561,'RBSA Weights'!$A$2:$C$1406,3,FALSE)</f>
        <v>4956.4930000000004</v>
      </c>
    </row>
    <row r="1562" spans="1:10">
      <c r="A1562" s="192">
        <v>126063</v>
      </c>
      <c r="B1562" s="192">
        <v>12895</v>
      </c>
      <c r="C1562" s="192" t="s">
        <v>829</v>
      </c>
      <c r="D1562" s="192">
        <v>60</v>
      </c>
      <c r="E1562" s="192" t="s">
        <v>816</v>
      </c>
      <c r="F1562" s="192" t="s">
        <v>818</v>
      </c>
      <c r="G1562" s="192">
        <v>0.60000002384185791</v>
      </c>
      <c r="H1562" s="192" t="s">
        <v>818</v>
      </c>
      <c r="I1562" s="192">
        <v>2</v>
      </c>
      <c r="J1562" s="192">
        <f>VLOOKUP($B1562,'RBSA Weights'!$A$2:$C$1406,3,FALSE)</f>
        <v>4956.4930000000004</v>
      </c>
    </row>
    <row r="1563" spans="1:10">
      <c r="A1563" s="192">
        <v>138123</v>
      </c>
      <c r="B1563" s="192">
        <v>12897</v>
      </c>
      <c r="C1563" s="192" t="s">
        <v>829</v>
      </c>
      <c r="D1563" s="192">
        <v>85</v>
      </c>
      <c r="E1563" s="192" t="s">
        <v>819</v>
      </c>
      <c r="F1563" s="192" t="s">
        <v>818</v>
      </c>
      <c r="G1563" s="192">
        <v>0.5</v>
      </c>
      <c r="H1563" s="192" t="s">
        <v>818</v>
      </c>
      <c r="I1563" s="192">
        <v>2</v>
      </c>
      <c r="J1563" s="192">
        <f>VLOOKUP($B1563,'RBSA Weights'!$A$2:$C$1406,3,FALSE)</f>
        <v>1524.7619999999999</v>
      </c>
    </row>
    <row r="1564" spans="1:10">
      <c r="A1564" s="192">
        <v>153464</v>
      </c>
      <c r="B1564" s="192">
        <v>12902</v>
      </c>
      <c r="C1564" s="192" t="s">
        <v>829</v>
      </c>
      <c r="D1564" s="192">
        <v>12</v>
      </c>
      <c r="E1564" s="192" t="s">
        <v>816</v>
      </c>
      <c r="F1564" s="192" t="s">
        <v>823</v>
      </c>
      <c r="G1564" s="192">
        <v>1.1000000238418579</v>
      </c>
      <c r="H1564" s="192" t="s">
        <v>823</v>
      </c>
      <c r="I1564" s="192">
        <v>2</v>
      </c>
      <c r="J1564" s="192">
        <f>VLOOKUP($B1564,'RBSA Weights'!$A$2:$C$1406,3,FALSE)</f>
        <v>1524.7619999999999</v>
      </c>
    </row>
    <row r="1565" spans="1:10">
      <c r="A1565" s="192">
        <v>139793</v>
      </c>
      <c r="B1565" s="192">
        <v>12906</v>
      </c>
      <c r="C1565" s="192" t="s">
        <v>829</v>
      </c>
      <c r="D1565" s="192">
        <v>21</v>
      </c>
      <c r="E1565" s="192" t="s">
        <v>816</v>
      </c>
      <c r="F1565" s="192" t="s">
        <v>823</v>
      </c>
      <c r="G1565" s="192">
        <v>1.1000000238418579</v>
      </c>
      <c r="H1565" s="192" t="s">
        <v>823</v>
      </c>
      <c r="I1565" s="192">
        <v>2</v>
      </c>
      <c r="J1565" s="192">
        <f>VLOOKUP($B1565,'RBSA Weights'!$A$2:$C$1406,3,FALSE)</f>
        <v>4956.4930000000004</v>
      </c>
    </row>
    <row r="1566" spans="1:10">
      <c r="A1566" s="192">
        <v>227331</v>
      </c>
      <c r="B1566" s="192">
        <v>12977</v>
      </c>
      <c r="C1566" s="192" t="s">
        <v>829</v>
      </c>
      <c r="D1566" s="192">
        <v>60</v>
      </c>
      <c r="E1566" s="192" t="s">
        <v>816</v>
      </c>
      <c r="F1566" s="192" t="s">
        <v>817</v>
      </c>
      <c r="G1566" s="192">
        <v>0.44999998807907104</v>
      </c>
      <c r="H1566" s="192" t="s">
        <v>818</v>
      </c>
      <c r="I1566" s="192">
        <v>2</v>
      </c>
      <c r="J1566" s="192">
        <f>VLOOKUP($B1566,'RBSA Weights'!$A$2:$C$1406,3,FALSE)</f>
        <v>4956.4930000000004</v>
      </c>
    </row>
    <row r="1567" spans="1:10">
      <c r="A1567" s="192">
        <v>193388</v>
      </c>
      <c r="B1567" s="192">
        <v>13004</v>
      </c>
      <c r="C1567" s="192" t="s">
        <v>829</v>
      </c>
      <c r="D1567" s="192">
        <v>81</v>
      </c>
      <c r="E1567" s="192" t="s">
        <v>816</v>
      </c>
      <c r="F1567" s="192" t="s">
        <v>821</v>
      </c>
      <c r="G1567" s="192">
        <v>0.94999998807907104</v>
      </c>
      <c r="H1567" s="192" t="s">
        <v>821</v>
      </c>
      <c r="I1567" s="192">
        <v>2</v>
      </c>
      <c r="J1567" s="192">
        <f>VLOOKUP($B1567,'RBSA Weights'!$A$2:$C$1406,3,FALSE)</f>
        <v>1464.694</v>
      </c>
    </row>
    <row r="1568" spans="1:10">
      <c r="A1568" s="192">
        <v>44337</v>
      </c>
      <c r="B1568" s="192">
        <v>13011</v>
      </c>
      <c r="C1568" s="192" t="s">
        <v>829</v>
      </c>
      <c r="D1568" s="192">
        <v>9</v>
      </c>
      <c r="E1568" s="192" t="s">
        <v>816</v>
      </c>
      <c r="F1568" s="192" t="s">
        <v>823</v>
      </c>
      <c r="G1568" s="192">
        <v>1.1000000238418579</v>
      </c>
      <c r="H1568" s="192" t="s">
        <v>823</v>
      </c>
      <c r="I1568" s="192">
        <v>2</v>
      </c>
      <c r="J1568" s="192">
        <f>VLOOKUP($B1568,'RBSA Weights'!$A$2:$C$1406,3,FALSE)</f>
        <v>1188.027</v>
      </c>
    </row>
    <row r="1569" spans="1:10">
      <c r="A1569" s="192">
        <v>79482</v>
      </c>
      <c r="B1569" s="192">
        <v>13017</v>
      </c>
      <c r="C1569" s="192" t="s">
        <v>829</v>
      </c>
      <c r="D1569" s="192">
        <v>53</v>
      </c>
      <c r="E1569" s="192" t="s">
        <v>816</v>
      </c>
      <c r="F1569" s="192" t="s">
        <v>821</v>
      </c>
      <c r="G1569" s="192">
        <v>0.94999998807907104</v>
      </c>
      <c r="H1569" s="192" t="s">
        <v>821</v>
      </c>
      <c r="I1569" s="192">
        <v>2</v>
      </c>
      <c r="J1569" s="192">
        <f>VLOOKUP($B1569,'RBSA Weights'!$A$2:$C$1406,3,FALSE)</f>
        <v>2003.7159999999999</v>
      </c>
    </row>
    <row r="1570" spans="1:10">
      <c r="A1570" s="192">
        <v>181713</v>
      </c>
      <c r="B1570" s="192">
        <v>13019</v>
      </c>
      <c r="C1570" s="192" t="s">
        <v>829</v>
      </c>
      <c r="D1570" s="192">
        <v>32</v>
      </c>
      <c r="E1570" s="192" t="s">
        <v>816</v>
      </c>
      <c r="F1570" s="192" t="s">
        <v>820</v>
      </c>
      <c r="G1570" s="192">
        <v>0.85000002384185791</v>
      </c>
      <c r="H1570" s="192" t="s">
        <v>820</v>
      </c>
      <c r="I1570" s="192">
        <v>2</v>
      </c>
      <c r="J1570" s="192">
        <f>VLOOKUP($B1570,'RBSA Weights'!$A$2:$C$1406,3,FALSE)</f>
        <v>6932.7380000000003</v>
      </c>
    </row>
    <row r="1571" spans="1:10">
      <c r="A1571" s="192">
        <v>130828</v>
      </c>
      <c r="B1571" s="192">
        <v>13041</v>
      </c>
      <c r="C1571" s="192" t="s">
        <v>829</v>
      </c>
      <c r="D1571" s="192">
        <v>42</v>
      </c>
      <c r="E1571" s="192" t="s">
        <v>816</v>
      </c>
      <c r="F1571" s="192" t="s">
        <v>818</v>
      </c>
      <c r="G1571" s="192">
        <v>0.60000002384185791</v>
      </c>
      <c r="H1571" s="192" t="s">
        <v>818</v>
      </c>
      <c r="I1571" s="192">
        <v>2</v>
      </c>
      <c r="J1571" s="192">
        <f>VLOOKUP($B1571,'RBSA Weights'!$A$2:$C$1406,3,FALSE)</f>
        <v>4956.4930000000004</v>
      </c>
    </row>
    <row r="1572" spans="1:10">
      <c r="A1572" s="192">
        <v>207506</v>
      </c>
      <c r="B1572" s="192">
        <v>13046</v>
      </c>
      <c r="C1572" s="192" t="s">
        <v>829</v>
      </c>
      <c r="D1572" s="192">
        <v>62</v>
      </c>
      <c r="E1572" s="192" t="s">
        <v>816</v>
      </c>
      <c r="F1572" s="192" t="s">
        <v>818</v>
      </c>
      <c r="G1572" s="192">
        <v>0.60000002384185791</v>
      </c>
      <c r="H1572" s="192" t="s">
        <v>818</v>
      </c>
      <c r="I1572" s="192">
        <v>2</v>
      </c>
      <c r="J1572" s="192">
        <f>VLOOKUP($B1572,'RBSA Weights'!$A$2:$C$1406,3,FALSE)</f>
        <v>1464.694</v>
      </c>
    </row>
    <row r="1573" spans="1:10">
      <c r="A1573" s="192">
        <v>141019</v>
      </c>
      <c r="B1573" s="192">
        <v>13051</v>
      </c>
      <c r="C1573" s="192" t="s">
        <v>829</v>
      </c>
      <c r="D1573" s="192">
        <v>73</v>
      </c>
      <c r="E1573" s="192" t="s">
        <v>816</v>
      </c>
      <c r="F1573" s="192" t="s">
        <v>821</v>
      </c>
      <c r="G1573" s="192">
        <v>0.94999998807907104</v>
      </c>
      <c r="H1573" s="192" t="s">
        <v>821</v>
      </c>
      <c r="I1573" s="192">
        <v>2</v>
      </c>
      <c r="J1573" s="192">
        <f>VLOOKUP($B1573,'RBSA Weights'!$A$2:$C$1406,3,FALSE)</f>
        <v>4956.4930000000004</v>
      </c>
    </row>
    <row r="1574" spans="1:10">
      <c r="A1574" s="192">
        <v>226902</v>
      </c>
      <c r="B1574" s="192">
        <v>13113</v>
      </c>
      <c r="C1574" s="192" t="s">
        <v>829</v>
      </c>
      <c r="D1574" s="192">
        <v>156</v>
      </c>
      <c r="E1574" s="192" t="s">
        <v>816</v>
      </c>
      <c r="F1574" s="192" t="s">
        <v>825</v>
      </c>
      <c r="G1574" s="192">
        <v>0.2199999988079071</v>
      </c>
      <c r="H1574" s="192" t="s">
        <v>826</v>
      </c>
      <c r="I1574" s="192">
        <v>2</v>
      </c>
      <c r="J1574" s="192">
        <f>VLOOKUP($B1574,'RBSA Weights'!$A$2:$C$1406,3,FALSE)</f>
        <v>1464.694</v>
      </c>
    </row>
    <row r="1575" spans="1:10">
      <c r="A1575" s="192">
        <v>165739</v>
      </c>
      <c r="B1575" s="192">
        <v>13129</v>
      </c>
      <c r="C1575" s="192" t="s">
        <v>829</v>
      </c>
      <c r="D1575" s="192">
        <v>303</v>
      </c>
      <c r="E1575" s="192" t="s">
        <v>816</v>
      </c>
      <c r="F1575" s="192" t="s">
        <v>821</v>
      </c>
      <c r="G1575" s="192">
        <v>0.94999998807907104</v>
      </c>
      <c r="H1575" s="192" t="s">
        <v>821</v>
      </c>
      <c r="I1575" s="192">
        <v>2</v>
      </c>
      <c r="J1575" s="192">
        <f>VLOOKUP($B1575,'RBSA Weights'!$A$2:$C$1406,3,FALSE)</f>
        <v>4956.4930000000004</v>
      </c>
    </row>
    <row r="1576" spans="1:10">
      <c r="A1576" s="192">
        <v>235694</v>
      </c>
      <c r="B1576" s="192">
        <v>13166</v>
      </c>
      <c r="C1576" s="192" t="s">
        <v>829</v>
      </c>
      <c r="D1576" s="192">
        <v>148</v>
      </c>
      <c r="E1576" s="192" t="s">
        <v>816</v>
      </c>
      <c r="F1576" s="192" t="s">
        <v>821</v>
      </c>
      <c r="G1576" s="192">
        <v>0.94999998807907104</v>
      </c>
      <c r="H1576" s="192" t="s">
        <v>821</v>
      </c>
      <c r="I1576" s="192">
        <v>2</v>
      </c>
      <c r="J1576" s="192">
        <f>VLOOKUP($B1576,'RBSA Weights'!$A$2:$C$1406,3,FALSE)</f>
        <v>1524.7619999999999</v>
      </c>
    </row>
    <row r="1577" spans="1:10">
      <c r="A1577" s="192">
        <v>28736</v>
      </c>
      <c r="B1577" s="192">
        <v>13169</v>
      </c>
      <c r="C1577" s="192" t="s">
        <v>829</v>
      </c>
      <c r="D1577" s="192">
        <v>84</v>
      </c>
      <c r="E1577" s="192" t="s">
        <v>816</v>
      </c>
      <c r="F1577" s="192" t="s">
        <v>820</v>
      </c>
      <c r="G1577" s="192">
        <v>0.85000002384185791</v>
      </c>
      <c r="H1577" s="192" t="s">
        <v>820</v>
      </c>
      <c r="I1577" s="192">
        <v>2</v>
      </c>
      <c r="J1577" s="192">
        <f>VLOOKUP($B1577,'RBSA Weights'!$A$2:$C$1406,3,FALSE)</f>
        <v>1150.8789999999999</v>
      </c>
    </row>
    <row r="1578" spans="1:10">
      <c r="A1578" s="192">
        <v>725266</v>
      </c>
      <c r="B1578" s="192">
        <v>13188</v>
      </c>
      <c r="C1578" s="192" t="s">
        <v>829</v>
      </c>
      <c r="D1578" s="192">
        <v>25</v>
      </c>
      <c r="E1578" s="192" t="s">
        <v>816</v>
      </c>
      <c r="F1578" s="192" t="s">
        <v>823</v>
      </c>
      <c r="G1578" s="192">
        <v>1.1000000238418579</v>
      </c>
      <c r="H1578" s="192" t="s">
        <v>823</v>
      </c>
      <c r="I1578" s="192">
        <v>2</v>
      </c>
      <c r="J1578" s="192">
        <f>VLOOKUP($B1578,'RBSA Weights'!$A$2:$C$1406,3,FALSE)</f>
        <v>1524.7619999999999</v>
      </c>
    </row>
    <row r="1579" spans="1:10">
      <c r="A1579" s="192">
        <v>680181</v>
      </c>
      <c r="B1579" s="192">
        <v>13222</v>
      </c>
      <c r="C1579" s="192" t="s">
        <v>829</v>
      </c>
      <c r="D1579" s="192">
        <v>10</v>
      </c>
      <c r="E1579" s="192" t="s">
        <v>816</v>
      </c>
      <c r="F1579" s="192" t="s">
        <v>823</v>
      </c>
      <c r="G1579" s="192">
        <v>1.1000000238418579</v>
      </c>
      <c r="H1579" s="192" t="s">
        <v>823</v>
      </c>
      <c r="I1579" s="192">
        <v>2</v>
      </c>
      <c r="J1579" s="192">
        <f>VLOOKUP($B1579,'RBSA Weights'!$A$2:$C$1406,3,FALSE)</f>
        <v>2003.7159999999999</v>
      </c>
    </row>
    <row r="1580" spans="1:10">
      <c r="A1580" s="192">
        <v>79717</v>
      </c>
      <c r="B1580" s="192">
        <v>13232</v>
      </c>
      <c r="C1580" s="192" t="s">
        <v>829</v>
      </c>
      <c r="D1580" s="192">
        <v>181</v>
      </c>
      <c r="E1580" s="192" t="s">
        <v>816</v>
      </c>
      <c r="F1580" s="192" t="s">
        <v>817</v>
      </c>
      <c r="G1580" s="192">
        <v>0.55000001192092896</v>
      </c>
      <c r="H1580" s="192" t="s">
        <v>818</v>
      </c>
      <c r="I1580" s="192">
        <v>2</v>
      </c>
      <c r="J1580" s="192">
        <f>VLOOKUP($B1580,'RBSA Weights'!$A$2:$C$1406,3,FALSE)</f>
        <v>2003.7159999999999</v>
      </c>
    </row>
    <row r="1581" spans="1:10">
      <c r="A1581" s="192">
        <v>153362</v>
      </c>
      <c r="B1581" s="192">
        <v>13242</v>
      </c>
      <c r="C1581" s="192" t="s">
        <v>829</v>
      </c>
      <c r="D1581" s="192">
        <v>20</v>
      </c>
      <c r="E1581" s="192" t="s">
        <v>816</v>
      </c>
      <c r="F1581" s="192" t="s">
        <v>818</v>
      </c>
      <c r="G1581" s="192">
        <v>0.60000002384185791</v>
      </c>
      <c r="H1581" s="192" t="s">
        <v>818</v>
      </c>
      <c r="I1581" s="192">
        <v>2</v>
      </c>
      <c r="J1581" s="192">
        <f>VLOOKUP($B1581,'RBSA Weights'!$A$2:$C$1406,3,FALSE)</f>
        <v>4956.4930000000004</v>
      </c>
    </row>
    <row r="1582" spans="1:10">
      <c r="A1582" s="192">
        <v>89720</v>
      </c>
      <c r="B1582" s="192">
        <v>13246</v>
      </c>
      <c r="C1582" s="192" t="s">
        <v>829</v>
      </c>
      <c r="D1582" s="192">
        <v>281</v>
      </c>
      <c r="E1582" s="192" t="s">
        <v>816</v>
      </c>
      <c r="F1582" s="192" t="s">
        <v>818</v>
      </c>
      <c r="G1582" s="192">
        <v>0.60000002384185791</v>
      </c>
      <c r="H1582" s="192" t="s">
        <v>818</v>
      </c>
      <c r="I1582" s="192">
        <v>2</v>
      </c>
      <c r="J1582" s="192">
        <f>VLOOKUP($B1582,'RBSA Weights'!$A$2:$C$1406,3,FALSE)</f>
        <v>2003.7159999999999</v>
      </c>
    </row>
    <row r="1583" spans="1:10">
      <c r="A1583" s="192">
        <v>823336</v>
      </c>
      <c r="B1583" s="192">
        <v>13310</v>
      </c>
      <c r="C1583" s="192" t="s">
        <v>829</v>
      </c>
      <c r="D1583" s="192">
        <v>27</v>
      </c>
      <c r="E1583" s="192" t="s">
        <v>816</v>
      </c>
      <c r="F1583" s="192" t="s">
        <v>823</v>
      </c>
      <c r="G1583" s="192">
        <v>1.1000000238418579</v>
      </c>
      <c r="H1583" s="192" t="s">
        <v>823</v>
      </c>
      <c r="I1583" s="192">
        <v>2</v>
      </c>
      <c r="J1583" s="192">
        <f>VLOOKUP($B1583,'RBSA Weights'!$A$2:$C$1406,3,FALSE)</f>
        <v>2003.7159999999999</v>
      </c>
    </row>
    <row r="1584" spans="1:10">
      <c r="A1584" s="192">
        <v>100507</v>
      </c>
      <c r="B1584" s="192">
        <v>13315</v>
      </c>
      <c r="C1584" s="192" t="s">
        <v>829</v>
      </c>
      <c r="D1584" s="192">
        <v>10</v>
      </c>
      <c r="E1584" s="192" t="s">
        <v>816</v>
      </c>
      <c r="F1584" s="192" t="s">
        <v>817</v>
      </c>
      <c r="G1584" s="192">
        <v>0.55000001192092896</v>
      </c>
      <c r="H1584" s="192" t="s">
        <v>818</v>
      </c>
      <c r="I1584" s="192">
        <v>2</v>
      </c>
      <c r="J1584" s="192">
        <f>VLOOKUP($B1584,'RBSA Weights'!$A$2:$C$1406,3,FALSE)</f>
        <v>4956.4930000000004</v>
      </c>
    </row>
    <row r="1585" spans="1:10">
      <c r="A1585" s="192">
        <v>86043</v>
      </c>
      <c r="B1585" s="192">
        <v>13328</v>
      </c>
      <c r="C1585" s="192" t="s">
        <v>829</v>
      </c>
      <c r="D1585" s="192">
        <v>147</v>
      </c>
      <c r="E1585" s="192" t="s">
        <v>816</v>
      </c>
      <c r="F1585" s="192" t="s">
        <v>817</v>
      </c>
      <c r="G1585" s="192">
        <v>0.55000001192092896</v>
      </c>
      <c r="H1585" s="192" t="s">
        <v>818</v>
      </c>
      <c r="I1585" s="192">
        <v>2</v>
      </c>
      <c r="J1585" s="192">
        <f>VLOOKUP($B1585,'RBSA Weights'!$A$2:$C$1406,3,FALSE)</f>
        <v>2003.7159999999999</v>
      </c>
    </row>
    <row r="1586" spans="1:10">
      <c r="A1586" s="192">
        <v>130296</v>
      </c>
      <c r="B1586" s="192">
        <v>13401</v>
      </c>
      <c r="C1586" s="192" t="s">
        <v>829</v>
      </c>
      <c r="D1586" s="192">
        <v>24</v>
      </c>
      <c r="E1586" s="192" t="s">
        <v>816</v>
      </c>
      <c r="F1586" s="192" t="s">
        <v>818</v>
      </c>
      <c r="G1586" s="192">
        <v>0.60000002384185791</v>
      </c>
      <c r="H1586" s="192" t="s">
        <v>818</v>
      </c>
      <c r="I1586" s="192">
        <v>2</v>
      </c>
      <c r="J1586" s="192">
        <f>VLOOKUP($B1586,'RBSA Weights'!$A$2:$C$1406,3,FALSE)</f>
        <v>4956.4930000000004</v>
      </c>
    </row>
    <row r="1587" spans="1:10">
      <c r="A1587" s="192">
        <v>50965</v>
      </c>
      <c r="B1587" s="192">
        <v>13426</v>
      </c>
      <c r="C1587" s="192" t="s">
        <v>829</v>
      </c>
      <c r="D1587" s="192">
        <v>66</v>
      </c>
      <c r="E1587" s="192" t="s">
        <v>816</v>
      </c>
      <c r="F1587" s="192" t="s">
        <v>820</v>
      </c>
      <c r="G1587" s="192">
        <v>0.85000002384185791</v>
      </c>
      <c r="H1587" s="192" t="s">
        <v>820</v>
      </c>
      <c r="I1587" s="192">
        <v>2</v>
      </c>
      <c r="J1587" s="192">
        <f>VLOOKUP($B1587,'RBSA Weights'!$A$2:$C$1406,3,FALSE)</f>
        <v>1188.027</v>
      </c>
    </row>
    <row r="1588" spans="1:10">
      <c r="A1588" s="192">
        <v>212601</v>
      </c>
      <c r="B1588" s="192">
        <v>13435</v>
      </c>
      <c r="C1588" s="192" t="s">
        <v>829</v>
      </c>
      <c r="D1588" s="192">
        <v>44</v>
      </c>
      <c r="E1588" s="192" t="s">
        <v>816</v>
      </c>
      <c r="F1588" s="192" t="s">
        <v>821</v>
      </c>
      <c r="G1588" s="192">
        <v>0.94999998807907104</v>
      </c>
      <c r="H1588" s="192" t="s">
        <v>821</v>
      </c>
      <c r="I1588" s="192">
        <v>2</v>
      </c>
      <c r="J1588" s="192">
        <f>VLOOKUP($B1588,'RBSA Weights'!$A$2:$C$1406,3,FALSE)</f>
        <v>1464.694</v>
      </c>
    </row>
    <row r="1589" spans="1:10">
      <c r="A1589" s="192">
        <v>681001</v>
      </c>
      <c r="B1589" s="192">
        <v>13445</v>
      </c>
      <c r="C1589" s="192" t="s">
        <v>829</v>
      </c>
      <c r="D1589" s="192">
        <v>50</v>
      </c>
      <c r="E1589" s="192" t="s">
        <v>816</v>
      </c>
      <c r="F1589" s="192" t="s">
        <v>817</v>
      </c>
      <c r="G1589" s="192">
        <v>0.55000001192092896</v>
      </c>
      <c r="H1589" s="192" t="s">
        <v>818</v>
      </c>
      <c r="I1589" s="192">
        <v>2</v>
      </c>
      <c r="J1589" s="192">
        <f>VLOOKUP($B1589,'RBSA Weights'!$A$2:$C$1406,3,FALSE)</f>
        <v>4956.4930000000004</v>
      </c>
    </row>
    <row r="1590" spans="1:10">
      <c r="A1590" s="192">
        <v>122285</v>
      </c>
      <c r="B1590" s="192">
        <v>13462</v>
      </c>
      <c r="C1590" s="192" t="s">
        <v>829</v>
      </c>
      <c r="D1590" s="192">
        <v>50</v>
      </c>
      <c r="E1590" s="192" t="s">
        <v>816</v>
      </c>
      <c r="F1590" s="192" t="s">
        <v>818</v>
      </c>
      <c r="G1590" s="192">
        <v>0.60000002384185791</v>
      </c>
      <c r="H1590" s="192" t="s">
        <v>818</v>
      </c>
      <c r="I1590" s="192">
        <v>2</v>
      </c>
      <c r="J1590" s="192">
        <f>VLOOKUP($B1590,'RBSA Weights'!$A$2:$C$1406,3,FALSE)</f>
        <v>1464.694</v>
      </c>
    </row>
    <row r="1591" spans="1:10">
      <c r="A1591" s="192">
        <v>718804</v>
      </c>
      <c r="B1591" s="192">
        <v>13494</v>
      </c>
      <c r="C1591" s="192" t="s">
        <v>829</v>
      </c>
      <c r="D1591" s="192">
        <v>47</v>
      </c>
      <c r="E1591" s="192" t="s">
        <v>819</v>
      </c>
      <c r="F1591" s="192" t="s">
        <v>821</v>
      </c>
      <c r="G1591" s="192">
        <v>0.75</v>
      </c>
      <c r="H1591" s="192" t="s">
        <v>821</v>
      </c>
      <c r="I1591" s="192">
        <v>2</v>
      </c>
      <c r="J1591" s="192">
        <f>VLOOKUP($B1591,'RBSA Weights'!$A$2:$C$1406,3,FALSE)</f>
        <v>2003.7159999999999</v>
      </c>
    </row>
    <row r="1592" spans="1:10">
      <c r="A1592" s="192">
        <v>209711</v>
      </c>
      <c r="B1592" s="192">
        <v>13495</v>
      </c>
      <c r="C1592" s="192" t="s">
        <v>829</v>
      </c>
      <c r="D1592" s="192">
        <v>53</v>
      </c>
      <c r="E1592" s="192" t="s">
        <v>816</v>
      </c>
      <c r="F1592" s="192" t="s">
        <v>820</v>
      </c>
      <c r="G1592" s="192">
        <v>0.85000002384185791</v>
      </c>
      <c r="H1592" s="192" t="s">
        <v>820</v>
      </c>
      <c r="I1592" s="192">
        <v>2</v>
      </c>
      <c r="J1592" s="192">
        <f>VLOOKUP($B1592,'RBSA Weights'!$A$2:$C$1406,3,FALSE)</f>
        <v>1464.694</v>
      </c>
    </row>
    <row r="1593" spans="1:10">
      <c r="A1593" s="192">
        <v>197879</v>
      </c>
      <c r="B1593" s="192">
        <v>13554</v>
      </c>
      <c r="C1593" s="192" t="s">
        <v>829</v>
      </c>
      <c r="D1593" s="192">
        <v>2</v>
      </c>
      <c r="E1593" s="192" t="s">
        <v>816</v>
      </c>
      <c r="F1593" s="192" t="s">
        <v>818</v>
      </c>
      <c r="G1593" s="192">
        <v>0.60000002384185791</v>
      </c>
      <c r="H1593" s="192" t="s">
        <v>818</v>
      </c>
      <c r="I1593" s="192">
        <v>2</v>
      </c>
      <c r="J1593" s="192">
        <f>VLOOKUP($B1593,'RBSA Weights'!$A$2:$C$1406,3,FALSE)</f>
        <v>4956.4930000000004</v>
      </c>
    </row>
    <row r="1594" spans="1:10">
      <c r="A1594" s="192">
        <v>197112</v>
      </c>
      <c r="B1594" s="192">
        <v>13621</v>
      </c>
      <c r="C1594" s="192" t="s">
        <v>829</v>
      </c>
      <c r="D1594" s="192">
        <v>30</v>
      </c>
      <c r="E1594" s="192" t="s">
        <v>816</v>
      </c>
      <c r="F1594" s="192" t="s">
        <v>821</v>
      </c>
      <c r="G1594" s="192">
        <v>0.94999998807907104</v>
      </c>
      <c r="H1594" s="192" t="s">
        <v>821</v>
      </c>
      <c r="I1594" s="192">
        <v>2</v>
      </c>
      <c r="J1594" s="192">
        <f>VLOOKUP($B1594,'RBSA Weights'!$A$2:$C$1406,3,FALSE)</f>
        <v>1464.694</v>
      </c>
    </row>
    <row r="1595" spans="1:10">
      <c r="A1595" s="192">
        <v>195385</v>
      </c>
      <c r="B1595" s="192">
        <v>13655</v>
      </c>
      <c r="C1595" s="192" t="s">
        <v>829</v>
      </c>
      <c r="D1595" s="192">
        <v>11</v>
      </c>
      <c r="E1595" s="192" t="s">
        <v>816</v>
      </c>
      <c r="F1595" s="192" t="s">
        <v>821</v>
      </c>
      <c r="G1595" s="192">
        <v>0.94999998807907104</v>
      </c>
      <c r="H1595" s="192" t="s">
        <v>821</v>
      </c>
      <c r="I1595" s="192">
        <v>2</v>
      </c>
      <c r="J1595" s="192">
        <f>VLOOKUP($B1595,'RBSA Weights'!$A$2:$C$1406,3,FALSE)</f>
        <v>1464.694</v>
      </c>
    </row>
    <row r="1596" spans="1:10">
      <c r="A1596" s="192">
        <v>199455</v>
      </c>
      <c r="B1596" s="192">
        <v>13672</v>
      </c>
      <c r="C1596" s="192" t="s">
        <v>829</v>
      </c>
      <c r="D1596" s="192">
        <v>81</v>
      </c>
      <c r="E1596" s="192" t="s">
        <v>816</v>
      </c>
      <c r="F1596" s="192" t="s">
        <v>821</v>
      </c>
      <c r="G1596" s="192">
        <v>0.94999998807907104</v>
      </c>
      <c r="H1596" s="192" t="s">
        <v>821</v>
      </c>
      <c r="I1596" s="192">
        <v>2</v>
      </c>
      <c r="J1596" s="192">
        <f>VLOOKUP($B1596,'RBSA Weights'!$A$2:$C$1406,3,FALSE)</f>
        <v>1188.027</v>
      </c>
    </row>
    <row r="1597" spans="1:10">
      <c r="A1597" s="192">
        <v>45531</v>
      </c>
      <c r="B1597" s="192">
        <v>13713</v>
      </c>
      <c r="C1597" s="192" t="s">
        <v>829</v>
      </c>
      <c r="D1597" s="192">
        <v>36</v>
      </c>
      <c r="E1597" s="192" t="s">
        <v>816</v>
      </c>
      <c r="F1597" s="192" t="s">
        <v>820</v>
      </c>
      <c r="G1597" s="192">
        <v>0.85000002384185791</v>
      </c>
      <c r="H1597" s="192" t="s">
        <v>820</v>
      </c>
      <c r="I1597" s="192">
        <v>2</v>
      </c>
      <c r="J1597" s="192">
        <f>VLOOKUP($B1597,'RBSA Weights'!$A$2:$C$1406,3,FALSE)</f>
        <v>1150.8789999999999</v>
      </c>
    </row>
    <row r="1598" spans="1:10">
      <c r="A1598" s="192">
        <v>43538</v>
      </c>
      <c r="B1598" s="192">
        <v>13746</v>
      </c>
      <c r="C1598" s="192" t="s">
        <v>829</v>
      </c>
      <c r="D1598" s="192">
        <v>36</v>
      </c>
      <c r="E1598" s="192" t="s">
        <v>816</v>
      </c>
      <c r="F1598" s="192" t="s">
        <v>820</v>
      </c>
      <c r="G1598" s="192">
        <v>0.80000001192092896</v>
      </c>
      <c r="H1598" s="192" t="s">
        <v>820</v>
      </c>
      <c r="I1598" s="192">
        <v>2</v>
      </c>
      <c r="J1598" s="192">
        <f>VLOOKUP($B1598,'RBSA Weights'!$A$2:$C$1406,3,FALSE)</f>
        <v>1188.027</v>
      </c>
    </row>
    <row r="1599" spans="1:10">
      <c r="A1599" s="192">
        <v>36324</v>
      </c>
      <c r="B1599" s="192">
        <v>13756</v>
      </c>
      <c r="C1599" s="192" t="s">
        <v>829</v>
      </c>
      <c r="D1599" s="192">
        <v>20</v>
      </c>
      <c r="E1599" s="192" t="s">
        <v>816</v>
      </c>
      <c r="F1599" s="192" t="s">
        <v>818</v>
      </c>
      <c r="G1599" s="192">
        <v>0.60000002384185791</v>
      </c>
      <c r="H1599" s="192" t="s">
        <v>818</v>
      </c>
      <c r="I1599" s="192">
        <v>2</v>
      </c>
      <c r="J1599" s="192">
        <f>VLOOKUP($B1599,'RBSA Weights'!$A$2:$C$1406,3,FALSE)</f>
        <v>1188.027</v>
      </c>
    </row>
    <row r="1600" spans="1:10">
      <c r="A1600" s="192">
        <v>109607</v>
      </c>
      <c r="B1600" s="192">
        <v>13803</v>
      </c>
      <c r="C1600" s="192" t="s">
        <v>829</v>
      </c>
      <c r="D1600" s="192">
        <v>57</v>
      </c>
      <c r="E1600" s="192" t="s">
        <v>816</v>
      </c>
      <c r="F1600" s="192" t="s">
        <v>821</v>
      </c>
      <c r="G1600" s="192">
        <v>0.94999998807907104</v>
      </c>
      <c r="H1600" s="192" t="s">
        <v>821</v>
      </c>
      <c r="I1600" s="192">
        <v>2</v>
      </c>
      <c r="J1600" s="192">
        <f>VLOOKUP($B1600,'RBSA Weights'!$A$2:$C$1406,3,FALSE)</f>
        <v>2003.7159999999999</v>
      </c>
    </row>
    <row r="1601" spans="1:10">
      <c r="A1601" s="192">
        <v>36473</v>
      </c>
      <c r="B1601" s="192">
        <v>13817</v>
      </c>
      <c r="C1601" s="192" t="s">
        <v>829</v>
      </c>
      <c r="D1601" s="192">
        <v>269</v>
      </c>
      <c r="E1601" s="192" t="s">
        <v>816</v>
      </c>
      <c r="F1601" s="192" t="s">
        <v>822</v>
      </c>
      <c r="G1601" s="192">
        <v>0.75</v>
      </c>
      <c r="H1601" s="192" t="s">
        <v>820</v>
      </c>
      <c r="I1601" s="192">
        <v>2</v>
      </c>
      <c r="J1601" s="192">
        <f>VLOOKUP($B1601,'RBSA Weights'!$A$2:$C$1406,3,FALSE)</f>
        <v>1188.027</v>
      </c>
    </row>
    <row r="1602" spans="1:10">
      <c r="A1602" s="192">
        <v>58936</v>
      </c>
      <c r="B1602" s="192">
        <v>13898</v>
      </c>
      <c r="C1602" s="192" t="s">
        <v>829</v>
      </c>
      <c r="D1602" s="192">
        <v>19</v>
      </c>
      <c r="E1602" s="192" t="s">
        <v>816</v>
      </c>
      <c r="F1602" s="192" t="s">
        <v>821</v>
      </c>
      <c r="G1602" s="192">
        <v>0.94999998807907104</v>
      </c>
      <c r="H1602" s="192" t="s">
        <v>821</v>
      </c>
      <c r="I1602" s="192">
        <v>2</v>
      </c>
      <c r="J1602" s="192">
        <f>VLOOKUP($B1602,'RBSA Weights'!$A$2:$C$1406,3,FALSE)</f>
        <v>1188.027</v>
      </c>
    </row>
    <row r="1603" spans="1:10">
      <c r="A1603" s="192">
        <v>221796</v>
      </c>
      <c r="B1603" s="192">
        <v>13912</v>
      </c>
      <c r="C1603" s="192" t="s">
        <v>829</v>
      </c>
      <c r="D1603" s="192">
        <v>3</v>
      </c>
      <c r="E1603" s="192" t="s">
        <v>816</v>
      </c>
      <c r="F1603" s="192" t="s">
        <v>817</v>
      </c>
      <c r="G1603" s="192">
        <v>0.55000001192092896</v>
      </c>
      <c r="H1603" s="192" t="s">
        <v>818</v>
      </c>
      <c r="I1603" s="192">
        <v>2</v>
      </c>
      <c r="J1603" s="192">
        <f>VLOOKUP($B1603,'RBSA Weights'!$A$2:$C$1406,3,FALSE)</f>
        <v>2003.7159999999999</v>
      </c>
    </row>
    <row r="1604" spans="1:10">
      <c r="A1604" s="192">
        <v>198385</v>
      </c>
      <c r="B1604" s="192">
        <v>13948</v>
      </c>
      <c r="C1604" s="192" t="s">
        <v>829</v>
      </c>
      <c r="D1604" s="192">
        <v>15</v>
      </c>
      <c r="E1604" s="192" t="s">
        <v>816</v>
      </c>
      <c r="F1604" s="192" t="s">
        <v>821</v>
      </c>
      <c r="G1604" s="192">
        <v>0.94999998807907104</v>
      </c>
      <c r="H1604" s="192" t="s">
        <v>821</v>
      </c>
      <c r="I1604" s="192">
        <v>2</v>
      </c>
      <c r="J1604" s="192">
        <f>VLOOKUP($B1604,'RBSA Weights'!$A$2:$C$1406,3,FALSE)</f>
        <v>1524.7619999999999</v>
      </c>
    </row>
    <row r="1605" spans="1:10">
      <c r="A1605" s="192">
        <v>221475</v>
      </c>
      <c r="B1605" s="192">
        <v>13956</v>
      </c>
      <c r="C1605" s="192" t="s">
        <v>829</v>
      </c>
      <c r="D1605" s="192">
        <v>106</v>
      </c>
      <c r="E1605" s="192" t="s">
        <v>816</v>
      </c>
      <c r="F1605" s="192" t="s">
        <v>821</v>
      </c>
      <c r="G1605" s="192">
        <v>0.94999998807907104</v>
      </c>
      <c r="H1605" s="192" t="s">
        <v>821</v>
      </c>
      <c r="I1605" s="192">
        <v>2</v>
      </c>
      <c r="J1605" s="192">
        <f>VLOOKUP($B1605,'RBSA Weights'!$A$2:$C$1406,3,FALSE)</f>
        <v>1524.7619999999999</v>
      </c>
    </row>
    <row r="1606" spans="1:10">
      <c r="A1606" s="192">
        <v>221285</v>
      </c>
      <c r="B1606" s="192">
        <v>13970</v>
      </c>
      <c r="C1606" s="192" t="s">
        <v>829</v>
      </c>
      <c r="D1606" s="192">
        <v>86</v>
      </c>
      <c r="E1606" s="192" t="s">
        <v>816</v>
      </c>
      <c r="F1606" s="192" t="s">
        <v>817</v>
      </c>
      <c r="G1606" s="192">
        <v>0.44999998807907104</v>
      </c>
      <c r="H1606" s="192" t="s">
        <v>818</v>
      </c>
      <c r="I1606" s="192">
        <v>2</v>
      </c>
      <c r="J1606" s="192">
        <f>VLOOKUP($B1606,'RBSA Weights'!$A$2:$C$1406,3,FALSE)</f>
        <v>1524.7619999999999</v>
      </c>
    </row>
    <row r="1607" spans="1:10">
      <c r="A1607" s="192">
        <v>221673</v>
      </c>
      <c r="B1607" s="192">
        <v>13974</v>
      </c>
      <c r="C1607" s="192" t="s">
        <v>829</v>
      </c>
      <c r="D1607" s="192">
        <v>32</v>
      </c>
      <c r="E1607" s="192" t="s">
        <v>816</v>
      </c>
      <c r="F1607" s="192" t="s">
        <v>817</v>
      </c>
      <c r="G1607" s="192">
        <v>0.44999998807907104</v>
      </c>
      <c r="H1607" s="192" t="s">
        <v>818</v>
      </c>
      <c r="I1607" s="192">
        <v>2</v>
      </c>
      <c r="J1607" s="192">
        <f>VLOOKUP($B1607,'RBSA Weights'!$A$2:$C$1406,3,FALSE)</f>
        <v>2003.7159999999999</v>
      </c>
    </row>
    <row r="1608" spans="1:10">
      <c r="A1608" s="192">
        <v>197605</v>
      </c>
      <c r="B1608" s="192">
        <v>13975</v>
      </c>
      <c r="C1608" s="192" t="s">
        <v>829</v>
      </c>
      <c r="D1608" s="192">
        <v>1</v>
      </c>
      <c r="E1608" s="192" t="s">
        <v>816</v>
      </c>
      <c r="F1608" s="192" t="s">
        <v>818</v>
      </c>
      <c r="G1608" s="192">
        <v>0.60000002384185791</v>
      </c>
      <c r="H1608" s="192" t="s">
        <v>818</v>
      </c>
      <c r="I1608" s="192">
        <v>2</v>
      </c>
      <c r="J1608" s="192">
        <f>VLOOKUP($B1608,'RBSA Weights'!$A$2:$C$1406,3,FALSE)</f>
        <v>4956.4930000000004</v>
      </c>
    </row>
    <row r="1609" spans="1:10">
      <c r="A1609" s="192">
        <v>165893</v>
      </c>
      <c r="B1609" s="192">
        <v>14000</v>
      </c>
      <c r="C1609" s="192" t="s">
        <v>829</v>
      </c>
      <c r="D1609" s="192">
        <v>74</v>
      </c>
      <c r="E1609" s="192" t="s">
        <v>816</v>
      </c>
      <c r="F1609" s="192" t="s">
        <v>821</v>
      </c>
      <c r="G1609" s="192">
        <v>0.94999998807907104</v>
      </c>
      <c r="H1609" s="192" t="s">
        <v>821</v>
      </c>
      <c r="I1609" s="192">
        <v>2</v>
      </c>
      <c r="J1609" s="192">
        <f>VLOOKUP($B1609,'RBSA Weights'!$A$2:$C$1406,3,FALSE)</f>
        <v>1524.7619999999999</v>
      </c>
    </row>
    <row r="1610" spans="1:10">
      <c r="A1610" s="192">
        <v>182210</v>
      </c>
      <c r="B1610" s="192">
        <v>14015</v>
      </c>
      <c r="C1610" s="192" t="s">
        <v>829</v>
      </c>
      <c r="D1610" s="192">
        <v>189</v>
      </c>
      <c r="E1610" s="192" t="s">
        <v>819</v>
      </c>
      <c r="F1610" s="192" t="s">
        <v>817</v>
      </c>
      <c r="G1610" s="192">
        <v>0.40000000596046448</v>
      </c>
      <c r="H1610" s="192" t="s">
        <v>818</v>
      </c>
      <c r="I1610" s="192">
        <v>2</v>
      </c>
      <c r="J1610" s="192">
        <f>VLOOKUP($B1610,'RBSA Weights'!$A$2:$C$1406,3,FALSE)</f>
        <v>4956.4930000000004</v>
      </c>
    </row>
    <row r="1611" spans="1:10">
      <c r="A1611" s="192">
        <v>185200</v>
      </c>
      <c r="B1611" s="192">
        <v>14037</v>
      </c>
      <c r="C1611" s="192" t="s">
        <v>829</v>
      </c>
      <c r="D1611" s="192">
        <v>5</v>
      </c>
      <c r="E1611" s="192" t="s">
        <v>816</v>
      </c>
      <c r="F1611" s="192" t="s">
        <v>821</v>
      </c>
      <c r="G1611" s="192">
        <v>0.94999998807907104</v>
      </c>
      <c r="H1611" s="192" t="s">
        <v>821</v>
      </c>
      <c r="I1611" s="192">
        <v>2</v>
      </c>
      <c r="J1611" s="192">
        <f>VLOOKUP($B1611,'RBSA Weights'!$A$2:$C$1406,3,FALSE)</f>
        <v>1524.7619999999999</v>
      </c>
    </row>
    <row r="1612" spans="1:10">
      <c r="A1612" s="192">
        <v>96069</v>
      </c>
      <c r="B1612" s="192">
        <v>14051</v>
      </c>
      <c r="C1612" s="192" t="s">
        <v>829</v>
      </c>
      <c r="D1612" s="192">
        <v>67</v>
      </c>
      <c r="E1612" s="192" t="s">
        <v>816</v>
      </c>
      <c r="F1612" s="192" t="s">
        <v>821</v>
      </c>
      <c r="G1612" s="192">
        <v>0.94999998807907104</v>
      </c>
      <c r="H1612" s="192" t="s">
        <v>821</v>
      </c>
      <c r="I1612" s="192">
        <v>2</v>
      </c>
      <c r="J1612" s="192">
        <f>VLOOKUP($B1612,'RBSA Weights'!$A$2:$C$1406,3,FALSE)</f>
        <v>1188.027</v>
      </c>
    </row>
    <row r="1613" spans="1:10">
      <c r="A1613" s="192">
        <v>659967</v>
      </c>
      <c r="B1613" s="192">
        <v>14073</v>
      </c>
      <c r="C1613" s="192" t="s">
        <v>829</v>
      </c>
      <c r="D1613" s="192">
        <v>147</v>
      </c>
      <c r="E1613" s="192" t="s">
        <v>816</v>
      </c>
      <c r="F1613" s="192" t="s">
        <v>817</v>
      </c>
      <c r="G1613" s="192">
        <v>0.44999998807907104</v>
      </c>
      <c r="H1613" s="192" t="s">
        <v>818</v>
      </c>
      <c r="I1613" s="192">
        <v>2</v>
      </c>
      <c r="J1613" s="192">
        <f>VLOOKUP($B1613,'RBSA Weights'!$A$2:$C$1406,3,FALSE)</f>
        <v>2003.7159999999999</v>
      </c>
    </row>
    <row r="1614" spans="1:10">
      <c r="A1614" s="192">
        <v>27800</v>
      </c>
      <c r="B1614" s="192">
        <v>14078</v>
      </c>
      <c r="C1614" s="192" t="s">
        <v>829</v>
      </c>
      <c r="D1614" s="192">
        <v>119</v>
      </c>
      <c r="E1614" s="192" t="s">
        <v>819</v>
      </c>
      <c r="F1614" s="192" t="s">
        <v>823</v>
      </c>
      <c r="G1614" s="192">
        <v>0.85000002384185791</v>
      </c>
      <c r="H1614" s="192" t="s">
        <v>823</v>
      </c>
      <c r="I1614" s="192">
        <v>2</v>
      </c>
      <c r="J1614" s="192">
        <f>VLOOKUP($B1614,'RBSA Weights'!$A$2:$C$1406,3,FALSE)</f>
        <v>1150.8789999999999</v>
      </c>
    </row>
    <row r="1615" spans="1:10">
      <c r="A1615" s="192">
        <v>113629</v>
      </c>
      <c r="B1615" s="192">
        <v>14122</v>
      </c>
      <c r="C1615" s="192" t="s">
        <v>829</v>
      </c>
      <c r="D1615" s="192">
        <v>41</v>
      </c>
      <c r="E1615" s="192" t="s">
        <v>816</v>
      </c>
      <c r="F1615" s="192" t="s">
        <v>820</v>
      </c>
      <c r="G1615" s="192">
        <v>0.85000002384185791</v>
      </c>
      <c r="H1615" s="192" t="s">
        <v>820</v>
      </c>
      <c r="I1615" s="192">
        <v>2</v>
      </c>
      <c r="J1615" s="192">
        <f>VLOOKUP($B1615,'RBSA Weights'!$A$2:$C$1406,3,FALSE)</f>
        <v>1464.694</v>
      </c>
    </row>
    <row r="1616" spans="1:10">
      <c r="A1616" s="192">
        <v>203966</v>
      </c>
      <c r="B1616" s="192">
        <v>14140</v>
      </c>
      <c r="C1616" s="192" t="s">
        <v>829</v>
      </c>
      <c r="D1616" s="192">
        <v>91</v>
      </c>
      <c r="E1616" s="192" t="s">
        <v>816</v>
      </c>
      <c r="F1616" s="192" t="s">
        <v>818</v>
      </c>
      <c r="G1616" s="192">
        <v>0.55000001192092896</v>
      </c>
      <c r="H1616" s="192" t="s">
        <v>818</v>
      </c>
      <c r="I1616" s="192">
        <v>2</v>
      </c>
      <c r="J1616" s="192">
        <f>VLOOKUP($B1616,'RBSA Weights'!$A$2:$C$1406,3,FALSE)</f>
        <v>2003.7159999999999</v>
      </c>
    </row>
    <row r="1617" spans="1:10">
      <c r="A1617" s="192">
        <v>219182</v>
      </c>
      <c r="B1617" s="192">
        <v>14150</v>
      </c>
      <c r="C1617" s="192" t="s">
        <v>829</v>
      </c>
      <c r="D1617" s="192">
        <v>93</v>
      </c>
      <c r="E1617" s="192" t="s">
        <v>819</v>
      </c>
      <c r="F1617" s="192" t="s">
        <v>818</v>
      </c>
      <c r="G1617" s="192">
        <v>0.55000001192092896</v>
      </c>
      <c r="H1617" s="192" t="s">
        <v>818</v>
      </c>
      <c r="I1617" s="192">
        <v>2</v>
      </c>
      <c r="J1617" s="192">
        <f>VLOOKUP($B1617,'RBSA Weights'!$A$2:$C$1406,3,FALSE)</f>
        <v>6932.7380000000003</v>
      </c>
    </row>
    <row r="1618" spans="1:10">
      <c r="A1618" s="192">
        <v>687188</v>
      </c>
      <c r="B1618" s="192">
        <v>14174</v>
      </c>
      <c r="C1618" s="192" t="s">
        <v>829</v>
      </c>
      <c r="D1618" s="192">
        <v>163</v>
      </c>
      <c r="E1618" s="192" t="s">
        <v>816</v>
      </c>
      <c r="F1618" s="192" t="s">
        <v>817</v>
      </c>
      <c r="G1618" s="192">
        <v>0.44999998807907104</v>
      </c>
      <c r="H1618" s="192" t="s">
        <v>818</v>
      </c>
      <c r="I1618" s="192">
        <v>2</v>
      </c>
      <c r="J1618" s="192">
        <f>VLOOKUP($B1618,'RBSA Weights'!$A$2:$C$1406,3,FALSE)</f>
        <v>6932.7380000000003</v>
      </c>
    </row>
    <row r="1619" spans="1:10">
      <c r="A1619" s="192">
        <v>229086</v>
      </c>
      <c r="B1619" s="192">
        <v>14181</v>
      </c>
      <c r="C1619" s="192" t="s">
        <v>829</v>
      </c>
      <c r="D1619" s="192">
        <v>4</v>
      </c>
      <c r="E1619" s="192" t="s">
        <v>816</v>
      </c>
      <c r="F1619" s="192" t="s">
        <v>821</v>
      </c>
      <c r="G1619" s="192">
        <v>0.94999998807907104</v>
      </c>
      <c r="H1619" s="192" t="s">
        <v>821</v>
      </c>
      <c r="I1619" s="192">
        <v>2</v>
      </c>
      <c r="J1619" s="192">
        <f>VLOOKUP($B1619,'RBSA Weights'!$A$2:$C$1406,3,FALSE)</f>
        <v>1524.7619999999999</v>
      </c>
    </row>
    <row r="1620" spans="1:10">
      <c r="A1620" s="192">
        <v>206099</v>
      </c>
      <c r="B1620" s="192">
        <v>14210</v>
      </c>
      <c r="C1620" s="192" t="s">
        <v>829</v>
      </c>
      <c r="D1620" s="192">
        <v>76</v>
      </c>
      <c r="E1620" s="192" t="s">
        <v>816</v>
      </c>
      <c r="F1620" s="192" t="s">
        <v>820</v>
      </c>
      <c r="G1620" s="192">
        <v>0.85000002384185791</v>
      </c>
      <c r="H1620" s="192" t="s">
        <v>820</v>
      </c>
      <c r="I1620" s="192">
        <v>2</v>
      </c>
      <c r="J1620" s="192">
        <f>VLOOKUP($B1620,'RBSA Weights'!$A$2:$C$1406,3,FALSE)</f>
        <v>1464.694</v>
      </c>
    </row>
    <row r="1621" spans="1:10">
      <c r="A1621" s="192">
        <v>205642</v>
      </c>
      <c r="B1621" s="192">
        <v>14211</v>
      </c>
      <c r="C1621" s="192" t="s">
        <v>829</v>
      </c>
      <c r="D1621" s="192">
        <v>49</v>
      </c>
      <c r="E1621" s="192" t="s">
        <v>816</v>
      </c>
      <c r="F1621" s="192" t="s">
        <v>821</v>
      </c>
      <c r="G1621" s="192">
        <v>0.94999998807907104</v>
      </c>
      <c r="H1621" s="192" t="s">
        <v>821</v>
      </c>
      <c r="I1621" s="192">
        <v>2</v>
      </c>
      <c r="J1621" s="192">
        <f>VLOOKUP($B1621,'RBSA Weights'!$A$2:$C$1406,3,FALSE)</f>
        <v>1524.7619999999999</v>
      </c>
    </row>
    <row r="1622" spans="1:10">
      <c r="A1622" s="192">
        <v>208641</v>
      </c>
      <c r="B1622" s="192">
        <v>14264</v>
      </c>
      <c r="C1622" s="192" t="s">
        <v>829</v>
      </c>
      <c r="D1622" s="192">
        <v>29</v>
      </c>
      <c r="E1622" s="192" t="s">
        <v>816</v>
      </c>
      <c r="F1622" s="192" t="s">
        <v>821</v>
      </c>
      <c r="G1622" s="192">
        <v>0.94999998807907104</v>
      </c>
      <c r="H1622" s="192" t="s">
        <v>821</v>
      </c>
      <c r="I1622" s="192">
        <v>2</v>
      </c>
      <c r="J1622" s="192">
        <f>VLOOKUP($B1622,'RBSA Weights'!$A$2:$C$1406,3,FALSE)</f>
        <v>4956.4930000000004</v>
      </c>
    </row>
    <row r="1623" spans="1:10">
      <c r="A1623" s="192">
        <v>197466</v>
      </c>
      <c r="B1623" s="192">
        <v>14277</v>
      </c>
      <c r="C1623" s="192" t="s">
        <v>829</v>
      </c>
      <c r="D1623" s="192">
        <v>109</v>
      </c>
      <c r="E1623" s="192" t="s">
        <v>816</v>
      </c>
      <c r="F1623" s="192" t="s">
        <v>817</v>
      </c>
      <c r="G1623" s="192">
        <v>0.44999998807907104</v>
      </c>
      <c r="H1623" s="192" t="s">
        <v>818</v>
      </c>
      <c r="I1623" s="192">
        <v>2</v>
      </c>
      <c r="J1623" s="192">
        <f>VLOOKUP($B1623,'RBSA Weights'!$A$2:$C$1406,3,FALSE)</f>
        <v>4956.4930000000004</v>
      </c>
    </row>
    <row r="1624" spans="1:10">
      <c r="A1624" s="192">
        <v>237947</v>
      </c>
      <c r="B1624" s="192">
        <v>14300</v>
      </c>
      <c r="C1624" s="192" t="s">
        <v>829</v>
      </c>
      <c r="D1624" s="192">
        <v>20</v>
      </c>
      <c r="E1624" s="192" t="s">
        <v>816</v>
      </c>
      <c r="F1624" s="192" t="s">
        <v>821</v>
      </c>
      <c r="G1624" s="192">
        <v>0.94999998807907104</v>
      </c>
      <c r="H1624" s="192" t="s">
        <v>821</v>
      </c>
      <c r="I1624" s="192">
        <v>2</v>
      </c>
      <c r="J1624" s="192">
        <f>VLOOKUP($B1624,'RBSA Weights'!$A$2:$C$1406,3,FALSE)</f>
        <v>4956.4930000000004</v>
      </c>
    </row>
    <row r="1625" spans="1:10">
      <c r="A1625" s="192">
        <v>674574</v>
      </c>
      <c r="B1625" s="192">
        <v>14508</v>
      </c>
      <c r="C1625" s="192" t="s">
        <v>829</v>
      </c>
      <c r="D1625" s="192">
        <v>41</v>
      </c>
      <c r="E1625" s="192" t="s">
        <v>819</v>
      </c>
      <c r="F1625" s="192" t="s">
        <v>821</v>
      </c>
      <c r="G1625" s="192">
        <v>0.75</v>
      </c>
      <c r="H1625" s="192" t="s">
        <v>821</v>
      </c>
      <c r="I1625" s="192">
        <v>2</v>
      </c>
      <c r="J1625" s="192">
        <f>VLOOKUP($B1625,'RBSA Weights'!$A$2:$C$1406,3,FALSE)</f>
        <v>4956.4930000000004</v>
      </c>
    </row>
    <row r="1626" spans="1:10">
      <c r="A1626" s="192">
        <v>659312</v>
      </c>
      <c r="B1626" s="192">
        <v>14674</v>
      </c>
      <c r="C1626" s="192" t="s">
        <v>829</v>
      </c>
      <c r="D1626" s="192">
        <v>22</v>
      </c>
      <c r="E1626" s="192" t="s">
        <v>816</v>
      </c>
      <c r="F1626" s="192" t="s">
        <v>817</v>
      </c>
      <c r="G1626" s="192">
        <v>0.55000001192092896</v>
      </c>
      <c r="H1626" s="192" t="s">
        <v>818</v>
      </c>
      <c r="I1626" s="192">
        <v>2</v>
      </c>
      <c r="J1626" s="192">
        <f>VLOOKUP($B1626,'RBSA Weights'!$A$2:$C$1406,3,FALSE)</f>
        <v>6932.7380000000003</v>
      </c>
    </row>
    <row r="1627" spans="1:10">
      <c r="A1627" s="192">
        <v>205849</v>
      </c>
      <c r="B1627" s="192">
        <v>20065</v>
      </c>
      <c r="C1627" s="192" t="s">
        <v>829</v>
      </c>
      <c r="D1627" s="192">
        <v>36</v>
      </c>
      <c r="E1627" s="192" t="s">
        <v>819</v>
      </c>
      <c r="F1627" s="192" t="s">
        <v>823</v>
      </c>
      <c r="G1627" s="192">
        <v>0.85000002384185791</v>
      </c>
      <c r="H1627" s="192" t="s">
        <v>823</v>
      </c>
      <c r="I1627" s="192">
        <v>2</v>
      </c>
      <c r="J1627" s="192">
        <f>VLOOKUP($B1627,'RBSA Weights'!$A$2:$C$1406,3,FALSE)</f>
        <v>3785.7640000000001</v>
      </c>
    </row>
    <row r="1628" spans="1:10">
      <c r="A1628" s="192">
        <v>74724</v>
      </c>
      <c r="B1628" s="192">
        <v>20066</v>
      </c>
      <c r="C1628" s="192" t="s">
        <v>829</v>
      </c>
      <c r="D1628" s="192">
        <v>41</v>
      </c>
      <c r="E1628" s="192" t="s">
        <v>819</v>
      </c>
      <c r="F1628" s="192" t="s">
        <v>818</v>
      </c>
      <c r="G1628" s="192">
        <v>0.55000001192092896</v>
      </c>
      <c r="H1628" s="192" t="s">
        <v>818</v>
      </c>
      <c r="I1628" s="192">
        <v>2</v>
      </c>
      <c r="J1628" s="192">
        <f>VLOOKUP($B1628,'RBSA Weights'!$A$2:$C$1406,3,FALSE)</f>
        <v>2079.9929999999999</v>
      </c>
    </row>
    <row r="1629" spans="1:10">
      <c r="A1629" s="192">
        <v>133095</v>
      </c>
      <c r="B1629" s="192">
        <v>20078</v>
      </c>
      <c r="C1629" s="192" t="s">
        <v>829</v>
      </c>
      <c r="D1629" s="192">
        <v>20</v>
      </c>
      <c r="E1629" s="192" t="s">
        <v>816</v>
      </c>
      <c r="F1629" s="192" t="s">
        <v>817</v>
      </c>
      <c r="G1629" s="192">
        <v>0.44999998807907104</v>
      </c>
      <c r="H1629" s="192" t="s">
        <v>818</v>
      </c>
      <c r="I1629" s="192">
        <v>2</v>
      </c>
      <c r="J1629" s="192">
        <f>VLOOKUP($B1629,'RBSA Weights'!$A$2:$C$1406,3,FALSE)</f>
        <v>1144.6790000000001</v>
      </c>
    </row>
    <row r="1630" spans="1:10">
      <c r="A1630" s="192">
        <v>94273</v>
      </c>
      <c r="B1630" s="192">
        <v>20080</v>
      </c>
      <c r="C1630" s="192" t="s">
        <v>829</v>
      </c>
      <c r="D1630" s="192">
        <v>121</v>
      </c>
      <c r="E1630" s="192" t="s">
        <v>816</v>
      </c>
      <c r="F1630" s="192" t="s">
        <v>818</v>
      </c>
      <c r="G1630" s="192">
        <v>0.55000001192092896</v>
      </c>
      <c r="H1630" s="192" t="s">
        <v>818</v>
      </c>
      <c r="I1630" s="192">
        <v>2</v>
      </c>
      <c r="J1630" s="192">
        <f>VLOOKUP($B1630,'RBSA Weights'!$A$2:$C$1406,3,FALSE)</f>
        <v>1904.288</v>
      </c>
    </row>
    <row r="1631" spans="1:10">
      <c r="A1631" s="192">
        <v>191282</v>
      </c>
      <c r="B1631" s="192">
        <v>20085</v>
      </c>
      <c r="C1631" s="192" t="s">
        <v>829</v>
      </c>
      <c r="D1631" s="192">
        <v>33</v>
      </c>
      <c r="E1631" s="192" t="s">
        <v>816</v>
      </c>
      <c r="F1631" s="192" t="s">
        <v>821</v>
      </c>
      <c r="G1631" s="192">
        <v>0.94999998807907104</v>
      </c>
      <c r="H1631" s="192" t="s">
        <v>821</v>
      </c>
      <c r="I1631" s="192">
        <v>2</v>
      </c>
      <c r="J1631" s="192">
        <f>VLOOKUP($B1631,'RBSA Weights'!$A$2:$C$1406,3,FALSE)</f>
        <v>4360.1880000000001</v>
      </c>
    </row>
    <row r="1632" spans="1:10">
      <c r="A1632" s="192">
        <v>691927</v>
      </c>
      <c r="B1632" s="192">
        <v>20088</v>
      </c>
      <c r="C1632" s="192" t="s">
        <v>829</v>
      </c>
      <c r="D1632" s="192">
        <v>20</v>
      </c>
      <c r="E1632" s="192" t="s">
        <v>816</v>
      </c>
      <c r="F1632" s="192" t="s">
        <v>821</v>
      </c>
      <c r="G1632" s="192">
        <v>0.94999998807907104</v>
      </c>
      <c r="H1632" s="192" t="s">
        <v>821</v>
      </c>
      <c r="I1632" s="192">
        <v>2</v>
      </c>
      <c r="J1632" s="192">
        <f>VLOOKUP($B1632,'RBSA Weights'!$A$2:$C$1406,3,FALSE)</f>
        <v>3785.7640000000001</v>
      </c>
    </row>
    <row r="1633" spans="1:10">
      <c r="A1633" s="192">
        <v>98331</v>
      </c>
      <c r="B1633" s="192">
        <v>20095</v>
      </c>
      <c r="C1633" s="192" t="s">
        <v>829</v>
      </c>
      <c r="D1633" s="192">
        <v>222</v>
      </c>
      <c r="E1633" s="192" t="s">
        <v>816</v>
      </c>
      <c r="F1633" s="192" t="s">
        <v>817</v>
      </c>
      <c r="G1633" s="192">
        <v>0.44999998807907104</v>
      </c>
      <c r="H1633" s="192" t="s">
        <v>818</v>
      </c>
      <c r="I1633" s="192">
        <v>2</v>
      </c>
      <c r="J1633" s="192">
        <f>VLOOKUP($B1633,'RBSA Weights'!$A$2:$C$1406,3,FALSE)</f>
        <v>1904.288</v>
      </c>
    </row>
    <row r="1634" spans="1:10">
      <c r="A1634" s="192">
        <v>203792</v>
      </c>
      <c r="B1634" s="192">
        <v>20106</v>
      </c>
      <c r="C1634" s="192" t="s">
        <v>829</v>
      </c>
      <c r="D1634" s="192">
        <v>84</v>
      </c>
      <c r="E1634" s="192" t="s">
        <v>816</v>
      </c>
      <c r="F1634" s="192" t="s">
        <v>818</v>
      </c>
      <c r="G1634" s="192">
        <v>0.60000002384185791</v>
      </c>
      <c r="H1634" s="192" t="s">
        <v>818</v>
      </c>
      <c r="I1634" s="192">
        <v>2</v>
      </c>
      <c r="J1634" s="192">
        <f>VLOOKUP($B1634,'RBSA Weights'!$A$2:$C$1406,3,FALSE)</f>
        <v>3785.7640000000001</v>
      </c>
    </row>
    <row r="1635" spans="1:10">
      <c r="A1635" s="192">
        <v>231537</v>
      </c>
      <c r="B1635" s="192">
        <v>20109</v>
      </c>
      <c r="C1635" s="192" t="s">
        <v>829</v>
      </c>
      <c r="D1635" s="192">
        <v>4</v>
      </c>
      <c r="E1635" s="192" t="s">
        <v>816</v>
      </c>
      <c r="F1635" s="192" t="s">
        <v>821</v>
      </c>
      <c r="G1635" s="192">
        <v>0.94999998807907104</v>
      </c>
      <c r="H1635" s="192" t="s">
        <v>821</v>
      </c>
      <c r="I1635" s="192">
        <v>2</v>
      </c>
      <c r="J1635" s="192">
        <f>VLOOKUP($B1635,'RBSA Weights'!$A$2:$C$1406,3,FALSE)</f>
        <v>1612.692</v>
      </c>
    </row>
    <row r="1636" spans="1:10">
      <c r="A1636" s="192">
        <v>33865</v>
      </c>
      <c r="B1636" s="192">
        <v>20125</v>
      </c>
      <c r="C1636" s="192" t="s">
        <v>829</v>
      </c>
      <c r="D1636" s="192">
        <v>28</v>
      </c>
      <c r="E1636" s="192" t="s">
        <v>816</v>
      </c>
      <c r="F1636" s="192" t="s">
        <v>823</v>
      </c>
      <c r="G1636" s="192">
        <v>1.1000000238418579</v>
      </c>
      <c r="H1636" s="192" t="s">
        <v>823</v>
      </c>
      <c r="I1636" s="192">
        <v>2</v>
      </c>
      <c r="J1636" s="192">
        <f>VLOOKUP($B1636,'RBSA Weights'!$A$2:$C$1406,3,FALSE)</f>
        <v>3785.7640000000001</v>
      </c>
    </row>
    <row r="1637" spans="1:10">
      <c r="A1637" s="192">
        <v>184512</v>
      </c>
      <c r="B1637" s="192">
        <v>20152</v>
      </c>
      <c r="C1637" s="192" t="s">
        <v>829</v>
      </c>
      <c r="D1637" s="192">
        <v>20</v>
      </c>
      <c r="E1637" s="192" t="s">
        <v>816</v>
      </c>
      <c r="F1637" s="192" t="s">
        <v>823</v>
      </c>
      <c r="G1637" s="192">
        <v>1.1000000238418579</v>
      </c>
      <c r="H1637" s="192" t="s">
        <v>823</v>
      </c>
      <c r="I1637" s="192">
        <v>2</v>
      </c>
      <c r="J1637" s="192">
        <f>VLOOKUP($B1637,'RBSA Weights'!$A$2:$C$1406,3,FALSE)</f>
        <v>3785.7640000000001</v>
      </c>
    </row>
    <row r="1638" spans="1:10">
      <c r="A1638" s="192">
        <v>142538</v>
      </c>
      <c r="B1638" s="192">
        <v>20184</v>
      </c>
      <c r="C1638" s="192" t="s">
        <v>829</v>
      </c>
      <c r="D1638" s="192">
        <v>28</v>
      </c>
      <c r="E1638" s="192" t="s">
        <v>816</v>
      </c>
      <c r="F1638" s="192" t="s">
        <v>821</v>
      </c>
      <c r="G1638" s="192">
        <v>0.94999998807907104</v>
      </c>
      <c r="H1638" s="192" t="s">
        <v>821</v>
      </c>
      <c r="I1638" s="192">
        <v>2</v>
      </c>
      <c r="J1638" s="192">
        <f>VLOOKUP($B1638,'RBSA Weights'!$A$2:$C$1406,3,FALSE)</f>
        <v>1612.692</v>
      </c>
    </row>
    <row r="1639" spans="1:10">
      <c r="A1639" s="192">
        <v>142617</v>
      </c>
      <c r="B1639" s="192">
        <v>20188</v>
      </c>
      <c r="C1639" s="192" t="s">
        <v>829</v>
      </c>
      <c r="D1639" s="192">
        <v>130</v>
      </c>
      <c r="E1639" s="192" t="s">
        <v>816</v>
      </c>
      <c r="F1639" s="192" t="s">
        <v>822</v>
      </c>
      <c r="G1639" s="192">
        <v>0.75</v>
      </c>
      <c r="H1639" s="192" t="s">
        <v>820</v>
      </c>
      <c r="I1639" s="192">
        <v>2</v>
      </c>
      <c r="J1639" s="192">
        <f>VLOOKUP($B1639,'RBSA Weights'!$A$2:$C$1406,3,FALSE)</f>
        <v>1612.692</v>
      </c>
    </row>
    <row r="1640" spans="1:10">
      <c r="A1640" s="192">
        <v>60853</v>
      </c>
      <c r="B1640" s="192">
        <v>20287</v>
      </c>
      <c r="C1640" s="192" t="s">
        <v>829</v>
      </c>
      <c r="D1640" s="192">
        <v>5</v>
      </c>
      <c r="E1640" s="192" t="s">
        <v>819</v>
      </c>
      <c r="F1640" s="192" t="s">
        <v>817</v>
      </c>
      <c r="G1640" s="192">
        <v>0.40000000596046448</v>
      </c>
      <c r="H1640" s="192" t="s">
        <v>818</v>
      </c>
      <c r="I1640" s="192">
        <v>2</v>
      </c>
      <c r="J1640" s="192">
        <f>VLOOKUP($B1640,'RBSA Weights'!$A$2:$C$1406,3,FALSE)</f>
        <v>2079.9929999999999</v>
      </c>
    </row>
    <row r="1641" spans="1:10">
      <c r="A1641" s="192">
        <v>176347</v>
      </c>
      <c r="B1641" s="192">
        <v>20303</v>
      </c>
      <c r="C1641" s="192" t="s">
        <v>829</v>
      </c>
      <c r="D1641" s="192">
        <v>89</v>
      </c>
      <c r="E1641" s="192" t="s">
        <v>816</v>
      </c>
      <c r="F1641" s="192" t="s">
        <v>821</v>
      </c>
      <c r="G1641" s="192">
        <v>0.94999998807907104</v>
      </c>
      <c r="H1641" s="192" t="s">
        <v>821</v>
      </c>
      <c r="I1641" s="192">
        <v>2</v>
      </c>
      <c r="J1641" s="192">
        <f>VLOOKUP($B1641,'RBSA Weights'!$A$2:$C$1406,3,FALSE)</f>
        <v>2130.886</v>
      </c>
    </row>
    <row r="1642" spans="1:10">
      <c r="A1642" s="192">
        <v>103331</v>
      </c>
      <c r="B1642" s="192">
        <v>20325</v>
      </c>
      <c r="C1642" s="192" t="s">
        <v>829</v>
      </c>
      <c r="D1642" s="192">
        <v>130</v>
      </c>
      <c r="E1642" s="192" t="s">
        <v>816</v>
      </c>
      <c r="F1642" s="192" t="s">
        <v>818</v>
      </c>
      <c r="G1642" s="192">
        <v>0.60000002384185791</v>
      </c>
      <c r="H1642" s="192" t="s">
        <v>818</v>
      </c>
      <c r="I1642" s="192">
        <v>2</v>
      </c>
      <c r="J1642" s="192">
        <f>VLOOKUP($B1642,'RBSA Weights'!$A$2:$C$1406,3,FALSE)</f>
        <v>1925.059</v>
      </c>
    </row>
    <row r="1643" spans="1:10">
      <c r="A1643" s="192">
        <v>147579</v>
      </c>
      <c r="B1643" s="192">
        <v>20340</v>
      </c>
      <c r="C1643" s="192" t="s">
        <v>829</v>
      </c>
      <c r="D1643" s="192">
        <v>39</v>
      </c>
      <c r="E1643" s="192" t="s">
        <v>816</v>
      </c>
      <c r="F1643" s="192" t="s">
        <v>825</v>
      </c>
      <c r="G1643" s="192">
        <v>0.2199999988079071</v>
      </c>
      <c r="H1643" s="192" t="s">
        <v>826</v>
      </c>
      <c r="I1643" s="192">
        <v>2</v>
      </c>
      <c r="J1643" s="192">
        <f>VLOOKUP($B1643,'RBSA Weights'!$A$2:$C$1406,3,FALSE)</f>
        <v>1612.692</v>
      </c>
    </row>
    <row r="1644" spans="1:10">
      <c r="A1644" s="192">
        <v>121183</v>
      </c>
      <c r="B1644" s="192">
        <v>20371</v>
      </c>
      <c r="C1644" s="192" t="s">
        <v>829</v>
      </c>
      <c r="D1644" s="192">
        <v>34</v>
      </c>
      <c r="E1644" s="192" t="s">
        <v>816</v>
      </c>
      <c r="F1644" s="192" t="s">
        <v>820</v>
      </c>
      <c r="G1644" s="192">
        <v>0.85000002384185791</v>
      </c>
      <c r="H1644" s="192" t="s">
        <v>820</v>
      </c>
      <c r="I1644" s="192">
        <v>2</v>
      </c>
      <c r="J1644" s="192">
        <f>VLOOKUP($B1644,'RBSA Weights'!$A$2:$C$1406,3,FALSE)</f>
        <v>1925.059</v>
      </c>
    </row>
    <row r="1645" spans="1:10">
      <c r="A1645" s="192">
        <v>45980</v>
      </c>
      <c r="B1645" s="192">
        <v>20374</v>
      </c>
      <c r="C1645" s="192" t="s">
        <v>829</v>
      </c>
      <c r="D1645" s="192">
        <v>2</v>
      </c>
      <c r="E1645" s="192" t="s">
        <v>816</v>
      </c>
      <c r="F1645" s="192" t="s">
        <v>821</v>
      </c>
      <c r="G1645" s="192">
        <v>0.94999998807907104</v>
      </c>
      <c r="H1645" s="192" t="s">
        <v>821</v>
      </c>
      <c r="I1645" s="192">
        <v>2</v>
      </c>
      <c r="J1645" s="192">
        <f>VLOOKUP($B1645,'RBSA Weights'!$A$2:$C$1406,3,FALSE)</f>
        <v>8264.9449999999997</v>
      </c>
    </row>
    <row r="1646" spans="1:10">
      <c r="A1646" s="192">
        <v>158955</v>
      </c>
      <c r="B1646" s="192">
        <v>20384</v>
      </c>
      <c r="C1646" s="192" t="s">
        <v>829</v>
      </c>
      <c r="D1646" s="192">
        <v>28</v>
      </c>
      <c r="E1646" s="192" t="s">
        <v>819</v>
      </c>
      <c r="F1646" s="192" t="s">
        <v>823</v>
      </c>
      <c r="G1646" s="192">
        <v>0.85000002384185791</v>
      </c>
      <c r="H1646" s="192" t="s">
        <v>823</v>
      </c>
      <c r="I1646" s="192">
        <v>2</v>
      </c>
      <c r="J1646" s="192">
        <f>VLOOKUP($B1646,'RBSA Weights'!$A$2:$C$1406,3,FALSE)</f>
        <v>2130.886</v>
      </c>
    </row>
    <row r="1647" spans="1:10">
      <c r="A1647" s="192">
        <v>45660</v>
      </c>
      <c r="B1647" s="192">
        <v>20395</v>
      </c>
      <c r="C1647" s="192" t="s">
        <v>829</v>
      </c>
      <c r="D1647" s="192">
        <v>77</v>
      </c>
      <c r="E1647" s="192" t="s">
        <v>816</v>
      </c>
      <c r="F1647" s="192" t="s">
        <v>821</v>
      </c>
      <c r="G1647" s="192">
        <v>0.94999998807907104</v>
      </c>
      <c r="H1647" s="192" t="s">
        <v>821</v>
      </c>
      <c r="I1647" s="192">
        <v>2</v>
      </c>
      <c r="J1647" s="192">
        <f>VLOOKUP($B1647,'RBSA Weights'!$A$2:$C$1406,3,FALSE)</f>
        <v>8264.9449999999997</v>
      </c>
    </row>
    <row r="1648" spans="1:10">
      <c r="A1648" s="192">
        <v>720240</v>
      </c>
      <c r="B1648" s="192">
        <v>20411</v>
      </c>
      <c r="C1648" s="192" t="s">
        <v>829</v>
      </c>
      <c r="D1648" s="192">
        <v>33</v>
      </c>
      <c r="E1648" s="192" t="s">
        <v>816</v>
      </c>
      <c r="F1648" s="192" t="s">
        <v>817</v>
      </c>
      <c r="G1648" s="192">
        <v>0.55000001192092896</v>
      </c>
      <c r="H1648" s="192" t="s">
        <v>818</v>
      </c>
      <c r="I1648" s="192">
        <v>2</v>
      </c>
      <c r="J1648" s="192">
        <f>VLOOKUP($B1648,'RBSA Weights'!$A$2:$C$1406,3,FALSE)</f>
        <v>3785.7640000000001</v>
      </c>
    </row>
    <row r="1649" spans="1:10">
      <c r="A1649" s="192">
        <v>210929</v>
      </c>
      <c r="B1649" s="192">
        <v>20440</v>
      </c>
      <c r="C1649" s="192" t="s">
        <v>829</v>
      </c>
      <c r="D1649" s="192">
        <v>16</v>
      </c>
      <c r="E1649" s="192" t="s">
        <v>816</v>
      </c>
      <c r="F1649" s="192" t="s">
        <v>817</v>
      </c>
      <c r="G1649" s="192">
        <v>0.44999998807907104</v>
      </c>
      <c r="H1649" s="192" t="s">
        <v>818</v>
      </c>
      <c r="I1649" s="192">
        <v>2</v>
      </c>
      <c r="J1649" s="192">
        <f>VLOOKUP($B1649,'RBSA Weights'!$A$2:$C$1406,3,FALSE)</f>
        <v>1925.059</v>
      </c>
    </row>
    <row r="1650" spans="1:10">
      <c r="A1650" s="192">
        <v>100132</v>
      </c>
      <c r="B1650" s="192">
        <v>20445</v>
      </c>
      <c r="C1650" s="192" t="s">
        <v>829</v>
      </c>
      <c r="D1650" s="192">
        <v>32</v>
      </c>
      <c r="E1650" s="192" t="s">
        <v>816</v>
      </c>
      <c r="F1650" s="192" t="s">
        <v>817</v>
      </c>
      <c r="G1650" s="192">
        <v>0.55000001192092896</v>
      </c>
      <c r="H1650" s="192" t="s">
        <v>818</v>
      </c>
      <c r="I1650" s="192">
        <v>2</v>
      </c>
      <c r="J1650" s="192">
        <f>VLOOKUP($B1650,'RBSA Weights'!$A$2:$C$1406,3,FALSE)</f>
        <v>1144.6790000000001</v>
      </c>
    </row>
    <row r="1651" spans="1:10">
      <c r="A1651" s="192">
        <v>193508</v>
      </c>
      <c r="B1651" s="192">
        <v>20472</v>
      </c>
      <c r="C1651" s="192" t="s">
        <v>829</v>
      </c>
      <c r="D1651" s="192">
        <v>160</v>
      </c>
      <c r="E1651" s="192" t="s">
        <v>819</v>
      </c>
      <c r="F1651" s="192" t="s">
        <v>821</v>
      </c>
      <c r="G1651" s="192">
        <v>0.75</v>
      </c>
      <c r="H1651" s="192" t="s">
        <v>821</v>
      </c>
      <c r="I1651" s="192">
        <v>2</v>
      </c>
      <c r="J1651" s="192">
        <f>VLOOKUP($B1651,'RBSA Weights'!$A$2:$C$1406,3,FALSE)</f>
        <v>1612.692</v>
      </c>
    </row>
    <row r="1652" spans="1:10">
      <c r="A1652" s="192">
        <v>684110</v>
      </c>
      <c r="B1652" s="192">
        <v>20553</v>
      </c>
      <c r="C1652" s="192" t="s">
        <v>829</v>
      </c>
      <c r="D1652" s="192">
        <v>17</v>
      </c>
      <c r="E1652" s="192" t="s">
        <v>816</v>
      </c>
      <c r="F1652" s="192" t="s">
        <v>823</v>
      </c>
      <c r="G1652" s="192">
        <v>1.1000000238418579</v>
      </c>
      <c r="H1652" s="192" t="s">
        <v>823</v>
      </c>
      <c r="I1652" s="192">
        <v>2</v>
      </c>
      <c r="J1652" s="192">
        <f>VLOOKUP($B1652,'RBSA Weights'!$A$2:$C$1406,3,FALSE)</f>
        <v>3785.7640000000001</v>
      </c>
    </row>
    <row r="1653" spans="1:10">
      <c r="A1653" s="192">
        <v>232411</v>
      </c>
      <c r="B1653" s="192">
        <v>20646</v>
      </c>
      <c r="C1653" s="192" t="s">
        <v>829</v>
      </c>
      <c r="D1653" s="192">
        <v>15</v>
      </c>
      <c r="E1653" s="192" t="s">
        <v>816</v>
      </c>
      <c r="F1653" s="192" t="s">
        <v>818</v>
      </c>
      <c r="G1653" s="192">
        <v>0.55000001192092896</v>
      </c>
      <c r="H1653" s="192" t="s">
        <v>818</v>
      </c>
      <c r="I1653" s="192">
        <v>2</v>
      </c>
      <c r="J1653" s="192">
        <f>VLOOKUP($B1653,'RBSA Weights'!$A$2:$C$1406,3,FALSE)</f>
        <v>1904.288</v>
      </c>
    </row>
    <row r="1654" spans="1:10">
      <c r="A1654" s="192">
        <v>242006</v>
      </c>
      <c r="B1654" s="192">
        <v>20702</v>
      </c>
      <c r="C1654" s="192" t="s">
        <v>829</v>
      </c>
      <c r="D1654" s="192">
        <v>32</v>
      </c>
      <c r="E1654" s="192" t="s">
        <v>816</v>
      </c>
      <c r="F1654" s="192" t="s">
        <v>823</v>
      </c>
      <c r="G1654" s="192">
        <v>1.1000000238418579</v>
      </c>
      <c r="H1654" s="192" t="s">
        <v>823</v>
      </c>
      <c r="I1654" s="192">
        <v>2</v>
      </c>
      <c r="J1654" s="192">
        <f>VLOOKUP($B1654,'RBSA Weights'!$A$2:$C$1406,3,FALSE)</f>
        <v>2130.886</v>
      </c>
    </row>
    <row r="1655" spans="1:10">
      <c r="A1655" s="192">
        <v>112331</v>
      </c>
      <c r="B1655" s="192">
        <v>20707</v>
      </c>
      <c r="C1655" s="192" t="s">
        <v>829</v>
      </c>
      <c r="D1655" s="192">
        <v>76</v>
      </c>
      <c r="E1655" s="192" t="s">
        <v>816</v>
      </c>
      <c r="F1655" s="192" t="s">
        <v>817</v>
      </c>
      <c r="G1655" s="192">
        <v>0.55000001192092896</v>
      </c>
      <c r="H1655" s="192" t="s">
        <v>818</v>
      </c>
      <c r="I1655" s="192">
        <v>2</v>
      </c>
      <c r="J1655" s="192">
        <f>VLOOKUP($B1655,'RBSA Weights'!$A$2:$C$1406,3,FALSE)</f>
        <v>3785.7640000000001</v>
      </c>
    </row>
    <row r="1656" spans="1:10">
      <c r="A1656" s="192">
        <v>68795</v>
      </c>
      <c r="B1656" s="192">
        <v>20716</v>
      </c>
      <c r="C1656" s="192" t="s">
        <v>829</v>
      </c>
      <c r="D1656" s="192">
        <v>75</v>
      </c>
      <c r="E1656" s="192" t="s">
        <v>816</v>
      </c>
      <c r="F1656" s="192" t="s">
        <v>818</v>
      </c>
      <c r="G1656" s="192">
        <v>0.55000001192092896</v>
      </c>
      <c r="H1656" s="192" t="s">
        <v>818</v>
      </c>
      <c r="I1656" s="192">
        <v>2</v>
      </c>
      <c r="J1656" s="192">
        <f>VLOOKUP($B1656,'RBSA Weights'!$A$2:$C$1406,3,FALSE)</f>
        <v>1144.6790000000001</v>
      </c>
    </row>
    <row r="1657" spans="1:10">
      <c r="A1657" s="192">
        <v>86827</v>
      </c>
      <c r="B1657" s="192">
        <v>20778</v>
      </c>
      <c r="C1657" s="192" t="s">
        <v>829</v>
      </c>
      <c r="D1657" s="192">
        <v>108</v>
      </c>
      <c r="E1657" s="192" t="s">
        <v>816</v>
      </c>
      <c r="F1657" s="192" t="s">
        <v>821</v>
      </c>
      <c r="G1657" s="192">
        <v>0.94999998807907104</v>
      </c>
      <c r="H1657" s="192" t="s">
        <v>821</v>
      </c>
      <c r="I1657" s="192">
        <v>2</v>
      </c>
      <c r="J1657" s="192">
        <f>VLOOKUP($B1657,'RBSA Weights'!$A$2:$C$1406,3,FALSE)</f>
        <v>1144.6790000000001</v>
      </c>
    </row>
    <row r="1658" spans="1:10">
      <c r="A1658" s="192">
        <v>125563</v>
      </c>
      <c r="B1658" s="192">
        <v>20779</v>
      </c>
      <c r="C1658" s="192" t="s">
        <v>829</v>
      </c>
      <c r="D1658" s="192">
        <v>80</v>
      </c>
      <c r="E1658" s="192" t="s">
        <v>816</v>
      </c>
      <c r="F1658" s="192" t="s">
        <v>820</v>
      </c>
      <c r="G1658" s="192">
        <v>0.85000002384185791</v>
      </c>
      <c r="H1658" s="192" t="s">
        <v>820</v>
      </c>
      <c r="I1658" s="192">
        <v>2</v>
      </c>
      <c r="J1658" s="192">
        <f>VLOOKUP($B1658,'RBSA Weights'!$A$2:$C$1406,3,FALSE)</f>
        <v>2079.9929999999999</v>
      </c>
    </row>
    <row r="1659" spans="1:10">
      <c r="A1659" s="192">
        <v>100226</v>
      </c>
      <c r="B1659" s="192">
        <v>20783</v>
      </c>
      <c r="C1659" s="192" t="s">
        <v>829</v>
      </c>
      <c r="D1659" s="192">
        <v>80</v>
      </c>
      <c r="E1659" s="192" t="s">
        <v>819</v>
      </c>
      <c r="F1659" s="192" t="s">
        <v>821</v>
      </c>
      <c r="G1659" s="192">
        <v>0.75</v>
      </c>
      <c r="H1659" s="192" t="s">
        <v>821</v>
      </c>
      <c r="I1659" s="192">
        <v>2</v>
      </c>
      <c r="J1659" s="192">
        <f>VLOOKUP($B1659,'RBSA Weights'!$A$2:$C$1406,3,FALSE)</f>
        <v>1144.6790000000001</v>
      </c>
    </row>
    <row r="1660" spans="1:10">
      <c r="A1660" s="192">
        <v>187724</v>
      </c>
      <c r="B1660" s="192">
        <v>20853</v>
      </c>
      <c r="C1660" s="192" t="s">
        <v>829</v>
      </c>
      <c r="D1660" s="192">
        <v>60</v>
      </c>
      <c r="E1660" s="192" t="s">
        <v>816</v>
      </c>
      <c r="F1660" s="192" t="s">
        <v>817</v>
      </c>
      <c r="G1660" s="192">
        <v>0.44999998807907104</v>
      </c>
      <c r="H1660" s="192" t="s">
        <v>818</v>
      </c>
      <c r="I1660" s="192">
        <v>2</v>
      </c>
      <c r="J1660" s="192">
        <f>VLOOKUP($B1660,'RBSA Weights'!$A$2:$C$1406,3,FALSE)</f>
        <v>1612.692</v>
      </c>
    </row>
    <row r="1661" spans="1:10">
      <c r="A1661" s="192">
        <v>168833</v>
      </c>
      <c r="B1661" s="192">
        <v>20861</v>
      </c>
      <c r="C1661" s="192" t="s">
        <v>829</v>
      </c>
      <c r="D1661" s="192">
        <v>151</v>
      </c>
      <c r="E1661" s="192" t="s">
        <v>819</v>
      </c>
      <c r="F1661" s="192" t="s">
        <v>821</v>
      </c>
      <c r="G1661" s="192">
        <v>0.75</v>
      </c>
      <c r="H1661" s="192" t="s">
        <v>821</v>
      </c>
      <c r="I1661" s="192">
        <v>2</v>
      </c>
      <c r="J1661" s="192">
        <f>VLOOKUP($B1661,'RBSA Weights'!$A$2:$C$1406,3,FALSE)</f>
        <v>2130.886</v>
      </c>
    </row>
    <row r="1662" spans="1:10">
      <c r="A1662" s="192">
        <v>218974</v>
      </c>
      <c r="B1662" s="192">
        <v>20894</v>
      </c>
      <c r="C1662" s="192" t="s">
        <v>829</v>
      </c>
      <c r="D1662" s="192">
        <v>100</v>
      </c>
      <c r="E1662" s="192" t="s">
        <v>819</v>
      </c>
      <c r="F1662" s="192" t="s">
        <v>821</v>
      </c>
      <c r="G1662" s="192">
        <v>0.75</v>
      </c>
      <c r="H1662" s="192" t="s">
        <v>821</v>
      </c>
      <c r="I1662" s="192">
        <v>2</v>
      </c>
      <c r="J1662" s="192">
        <f>VLOOKUP($B1662,'RBSA Weights'!$A$2:$C$1406,3,FALSE)</f>
        <v>2079.9929999999999</v>
      </c>
    </row>
    <row r="1663" spans="1:10">
      <c r="A1663" s="192">
        <v>74988</v>
      </c>
      <c r="B1663" s="192">
        <v>20930</v>
      </c>
      <c r="C1663" s="192" t="s">
        <v>829</v>
      </c>
      <c r="D1663" s="192">
        <v>100</v>
      </c>
      <c r="E1663" s="192" t="s">
        <v>816</v>
      </c>
      <c r="F1663" s="192" t="s">
        <v>818</v>
      </c>
      <c r="G1663" s="192">
        <v>0.60000002384185791</v>
      </c>
      <c r="H1663" s="192" t="s">
        <v>818</v>
      </c>
      <c r="I1663" s="192">
        <v>2</v>
      </c>
      <c r="J1663" s="192">
        <f>VLOOKUP($B1663,'RBSA Weights'!$A$2:$C$1406,3,FALSE)</f>
        <v>1904.288</v>
      </c>
    </row>
    <row r="1664" spans="1:10">
      <c r="A1664" s="192">
        <v>217928</v>
      </c>
      <c r="B1664" s="192">
        <v>20941</v>
      </c>
      <c r="C1664" s="192" t="s">
        <v>829</v>
      </c>
      <c r="D1664" s="192">
        <v>83</v>
      </c>
      <c r="E1664" s="192" t="s">
        <v>819</v>
      </c>
      <c r="F1664" s="192" t="s">
        <v>821</v>
      </c>
      <c r="G1664" s="192">
        <v>0.75</v>
      </c>
      <c r="H1664" s="192" t="s">
        <v>821</v>
      </c>
      <c r="I1664" s="192">
        <v>2</v>
      </c>
      <c r="J1664" s="192">
        <f>VLOOKUP($B1664,'RBSA Weights'!$A$2:$C$1406,3,FALSE)</f>
        <v>3785.7640000000001</v>
      </c>
    </row>
    <row r="1665" spans="1:10">
      <c r="A1665" s="192">
        <v>184784</v>
      </c>
      <c r="B1665" s="192">
        <v>20965</v>
      </c>
      <c r="C1665" s="192" t="s">
        <v>829</v>
      </c>
      <c r="D1665" s="192">
        <v>71</v>
      </c>
      <c r="E1665" s="192" t="s">
        <v>816</v>
      </c>
      <c r="F1665" s="192" t="s">
        <v>823</v>
      </c>
      <c r="G1665" s="192">
        <v>1.1000000238418579</v>
      </c>
      <c r="H1665" s="192" t="s">
        <v>823</v>
      </c>
      <c r="I1665" s="192">
        <v>2</v>
      </c>
      <c r="J1665" s="192">
        <f>VLOOKUP($B1665,'RBSA Weights'!$A$2:$C$1406,3,FALSE)</f>
        <v>3785.7640000000001</v>
      </c>
    </row>
    <row r="1666" spans="1:10">
      <c r="A1666" s="192">
        <v>36666</v>
      </c>
      <c r="B1666" s="192">
        <v>20995</v>
      </c>
      <c r="C1666" s="192" t="s">
        <v>829</v>
      </c>
      <c r="D1666" s="192">
        <v>36</v>
      </c>
      <c r="E1666" s="192" t="s">
        <v>816</v>
      </c>
      <c r="F1666" s="192" t="s">
        <v>820</v>
      </c>
      <c r="G1666" s="192">
        <v>0.85000002384185791</v>
      </c>
      <c r="H1666" s="192" t="s">
        <v>820</v>
      </c>
      <c r="I1666" s="192">
        <v>2</v>
      </c>
      <c r="J1666" s="192">
        <f>VLOOKUP($B1666,'RBSA Weights'!$A$2:$C$1406,3,FALSE)</f>
        <v>2130.886</v>
      </c>
    </row>
    <row r="1667" spans="1:10">
      <c r="A1667" s="192">
        <v>71708</v>
      </c>
      <c r="B1667" s="192">
        <v>21012</v>
      </c>
      <c r="C1667" s="192" t="s">
        <v>829</v>
      </c>
      <c r="D1667" s="192">
        <v>6</v>
      </c>
      <c r="E1667" s="192" t="s">
        <v>816</v>
      </c>
      <c r="F1667" s="192" t="s">
        <v>818</v>
      </c>
      <c r="G1667" s="192">
        <v>0.55000001192092896</v>
      </c>
      <c r="H1667" s="192" t="s">
        <v>818</v>
      </c>
      <c r="I1667" s="192">
        <v>2</v>
      </c>
      <c r="J1667" s="192">
        <f>VLOOKUP($B1667,'RBSA Weights'!$A$2:$C$1406,3,FALSE)</f>
        <v>3785.7640000000001</v>
      </c>
    </row>
    <row r="1668" spans="1:10">
      <c r="A1668" s="192">
        <v>160893</v>
      </c>
      <c r="B1668" s="192">
        <v>21018</v>
      </c>
      <c r="C1668" s="192" t="s">
        <v>829</v>
      </c>
      <c r="D1668" s="192">
        <v>46</v>
      </c>
      <c r="E1668" s="192" t="s">
        <v>816</v>
      </c>
      <c r="F1668" s="192" t="s">
        <v>818</v>
      </c>
      <c r="G1668" s="192">
        <v>0.60000002384185791</v>
      </c>
      <c r="H1668" s="192" t="s">
        <v>818</v>
      </c>
      <c r="I1668" s="192">
        <v>2</v>
      </c>
      <c r="J1668" s="192">
        <f>VLOOKUP($B1668,'RBSA Weights'!$A$2:$C$1406,3,FALSE)</f>
        <v>2130.886</v>
      </c>
    </row>
    <row r="1669" spans="1:10">
      <c r="A1669" s="192">
        <v>71387</v>
      </c>
      <c r="B1669" s="192">
        <v>21103</v>
      </c>
      <c r="C1669" s="192" t="s">
        <v>829</v>
      </c>
      <c r="D1669" s="192">
        <v>41</v>
      </c>
      <c r="E1669" s="192" t="s">
        <v>816</v>
      </c>
      <c r="F1669" s="192" t="s">
        <v>821</v>
      </c>
      <c r="G1669" s="192">
        <v>0.94999998807907104</v>
      </c>
      <c r="H1669" s="192" t="s">
        <v>821</v>
      </c>
      <c r="I1669" s="192">
        <v>2</v>
      </c>
      <c r="J1669" s="192">
        <f>VLOOKUP($B1669,'RBSA Weights'!$A$2:$C$1406,3,FALSE)</f>
        <v>2079.9929999999999</v>
      </c>
    </row>
    <row r="1670" spans="1:10">
      <c r="A1670" s="192">
        <v>78692</v>
      </c>
      <c r="B1670" s="192">
        <v>21107</v>
      </c>
      <c r="C1670" s="192" t="s">
        <v>829</v>
      </c>
      <c r="D1670" s="192">
        <v>57</v>
      </c>
      <c r="E1670" s="192" t="s">
        <v>816</v>
      </c>
      <c r="F1670" s="192" t="s">
        <v>818</v>
      </c>
      <c r="G1670" s="192">
        <v>0.55000001192092896</v>
      </c>
      <c r="H1670" s="192" t="s">
        <v>818</v>
      </c>
      <c r="I1670" s="192">
        <v>2</v>
      </c>
      <c r="J1670" s="192">
        <f>VLOOKUP($B1670,'RBSA Weights'!$A$2:$C$1406,3,FALSE)</f>
        <v>1144.6790000000001</v>
      </c>
    </row>
    <row r="1671" spans="1:10">
      <c r="A1671" s="192">
        <v>115246</v>
      </c>
      <c r="B1671" s="192">
        <v>21109</v>
      </c>
      <c r="C1671" s="192" t="s">
        <v>829</v>
      </c>
      <c r="D1671" s="192">
        <v>16</v>
      </c>
      <c r="E1671" s="192" t="s">
        <v>816</v>
      </c>
      <c r="F1671" s="192" t="s">
        <v>818</v>
      </c>
      <c r="G1671" s="192">
        <v>0.60000002384185791</v>
      </c>
      <c r="H1671" s="192" t="s">
        <v>818</v>
      </c>
      <c r="I1671" s="192">
        <v>2</v>
      </c>
      <c r="J1671" s="192">
        <f>VLOOKUP($B1671,'RBSA Weights'!$A$2:$C$1406,3,FALSE)</f>
        <v>1925.059</v>
      </c>
    </row>
    <row r="1672" spans="1:10">
      <c r="A1672" s="192">
        <v>143818</v>
      </c>
      <c r="B1672" s="192">
        <v>21137</v>
      </c>
      <c r="C1672" s="192" t="s">
        <v>829</v>
      </c>
      <c r="D1672" s="192">
        <v>22</v>
      </c>
      <c r="E1672" s="192" t="s">
        <v>816</v>
      </c>
      <c r="F1672" s="192" t="s">
        <v>818</v>
      </c>
      <c r="G1672" s="192">
        <v>0.60000002384185791</v>
      </c>
      <c r="H1672" s="192" t="s">
        <v>818</v>
      </c>
      <c r="I1672" s="192">
        <v>2</v>
      </c>
      <c r="J1672" s="192">
        <f>VLOOKUP($B1672,'RBSA Weights'!$A$2:$C$1406,3,FALSE)</f>
        <v>2130.886</v>
      </c>
    </row>
    <row r="1673" spans="1:10">
      <c r="A1673" s="192">
        <v>188082</v>
      </c>
      <c r="B1673" s="192">
        <v>21155</v>
      </c>
      <c r="C1673" s="192" t="s">
        <v>829</v>
      </c>
      <c r="D1673" s="192">
        <v>36</v>
      </c>
      <c r="E1673" s="192" t="s">
        <v>816</v>
      </c>
      <c r="F1673" s="192" t="s">
        <v>823</v>
      </c>
      <c r="G1673" s="192">
        <v>1.1000000238418579</v>
      </c>
      <c r="H1673" s="192" t="s">
        <v>823</v>
      </c>
      <c r="I1673" s="192">
        <v>2</v>
      </c>
      <c r="J1673" s="192">
        <f>VLOOKUP($B1673,'RBSA Weights'!$A$2:$C$1406,3,FALSE)</f>
        <v>1192.4649999999999</v>
      </c>
    </row>
    <row r="1674" spans="1:10">
      <c r="A1674" s="192">
        <v>49417</v>
      </c>
      <c r="B1674" s="192">
        <v>21203</v>
      </c>
      <c r="C1674" s="192" t="s">
        <v>829</v>
      </c>
      <c r="D1674" s="192">
        <v>7</v>
      </c>
      <c r="E1674" s="192" t="s">
        <v>816</v>
      </c>
      <c r="F1674" s="192" t="s">
        <v>820</v>
      </c>
      <c r="G1674" s="192">
        <v>0.85000002384185791</v>
      </c>
      <c r="H1674" s="192" t="s">
        <v>820</v>
      </c>
      <c r="I1674" s="192">
        <v>2</v>
      </c>
      <c r="J1674" s="192">
        <f>VLOOKUP($B1674,'RBSA Weights'!$A$2:$C$1406,3,FALSE)</f>
        <v>2079.9929999999999</v>
      </c>
    </row>
    <row r="1675" spans="1:10">
      <c r="A1675" s="192">
        <v>78978</v>
      </c>
      <c r="B1675" s="192">
        <v>21214</v>
      </c>
      <c r="C1675" s="192" t="s">
        <v>829</v>
      </c>
      <c r="D1675" s="192">
        <v>54</v>
      </c>
      <c r="E1675" s="192" t="s">
        <v>816</v>
      </c>
      <c r="F1675" s="192" t="s">
        <v>817</v>
      </c>
      <c r="G1675" s="192">
        <v>0.44999998807907104</v>
      </c>
      <c r="H1675" s="192" t="s">
        <v>818</v>
      </c>
      <c r="I1675" s="192">
        <v>2</v>
      </c>
      <c r="J1675" s="192">
        <f>VLOOKUP($B1675,'RBSA Weights'!$A$2:$C$1406,3,FALSE)</f>
        <v>1144.6790000000001</v>
      </c>
    </row>
    <row r="1676" spans="1:10">
      <c r="A1676" s="192">
        <v>142405</v>
      </c>
      <c r="B1676" s="192">
        <v>21231</v>
      </c>
      <c r="C1676" s="192" t="s">
        <v>829</v>
      </c>
      <c r="D1676" s="192">
        <v>170</v>
      </c>
      <c r="E1676" s="192" t="s">
        <v>816</v>
      </c>
      <c r="F1676" s="192" t="s">
        <v>817</v>
      </c>
      <c r="G1676" s="192">
        <v>0.44999998807907104</v>
      </c>
      <c r="H1676" s="192" t="s">
        <v>818</v>
      </c>
      <c r="I1676" s="192">
        <v>2</v>
      </c>
      <c r="J1676" s="192">
        <f>VLOOKUP($B1676,'RBSA Weights'!$A$2:$C$1406,3,FALSE)</f>
        <v>1612.692</v>
      </c>
    </row>
    <row r="1677" spans="1:10">
      <c r="A1677" s="192">
        <v>143483</v>
      </c>
      <c r="B1677" s="192">
        <v>21238</v>
      </c>
      <c r="C1677" s="192" t="s">
        <v>829</v>
      </c>
      <c r="D1677" s="192">
        <v>24</v>
      </c>
      <c r="E1677" s="192" t="s">
        <v>816</v>
      </c>
      <c r="F1677" s="192" t="s">
        <v>818</v>
      </c>
      <c r="G1677" s="192">
        <v>0.55000001192092896</v>
      </c>
      <c r="H1677" s="192" t="s">
        <v>818</v>
      </c>
      <c r="I1677" s="192">
        <v>2</v>
      </c>
      <c r="J1677" s="192">
        <f>VLOOKUP($B1677,'RBSA Weights'!$A$2:$C$1406,3,FALSE)</f>
        <v>2130.886</v>
      </c>
    </row>
    <row r="1678" spans="1:10">
      <c r="A1678" s="192">
        <v>80120</v>
      </c>
      <c r="B1678" s="192">
        <v>21242</v>
      </c>
      <c r="C1678" s="192" t="s">
        <v>829</v>
      </c>
      <c r="D1678" s="192">
        <v>48</v>
      </c>
      <c r="E1678" s="192" t="s">
        <v>816</v>
      </c>
      <c r="F1678" s="192" t="s">
        <v>817</v>
      </c>
      <c r="G1678" s="192">
        <v>0.44999998807907104</v>
      </c>
      <c r="H1678" s="192" t="s">
        <v>818</v>
      </c>
      <c r="I1678" s="192">
        <v>2</v>
      </c>
      <c r="J1678" s="192">
        <f>VLOOKUP($B1678,'RBSA Weights'!$A$2:$C$1406,3,FALSE)</f>
        <v>1925.059</v>
      </c>
    </row>
    <row r="1679" spans="1:10">
      <c r="A1679" s="192">
        <v>201692</v>
      </c>
      <c r="B1679" s="192">
        <v>21258</v>
      </c>
      <c r="C1679" s="192" t="s">
        <v>829</v>
      </c>
      <c r="D1679" s="192">
        <v>146</v>
      </c>
      <c r="E1679" s="192" t="s">
        <v>816</v>
      </c>
      <c r="F1679" s="192" t="s">
        <v>822</v>
      </c>
      <c r="G1679" s="192">
        <v>0.75</v>
      </c>
      <c r="H1679" s="192" t="s">
        <v>820</v>
      </c>
      <c r="I1679" s="192">
        <v>2</v>
      </c>
      <c r="J1679" s="192">
        <f>VLOOKUP($B1679,'RBSA Weights'!$A$2:$C$1406,3,FALSE)</f>
        <v>1612.692</v>
      </c>
    </row>
    <row r="1680" spans="1:10">
      <c r="A1680" s="192">
        <v>123569</v>
      </c>
      <c r="B1680" s="192">
        <v>21277</v>
      </c>
      <c r="C1680" s="192" t="s">
        <v>829</v>
      </c>
      <c r="D1680" s="192">
        <v>64</v>
      </c>
      <c r="E1680" s="192" t="s">
        <v>816</v>
      </c>
      <c r="F1680" s="192" t="s">
        <v>817</v>
      </c>
      <c r="G1680" s="192">
        <v>0.55000001192092896</v>
      </c>
      <c r="H1680" s="192" t="s">
        <v>818</v>
      </c>
      <c r="I1680" s="192">
        <v>2</v>
      </c>
      <c r="J1680" s="192">
        <f>VLOOKUP($B1680,'RBSA Weights'!$A$2:$C$1406,3,FALSE)</f>
        <v>1612.692</v>
      </c>
    </row>
    <row r="1681" spans="1:10">
      <c r="A1681" s="192">
        <v>241243</v>
      </c>
      <c r="B1681" s="192">
        <v>21305</v>
      </c>
      <c r="C1681" s="192" t="s">
        <v>829</v>
      </c>
      <c r="D1681" s="192">
        <v>62</v>
      </c>
      <c r="E1681" s="192" t="s">
        <v>819</v>
      </c>
      <c r="F1681" s="192" t="s">
        <v>821</v>
      </c>
      <c r="G1681" s="192">
        <v>0.75</v>
      </c>
      <c r="H1681" s="192" t="s">
        <v>821</v>
      </c>
      <c r="I1681" s="192">
        <v>2</v>
      </c>
      <c r="J1681" s="192">
        <f>VLOOKUP($B1681,'RBSA Weights'!$A$2:$C$1406,3,FALSE)</f>
        <v>1612.692</v>
      </c>
    </row>
    <row r="1682" spans="1:10">
      <c r="A1682" s="192">
        <v>663283</v>
      </c>
      <c r="B1682" s="192">
        <v>21316</v>
      </c>
      <c r="C1682" s="192" t="s">
        <v>829</v>
      </c>
      <c r="D1682" s="192">
        <v>42</v>
      </c>
      <c r="E1682" s="192" t="s">
        <v>816</v>
      </c>
      <c r="F1682" s="192" t="s">
        <v>818</v>
      </c>
      <c r="G1682" s="192">
        <v>0.55000001192092896</v>
      </c>
      <c r="H1682" s="192" t="s">
        <v>818</v>
      </c>
      <c r="I1682" s="192">
        <v>2</v>
      </c>
      <c r="J1682" s="192">
        <f>VLOOKUP($B1682,'RBSA Weights'!$A$2:$C$1406,3,FALSE)</f>
        <v>3785.7640000000001</v>
      </c>
    </row>
    <row r="1683" spans="1:10">
      <c r="A1683" s="192">
        <v>166789</v>
      </c>
      <c r="B1683" s="192">
        <v>21353</v>
      </c>
      <c r="C1683" s="192" t="s">
        <v>829</v>
      </c>
      <c r="D1683" s="192">
        <v>4</v>
      </c>
      <c r="E1683" s="192" t="s">
        <v>816</v>
      </c>
      <c r="F1683" s="192" t="s">
        <v>823</v>
      </c>
      <c r="G1683" s="192">
        <v>1.1000000238418579</v>
      </c>
      <c r="H1683" s="192" t="s">
        <v>823</v>
      </c>
      <c r="I1683" s="192">
        <v>2</v>
      </c>
      <c r="J1683" s="192">
        <f>VLOOKUP($B1683,'RBSA Weights'!$A$2:$C$1406,3,FALSE)</f>
        <v>1192.4649999999999</v>
      </c>
    </row>
    <row r="1684" spans="1:10">
      <c r="A1684" s="192">
        <v>49894</v>
      </c>
      <c r="B1684" s="192">
        <v>21403</v>
      </c>
      <c r="C1684" s="192" t="s">
        <v>829</v>
      </c>
      <c r="D1684" s="192">
        <v>7</v>
      </c>
      <c r="E1684" s="192" t="s">
        <v>816</v>
      </c>
      <c r="F1684" s="192" t="s">
        <v>823</v>
      </c>
      <c r="G1684" s="192">
        <v>1.1000000238418579</v>
      </c>
      <c r="H1684" s="192" t="s">
        <v>823</v>
      </c>
      <c r="I1684" s="192">
        <v>2</v>
      </c>
      <c r="J1684" s="192">
        <f>VLOOKUP($B1684,'RBSA Weights'!$A$2:$C$1406,3,FALSE)</f>
        <v>12271.31</v>
      </c>
    </row>
    <row r="1685" spans="1:10">
      <c r="A1685" s="192">
        <v>691821</v>
      </c>
      <c r="B1685" s="192">
        <v>21408</v>
      </c>
      <c r="C1685" s="192" t="s">
        <v>829</v>
      </c>
      <c r="D1685" s="192">
        <v>8</v>
      </c>
      <c r="E1685" s="192" t="s">
        <v>816</v>
      </c>
      <c r="F1685" s="192" t="s">
        <v>821</v>
      </c>
      <c r="G1685" s="192">
        <v>0.94999998807907104</v>
      </c>
      <c r="H1685" s="192" t="s">
        <v>821</v>
      </c>
      <c r="I1685" s="192">
        <v>2</v>
      </c>
      <c r="J1685" s="192">
        <f>VLOOKUP($B1685,'RBSA Weights'!$A$2:$C$1406,3,FALSE)</f>
        <v>3785.7640000000001</v>
      </c>
    </row>
    <row r="1686" spans="1:10">
      <c r="A1686" s="192">
        <v>186783</v>
      </c>
      <c r="B1686" s="192">
        <v>21411</v>
      </c>
      <c r="C1686" s="192" t="s">
        <v>829</v>
      </c>
      <c r="D1686" s="192">
        <v>24</v>
      </c>
      <c r="E1686" s="192" t="s">
        <v>816</v>
      </c>
      <c r="F1686" s="192" t="s">
        <v>817</v>
      </c>
      <c r="G1686" s="192">
        <v>0.55000001192092896</v>
      </c>
      <c r="H1686" s="192" t="s">
        <v>818</v>
      </c>
      <c r="I1686" s="192">
        <v>2</v>
      </c>
      <c r="J1686" s="192">
        <f>VLOOKUP($B1686,'RBSA Weights'!$A$2:$C$1406,3,FALSE)</f>
        <v>2130.886</v>
      </c>
    </row>
    <row r="1687" spans="1:10">
      <c r="A1687" s="192">
        <v>71482</v>
      </c>
      <c r="B1687" s="192">
        <v>21436</v>
      </c>
      <c r="C1687" s="192" t="s">
        <v>829</v>
      </c>
      <c r="D1687" s="192">
        <v>40</v>
      </c>
      <c r="E1687" s="192" t="s">
        <v>816</v>
      </c>
      <c r="F1687" s="192" t="s">
        <v>817</v>
      </c>
      <c r="G1687" s="192">
        <v>0.55000001192092896</v>
      </c>
      <c r="H1687" s="192" t="s">
        <v>818</v>
      </c>
      <c r="I1687" s="192">
        <v>2</v>
      </c>
      <c r="J1687" s="192">
        <f>VLOOKUP($B1687,'RBSA Weights'!$A$2:$C$1406,3,FALSE)</f>
        <v>3785.7640000000001</v>
      </c>
    </row>
    <row r="1688" spans="1:10">
      <c r="A1688" s="192">
        <v>163245</v>
      </c>
      <c r="B1688" s="192">
        <v>21438</v>
      </c>
      <c r="C1688" s="192" t="s">
        <v>829</v>
      </c>
      <c r="D1688" s="192">
        <v>215</v>
      </c>
      <c r="E1688" s="192" t="s">
        <v>816</v>
      </c>
      <c r="F1688" s="192" t="s">
        <v>817</v>
      </c>
      <c r="G1688" s="192">
        <v>0.55000001192092896</v>
      </c>
      <c r="H1688" s="192" t="s">
        <v>818</v>
      </c>
      <c r="I1688" s="192">
        <v>2</v>
      </c>
      <c r="J1688" s="192">
        <f>VLOOKUP($B1688,'RBSA Weights'!$A$2:$C$1406,3,FALSE)</f>
        <v>1612.692</v>
      </c>
    </row>
    <row r="1689" spans="1:10">
      <c r="A1689" s="192">
        <v>70052</v>
      </c>
      <c r="B1689" s="192">
        <v>21459</v>
      </c>
      <c r="C1689" s="192" t="s">
        <v>829</v>
      </c>
      <c r="D1689" s="192">
        <v>18</v>
      </c>
      <c r="E1689" s="192" t="s">
        <v>816</v>
      </c>
      <c r="F1689" s="192" t="s">
        <v>817</v>
      </c>
      <c r="G1689" s="192">
        <v>0.44999998807907104</v>
      </c>
      <c r="H1689" s="192" t="s">
        <v>818</v>
      </c>
      <c r="I1689" s="192">
        <v>2</v>
      </c>
      <c r="J1689" s="192">
        <f>VLOOKUP($B1689,'RBSA Weights'!$A$2:$C$1406,3,FALSE)</f>
        <v>1144.6790000000001</v>
      </c>
    </row>
    <row r="1690" spans="1:10">
      <c r="A1690" s="192">
        <v>162824</v>
      </c>
      <c r="B1690" s="192">
        <v>21460</v>
      </c>
      <c r="C1690" s="192" t="s">
        <v>829</v>
      </c>
      <c r="D1690" s="192">
        <v>12</v>
      </c>
      <c r="E1690" s="192" t="s">
        <v>816</v>
      </c>
      <c r="F1690" s="192" t="s">
        <v>821</v>
      </c>
      <c r="G1690" s="192">
        <v>0.94999998807907104</v>
      </c>
      <c r="H1690" s="192" t="s">
        <v>821</v>
      </c>
      <c r="I1690" s="192">
        <v>2</v>
      </c>
      <c r="J1690" s="192">
        <f>VLOOKUP($B1690,'RBSA Weights'!$A$2:$C$1406,3,FALSE)</f>
        <v>3785.7640000000001</v>
      </c>
    </row>
    <row r="1691" spans="1:10">
      <c r="A1691" s="192">
        <v>208895</v>
      </c>
      <c r="B1691" s="192">
        <v>21484</v>
      </c>
      <c r="C1691" s="192" t="s">
        <v>829</v>
      </c>
      <c r="D1691" s="192">
        <v>140</v>
      </c>
      <c r="E1691" s="192" t="s">
        <v>816</v>
      </c>
      <c r="F1691" s="192" t="s">
        <v>817</v>
      </c>
      <c r="G1691" s="192">
        <v>0.44999998807907104</v>
      </c>
      <c r="H1691" s="192" t="s">
        <v>818</v>
      </c>
      <c r="I1691" s="192">
        <v>2</v>
      </c>
      <c r="J1691" s="192">
        <f>VLOOKUP($B1691,'RBSA Weights'!$A$2:$C$1406,3,FALSE)</f>
        <v>3785.7640000000001</v>
      </c>
    </row>
    <row r="1692" spans="1:10">
      <c r="A1692" s="192">
        <v>234145</v>
      </c>
      <c r="B1692" s="192">
        <v>21487</v>
      </c>
      <c r="C1692" s="192" t="s">
        <v>829</v>
      </c>
      <c r="D1692" s="192">
        <v>51</v>
      </c>
      <c r="E1692" s="192" t="s">
        <v>816</v>
      </c>
      <c r="F1692" s="192" t="s">
        <v>817</v>
      </c>
      <c r="G1692" s="192">
        <v>0.44999998807907104</v>
      </c>
      <c r="H1692" s="192" t="s">
        <v>818</v>
      </c>
      <c r="I1692" s="192">
        <v>2</v>
      </c>
      <c r="J1692" s="192">
        <f>VLOOKUP($B1692,'RBSA Weights'!$A$2:$C$1406,3,FALSE)</f>
        <v>8264.9449999999997</v>
      </c>
    </row>
    <row r="1693" spans="1:10">
      <c r="A1693" s="192">
        <v>144272</v>
      </c>
      <c r="B1693" s="192">
        <v>21494</v>
      </c>
      <c r="C1693" s="192" t="s">
        <v>829</v>
      </c>
      <c r="D1693" s="192">
        <v>40</v>
      </c>
      <c r="E1693" s="192" t="s">
        <v>816</v>
      </c>
      <c r="F1693" s="192" t="s">
        <v>818</v>
      </c>
      <c r="G1693" s="192">
        <v>0.55000001192092896</v>
      </c>
      <c r="H1693" s="192" t="s">
        <v>818</v>
      </c>
      <c r="I1693" s="192">
        <v>2</v>
      </c>
      <c r="J1693" s="192">
        <f>VLOOKUP($B1693,'RBSA Weights'!$A$2:$C$1406,3,FALSE)</f>
        <v>2130.886</v>
      </c>
    </row>
    <row r="1694" spans="1:10">
      <c r="A1694" s="192">
        <v>110603</v>
      </c>
      <c r="B1694" s="192">
        <v>21503</v>
      </c>
      <c r="C1694" s="192" t="s">
        <v>829</v>
      </c>
      <c r="D1694" s="192">
        <v>164</v>
      </c>
      <c r="E1694" s="192" t="s">
        <v>819</v>
      </c>
      <c r="F1694" s="192" t="s">
        <v>823</v>
      </c>
      <c r="G1694" s="192">
        <v>0.85000002384185791</v>
      </c>
      <c r="H1694" s="192" t="s">
        <v>823</v>
      </c>
      <c r="I1694" s="192">
        <v>2</v>
      </c>
      <c r="J1694" s="192">
        <f>VLOOKUP($B1694,'RBSA Weights'!$A$2:$C$1406,3,FALSE)</f>
        <v>2079.9929999999999</v>
      </c>
    </row>
    <row r="1695" spans="1:10">
      <c r="A1695" s="192">
        <v>142855</v>
      </c>
      <c r="B1695" s="192">
        <v>21647</v>
      </c>
      <c r="C1695" s="192" t="s">
        <v>829</v>
      </c>
      <c r="D1695" s="192">
        <v>75</v>
      </c>
      <c r="E1695" s="192" t="s">
        <v>816</v>
      </c>
      <c r="F1695" s="192" t="s">
        <v>817</v>
      </c>
      <c r="G1695" s="192">
        <v>0.55000001192092896</v>
      </c>
      <c r="H1695" s="192" t="s">
        <v>818</v>
      </c>
      <c r="I1695" s="192">
        <v>2</v>
      </c>
      <c r="J1695" s="192">
        <f>VLOOKUP($B1695,'RBSA Weights'!$A$2:$C$1406,3,FALSE)</f>
        <v>1612.692</v>
      </c>
    </row>
    <row r="1696" spans="1:10">
      <c r="A1696" s="192">
        <v>235845</v>
      </c>
      <c r="B1696" s="192">
        <v>21672</v>
      </c>
      <c r="C1696" s="192" t="s">
        <v>829</v>
      </c>
      <c r="D1696" s="192">
        <v>14</v>
      </c>
      <c r="E1696" s="192" t="s">
        <v>816</v>
      </c>
      <c r="F1696" s="192" t="s">
        <v>821</v>
      </c>
      <c r="G1696" s="192">
        <v>0.94999998807907104</v>
      </c>
      <c r="H1696" s="192" t="s">
        <v>821</v>
      </c>
      <c r="I1696" s="192">
        <v>2</v>
      </c>
      <c r="J1696" s="192">
        <f>VLOOKUP($B1696,'RBSA Weights'!$A$2:$C$1406,3,FALSE)</f>
        <v>1144.6790000000001</v>
      </c>
    </row>
    <row r="1697" spans="1:10">
      <c r="A1697" s="192">
        <v>90601</v>
      </c>
      <c r="B1697" s="192">
        <v>21692</v>
      </c>
      <c r="C1697" s="192" t="s">
        <v>829</v>
      </c>
      <c r="D1697" s="192">
        <v>40</v>
      </c>
      <c r="E1697" s="192" t="s">
        <v>816</v>
      </c>
      <c r="F1697" s="192" t="s">
        <v>823</v>
      </c>
      <c r="G1697" s="192">
        <v>1.1000000238418579</v>
      </c>
      <c r="H1697" s="192" t="s">
        <v>823</v>
      </c>
      <c r="I1697" s="192">
        <v>2</v>
      </c>
      <c r="J1697" s="192">
        <f>VLOOKUP($B1697,'RBSA Weights'!$A$2:$C$1406,3,FALSE)</f>
        <v>8559.1039999999994</v>
      </c>
    </row>
    <row r="1698" spans="1:10">
      <c r="A1698" s="192">
        <v>165175</v>
      </c>
      <c r="B1698" s="192">
        <v>21700</v>
      </c>
      <c r="C1698" s="192" t="s">
        <v>829</v>
      </c>
      <c r="D1698" s="192">
        <v>16</v>
      </c>
      <c r="E1698" s="192" t="s">
        <v>816</v>
      </c>
      <c r="F1698" s="192" t="s">
        <v>823</v>
      </c>
      <c r="G1698" s="192">
        <v>1.1000000238418579</v>
      </c>
      <c r="H1698" s="192" t="s">
        <v>823</v>
      </c>
      <c r="I1698" s="192">
        <v>2</v>
      </c>
      <c r="J1698" s="192">
        <f>VLOOKUP($B1698,'RBSA Weights'!$A$2:$C$1406,3,FALSE)</f>
        <v>8264.9449999999997</v>
      </c>
    </row>
    <row r="1699" spans="1:10">
      <c r="A1699" s="192">
        <v>43386</v>
      </c>
      <c r="B1699" s="192">
        <v>21719</v>
      </c>
      <c r="C1699" s="192" t="s">
        <v>829</v>
      </c>
      <c r="D1699" s="192">
        <v>32</v>
      </c>
      <c r="E1699" s="192" t="s">
        <v>816</v>
      </c>
      <c r="F1699" s="192" t="s">
        <v>817</v>
      </c>
      <c r="G1699" s="192">
        <v>0.44999998807907104</v>
      </c>
      <c r="H1699" s="192" t="s">
        <v>818</v>
      </c>
      <c r="I1699" s="192">
        <v>2</v>
      </c>
      <c r="J1699" s="192">
        <f>VLOOKUP($B1699,'RBSA Weights'!$A$2:$C$1406,3,FALSE)</f>
        <v>2130.886</v>
      </c>
    </row>
    <row r="1700" spans="1:10">
      <c r="A1700" s="192">
        <v>202424</v>
      </c>
      <c r="B1700" s="192">
        <v>21722</v>
      </c>
      <c r="C1700" s="192" t="s">
        <v>829</v>
      </c>
      <c r="D1700" s="192">
        <v>104</v>
      </c>
      <c r="E1700" s="192" t="s">
        <v>816</v>
      </c>
      <c r="F1700" s="192" t="s">
        <v>818</v>
      </c>
      <c r="G1700" s="192">
        <v>0.55000001192092896</v>
      </c>
      <c r="H1700" s="192" t="s">
        <v>818</v>
      </c>
      <c r="I1700" s="192">
        <v>2</v>
      </c>
      <c r="J1700" s="192">
        <f>VLOOKUP($B1700,'RBSA Weights'!$A$2:$C$1406,3,FALSE)</f>
        <v>2130.886</v>
      </c>
    </row>
    <row r="1701" spans="1:10">
      <c r="A1701" s="192">
        <v>149470</v>
      </c>
      <c r="B1701" s="192">
        <v>21741</v>
      </c>
      <c r="C1701" s="192" t="s">
        <v>829</v>
      </c>
      <c r="D1701" s="192">
        <v>11</v>
      </c>
      <c r="E1701" s="192" t="s">
        <v>816</v>
      </c>
      <c r="F1701" s="192" t="s">
        <v>821</v>
      </c>
      <c r="G1701" s="192">
        <v>0.94999998807907104</v>
      </c>
      <c r="H1701" s="192" t="s">
        <v>821</v>
      </c>
      <c r="I1701" s="192">
        <v>2</v>
      </c>
      <c r="J1701" s="192">
        <f>VLOOKUP($B1701,'RBSA Weights'!$A$2:$C$1406,3,FALSE)</f>
        <v>4360.1880000000001</v>
      </c>
    </row>
    <row r="1702" spans="1:10">
      <c r="A1702" s="192">
        <v>151659</v>
      </c>
      <c r="B1702" s="192">
        <v>21816</v>
      </c>
      <c r="C1702" s="192" t="s">
        <v>829</v>
      </c>
      <c r="D1702" s="192">
        <v>4</v>
      </c>
      <c r="E1702" s="192" t="s">
        <v>816</v>
      </c>
      <c r="F1702" s="192" t="s">
        <v>823</v>
      </c>
      <c r="G1702" s="192">
        <v>1.1000000238418579</v>
      </c>
      <c r="H1702" s="192" t="s">
        <v>823</v>
      </c>
      <c r="I1702" s="192">
        <v>2</v>
      </c>
      <c r="J1702" s="192">
        <f>VLOOKUP($B1702,'RBSA Weights'!$A$2:$C$1406,3,FALSE)</f>
        <v>1192.4649999999999</v>
      </c>
    </row>
    <row r="1703" spans="1:10">
      <c r="A1703" s="192">
        <v>226171</v>
      </c>
      <c r="B1703" s="192">
        <v>21877</v>
      </c>
      <c r="C1703" s="192" t="s">
        <v>829</v>
      </c>
      <c r="D1703" s="192">
        <v>50</v>
      </c>
      <c r="E1703" s="192" t="s">
        <v>816</v>
      </c>
      <c r="F1703" s="192" t="s">
        <v>820</v>
      </c>
      <c r="G1703" s="192">
        <v>0.85000002384185791</v>
      </c>
      <c r="H1703" s="192" t="s">
        <v>820</v>
      </c>
      <c r="I1703" s="192">
        <v>2</v>
      </c>
      <c r="J1703" s="192">
        <f>VLOOKUP($B1703,'RBSA Weights'!$A$2:$C$1406,3,FALSE)</f>
        <v>1904.288</v>
      </c>
    </row>
    <row r="1704" spans="1:10">
      <c r="A1704" s="192">
        <v>171525</v>
      </c>
      <c r="B1704" s="192">
        <v>21881</v>
      </c>
      <c r="C1704" s="192" t="s">
        <v>829</v>
      </c>
      <c r="D1704" s="192">
        <v>78</v>
      </c>
      <c r="E1704" s="192" t="s">
        <v>816</v>
      </c>
      <c r="F1704" s="192" t="s">
        <v>817</v>
      </c>
      <c r="G1704" s="192">
        <v>0.55000001192092896</v>
      </c>
      <c r="H1704" s="192" t="s">
        <v>818</v>
      </c>
      <c r="I1704" s="192">
        <v>2</v>
      </c>
      <c r="J1704" s="192">
        <f>VLOOKUP($B1704,'RBSA Weights'!$A$2:$C$1406,3,FALSE)</f>
        <v>1192.4649999999999</v>
      </c>
    </row>
    <row r="1705" spans="1:10">
      <c r="A1705" s="192">
        <v>115371</v>
      </c>
      <c r="B1705" s="192">
        <v>21889</v>
      </c>
      <c r="C1705" s="192" t="s">
        <v>829</v>
      </c>
      <c r="D1705" s="192">
        <v>181</v>
      </c>
      <c r="E1705" s="192" t="s">
        <v>816</v>
      </c>
      <c r="F1705" s="192" t="s">
        <v>821</v>
      </c>
      <c r="G1705" s="192">
        <v>0.94999998807907104</v>
      </c>
      <c r="H1705" s="192" t="s">
        <v>821</v>
      </c>
      <c r="I1705" s="192">
        <v>2</v>
      </c>
      <c r="J1705" s="192">
        <f>VLOOKUP($B1705,'RBSA Weights'!$A$2:$C$1406,3,FALSE)</f>
        <v>1925.059</v>
      </c>
    </row>
    <row r="1706" spans="1:10">
      <c r="A1706" s="192">
        <v>140579</v>
      </c>
      <c r="B1706" s="192">
        <v>21951</v>
      </c>
      <c r="C1706" s="192" t="s">
        <v>829</v>
      </c>
      <c r="D1706" s="192">
        <v>47</v>
      </c>
      <c r="E1706" s="192" t="s">
        <v>816</v>
      </c>
      <c r="F1706" s="192" t="s">
        <v>820</v>
      </c>
      <c r="G1706" s="192">
        <v>0.85000002384185791</v>
      </c>
      <c r="H1706" s="192" t="s">
        <v>820</v>
      </c>
      <c r="I1706" s="192">
        <v>2</v>
      </c>
      <c r="J1706" s="192">
        <f>VLOOKUP($B1706,'RBSA Weights'!$A$2:$C$1406,3,FALSE)</f>
        <v>1192.4649999999999</v>
      </c>
    </row>
    <row r="1707" spans="1:10">
      <c r="A1707" s="192">
        <v>229439</v>
      </c>
      <c r="B1707" s="192">
        <v>21961</v>
      </c>
      <c r="C1707" s="192" t="s">
        <v>829</v>
      </c>
      <c r="D1707" s="192">
        <v>107</v>
      </c>
      <c r="E1707" s="192" t="s">
        <v>816</v>
      </c>
      <c r="F1707" s="192" t="s">
        <v>821</v>
      </c>
      <c r="G1707" s="192">
        <v>0.94999998807907104</v>
      </c>
      <c r="H1707" s="192" t="s">
        <v>821</v>
      </c>
      <c r="I1707" s="192">
        <v>2</v>
      </c>
      <c r="J1707" s="192">
        <f>VLOOKUP($B1707,'RBSA Weights'!$A$2:$C$1406,3,FALSE)</f>
        <v>2079.9929999999999</v>
      </c>
    </row>
    <row r="1708" spans="1:10">
      <c r="A1708" s="192">
        <v>83985</v>
      </c>
      <c r="B1708" s="192">
        <v>21977</v>
      </c>
      <c r="C1708" s="192" t="s">
        <v>829</v>
      </c>
      <c r="D1708" s="192">
        <v>88</v>
      </c>
      <c r="E1708" s="192" t="s">
        <v>816</v>
      </c>
      <c r="F1708" s="192" t="s">
        <v>823</v>
      </c>
      <c r="G1708" s="192">
        <v>1.1000000238418579</v>
      </c>
      <c r="H1708" s="192" t="s">
        <v>823</v>
      </c>
      <c r="I1708" s="192">
        <v>2</v>
      </c>
      <c r="J1708" s="192">
        <f>VLOOKUP($B1708,'RBSA Weights'!$A$2:$C$1406,3,FALSE)</f>
        <v>8559.1039999999994</v>
      </c>
    </row>
    <row r="1709" spans="1:10">
      <c r="A1709" s="192">
        <v>32297</v>
      </c>
      <c r="B1709" s="192">
        <v>22015</v>
      </c>
      <c r="C1709" s="192" t="s">
        <v>829</v>
      </c>
      <c r="D1709" s="192">
        <v>56</v>
      </c>
      <c r="E1709" s="192" t="s">
        <v>816</v>
      </c>
      <c r="F1709" s="192" t="s">
        <v>818</v>
      </c>
      <c r="G1709" s="192">
        <v>0.60000002384185791</v>
      </c>
      <c r="H1709" s="192" t="s">
        <v>818</v>
      </c>
      <c r="I1709" s="192">
        <v>2</v>
      </c>
      <c r="J1709" s="192">
        <f>VLOOKUP($B1709,'RBSA Weights'!$A$2:$C$1406,3,FALSE)</f>
        <v>2130.886</v>
      </c>
    </row>
    <row r="1710" spans="1:10">
      <c r="A1710" s="192">
        <v>203495</v>
      </c>
      <c r="B1710" s="192">
        <v>22021</v>
      </c>
      <c r="C1710" s="192" t="s">
        <v>829</v>
      </c>
      <c r="D1710" s="192">
        <v>30</v>
      </c>
      <c r="E1710" s="192" t="s">
        <v>816</v>
      </c>
      <c r="F1710" s="192" t="s">
        <v>821</v>
      </c>
      <c r="G1710" s="192">
        <v>0.94999998807907104</v>
      </c>
      <c r="H1710" s="192" t="s">
        <v>821</v>
      </c>
      <c r="I1710" s="192">
        <v>2</v>
      </c>
      <c r="J1710" s="192">
        <f>VLOOKUP($B1710,'RBSA Weights'!$A$2:$C$1406,3,FALSE)</f>
        <v>1192.4649999999999</v>
      </c>
    </row>
    <row r="1711" spans="1:10">
      <c r="A1711" s="192">
        <v>143936</v>
      </c>
      <c r="B1711" s="192">
        <v>22041</v>
      </c>
      <c r="C1711" s="192" t="s">
        <v>829</v>
      </c>
      <c r="D1711" s="192">
        <v>51</v>
      </c>
      <c r="E1711" s="192" t="s">
        <v>816</v>
      </c>
      <c r="F1711" s="192" t="s">
        <v>818</v>
      </c>
      <c r="G1711" s="192">
        <v>0.60000002384185791</v>
      </c>
      <c r="H1711" s="192" t="s">
        <v>818</v>
      </c>
      <c r="I1711" s="192">
        <v>2</v>
      </c>
      <c r="J1711" s="192">
        <f>VLOOKUP($B1711,'RBSA Weights'!$A$2:$C$1406,3,FALSE)</f>
        <v>2130.886</v>
      </c>
    </row>
    <row r="1712" spans="1:10">
      <c r="A1712" s="192">
        <v>74872</v>
      </c>
      <c r="B1712" s="192">
        <v>22059</v>
      </c>
      <c r="C1712" s="192" t="s">
        <v>829</v>
      </c>
      <c r="D1712" s="192">
        <v>34</v>
      </c>
      <c r="E1712" s="192" t="s">
        <v>816</v>
      </c>
      <c r="F1712" s="192" t="s">
        <v>817</v>
      </c>
      <c r="G1712" s="192">
        <v>0.44999998807907104</v>
      </c>
      <c r="H1712" s="192" t="s">
        <v>818</v>
      </c>
      <c r="I1712" s="192">
        <v>2</v>
      </c>
      <c r="J1712" s="192">
        <f>VLOOKUP($B1712,'RBSA Weights'!$A$2:$C$1406,3,FALSE)</f>
        <v>1904.288</v>
      </c>
    </row>
    <row r="1713" spans="1:10">
      <c r="A1713" s="192">
        <v>226636</v>
      </c>
      <c r="B1713" s="192">
        <v>22061</v>
      </c>
      <c r="C1713" s="192" t="s">
        <v>829</v>
      </c>
      <c r="D1713" s="192">
        <v>56</v>
      </c>
      <c r="E1713" s="192" t="s">
        <v>816</v>
      </c>
      <c r="F1713" s="192" t="s">
        <v>820</v>
      </c>
      <c r="G1713" s="192">
        <v>0.85000002384185791</v>
      </c>
      <c r="H1713" s="192" t="s">
        <v>820</v>
      </c>
      <c r="I1713" s="192">
        <v>2</v>
      </c>
      <c r="J1713" s="192">
        <f>VLOOKUP($B1713,'RBSA Weights'!$A$2:$C$1406,3,FALSE)</f>
        <v>1904.288</v>
      </c>
    </row>
    <row r="1714" spans="1:10">
      <c r="A1714" s="192">
        <v>720101</v>
      </c>
      <c r="B1714" s="192">
        <v>22086</v>
      </c>
      <c r="C1714" s="192" t="s">
        <v>829</v>
      </c>
      <c r="D1714" s="192">
        <v>3</v>
      </c>
      <c r="E1714" s="192" t="s">
        <v>816</v>
      </c>
      <c r="F1714" s="192" t="s">
        <v>821</v>
      </c>
      <c r="G1714" s="192">
        <v>0.94999998807907104</v>
      </c>
      <c r="H1714" s="192" t="s">
        <v>821</v>
      </c>
      <c r="I1714" s="192">
        <v>2</v>
      </c>
      <c r="J1714" s="192">
        <f>VLOOKUP($B1714,'RBSA Weights'!$A$2:$C$1406,3,FALSE)</f>
        <v>3785.7640000000001</v>
      </c>
    </row>
    <row r="1715" spans="1:10">
      <c r="A1715" s="192">
        <v>114240</v>
      </c>
      <c r="B1715" s="192">
        <v>22108</v>
      </c>
      <c r="C1715" s="192" t="s">
        <v>829</v>
      </c>
      <c r="D1715" s="192">
        <v>49</v>
      </c>
      <c r="E1715" s="192" t="s">
        <v>816</v>
      </c>
      <c r="F1715" s="192" t="s">
        <v>823</v>
      </c>
      <c r="G1715" s="192">
        <v>1.1000000238418579</v>
      </c>
      <c r="H1715" s="192" t="s">
        <v>823</v>
      </c>
      <c r="I1715" s="192">
        <v>2</v>
      </c>
      <c r="J1715" s="192">
        <f>VLOOKUP($B1715,'RBSA Weights'!$A$2:$C$1406,3,FALSE)</f>
        <v>1612.692</v>
      </c>
    </row>
    <row r="1716" spans="1:10">
      <c r="A1716" s="192">
        <v>802435</v>
      </c>
      <c r="B1716" s="192">
        <v>22124</v>
      </c>
      <c r="C1716" s="192" t="s">
        <v>829</v>
      </c>
      <c r="D1716" s="192">
        <v>76</v>
      </c>
      <c r="E1716" s="192" t="s">
        <v>816</v>
      </c>
      <c r="F1716" s="192" t="s">
        <v>818</v>
      </c>
      <c r="G1716" s="192">
        <v>0.55000001192092896</v>
      </c>
      <c r="H1716" s="192" t="s">
        <v>818</v>
      </c>
      <c r="I1716" s="192">
        <v>2</v>
      </c>
      <c r="J1716" s="192">
        <f>VLOOKUP($B1716,'RBSA Weights'!$A$2:$C$1406,3,FALSE)</f>
        <v>4360.1880000000001</v>
      </c>
    </row>
    <row r="1717" spans="1:10">
      <c r="A1717" s="192">
        <v>130027</v>
      </c>
      <c r="B1717" s="192">
        <v>22172</v>
      </c>
      <c r="C1717" s="192" t="s">
        <v>829</v>
      </c>
      <c r="D1717" s="192">
        <v>17</v>
      </c>
      <c r="E1717" s="192" t="s">
        <v>816</v>
      </c>
      <c r="F1717" s="192" t="s">
        <v>820</v>
      </c>
      <c r="G1717" s="192">
        <v>0.85000002384185791</v>
      </c>
      <c r="H1717" s="192" t="s">
        <v>820</v>
      </c>
      <c r="I1717" s="192">
        <v>2</v>
      </c>
      <c r="J1717" s="192">
        <f>VLOOKUP($B1717,'RBSA Weights'!$A$2:$C$1406,3,FALSE)</f>
        <v>1904.288</v>
      </c>
    </row>
    <row r="1718" spans="1:10">
      <c r="A1718" s="192">
        <v>722484</v>
      </c>
      <c r="B1718" s="192">
        <v>22177</v>
      </c>
      <c r="C1718" s="192" t="s">
        <v>829</v>
      </c>
      <c r="D1718" s="192">
        <v>33</v>
      </c>
      <c r="E1718" s="192" t="s">
        <v>816</v>
      </c>
      <c r="F1718" s="192" t="s">
        <v>818</v>
      </c>
      <c r="G1718" s="192">
        <v>0.60000002384185791</v>
      </c>
      <c r="H1718" s="192" t="s">
        <v>818</v>
      </c>
      <c r="I1718" s="192">
        <v>2</v>
      </c>
      <c r="J1718" s="192">
        <f>VLOOKUP($B1718,'RBSA Weights'!$A$2:$C$1406,3,FALSE)</f>
        <v>1612.692</v>
      </c>
    </row>
    <row r="1719" spans="1:10">
      <c r="A1719" s="192">
        <v>205939</v>
      </c>
      <c r="B1719" s="192">
        <v>22181</v>
      </c>
      <c r="C1719" s="192" t="s">
        <v>829</v>
      </c>
      <c r="D1719" s="192">
        <v>82</v>
      </c>
      <c r="E1719" s="192" t="s">
        <v>816</v>
      </c>
      <c r="F1719" s="192" t="s">
        <v>817</v>
      </c>
      <c r="G1719" s="192">
        <v>0.44999998807907104</v>
      </c>
      <c r="H1719" s="192" t="s">
        <v>818</v>
      </c>
      <c r="I1719" s="192">
        <v>2</v>
      </c>
      <c r="J1719" s="192">
        <f>VLOOKUP($B1719,'RBSA Weights'!$A$2:$C$1406,3,FALSE)</f>
        <v>1192.4649999999999</v>
      </c>
    </row>
    <row r="1720" spans="1:10">
      <c r="A1720" s="192">
        <v>200953</v>
      </c>
      <c r="B1720" s="192">
        <v>22246</v>
      </c>
      <c r="C1720" s="192" t="s">
        <v>829</v>
      </c>
      <c r="D1720" s="192">
        <v>141</v>
      </c>
      <c r="E1720" s="192" t="s">
        <v>816</v>
      </c>
      <c r="F1720" s="192" t="s">
        <v>820</v>
      </c>
      <c r="G1720" s="192">
        <v>0.80000001192092896</v>
      </c>
      <c r="H1720" s="192" t="s">
        <v>820</v>
      </c>
      <c r="I1720" s="192">
        <v>2</v>
      </c>
      <c r="J1720" s="192">
        <f>VLOOKUP($B1720,'RBSA Weights'!$A$2:$C$1406,3,FALSE)</f>
        <v>1925.059</v>
      </c>
    </row>
    <row r="1721" spans="1:10">
      <c r="A1721" s="192">
        <v>241477</v>
      </c>
      <c r="B1721" s="192">
        <v>22250</v>
      </c>
      <c r="C1721" s="192" t="s">
        <v>829</v>
      </c>
      <c r="D1721" s="192">
        <v>51</v>
      </c>
      <c r="E1721" s="192" t="s">
        <v>816</v>
      </c>
      <c r="F1721" s="192" t="s">
        <v>817</v>
      </c>
      <c r="G1721" s="192">
        <v>0.44999998807907104</v>
      </c>
      <c r="H1721" s="192" t="s">
        <v>818</v>
      </c>
      <c r="I1721" s="192">
        <v>2</v>
      </c>
      <c r="J1721" s="192">
        <f>VLOOKUP($B1721,'RBSA Weights'!$A$2:$C$1406,3,FALSE)</f>
        <v>1904.288</v>
      </c>
    </row>
    <row r="1722" spans="1:10">
      <c r="A1722" s="192">
        <v>90479</v>
      </c>
      <c r="B1722" s="192">
        <v>22293</v>
      </c>
      <c r="C1722" s="192" t="s">
        <v>829</v>
      </c>
      <c r="D1722" s="192">
        <v>53</v>
      </c>
      <c r="E1722" s="192" t="s">
        <v>816</v>
      </c>
      <c r="F1722" s="192" t="s">
        <v>820</v>
      </c>
      <c r="G1722" s="192">
        <v>0.85000002384185791</v>
      </c>
      <c r="H1722" s="192" t="s">
        <v>820</v>
      </c>
      <c r="I1722" s="192">
        <v>2</v>
      </c>
      <c r="J1722" s="192">
        <f>VLOOKUP($B1722,'RBSA Weights'!$A$2:$C$1406,3,FALSE)</f>
        <v>1925.059</v>
      </c>
    </row>
    <row r="1723" spans="1:10">
      <c r="A1723" s="192">
        <v>194407</v>
      </c>
      <c r="B1723" s="192">
        <v>22295</v>
      </c>
      <c r="C1723" s="192" t="s">
        <v>829</v>
      </c>
      <c r="D1723" s="192">
        <v>20</v>
      </c>
      <c r="E1723" s="192" t="s">
        <v>819</v>
      </c>
      <c r="F1723" s="192" t="s">
        <v>821</v>
      </c>
      <c r="G1723" s="192">
        <v>0.75</v>
      </c>
      <c r="H1723" s="192" t="s">
        <v>821</v>
      </c>
      <c r="I1723" s="192">
        <v>2</v>
      </c>
      <c r="J1723" s="192">
        <f>VLOOKUP($B1723,'RBSA Weights'!$A$2:$C$1406,3,FALSE)</f>
        <v>1925.059</v>
      </c>
    </row>
    <row r="1724" spans="1:10">
      <c r="A1724" s="192">
        <v>179384</v>
      </c>
      <c r="B1724" s="192">
        <v>22306</v>
      </c>
      <c r="C1724" s="192" t="s">
        <v>829</v>
      </c>
      <c r="D1724" s="192">
        <v>121</v>
      </c>
      <c r="E1724" s="192" t="s">
        <v>816</v>
      </c>
      <c r="F1724" s="192" t="s">
        <v>818</v>
      </c>
      <c r="G1724" s="192">
        <v>0.60000002384185791</v>
      </c>
      <c r="H1724" s="192" t="s">
        <v>818</v>
      </c>
      <c r="I1724" s="192">
        <v>2</v>
      </c>
      <c r="J1724" s="192">
        <f>VLOOKUP($B1724,'RBSA Weights'!$A$2:$C$1406,3,FALSE)</f>
        <v>2130.886</v>
      </c>
    </row>
    <row r="1725" spans="1:10">
      <c r="A1725" s="192">
        <v>77196</v>
      </c>
      <c r="B1725" s="192">
        <v>22319</v>
      </c>
      <c r="C1725" s="192" t="s">
        <v>829</v>
      </c>
      <c r="D1725" s="192">
        <v>23</v>
      </c>
      <c r="E1725" s="192" t="s">
        <v>819</v>
      </c>
      <c r="F1725" s="192" t="s">
        <v>823</v>
      </c>
      <c r="G1725" s="192">
        <v>0.85000002384185791</v>
      </c>
      <c r="H1725" s="192" t="s">
        <v>823</v>
      </c>
      <c r="I1725" s="192">
        <v>2</v>
      </c>
      <c r="J1725" s="192">
        <f>VLOOKUP($B1725,'RBSA Weights'!$A$2:$C$1406,3,FALSE)</f>
        <v>3785.7640000000001</v>
      </c>
    </row>
    <row r="1726" spans="1:10">
      <c r="A1726" s="192">
        <v>128292</v>
      </c>
      <c r="B1726" s="192">
        <v>22333</v>
      </c>
      <c r="C1726" s="192" t="s">
        <v>829</v>
      </c>
      <c r="D1726" s="192">
        <v>72</v>
      </c>
      <c r="E1726" s="192" t="s">
        <v>816</v>
      </c>
      <c r="F1726" s="192" t="s">
        <v>824</v>
      </c>
      <c r="G1726" s="192">
        <v>0.89999997615814209</v>
      </c>
      <c r="H1726" s="192" t="s">
        <v>821</v>
      </c>
      <c r="I1726" s="192">
        <v>2</v>
      </c>
      <c r="J1726" s="192">
        <f>VLOOKUP($B1726,'RBSA Weights'!$A$2:$C$1406,3,FALSE)</f>
        <v>1144.6790000000001</v>
      </c>
    </row>
    <row r="1727" spans="1:10">
      <c r="A1727" s="192">
        <v>135622</v>
      </c>
      <c r="B1727" s="192">
        <v>22375</v>
      </c>
      <c r="C1727" s="192" t="s">
        <v>829</v>
      </c>
      <c r="D1727" s="192">
        <v>25</v>
      </c>
      <c r="E1727" s="192" t="s">
        <v>816</v>
      </c>
      <c r="F1727" s="192" t="s">
        <v>824</v>
      </c>
      <c r="G1727" s="192">
        <v>0.89999997615814209</v>
      </c>
      <c r="H1727" s="192" t="s">
        <v>821</v>
      </c>
      <c r="I1727" s="192">
        <v>2</v>
      </c>
      <c r="J1727" s="192">
        <f>VLOOKUP($B1727,'RBSA Weights'!$A$2:$C$1406,3,FALSE)</f>
        <v>1612.692</v>
      </c>
    </row>
    <row r="1728" spans="1:10">
      <c r="A1728" s="192">
        <v>119349</v>
      </c>
      <c r="B1728" s="192">
        <v>22458</v>
      </c>
      <c r="C1728" s="192" t="s">
        <v>829</v>
      </c>
      <c r="D1728" s="192">
        <v>75</v>
      </c>
      <c r="E1728" s="192" t="s">
        <v>816</v>
      </c>
      <c r="F1728" s="192" t="s">
        <v>818</v>
      </c>
      <c r="G1728" s="192">
        <v>0.60000002384185791</v>
      </c>
      <c r="H1728" s="192" t="s">
        <v>818</v>
      </c>
      <c r="I1728" s="192">
        <v>2</v>
      </c>
      <c r="J1728" s="192">
        <f>VLOOKUP($B1728,'RBSA Weights'!$A$2:$C$1406,3,FALSE)</f>
        <v>3785.7640000000001</v>
      </c>
    </row>
    <row r="1729" spans="1:10">
      <c r="A1729" s="192">
        <v>232503</v>
      </c>
      <c r="B1729" s="192">
        <v>22479</v>
      </c>
      <c r="C1729" s="192" t="s">
        <v>829</v>
      </c>
      <c r="D1729" s="192">
        <v>334</v>
      </c>
      <c r="E1729" s="192" t="s">
        <v>816</v>
      </c>
      <c r="F1729" s="192" t="s">
        <v>817</v>
      </c>
      <c r="G1729" s="192">
        <v>0.44999998807907104</v>
      </c>
      <c r="H1729" s="192" t="s">
        <v>818</v>
      </c>
      <c r="I1729" s="192">
        <v>2</v>
      </c>
      <c r="J1729" s="192">
        <f>VLOOKUP($B1729,'RBSA Weights'!$A$2:$C$1406,3,FALSE)</f>
        <v>1904.288</v>
      </c>
    </row>
    <row r="1730" spans="1:10">
      <c r="A1730" s="192">
        <v>76847</v>
      </c>
      <c r="B1730" s="192">
        <v>22493</v>
      </c>
      <c r="C1730" s="192" t="s">
        <v>829</v>
      </c>
      <c r="D1730" s="192">
        <v>358</v>
      </c>
      <c r="E1730" s="192" t="s">
        <v>816</v>
      </c>
      <c r="F1730" s="192" t="s">
        <v>817</v>
      </c>
      <c r="G1730" s="192">
        <v>0.55000001192092896</v>
      </c>
      <c r="H1730" s="192" t="s">
        <v>818</v>
      </c>
      <c r="I1730" s="192">
        <v>2</v>
      </c>
      <c r="J1730" s="192">
        <f>VLOOKUP($B1730,'RBSA Weights'!$A$2:$C$1406,3,FALSE)</f>
        <v>1925.059</v>
      </c>
    </row>
    <row r="1731" spans="1:10">
      <c r="A1731" s="192">
        <v>55001</v>
      </c>
      <c r="B1731" s="192">
        <v>22509</v>
      </c>
      <c r="C1731" s="192" t="s">
        <v>829</v>
      </c>
      <c r="D1731" s="192">
        <v>45</v>
      </c>
      <c r="E1731" s="192" t="s">
        <v>816</v>
      </c>
      <c r="F1731" s="192" t="s">
        <v>821</v>
      </c>
      <c r="G1731" s="192">
        <v>0.94999998807907104</v>
      </c>
      <c r="H1731" s="192" t="s">
        <v>821</v>
      </c>
      <c r="I1731" s="192">
        <v>2</v>
      </c>
      <c r="J1731" s="192">
        <f>VLOOKUP($B1731,'RBSA Weights'!$A$2:$C$1406,3,FALSE)</f>
        <v>2079.9929999999999</v>
      </c>
    </row>
    <row r="1732" spans="1:10">
      <c r="A1732" s="192">
        <v>170760</v>
      </c>
      <c r="B1732" s="192">
        <v>22530</v>
      </c>
      <c r="C1732" s="192" t="s">
        <v>829</v>
      </c>
      <c r="D1732" s="192">
        <v>75</v>
      </c>
      <c r="E1732" s="192" t="s">
        <v>816</v>
      </c>
      <c r="F1732" s="192" t="s">
        <v>817</v>
      </c>
      <c r="G1732" s="192">
        <v>0.55000001192092896</v>
      </c>
      <c r="H1732" s="192" t="s">
        <v>818</v>
      </c>
      <c r="I1732" s="192">
        <v>2</v>
      </c>
      <c r="J1732" s="192">
        <f>VLOOKUP($B1732,'RBSA Weights'!$A$2:$C$1406,3,FALSE)</f>
        <v>1612.692</v>
      </c>
    </row>
    <row r="1733" spans="1:10">
      <c r="A1733" s="192">
        <v>196600</v>
      </c>
      <c r="B1733" s="192">
        <v>22577</v>
      </c>
      <c r="C1733" s="192" t="s">
        <v>829</v>
      </c>
      <c r="D1733" s="192">
        <v>3</v>
      </c>
      <c r="E1733" s="192" t="s">
        <v>819</v>
      </c>
      <c r="F1733" s="192" t="s">
        <v>823</v>
      </c>
      <c r="G1733" s="192">
        <v>0.85000002384185791</v>
      </c>
      <c r="H1733" s="192" t="s">
        <v>823</v>
      </c>
      <c r="I1733" s="192">
        <v>2</v>
      </c>
      <c r="J1733" s="192">
        <f>VLOOKUP($B1733,'RBSA Weights'!$A$2:$C$1406,3,FALSE)</f>
        <v>1925.059</v>
      </c>
    </row>
    <row r="1734" spans="1:10">
      <c r="A1734" s="192">
        <v>172029</v>
      </c>
      <c r="B1734" s="192">
        <v>22590</v>
      </c>
      <c r="C1734" s="192" t="s">
        <v>829</v>
      </c>
      <c r="D1734" s="192">
        <v>24</v>
      </c>
      <c r="E1734" s="192" t="s">
        <v>816</v>
      </c>
      <c r="F1734" s="192" t="s">
        <v>817</v>
      </c>
      <c r="G1734" s="192">
        <v>0.55000001192092896</v>
      </c>
      <c r="H1734" s="192" t="s">
        <v>818</v>
      </c>
      <c r="I1734" s="192">
        <v>2</v>
      </c>
      <c r="J1734" s="192">
        <f>VLOOKUP($B1734,'RBSA Weights'!$A$2:$C$1406,3,FALSE)</f>
        <v>1192.4649999999999</v>
      </c>
    </row>
    <row r="1735" spans="1:10">
      <c r="A1735" s="192">
        <v>175908</v>
      </c>
      <c r="B1735" s="192">
        <v>22649</v>
      </c>
      <c r="C1735" s="192" t="s">
        <v>829</v>
      </c>
      <c r="D1735" s="192">
        <v>124</v>
      </c>
      <c r="E1735" s="192" t="s">
        <v>816</v>
      </c>
      <c r="F1735" s="192" t="s">
        <v>817</v>
      </c>
      <c r="G1735" s="192">
        <v>0.44999998807907104</v>
      </c>
      <c r="H1735" s="192" t="s">
        <v>818</v>
      </c>
      <c r="I1735" s="192">
        <v>2</v>
      </c>
      <c r="J1735" s="192">
        <f>VLOOKUP($B1735,'RBSA Weights'!$A$2:$C$1406,3,FALSE)</f>
        <v>1925.059</v>
      </c>
    </row>
    <row r="1736" spans="1:10">
      <c r="A1736" s="192">
        <v>101673</v>
      </c>
      <c r="B1736" s="192">
        <v>22688</v>
      </c>
      <c r="C1736" s="192" t="s">
        <v>829</v>
      </c>
      <c r="D1736" s="192">
        <v>159</v>
      </c>
      <c r="E1736" s="192" t="s">
        <v>816</v>
      </c>
      <c r="F1736" s="192" t="s">
        <v>822</v>
      </c>
      <c r="G1736" s="192">
        <v>0.75</v>
      </c>
      <c r="H1736" s="192" t="s">
        <v>820</v>
      </c>
      <c r="I1736" s="192">
        <v>2</v>
      </c>
      <c r="J1736" s="192">
        <f>VLOOKUP($B1736,'RBSA Weights'!$A$2:$C$1406,3,FALSE)</f>
        <v>1925.059</v>
      </c>
    </row>
    <row r="1737" spans="1:10">
      <c r="A1737" s="192">
        <v>44457</v>
      </c>
      <c r="B1737" s="192">
        <v>22693</v>
      </c>
      <c r="C1737" s="192" t="s">
        <v>829</v>
      </c>
      <c r="D1737" s="192">
        <v>15</v>
      </c>
      <c r="E1737" s="192" t="s">
        <v>816</v>
      </c>
      <c r="F1737" s="192" t="s">
        <v>818</v>
      </c>
      <c r="G1737" s="192">
        <v>0.55000001192092896</v>
      </c>
      <c r="H1737" s="192" t="s">
        <v>818</v>
      </c>
      <c r="I1737" s="192">
        <v>2</v>
      </c>
      <c r="J1737" s="192">
        <f>VLOOKUP($B1737,'RBSA Weights'!$A$2:$C$1406,3,FALSE)</f>
        <v>12271.31</v>
      </c>
    </row>
    <row r="1738" spans="1:10">
      <c r="A1738" s="192">
        <v>199336</v>
      </c>
      <c r="B1738" s="192">
        <v>22699</v>
      </c>
      <c r="C1738" s="192" t="s">
        <v>829</v>
      </c>
      <c r="D1738" s="192">
        <v>15</v>
      </c>
      <c r="E1738" s="192" t="s">
        <v>816</v>
      </c>
      <c r="F1738" s="192" t="s">
        <v>820</v>
      </c>
      <c r="G1738" s="192">
        <v>0.85000002384185791</v>
      </c>
      <c r="H1738" s="192" t="s">
        <v>820</v>
      </c>
      <c r="I1738" s="192">
        <v>2</v>
      </c>
      <c r="J1738" s="192">
        <f>VLOOKUP($B1738,'RBSA Weights'!$A$2:$C$1406,3,FALSE)</f>
        <v>1612.692</v>
      </c>
    </row>
    <row r="1739" spans="1:10">
      <c r="A1739" s="192">
        <v>105936</v>
      </c>
      <c r="B1739" s="192">
        <v>22705</v>
      </c>
      <c r="C1739" s="192" t="s">
        <v>829</v>
      </c>
      <c r="D1739" s="192">
        <v>92</v>
      </c>
      <c r="E1739" s="192" t="s">
        <v>816</v>
      </c>
      <c r="F1739" s="192" t="s">
        <v>820</v>
      </c>
      <c r="G1739" s="192">
        <v>0.85000002384185791</v>
      </c>
      <c r="H1739" s="192" t="s">
        <v>820</v>
      </c>
      <c r="I1739" s="192">
        <v>2</v>
      </c>
      <c r="J1739" s="192">
        <f>VLOOKUP($B1739,'RBSA Weights'!$A$2:$C$1406,3,FALSE)</f>
        <v>1144.6790000000001</v>
      </c>
    </row>
    <row r="1740" spans="1:10">
      <c r="A1740" s="192">
        <v>185914</v>
      </c>
      <c r="B1740" s="192">
        <v>22751</v>
      </c>
      <c r="C1740" s="192" t="s">
        <v>829</v>
      </c>
      <c r="D1740" s="192">
        <v>20</v>
      </c>
      <c r="E1740" s="192" t="s">
        <v>816</v>
      </c>
      <c r="F1740" s="192" t="s">
        <v>821</v>
      </c>
      <c r="G1740" s="192">
        <v>0.94999998807907104</v>
      </c>
      <c r="H1740" s="192" t="s">
        <v>821</v>
      </c>
      <c r="I1740" s="192">
        <v>2</v>
      </c>
      <c r="J1740" s="192">
        <f>VLOOKUP($B1740,'RBSA Weights'!$A$2:$C$1406,3,FALSE)</f>
        <v>1925.059</v>
      </c>
    </row>
    <row r="1741" spans="1:10">
      <c r="A1741" s="192">
        <v>164288</v>
      </c>
      <c r="B1741" s="192">
        <v>22902</v>
      </c>
      <c r="C1741" s="192" t="s">
        <v>829</v>
      </c>
      <c r="D1741" s="192">
        <v>78</v>
      </c>
      <c r="E1741" s="192" t="s">
        <v>816</v>
      </c>
      <c r="F1741" s="192" t="s">
        <v>817</v>
      </c>
      <c r="G1741" s="192">
        <v>0.55000001192092896</v>
      </c>
      <c r="H1741" s="192" t="s">
        <v>818</v>
      </c>
      <c r="I1741" s="192">
        <v>2</v>
      </c>
      <c r="J1741" s="192">
        <f>VLOOKUP($B1741,'RBSA Weights'!$A$2:$C$1406,3,FALSE)</f>
        <v>2130.886</v>
      </c>
    </row>
    <row r="1742" spans="1:10">
      <c r="A1742" s="192">
        <v>185038</v>
      </c>
      <c r="B1742" s="192">
        <v>22935</v>
      </c>
      <c r="C1742" s="192" t="s">
        <v>829</v>
      </c>
      <c r="D1742" s="192">
        <v>96</v>
      </c>
      <c r="E1742" s="192" t="s">
        <v>816</v>
      </c>
      <c r="F1742" s="192" t="s">
        <v>817</v>
      </c>
      <c r="G1742" s="192">
        <v>0.55000001192092896</v>
      </c>
      <c r="H1742" s="192" t="s">
        <v>818</v>
      </c>
      <c r="I1742" s="192">
        <v>2</v>
      </c>
      <c r="J1742" s="192">
        <f>VLOOKUP($B1742,'RBSA Weights'!$A$2:$C$1406,3,FALSE)</f>
        <v>1192.4649999999999</v>
      </c>
    </row>
    <row r="1743" spans="1:10">
      <c r="A1743" s="192">
        <v>161218</v>
      </c>
      <c r="B1743" s="192">
        <v>22950</v>
      </c>
      <c r="C1743" s="192" t="s">
        <v>829</v>
      </c>
      <c r="D1743" s="192">
        <v>38</v>
      </c>
      <c r="E1743" s="192" t="s">
        <v>819</v>
      </c>
      <c r="F1743" s="192" t="s">
        <v>821</v>
      </c>
      <c r="G1743" s="192">
        <v>0.75</v>
      </c>
      <c r="H1743" s="192" t="s">
        <v>821</v>
      </c>
      <c r="I1743" s="192">
        <v>2</v>
      </c>
      <c r="J1743" s="192">
        <f>VLOOKUP($B1743,'RBSA Weights'!$A$2:$C$1406,3,FALSE)</f>
        <v>2130.886</v>
      </c>
    </row>
    <row r="1744" spans="1:10">
      <c r="A1744" s="192">
        <v>78897</v>
      </c>
      <c r="B1744" s="192">
        <v>22953</v>
      </c>
      <c r="C1744" s="192" t="s">
        <v>829</v>
      </c>
      <c r="D1744" s="192">
        <v>40</v>
      </c>
      <c r="E1744" s="192" t="s">
        <v>816</v>
      </c>
      <c r="F1744" s="192" t="s">
        <v>818</v>
      </c>
      <c r="G1744" s="192">
        <v>0.55000001192092896</v>
      </c>
      <c r="H1744" s="192" t="s">
        <v>818</v>
      </c>
      <c r="I1744" s="192">
        <v>2</v>
      </c>
      <c r="J1744" s="192">
        <f>VLOOKUP($B1744,'RBSA Weights'!$A$2:$C$1406,3,FALSE)</f>
        <v>1144.6790000000001</v>
      </c>
    </row>
    <row r="1745" spans="1:10">
      <c r="A1745" s="192">
        <v>168944</v>
      </c>
      <c r="B1745" s="192">
        <v>22960</v>
      </c>
      <c r="C1745" s="192" t="s">
        <v>829</v>
      </c>
      <c r="D1745" s="192">
        <v>34</v>
      </c>
      <c r="E1745" s="192" t="s">
        <v>816</v>
      </c>
      <c r="F1745" s="192" t="s">
        <v>817</v>
      </c>
      <c r="G1745" s="192">
        <v>0.55000001192092896</v>
      </c>
      <c r="H1745" s="192" t="s">
        <v>818</v>
      </c>
      <c r="I1745" s="192">
        <v>2</v>
      </c>
      <c r="J1745" s="192">
        <f>VLOOKUP($B1745,'RBSA Weights'!$A$2:$C$1406,3,FALSE)</f>
        <v>2130.886</v>
      </c>
    </row>
    <row r="1746" spans="1:10">
      <c r="A1746" s="192">
        <v>189582</v>
      </c>
      <c r="B1746" s="192">
        <v>22994</v>
      </c>
      <c r="C1746" s="192" t="s">
        <v>829</v>
      </c>
      <c r="D1746" s="192">
        <v>184</v>
      </c>
      <c r="E1746" s="192" t="s">
        <v>816</v>
      </c>
      <c r="F1746" s="192" t="s">
        <v>817</v>
      </c>
      <c r="G1746" s="192">
        <v>0.55000001192092896</v>
      </c>
      <c r="H1746" s="192" t="s">
        <v>818</v>
      </c>
      <c r="I1746" s="192">
        <v>2</v>
      </c>
      <c r="J1746" s="192">
        <f>VLOOKUP($B1746,'RBSA Weights'!$A$2:$C$1406,3,FALSE)</f>
        <v>1612.692</v>
      </c>
    </row>
    <row r="1747" spans="1:10">
      <c r="A1747" s="192">
        <v>132295</v>
      </c>
      <c r="B1747" s="192">
        <v>23021</v>
      </c>
      <c r="C1747" s="192" t="s">
        <v>829</v>
      </c>
      <c r="D1747" s="192">
        <v>83</v>
      </c>
      <c r="E1747" s="192" t="s">
        <v>816</v>
      </c>
      <c r="F1747" s="192" t="s">
        <v>818</v>
      </c>
      <c r="G1747" s="192">
        <v>0.60000002384185791</v>
      </c>
      <c r="H1747" s="192" t="s">
        <v>818</v>
      </c>
      <c r="I1747" s="192">
        <v>2</v>
      </c>
      <c r="J1747" s="192">
        <f>VLOOKUP($B1747,'RBSA Weights'!$A$2:$C$1406,3,FALSE)</f>
        <v>1144.6790000000001</v>
      </c>
    </row>
    <row r="1748" spans="1:10">
      <c r="A1748" s="192">
        <v>182585</v>
      </c>
      <c r="B1748" s="192">
        <v>23029</v>
      </c>
      <c r="C1748" s="192" t="s">
        <v>829</v>
      </c>
      <c r="D1748" s="192">
        <v>33</v>
      </c>
      <c r="E1748" s="192" t="s">
        <v>816</v>
      </c>
      <c r="F1748" s="192" t="s">
        <v>823</v>
      </c>
      <c r="G1748" s="192">
        <v>1.1000000238418579</v>
      </c>
      <c r="H1748" s="192" t="s">
        <v>823</v>
      </c>
      <c r="I1748" s="192">
        <v>2</v>
      </c>
      <c r="J1748" s="192">
        <f>VLOOKUP($B1748,'RBSA Weights'!$A$2:$C$1406,3,FALSE)</f>
        <v>1612.692</v>
      </c>
    </row>
    <row r="1749" spans="1:10">
      <c r="A1749" s="192">
        <v>239082</v>
      </c>
      <c r="B1749" s="192">
        <v>23049</v>
      </c>
      <c r="C1749" s="192" t="s">
        <v>829</v>
      </c>
      <c r="D1749" s="192">
        <v>153</v>
      </c>
      <c r="E1749" s="192" t="s">
        <v>816</v>
      </c>
      <c r="F1749" s="192" t="s">
        <v>822</v>
      </c>
      <c r="G1749" s="192">
        <v>0.75</v>
      </c>
      <c r="H1749" s="192" t="s">
        <v>820</v>
      </c>
      <c r="I1749" s="192">
        <v>2</v>
      </c>
      <c r="J1749" s="192">
        <f>VLOOKUP($B1749,'RBSA Weights'!$A$2:$C$1406,3,FALSE)</f>
        <v>3785.7640000000001</v>
      </c>
    </row>
    <row r="1750" spans="1:10">
      <c r="A1750" s="192">
        <v>686847</v>
      </c>
      <c r="B1750" s="192">
        <v>23084</v>
      </c>
      <c r="C1750" s="192" t="s">
        <v>829</v>
      </c>
      <c r="D1750" s="192">
        <v>181</v>
      </c>
      <c r="E1750" s="192" t="s">
        <v>816</v>
      </c>
      <c r="F1750" s="192" t="s">
        <v>818</v>
      </c>
      <c r="G1750" s="192">
        <v>0.55000001192092896</v>
      </c>
      <c r="H1750" s="192" t="s">
        <v>818</v>
      </c>
      <c r="I1750" s="192">
        <v>2</v>
      </c>
      <c r="J1750" s="192">
        <f>VLOOKUP($B1750,'RBSA Weights'!$A$2:$C$1406,3,FALSE)</f>
        <v>2079.9929999999999</v>
      </c>
    </row>
    <row r="1751" spans="1:10">
      <c r="A1751" s="192">
        <v>207297</v>
      </c>
      <c r="B1751" s="192">
        <v>23138</v>
      </c>
      <c r="C1751" s="192" t="s">
        <v>829</v>
      </c>
      <c r="D1751" s="192">
        <v>24</v>
      </c>
      <c r="E1751" s="192" t="s">
        <v>816</v>
      </c>
      <c r="F1751" s="192" t="s">
        <v>820</v>
      </c>
      <c r="G1751" s="192">
        <v>0.85000002384185791</v>
      </c>
      <c r="H1751" s="192" t="s">
        <v>820</v>
      </c>
      <c r="I1751" s="192">
        <v>2</v>
      </c>
      <c r="J1751" s="192">
        <f>VLOOKUP($B1751,'RBSA Weights'!$A$2:$C$1406,3,FALSE)</f>
        <v>1904.288</v>
      </c>
    </row>
    <row r="1752" spans="1:10">
      <c r="A1752" s="192">
        <v>80879</v>
      </c>
      <c r="B1752" s="192">
        <v>23178</v>
      </c>
      <c r="C1752" s="192" t="s">
        <v>829</v>
      </c>
      <c r="D1752" s="192">
        <v>24</v>
      </c>
      <c r="E1752" s="192" t="s">
        <v>819</v>
      </c>
      <c r="F1752" s="192" t="s">
        <v>818</v>
      </c>
      <c r="G1752" s="192">
        <v>0.5</v>
      </c>
      <c r="H1752" s="192" t="s">
        <v>818</v>
      </c>
      <c r="I1752" s="192">
        <v>2</v>
      </c>
      <c r="J1752" s="192">
        <f>VLOOKUP($B1752,'RBSA Weights'!$A$2:$C$1406,3,FALSE)</f>
        <v>3785.7640000000001</v>
      </c>
    </row>
    <row r="1753" spans="1:10">
      <c r="A1753" s="192">
        <v>33686</v>
      </c>
      <c r="B1753" s="192">
        <v>23183</v>
      </c>
      <c r="C1753" s="192" t="s">
        <v>829</v>
      </c>
      <c r="D1753" s="192">
        <v>6</v>
      </c>
      <c r="E1753" s="192" t="s">
        <v>816</v>
      </c>
      <c r="F1753" s="192" t="s">
        <v>821</v>
      </c>
      <c r="G1753" s="192">
        <v>0.94999998807907104</v>
      </c>
      <c r="H1753" s="192" t="s">
        <v>821</v>
      </c>
      <c r="I1753" s="192">
        <v>2</v>
      </c>
      <c r="J1753" s="192">
        <f>VLOOKUP($B1753,'RBSA Weights'!$A$2:$C$1406,3,FALSE)</f>
        <v>3785.7640000000001</v>
      </c>
    </row>
    <row r="1754" spans="1:10">
      <c r="A1754" s="192">
        <v>133328</v>
      </c>
      <c r="B1754" s="192">
        <v>23188</v>
      </c>
      <c r="C1754" s="192" t="s">
        <v>829</v>
      </c>
      <c r="D1754" s="192">
        <v>26</v>
      </c>
      <c r="E1754" s="192" t="s">
        <v>816</v>
      </c>
      <c r="F1754" s="192" t="s">
        <v>821</v>
      </c>
      <c r="G1754" s="192">
        <v>0.94999998807907104</v>
      </c>
      <c r="H1754" s="192" t="s">
        <v>821</v>
      </c>
      <c r="I1754" s="192">
        <v>2</v>
      </c>
      <c r="J1754" s="192">
        <f>VLOOKUP($B1754,'RBSA Weights'!$A$2:$C$1406,3,FALSE)</f>
        <v>2079.9929999999999</v>
      </c>
    </row>
    <row r="1755" spans="1:10">
      <c r="A1755" s="192">
        <v>134513</v>
      </c>
      <c r="B1755" s="192">
        <v>23235</v>
      </c>
      <c r="C1755" s="192" t="s">
        <v>829</v>
      </c>
      <c r="D1755" s="192">
        <v>10</v>
      </c>
      <c r="E1755" s="192" t="s">
        <v>816</v>
      </c>
      <c r="F1755" s="192" t="s">
        <v>817</v>
      </c>
      <c r="G1755" s="192">
        <v>0.55000001192092896</v>
      </c>
      <c r="H1755" s="192" t="s">
        <v>818</v>
      </c>
      <c r="I1755" s="192">
        <v>2</v>
      </c>
      <c r="J1755" s="192">
        <f>VLOOKUP($B1755,'RBSA Weights'!$A$2:$C$1406,3,FALSE)</f>
        <v>1612.692</v>
      </c>
    </row>
    <row r="1756" spans="1:10">
      <c r="A1756" s="192">
        <v>177097</v>
      </c>
      <c r="B1756" s="192">
        <v>23355</v>
      </c>
      <c r="C1756" s="192" t="s">
        <v>829</v>
      </c>
      <c r="D1756" s="192">
        <v>50</v>
      </c>
      <c r="E1756" s="192" t="s">
        <v>816</v>
      </c>
      <c r="F1756" s="192" t="s">
        <v>818</v>
      </c>
      <c r="G1756" s="192">
        <v>0.55000001192092896</v>
      </c>
      <c r="H1756" s="192" t="s">
        <v>818</v>
      </c>
      <c r="I1756" s="192">
        <v>2</v>
      </c>
      <c r="J1756" s="192">
        <f>VLOOKUP($B1756,'RBSA Weights'!$A$2:$C$1406,3,FALSE)</f>
        <v>1192.4649999999999</v>
      </c>
    </row>
    <row r="1757" spans="1:10">
      <c r="A1757" s="192">
        <v>151574</v>
      </c>
      <c r="B1757" s="192">
        <v>23380</v>
      </c>
      <c r="C1757" s="192" t="s">
        <v>829</v>
      </c>
      <c r="D1757" s="192">
        <v>44</v>
      </c>
      <c r="E1757" s="192" t="s">
        <v>816</v>
      </c>
      <c r="F1757" s="192" t="s">
        <v>820</v>
      </c>
      <c r="G1757" s="192">
        <v>0.85000002384185791</v>
      </c>
      <c r="H1757" s="192" t="s">
        <v>820</v>
      </c>
      <c r="I1757" s="192">
        <v>2</v>
      </c>
      <c r="J1757" s="192">
        <f>VLOOKUP($B1757,'RBSA Weights'!$A$2:$C$1406,3,FALSE)</f>
        <v>3785.7640000000001</v>
      </c>
    </row>
    <row r="1758" spans="1:10">
      <c r="A1758" s="192">
        <v>724892</v>
      </c>
      <c r="B1758" s="192">
        <v>23384</v>
      </c>
      <c r="C1758" s="192" t="s">
        <v>829</v>
      </c>
      <c r="D1758" s="192">
        <v>1</v>
      </c>
      <c r="E1758" s="192" t="s">
        <v>816</v>
      </c>
      <c r="F1758" s="192" t="s">
        <v>821</v>
      </c>
      <c r="G1758" s="192">
        <v>0.94999998807907104</v>
      </c>
      <c r="H1758" s="192" t="s">
        <v>821</v>
      </c>
      <c r="I1758" s="192">
        <v>2</v>
      </c>
      <c r="J1758" s="192">
        <f>VLOOKUP($B1758,'RBSA Weights'!$A$2:$C$1406,3,FALSE)</f>
        <v>8264.9449999999997</v>
      </c>
    </row>
    <row r="1759" spans="1:10">
      <c r="A1759" s="192">
        <v>106711</v>
      </c>
      <c r="B1759" s="192">
        <v>23424</v>
      </c>
      <c r="C1759" s="192" t="s">
        <v>829</v>
      </c>
      <c r="D1759" s="192">
        <v>80</v>
      </c>
      <c r="E1759" s="192" t="s">
        <v>816</v>
      </c>
      <c r="F1759" s="192" t="s">
        <v>817</v>
      </c>
      <c r="G1759" s="192">
        <v>0.55000001192092896</v>
      </c>
      <c r="H1759" s="192" t="s">
        <v>818</v>
      </c>
      <c r="I1759" s="192">
        <v>2</v>
      </c>
      <c r="J1759" s="192">
        <f>VLOOKUP($B1759,'RBSA Weights'!$A$2:$C$1406,3,FALSE)</f>
        <v>3785.7640000000001</v>
      </c>
    </row>
    <row r="1760" spans="1:10">
      <c r="A1760" s="192">
        <v>97702</v>
      </c>
      <c r="B1760" s="192">
        <v>23428</v>
      </c>
      <c r="C1760" s="192" t="s">
        <v>829</v>
      </c>
      <c r="D1760" s="192">
        <v>12</v>
      </c>
      <c r="E1760" s="192" t="s">
        <v>816</v>
      </c>
      <c r="F1760" s="192" t="s">
        <v>820</v>
      </c>
      <c r="G1760" s="192">
        <v>0.85000002384185791</v>
      </c>
      <c r="H1760" s="192" t="s">
        <v>820</v>
      </c>
      <c r="I1760" s="192">
        <v>2</v>
      </c>
      <c r="J1760" s="192">
        <f>VLOOKUP($B1760,'RBSA Weights'!$A$2:$C$1406,3,FALSE)</f>
        <v>12271.31</v>
      </c>
    </row>
    <row r="1761" spans="1:10">
      <c r="A1761" s="192">
        <v>55136</v>
      </c>
      <c r="B1761" s="192">
        <v>23501</v>
      </c>
      <c r="C1761" s="192" t="s">
        <v>829</v>
      </c>
      <c r="D1761" s="192">
        <v>16</v>
      </c>
      <c r="E1761" s="192" t="s">
        <v>816</v>
      </c>
      <c r="F1761" s="192" t="s">
        <v>821</v>
      </c>
      <c r="G1761" s="192">
        <v>0.94999998807907104</v>
      </c>
      <c r="H1761" s="192" t="s">
        <v>821</v>
      </c>
      <c r="I1761" s="192">
        <v>2</v>
      </c>
      <c r="J1761" s="192">
        <f>VLOOKUP($B1761,'RBSA Weights'!$A$2:$C$1406,3,FALSE)</f>
        <v>2079.9929999999999</v>
      </c>
    </row>
    <row r="1762" spans="1:10">
      <c r="A1762" s="192">
        <v>171366</v>
      </c>
      <c r="B1762" s="192">
        <v>23544</v>
      </c>
      <c r="C1762" s="192" t="s">
        <v>829</v>
      </c>
      <c r="D1762" s="192">
        <v>203</v>
      </c>
      <c r="E1762" s="192" t="s">
        <v>819</v>
      </c>
      <c r="F1762" s="192" t="s">
        <v>821</v>
      </c>
      <c r="G1762" s="192">
        <v>0.75</v>
      </c>
      <c r="H1762" s="192" t="s">
        <v>821</v>
      </c>
      <c r="I1762" s="192">
        <v>2</v>
      </c>
      <c r="J1762" s="192">
        <f>VLOOKUP($B1762,'RBSA Weights'!$A$2:$C$1406,3,FALSE)</f>
        <v>1192.4649999999999</v>
      </c>
    </row>
    <row r="1763" spans="1:10">
      <c r="A1763" s="192">
        <v>43290</v>
      </c>
      <c r="B1763" s="192">
        <v>23564</v>
      </c>
      <c r="C1763" s="192" t="s">
        <v>829</v>
      </c>
      <c r="D1763" s="192">
        <v>45</v>
      </c>
      <c r="E1763" s="192" t="s">
        <v>816</v>
      </c>
      <c r="F1763" s="192" t="s">
        <v>817</v>
      </c>
      <c r="G1763" s="192">
        <v>0.44999998807907104</v>
      </c>
      <c r="H1763" s="192" t="s">
        <v>818</v>
      </c>
      <c r="I1763" s="192">
        <v>2</v>
      </c>
      <c r="J1763" s="192">
        <f>VLOOKUP($B1763,'RBSA Weights'!$A$2:$C$1406,3,FALSE)</f>
        <v>2130.886</v>
      </c>
    </row>
    <row r="1764" spans="1:10">
      <c r="A1764" s="192">
        <v>134318</v>
      </c>
      <c r="B1764" s="192">
        <v>23581</v>
      </c>
      <c r="C1764" s="192" t="s">
        <v>829</v>
      </c>
      <c r="D1764" s="192">
        <v>11</v>
      </c>
      <c r="E1764" s="192" t="s">
        <v>816</v>
      </c>
      <c r="F1764" s="192" t="s">
        <v>820</v>
      </c>
      <c r="G1764" s="192">
        <v>0.85000002384185791</v>
      </c>
      <c r="H1764" s="192" t="s">
        <v>820</v>
      </c>
      <c r="I1764" s="192">
        <v>2</v>
      </c>
      <c r="J1764" s="192">
        <f>VLOOKUP($B1764,'RBSA Weights'!$A$2:$C$1406,3,FALSE)</f>
        <v>1612.692</v>
      </c>
    </row>
    <row r="1765" spans="1:10">
      <c r="A1765" s="192">
        <v>190111</v>
      </c>
      <c r="B1765" s="192">
        <v>23645</v>
      </c>
      <c r="C1765" s="192" t="s">
        <v>829</v>
      </c>
      <c r="D1765" s="192">
        <v>35</v>
      </c>
      <c r="E1765" s="192" t="s">
        <v>816</v>
      </c>
      <c r="F1765" s="192" t="s">
        <v>817</v>
      </c>
      <c r="G1765" s="192">
        <v>0.44999998807907104</v>
      </c>
      <c r="H1765" s="192" t="s">
        <v>818</v>
      </c>
      <c r="I1765" s="192">
        <v>2</v>
      </c>
      <c r="J1765" s="192">
        <f>VLOOKUP($B1765,'RBSA Weights'!$A$2:$C$1406,3,FALSE)</f>
        <v>1612.692</v>
      </c>
    </row>
    <row r="1766" spans="1:10">
      <c r="A1766" s="192">
        <v>154144</v>
      </c>
      <c r="B1766" s="192">
        <v>23705</v>
      </c>
      <c r="C1766" s="192" t="s">
        <v>829</v>
      </c>
      <c r="D1766" s="192">
        <v>36</v>
      </c>
      <c r="E1766" s="192" t="s">
        <v>816</v>
      </c>
      <c r="F1766" s="192" t="s">
        <v>818</v>
      </c>
      <c r="G1766" s="192">
        <v>0.60000002384185791</v>
      </c>
      <c r="H1766" s="192" t="s">
        <v>818</v>
      </c>
      <c r="I1766" s="192">
        <v>2</v>
      </c>
      <c r="J1766" s="192">
        <f>VLOOKUP($B1766,'RBSA Weights'!$A$2:$C$1406,3,FALSE)</f>
        <v>1612.692</v>
      </c>
    </row>
    <row r="1767" spans="1:10">
      <c r="A1767" s="192">
        <v>97943</v>
      </c>
      <c r="B1767" s="192">
        <v>23744</v>
      </c>
      <c r="C1767" s="192" t="s">
        <v>829</v>
      </c>
      <c r="D1767" s="192">
        <v>191</v>
      </c>
      <c r="E1767" s="192" t="s">
        <v>816</v>
      </c>
      <c r="F1767" s="192" t="s">
        <v>817</v>
      </c>
      <c r="G1767" s="192">
        <v>0.55000001192092896</v>
      </c>
      <c r="H1767" s="192" t="s">
        <v>818</v>
      </c>
      <c r="I1767" s="192">
        <v>2</v>
      </c>
      <c r="J1767" s="192">
        <f>VLOOKUP($B1767,'RBSA Weights'!$A$2:$C$1406,3,FALSE)</f>
        <v>1904.288</v>
      </c>
    </row>
    <row r="1768" spans="1:10">
      <c r="A1768" s="192">
        <v>132966</v>
      </c>
      <c r="B1768" s="192">
        <v>23765</v>
      </c>
      <c r="C1768" s="192" t="s">
        <v>829</v>
      </c>
      <c r="D1768" s="192">
        <v>30</v>
      </c>
      <c r="E1768" s="192" t="s">
        <v>816</v>
      </c>
      <c r="F1768" s="192" t="s">
        <v>821</v>
      </c>
      <c r="G1768" s="192">
        <v>0.94999998807907104</v>
      </c>
      <c r="H1768" s="192" t="s">
        <v>821</v>
      </c>
      <c r="I1768" s="192">
        <v>2</v>
      </c>
      <c r="J1768" s="192">
        <f>VLOOKUP($B1768,'RBSA Weights'!$A$2:$C$1406,3,FALSE)</f>
        <v>1144.6790000000001</v>
      </c>
    </row>
    <row r="1769" spans="1:10">
      <c r="A1769" s="192">
        <v>99114</v>
      </c>
      <c r="B1769" s="192">
        <v>23840</v>
      </c>
      <c r="C1769" s="192" t="s">
        <v>829</v>
      </c>
      <c r="D1769" s="192">
        <v>12</v>
      </c>
      <c r="E1769" s="192" t="s">
        <v>816</v>
      </c>
      <c r="F1769" s="192" t="s">
        <v>817</v>
      </c>
      <c r="G1769" s="192">
        <v>0.44999998807907104</v>
      </c>
      <c r="H1769" s="192" t="s">
        <v>818</v>
      </c>
      <c r="I1769" s="192">
        <v>2</v>
      </c>
      <c r="J1769" s="192">
        <f>VLOOKUP($B1769,'RBSA Weights'!$A$2:$C$1406,3,FALSE)</f>
        <v>1144.6790000000001</v>
      </c>
    </row>
    <row r="1770" spans="1:10">
      <c r="A1770" s="192">
        <v>52108</v>
      </c>
      <c r="B1770" s="192">
        <v>23859</v>
      </c>
      <c r="C1770" s="192" t="s">
        <v>829</v>
      </c>
      <c r="D1770" s="192">
        <v>12</v>
      </c>
      <c r="E1770" s="192" t="s">
        <v>816</v>
      </c>
      <c r="F1770" s="192" t="s">
        <v>821</v>
      </c>
      <c r="G1770" s="192">
        <v>0.94999998807907104</v>
      </c>
      <c r="H1770" s="192" t="s">
        <v>821</v>
      </c>
      <c r="I1770" s="192">
        <v>2</v>
      </c>
      <c r="J1770" s="192">
        <f>VLOOKUP($B1770,'RBSA Weights'!$A$2:$C$1406,3,FALSE)</f>
        <v>2130.886</v>
      </c>
    </row>
    <row r="1771" spans="1:10">
      <c r="A1771" s="192">
        <v>161105</v>
      </c>
      <c r="B1771" s="192">
        <v>23870</v>
      </c>
      <c r="C1771" s="192" t="s">
        <v>829</v>
      </c>
      <c r="D1771" s="192">
        <v>31</v>
      </c>
      <c r="E1771" s="192" t="s">
        <v>816</v>
      </c>
      <c r="F1771" s="192" t="s">
        <v>821</v>
      </c>
      <c r="G1771" s="192">
        <v>0.94999998807907104</v>
      </c>
      <c r="H1771" s="192" t="s">
        <v>821</v>
      </c>
      <c r="I1771" s="192">
        <v>2</v>
      </c>
      <c r="J1771" s="192">
        <f>VLOOKUP($B1771,'RBSA Weights'!$A$2:$C$1406,3,FALSE)</f>
        <v>2130.886</v>
      </c>
    </row>
    <row r="1772" spans="1:10">
      <c r="A1772" s="192">
        <v>166246</v>
      </c>
      <c r="B1772" s="192">
        <v>23909</v>
      </c>
      <c r="C1772" s="192" t="s">
        <v>829</v>
      </c>
      <c r="D1772" s="192">
        <v>235</v>
      </c>
      <c r="E1772" s="192" t="s">
        <v>816</v>
      </c>
      <c r="F1772" s="192" t="s">
        <v>821</v>
      </c>
      <c r="G1772" s="192">
        <v>0.94999998807907104</v>
      </c>
      <c r="H1772" s="192" t="s">
        <v>821</v>
      </c>
      <c r="I1772" s="192">
        <v>2</v>
      </c>
      <c r="J1772" s="192">
        <f>VLOOKUP($B1772,'RBSA Weights'!$A$2:$C$1406,3,FALSE)</f>
        <v>1192.4649999999999</v>
      </c>
    </row>
    <row r="1773" spans="1:10">
      <c r="A1773" s="192">
        <v>677624</v>
      </c>
      <c r="B1773" s="192">
        <v>23933</v>
      </c>
      <c r="C1773" s="192" t="s">
        <v>829</v>
      </c>
      <c r="D1773" s="192">
        <v>28</v>
      </c>
      <c r="E1773" s="192" t="s">
        <v>816</v>
      </c>
      <c r="F1773" s="192" t="s">
        <v>823</v>
      </c>
      <c r="G1773" s="192">
        <v>1.1000000238418579</v>
      </c>
      <c r="H1773" s="192" t="s">
        <v>823</v>
      </c>
      <c r="I1773" s="192">
        <v>2</v>
      </c>
      <c r="J1773" s="192">
        <f>VLOOKUP($B1773,'RBSA Weights'!$A$2:$C$1406,3,FALSE)</f>
        <v>3785.7640000000001</v>
      </c>
    </row>
    <row r="1774" spans="1:10">
      <c r="A1774" s="192">
        <v>119477</v>
      </c>
      <c r="B1774" s="192">
        <v>23936</v>
      </c>
      <c r="C1774" s="192" t="s">
        <v>829</v>
      </c>
      <c r="D1774" s="192">
        <v>95</v>
      </c>
      <c r="E1774" s="192" t="s">
        <v>816</v>
      </c>
      <c r="F1774" s="192" t="s">
        <v>820</v>
      </c>
      <c r="G1774" s="192">
        <v>0.85000002384185791</v>
      </c>
      <c r="H1774" s="192" t="s">
        <v>820</v>
      </c>
      <c r="I1774" s="192">
        <v>2</v>
      </c>
      <c r="J1774" s="192">
        <f>VLOOKUP($B1774,'RBSA Weights'!$A$2:$C$1406,3,FALSE)</f>
        <v>3785.7640000000001</v>
      </c>
    </row>
    <row r="1775" spans="1:10">
      <c r="A1775" s="192">
        <v>191168</v>
      </c>
      <c r="B1775" s="192">
        <v>23939</v>
      </c>
      <c r="C1775" s="192" t="s">
        <v>829</v>
      </c>
      <c r="D1775" s="192">
        <v>87</v>
      </c>
      <c r="E1775" s="192" t="s">
        <v>819</v>
      </c>
      <c r="F1775" s="192" t="s">
        <v>821</v>
      </c>
      <c r="G1775" s="192">
        <v>0.75</v>
      </c>
      <c r="H1775" s="192" t="s">
        <v>821</v>
      </c>
      <c r="I1775" s="192">
        <v>2</v>
      </c>
      <c r="J1775" s="192">
        <f>VLOOKUP($B1775,'RBSA Weights'!$A$2:$C$1406,3,FALSE)</f>
        <v>2130.886</v>
      </c>
    </row>
    <row r="1776" spans="1:10">
      <c r="A1776" s="192">
        <v>164516</v>
      </c>
      <c r="B1776" s="192">
        <v>23972</v>
      </c>
      <c r="C1776" s="192" t="s">
        <v>829</v>
      </c>
      <c r="D1776" s="192">
        <v>24</v>
      </c>
      <c r="E1776" s="192" t="s">
        <v>816</v>
      </c>
      <c r="F1776" s="192" t="s">
        <v>818</v>
      </c>
      <c r="G1776" s="192">
        <v>0.60000002384185791</v>
      </c>
      <c r="H1776" s="192" t="s">
        <v>818</v>
      </c>
      <c r="I1776" s="192">
        <v>2</v>
      </c>
      <c r="J1776" s="192">
        <f>VLOOKUP($B1776,'RBSA Weights'!$A$2:$C$1406,3,FALSE)</f>
        <v>2130.886</v>
      </c>
    </row>
    <row r="1777" spans="1:10">
      <c r="A1777" s="192">
        <v>177215</v>
      </c>
      <c r="B1777" s="192">
        <v>23973</v>
      </c>
      <c r="C1777" s="192" t="s">
        <v>829</v>
      </c>
      <c r="D1777" s="192">
        <v>52</v>
      </c>
      <c r="E1777" s="192" t="s">
        <v>816</v>
      </c>
      <c r="F1777" s="192" t="s">
        <v>817</v>
      </c>
      <c r="G1777" s="192">
        <v>0.44999998807907104</v>
      </c>
      <c r="H1777" s="192" t="s">
        <v>818</v>
      </c>
      <c r="I1777" s="192">
        <v>2</v>
      </c>
      <c r="J1777" s="192">
        <f>VLOOKUP($B1777,'RBSA Weights'!$A$2:$C$1406,3,FALSE)</f>
        <v>1192.4649999999999</v>
      </c>
    </row>
    <row r="1778" spans="1:10">
      <c r="A1778" s="192">
        <v>219951</v>
      </c>
      <c r="B1778" s="192">
        <v>24016</v>
      </c>
      <c r="C1778" s="192" t="s">
        <v>829</v>
      </c>
      <c r="D1778" s="192">
        <v>54</v>
      </c>
      <c r="E1778" s="192" t="s">
        <v>816</v>
      </c>
      <c r="F1778" s="192" t="s">
        <v>817</v>
      </c>
      <c r="G1778" s="192">
        <v>0.44999998807907104</v>
      </c>
      <c r="H1778" s="192" t="s">
        <v>818</v>
      </c>
      <c r="I1778" s="192">
        <v>2</v>
      </c>
      <c r="J1778" s="192">
        <f>VLOOKUP($B1778,'RBSA Weights'!$A$2:$C$1406,3,FALSE)</f>
        <v>12271.31</v>
      </c>
    </row>
    <row r="1779" spans="1:10">
      <c r="A1779" s="192">
        <v>802095</v>
      </c>
      <c r="B1779" s="192">
        <v>24119</v>
      </c>
      <c r="C1779" s="192" t="s">
        <v>829</v>
      </c>
      <c r="D1779" s="192">
        <v>15</v>
      </c>
      <c r="E1779" s="192" t="s">
        <v>816</v>
      </c>
      <c r="F1779" s="192" t="s">
        <v>818</v>
      </c>
      <c r="G1779" s="192">
        <v>0.55000001192092896</v>
      </c>
      <c r="H1779" s="192" t="s">
        <v>818</v>
      </c>
      <c r="I1779" s="192">
        <v>2</v>
      </c>
      <c r="J1779" s="192">
        <f>VLOOKUP($B1779,'RBSA Weights'!$A$2:$C$1406,3,FALSE)</f>
        <v>2079.9929999999999</v>
      </c>
    </row>
    <row r="1780" spans="1:10">
      <c r="A1780" s="192">
        <v>162525</v>
      </c>
      <c r="B1780" s="192">
        <v>24120</v>
      </c>
      <c r="C1780" s="192" t="s">
        <v>829</v>
      </c>
      <c r="D1780" s="192">
        <v>28</v>
      </c>
      <c r="E1780" s="192" t="s">
        <v>816</v>
      </c>
      <c r="F1780" s="192" t="s">
        <v>818</v>
      </c>
      <c r="G1780" s="192">
        <v>0.55000001192092896</v>
      </c>
      <c r="H1780" s="192" t="s">
        <v>818</v>
      </c>
      <c r="I1780" s="192">
        <v>2</v>
      </c>
      <c r="J1780" s="192">
        <f>VLOOKUP($B1780,'RBSA Weights'!$A$2:$C$1406,3,FALSE)</f>
        <v>2130.886</v>
      </c>
    </row>
    <row r="1781" spans="1:10">
      <c r="A1781" s="192">
        <v>240498</v>
      </c>
      <c r="B1781" s="192">
        <v>24202</v>
      </c>
      <c r="C1781" s="192" t="s">
        <v>829</v>
      </c>
      <c r="D1781" s="192">
        <v>67</v>
      </c>
      <c r="E1781" s="192" t="s">
        <v>816</v>
      </c>
      <c r="F1781" s="192" t="s">
        <v>818</v>
      </c>
      <c r="G1781" s="192">
        <v>0.60000002384185791</v>
      </c>
      <c r="H1781" s="192" t="s">
        <v>818</v>
      </c>
      <c r="I1781" s="192">
        <v>2</v>
      </c>
      <c r="J1781" s="192">
        <f>VLOOKUP($B1781,'RBSA Weights'!$A$2:$C$1406,3,FALSE)</f>
        <v>1192.4649999999999</v>
      </c>
    </row>
    <row r="1782" spans="1:10">
      <c r="A1782" s="192">
        <v>98193</v>
      </c>
      <c r="B1782" s="192">
        <v>24209</v>
      </c>
      <c r="C1782" s="192" t="s">
        <v>829</v>
      </c>
      <c r="D1782" s="192">
        <v>49</v>
      </c>
      <c r="E1782" s="192" t="s">
        <v>816</v>
      </c>
      <c r="F1782" s="192" t="s">
        <v>818</v>
      </c>
      <c r="G1782" s="192">
        <v>0.60000002384185791</v>
      </c>
      <c r="H1782" s="192" t="s">
        <v>818</v>
      </c>
      <c r="I1782" s="192">
        <v>2</v>
      </c>
      <c r="J1782" s="192">
        <f>VLOOKUP($B1782,'RBSA Weights'!$A$2:$C$1406,3,FALSE)</f>
        <v>1904.288</v>
      </c>
    </row>
    <row r="1783" spans="1:10">
      <c r="A1783" s="192">
        <v>220979</v>
      </c>
      <c r="B1783" s="192">
        <v>24227</v>
      </c>
      <c r="C1783" s="192" t="s">
        <v>829</v>
      </c>
      <c r="D1783" s="192">
        <v>8</v>
      </c>
      <c r="E1783" s="192" t="s">
        <v>816</v>
      </c>
      <c r="F1783" s="192" t="s">
        <v>823</v>
      </c>
      <c r="G1783" s="192">
        <v>1.1000000238418579</v>
      </c>
      <c r="H1783" s="192" t="s">
        <v>823</v>
      </c>
      <c r="I1783" s="192">
        <v>2</v>
      </c>
      <c r="J1783" s="192">
        <f>VLOOKUP($B1783,'RBSA Weights'!$A$2:$C$1406,3,FALSE)</f>
        <v>2130.886</v>
      </c>
    </row>
    <row r="1784" spans="1:10">
      <c r="A1784" s="192">
        <v>44685</v>
      </c>
      <c r="B1784" s="192">
        <v>24266</v>
      </c>
      <c r="C1784" s="192" t="s">
        <v>829</v>
      </c>
      <c r="D1784" s="192">
        <v>9</v>
      </c>
      <c r="E1784" s="192" t="s">
        <v>816</v>
      </c>
      <c r="F1784" s="192" t="s">
        <v>824</v>
      </c>
      <c r="G1784" s="192">
        <v>0.89999997615814209</v>
      </c>
      <c r="H1784" s="192" t="s">
        <v>821</v>
      </c>
      <c r="I1784" s="192">
        <v>2</v>
      </c>
      <c r="J1784" s="192">
        <f>VLOOKUP($B1784,'RBSA Weights'!$A$2:$C$1406,3,FALSE)</f>
        <v>8264.9449999999997</v>
      </c>
    </row>
    <row r="1785" spans="1:10">
      <c r="A1785" s="192">
        <v>161561</v>
      </c>
      <c r="B1785" s="192">
        <v>24312</v>
      </c>
      <c r="C1785" s="192" t="s">
        <v>829</v>
      </c>
      <c r="D1785" s="192">
        <v>51</v>
      </c>
      <c r="E1785" s="192" t="s">
        <v>816</v>
      </c>
      <c r="F1785" s="192" t="s">
        <v>820</v>
      </c>
      <c r="G1785" s="192">
        <v>0.85000002384185791</v>
      </c>
      <c r="H1785" s="192" t="s">
        <v>820</v>
      </c>
      <c r="I1785" s="192">
        <v>2</v>
      </c>
      <c r="J1785" s="192">
        <f>VLOOKUP($B1785,'RBSA Weights'!$A$2:$C$1406,3,FALSE)</f>
        <v>2079.9929999999999</v>
      </c>
    </row>
    <row r="1786" spans="1:10">
      <c r="A1786" s="192">
        <v>67714</v>
      </c>
      <c r="B1786" s="192">
        <v>24363</v>
      </c>
      <c r="C1786" s="192" t="s">
        <v>829</v>
      </c>
      <c r="D1786" s="192">
        <v>20</v>
      </c>
      <c r="E1786" s="192" t="s">
        <v>816</v>
      </c>
      <c r="F1786" s="192" t="s">
        <v>818</v>
      </c>
      <c r="G1786" s="192">
        <v>0.60000002384185791</v>
      </c>
      <c r="H1786" s="192" t="s">
        <v>818</v>
      </c>
      <c r="I1786" s="192">
        <v>2</v>
      </c>
      <c r="J1786" s="192">
        <f>VLOOKUP($B1786,'RBSA Weights'!$A$2:$C$1406,3,FALSE)</f>
        <v>3785.7640000000001</v>
      </c>
    </row>
    <row r="1787" spans="1:10">
      <c r="A1787" s="192">
        <v>725915</v>
      </c>
      <c r="B1787" s="192">
        <v>24378</v>
      </c>
      <c r="C1787" s="192" t="s">
        <v>829</v>
      </c>
      <c r="D1787" s="192">
        <v>8</v>
      </c>
      <c r="E1787" s="192" t="s">
        <v>816</v>
      </c>
      <c r="F1787" s="192" t="s">
        <v>823</v>
      </c>
      <c r="G1787" s="192">
        <v>1.1000000238418579</v>
      </c>
      <c r="H1787" s="192" t="s">
        <v>823</v>
      </c>
      <c r="I1787" s="192">
        <v>2</v>
      </c>
      <c r="J1787" s="192">
        <f>VLOOKUP($B1787,'RBSA Weights'!$A$2:$C$1406,3,FALSE)</f>
        <v>12271.31</v>
      </c>
    </row>
    <row r="1788" spans="1:10">
      <c r="A1788" s="192">
        <v>168065</v>
      </c>
      <c r="B1788" s="192">
        <v>24398</v>
      </c>
      <c r="C1788" s="192" t="s">
        <v>829</v>
      </c>
      <c r="D1788" s="192">
        <v>142</v>
      </c>
      <c r="E1788" s="192" t="s">
        <v>816</v>
      </c>
      <c r="F1788" s="192" t="s">
        <v>820</v>
      </c>
      <c r="G1788" s="192">
        <v>0.85000002384185791</v>
      </c>
      <c r="H1788" s="192" t="s">
        <v>820</v>
      </c>
      <c r="I1788" s="192">
        <v>2</v>
      </c>
      <c r="J1788" s="192">
        <f>VLOOKUP($B1788,'RBSA Weights'!$A$2:$C$1406,3,FALSE)</f>
        <v>1612.692</v>
      </c>
    </row>
    <row r="1789" spans="1:10">
      <c r="A1789" s="192">
        <v>128405</v>
      </c>
      <c r="B1789" s="192">
        <v>24410</v>
      </c>
      <c r="C1789" s="192" t="s">
        <v>829</v>
      </c>
      <c r="D1789" s="192">
        <v>194</v>
      </c>
      <c r="E1789" s="192" t="s">
        <v>816</v>
      </c>
      <c r="F1789" s="192" t="s">
        <v>822</v>
      </c>
      <c r="G1789" s="192">
        <v>0.75</v>
      </c>
      <c r="H1789" s="192" t="s">
        <v>820</v>
      </c>
      <c r="I1789" s="192">
        <v>2</v>
      </c>
      <c r="J1789" s="192">
        <f>VLOOKUP($B1789,'RBSA Weights'!$A$2:$C$1406,3,FALSE)</f>
        <v>1144.6790000000001</v>
      </c>
    </row>
    <row r="1790" spans="1:10">
      <c r="A1790" s="192">
        <v>163134</v>
      </c>
      <c r="B1790" s="192">
        <v>24500</v>
      </c>
      <c r="C1790" s="192" t="s">
        <v>829</v>
      </c>
      <c r="D1790" s="192">
        <v>37</v>
      </c>
      <c r="E1790" s="192" t="s">
        <v>816</v>
      </c>
      <c r="F1790" s="192" t="s">
        <v>820</v>
      </c>
      <c r="G1790" s="192">
        <v>0.85000002384185791</v>
      </c>
      <c r="H1790" s="192" t="s">
        <v>820</v>
      </c>
      <c r="I1790" s="192">
        <v>2</v>
      </c>
      <c r="J1790" s="192">
        <f>VLOOKUP($B1790,'RBSA Weights'!$A$2:$C$1406,3,FALSE)</f>
        <v>1192.4649999999999</v>
      </c>
    </row>
    <row r="1791" spans="1:10">
      <c r="A1791" s="192">
        <v>123952</v>
      </c>
      <c r="B1791" s="192">
        <v>24522</v>
      </c>
      <c r="C1791" s="192" t="s">
        <v>829</v>
      </c>
      <c r="D1791" s="192">
        <v>31</v>
      </c>
      <c r="E1791" s="192" t="s">
        <v>816</v>
      </c>
      <c r="F1791" s="192" t="s">
        <v>821</v>
      </c>
      <c r="G1791" s="192">
        <v>0.94999998807907104</v>
      </c>
      <c r="H1791" s="192" t="s">
        <v>821</v>
      </c>
      <c r="I1791" s="192">
        <v>2</v>
      </c>
      <c r="J1791" s="192">
        <f>VLOOKUP($B1791,'RBSA Weights'!$A$2:$C$1406,3,FALSE)</f>
        <v>2079.9929999999999</v>
      </c>
    </row>
    <row r="1792" spans="1:10">
      <c r="A1792" s="192">
        <v>152114</v>
      </c>
      <c r="B1792" s="192">
        <v>24533</v>
      </c>
      <c r="C1792" s="192" t="s">
        <v>829</v>
      </c>
      <c r="D1792" s="192">
        <v>69</v>
      </c>
      <c r="E1792" s="192" t="s">
        <v>816</v>
      </c>
      <c r="F1792" s="192" t="s">
        <v>821</v>
      </c>
      <c r="G1792" s="192">
        <v>0.94999998807907104</v>
      </c>
      <c r="H1792" s="192" t="s">
        <v>821</v>
      </c>
      <c r="I1792" s="192">
        <v>2</v>
      </c>
      <c r="J1792" s="192">
        <f>VLOOKUP($B1792,'RBSA Weights'!$A$2:$C$1406,3,FALSE)</f>
        <v>1612.692</v>
      </c>
    </row>
    <row r="1793" spans="1:10">
      <c r="A1793" s="192">
        <v>179505</v>
      </c>
      <c r="B1793" s="192">
        <v>24551</v>
      </c>
      <c r="C1793" s="192" t="s">
        <v>829</v>
      </c>
      <c r="D1793" s="192">
        <v>65</v>
      </c>
      <c r="E1793" s="192" t="s">
        <v>816</v>
      </c>
      <c r="F1793" s="192" t="s">
        <v>817</v>
      </c>
      <c r="G1793" s="192">
        <v>0.44999998807907104</v>
      </c>
      <c r="H1793" s="192" t="s">
        <v>818</v>
      </c>
      <c r="I1793" s="192">
        <v>2</v>
      </c>
      <c r="J1793" s="192">
        <f>VLOOKUP($B1793,'RBSA Weights'!$A$2:$C$1406,3,FALSE)</f>
        <v>2130.886</v>
      </c>
    </row>
    <row r="1794" spans="1:10">
      <c r="A1794" s="192">
        <v>79999</v>
      </c>
      <c r="B1794" s="192">
        <v>24553</v>
      </c>
      <c r="C1794" s="192" t="s">
        <v>829</v>
      </c>
      <c r="D1794" s="192">
        <v>80</v>
      </c>
      <c r="E1794" s="192" t="s">
        <v>816</v>
      </c>
      <c r="F1794" s="192" t="s">
        <v>822</v>
      </c>
      <c r="G1794" s="192">
        <v>0.75</v>
      </c>
      <c r="H1794" s="192" t="s">
        <v>820</v>
      </c>
      <c r="I1794" s="192">
        <v>2</v>
      </c>
      <c r="J1794" s="192">
        <f>VLOOKUP($B1794,'RBSA Weights'!$A$2:$C$1406,3,FALSE)</f>
        <v>1925.059</v>
      </c>
    </row>
    <row r="1795" spans="1:10">
      <c r="A1795" s="192">
        <v>171083</v>
      </c>
      <c r="B1795" s="192">
        <v>24572</v>
      </c>
      <c r="C1795" s="192" t="s">
        <v>829</v>
      </c>
      <c r="D1795" s="192">
        <v>85</v>
      </c>
      <c r="E1795" s="192" t="s">
        <v>816</v>
      </c>
      <c r="F1795" s="192" t="s">
        <v>823</v>
      </c>
      <c r="G1795" s="192">
        <v>1.1000000238418579</v>
      </c>
      <c r="H1795" s="192" t="s">
        <v>823</v>
      </c>
      <c r="I1795" s="192">
        <v>2</v>
      </c>
      <c r="J1795" s="192">
        <f>VLOOKUP($B1795,'RBSA Weights'!$A$2:$C$1406,3,FALSE)</f>
        <v>4360.1880000000001</v>
      </c>
    </row>
    <row r="1796" spans="1:10">
      <c r="A1796" s="192">
        <v>176920</v>
      </c>
      <c r="B1796" s="192">
        <v>24622</v>
      </c>
      <c r="C1796" s="192" t="s">
        <v>829</v>
      </c>
      <c r="D1796" s="192">
        <v>30</v>
      </c>
      <c r="E1796" s="192" t="s">
        <v>816</v>
      </c>
      <c r="F1796" s="192" t="s">
        <v>821</v>
      </c>
      <c r="G1796" s="192">
        <v>0.94999998807907104</v>
      </c>
      <c r="H1796" s="192" t="s">
        <v>821</v>
      </c>
      <c r="I1796" s="192">
        <v>2</v>
      </c>
      <c r="J1796" s="192">
        <f>VLOOKUP($B1796,'RBSA Weights'!$A$2:$C$1406,3,FALSE)</f>
        <v>2130.886</v>
      </c>
    </row>
    <row r="1797" spans="1:10">
      <c r="A1797" s="192">
        <v>107743</v>
      </c>
      <c r="B1797" s="192">
        <v>24696</v>
      </c>
      <c r="C1797" s="192" t="s">
        <v>829</v>
      </c>
      <c r="D1797" s="192">
        <v>6</v>
      </c>
      <c r="E1797" s="192" t="s">
        <v>816</v>
      </c>
      <c r="F1797" s="192" t="s">
        <v>817</v>
      </c>
      <c r="G1797" s="192">
        <v>0.55000001192092896</v>
      </c>
      <c r="H1797" s="192" t="s">
        <v>818</v>
      </c>
      <c r="I1797" s="192">
        <v>2</v>
      </c>
      <c r="J1797" s="192">
        <f>VLOOKUP($B1797,'RBSA Weights'!$A$2:$C$1406,3,FALSE)</f>
        <v>2079.9929999999999</v>
      </c>
    </row>
    <row r="1798" spans="1:10">
      <c r="A1798" s="192">
        <v>152641</v>
      </c>
      <c r="B1798" s="192">
        <v>24699</v>
      </c>
      <c r="C1798" s="192" t="s">
        <v>829</v>
      </c>
      <c r="D1798" s="192">
        <v>37</v>
      </c>
      <c r="E1798" s="192" t="s">
        <v>819</v>
      </c>
      <c r="F1798" s="192" t="s">
        <v>821</v>
      </c>
      <c r="G1798" s="192">
        <v>0.75</v>
      </c>
      <c r="H1798" s="192" t="s">
        <v>821</v>
      </c>
      <c r="I1798" s="192">
        <v>2</v>
      </c>
      <c r="J1798" s="192">
        <f>VLOOKUP($B1798,'RBSA Weights'!$A$2:$C$1406,3,FALSE)</f>
        <v>1144.6790000000001</v>
      </c>
    </row>
    <row r="1799" spans="1:10">
      <c r="A1799" s="192">
        <v>119026</v>
      </c>
      <c r="B1799" s="192">
        <v>24713</v>
      </c>
      <c r="C1799" s="192" t="s">
        <v>829</v>
      </c>
      <c r="D1799" s="192">
        <v>21</v>
      </c>
      <c r="E1799" s="192" t="s">
        <v>816</v>
      </c>
      <c r="F1799" s="192" t="s">
        <v>823</v>
      </c>
      <c r="G1799" s="192">
        <v>1.1000000238418579</v>
      </c>
      <c r="H1799" s="192" t="s">
        <v>823</v>
      </c>
      <c r="I1799" s="192">
        <v>2</v>
      </c>
      <c r="J1799" s="192">
        <f>VLOOKUP($B1799,'RBSA Weights'!$A$2:$C$1406,3,FALSE)</f>
        <v>1925.059</v>
      </c>
    </row>
    <row r="1800" spans="1:10">
      <c r="A1800" s="192">
        <v>150676</v>
      </c>
      <c r="B1800" s="192">
        <v>24765</v>
      </c>
      <c r="C1800" s="192" t="s">
        <v>829</v>
      </c>
      <c r="D1800" s="192">
        <v>94</v>
      </c>
      <c r="E1800" s="192" t="s">
        <v>816</v>
      </c>
      <c r="F1800" s="192" t="s">
        <v>817</v>
      </c>
      <c r="G1800" s="192">
        <v>0.44999998807907104</v>
      </c>
      <c r="H1800" s="192" t="s">
        <v>818</v>
      </c>
      <c r="I1800" s="192">
        <v>2</v>
      </c>
      <c r="J1800" s="192">
        <f>VLOOKUP($B1800,'RBSA Weights'!$A$2:$C$1406,3,FALSE)</f>
        <v>1144.6790000000001</v>
      </c>
    </row>
  </sheetData>
  <autoFilter ref="A1:J1800"/>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1:AP962"/>
  <sheetViews>
    <sheetView topLeftCell="O1" workbookViewId="0">
      <selection activeCell="D1" sqref="D1"/>
    </sheetView>
  </sheetViews>
  <sheetFormatPr defaultRowHeight="12.75"/>
  <cols>
    <col min="1" max="20" width="9.140625" style="192"/>
    <col min="21" max="21" width="14.28515625" style="192" customWidth="1"/>
    <col min="22" max="22" width="17" style="192" bestFit="1" customWidth="1"/>
    <col min="23" max="23" width="11" style="192" customWidth="1"/>
    <col min="24" max="24" width="10" style="192" customWidth="1"/>
    <col min="25" max="28" width="11" style="192" customWidth="1"/>
    <col min="29" max="29" width="10" style="192" customWidth="1"/>
    <col min="30" max="30" width="11" style="192" bestFit="1" customWidth="1"/>
    <col min="31" max="32" width="11" style="192" customWidth="1"/>
    <col min="33" max="33" width="10" style="192" bestFit="1" customWidth="1"/>
    <col min="34" max="35" width="11" style="192" customWidth="1"/>
    <col min="36" max="36" width="11" style="192" bestFit="1" customWidth="1"/>
    <col min="37" max="37" width="11" style="192" customWidth="1"/>
    <col min="38" max="38" width="11.7109375" style="192" customWidth="1"/>
    <col min="39" max="16384" width="9.140625" style="192"/>
  </cols>
  <sheetData>
    <row r="1" spans="1:42">
      <c r="B1" s="192" t="s">
        <v>1611</v>
      </c>
      <c r="D1" s="192" t="s">
        <v>1616</v>
      </c>
    </row>
    <row r="2" spans="1:42">
      <c r="A2" s="192" t="s">
        <v>902</v>
      </c>
      <c r="B2" s="192" t="s">
        <v>903</v>
      </c>
      <c r="C2" s="192" t="s">
        <v>904</v>
      </c>
      <c r="D2" s="192" t="s">
        <v>905</v>
      </c>
      <c r="E2" s="192" t="s">
        <v>906</v>
      </c>
      <c r="F2" s="192" t="s">
        <v>907</v>
      </c>
      <c r="G2" s="192" t="s">
        <v>689</v>
      </c>
      <c r="H2" s="192" t="s">
        <v>315</v>
      </c>
      <c r="I2" s="192" t="s">
        <v>908</v>
      </c>
      <c r="J2" s="192" t="s">
        <v>909</v>
      </c>
      <c r="K2" s="192" t="s">
        <v>910</v>
      </c>
      <c r="L2" s="192" t="s">
        <v>911</v>
      </c>
      <c r="M2" s="192" t="s">
        <v>912</v>
      </c>
      <c r="N2" s="192" t="s">
        <v>913</v>
      </c>
      <c r="O2" s="192" t="s">
        <v>694</v>
      </c>
      <c r="P2" s="192" t="s">
        <v>914</v>
      </c>
      <c r="Q2" s="192" t="s">
        <v>915</v>
      </c>
      <c r="R2" s="192" t="s">
        <v>916</v>
      </c>
      <c r="S2" s="192" t="s">
        <v>986</v>
      </c>
    </row>
    <row r="3" spans="1:42">
      <c r="A3" s="192" t="s">
        <v>917</v>
      </c>
      <c r="B3" s="192">
        <v>0</v>
      </c>
      <c r="C3" s="192">
        <v>0</v>
      </c>
      <c r="D3" s="192" t="s">
        <v>65</v>
      </c>
      <c r="E3" s="192">
        <v>1</v>
      </c>
      <c r="F3" s="192">
        <v>0</v>
      </c>
      <c r="G3" s="192">
        <v>26786</v>
      </c>
      <c r="H3" s="192">
        <v>10176</v>
      </c>
      <c r="I3" s="192">
        <v>1</v>
      </c>
      <c r="J3" s="192">
        <v>1200</v>
      </c>
      <c r="K3" s="192" t="s">
        <v>918</v>
      </c>
      <c r="L3" s="192" t="s">
        <v>737</v>
      </c>
      <c r="M3" s="192" t="s">
        <v>919</v>
      </c>
      <c r="N3" s="192" t="s">
        <v>65</v>
      </c>
      <c r="O3" s="192" t="s">
        <v>65</v>
      </c>
      <c r="P3" s="192" t="s">
        <v>65</v>
      </c>
      <c r="Q3" s="192">
        <v>0.23000000417232513</v>
      </c>
      <c r="R3" s="192">
        <v>3.0999999046325684</v>
      </c>
      <c r="S3" s="192">
        <f>VLOOKUP($H3,'RBSA Weights'!$A$2:$C$1406,3,FALSE)</f>
        <v>1150.8789999999999</v>
      </c>
    </row>
    <row r="4" spans="1:42">
      <c r="A4" s="192" t="s">
        <v>920</v>
      </c>
      <c r="B4" s="192">
        <v>0.25</v>
      </c>
      <c r="C4" s="192">
        <v>1</v>
      </c>
      <c r="D4" s="192" t="s">
        <v>921</v>
      </c>
      <c r="E4" s="192">
        <v>1</v>
      </c>
      <c r="F4" s="192">
        <v>0</v>
      </c>
      <c r="G4" s="192">
        <v>659440</v>
      </c>
      <c r="H4" s="192">
        <v>13903</v>
      </c>
      <c r="I4" s="192">
        <v>1</v>
      </c>
      <c r="J4" s="192">
        <v>1314</v>
      </c>
      <c r="K4" s="192" t="s">
        <v>918</v>
      </c>
      <c r="L4" s="192" t="s">
        <v>65</v>
      </c>
      <c r="M4" s="192" t="s">
        <v>919</v>
      </c>
      <c r="N4" s="192" t="s">
        <v>65</v>
      </c>
      <c r="O4" s="192" t="s">
        <v>65</v>
      </c>
      <c r="P4" s="192" t="s">
        <v>65</v>
      </c>
      <c r="Q4" s="192">
        <v>0.20999999344348907</v>
      </c>
      <c r="R4" s="192">
        <v>4.5</v>
      </c>
      <c r="S4" s="192">
        <f>VLOOKUP($H4,'RBSA Weights'!$A$2:$C$1406,3,FALSE)</f>
        <v>6932.7380000000003</v>
      </c>
    </row>
    <row r="5" spans="1:42">
      <c r="A5" s="192" t="s">
        <v>920</v>
      </c>
      <c r="B5" s="192">
        <v>0.75</v>
      </c>
      <c r="C5" s="192">
        <v>0</v>
      </c>
      <c r="D5" s="192" t="s">
        <v>65</v>
      </c>
      <c r="E5" s="192">
        <v>1</v>
      </c>
      <c r="F5" s="192">
        <v>0</v>
      </c>
      <c r="G5" s="192">
        <v>79999</v>
      </c>
      <c r="H5" s="192">
        <v>24553</v>
      </c>
      <c r="I5" s="192">
        <v>1</v>
      </c>
      <c r="J5" s="192">
        <v>1074</v>
      </c>
      <c r="K5" s="192" t="s">
        <v>918</v>
      </c>
      <c r="L5" s="192" t="s">
        <v>922</v>
      </c>
      <c r="M5" s="192" t="s">
        <v>923</v>
      </c>
      <c r="N5" s="192" t="s">
        <v>65</v>
      </c>
      <c r="O5" s="192" t="s">
        <v>65</v>
      </c>
      <c r="P5" s="192" t="s">
        <v>924</v>
      </c>
      <c r="Q5" s="192">
        <v>0.15999999642372131</v>
      </c>
      <c r="R5" s="192">
        <v>3.0999999046325684</v>
      </c>
      <c r="S5" s="192">
        <f>VLOOKUP($H5,'RBSA Weights'!$A$2:$C$1406,3,FALSE)</f>
        <v>1925.059</v>
      </c>
    </row>
    <row r="6" spans="1:42">
      <c r="A6" s="192" t="s">
        <v>920</v>
      </c>
      <c r="B6" s="192">
        <v>0.9</v>
      </c>
      <c r="C6" s="192">
        <v>0</v>
      </c>
      <c r="D6" s="192" t="s">
        <v>65</v>
      </c>
      <c r="E6" s="192">
        <v>0</v>
      </c>
      <c r="G6" s="192">
        <v>225883</v>
      </c>
      <c r="H6" s="192">
        <v>12101</v>
      </c>
      <c r="I6" s="192">
        <v>1</v>
      </c>
      <c r="J6" s="192">
        <v>1060</v>
      </c>
      <c r="K6" s="192" t="s">
        <v>918</v>
      </c>
      <c r="L6" s="192" t="s">
        <v>65</v>
      </c>
      <c r="M6" s="192" t="s">
        <v>923</v>
      </c>
      <c r="N6" s="192" t="s">
        <v>65</v>
      </c>
      <c r="O6" s="192" t="s">
        <v>65</v>
      </c>
      <c r="P6" s="192" t="s">
        <v>65</v>
      </c>
      <c r="Q6" s="192">
        <v>0.15000000596046448</v>
      </c>
      <c r="R6" s="192">
        <v>5</v>
      </c>
      <c r="S6" s="192">
        <f>VLOOKUP($H6,'RBSA Weights'!$A$2:$C$1406,3,FALSE)</f>
        <v>4956.4930000000004</v>
      </c>
    </row>
    <row r="7" spans="1:42">
      <c r="A7" s="192" t="s">
        <v>920</v>
      </c>
      <c r="B7" s="192">
        <v>1</v>
      </c>
      <c r="C7" s="192">
        <v>0</v>
      </c>
      <c r="D7" s="192" t="s">
        <v>65</v>
      </c>
      <c r="E7" s="192">
        <v>1</v>
      </c>
      <c r="F7" s="192">
        <v>1</v>
      </c>
      <c r="G7" s="192">
        <v>175100</v>
      </c>
      <c r="H7" s="192">
        <v>21091</v>
      </c>
      <c r="I7" s="192">
        <v>1</v>
      </c>
      <c r="J7" s="192">
        <v>1624</v>
      </c>
      <c r="K7" s="192" t="s">
        <v>918</v>
      </c>
      <c r="L7" s="192" t="s">
        <v>65</v>
      </c>
      <c r="M7" s="192" t="s">
        <v>919</v>
      </c>
      <c r="N7" s="192" t="s">
        <v>65</v>
      </c>
      <c r="O7" s="192" t="s">
        <v>65</v>
      </c>
      <c r="P7" s="192" t="s">
        <v>65</v>
      </c>
      <c r="Q7" s="192">
        <v>0.14000000059604645</v>
      </c>
      <c r="R7" s="192">
        <v>4.5</v>
      </c>
      <c r="S7" s="192">
        <f>VLOOKUP($H7,'RBSA Weights'!$A$2:$C$1406,3,FALSE)</f>
        <v>8559.1039999999994</v>
      </c>
    </row>
    <row r="8" spans="1:42">
      <c r="A8" s="192" t="s">
        <v>701</v>
      </c>
      <c r="B8" s="192">
        <v>0.25</v>
      </c>
      <c r="C8" s="192">
        <v>0</v>
      </c>
      <c r="D8" s="192" t="s">
        <v>65</v>
      </c>
      <c r="E8" s="192">
        <v>1</v>
      </c>
      <c r="F8" s="192">
        <v>0</v>
      </c>
      <c r="G8" s="192">
        <v>802343</v>
      </c>
      <c r="H8" s="192">
        <v>11953</v>
      </c>
      <c r="I8" s="192">
        <v>1</v>
      </c>
      <c r="J8" s="192">
        <v>1102</v>
      </c>
      <c r="K8" s="192" t="s">
        <v>925</v>
      </c>
      <c r="L8" s="192" t="s">
        <v>737</v>
      </c>
      <c r="M8" s="192" t="s">
        <v>923</v>
      </c>
      <c r="N8" s="192" t="s">
        <v>65</v>
      </c>
      <c r="O8" s="192" t="s">
        <v>65</v>
      </c>
      <c r="P8" s="192" t="s">
        <v>65</v>
      </c>
      <c r="Q8" s="192">
        <v>0.18999999761581421</v>
      </c>
      <c r="R8" s="192">
        <v>3.0999999046325684</v>
      </c>
      <c r="S8" s="192">
        <f>VLOOKUP($H8,'RBSA Weights'!$A$2:$C$1406,3,FALSE)</f>
        <v>2003.7159999999999</v>
      </c>
    </row>
    <row r="9" spans="1:42">
      <c r="A9" s="192" t="s">
        <v>701</v>
      </c>
      <c r="B9" s="192">
        <v>0.5</v>
      </c>
      <c r="C9" s="192">
        <v>0</v>
      </c>
      <c r="D9" s="192" t="s">
        <v>65</v>
      </c>
      <c r="E9" s="192">
        <v>1</v>
      </c>
      <c r="F9" s="192">
        <v>0</v>
      </c>
      <c r="G9" s="192">
        <v>64407</v>
      </c>
      <c r="H9" s="192">
        <v>11539</v>
      </c>
      <c r="I9" s="192">
        <v>1</v>
      </c>
      <c r="J9" s="192">
        <v>500</v>
      </c>
      <c r="K9" s="192" t="s">
        <v>925</v>
      </c>
      <c r="L9" s="192" t="s">
        <v>737</v>
      </c>
      <c r="M9" s="192" t="s">
        <v>923</v>
      </c>
      <c r="N9" s="192" t="s">
        <v>65</v>
      </c>
      <c r="O9" s="192" t="s">
        <v>65</v>
      </c>
      <c r="P9" s="192" t="s">
        <v>926</v>
      </c>
      <c r="Q9" s="192">
        <v>0.14499999582767487</v>
      </c>
      <c r="R9" s="192">
        <v>3.0999999046325684</v>
      </c>
      <c r="S9" s="192">
        <f>VLOOKUP($H9,'RBSA Weights'!$A$2:$C$1406,3,FALSE)</f>
        <v>2003.7159999999999</v>
      </c>
    </row>
    <row r="10" spans="1:42">
      <c r="A10" s="192" t="s">
        <v>701</v>
      </c>
      <c r="B10" s="192">
        <v>0.75</v>
      </c>
      <c r="C10" s="192">
        <v>0</v>
      </c>
      <c r="D10" s="192" t="s">
        <v>65</v>
      </c>
      <c r="E10" s="192">
        <v>0</v>
      </c>
      <c r="F10" s="192">
        <v>1</v>
      </c>
      <c r="G10" s="192">
        <v>27103</v>
      </c>
      <c r="H10" s="192">
        <v>11094</v>
      </c>
      <c r="I10" s="192">
        <v>2</v>
      </c>
      <c r="J10" s="192">
        <v>1150</v>
      </c>
      <c r="K10" s="192" t="s">
        <v>925</v>
      </c>
      <c r="L10" s="192" t="s">
        <v>737</v>
      </c>
      <c r="M10" s="192" t="s">
        <v>919</v>
      </c>
      <c r="N10" s="192" t="s">
        <v>65</v>
      </c>
      <c r="O10" s="192" t="s">
        <v>65</v>
      </c>
      <c r="P10" s="192" t="s">
        <v>924</v>
      </c>
      <c r="Q10" s="192">
        <v>0.10000000149011612</v>
      </c>
      <c r="R10" s="192">
        <v>5</v>
      </c>
      <c r="S10" s="192">
        <f>VLOOKUP($H10,'RBSA Weights'!$A$2:$C$1406,3,FALSE)</f>
        <v>1524.7619999999999</v>
      </c>
    </row>
    <row r="11" spans="1:42">
      <c r="A11" s="192" t="s">
        <v>701</v>
      </c>
      <c r="B11" s="192">
        <v>0.9</v>
      </c>
      <c r="C11" s="192">
        <v>0</v>
      </c>
      <c r="D11" s="192" t="s">
        <v>65</v>
      </c>
      <c r="E11" s="192">
        <v>1</v>
      </c>
      <c r="F11" s="192">
        <v>0</v>
      </c>
      <c r="G11" s="192">
        <v>66996</v>
      </c>
      <c r="H11" s="192">
        <v>11910</v>
      </c>
      <c r="I11" s="192">
        <v>1</v>
      </c>
      <c r="J11" s="192">
        <v>676</v>
      </c>
      <c r="K11" s="192" t="s">
        <v>925</v>
      </c>
      <c r="L11" s="192" t="s">
        <v>927</v>
      </c>
      <c r="M11" s="192" t="s">
        <v>923</v>
      </c>
      <c r="N11" s="192" t="s">
        <v>65</v>
      </c>
      <c r="O11" s="192" t="s">
        <v>65</v>
      </c>
      <c r="P11" s="192" t="s">
        <v>926</v>
      </c>
      <c r="Q11" s="192">
        <v>7.5000002980232239E-2</v>
      </c>
      <c r="R11" s="192">
        <v>3.0999999046325684</v>
      </c>
      <c r="S11" s="192">
        <f>VLOOKUP($H11,'RBSA Weights'!$A$2:$C$1406,3,FALSE)</f>
        <v>2003.7159999999999</v>
      </c>
      <c r="U11" s="194" t="s">
        <v>992</v>
      </c>
      <c r="V11" s="194" t="s">
        <v>805</v>
      </c>
      <c r="W11"/>
      <c r="X11"/>
      <c r="Y11"/>
      <c r="Z11"/>
      <c r="AA11"/>
      <c r="AB11"/>
      <c r="AC11"/>
      <c r="AD11"/>
      <c r="AE11"/>
      <c r="AF11"/>
      <c r="AG11"/>
      <c r="AH11"/>
      <c r="AI11"/>
      <c r="AJ11"/>
      <c r="AK11"/>
      <c r="AL11"/>
    </row>
    <row r="12" spans="1:42">
      <c r="A12" s="192" t="s">
        <v>701</v>
      </c>
      <c r="B12" s="192">
        <v>1</v>
      </c>
      <c r="C12" s="192">
        <v>0</v>
      </c>
      <c r="D12" s="192" t="s">
        <v>65</v>
      </c>
      <c r="E12" s="192">
        <v>1</v>
      </c>
      <c r="F12" s="192">
        <v>0</v>
      </c>
      <c r="G12" s="192">
        <v>182585</v>
      </c>
      <c r="H12" s="192">
        <v>23029</v>
      </c>
      <c r="I12" s="192">
        <v>1</v>
      </c>
      <c r="J12" s="192">
        <v>1085</v>
      </c>
      <c r="K12" s="192" t="s">
        <v>918</v>
      </c>
      <c r="L12" s="192" t="s">
        <v>65</v>
      </c>
      <c r="M12" s="192" t="s">
        <v>923</v>
      </c>
      <c r="N12" s="192" t="s">
        <v>65</v>
      </c>
      <c r="O12" s="192" t="s">
        <v>65</v>
      </c>
      <c r="P12" s="192" t="s">
        <v>65</v>
      </c>
      <c r="Q12" s="192">
        <v>5.9999998658895493E-2</v>
      </c>
      <c r="R12" s="192">
        <v>3.0999999046325684</v>
      </c>
      <c r="S12" s="192">
        <f>VLOOKUP($H12,'RBSA Weights'!$A$2:$C$1406,3,FALSE)</f>
        <v>1612.692</v>
      </c>
      <c r="U12"/>
      <c r="V12" t="s">
        <v>65</v>
      </c>
      <c r="W12"/>
      <c r="X12"/>
      <c r="Y12" t="s">
        <v>987</v>
      </c>
      <c r="Z12" t="s">
        <v>927</v>
      </c>
      <c r="AA12"/>
      <c r="AB12" t="s">
        <v>988</v>
      </c>
      <c r="AC12" t="s">
        <v>930</v>
      </c>
      <c r="AD12"/>
      <c r="AE12" t="s">
        <v>989</v>
      </c>
      <c r="AF12" t="s">
        <v>922</v>
      </c>
      <c r="AG12"/>
      <c r="AH12" t="s">
        <v>990</v>
      </c>
      <c r="AI12" t="s">
        <v>737</v>
      </c>
      <c r="AJ12"/>
      <c r="AK12" t="s">
        <v>991</v>
      </c>
      <c r="AL12" t="s">
        <v>804</v>
      </c>
    </row>
    <row r="13" spans="1:42">
      <c r="A13" s="192" t="s">
        <v>928</v>
      </c>
      <c r="B13" s="192">
        <v>0</v>
      </c>
      <c r="C13" s="192">
        <v>0</v>
      </c>
      <c r="D13" s="192" t="s">
        <v>65</v>
      </c>
      <c r="E13" s="192">
        <v>1</v>
      </c>
      <c r="F13" s="192">
        <v>0</v>
      </c>
      <c r="G13" s="192">
        <v>39591</v>
      </c>
      <c r="H13" s="192">
        <v>12242</v>
      </c>
      <c r="I13" s="192">
        <v>1</v>
      </c>
      <c r="J13" s="192">
        <v>780</v>
      </c>
      <c r="K13" s="192" t="s">
        <v>925</v>
      </c>
      <c r="L13" s="192" t="s">
        <v>737</v>
      </c>
      <c r="M13" s="192" t="s">
        <v>919</v>
      </c>
      <c r="N13" s="192" t="s">
        <v>65</v>
      </c>
      <c r="O13" s="192" t="s">
        <v>65</v>
      </c>
      <c r="P13" s="192" t="s">
        <v>65</v>
      </c>
      <c r="Q13" s="192">
        <v>0.23000000417232513</v>
      </c>
      <c r="R13" s="192">
        <v>3.0999999046325684</v>
      </c>
      <c r="S13" s="192">
        <f>VLOOKUP($H13,'RBSA Weights'!$A$2:$C$1406,3,FALSE)</f>
        <v>1524.7619999999999</v>
      </c>
      <c r="U13" s="194" t="s">
        <v>803</v>
      </c>
      <c r="V13"/>
      <c r="W13" t="s">
        <v>919</v>
      </c>
      <c r="X13" t="s">
        <v>923</v>
      </c>
      <c r="Y13"/>
      <c r="Z13" t="s">
        <v>919</v>
      </c>
      <c r="AA13" t="s">
        <v>923</v>
      </c>
      <c r="AB13"/>
      <c r="AC13" t="s">
        <v>919</v>
      </c>
      <c r="AD13" t="s">
        <v>923</v>
      </c>
      <c r="AE13"/>
      <c r="AF13" t="s">
        <v>919</v>
      </c>
      <c r="AG13" t="s">
        <v>923</v>
      </c>
      <c r="AH13"/>
      <c r="AI13" t="s">
        <v>919</v>
      </c>
      <c r="AJ13" t="s">
        <v>923</v>
      </c>
      <c r="AK13"/>
      <c r="AL13"/>
      <c r="AN13" s="192" t="s">
        <v>993</v>
      </c>
      <c r="AO13" s="192" t="s">
        <v>994</v>
      </c>
    </row>
    <row r="14" spans="1:42">
      <c r="A14" s="192" t="s">
        <v>928</v>
      </c>
      <c r="B14" s="192">
        <v>0.25</v>
      </c>
      <c r="C14" s="192">
        <v>0</v>
      </c>
      <c r="D14" s="192" t="s">
        <v>65</v>
      </c>
      <c r="E14" s="192">
        <v>1</v>
      </c>
      <c r="F14" s="192">
        <v>0</v>
      </c>
      <c r="G14" s="192">
        <v>104021</v>
      </c>
      <c r="H14" s="192">
        <v>11512</v>
      </c>
      <c r="I14" s="192">
        <v>1</v>
      </c>
      <c r="J14" s="192">
        <v>1186</v>
      </c>
      <c r="K14" s="192" t="s">
        <v>918</v>
      </c>
      <c r="L14" s="192" t="s">
        <v>737</v>
      </c>
      <c r="M14" s="192" t="s">
        <v>923</v>
      </c>
      <c r="N14" s="192" t="s">
        <v>65</v>
      </c>
      <c r="O14" s="192" t="s">
        <v>65</v>
      </c>
      <c r="P14" s="192" t="s">
        <v>926</v>
      </c>
      <c r="Q14" s="192">
        <v>0.18500000238418579</v>
      </c>
      <c r="R14" s="192">
        <v>3.0999999046325684</v>
      </c>
      <c r="S14" s="192">
        <f>VLOOKUP($H14,'RBSA Weights'!$A$2:$C$1406,3,FALSE)</f>
        <v>2003.7159999999999</v>
      </c>
      <c r="U14" s="195"/>
      <c r="V14" s="196">
        <v>9470.7109999999993</v>
      </c>
      <c r="W14" s="196">
        <v>7383.5379999999986</v>
      </c>
      <c r="X14" s="196"/>
      <c r="Y14" s="196">
        <v>16854.248999999996</v>
      </c>
      <c r="Z14" s="196"/>
      <c r="AA14" s="196"/>
      <c r="AB14" s="196"/>
      <c r="AC14" s="196"/>
      <c r="AD14" s="196"/>
      <c r="AE14" s="196"/>
      <c r="AF14" s="196"/>
      <c r="AG14" s="196"/>
      <c r="AH14" s="196"/>
      <c r="AI14" s="196"/>
      <c r="AJ14" s="196"/>
      <c r="AK14" s="196"/>
      <c r="AL14" s="196">
        <v>16854.248999999996</v>
      </c>
      <c r="AN14" s="192" t="s">
        <v>346</v>
      </c>
      <c r="AO14" s="192" t="s">
        <v>336</v>
      </c>
      <c r="AP14" s="192" t="s">
        <v>1135</v>
      </c>
    </row>
    <row r="15" spans="1:42">
      <c r="A15" s="192" t="s">
        <v>928</v>
      </c>
      <c r="B15" s="192">
        <v>0.5</v>
      </c>
      <c r="C15" s="192">
        <v>0</v>
      </c>
      <c r="D15" s="192" t="s">
        <v>65</v>
      </c>
      <c r="E15" s="192">
        <v>1</v>
      </c>
      <c r="F15" s="192">
        <v>0</v>
      </c>
      <c r="G15" s="192">
        <v>55136</v>
      </c>
      <c r="H15" s="192">
        <v>23501</v>
      </c>
      <c r="I15" s="192">
        <v>1</v>
      </c>
      <c r="J15" s="192">
        <v>290</v>
      </c>
      <c r="K15" s="192" t="s">
        <v>918</v>
      </c>
      <c r="L15" s="192" t="s">
        <v>737</v>
      </c>
      <c r="M15" s="192" t="s">
        <v>923</v>
      </c>
      <c r="N15" s="192" t="s">
        <v>65</v>
      </c>
      <c r="O15" s="192" t="s">
        <v>65</v>
      </c>
      <c r="P15" s="192" t="s">
        <v>926</v>
      </c>
      <c r="Q15" s="192">
        <v>0.14000000059604645</v>
      </c>
      <c r="R15" s="192">
        <v>3.0999999046325684</v>
      </c>
      <c r="S15" s="192">
        <f>VLOOKUP($H15,'RBSA Weights'!$A$2:$C$1406,3,FALSE)</f>
        <v>2079.9929999999999</v>
      </c>
      <c r="U15" s="195" t="s">
        <v>940</v>
      </c>
      <c r="V15" s="196">
        <v>1188.027</v>
      </c>
      <c r="W15" s="196">
        <v>191555.12299999999</v>
      </c>
      <c r="X15" s="196">
        <v>85064.339000000007</v>
      </c>
      <c r="Y15" s="196">
        <v>277807.489</v>
      </c>
      <c r="Z15" s="196">
        <v>18664.923999999999</v>
      </c>
      <c r="AA15" s="196">
        <v>162356.77100000004</v>
      </c>
      <c r="AB15" s="196">
        <v>181021.69500000004</v>
      </c>
      <c r="AC15" s="196">
        <v>8024.9990000000007</v>
      </c>
      <c r="AD15" s="196">
        <v>66962.411000000007</v>
      </c>
      <c r="AE15" s="196">
        <v>74987.41</v>
      </c>
      <c r="AF15" s="196">
        <v>75550.974000000002</v>
      </c>
      <c r="AG15" s="196">
        <v>35174.637000000002</v>
      </c>
      <c r="AH15" s="196">
        <v>110725.611</v>
      </c>
      <c r="AI15" s="196">
        <v>159167.15800000002</v>
      </c>
      <c r="AJ15" s="196">
        <v>108782.10100000002</v>
      </c>
      <c r="AK15" s="196">
        <v>267949.25900000008</v>
      </c>
      <c r="AL15" s="196">
        <v>912491.46400000015</v>
      </c>
      <c r="AN15" s="198">
        <f>SUM(Z15:Z16,Z19,AC15:AC16,AC19,AI15:AI16,AI19)/SUM($AL$15:$AL$16,$AL$19)</f>
        <v>0.19851645323572223</v>
      </c>
      <c r="AO15" s="198">
        <f>SUM(AA15:AA16,AA19,AD15:AD16,AD19,AJ15:AJ16,AJ19,X15:X16,X19)/SUM($AL$15:$AL$16,$AL$19)</f>
        <v>0.45814664559388574</v>
      </c>
      <c r="AP15" s="199">
        <f>1-AN15-AO15</f>
        <v>0.34333690117039206</v>
      </c>
    </row>
    <row r="16" spans="1:42">
      <c r="A16" s="192" t="s">
        <v>928</v>
      </c>
      <c r="B16" s="192">
        <v>0.75</v>
      </c>
      <c r="C16" s="192">
        <v>0</v>
      </c>
      <c r="D16" s="192" t="s">
        <v>65</v>
      </c>
      <c r="E16" s="192">
        <v>1</v>
      </c>
      <c r="F16" s="192">
        <v>1</v>
      </c>
      <c r="G16" s="192">
        <v>49186</v>
      </c>
      <c r="H16" s="192">
        <v>21471</v>
      </c>
      <c r="I16" s="192">
        <v>2</v>
      </c>
      <c r="J16" s="192">
        <v>1400</v>
      </c>
      <c r="K16" s="192" t="s">
        <v>918</v>
      </c>
      <c r="L16" s="192" t="s">
        <v>927</v>
      </c>
      <c r="M16" s="192" t="s">
        <v>919</v>
      </c>
      <c r="N16" s="192" t="s">
        <v>65</v>
      </c>
      <c r="O16" s="192" t="s">
        <v>65</v>
      </c>
      <c r="P16" s="192" t="s">
        <v>926</v>
      </c>
      <c r="Q16" s="192">
        <v>9.0000003576278687E-2</v>
      </c>
      <c r="R16" s="192">
        <v>4.5</v>
      </c>
      <c r="S16" s="192">
        <f>VLOOKUP($H16,'RBSA Weights'!$A$2:$C$1406,3,FALSE)</f>
        <v>2079.9929999999999</v>
      </c>
      <c r="U16" s="195" t="s">
        <v>917</v>
      </c>
      <c r="V16" s="196"/>
      <c r="W16" s="196"/>
      <c r="X16" s="196"/>
      <c r="Y16" s="196"/>
      <c r="Z16" s="196"/>
      <c r="AA16" s="196"/>
      <c r="AB16" s="196"/>
      <c r="AC16" s="196"/>
      <c r="AD16" s="196"/>
      <c r="AE16" s="196"/>
      <c r="AF16" s="196"/>
      <c r="AG16" s="196"/>
      <c r="AH16" s="196"/>
      <c r="AI16" s="196">
        <v>1150.8789999999999</v>
      </c>
      <c r="AJ16" s="196"/>
      <c r="AK16" s="196">
        <v>1150.8789999999999</v>
      </c>
      <c r="AL16" s="196">
        <v>1150.8789999999999</v>
      </c>
    </row>
    <row r="17" spans="1:38">
      <c r="A17" s="192" t="s">
        <v>928</v>
      </c>
      <c r="B17" s="192">
        <v>0.9</v>
      </c>
      <c r="C17" s="192">
        <v>0</v>
      </c>
      <c r="D17" s="192" t="s">
        <v>65</v>
      </c>
      <c r="E17" s="192">
        <v>1</v>
      </c>
      <c r="F17" s="192">
        <v>1</v>
      </c>
      <c r="G17" s="192">
        <v>111247</v>
      </c>
      <c r="H17" s="192">
        <v>22404</v>
      </c>
      <c r="I17" s="192">
        <v>1</v>
      </c>
      <c r="J17" s="192">
        <v>500</v>
      </c>
      <c r="K17" s="192" t="s">
        <v>918</v>
      </c>
      <c r="L17" s="192" t="s">
        <v>737</v>
      </c>
      <c r="M17" s="192" t="s">
        <v>919</v>
      </c>
      <c r="N17" s="192" t="s">
        <v>65</v>
      </c>
      <c r="O17" s="192" t="s">
        <v>65</v>
      </c>
      <c r="P17" s="192" t="s">
        <v>926</v>
      </c>
      <c r="Q17" s="192">
        <v>6.4999997615814209E-2</v>
      </c>
      <c r="R17" s="192">
        <v>4.5</v>
      </c>
      <c r="S17" s="192">
        <f>VLOOKUP($H17,'RBSA Weights'!$A$2:$C$1406,3,FALSE)</f>
        <v>2079.9929999999999</v>
      </c>
      <c r="U17" s="195" t="s">
        <v>701</v>
      </c>
      <c r="V17" s="196"/>
      <c r="W17" s="196">
        <v>21135.451999999997</v>
      </c>
      <c r="X17" s="196">
        <v>21565.593000000001</v>
      </c>
      <c r="Y17" s="196">
        <v>42701.044999999998</v>
      </c>
      <c r="Z17" s="196">
        <v>5865.7569999999996</v>
      </c>
      <c r="AA17" s="196">
        <v>27002.679</v>
      </c>
      <c r="AB17" s="196">
        <v>32868.436000000002</v>
      </c>
      <c r="AC17" s="196"/>
      <c r="AD17" s="196">
        <v>3275.5650000000001</v>
      </c>
      <c r="AE17" s="196">
        <v>3275.5650000000001</v>
      </c>
      <c r="AF17" s="196">
        <v>44659.861000000012</v>
      </c>
      <c r="AG17" s="196">
        <v>6087.4249999999993</v>
      </c>
      <c r="AH17" s="196">
        <v>50747.286000000007</v>
      </c>
      <c r="AI17" s="196">
        <v>23168.222999999998</v>
      </c>
      <c r="AJ17" s="196">
        <v>34322.091</v>
      </c>
      <c r="AK17" s="196">
        <v>57490.313999999998</v>
      </c>
      <c r="AL17" s="196">
        <v>187082.64600000001</v>
      </c>
    </row>
    <row r="18" spans="1:38">
      <c r="A18" s="192" t="s">
        <v>928</v>
      </c>
      <c r="B18" s="192">
        <v>1</v>
      </c>
      <c r="C18" s="192">
        <v>0</v>
      </c>
      <c r="D18" s="192" t="s">
        <v>65</v>
      </c>
      <c r="E18" s="192">
        <v>1</v>
      </c>
      <c r="F18" s="192">
        <v>1</v>
      </c>
      <c r="G18" s="192">
        <v>28102</v>
      </c>
      <c r="H18" s="192">
        <v>10551</v>
      </c>
      <c r="I18" s="192">
        <v>1</v>
      </c>
      <c r="J18" s="192">
        <v>405</v>
      </c>
      <c r="K18" s="192" t="s">
        <v>925</v>
      </c>
      <c r="L18" s="192" t="s">
        <v>922</v>
      </c>
      <c r="M18" s="192" t="s">
        <v>919</v>
      </c>
      <c r="N18" s="192" t="s">
        <v>65</v>
      </c>
      <c r="O18" s="192" t="s">
        <v>65</v>
      </c>
      <c r="P18" s="192" t="s">
        <v>65</v>
      </c>
      <c r="Q18" s="192">
        <v>4.5000001788139343E-2</v>
      </c>
      <c r="R18" s="192">
        <v>4.5</v>
      </c>
      <c r="S18" s="192">
        <f>VLOOKUP($H18,'RBSA Weights'!$A$2:$C$1406,3,FALSE)</f>
        <v>1524.7619999999999</v>
      </c>
      <c r="U18" s="195" t="s">
        <v>928</v>
      </c>
      <c r="V18" s="196">
        <v>2003.7159999999999</v>
      </c>
      <c r="W18" s="196">
        <v>120963.17499999996</v>
      </c>
      <c r="X18" s="196">
        <v>62023.498</v>
      </c>
      <c r="Y18" s="196">
        <v>184990.38899999997</v>
      </c>
      <c r="Z18" s="196">
        <v>37591.774000000005</v>
      </c>
      <c r="AA18" s="196">
        <v>77434.948000000004</v>
      </c>
      <c r="AB18" s="196">
        <v>115026.72200000001</v>
      </c>
      <c r="AC18" s="196"/>
      <c r="AD18" s="196">
        <v>30530.489999999994</v>
      </c>
      <c r="AE18" s="196">
        <v>30530.489999999994</v>
      </c>
      <c r="AF18" s="196">
        <v>163210.9579999999</v>
      </c>
      <c r="AG18" s="196">
        <v>18648.738000000001</v>
      </c>
      <c r="AH18" s="196">
        <v>181859.69599999991</v>
      </c>
      <c r="AI18" s="196">
        <v>296293.24099999981</v>
      </c>
      <c r="AJ18" s="196">
        <v>70754.834000000017</v>
      </c>
      <c r="AK18" s="196">
        <v>367048.07499999984</v>
      </c>
      <c r="AL18" s="196">
        <v>879455.37199999974</v>
      </c>
    </row>
    <row r="19" spans="1:38">
      <c r="A19" s="192" t="s">
        <v>929</v>
      </c>
      <c r="B19" s="192">
        <v>0.75</v>
      </c>
      <c r="C19" s="192">
        <v>0</v>
      </c>
      <c r="D19" s="192" t="s">
        <v>65</v>
      </c>
      <c r="E19" s="192">
        <v>1</v>
      </c>
      <c r="F19" s="192">
        <v>1</v>
      </c>
      <c r="G19" s="192">
        <v>101673</v>
      </c>
      <c r="H19" s="192">
        <v>22688</v>
      </c>
      <c r="I19" s="192">
        <v>1</v>
      </c>
      <c r="J19" s="192">
        <v>360</v>
      </c>
      <c r="K19" s="192" t="s">
        <v>925</v>
      </c>
      <c r="L19" s="192" t="s">
        <v>930</v>
      </c>
      <c r="M19" s="192" t="s">
        <v>923</v>
      </c>
      <c r="N19" s="192" t="s">
        <v>65</v>
      </c>
      <c r="O19" s="192" t="s">
        <v>65</v>
      </c>
      <c r="P19" s="192" t="s">
        <v>926</v>
      </c>
      <c r="Q19" s="192">
        <v>8.5000000894069672E-2</v>
      </c>
      <c r="R19" s="192">
        <v>4.5</v>
      </c>
      <c r="S19" s="192">
        <f>VLOOKUP($H19,'RBSA Weights'!$A$2:$C$1406,3,FALSE)</f>
        <v>1925.059</v>
      </c>
      <c r="U19" s="195" t="s">
        <v>920</v>
      </c>
      <c r="V19" s="196">
        <v>6144.52</v>
      </c>
      <c r="W19" s="196">
        <v>15491.842000000001</v>
      </c>
      <c r="X19" s="196">
        <v>4956.4930000000004</v>
      </c>
      <c r="Y19" s="196">
        <v>26592.855000000003</v>
      </c>
      <c r="Z19" s="196"/>
      <c r="AA19" s="196"/>
      <c r="AB19" s="196"/>
      <c r="AC19" s="196"/>
      <c r="AD19" s="196"/>
      <c r="AE19" s="196"/>
      <c r="AF19" s="196"/>
      <c r="AG19" s="196">
        <v>1925.059</v>
      </c>
      <c r="AH19" s="196">
        <v>1925.059</v>
      </c>
      <c r="AI19" s="196">
        <v>2079.9929999999999</v>
      </c>
      <c r="AJ19" s="196">
        <v>8264.9449999999997</v>
      </c>
      <c r="AK19" s="196">
        <v>10344.938</v>
      </c>
      <c r="AL19" s="196">
        <v>38862.851999999999</v>
      </c>
    </row>
    <row r="20" spans="1:38">
      <c r="A20" s="192" t="s">
        <v>929</v>
      </c>
      <c r="B20" s="192">
        <v>0.9</v>
      </c>
      <c r="C20" s="192">
        <v>0</v>
      </c>
      <c r="D20" s="192" t="s">
        <v>65</v>
      </c>
      <c r="E20" s="192">
        <v>0</v>
      </c>
      <c r="G20" s="192">
        <v>202110</v>
      </c>
      <c r="H20" s="192">
        <v>20606</v>
      </c>
      <c r="I20" s="192">
        <v>1</v>
      </c>
      <c r="J20" s="192">
        <v>112</v>
      </c>
      <c r="K20" s="192" t="s">
        <v>925</v>
      </c>
      <c r="L20" s="192" t="s">
        <v>927</v>
      </c>
      <c r="M20" s="192" t="s">
        <v>923</v>
      </c>
      <c r="N20" s="192" t="s">
        <v>65</v>
      </c>
      <c r="O20" s="192" t="s">
        <v>65</v>
      </c>
      <c r="P20" s="192" t="s">
        <v>65</v>
      </c>
      <c r="Q20" s="192">
        <v>5.9999998658895493E-2</v>
      </c>
      <c r="R20" s="192">
        <v>5</v>
      </c>
      <c r="S20" s="192">
        <f>VLOOKUP($H20,'RBSA Weights'!$A$2:$C$1406,3,FALSE)</f>
        <v>1612.692</v>
      </c>
      <c r="U20" s="195" t="s">
        <v>929</v>
      </c>
      <c r="V20" s="196"/>
      <c r="W20" s="196">
        <v>106668.02900000001</v>
      </c>
      <c r="X20" s="196">
        <v>10158.121999999999</v>
      </c>
      <c r="Y20" s="196">
        <v>116826.15100000001</v>
      </c>
      <c r="Z20" s="196">
        <v>20394.109000000004</v>
      </c>
      <c r="AA20" s="196">
        <v>21674.759000000002</v>
      </c>
      <c r="AB20" s="196">
        <v>42068.868000000002</v>
      </c>
      <c r="AC20" s="196">
        <v>4956.4930000000004</v>
      </c>
      <c r="AD20" s="196">
        <v>10861.266</v>
      </c>
      <c r="AE20" s="196">
        <v>15817.759</v>
      </c>
      <c r="AF20" s="196">
        <v>8032.4310000000005</v>
      </c>
      <c r="AG20" s="196">
        <v>4007.4319999999998</v>
      </c>
      <c r="AH20" s="196">
        <v>12039.863000000001</v>
      </c>
      <c r="AI20" s="196">
        <v>177663.51699999999</v>
      </c>
      <c r="AJ20" s="196">
        <v>34122.392999999996</v>
      </c>
      <c r="AK20" s="196">
        <v>211785.90999999997</v>
      </c>
      <c r="AL20" s="196">
        <v>398538.55099999998</v>
      </c>
    </row>
    <row r="21" spans="1:38">
      <c r="A21" s="192" t="s">
        <v>929</v>
      </c>
      <c r="B21" s="192">
        <v>1</v>
      </c>
      <c r="C21" s="192">
        <v>0</v>
      </c>
      <c r="D21" s="192" t="s">
        <v>65</v>
      </c>
      <c r="E21" s="192">
        <v>1</v>
      </c>
      <c r="F21" s="192">
        <v>0</v>
      </c>
      <c r="G21" s="192">
        <v>173481</v>
      </c>
      <c r="H21" s="192">
        <v>23631</v>
      </c>
      <c r="I21" s="192">
        <v>1</v>
      </c>
      <c r="J21" s="192">
        <v>1200</v>
      </c>
      <c r="K21" s="192" t="s">
        <v>925</v>
      </c>
      <c r="L21" s="192" t="s">
        <v>737</v>
      </c>
      <c r="M21" s="192" t="s">
        <v>919</v>
      </c>
      <c r="N21" s="192" t="s">
        <v>65</v>
      </c>
      <c r="O21" s="192" t="s">
        <v>65</v>
      </c>
      <c r="P21" s="192" t="s">
        <v>65</v>
      </c>
      <c r="Q21" s="192">
        <v>3.5000000149011612E-2</v>
      </c>
      <c r="R21" s="192">
        <v>3.0999999046325684</v>
      </c>
      <c r="S21" s="192">
        <f>VLOOKUP($H21,'RBSA Weights'!$A$2:$C$1406,3,FALSE)</f>
        <v>1925.059</v>
      </c>
      <c r="U21" s="195" t="s">
        <v>931</v>
      </c>
      <c r="V21" s="196"/>
      <c r="W21" s="196">
        <v>16049.217000000001</v>
      </c>
      <c r="X21" s="196">
        <v>34372.376999999993</v>
      </c>
      <c r="Y21" s="196">
        <v>50421.593999999997</v>
      </c>
      <c r="Z21" s="196">
        <v>41918.112000000008</v>
      </c>
      <c r="AA21" s="196">
        <v>70483.928000000029</v>
      </c>
      <c r="AB21" s="196">
        <v>112402.04000000004</v>
      </c>
      <c r="AC21" s="196">
        <v>12545.327000000001</v>
      </c>
      <c r="AD21" s="196">
        <v>57371.329999999994</v>
      </c>
      <c r="AE21" s="196">
        <v>69916.656999999992</v>
      </c>
      <c r="AF21" s="196">
        <v>5790.1749999999993</v>
      </c>
      <c r="AG21" s="196"/>
      <c r="AH21" s="196">
        <v>5790.1749999999993</v>
      </c>
      <c r="AI21" s="196">
        <v>28960.934000000001</v>
      </c>
      <c r="AJ21" s="196">
        <v>33252.717999999993</v>
      </c>
      <c r="AK21" s="196">
        <v>62213.651999999995</v>
      </c>
      <c r="AL21" s="196">
        <v>300744.11799999996</v>
      </c>
    </row>
    <row r="22" spans="1:38">
      <c r="A22" s="192" t="s">
        <v>931</v>
      </c>
      <c r="B22" s="192">
        <v>0.75</v>
      </c>
      <c r="C22" s="192">
        <v>0</v>
      </c>
      <c r="D22" s="192" t="s">
        <v>65</v>
      </c>
      <c r="E22" s="192">
        <v>0</v>
      </c>
      <c r="F22" s="192">
        <v>0</v>
      </c>
      <c r="G22" s="192">
        <v>34321</v>
      </c>
      <c r="H22" s="192">
        <v>21225</v>
      </c>
      <c r="I22" s="192">
        <v>1</v>
      </c>
      <c r="J22" s="192">
        <v>1500</v>
      </c>
      <c r="K22" s="192" t="s">
        <v>925</v>
      </c>
      <c r="L22" s="192" t="s">
        <v>930</v>
      </c>
      <c r="M22" s="192" t="s">
        <v>923</v>
      </c>
      <c r="N22" s="192" t="s">
        <v>65</v>
      </c>
      <c r="O22" s="192" t="s">
        <v>65</v>
      </c>
      <c r="P22" s="192" t="s">
        <v>926</v>
      </c>
      <c r="Q22" s="192">
        <v>7.9999998211860657E-2</v>
      </c>
      <c r="R22" s="192">
        <v>5</v>
      </c>
      <c r="S22" s="192">
        <f>VLOOKUP($H22,'RBSA Weights'!$A$2:$C$1406,3,FALSE)</f>
        <v>2130.886</v>
      </c>
      <c r="U22" s="195" t="s">
        <v>932</v>
      </c>
      <c r="V22" s="196"/>
      <c r="W22" s="196"/>
      <c r="X22" s="196"/>
      <c r="Y22" s="196"/>
      <c r="Z22" s="196">
        <v>3148.395</v>
      </c>
      <c r="AA22" s="196"/>
      <c r="AB22" s="196">
        <v>3148.395</v>
      </c>
      <c r="AC22" s="196">
        <v>6932.7380000000003</v>
      </c>
      <c r="AD22" s="196">
        <v>6753.8619999999992</v>
      </c>
      <c r="AE22" s="196">
        <v>13686.599999999999</v>
      </c>
      <c r="AF22" s="196">
        <v>3049.5239999999999</v>
      </c>
      <c r="AG22" s="196"/>
      <c r="AH22" s="196">
        <v>3049.5239999999999</v>
      </c>
      <c r="AI22" s="196">
        <v>1188.027</v>
      </c>
      <c r="AJ22" s="196"/>
      <c r="AK22" s="196">
        <v>1188.027</v>
      </c>
      <c r="AL22" s="196">
        <v>21072.546000000002</v>
      </c>
    </row>
    <row r="23" spans="1:38">
      <c r="A23" s="192" t="s">
        <v>931</v>
      </c>
      <c r="B23" s="192">
        <v>0.9</v>
      </c>
      <c r="C23" s="192">
        <v>0</v>
      </c>
      <c r="D23" s="192" t="s">
        <v>65</v>
      </c>
      <c r="E23" s="192">
        <v>0</v>
      </c>
      <c r="G23" s="192">
        <v>231174</v>
      </c>
      <c r="H23" s="192">
        <v>22214</v>
      </c>
      <c r="I23" s="192">
        <v>1</v>
      </c>
      <c r="J23" s="192">
        <v>518</v>
      </c>
      <c r="K23" s="192" t="s">
        <v>925</v>
      </c>
      <c r="L23" s="192" t="s">
        <v>930</v>
      </c>
      <c r="M23" s="192" t="s">
        <v>919</v>
      </c>
      <c r="N23" s="192" t="s">
        <v>65</v>
      </c>
      <c r="O23" s="192" t="s">
        <v>65</v>
      </c>
      <c r="P23" s="192" t="s">
        <v>65</v>
      </c>
      <c r="Q23" s="192">
        <v>5.4999999701976776E-2</v>
      </c>
      <c r="R23" s="192">
        <v>5</v>
      </c>
      <c r="S23" s="192">
        <f>VLOOKUP($H23,'RBSA Weights'!$A$2:$C$1406,3,FALSE)</f>
        <v>2130.886</v>
      </c>
      <c r="U23" s="195" t="s">
        <v>934</v>
      </c>
      <c r="V23" s="196"/>
      <c r="W23" s="196">
        <v>8148.2360000000008</v>
      </c>
      <c r="X23" s="196">
        <v>6932.7380000000003</v>
      </c>
      <c r="Y23" s="196">
        <v>15080.974000000002</v>
      </c>
      <c r="Z23" s="196"/>
      <c r="AA23" s="196">
        <v>3528.4780000000001</v>
      </c>
      <c r="AB23" s="196">
        <v>3528.4780000000001</v>
      </c>
      <c r="AC23" s="196"/>
      <c r="AD23" s="196">
        <v>5735.6409999999996</v>
      </c>
      <c r="AE23" s="196">
        <v>5735.6409999999996</v>
      </c>
      <c r="AF23" s="196">
        <v>17876.233</v>
      </c>
      <c r="AG23" s="196"/>
      <c r="AH23" s="196">
        <v>17876.233</v>
      </c>
      <c r="AI23" s="196">
        <v>9718.9500000000007</v>
      </c>
      <c r="AJ23" s="196">
        <v>8006.0169999999998</v>
      </c>
      <c r="AK23" s="196">
        <v>17724.967000000001</v>
      </c>
      <c r="AL23" s="196">
        <v>59946.292999999998</v>
      </c>
    </row>
    <row r="24" spans="1:38">
      <c r="A24" s="192" t="s">
        <v>931</v>
      </c>
      <c r="B24" s="192">
        <v>1</v>
      </c>
      <c r="C24" s="192">
        <v>0</v>
      </c>
      <c r="D24" s="192" t="s">
        <v>65</v>
      </c>
      <c r="E24" s="192">
        <v>1</v>
      </c>
      <c r="F24" s="192">
        <v>0</v>
      </c>
      <c r="G24" s="192">
        <v>157371</v>
      </c>
      <c r="H24" s="192">
        <v>21862</v>
      </c>
      <c r="I24" s="192">
        <v>1</v>
      </c>
      <c r="J24" s="192">
        <v>1613</v>
      </c>
      <c r="K24" s="192" t="s">
        <v>925</v>
      </c>
      <c r="L24" s="192" t="s">
        <v>930</v>
      </c>
      <c r="M24" s="192" t="s">
        <v>923</v>
      </c>
      <c r="N24" s="192" t="s">
        <v>65</v>
      </c>
      <c r="O24" s="192" t="s">
        <v>65</v>
      </c>
      <c r="P24" s="192" t="s">
        <v>65</v>
      </c>
      <c r="Q24" s="192">
        <v>2.9999999329447746E-2</v>
      </c>
      <c r="R24" s="192">
        <v>3.0999999046325684</v>
      </c>
      <c r="S24" s="192">
        <f>VLOOKUP($H24,'RBSA Weights'!$A$2:$C$1406,3,FALSE)</f>
        <v>1192.4649999999999</v>
      </c>
      <c r="U24" s="195" t="s">
        <v>804</v>
      </c>
      <c r="V24" s="196">
        <v>18806.974000000002</v>
      </c>
      <c r="W24" s="196">
        <v>487394.61199999996</v>
      </c>
      <c r="X24" s="196">
        <v>225073.15999999997</v>
      </c>
      <c r="Y24" s="196">
        <v>731274.74600000016</v>
      </c>
      <c r="Z24" s="196">
        <v>127583.07100000003</v>
      </c>
      <c r="AA24" s="196">
        <v>362481.56300000008</v>
      </c>
      <c r="AB24" s="196">
        <v>490064.63400000014</v>
      </c>
      <c r="AC24" s="196">
        <v>32459.557000000004</v>
      </c>
      <c r="AD24" s="196">
        <v>181490.565</v>
      </c>
      <c r="AE24" s="196">
        <v>213950.122</v>
      </c>
      <c r="AF24" s="196">
        <v>318170.1559999999</v>
      </c>
      <c r="AG24" s="196">
        <v>65843.290999999997</v>
      </c>
      <c r="AH24" s="196">
        <v>384013.44699999987</v>
      </c>
      <c r="AI24" s="196">
        <v>699390.92199999979</v>
      </c>
      <c r="AJ24" s="196">
        <v>297505.09900000005</v>
      </c>
      <c r="AK24" s="196">
        <v>996896.02099999995</v>
      </c>
      <c r="AL24" s="196">
        <v>2816198.9699999997</v>
      </c>
    </row>
    <row r="25" spans="1:38">
      <c r="A25" s="192" t="s">
        <v>932</v>
      </c>
      <c r="B25" s="192">
        <v>0.9</v>
      </c>
      <c r="C25" s="192">
        <v>0</v>
      </c>
      <c r="D25" s="192" t="s">
        <v>65</v>
      </c>
      <c r="E25" s="192">
        <v>1</v>
      </c>
      <c r="F25" s="192">
        <v>0</v>
      </c>
      <c r="G25" s="192">
        <v>182372</v>
      </c>
      <c r="H25" s="192">
        <v>13895</v>
      </c>
      <c r="I25" s="192">
        <v>1</v>
      </c>
      <c r="J25" s="192">
        <v>672</v>
      </c>
      <c r="K25" s="192" t="s">
        <v>925</v>
      </c>
      <c r="L25" s="192" t="s">
        <v>930</v>
      </c>
      <c r="M25" s="192" t="s">
        <v>923</v>
      </c>
      <c r="N25" s="192" t="s">
        <v>65</v>
      </c>
      <c r="O25" s="192" t="s">
        <v>65</v>
      </c>
      <c r="P25" s="192" t="s">
        <v>65</v>
      </c>
      <c r="Q25" s="192">
        <v>5.000000074505806E-2</v>
      </c>
      <c r="R25" s="192">
        <v>3.0999999046325684</v>
      </c>
      <c r="S25" s="192">
        <f>VLOOKUP($H25,'RBSA Weights'!$A$2:$C$1406,3,FALSE)</f>
        <v>1524.7619999999999</v>
      </c>
      <c r="U25"/>
      <c r="V25"/>
      <c r="W25"/>
    </row>
    <row r="26" spans="1:38">
      <c r="A26" s="192" t="s">
        <v>932</v>
      </c>
      <c r="B26" s="192">
        <v>1</v>
      </c>
      <c r="C26" s="192">
        <v>1</v>
      </c>
      <c r="D26" s="192" t="s">
        <v>933</v>
      </c>
      <c r="E26" s="192">
        <v>1</v>
      </c>
      <c r="F26" s="192">
        <v>0</v>
      </c>
      <c r="G26" s="192">
        <v>195921</v>
      </c>
      <c r="H26" s="192">
        <v>22302</v>
      </c>
      <c r="I26" s="192">
        <v>1</v>
      </c>
      <c r="J26" s="192">
        <v>1953</v>
      </c>
      <c r="K26" s="192" t="s">
        <v>925</v>
      </c>
      <c r="L26" s="192" t="s">
        <v>930</v>
      </c>
      <c r="M26" s="192" t="s">
        <v>923</v>
      </c>
      <c r="N26" s="192" t="s">
        <v>65</v>
      </c>
      <c r="O26" s="192" t="s">
        <v>65</v>
      </c>
      <c r="P26" s="192" t="s">
        <v>65</v>
      </c>
      <c r="Q26" s="192">
        <v>2.9999999329447746E-2</v>
      </c>
      <c r="R26" s="192">
        <v>4.5999999046325684</v>
      </c>
      <c r="S26" s="192">
        <f>VLOOKUP($H26,'RBSA Weights'!$A$2:$C$1406,3,FALSE)</f>
        <v>1612.692</v>
      </c>
      <c r="U26"/>
      <c r="V26"/>
      <c r="W26"/>
    </row>
    <row r="27" spans="1:38">
      <c r="A27" s="192" t="s">
        <v>934</v>
      </c>
      <c r="B27" s="192">
        <v>0.25</v>
      </c>
      <c r="C27" s="192">
        <v>0</v>
      </c>
      <c r="D27" s="192" t="s">
        <v>65</v>
      </c>
      <c r="E27" s="192">
        <v>1</v>
      </c>
      <c r="F27" s="192">
        <v>1</v>
      </c>
      <c r="G27" s="192">
        <v>27103</v>
      </c>
      <c r="H27" s="192">
        <v>11094</v>
      </c>
      <c r="I27" s="192">
        <v>1</v>
      </c>
      <c r="J27" s="192">
        <v>550</v>
      </c>
      <c r="K27" s="192" t="s">
        <v>925</v>
      </c>
      <c r="L27" s="192" t="s">
        <v>737</v>
      </c>
      <c r="M27" s="192" t="s">
        <v>919</v>
      </c>
      <c r="N27" s="192" t="s">
        <v>65</v>
      </c>
      <c r="O27" s="192" t="s">
        <v>65</v>
      </c>
      <c r="P27" s="192" t="s">
        <v>924</v>
      </c>
      <c r="Q27" s="192">
        <v>0.19499999284744263</v>
      </c>
      <c r="R27" s="192">
        <v>4.5</v>
      </c>
      <c r="S27" s="192">
        <f>VLOOKUP($H27,'RBSA Weights'!$A$2:$C$1406,3,FALSE)</f>
        <v>1524.7619999999999</v>
      </c>
      <c r="U27"/>
      <c r="V27"/>
      <c r="W27"/>
    </row>
    <row r="28" spans="1:38">
      <c r="A28" s="192" t="s">
        <v>934</v>
      </c>
      <c r="B28" s="192">
        <v>0.5</v>
      </c>
      <c r="C28" s="192">
        <v>0</v>
      </c>
      <c r="D28" s="192" t="s">
        <v>65</v>
      </c>
      <c r="E28" s="192">
        <v>0</v>
      </c>
      <c r="F28" s="192">
        <v>1</v>
      </c>
      <c r="G28" s="192">
        <v>60295</v>
      </c>
      <c r="H28" s="192">
        <v>10561</v>
      </c>
      <c r="I28" s="192">
        <v>1</v>
      </c>
      <c r="J28" s="192">
        <v>940</v>
      </c>
      <c r="K28" s="192" t="s">
        <v>925</v>
      </c>
      <c r="L28" s="192" t="s">
        <v>737</v>
      </c>
      <c r="M28" s="192" t="s">
        <v>919</v>
      </c>
      <c r="N28" s="192" t="s">
        <v>65</v>
      </c>
      <c r="O28" s="192" t="s">
        <v>65</v>
      </c>
      <c r="P28" s="192" t="s">
        <v>924</v>
      </c>
      <c r="Q28" s="192">
        <v>0.15999999642372131</v>
      </c>
      <c r="R28" s="192">
        <v>5</v>
      </c>
      <c r="S28" s="192">
        <f>VLOOKUP($H28,'RBSA Weights'!$A$2:$C$1406,3,FALSE)</f>
        <v>2003.7159999999999</v>
      </c>
      <c r="U28"/>
      <c r="V28"/>
      <c r="W28"/>
    </row>
    <row r="29" spans="1:38">
      <c r="A29" s="192" t="s">
        <v>934</v>
      </c>
      <c r="B29" s="192">
        <v>0.75</v>
      </c>
      <c r="C29" s="192">
        <v>0</v>
      </c>
      <c r="D29" s="192" t="s">
        <v>65</v>
      </c>
      <c r="E29" s="192">
        <v>1</v>
      </c>
      <c r="F29" s="192">
        <v>0</v>
      </c>
      <c r="G29" s="192">
        <v>177906</v>
      </c>
      <c r="H29" s="192">
        <v>14646</v>
      </c>
      <c r="I29" s="192">
        <v>1</v>
      </c>
      <c r="J29" s="192">
        <v>1125</v>
      </c>
      <c r="K29" s="192" t="s">
        <v>918</v>
      </c>
      <c r="L29" s="192" t="s">
        <v>65</v>
      </c>
      <c r="M29" s="192" t="s">
        <v>919</v>
      </c>
      <c r="N29" s="192" t="s">
        <v>65</v>
      </c>
      <c r="O29" s="192" t="s">
        <v>65</v>
      </c>
      <c r="P29" s="192" t="s">
        <v>65</v>
      </c>
      <c r="Q29" s="192">
        <v>0.11999999731779099</v>
      </c>
      <c r="R29" s="192">
        <v>3.0999999046325684</v>
      </c>
      <c r="S29" s="192">
        <f>VLOOKUP($H29,'RBSA Weights'!$A$2:$C$1406,3,FALSE)</f>
        <v>1188.027</v>
      </c>
    </row>
    <row r="30" spans="1:38">
      <c r="A30" s="192" t="s">
        <v>934</v>
      </c>
      <c r="B30" s="192">
        <v>0.9</v>
      </c>
      <c r="C30" s="192">
        <v>0</v>
      </c>
      <c r="D30" s="192" t="s">
        <v>65</v>
      </c>
      <c r="E30" s="192">
        <v>0</v>
      </c>
      <c r="G30" s="192">
        <v>158955</v>
      </c>
      <c r="H30" s="192">
        <v>20384</v>
      </c>
      <c r="I30" s="192">
        <v>1</v>
      </c>
      <c r="J30" s="192">
        <v>1152</v>
      </c>
      <c r="K30" s="192" t="s">
        <v>925</v>
      </c>
      <c r="L30" s="192" t="s">
        <v>930</v>
      </c>
      <c r="M30" s="192" t="s">
        <v>923</v>
      </c>
      <c r="N30" s="192" t="s">
        <v>65</v>
      </c>
      <c r="O30" s="192" t="s">
        <v>65</v>
      </c>
      <c r="P30" s="192" t="s">
        <v>65</v>
      </c>
      <c r="Q30" s="192">
        <v>0.10000000149011612</v>
      </c>
      <c r="R30" s="192">
        <v>5</v>
      </c>
      <c r="S30" s="192">
        <f>VLOOKUP($H30,'RBSA Weights'!$A$2:$C$1406,3,FALSE)</f>
        <v>2130.886</v>
      </c>
    </row>
    <row r="31" spans="1:38">
      <c r="A31" s="192" t="s">
        <v>934</v>
      </c>
      <c r="B31" s="192">
        <v>1</v>
      </c>
      <c r="C31" s="192">
        <v>0</v>
      </c>
      <c r="D31" s="192" t="s">
        <v>65</v>
      </c>
      <c r="E31" s="192">
        <v>0</v>
      </c>
      <c r="F31" s="192">
        <v>0</v>
      </c>
      <c r="G31" s="192">
        <v>84685</v>
      </c>
      <c r="H31" s="192">
        <v>11472</v>
      </c>
      <c r="I31" s="192">
        <v>1</v>
      </c>
      <c r="J31" s="192">
        <v>136</v>
      </c>
      <c r="K31" s="192" t="s">
        <v>918</v>
      </c>
      <c r="L31" s="192" t="s">
        <v>737</v>
      </c>
      <c r="M31" s="192" t="s">
        <v>923</v>
      </c>
      <c r="N31" s="192" t="s">
        <v>65</v>
      </c>
      <c r="O31" s="192" t="s">
        <v>65</v>
      </c>
      <c r="P31" s="192" t="s">
        <v>65</v>
      </c>
      <c r="Q31" s="192">
        <v>9.0000003576278687E-2</v>
      </c>
      <c r="R31" s="192">
        <v>5</v>
      </c>
      <c r="S31" s="192">
        <f>VLOOKUP($H31,'RBSA Weights'!$A$2:$C$1406,3,FALSE)</f>
        <v>1524.7619999999999</v>
      </c>
    </row>
    <row r="32" spans="1:38">
      <c r="A32" s="192" t="s">
        <v>65</v>
      </c>
      <c r="B32" s="192">
        <v>1</v>
      </c>
      <c r="C32" s="192">
        <v>0</v>
      </c>
      <c r="D32" s="192" t="s">
        <v>65</v>
      </c>
      <c r="E32" s="192">
        <v>1</v>
      </c>
      <c r="F32" s="192">
        <v>0</v>
      </c>
      <c r="G32" s="192">
        <v>719021</v>
      </c>
      <c r="H32" s="192">
        <v>11772</v>
      </c>
      <c r="I32" s="192">
        <v>1</v>
      </c>
      <c r="J32" s="192">
        <v>810</v>
      </c>
      <c r="K32" s="192" t="s">
        <v>65</v>
      </c>
      <c r="L32" s="192" t="s">
        <v>65</v>
      </c>
      <c r="M32" s="192" t="s">
        <v>919</v>
      </c>
      <c r="N32" s="192" t="s">
        <v>65</v>
      </c>
      <c r="O32" s="192" t="s">
        <v>935</v>
      </c>
      <c r="P32" s="192" t="s">
        <v>65</v>
      </c>
      <c r="R32" s="192">
        <v>3.0999999046325684</v>
      </c>
      <c r="S32" s="192">
        <f>VLOOKUP($H32,'RBSA Weights'!$A$2:$C$1406,3,FALSE)</f>
        <v>1464.694</v>
      </c>
    </row>
    <row r="33" spans="1:19">
      <c r="A33" s="192" t="s">
        <v>65</v>
      </c>
      <c r="C33" s="192">
        <v>0</v>
      </c>
      <c r="D33" s="192" t="s">
        <v>65</v>
      </c>
      <c r="E33" s="192">
        <v>1</v>
      </c>
      <c r="F33" s="192">
        <v>0</v>
      </c>
      <c r="G33" s="192">
        <v>195385</v>
      </c>
      <c r="H33" s="192">
        <v>13655</v>
      </c>
      <c r="I33" s="192">
        <v>1</v>
      </c>
      <c r="J33" s="192">
        <v>1072</v>
      </c>
      <c r="K33" s="192" t="s">
        <v>65</v>
      </c>
      <c r="L33" s="192" t="s">
        <v>65</v>
      </c>
      <c r="M33" s="192" t="s">
        <v>919</v>
      </c>
      <c r="N33" s="192" t="s">
        <v>65</v>
      </c>
      <c r="O33" s="192" t="s">
        <v>65</v>
      </c>
      <c r="P33" s="192" t="s">
        <v>65</v>
      </c>
      <c r="R33" s="192">
        <v>3.0999999046325684</v>
      </c>
      <c r="S33" s="192">
        <f>VLOOKUP($H33,'RBSA Weights'!$A$2:$C$1406,3,FALSE)</f>
        <v>1464.694</v>
      </c>
    </row>
    <row r="34" spans="1:19">
      <c r="A34" s="192" t="s">
        <v>65</v>
      </c>
      <c r="C34" s="192">
        <v>0</v>
      </c>
      <c r="D34" s="192" t="s">
        <v>65</v>
      </c>
      <c r="E34" s="192">
        <v>1</v>
      </c>
      <c r="F34" s="192">
        <v>0</v>
      </c>
      <c r="G34" s="192">
        <v>38694</v>
      </c>
      <c r="H34" s="192">
        <v>11467</v>
      </c>
      <c r="I34" s="192">
        <v>1</v>
      </c>
      <c r="J34" s="192">
        <v>768</v>
      </c>
      <c r="K34" s="192" t="s">
        <v>65</v>
      </c>
      <c r="L34" s="192" t="s">
        <v>65</v>
      </c>
      <c r="M34" s="192" t="s">
        <v>65</v>
      </c>
      <c r="N34" s="192" t="s">
        <v>65</v>
      </c>
      <c r="O34" s="192" t="s">
        <v>65</v>
      </c>
      <c r="P34" s="192" t="s">
        <v>65</v>
      </c>
      <c r="R34" s="192">
        <v>3.0999999046325684</v>
      </c>
      <c r="S34" s="192">
        <f>VLOOKUP($H34,'RBSA Weights'!$A$2:$C$1406,3,FALSE)</f>
        <v>1524.7619999999999</v>
      </c>
    </row>
    <row r="35" spans="1:19">
      <c r="A35" s="192" t="s">
        <v>65</v>
      </c>
      <c r="C35" s="192">
        <v>0</v>
      </c>
      <c r="D35" s="192" t="s">
        <v>65</v>
      </c>
      <c r="E35" s="192">
        <v>1</v>
      </c>
      <c r="F35" s="192">
        <v>0</v>
      </c>
      <c r="G35" s="192">
        <v>47570</v>
      </c>
      <c r="H35" s="192">
        <v>11677</v>
      </c>
      <c r="I35" s="192">
        <v>1</v>
      </c>
      <c r="J35" s="192">
        <v>426</v>
      </c>
      <c r="K35" s="192" t="s">
        <v>65</v>
      </c>
      <c r="L35" s="192" t="s">
        <v>65</v>
      </c>
      <c r="M35" s="192" t="s">
        <v>919</v>
      </c>
      <c r="N35" s="192" t="s">
        <v>65</v>
      </c>
      <c r="O35" s="192" t="s">
        <v>65</v>
      </c>
      <c r="P35" s="192" t="s">
        <v>65</v>
      </c>
      <c r="R35" s="192">
        <v>3.0999999046325684</v>
      </c>
      <c r="S35" s="192">
        <f>VLOOKUP($H35,'RBSA Weights'!$A$2:$C$1406,3,FALSE)</f>
        <v>1524.7619999999999</v>
      </c>
    </row>
    <row r="36" spans="1:19">
      <c r="A36" s="192" t="s">
        <v>65</v>
      </c>
      <c r="C36" s="192">
        <v>0</v>
      </c>
      <c r="D36" s="192" t="s">
        <v>65</v>
      </c>
      <c r="E36" s="192">
        <v>0</v>
      </c>
      <c r="G36" s="192">
        <v>659853</v>
      </c>
      <c r="H36" s="192">
        <v>11762</v>
      </c>
      <c r="I36" s="192">
        <v>2</v>
      </c>
      <c r="J36" s="192">
        <v>72</v>
      </c>
      <c r="K36" s="192" t="s">
        <v>65</v>
      </c>
      <c r="L36" s="192" t="s">
        <v>65</v>
      </c>
      <c r="M36" s="192" t="s">
        <v>919</v>
      </c>
      <c r="N36" s="192" t="s">
        <v>65</v>
      </c>
      <c r="O36" s="192" t="s">
        <v>936</v>
      </c>
      <c r="P36" s="192" t="s">
        <v>65</v>
      </c>
      <c r="R36" s="192">
        <v>5</v>
      </c>
      <c r="S36" s="192">
        <f>VLOOKUP($H36,'RBSA Weights'!$A$2:$C$1406,3,FALSE)</f>
        <v>1464.694</v>
      </c>
    </row>
    <row r="37" spans="1:19">
      <c r="A37" s="192" t="s">
        <v>65</v>
      </c>
      <c r="C37" s="192">
        <v>0</v>
      </c>
      <c r="D37" s="192" t="s">
        <v>65</v>
      </c>
      <c r="E37" s="192">
        <v>1</v>
      </c>
      <c r="F37" s="192">
        <v>0</v>
      </c>
      <c r="G37" s="192">
        <v>104345</v>
      </c>
      <c r="H37" s="192">
        <v>10030</v>
      </c>
      <c r="I37" s="192">
        <v>1</v>
      </c>
      <c r="J37" s="192">
        <v>1743</v>
      </c>
      <c r="K37" s="192" t="s">
        <v>65</v>
      </c>
      <c r="L37" s="192" t="s">
        <v>65</v>
      </c>
      <c r="M37" s="192" t="s">
        <v>65</v>
      </c>
      <c r="N37" s="192" t="s">
        <v>65</v>
      </c>
      <c r="O37" s="192" t="s">
        <v>65</v>
      </c>
      <c r="P37" s="192" t="s">
        <v>65</v>
      </c>
      <c r="R37" s="192">
        <v>3.0999999046325684</v>
      </c>
      <c r="S37" s="192">
        <f>VLOOKUP($H37,'RBSA Weights'!$A$2:$C$1406,3,FALSE)</f>
        <v>4956.4930000000004</v>
      </c>
    </row>
    <row r="38" spans="1:19">
      <c r="A38" s="192" t="s">
        <v>65</v>
      </c>
      <c r="C38" s="192">
        <v>0</v>
      </c>
      <c r="D38" s="192" t="s">
        <v>65</v>
      </c>
      <c r="E38" s="192">
        <v>1</v>
      </c>
      <c r="F38" s="192">
        <v>0</v>
      </c>
      <c r="G38" s="192">
        <v>29839</v>
      </c>
      <c r="H38" s="192">
        <v>11006</v>
      </c>
      <c r="I38" s="192">
        <v>1</v>
      </c>
      <c r="J38" s="192">
        <v>375</v>
      </c>
      <c r="K38" s="192" t="s">
        <v>65</v>
      </c>
      <c r="L38" s="192" t="s">
        <v>65</v>
      </c>
      <c r="M38" s="192" t="s">
        <v>65</v>
      </c>
      <c r="N38" s="192" t="s">
        <v>65</v>
      </c>
      <c r="O38" s="192" t="s">
        <v>937</v>
      </c>
      <c r="P38" s="192" t="s">
        <v>65</v>
      </c>
      <c r="R38" s="192">
        <v>3.0999999046325684</v>
      </c>
      <c r="S38" s="192">
        <f>VLOOKUP($H38,'RBSA Weights'!$A$2:$C$1406,3,FALSE)</f>
        <v>1524.7619999999999</v>
      </c>
    </row>
    <row r="39" spans="1:19">
      <c r="A39" s="192" t="s">
        <v>65</v>
      </c>
      <c r="C39" s="192">
        <v>0</v>
      </c>
      <c r="D39" s="192" t="s">
        <v>65</v>
      </c>
      <c r="E39" s="192">
        <v>1</v>
      </c>
      <c r="F39" s="192">
        <v>0</v>
      </c>
      <c r="G39" s="192">
        <v>110465</v>
      </c>
      <c r="H39" s="192">
        <v>11048</v>
      </c>
      <c r="I39" s="192">
        <v>1</v>
      </c>
      <c r="J39" s="192">
        <v>240</v>
      </c>
      <c r="K39" s="192" t="s">
        <v>65</v>
      </c>
      <c r="L39" s="192" t="s">
        <v>65</v>
      </c>
      <c r="M39" s="192" t="s">
        <v>65</v>
      </c>
      <c r="N39" s="192" t="s">
        <v>65</v>
      </c>
      <c r="O39" s="192" t="s">
        <v>938</v>
      </c>
      <c r="P39" s="192" t="s">
        <v>65</v>
      </c>
      <c r="R39" s="192">
        <v>3.0999999046325684</v>
      </c>
      <c r="S39" s="192">
        <f>VLOOKUP($H39,'RBSA Weights'!$A$2:$C$1406,3,FALSE)</f>
        <v>1464.694</v>
      </c>
    </row>
    <row r="40" spans="1:19">
      <c r="A40" s="192" t="s">
        <v>65</v>
      </c>
      <c r="C40" s="192">
        <v>0</v>
      </c>
      <c r="D40" s="192" t="s">
        <v>65</v>
      </c>
      <c r="E40" s="192">
        <v>1</v>
      </c>
      <c r="F40" s="192">
        <v>0</v>
      </c>
      <c r="G40" s="192">
        <v>677473</v>
      </c>
      <c r="H40" s="192">
        <v>13131</v>
      </c>
      <c r="I40" s="192">
        <v>1</v>
      </c>
      <c r="J40" s="192">
        <v>1324</v>
      </c>
      <c r="K40" s="192" t="s">
        <v>65</v>
      </c>
      <c r="L40" s="192" t="s">
        <v>65</v>
      </c>
      <c r="M40" s="192" t="s">
        <v>919</v>
      </c>
      <c r="N40" s="192" t="s">
        <v>65</v>
      </c>
      <c r="O40" s="192" t="s">
        <v>939</v>
      </c>
      <c r="P40" s="192" t="s">
        <v>65</v>
      </c>
      <c r="R40" s="192">
        <v>3.0999999046325684</v>
      </c>
      <c r="S40" s="192">
        <f>VLOOKUP($H40,'RBSA Weights'!$A$2:$C$1406,3,FALSE)</f>
        <v>1464.694</v>
      </c>
    </row>
    <row r="41" spans="1:19">
      <c r="A41" s="192" t="s">
        <v>940</v>
      </c>
      <c r="B41" s="192">
        <v>0</v>
      </c>
      <c r="C41" s="192">
        <v>0</v>
      </c>
      <c r="D41" s="192" t="s">
        <v>65</v>
      </c>
      <c r="E41" s="192">
        <v>1</v>
      </c>
      <c r="F41" s="192">
        <v>0</v>
      </c>
      <c r="G41" s="192">
        <v>33865</v>
      </c>
      <c r="H41" s="192">
        <v>20125</v>
      </c>
      <c r="I41" s="192">
        <v>2</v>
      </c>
      <c r="J41" s="192">
        <v>300</v>
      </c>
      <c r="K41" s="192" t="s">
        <v>925</v>
      </c>
      <c r="L41" s="192" t="s">
        <v>737</v>
      </c>
      <c r="M41" s="192" t="s">
        <v>923</v>
      </c>
      <c r="N41" s="192" t="s">
        <v>65</v>
      </c>
      <c r="O41" s="192" t="s">
        <v>65</v>
      </c>
      <c r="P41" s="192" t="s">
        <v>65</v>
      </c>
      <c r="Q41" s="192">
        <v>0.23000000417232513</v>
      </c>
      <c r="R41" s="192">
        <v>3.0999999046325684</v>
      </c>
      <c r="S41" s="192">
        <f>VLOOKUP($H41,'RBSA Weights'!$A$2:$C$1406,3,FALSE)</f>
        <v>3785.7640000000001</v>
      </c>
    </row>
    <row r="42" spans="1:19">
      <c r="A42" s="192" t="s">
        <v>940</v>
      </c>
      <c r="B42" s="192">
        <v>0</v>
      </c>
      <c r="C42" s="192">
        <v>0</v>
      </c>
      <c r="D42" s="192" t="s">
        <v>65</v>
      </c>
      <c r="E42" s="192">
        <v>1</v>
      </c>
      <c r="F42" s="192">
        <v>0</v>
      </c>
      <c r="G42" s="192">
        <v>35319</v>
      </c>
      <c r="H42" s="192">
        <v>10741</v>
      </c>
      <c r="I42" s="192">
        <v>1</v>
      </c>
      <c r="J42" s="192">
        <v>725</v>
      </c>
      <c r="K42" s="192" t="s">
        <v>925</v>
      </c>
      <c r="L42" s="192" t="s">
        <v>922</v>
      </c>
      <c r="M42" s="192" t="s">
        <v>919</v>
      </c>
      <c r="N42" s="192" t="s">
        <v>65</v>
      </c>
      <c r="O42" s="192" t="s">
        <v>65</v>
      </c>
      <c r="P42" s="192" t="s">
        <v>65</v>
      </c>
      <c r="Q42" s="192">
        <v>0.23000000417232513</v>
      </c>
      <c r="R42" s="192">
        <v>3.0999999046325684</v>
      </c>
      <c r="S42" s="192">
        <f>VLOOKUP($H42,'RBSA Weights'!$A$2:$C$1406,3,FALSE)</f>
        <v>1524.7619999999999</v>
      </c>
    </row>
    <row r="43" spans="1:19">
      <c r="A43" s="192" t="s">
        <v>940</v>
      </c>
      <c r="B43" s="192">
        <v>0</v>
      </c>
      <c r="C43" s="192">
        <v>0</v>
      </c>
      <c r="D43" s="192" t="s">
        <v>65</v>
      </c>
      <c r="E43" s="192">
        <v>1</v>
      </c>
      <c r="F43" s="192">
        <v>1</v>
      </c>
      <c r="G43" s="192">
        <v>37715</v>
      </c>
      <c r="H43" s="192">
        <v>11779</v>
      </c>
      <c r="I43" s="192">
        <v>1</v>
      </c>
      <c r="J43" s="192">
        <v>1050</v>
      </c>
      <c r="K43" s="192" t="s">
        <v>925</v>
      </c>
      <c r="L43" s="192" t="s">
        <v>737</v>
      </c>
      <c r="M43" s="192" t="s">
        <v>919</v>
      </c>
      <c r="N43" s="192" t="s">
        <v>65</v>
      </c>
      <c r="O43" s="192" t="s">
        <v>65</v>
      </c>
      <c r="P43" s="192" t="s">
        <v>65</v>
      </c>
      <c r="Q43" s="192">
        <v>0.23000000417232513</v>
      </c>
      <c r="R43" s="192">
        <v>4.5</v>
      </c>
      <c r="S43" s="192">
        <f>VLOOKUP($H43,'RBSA Weights'!$A$2:$C$1406,3,FALSE)</f>
        <v>1524.7619999999999</v>
      </c>
    </row>
    <row r="44" spans="1:19">
      <c r="A44" s="192" t="s">
        <v>940</v>
      </c>
      <c r="B44" s="192">
        <v>0</v>
      </c>
      <c r="C44" s="192">
        <v>0</v>
      </c>
      <c r="D44" s="192" t="s">
        <v>65</v>
      </c>
      <c r="E44" s="192">
        <v>1</v>
      </c>
      <c r="F44" s="192">
        <v>0</v>
      </c>
      <c r="G44" s="192">
        <v>27567</v>
      </c>
      <c r="H44" s="192">
        <v>10595</v>
      </c>
      <c r="I44" s="192">
        <v>1</v>
      </c>
      <c r="J44" s="192">
        <v>520</v>
      </c>
      <c r="K44" s="192" t="s">
        <v>925</v>
      </c>
      <c r="L44" s="192" t="s">
        <v>737</v>
      </c>
      <c r="M44" s="192" t="s">
        <v>923</v>
      </c>
      <c r="N44" s="192" t="s">
        <v>65</v>
      </c>
      <c r="O44" s="192" t="s">
        <v>65</v>
      </c>
      <c r="P44" s="192" t="s">
        <v>65</v>
      </c>
      <c r="Q44" s="192">
        <v>0.23000000417232513</v>
      </c>
      <c r="R44" s="192">
        <v>3.0999999046325684</v>
      </c>
      <c r="S44" s="192">
        <f>VLOOKUP($H44,'RBSA Weights'!$A$2:$C$1406,3,FALSE)</f>
        <v>1524.7619999999999</v>
      </c>
    </row>
    <row r="45" spans="1:19">
      <c r="A45" s="192" t="s">
        <v>940</v>
      </c>
      <c r="B45" s="192">
        <v>0</v>
      </c>
      <c r="C45" s="192">
        <v>0</v>
      </c>
      <c r="D45" s="192" t="s">
        <v>65</v>
      </c>
      <c r="E45" s="192">
        <v>1</v>
      </c>
      <c r="F45" s="192">
        <v>0</v>
      </c>
      <c r="G45" s="192">
        <v>27219</v>
      </c>
      <c r="H45" s="192">
        <v>10496</v>
      </c>
      <c r="I45" s="192">
        <v>1</v>
      </c>
      <c r="J45" s="192">
        <v>1112</v>
      </c>
      <c r="K45" s="192" t="s">
        <v>918</v>
      </c>
      <c r="L45" s="192" t="s">
        <v>930</v>
      </c>
      <c r="M45" s="192" t="s">
        <v>923</v>
      </c>
      <c r="N45" s="192" t="s">
        <v>65</v>
      </c>
      <c r="O45" s="192" t="s">
        <v>65</v>
      </c>
      <c r="P45" s="192" t="s">
        <v>65</v>
      </c>
      <c r="Q45" s="192">
        <v>0.23000000417232513</v>
      </c>
      <c r="R45" s="192">
        <v>3.0999999046325684</v>
      </c>
      <c r="S45" s="192">
        <f>VLOOKUP($H45,'RBSA Weights'!$A$2:$C$1406,3,FALSE)</f>
        <v>1150.8789999999999</v>
      </c>
    </row>
    <row r="46" spans="1:19">
      <c r="A46" s="192" t="s">
        <v>940</v>
      </c>
      <c r="B46" s="192">
        <v>0</v>
      </c>
      <c r="C46" s="192">
        <v>1</v>
      </c>
      <c r="D46" s="192" t="s">
        <v>941</v>
      </c>
      <c r="E46" s="192">
        <v>1</v>
      </c>
      <c r="F46" s="192">
        <v>0</v>
      </c>
      <c r="G46" s="192">
        <v>33686</v>
      </c>
      <c r="H46" s="192">
        <v>23183</v>
      </c>
      <c r="I46" s="192">
        <v>1</v>
      </c>
      <c r="J46" s="192">
        <v>1702</v>
      </c>
      <c r="K46" s="192" t="s">
        <v>918</v>
      </c>
      <c r="L46" s="192" t="s">
        <v>927</v>
      </c>
      <c r="M46" s="192" t="s">
        <v>923</v>
      </c>
      <c r="N46" s="192" t="s">
        <v>926</v>
      </c>
      <c r="O46" s="192" t="s">
        <v>65</v>
      </c>
      <c r="P46" s="192" t="s">
        <v>65</v>
      </c>
      <c r="Q46" s="192">
        <v>0.23000000417232513</v>
      </c>
      <c r="R46" s="192">
        <v>3.9000000953674316</v>
      </c>
      <c r="S46" s="192">
        <f>VLOOKUP($H46,'RBSA Weights'!$A$2:$C$1406,3,FALSE)</f>
        <v>3785.7640000000001</v>
      </c>
    </row>
    <row r="47" spans="1:19">
      <c r="A47" s="192" t="s">
        <v>940</v>
      </c>
      <c r="B47" s="192">
        <v>0</v>
      </c>
      <c r="C47" s="192">
        <v>0</v>
      </c>
      <c r="D47" s="192" t="s">
        <v>65</v>
      </c>
      <c r="E47" s="192">
        <v>1</v>
      </c>
      <c r="F47" s="192">
        <v>1</v>
      </c>
      <c r="G47" s="192">
        <v>122390</v>
      </c>
      <c r="H47" s="192">
        <v>20902</v>
      </c>
      <c r="I47" s="192">
        <v>1</v>
      </c>
      <c r="J47" s="192">
        <v>2350</v>
      </c>
      <c r="K47" s="192" t="s">
        <v>925</v>
      </c>
      <c r="L47" s="192" t="s">
        <v>927</v>
      </c>
      <c r="M47" s="192" t="s">
        <v>923</v>
      </c>
      <c r="N47" s="192" t="s">
        <v>65</v>
      </c>
      <c r="O47" s="192" t="s">
        <v>65</v>
      </c>
      <c r="P47" s="192" t="s">
        <v>65</v>
      </c>
      <c r="Q47" s="192">
        <v>0.23000000417232513</v>
      </c>
      <c r="R47" s="192">
        <v>4.5</v>
      </c>
      <c r="S47" s="192">
        <f>VLOOKUP($H47,'RBSA Weights'!$A$2:$C$1406,3,FALSE)</f>
        <v>2130.886</v>
      </c>
    </row>
    <row r="48" spans="1:19">
      <c r="A48" s="192" t="s">
        <v>940</v>
      </c>
      <c r="B48" s="192">
        <v>0</v>
      </c>
      <c r="C48" s="192">
        <v>0</v>
      </c>
      <c r="D48" s="192" t="s">
        <v>65</v>
      </c>
      <c r="E48" s="192">
        <v>1</v>
      </c>
      <c r="F48" s="192">
        <v>0</v>
      </c>
      <c r="G48" s="192">
        <v>32493</v>
      </c>
      <c r="H48" s="192">
        <v>24863</v>
      </c>
      <c r="I48" s="192">
        <v>1</v>
      </c>
      <c r="J48" s="192">
        <v>143</v>
      </c>
      <c r="K48" s="192" t="s">
        <v>925</v>
      </c>
      <c r="L48" s="192" t="s">
        <v>737</v>
      </c>
      <c r="M48" s="192" t="s">
        <v>919</v>
      </c>
      <c r="N48" s="192" t="s">
        <v>65</v>
      </c>
      <c r="O48" s="192" t="s">
        <v>65</v>
      </c>
      <c r="P48" s="192" t="s">
        <v>65</v>
      </c>
      <c r="Q48" s="192">
        <v>0.23000000417232513</v>
      </c>
      <c r="R48" s="192">
        <v>3.0999999046325684</v>
      </c>
      <c r="S48" s="192">
        <f>VLOOKUP($H48,'RBSA Weights'!$A$2:$C$1406,3,FALSE)</f>
        <v>3785.7640000000001</v>
      </c>
    </row>
    <row r="49" spans="1:19">
      <c r="A49" s="192" t="s">
        <v>940</v>
      </c>
      <c r="B49" s="192">
        <v>0</v>
      </c>
      <c r="C49" s="192">
        <v>0</v>
      </c>
      <c r="D49" s="192" t="s">
        <v>65</v>
      </c>
      <c r="E49" s="192">
        <v>1</v>
      </c>
      <c r="F49" s="192">
        <v>0</v>
      </c>
      <c r="G49" s="192">
        <v>107056</v>
      </c>
      <c r="H49" s="192">
        <v>22425</v>
      </c>
      <c r="I49" s="192">
        <v>1</v>
      </c>
      <c r="J49" s="192">
        <v>1296</v>
      </c>
      <c r="K49" s="192" t="s">
        <v>925</v>
      </c>
      <c r="L49" s="192" t="s">
        <v>737</v>
      </c>
      <c r="M49" s="192" t="s">
        <v>919</v>
      </c>
      <c r="N49" s="192" t="s">
        <v>65</v>
      </c>
      <c r="O49" s="192" t="s">
        <v>65</v>
      </c>
      <c r="P49" s="192" t="s">
        <v>65</v>
      </c>
      <c r="Q49" s="192">
        <v>0.23000000417232513</v>
      </c>
      <c r="R49" s="192">
        <v>3.0999999046325684</v>
      </c>
      <c r="S49" s="192">
        <f>VLOOKUP($H49,'RBSA Weights'!$A$2:$C$1406,3,FALSE)</f>
        <v>3785.7640000000001</v>
      </c>
    </row>
    <row r="50" spans="1:19">
      <c r="A50" s="192" t="s">
        <v>940</v>
      </c>
      <c r="B50" s="192">
        <v>0</v>
      </c>
      <c r="C50" s="192">
        <v>0</v>
      </c>
      <c r="D50" s="192" t="s">
        <v>65</v>
      </c>
      <c r="E50" s="192">
        <v>0</v>
      </c>
      <c r="F50" s="192">
        <v>0</v>
      </c>
      <c r="G50" s="192">
        <v>32297</v>
      </c>
      <c r="H50" s="192">
        <v>22015</v>
      </c>
      <c r="I50" s="192">
        <v>1</v>
      </c>
      <c r="J50" s="192">
        <v>1438</v>
      </c>
      <c r="K50" s="192" t="s">
        <v>925</v>
      </c>
      <c r="L50" s="192" t="s">
        <v>927</v>
      </c>
      <c r="M50" s="192" t="s">
        <v>923</v>
      </c>
      <c r="N50" s="192" t="s">
        <v>65</v>
      </c>
      <c r="O50" s="192" t="s">
        <v>65</v>
      </c>
      <c r="P50" s="192" t="s">
        <v>65</v>
      </c>
      <c r="Q50" s="192">
        <v>0.23000000417232513</v>
      </c>
      <c r="R50" s="192">
        <v>5</v>
      </c>
      <c r="S50" s="192">
        <f>VLOOKUP($H50,'RBSA Weights'!$A$2:$C$1406,3,FALSE)</f>
        <v>2130.886</v>
      </c>
    </row>
    <row r="51" spans="1:19">
      <c r="A51" s="192" t="s">
        <v>940</v>
      </c>
      <c r="B51" s="192">
        <v>0</v>
      </c>
      <c r="C51" s="192">
        <v>0</v>
      </c>
      <c r="D51" s="192" t="s">
        <v>65</v>
      </c>
      <c r="E51" s="192">
        <v>0</v>
      </c>
      <c r="F51" s="192">
        <v>0</v>
      </c>
      <c r="G51" s="192">
        <v>27018</v>
      </c>
      <c r="H51" s="192">
        <v>10688</v>
      </c>
      <c r="I51" s="192">
        <v>1</v>
      </c>
      <c r="J51" s="192">
        <v>923</v>
      </c>
      <c r="K51" s="192" t="s">
        <v>925</v>
      </c>
      <c r="L51" s="192" t="s">
        <v>737</v>
      </c>
      <c r="M51" s="192" t="s">
        <v>919</v>
      </c>
      <c r="N51" s="192" t="s">
        <v>65</v>
      </c>
      <c r="O51" s="192" t="s">
        <v>65</v>
      </c>
      <c r="P51" s="192" t="s">
        <v>65</v>
      </c>
      <c r="Q51" s="192">
        <v>0.23000000417232513</v>
      </c>
      <c r="R51" s="192">
        <v>5</v>
      </c>
      <c r="S51" s="192">
        <f>VLOOKUP($H51,'RBSA Weights'!$A$2:$C$1406,3,FALSE)</f>
        <v>1150.8789999999999</v>
      </c>
    </row>
    <row r="52" spans="1:19">
      <c r="A52" s="192" t="s">
        <v>940</v>
      </c>
      <c r="B52" s="192">
        <v>0</v>
      </c>
      <c r="C52" s="192">
        <v>0</v>
      </c>
      <c r="D52" s="192" t="s">
        <v>65</v>
      </c>
      <c r="E52" s="192">
        <v>1</v>
      </c>
      <c r="F52" s="192">
        <v>0</v>
      </c>
      <c r="G52" s="192">
        <v>73678</v>
      </c>
      <c r="H52" s="192">
        <v>23546</v>
      </c>
      <c r="I52" s="192">
        <v>1</v>
      </c>
      <c r="J52" s="192">
        <v>1098</v>
      </c>
      <c r="K52" s="192" t="s">
        <v>918</v>
      </c>
      <c r="L52" s="192" t="s">
        <v>65</v>
      </c>
      <c r="M52" s="192" t="s">
        <v>919</v>
      </c>
      <c r="N52" s="192" t="s">
        <v>65</v>
      </c>
      <c r="O52" s="192" t="s">
        <v>65</v>
      </c>
      <c r="P52" s="192" t="s">
        <v>65</v>
      </c>
      <c r="Q52" s="192">
        <v>0.23000000417232513</v>
      </c>
      <c r="R52" s="192">
        <v>3.0999999046325684</v>
      </c>
      <c r="S52" s="192">
        <f>VLOOKUP($H52,'RBSA Weights'!$A$2:$C$1406,3,FALSE)</f>
        <v>2079.9929999999999</v>
      </c>
    </row>
    <row r="53" spans="1:19">
      <c r="A53" s="192" t="s">
        <v>940</v>
      </c>
      <c r="B53" s="192">
        <v>0</v>
      </c>
      <c r="C53" s="192">
        <v>0</v>
      </c>
      <c r="D53" s="192" t="s">
        <v>65</v>
      </c>
      <c r="E53" s="192">
        <v>0</v>
      </c>
      <c r="F53" s="192">
        <v>0</v>
      </c>
      <c r="G53" s="192">
        <v>34166</v>
      </c>
      <c r="H53" s="192">
        <v>24288</v>
      </c>
      <c r="I53" s="192">
        <v>1</v>
      </c>
      <c r="J53" s="192">
        <v>1035</v>
      </c>
      <c r="K53" s="192" t="s">
        <v>925</v>
      </c>
      <c r="L53" s="192" t="s">
        <v>930</v>
      </c>
      <c r="M53" s="192" t="s">
        <v>923</v>
      </c>
      <c r="N53" s="192" t="s">
        <v>65</v>
      </c>
      <c r="O53" s="192" t="s">
        <v>942</v>
      </c>
      <c r="P53" s="192" t="s">
        <v>65</v>
      </c>
      <c r="Q53" s="192">
        <v>0.23000000417232513</v>
      </c>
      <c r="R53" s="192">
        <v>5</v>
      </c>
      <c r="S53" s="192">
        <f>VLOOKUP($H53,'RBSA Weights'!$A$2:$C$1406,3,FALSE)</f>
        <v>2130.886</v>
      </c>
    </row>
    <row r="54" spans="1:19">
      <c r="A54" s="192" t="s">
        <v>940</v>
      </c>
      <c r="B54" s="192">
        <v>0</v>
      </c>
      <c r="C54" s="192">
        <v>1</v>
      </c>
      <c r="D54" s="192" t="s">
        <v>941</v>
      </c>
      <c r="E54" s="192">
        <v>0</v>
      </c>
      <c r="F54" s="192">
        <v>0</v>
      </c>
      <c r="G54" s="192">
        <v>33299</v>
      </c>
      <c r="H54" s="192">
        <v>21045</v>
      </c>
      <c r="I54" s="192">
        <v>1</v>
      </c>
      <c r="J54" s="192">
        <v>840</v>
      </c>
      <c r="K54" s="192" t="s">
        <v>925</v>
      </c>
      <c r="L54" s="192" t="s">
        <v>930</v>
      </c>
      <c r="M54" s="192" t="s">
        <v>923</v>
      </c>
      <c r="N54" s="192" t="s">
        <v>943</v>
      </c>
      <c r="O54" s="192" t="s">
        <v>65</v>
      </c>
      <c r="P54" s="192" t="s">
        <v>65</v>
      </c>
      <c r="Q54" s="192">
        <v>0.23000000417232513</v>
      </c>
      <c r="R54" s="192">
        <v>9.1000003814697266</v>
      </c>
      <c r="S54" s="192">
        <f>VLOOKUP($H54,'RBSA Weights'!$A$2:$C$1406,3,FALSE)</f>
        <v>2130.886</v>
      </c>
    </row>
    <row r="55" spans="1:19">
      <c r="A55" s="192" t="s">
        <v>940</v>
      </c>
      <c r="B55" s="192">
        <v>0</v>
      </c>
      <c r="C55" s="192">
        <v>0</v>
      </c>
      <c r="D55" s="192" t="s">
        <v>65</v>
      </c>
      <c r="E55" s="192">
        <v>1</v>
      </c>
      <c r="F55" s="192">
        <v>0</v>
      </c>
      <c r="G55" s="192">
        <v>41423</v>
      </c>
      <c r="H55" s="192">
        <v>10514</v>
      </c>
      <c r="I55" s="192">
        <v>1</v>
      </c>
      <c r="J55" s="192">
        <v>1053</v>
      </c>
      <c r="K55" s="192" t="s">
        <v>925</v>
      </c>
      <c r="L55" s="192" t="s">
        <v>737</v>
      </c>
      <c r="M55" s="192" t="s">
        <v>923</v>
      </c>
      <c r="N55" s="192" t="s">
        <v>65</v>
      </c>
      <c r="O55" s="192" t="s">
        <v>65</v>
      </c>
      <c r="P55" s="192" t="s">
        <v>65</v>
      </c>
      <c r="Q55" s="192">
        <v>0.23000000417232513</v>
      </c>
      <c r="R55" s="192">
        <v>3.0999999046325684</v>
      </c>
      <c r="S55" s="192">
        <f>VLOOKUP($H55,'RBSA Weights'!$A$2:$C$1406,3,FALSE)</f>
        <v>1524.7619999999999</v>
      </c>
    </row>
    <row r="56" spans="1:19">
      <c r="A56" s="192" t="s">
        <v>940</v>
      </c>
      <c r="B56" s="192">
        <v>0</v>
      </c>
      <c r="C56" s="192">
        <v>0</v>
      </c>
      <c r="D56" s="192" t="s">
        <v>65</v>
      </c>
      <c r="E56" s="192">
        <v>1</v>
      </c>
      <c r="F56" s="192">
        <v>0</v>
      </c>
      <c r="G56" s="192">
        <v>122285</v>
      </c>
      <c r="H56" s="192">
        <v>13462</v>
      </c>
      <c r="I56" s="192">
        <v>1</v>
      </c>
      <c r="J56" s="192">
        <v>1150</v>
      </c>
      <c r="K56" s="192" t="s">
        <v>925</v>
      </c>
      <c r="L56" s="192" t="s">
        <v>922</v>
      </c>
      <c r="M56" s="192" t="s">
        <v>923</v>
      </c>
      <c r="N56" s="192" t="s">
        <v>65</v>
      </c>
      <c r="O56" s="192" t="s">
        <v>65</v>
      </c>
      <c r="P56" s="192" t="s">
        <v>65</v>
      </c>
      <c r="Q56" s="192">
        <v>0.23000000417232513</v>
      </c>
      <c r="R56" s="192">
        <v>3.0999999046325684</v>
      </c>
      <c r="S56" s="192">
        <f>VLOOKUP($H56,'RBSA Weights'!$A$2:$C$1406,3,FALSE)</f>
        <v>1464.694</v>
      </c>
    </row>
    <row r="57" spans="1:19">
      <c r="A57" s="192" t="s">
        <v>940</v>
      </c>
      <c r="B57" s="192">
        <v>0</v>
      </c>
      <c r="C57" s="192">
        <v>0</v>
      </c>
      <c r="D57" s="192" t="s">
        <v>65</v>
      </c>
      <c r="E57" s="192">
        <v>1</v>
      </c>
      <c r="F57" s="192">
        <v>1</v>
      </c>
      <c r="G57" s="192">
        <v>33865</v>
      </c>
      <c r="H57" s="192">
        <v>20125</v>
      </c>
      <c r="I57" s="192">
        <v>1</v>
      </c>
      <c r="J57" s="192">
        <v>932</v>
      </c>
      <c r="K57" s="192" t="s">
        <v>918</v>
      </c>
      <c r="L57" s="192" t="s">
        <v>737</v>
      </c>
      <c r="M57" s="192" t="s">
        <v>919</v>
      </c>
      <c r="N57" s="192" t="s">
        <v>65</v>
      </c>
      <c r="O57" s="192" t="s">
        <v>65</v>
      </c>
      <c r="P57" s="192" t="s">
        <v>65</v>
      </c>
      <c r="Q57" s="192">
        <v>0.23000000417232513</v>
      </c>
      <c r="R57" s="192">
        <v>4.5</v>
      </c>
      <c r="S57" s="192">
        <f>VLOOKUP($H57,'RBSA Weights'!$A$2:$C$1406,3,FALSE)</f>
        <v>3785.7640000000001</v>
      </c>
    </row>
    <row r="58" spans="1:19">
      <c r="A58" s="192" t="s">
        <v>940</v>
      </c>
      <c r="B58" s="192">
        <v>0.5</v>
      </c>
      <c r="C58" s="192">
        <v>0</v>
      </c>
      <c r="D58" s="192" t="s">
        <v>65</v>
      </c>
      <c r="E58" s="192">
        <v>1</v>
      </c>
      <c r="F58" s="192">
        <v>0</v>
      </c>
      <c r="G58" s="192">
        <v>29773</v>
      </c>
      <c r="H58" s="192">
        <v>10191</v>
      </c>
      <c r="I58" s="192">
        <v>1</v>
      </c>
      <c r="J58" s="192">
        <v>364</v>
      </c>
      <c r="K58" s="192" t="s">
        <v>925</v>
      </c>
      <c r="L58" s="192" t="s">
        <v>922</v>
      </c>
      <c r="M58" s="192" t="s">
        <v>919</v>
      </c>
      <c r="N58" s="192" t="s">
        <v>65</v>
      </c>
      <c r="O58" s="192" t="s">
        <v>65</v>
      </c>
      <c r="P58" s="192" t="s">
        <v>924</v>
      </c>
      <c r="Q58" s="192">
        <v>0.23000000417232513</v>
      </c>
      <c r="R58" s="192">
        <v>3.0999999046325684</v>
      </c>
      <c r="S58" s="192">
        <f>VLOOKUP($H58,'RBSA Weights'!$A$2:$C$1406,3,FALSE)</f>
        <v>1524.7619999999999</v>
      </c>
    </row>
    <row r="59" spans="1:19">
      <c r="A59" s="192" t="s">
        <v>940</v>
      </c>
      <c r="B59" s="192">
        <v>0.75</v>
      </c>
      <c r="C59" s="192">
        <v>1</v>
      </c>
      <c r="D59" s="192" t="s">
        <v>941</v>
      </c>
      <c r="E59" s="192">
        <v>0</v>
      </c>
      <c r="G59" s="192">
        <v>218688</v>
      </c>
      <c r="H59" s="192">
        <v>23932</v>
      </c>
      <c r="I59" s="192">
        <v>1</v>
      </c>
      <c r="J59" s="192">
        <v>1848</v>
      </c>
      <c r="K59" s="192" t="s">
        <v>925</v>
      </c>
      <c r="L59" s="192" t="s">
        <v>927</v>
      </c>
      <c r="M59" s="192" t="s">
        <v>923</v>
      </c>
      <c r="N59" s="192" t="s">
        <v>65</v>
      </c>
      <c r="O59" s="192" t="s">
        <v>65</v>
      </c>
      <c r="P59" s="192" t="s">
        <v>65</v>
      </c>
      <c r="Q59" s="192">
        <v>0.23000000417232513</v>
      </c>
      <c r="R59" s="192">
        <v>9.1000003814697266</v>
      </c>
      <c r="S59" s="192">
        <f>VLOOKUP($H59,'RBSA Weights'!$A$2:$C$1406,3,FALSE)</f>
        <v>3785.7640000000001</v>
      </c>
    </row>
    <row r="60" spans="1:19">
      <c r="A60" s="192" t="s">
        <v>940</v>
      </c>
      <c r="B60" s="192">
        <v>0.9</v>
      </c>
      <c r="C60" s="192">
        <v>1</v>
      </c>
      <c r="D60" s="192" t="s">
        <v>944</v>
      </c>
      <c r="E60" s="192">
        <v>1</v>
      </c>
      <c r="F60" s="192">
        <v>0</v>
      </c>
      <c r="G60" s="192">
        <v>132295</v>
      </c>
      <c r="H60" s="192">
        <v>23021</v>
      </c>
      <c r="I60" s="192">
        <v>1</v>
      </c>
      <c r="J60" s="192">
        <v>1404</v>
      </c>
      <c r="K60" s="192" t="s">
        <v>925</v>
      </c>
      <c r="L60" s="192" t="s">
        <v>930</v>
      </c>
      <c r="M60" s="192" t="s">
        <v>923</v>
      </c>
      <c r="N60" s="192" t="s">
        <v>65</v>
      </c>
      <c r="O60" s="192" t="s">
        <v>65</v>
      </c>
      <c r="P60" s="192" t="s">
        <v>65</v>
      </c>
      <c r="Q60" s="192">
        <v>0.23000000417232513</v>
      </c>
      <c r="R60" s="192">
        <v>4.5999999046325684</v>
      </c>
      <c r="S60" s="192">
        <f>VLOOKUP($H60,'RBSA Weights'!$A$2:$C$1406,3,FALSE)</f>
        <v>1144.6790000000001</v>
      </c>
    </row>
    <row r="61" spans="1:19">
      <c r="A61" s="192" t="s">
        <v>940</v>
      </c>
      <c r="B61" s="192">
        <v>0.9</v>
      </c>
      <c r="C61" s="192">
        <v>1</v>
      </c>
      <c r="D61" s="192" t="s">
        <v>944</v>
      </c>
      <c r="E61" s="192">
        <v>0</v>
      </c>
      <c r="F61" s="192">
        <v>0</v>
      </c>
      <c r="G61" s="192">
        <v>161361</v>
      </c>
      <c r="H61" s="192">
        <v>20593</v>
      </c>
      <c r="I61" s="192">
        <v>1</v>
      </c>
      <c r="J61" s="192">
        <v>2455</v>
      </c>
      <c r="K61" s="192" t="s">
        <v>925</v>
      </c>
      <c r="L61" s="192" t="s">
        <v>927</v>
      </c>
      <c r="M61" s="192" t="s">
        <v>919</v>
      </c>
      <c r="N61" s="192" t="s">
        <v>65</v>
      </c>
      <c r="O61" s="192" t="s">
        <v>65</v>
      </c>
      <c r="P61" s="192" t="s">
        <v>65</v>
      </c>
      <c r="Q61" s="192">
        <v>0.23000000417232513</v>
      </c>
      <c r="R61" s="192">
        <v>11</v>
      </c>
      <c r="S61" s="192">
        <f>VLOOKUP($H61,'RBSA Weights'!$A$2:$C$1406,3,FALSE)</f>
        <v>2130.886</v>
      </c>
    </row>
    <row r="62" spans="1:19">
      <c r="A62" s="192" t="s">
        <v>940</v>
      </c>
      <c r="B62" s="192">
        <v>1</v>
      </c>
      <c r="C62" s="192">
        <v>1</v>
      </c>
      <c r="D62" s="192" t="s">
        <v>941</v>
      </c>
      <c r="E62" s="192">
        <v>0</v>
      </c>
      <c r="G62" s="192">
        <v>210747</v>
      </c>
      <c r="H62" s="192">
        <v>13691</v>
      </c>
      <c r="I62" s="192">
        <v>1</v>
      </c>
      <c r="J62" s="192">
        <v>2375</v>
      </c>
      <c r="K62" s="192" t="s">
        <v>925</v>
      </c>
      <c r="L62" s="192" t="s">
        <v>737</v>
      </c>
      <c r="M62" s="192" t="s">
        <v>919</v>
      </c>
      <c r="N62" s="192" t="s">
        <v>65</v>
      </c>
      <c r="O62" s="192" t="s">
        <v>65</v>
      </c>
      <c r="P62" s="192" t="s">
        <v>65</v>
      </c>
      <c r="Q62" s="192">
        <v>0.23000000417232513</v>
      </c>
      <c r="R62" s="192">
        <v>9.1000003814697266</v>
      </c>
      <c r="S62" s="192">
        <f>VLOOKUP($H62,'RBSA Weights'!$A$2:$C$1406,3,FALSE)</f>
        <v>6932.7380000000003</v>
      </c>
    </row>
    <row r="63" spans="1:19">
      <c r="A63" s="192" t="s">
        <v>940</v>
      </c>
      <c r="B63" s="192">
        <v>1</v>
      </c>
      <c r="C63" s="192">
        <v>1</v>
      </c>
      <c r="D63" s="192" t="s">
        <v>941</v>
      </c>
      <c r="E63" s="192">
        <v>1</v>
      </c>
      <c r="F63" s="192">
        <v>0</v>
      </c>
      <c r="G63" s="192">
        <v>718148</v>
      </c>
      <c r="H63" s="192">
        <v>22198</v>
      </c>
      <c r="I63" s="192">
        <v>1</v>
      </c>
      <c r="J63" s="192">
        <v>1243</v>
      </c>
      <c r="K63" s="192" t="s">
        <v>925</v>
      </c>
      <c r="L63" s="192" t="s">
        <v>930</v>
      </c>
      <c r="M63" s="192" t="s">
        <v>923</v>
      </c>
      <c r="N63" s="192" t="s">
        <v>65</v>
      </c>
      <c r="O63" s="192" t="s">
        <v>65</v>
      </c>
      <c r="P63" s="192" t="s">
        <v>65</v>
      </c>
      <c r="Q63" s="192">
        <v>0.23000000417232513</v>
      </c>
      <c r="R63" s="192">
        <v>3.9000000953674316</v>
      </c>
      <c r="S63" s="192">
        <f>VLOOKUP($H63,'RBSA Weights'!$A$2:$C$1406,3,FALSE)</f>
        <v>3785.7640000000001</v>
      </c>
    </row>
    <row r="64" spans="1:19">
      <c r="A64" s="192" t="s">
        <v>940</v>
      </c>
      <c r="B64" s="192">
        <v>1</v>
      </c>
      <c r="C64" s="192">
        <v>1</v>
      </c>
      <c r="D64" s="192" t="s">
        <v>941</v>
      </c>
      <c r="E64" s="192">
        <v>1</v>
      </c>
      <c r="F64" s="192">
        <v>0</v>
      </c>
      <c r="G64" s="192">
        <v>691821</v>
      </c>
      <c r="H64" s="192">
        <v>21408</v>
      </c>
      <c r="I64" s="192">
        <v>1</v>
      </c>
      <c r="J64" s="192">
        <v>1536</v>
      </c>
      <c r="K64" s="192" t="s">
        <v>918</v>
      </c>
      <c r="L64" s="192" t="s">
        <v>65</v>
      </c>
      <c r="M64" s="192" t="s">
        <v>919</v>
      </c>
      <c r="N64" s="192" t="s">
        <v>65</v>
      </c>
      <c r="O64" s="192" t="s">
        <v>65</v>
      </c>
      <c r="P64" s="192" t="s">
        <v>65</v>
      </c>
      <c r="Q64" s="192">
        <v>0.23000000417232513</v>
      </c>
      <c r="R64" s="192">
        <v>3.9000000953674316</v>
      </c>
      <c r="S64" s="192">
        <f>VLOOKUP($H64,'RBSA Weights'!$A$2:$C$1406,3,FALSE)</f>
        <v>3785.7640000000001</v>
      </c>
    </row>
    <row r="65" spans="1:19">
      <c r="A65" s="192" t="s">
        <v>940</v>
      </c>
      <c r="B65" s="192">
        <v>1</v>
      </c>
      <c r="C65" s="192">
        <v>0</v>
      </c>
      <c r="D65" s="192" t="s">
        <v>65</v>
      </c>
      <c r="E65" s="192">
        <v>1</v>
      </c>
      <c r="F65" s="192">
        <v>0</v>
      </c>
      <c r="G65" s="192">
        <v>50490</v>
      </c>
      <c r="H65" s="192">
        <v>23155</v>
      </c>
      <c r="I65" s="192">
        <v>1</v>
      </c>
      <c r="J65" s="192">
        <v>1025</v>
      </c>
      <c r="K65" s="192" t="s">
        <v>925</v>
      </c>
      <c r="L65" s="192" t="s">
        <v>927</v>
      </c>
      <c r="M65" s="192" t="s">
        <v>923</v>
      </c>
      <c r="N65" s="192" t="s">
        <v>65</v>
      </c>
      <c r="O65" s="192" t="s">
        <v>65</v>
      </c>
      <c r="P65" s="192" t="s">
        <v>65</v>
      </c>
      <c r="Q65" s="192">
        <v>0.23000000417232513</v>
      </c>
      <c r="R65" s="192">
        <v>3.0999999046325684</v>
      </c>
      <c r="S65" s="192">
        <f>VLOOKUP($H65,'RBSA Weights'!$A$2:$C$1406,3,FALSE)</f>
        <v>2079.9929999999999</v>
      </c>
    </row>
    <row r="66" spans="1:19">
      <c r="A66" s="192" t="s">
        <v>940</v>
      </c>
      <c r="B66" s="192">
        <v>1</v>
      </c>
      <c r="C66" s="192">
        <v>0</v>
      </c>
      <c r="D66" s="192" t="s">
        <v>65</v>
      </c>
      <c r="E66" s="192">
        <v>1</v>
      </c>
      <c r="F66" s="192">
        <v>0</v>
      </c>
      <c r="G66" s="192">
        <v>239929</v>
      </c>
      <c r="H66" s="192">
        <v>21394</v>
      </c>
      <c r="I66" s="192">
        <v>1</v>
      </c>
      <c r="J66" s="192">
        <v>1063</v>
      </c>
      <c r="K66" s="192" t="s">
        <v>925</v>
      </c>
      <c r="L66" s="192" t="s">
        <v>737</v>
      </c>
      <c r="M66" s="192" t="s">
        <v>919</v>
      </c>
      <c r="N66" s="192" t="s">
        <v>65</v>
      </c>
      <c r="O66" s="192" t="s">
        <v>945</v>
      </c>
      <c r="P66" s="192" t="s">
        <v>65</v>
      </c>
      <c r="Q66" s="192">
        <v>0.23000000417232513</v>
      </c>
      <c r="R66" s="192">
        <v>3.0999999046325684</v>
      </c>
      <c r="S66" s="192">
        <f>VLOOKUP($H66,'RBSA Weights'!$A$2:$C$1406,3,FALSE)</f>
        <v>2079.9929999999999</v>
      </c>
    </row>
    <row r="67" spans="1:19">
      <c r="A67" s="192" t="s">
        <v>940</v>
      </c>
      <c r="B67" s="192">
        <v>1</v>
      </c>
      <c r="C67" s="192">
        <v>1</v>
      </c>
      <c r="D67" s="192" t="s">
        <v>941</v>
      </c>
      <c r="E67" s="192">
        <v>1</v>
      </c>
      <c r="F67" s="192">
        <v>0</v>
      </c>
      <c r="G67" s="192">
        <v>196173</v>
      </c>
      <c r="H67" s="192">
        <v>22598</v>
      </c>
      <c r="I67" s="192">
        <v>1</v>
      </c>
      <c r="J67" s="192">
        <v>2319</v>
      </c>
      <c r="K67" s="192" t="s">
        <v>918</v>
      </c>
      <c r="L67" s="192" t="s">
        <v>65</v>
      </c>
      <c r="M67" s="192" t="s">
        <v>923</v>
      </c>
      <c r="N67" s="192" t="s">
        <v>65</v>
      </c>
      <c r="O67" s="192" t="s">
        <v>65</v>
      </c>
      <c r="P67" s="192" t="s">
        <v>65</v>
      </c>
      <c r="Q67" s="192">
        <v>0.23000000417232513</v>
      </c>
      <c r="R67" s="192">
        <v>3.9000000953674316</v>
      </c>
      <c r="S67" s="192">
        <f>VLOOKUP($H67,'RBSA Weights'!$A$2:$C$1406,3,FALSE)</f>
        <v>2130.886</v>
      </c>
    </row>
    <row r="68" spans="1:19">
      <c r="A68" s="192" t="s">
        <v>940</v>
      </c>
      <c r="B68" s="192">
        <v>1</v>
      </c>
      <c r="C68" s="192">
        <v>0</v>
      </c>
      <c r="D68" s="192" t="s">
        <v>65</v>
      </c>
      <c r="E68" s="192">
        <v>1</v>
      </c>
      <c r="F68" s="192">
        <v>1</v>
      </c>
      <c r="G68" s="192">
        <v>158509</v>
      </c>
      <c r="H68" s="192">
        <v>11808</v>
      </c>
      <c r="I68" s="192">
        <v>1</v>
      </c>
      <c r="J68" s="192">
        <v>960</v>
      </c>
      <c r="K68" s="192" t="s">
        <v>918</v>
      </c>
      <c r="L68" s="192" t="s">
        <v>65</v>
      </c>
      <c r="M68" s="192" t="s">
        <v>923</v>
      </c>
      <c r="N68" s="192" t="s">
        <v>65</v>
      </c>
      <c r="O68" s="192" t="s">
        <v>65</v>
      </c>
      <c r="P68" s="192" t="s">
        <v>65</v>
      </c>
      <c r="Q68" s="192">
        <v>0.23000000417232513</v>
      </c>
      <c r="R68" s="192">
        <v>4.5</v>
      </c>
      <c r="S68" s="192">
        <f>VLOOKUP($H68,'RBSA Weights'!$A$2:$C$1406,3,FALSE)</f>
        <v>4956.4930000000004</v>
      </c>
    </row>
    <row r="69" spans="1:19">
      <c r="A69" s="192" t="s">
        <v>940</v>
      </c>
      <c r="B69" s="192">
        <v>1</v>
      </c>
      <c r="C69" s="192">
        <v>1</v>
      </c>
      <c r="D69" s="192" t="s">
        <v>941</v>
      </c>
      <c r="E69" s="192">
        <v>1</v>
      </c>
      <c r="F69" s="192">
        <v>1</v>
      </c>
      <c r="G69" s="192">
        <v>183449</v>
      </c>
      <c r="H69" s="192">
        <v>21326</v>
      </c>
      <c r="I69" s="192">
        <v>1</v>
      </c>
      <c r="J69" s="192">
        <v>886</v>
      </c>
      <c r="K69" s="192" t="s">
        <v>918</v>
      </c>
      <c r="L69" s="192" t="s">
        <v>65</v>
      </c>
      <c r="M69" s="192" t="s">
        <v>919</v>
      </c>
      <c r="N69" s="192" t="s">
        <v>65</v>
      </c>
      <c r="O69" s="192" t="s">
        <v>65</v>
      </c>
      <c r="P69" s="192" t="s">
        <v>65</v>
      </c>
      <c r="Q69" s="192">
        <v>0.23000000417232513</v>
      </c>
      <c r="R69" s="192">
        <v>7.5999999046325684</v>
      </c>
      <c r="S69" s="192">
        <f>VLOOKUP($H69,'RBSA Weights'!$A$2:$C$1406,3,FALSE)</f>
        <v>1925.059</v>
      </c>
    </row>
    <row r="70" spans="1:19">
      <c r="A70" s="192" t="s">
        <v>940</v>
      </c>
      <c r="B70" s="192">
        <v>1</v>
      </c>
      <c r="C70" s="192">
        <v>1</v>
      </c>
      <c r="D70" s="192" t="s">
        <v>941</v>
      </c>
      <c r="E70" s="192">
        <v>1</v>
      </c>
      <c r="F70" s="192">
        <v>0</v>
      </c>
      <c r="G70" s="192">
        <v>222586</v>
      </c>
      <c r="H70" s="192">
        <v>24563</v>
      </c>
      <c r="I70" s="192">
        <v>1</v>
      </c>
      <c r="J70" s="192">
        <v>1412</v>
      </c>
      <c r="K70" s="192" t="s">
        <v>918</v>
      </c>
      <c r="L70" s="192" t="s">
        <v>65</v>
      </c>
      <c r="M70" s="192" t="s">
        <v>919</v>
      </c>
      <c r="N70" s="192" t="s">
        <v>65</v>
      </c>
      <c r="O70" s="192" t="s">
        <v>65</v>
      </c>
      <c r="P70" s="192" t="s">
        <v>65</v>
      </c>
      <c r="Q70" s="192">
        <v>0.23000000417232513</v>
      </c>
      <c r="R70" s="192">
        <v>3.9000000953674316</v>
      </c>
      <c r="S70" s="192">
        <f>VLOOKUP($H70,'RBSA Weights'!$A$2:$C$1406,3,FALSE)</f>
        <v>3785.7640000000001</v>
      </c>
    </row>
    <row r="71" spans="1:19">
      <c r="A71" s="192" t="s">
        <v>940</v>
      </c>
      <c r="C71" s="192">
        <v>1</v>
      </c>
      <c r="D71" s="192" t="s">
        <v>941</v>
      </c>
      <c r="E71" s="192">
        <v>1</v>
      </c>
      <c r="F71" s="192">
        <v>0</v>
      </c>
      <c r="G71" s="192">
        <v>78305</v>
      </c>
      <c r="H71" s="192">
        <v>23408</v>
      </c>
      <c r="I71" s="192">
        <v>1</v>
      </c>
      <c r="J71" s="192">
        <v>1464</v>
      </c>
      <c r="K71" s="192" t="s">
        <v>925</v>
      </c>
      <c r="L71" s="192" t="s">
        <v>927</v>
      </c>
      <c r="M71" s="192" t="s">
        <v>923</v>
      </c>
      <c r="N71" s="192" t="s">
        <v>924</v>
      </c>
      <c r="O71" s="192" t="s">
        <v>65</v>
      </c>
      <c r="P71" s="192" t="s">
        <v>65</v>
      </c>
      <c r="Q71" s="192">
        <v>0.23000000417232513</v>
      </c>
      <c r="R71" s="192">
        <v>3.9000000953674316</v>
      </c>
      <c r="S71" s="192">
        <f>VLOOKUP($H71,'RBSA Weights'!$A$2:$C$1406,3,FALSE)</f>
        <v>3785.7640000000001</v>
      </c>
    </row>
    <row r="72" spans="1:19">
      <c r="A72" s="192" t="s">
        <v>940</v>
      </c>
      <c r="C72" s="192">
        <v>0</v>
      </c>
      <c r="D72" s="192" t="s">
        <v>65</v>
      </c>
      <c r="E72" s="192">
        <v>1</v>
      </c>
      <c r="F72" s="192">
        <v>0</v>
      </c>
      <c r="G72" s="192">
        <v>91266</v>
      </c>
      <c r="H72" s="192">
        <v>11084</v>
      </c>
      <c r="I72" s="192">
        <v>1</v>
      </c>
      <c r="J72" s="192">
        <v>540</v>
      </c>
      <c r="K72" s="192" t="s">
        <v>925</v>
      </c>
      <c r="L72" s="192" t="s">
        <v>737</v>
      </c>
      <c r="M72" s="192" t="s">
        <v>923</v>
      </c>
      <c r="N72" s="192" t="s">
        <v>65</v>
      </c>
      <c r="O72" s="192" t="s">
        <v>65</v>
      </c>
      <c r="P72" s="192" t="s">
        <v>65</v>
      </c>
      <c r="Q72" s="192">
        <v>0.23000000417232513</v>
      </c>
      <c r="R72" s="192">
        <v>3.0999999046325684</v>
      </c>
      <c r="S72" s="192">
        <f>VLOOKUP($H72,'RBSA Weights'!$A$2:$C$1406,3,FALSE)</f>
        <v>2003.7159999999999</v>
      </c>
    </row>
    <row r="73" spans="1:19">
      <c r="A73" s="192" t="s">
        <v>940</v>
      </c>
      <c r="C73" s="192">
        <v>0</v>
      </c>
      <c r="D73" s="192" t="s">
        <v>65</v>
      </c>
      <c r="E73" s="192">
        <v>0</v>
      </c>
      <c r="F73" s="192">
        <v>0</v>
      </c>
      <c r="G73" s="192">
        <v>103480</v>
      </c>
      <c r="H73" s="192">
        <v>21831</v>
      </c>
      <c r="I73" s="192">
        <v>1</v>
      </c>
      <c r="J73" s="192">
        <v>345</v>
      </c>
      <c r="K73" s="192" t="s">
        <v>918</v>
      </c>
      <c r="L73" s="192" t="s">
        <v>737</v>
      </c>
      <c r="M73" s="192" t="s">
        <v>923</v>
      </c>
      <c r="N73" s="192" t="s">
        <v>65</v>
      </c>
      <c r="O73" s="192" t="s">
        <v>65</v>
      </c>
      <c r="P73" s="192" t="s">
        <v>65</v>
      </c>
      <c r="Q73" s="192">
        <v>0.23000000417232513</v>
      </c>
      <c r="R73" s="192">
        <v>5</v>
      </c>
      <c r="S73" s="192">
        <f>VLOOKUP($H73,'RBSA Weights'!$A$2:$C$1406,3,FALSE)</f>
        <v>1144.6790000000001</v>
      </c>
    </row>
    <row r="74" spans="1:19">
      <c r="A74" s="192" t="s">
        <v>940</v>
      </c>
      <c r="C74" s="192">
        <v>0</v>
      </c>
      <c r="D74" s="192" t="s">
        <v>65</v>
      </c>
      <c r="E74" s="192">
        <v>0</v>
      </c>
      <c r="G74" s="192">
        <v>666928</v>
      </c>
      <c r="H74" s="192">
        <v>14542</v>
      </c>
      <c r="I74" s="192">
        <v>1</v>
      </c>
      <c r="J74" s="192">
        <v>1035</v>
      </c>
      <c r="K74" s="192" t="s">
        <v>918</v>
      </c>
      <c r="L74" s="192" t="s">
        <v>65</v>
      </c>
      <c r="M74" s="192" t="s">
        <v>919</v>
      </c>
      <c r="N74" s="192" t="s">
        <v>65</v>
      </c>
      <c r="O74" s="192" t="s">
        <v>65</v>
      </c>
      <c r="P74" s="192" t="s">
        <v>65</v>
      </c>
      <c r="Q74" s="192">
        <v>0.23000000417232513</v>
      </c>
      <c r="R74" s="192">
        <v>5</v>
      </c>
      <c r="S74" s="192">
        <f>VLOOKUP($H74,'RBSA Weights'!$A$2:$C$1406,3,FALSE)</f>
        <v>1188.027</v>
      </c>
    </row>
    <row r="75" spans="1:19">
      <c r="A75" s="192" t="s">
        <v>940</v>
      </c>
      <c r="C75" s="192">
        <v>1</v>
      </c>
      <c r="D75" s="192" t="s">
        <v>921</v>
      </c>
      <c r="E75" s="192">
        <v>0</v>
      </c>
      <c r="G75" s="192">
        <v>192926</v>
      </c>
      <c r="H75" s="192">
        <v>21638</v>
      </c>
      <c r="I75" s="192">
        <v>1</v>
      </c>
      <c r="J75" s="192">
        <v>1140</v>
      </c>
      <c r="K75" s="192" t="s">
        <v>918</v>
      </c>
      <c r="L75" s="192" t="s">
        <v>930</v>
      </c>
      <c r="M75" s="192" t="s">
        <v>923</v>
      </c>
      <c r="N75" s="192" t="s">
        <v>65</v>
      </c>
      <c r="O75" s="192" t="s">
        <v>65</v>
      </c>
      <c r="P75" s="192" t="s">
        <v>65</v>
      </c>
      <c r="Q75" s="192">
        <v>0.23000000417232513</v>
      </c>
      <c r="R75" s="192">
        <v>10.300000190734863</v>
      </c>
      <c r="S75" s="192">
        <f>VLOOKUP($H75,'RBSA Weights'!$A$2:$C$1406,3,FALSE)</f>
        <v>2130.886</v>
      </c>
    </row>
    <row r="76" spans="1:19">
      <c r="A76" s="192" t="s">
        <v>940</v>
      </c>
      <c r="C76" s="192">
        <v>1</v>
      </c>
      <c r="D76" s="192" t="s">
        <v>921</v>
      </c>
      <c r="E76" s="192">
        <v>1</v>
      </c>
      <c r="F76" s="192">
        <v>1</v>
      </c>
      <c r="G76" s="192">
        <v>675821</v>
      </c>
      <c r="H76" s="192">
        <v>20998</v>
      </c>
      <c r="I76" s="192">
        <v>1</v>
      </c>
      <c r="J76" s="192">
        <v>675</v>
      </c>
      <c r="K76" s="192" t="s">
        <v>925</v>
      </c>
      <c r="L76" s="192" t="s">
        <v>737</v>
      </c>
      <c r="M76" s="192" t="s">
        <v>919</v>
      </c>
      <c r="N76" s="192" t="s">
        <v>65</v>
      </c>
      <c r="O76" s="192" t="s">
        <v>65</v>
      </c>
      <c r="P76" s="192" t="s">
        <v>65</v>
      </c>
      <c r="Q76" s="192">
        <v>0.23000000417232513</v>
      </c>
      <c r="R76" s="192">
        <v>8.3999996185302734</v>
      </c>
      <c r="S76" s="192">
        <f>VLOOKUP($H76,'RBSA Weights'!$A$2:$C$1406,3,FALSE)</f>
        <v>3785.7640000000001</v>
      </c>
    </row>
    <row r="77" spans="1:19">
      <c r="A77" s="192" t="s">
        <v>940</v>
      </c>
      <c r="C77" s="192">
        <v>0</v>
      </c>
      <c r="D77" s="192" t="s">
        <v>65</v>
      </c>
      <c r="E77" s="192">
        <v>1</v>
      </c>
      <c r="F77" s="192">
        <v>0</v>
      </c>
      <c r="G77" s="192">
        <v>198909</v>
      </c>
      <c r="H77" s="192">
        <v>24795</v>
      </c>
      <c r="I77" s="192">
        <v>1</v>
      </c>
      <c r="J77" s="192">
        <v>1675</v>
      </c>
      <c r="K77" s="192" t="s">
        <v>918</v>
      </c>
      <c r="L77" s="192" t="s">
        <v>65</v>
      </c>
      <c r="M77" s="192" t="s">
        <v>923</v>
      </c>
      <c r="N77" s="192" t="s">
        <v>65</v>
      </c>
      <c r="O77" s="192" t="s">
        <v>65</v>
      </c>
      <c r="P77" s="192" t="s">
        <v>65</v>
      </c>
      <c r="Q77" s="192">
        <v>0.23000000417232513</v>
      </c>
      <c r="R77" s="192">
        <v>3.0999999046325684</v>
      </c>
      <c r="S77" s="192">
        <f>VLOOKUP($H77,'RBSA Weights'!$A$2:$C$1406,3,FALSE)</f>
        <v>2079.9929999999999</v>
      </c>
    </row>
    <row r="78" spans="1:19">
      <c r="A78" s="192" t="s">
        <v>940</v>
      </c>
      <c r="C78" s="192">
        <v>0</v>
      </c>
      <c r="D78" s="192" t="s">
        <v>65</v>
      </c>
      <c r="E78" s="192">
        <v>0</v>
      </c>
      <c r="G78" s="192">
        <v>150676</v>
      </c>
      <c r="H78" s="192">
        <v>24765</v>
      </c>
      <c r="I78" s="192">
        <v>1</v>
      </c>
      <c r="J78" s="192">
        <v>1540</v>
      </c>
      <c r="K78" s="192" t="s">
        <v>925</v>
      </c>
      <c r="L78" s="192" t="s">
        <v>737</v>
      </c>
      <c r="M78" s="192" t="s">
        <v>919</v>
      </c>
      <c r="N78" s="192" t="s">
        <v>65</v>
      </c>
      <c r="O78" s="192" t="s">
        <v>65</v>
      </c>
      <c r="P78" s="192" t="s">
        <v>65</v>
      </c>
      <c r="Q78" s="192">
        <v>0.23000000417232513</v>
      </c>
      <c r="R78" s="192">
        <v>5</v>
      </c>
      <c r="S78" s="192">
        <f>VLOOKUP($H78,'RBSA Weights'!$A$2:$C$1406,3,FALSE)</f>
        <v>1144.6790000000001</v>
      </c>
    </row>
    <row r="79" spans="1:19">
      <c r="A79" s="192" t="s">
        <v>940</v>
      </c>
      <c r="C79" s="192">
        <v>1</v>
      </c>
      <c r="D79" s="192" t="s">
        <v>921</v>
      </c>
      <c r="E79" s="192">
        <v>1</v>
      </c>
      <c r="F79" s="192">
        <v>1</v>
      </c>
      <c r="G79" s="192">
        <v>172623</v>
      </c>
      <c r="H79" s="192">
        <v>10348</v>
      </c>
      <c r="I79" s="192">
        <v>1</v>
      </c>
      <c r="J79" s="192">
        <v>1056</v>
      </c>
      <c r="K79" s="192" t="s">
        <v>918</v>
      </c>
      <c r="L79" s="192" t="s">
        <v>65</v>
      </c>
      <c r="M79" s="192" t="s">
        <v>923</v>
      </c>
      <c r="N79" s="192" t="s">
        <v>65</v>
      </c>
      <c r="O79" s="192" t="s">
        <v>65</v>
      </c>
      <c r="P79" s="192" t="s">
        <v>65</v>
      </c>
      <c r="Q79" s="192">
        <v>0.23000000417232513</v>
      </c>
      <c r="R79" s="192">
        <v>8.3999996185302734</v>
      </c>
      <c r="S79" s="192">
        <f>VLOOKUP($H79,'RBSA Weights'!$A$2:$C$1406,3,FALSE)</f>
        <v>6932.7380000000003</v>
      </c>
    </row>
    <row r="80" spans="1:19">
      <c r="A80" s="192" t="s">
        <v>940</v>
      </c>
      <c r="C80" s="192">
        <v>0</v>
      </c>
      <c r="D80" s="192" t="s">
        <v>65</v>
      </c>
      <c r="E80" s="192">
        <v>1</v>
      </c>
      <c r="F80" s="192">
        <v>0</v>
      </c>
      <c r="G80" s="192">
        <v>155424</v>
      </c>
      <c r="H80" s="192">
        <v>13327</v>
      </c>
      <c r="I80" s="192">
        <v>1</v>
      </c>
      <c r="J80" s="192">
        <v>1196</v>
      </c>
      <c r="K80" s="192" t="s">
        <v>918</v>
      </c>
      <c r="L80" s="192" t="s">
        <v>737</v>
      </c>
      <c r="M80" s="192" t="s">
        <v>923</v>
      </c>
      <c r="N80" s="192" t="s">
        <v>65</v>
      </c>
      <c r="O80" s="192" t="s">
        <v>65</v>
      </c>
      <c r="P80" s="192" t="s">
        <v>65</v>
      </c>
      <c r="Q80" s="192">
        <v>0.23000000417232513</v>
      </c>
      <c r="R80" s="192">
        <v>3.0999999046325684</v>
      </c>
      <c r="S80" s="192">
        <f>VLOOKUP($H80,'RBSA Weights'!$A$2:$C$1406,3,FALSE)</f>
        <v>1464.694</v>
      </c>
    </row>
    <row r="81" spans="1:19">
      <c r="A81" s="192" t="s">
        <v>940</v>
      </c>
      <c r="C81" s="192">
        <v>0</v>
      </c>
      <c r="D81" s="192" t="s">
        <v>65</v>
      </c>
      <c r="E81" s="192">
        <v>1</v>
      </c>
      <c r="F81" s="192">
        <v>0</v>
      </c>
      <c r="G81" s="192">
        <v>239807</v>
      </c>
      <c r="H81" s="192">
        <v>10690</v>
      </c>
      <c r="I81" s="192">
        <v>1</v>
      </c>
      <c r="J81" s="192">
        <v>910</v>
      </c>
      <c r="K81" s="192" t="s">
        <v>918</v>
      </c>
      <c r="L81" s="192" t="s">
        <v>922</v>
      </c>
      <c r="M81" s="192" t="s">
        <v>919</v>
      </c>
      <c r="N81" s="192" t="s">
        <v>65</v>
      </c>
      <c r="O81" s="192" t="s">
        <v>65</v>
      </c>
      <c r="P81" s="192" t="s">
        <v>65</v>
      </c>
      <c r="Q81" s="192">
        <v>0.23000000417232513</v>
      </c>
      <c r="R81" s="192">
        <v>3.0999999046325684</v>
      </c>
      <c r="S81" s="192">
        <f>VLOOKUP($H81,'RBSA Weights'!$A$2:$C$1406,3,FALSE)</f>
        <v>1150.8789999999999</v>
      </c>
    </row>
    <row r="82" spans="1:19">
      <c r="A82" s="192" t="s">
        <v>940</v>
      </c>
      <c r="C82" s="192">
        <v>0</v>
      </c>
      <c r="D82" s="192" t="s">
        <v>65</v>
      </c>
      <c r="E82" s="192">
        <v>1</v>
      </c>
      <c r="F82" s="192">
        <v>0</v>
      </c>
      <c r="G82" s="192">
        <v>232819</v>
      </c>
      <c r="H82" s="192">
        <v>22632</v>
      </c>
      <c r="I82" s="192">
        <v>1</v>
      </c>
      <c r="J82" s="192">
        <v>220</v>
      </c>
      <c r="K82" s="192" t="s">
        <v>925</v>
      </c>
      <c r="L82" s="192" t="s">
        <v>930</v>
      </c>
      <c r="M82" s="192" t="s">
        <v>919</v>
      </c>
      <c r="N82" s="192" t="s">
        <v>65</v>
      </c>
      <c r="O82" s="192" t="s">
        <v>946</v>
      </c>
      <c r="P82" s="192" t="s">
        <v>65</v>
      </c>
      <c r="Q82" s="192">
        <v>0.23000000417232513</v>
      </c>
      <c r="R82" s="192">
        <v>3.0999999046325684</v>
      </c>
      <c r="S82" s="192">
        <f>VLOOKUP($H82,'RBSA Weights'!$A$2:$C$1406,3,FALSE)</f>
        <v>1144.6790000000001</v>
      </c>
    </row>
    <row r="83" spans="1:19">
      <c r="A83" s="192" t="s">
        <v>940</v>
      </c>
      <c r="C83" s="192">
        <v>1</v>
      </c>
      <c r="D83" s="192" t="s">
        <v>921</v>
      </c>
      <c r="E83" s="192">
        <v>1</v>
      </c>
      <c r="F83" s="192">
        <v>0</v>
      </c>
      <c r="G83" s="192">
        <v>88237</v>
      </c>
      <c r="H83" s="192">
        <v>22005</v>
      </c>
      <c r="I83" s="192">
        <v>1</v>
      </c>
      <c r="J83" s="192">
        <v>2480</v>
      </c>
      <c r="K83" s="192" t="s">
        <v>925</v>
      </c>
      <c r="L83" s="192" t="s">
        <v>930</v>
      </c>
      <c r="M83" s="192" t="s">
        <v>923</v>
      </c>
      <c r="N83" s="192" t="s">
        <v>926</v>
      </c>
      <c r="O83" s="192" t="s">
        <v>65</v>
      </c>
      <c r="P83" s="192" t="s">
        <v>65</v>
      </c>
      <c r="Q83" s="192">
        <v>0.23000000417232513</v>
      </c>
      <c r="R83" s="192">
        <v>4.5</v>
      </c>
      <c r="S83" s="192">
        <f>VLOOKUP($H83,'RBSA Weights'!$A$2:$C$1406,3,FALSE)</f>
        <v>1144.6790000000001</v>
      </c>
    </row>
    <row r="84" spans="1:19">
      <c r="A84" s="192" t="s">
        <v>940</v>
      </c>
      <c r="C84" s="192">
        <v>0</v>
      </c>
      <c r="D84" s="192" t="s">
        <v>65</v>
      </c>
      <c r="E84" s="192">
        <v>1</v>
      </c>
      <c r="F84" s="192">
        <v>0</v>
      </c>
      <c r="G84" s="192">
        <v>149232</v>
      </c>
      <c r="H84" s="192">
        <v>12561</v>
      </c>
      <c r="I84" s="192">
        <v>1</v>
      </c>
      <c r="J84" s="192">
        <v>800</v>
      </c>
      <c r="K84" s="192" t="s">
        <v>925</v>
      </c>
      <c r="L84" s="192" t="s">
        <v>922</v>
      </c>
      <c r="M84" s="192" t="s">
        <v>919</v>
      </c>
      <c r="N84" s="192" t="s">
        <v>65</v>
      </c>
      <c r="O84" s="192" t="s">
        <v>65</v>
      </c>
      <c r="P84" s="192" t="s">
        <v>65</v>
      </c>
      <c r="Q84" s="192">
        <v>0.23000000417232513</v>
      </c>
      <c r="R84" s="192">
        <v>3.0999999046325684</v>
      </c>
      <c r="S84" s="192">
        <f>VLOOKUP($H84,'RBSA Weights'!$A$2:$C$1406,3,FALSE)</f>
        <v>4956.4930000000004</v>
      </c>
    </row>
    <row r="85" spans="1:19">
      <c r="A85" s="192" t="s">
        <v>940</v>
      </c>
      <c r="C85" s="192">
        <v>0</v>
      </c>
      <c r="D85" s="192" t="s">
        <v>65</v>
      </c>
      <c r="E85" s="192">
        <v>1</v>
      </c>
      <c r="F85" s="192">
        <v>0</v>
      </c>
      <c r="G85" s="192">
        <v>83574</v>
      </c>
      <c r="H85" s="192">
        <v>10822</v>
      </c>
      <c r="I85" s="192">
        <v>1</v>
      </c>
      <c r="J85" s="192">
        <v>1976</v>
      </c>
      <c r="K85" s="192" t="s">
        <v>918</v>
      </c>
      <c r="L85" s="192" t="s">
        <v>737</v>
      </c>
      <c r="M85" s="192" t="s">
        <v>919</v>
      </c>
      <c r="N85" s="192" t="s">
        <v>65</v>
      </c>
      <c r="O85" s="192" t="s">
        <v>65</v>
      </c>
      <c r="P85" s="192" t="s">
        <v>65</v>
      </c>
      <c r="Q85" s="192">
        <v>0.23000000417232513</v>
      </c>
      <c r="R85" s="192">
        <v>3.0999999046325684</v>
      </c>
      <c r="S85" s="192">
        <f>VLOOKUP($H85,'RBSA Weights'!$A$2:$C$1406,3,FALSE)</f>
        <v>2003.7159999999999</v>
      </c>
    </row>
    <row r="86" spans="1:19">
      <c r="A86" s="192" t="s">
        <v>940</v>
      </c>
      <c r="C86" s="192">
        <v>1</v>
      </c>
      <c r="D86" s="192" t="s">
        <v>933</v>
      </c>
      <c r="E86" s="192">
        <v>1</v>
      </c>
      <c r="F86" s="192">
        <v>0</v>
      </c>
      <c r="G86" s="192">
        <v>122514</v>
      </c>
      <c r="H86" s="192">
        <v>23995</v>
      </c>
      <c r="I86" s="192">
        <v>1</v>
      </c>
      <c r="J86" s="192">
        <v>1287</v>
      </c>
      <c r="K86" s="192" t="s">
        <v>925</v>
      </c>
      <c r="L86" s="192" t="s">
        <v>930</v>
      </c>
      <c r="M86" s="192" t="s">
        <v>923</v>
      </c>
      <c r="N86" s="192" t="s">
        <v>924</v>
      </c>
      <c r="O86" s="192" t="s">
        <v>65</v>
      </c>
      <c r="P86" s="192" t="s">
        <v>65</v>
      </c>
      <c r="Q86" s="192">
        <v>0.23000000417232513</v>
      </c>
      <c r="R86" s="192">
        <v>4.5999999046325684</v>
      </c>
      <c r="S86" s="192">
        <f>VLOOKUP($H86,'RBSA Weights'!$A$2:$C$1406,3,FALSE)</f>
        <v>2130.886</v>
      </c>
    </row>
    <row r="87" spans="1:19">
      <c r="A87" s="192" t="s">
        <v>940</v>
      </c>
      <c r="C87" s="192">
        <v>0</v>
      </c>
      <c r="D87" s="192" t="s">
        <v>65</v>
      </c>
      <c r="E87" s="192">
        <v>1</v>
      </c>
      <c r="F87" s="192">
        <v>0</v>
      </c>
      <c r="G87" s="192">
        <v>98711</v>
      </c>
      <c r="H87" s="192">
        <v>12564</v>
      </c>
      <c r="I87" s="192">
        <v>1</v>
      </c>
      <c r="J87" s="192">
        <v>616</v>
      </c>
      <c r="K87" s="192" t="s">
        <v>918</v>
      </c>
      <c r="L87" s="192" t="s">
        <v>737</v>
      </c>
      <c r="M87" s="192" t="s">
        <v>923</v>
      </c>
      <c r="N87" s="192" t="s">
        <v>65</v>
      </c>
      <c r="O87" s="192" t="s">
        <v>65</v>
      </c>
      <c r="P87" s="192" t="s">
        <v>65</v>
      </c>
      <c r="Q87" s="192">
        <v>0.23000000417232513</v>
      </c>
      <c r="R87" s="192">
        <v>3.0999999046325684</v>
      </c>
      <c r="S87" s="192">
        <f>VLOOKUP($H87,'RBSA Weights'!$A$2:$C$1406,3,FALSE)</f>
        <v>2003.7159999999999</v>
      </c>
    </row>
    <row r="88" spans="1:19">
      <c r="A88" s="192" t="s">
        <v>940</v>
      </c>
      <c r="C88" s="192">
        <v>0</v>
      </c>
      <c r="D88" s="192" t="s">
        <v>65</v>
      </c>
      <c r="E88" s="192">
        <v>1</v>
      </c>
      <c r="F88" s="192">
        <v>1</v>
      </c>
      <c r="G88" s="192">
        <v>101571</v>
      </c>
      <c r="H88" s="192">
        <v>22957</v>
      </c>
      <c r="I88" s="192">
        <v>1</v>
      </c>
      <c r="J88" s="192">
        <v>1148</v>
      </c>
      <c r="K88" s="192" t="s">
        <v>925</v>
      </c>
      <c r="L88" s="192" t="s">
        <v>927</v>
      </c>
      <c r="M88" s="192" t="s">
        <v>923</v>
      </c>
      <c r="N88" s="192" t="s">
        <v>65</v>
      </c>
      <c r="O88" s="192" t="s">
        <v>65</v>
      </c>
      <c r="P88" s="192" t="s">
        <v>65</v>
      </c>
      <c r="Q88" s="192">
        <v>0.23000000417232513</v>
      </c>
      <c r="R88" s="192">
        <v>4.5</v>
      </c>
      <c r="S88" s="192">
        <f>VLOOKUP($H88,'RBSA Weights'!$A$2:$C$1406,3,FALSE)</f>
        <v>1925.059</v>
      </c>
    </row>
    <row r="89" spans="1:19">
      <c r="A89" s="192" t="s">
        <v>940</v>
      </c>
      <c r="C89" s="192">
        <v>0</v>
      </c>
      <c r="D89" s="192" t="s">
        <v>65</v>
      </c>
      <c r="E89" s="192">
        <v>1</v>
      </c>
      <c r="F89" s="192">
        <v>0</v>
      </c>
      <c r="G89" s="192">
        <v>131893</v>
      </c>
      <c r="H89" s="192">
        <v>24594</v>
      </c>
      <c r="I89" s="192">
        <v>1</v>
      </c>
      <c r="J89" s="192">
        <v>96</v>
      </c>
      <c r="K89" s="192" t="s">
        <v>918</v>
      </c>
      <c r="L89" s="192" t="s">
        <v>65</v>
      </c>
      <c r="M89" s="192" t="s">
        <v>919</v>
      </c>
      <c r="N89" s="192" t="s">
        <v>65</v>
      </c>
      <c r="O89" s="192" t="s">
        <v>65</v>
      </c>
      <c r="P89" s="192" t="s">
        <v>65</v>
      </c>
      <c r="Q89" s="192">
        <v>0.23000000417232513</v>
      </c>
      <c r="R89" s="192">
        <v>3.0999999046325684</v>
      </c>
      <c r="S89" s="192">
        <f>VLOOKUP($H89,'RBSA Weights'!$A$2:$C$1406,3,FALSE)</f>
        <v>1612.692</v>
      </c>
    </row>
    <row r="90" spans="1:19">
      <c r="A90" s="192" t="s">
        <v>940</v>
      </c>
      <c r="C90" s="192">
        <v>0</v>
      </c>
      <c r="D90" s="192" t="s">
        <v>65</v>
      </c>
      <c r="E90" s="192">
        <v>1</v>
      </c>
      <c r="F90" s="192">
        <v>0</v>
      </c>
      <c r="G90" s="192">
        <v>190111</v>
      </c>
      <c r="H90" s="192">
        <v>23645</v>
      </c>
      <c r="I90" s="192">
        <v>1</v>
      </c>
      <c r="J90" s="192">
        <v>962</v>
      </c>
      <c r="K90" s="192" t="s">
        <v>918</v>
      </c>
      <c r="L90" s="192" t="s">
        <v>65</v>
      </c>
      <c r="M90" s="192" t="s">
        <v>919</v>
      </c>
      <c r="N90" s="192" t="s">
        <v>65</v>
      </c>
      <c r="O90" s="192" t="s">
        <v>65</v>
      </c>
      <c r="P90" s="192" t="s">
        <v>65</v>
      </c>
      <c r="Q90" s="192">
        <v>0.23000000417232513</v>
      </c>
      <c r="R90" s="192">
        <v>3.0999999046325684</v>
      </c>
      <c r="S90" s="192">
        <f>VLOOKUP($H90,'RBSA Weights'!$A$2:$C$1406,3,FALSE)</f>
        <v>1612.692</v>
      </c>
    </row>
    <row r="91" spans="1:19">
      <c r="A91" s="192" t="s">
        <v>940</v>
      </c>
      <c r="C91" s="192">
        <v>0</v>
      </c>
      <c r="D91" s="192" t="s">
        <v>65</v>
      </c>
      <c r="E91" s="192">
        <v>1</v>
      </c>
      <c r="F91" s="192">
        <v>0</v>
      </c>
      <c r="G91" s="192">
        <v>41842</v>
      </c>
      <c r="H91" s="192">
        <v>12169</v>
      </c>
      <c r="I91" s="192">
        <v>1</v>
      </c>
      <c r="J91" s="192">
        <v>102</v>
      </c>
      <c r="K91" s="192" t="s">
        <v>925</v>
      </c>
      <c r="L91" s="192" t="s">
        <v>927</v>
      </c>
      <c r="M91" s="192" t="s">
        <v>923</v>
      </c>
      <c r="N91" s="192" t="s">
        <v>65</v>
      </c>
      <c r="O91" s="192" t="s">
        <v>65</v>
      </c>
      <c r="P91" s="192" t="s">
        <v>65</v>
      </c>
      <c r="Q91" s="192">
        <v>0.23000000417232513</v>
      </c>
      <c r="R91" s="192">
        <v>3.0999999046325684</v>
      </c>
      <c r="S91" s="192">
        <f>VLOOKUP($H91,'RBSA Weights'!$A$2:$C$1406,3,FALSE)</f>
        <v>1524.7619999999999</v>
      </c>
    </row>
    <row r="92" spans="1:19">
      <c r="A92" s="192" t="s">
        <v>940</v>
      </c>
      <c r="C92" s="192">
        <v>0</v>
      </c>
      <c r="D92" s="192" t="s">
        <v>65</v>
      </c>
      <c r="E92" s="192">
        <v>1</v>
      </c>
      <c r="F92" s="192">
        <v>0</v>
      </c>
      <c r="G92" s="192">
        <v>96870</v>
      </c>
      <c r="H92" s="192">
        <v>22891</v>
      </c>
      <c r="I92" s="192">
        <v>1</v>
      </c>
      <c r="J92" s="192">
        <v>225</v>
      </c>
      <c r="K92" s="192" t="s">
        <v>925</v>
      </c>
      <c r="L92" s="192" t="s">
        <v>737</v>
      </c>
      <c r="M92" s="192" t="s">
        <v>923</v>
      </c>
      <c r="N92" s="192" t="s">
        <v>65</v>
      </c>
      <c r="O92" s="192" t="s">
        <v>65</v>
      </c>
      <c r="P92" s="192" t="s">
        <v>65</v>
      </c>
      <c r="Q92" s="192">
        <v>0.23000000417232513</v>
      </c>
      <c r="R92" s="192">
        <v>3.0999999046325684</v>
      </c>
      <c r="S92" s="192">
        <f>VLOOKUP($H92,'RBSA Weights'!$A$2:$C$1406,3,FALSE)</f>
        <v>3785.7640000000001</v>
      </c>
    </row>
    <row r="93" spans="1:19">
      <c r="A93" s="192" t="s">
        <v>940</v>
      </c>
      <c r="C93" s="192">
        <v>0</v>
      </c>
      <c r="D93" s="192" t="s">
        <v>65</v>
      </c>
      <c r="E93" s="192">
        <v>1</v>
      </c>
      <c r="F93" s="192">
        <v>0</v>
      </c>
      <c r="G93" s="192">
        <v>61410</v>
      </c>
      <c r="H93" s="192">
        <v>10657</v>
      </c>
      <c r="I93" s="192">
        <v>1</v>
      </c>
      <c r="J93" s="192">
        <v>450</v>
      </c>
      <c r="K93" s="192" t="s">
        <v>925</v>
      </c>
      <c r="L93" s="192" t="s">
        <v>927</v>
      </c>
      <c r="M93" s="192" t="s">
        <v>923</v>
      </c>
      <c r="N93" s="192" t="s">
        <v>65</v>
      </c>
      <c r="O93" s="192" t="s">
        <v>947</v>
      </c>
      <c r="P93" s="192" t="s">
        <v>65</v>
      </c>
      <c r="Q93" s="192">
        <v>0.23000000417232513</v>
      </c>
      <c r="R93" s="192">
        <v>3.0999999046325684</v>
      </c>
      <c r="S93" s="192">
        <f>VLOOKUP($H93,'RBSA Weights'!$A$2:$C$1406,3,FALSE)</f>
        <v>1524.7619999999999</v>
      </c>
    </row>
    <row r="94" spans="1:19">
      <c r="A94" s="192" t="s">
        <v>940</v>
      </c>
      <c r="C94" s="192">
        <v>0</v>
      </c>
      <c r="D94" s="192" t="s">
        <v>65</v>
      </c>
      <c r="E94" s="192">
        <v>1</v>
      </c>
      <c r="F94" s="192">
        <v>0</v>
      </c>
      <c r="G94" s="192">
        <v>193508</v>
      </c>
      <c r="H94" s="192">
        <v>20472</v>
      </c>
      <c r="I94" s="192">
        <v>1</v>
      </c>
      <c r="J94" s="192">
        <v>1205</v>
      </c>
      <c r="K94" s="192" t="s">
        <v>918</v>
      </c>
      <c r="L94" s="192" t="s">
        <v>65</v>
      </c>
      <c r="M94" s="192" t="s">
        <v>919</v>
      </c>
      <c r="N94" s="192" t="s">
        <v>65</v>
      </c>
      <c r="O94" s="192" t="s">
        <v>65</v>
      </c>
      <c r="P94" s="192" t="s">
        <v>65</v>
      </c>
      <c r="Q94" s="192">
        <v>0.23000000417232513</v>
      </c>
      <c r="R94" s="192">
        <v>3.0999999046325684</v>
      </c>
      <c r="S94" s="192">
        <f>VLOOKUP($H94,'RBSA Weights'!$A$2:$C$1406,3,FALSE)</f>
        <v>1612.692</v>
      </c>
    </row>
    <row r="95" spans="1:19">
      <c r="A95" s="192" t="s">
        <v>940</v>
      </c>
      <c r="C95" s="192">
        <v>0</v>
      </c>
      <c r="D95" s="192" t="s">
        <v>65</v>
      </c>
      <c r="E95" s="192">
        <v>1</v>
      </c>
      <c r="F95" s="192">
        <v>0</v>
      </c>
      <c r="G95" s="192">
        <v>152114</v>
      </c>
      <c r="H95" s="192">
        <v>24533</v>
      </c>
      <c r="I95" s="192">
        <v>1</v>
      </c>
      <c r="J95" s="192">
        <v>1475</v>
      </c>
      <c r="K95" s="192" t="s">
        <v>918</v>
      </c>
      <c r="L95" s="192" t="s">
        <v>65</v>
      </c>
      <c r="M95" s="192" t="s">
        <v>919</v>
      </c>
      <c r="N95" s="192" t="s">
        <v>65</v>
      </c>
      <c r="O95" s="192" t="s">
        <v>65</v>
      </c>
      <c r="P95" s="192" t="s">
        <v>65</v>
      </c>
      <c r="Q95" s="192">
        <v>0.23000000417232513</v>
      </c>
      <c r="R95" s="192">
        <v>3.0999999046325684</v>
      </c>
      <c r="S95" s="192">
        <f>VLOOKUP($H95,'RBSA Weights'!$A$2:$C$1406,3,FALSE)</f>
        <v>1612.692</v>
      </c>
    </row>
    <row r="96" spans="1:19">
      <c r="A96" s="192" t="s">
        <v>940</v>
      </c>
      <c r="C96" s="192">
        <v>0</v>
      </c>
      <c r="D96" s="192" t="s">
        <v>65</v>
      </c>
      <c r="E96" s="192">
        <v>1</v>
      </c>
      <c r="F96" s="192">
        <v>0</v>
      </c>
      <c r="G96" s="192">
        <v>175639</v>
      </c>
      <c r="H96" s="192">
        <v>24479</v>
      </c>
      <c r="I96" s="192">
        <v>1</v>
      </c>
      <c r="J96" s="192">
        <v>1255</v>
      </c>
      <c r="K96" s="192" t="s">
        <v>918</v>
      </c>
      <c r="L96" s="192" t="s">
        <v>65</v>
      </c>
      <c r="M96" s="192" t="s">
        <v>919</v>
      </c>
      <c r="N96" s="192" t="s">
        <v>65</v>
      </c>
      <c r="O96" s="192" t="s">
        <v>65</v>
      </c>
      <c r="P96" s="192" t="s">
        <v>65</v>
      </c>
      <c r="Q96" s="192">
        <v>0.23000000417232513</v>
      </c>
      <c r="R96" s="192">
        <v>3.0999999046325684</v>
      </c>
      <c r="S96" s="192">
        <f>VLOOKUP($H96,'RBSA Weights'!$A$2:$C$1406,3,FALSE)</f>
        <v>8264.9449999999997</v>
      </c>
    </row>
    <row r="97" spans="1:19">
      <c r="A97" s="192" t="s">
        <v>940</v>
      </c>
      <c r="C97" s="192">
        <v>1</v>
      </c>
      <c r="D97" s="192" t="s">
        <v>933</v>
      </c>
      <c r="E97" s="192">
        <v>1</v>
      </c>
      <c r="F97" s="192">
        <v>0</v>
      </c>
      <c r="G97" s="192">
        <v>88467</v>
      </c>
      <c r="H97" s="192">
        <v>20650</v>
      </c>
      <c r="I97" s="192">
        <v>1</v>
      </c>
      <c r="J97" s="192">
        <v>1008</v>
      </c>
      <c r="K97" s="192" t="s">
        <v>925</v>
      </c>
      <c r="L97" s="192" t="s">
        <v>737</v>
      </c>
      <c r="M97" s="192" t="s">
        <v>919</v>
      </c>
      <c r="N97" s="192" t="s">
        <v>948</v>
      </c>
      <c r="O97" s="192" t="s">
        <v>65</v>
      </c>
      <c r="P97" s="192" t="s">
        <v>65</v>
      </c>
      <c r="Q97" s="192">
        <v>0.23000000417232513</v>
      </c>
      <c r="R97" s="192">
        <v>4.5999999046325684</v>
      </c>
      <c r="S97" s="192">
        <f>VLOOKUP($H97,'RBSA Weights'!$A$2:$C$1406,3,FALSE)</f>
        <v>1925.059</v>
      </c>
    </row>
    <row r="98" spans="1:19">
      <c r="A98" s="192" t="s">
        <v>940</v>
      </c>
      <c r="C98" s="192">
        <v>1</v>
      </c>
      <c r="D98" s="192" t="s">
        <v>941</v>
      </c>
      <c r="E98" s="192">
        <v>1</v>
      </c>
      <c r="F98" s="192">
        <v>0</v>
      </c>
      <c r="G98" s="192">
        <v>222905</v>
      </c>
      <c r="H98" s="192">
        <v>24419</v>
      </c>
      <c r="I98" s="192">
        <v>1</v>
      </c>
      <c r="J98" s="192">
        <v>1500</v>
      </c>
      <c r="K98" s="192" t="s">
        <v>918</v>
      </c>
      <c r="L98" s="192" t="s">
        <v>65</v>
      </c>
      <c r="M98" s="192" t="s">
        <v>919</v>
      </c>
      <c r="N98" s="192" t="s">
        <v>65</v>
      </c>
      <c r="O98" s="192" t="s">
        <v>65</v>
      </c>
      <c r="P98" s="192" t="s">
        <v>65</v>
      </c>
      <c r="Q98" s="192">
        <v>0.23000000417232513</v>
      </c>
      <c r="R98" s="192">
        <v>3.9000000953674316</v>
      </c>
      <c r="S98" s="192">
        <f>VLOOKUP($H98,'RBSA Weights'!$A$2:$C$1406,3,FALSE)</f>
        <v>1612.692</v>
      </c>
    </row>
    <row r="99" spans="1:19">
      <c r="A99" s="192" t="s">
        <v>940</v>
      </c>
      <c r="C99" s="192">
        <v>0</v>
      </c>
      <c r="D99" s="192" t="s">
        <v>65</v>
      </c>
      <c r="E99" s="192">
        <v>0</v>
      </c>
      <c r="G99" s="192">
        <v>168833</v>
      </c>
      <c r="H99" s="192">
        <v>20861</v>
      </c>
      <c r="I99" s="192">
        <v>1</v>
      </c>
      <c r="J99" s="192">
        <v>740</v>
      </c>
      <c r="K99" s="192" t="s">
        <v>925</v>
      </c>
      <c r="L99" s="192" t="s">
        <v>930</v>
      </c>
      <c r="M99" s="192" t="s">
        <v>919</v>
      </c>
      <c r="N99" s="192" t="s">
        <v>65</v>
      </c>
      <c r="O99" s="192" t="s">
        <v>65</v>
      </c>
      <c r="P99" s="192" t="s">
        <v>65</v>
      </c>
      <c r="Q99" s="192">
        <v>0.23000000417232513</v>
      </c>
      <c r="R99" s="192">
        <v>5</v>
      </c>
      <c r="S99" s="192">
        <f>VLOOKUP($H99,'RBSA Weights'!$A$2:$C$1406,3,FALSE)</f>
        <v>2130.886</v>
      </c>
    </row>
    <row r="100" spans="1:19">
      <c r="A100" s="192" t="s">
        <v>940</v>
      </c>
      <c r="C100" s="192">
        <v>1</v>
      </c>
      <c r="D100" s="192" t="s">
        <v>921</v>
      </c>
      <c r="E100" s="192">
        <v>1</v>
      </c>
      <c r="F100" s="192">
        <v>0</v>
      </c>
      <c r="G100" s="192">
        <v>719892</v>
      </c>
      <c r="H100" s="192">
        <v>22127</v>
      </c>
      <c r="I100" s="192">
        <v>1</v>
      </c>
      <c r="J100" s="192">
        <v>1007</v>
      </c>
      <c r="K100" s="192" t="s">
        <v>925</v>
      </c>
      <c r="L100" s="192" t="s">
        <v>927</v>
      </c>
      <c r="M100" s="192" t="s">
        <v>923</v>
      </c>
      <c r="N100" s="192" t="s">
        <v>65</v>
      </c>
      <c r="O100" s="192" t="s">
        <v>65</v>
      </c>
      <c r="P100" s="192" t="s">
        <v>65</v>
      </c>
      <c r="Q100" s="192">
        <v>0.23000000417232513</v>
      </c>
      <c r="R100" s="192">
        <v>4.5</v>
      </c>
      <c r="S100" s="192">
        <f>VLOOKUP($H100,'RBSA Weights'!$A$2:$C$1406,3,FALSE)</f>
        <v>3785.7640000000001</v>
      </c>
    </row>
    <row r="101" spans="1:19">
      <c r="A101" s="192" t="s">
        <v>940</v>
      </c>
      <c r="C101" s="192">
        <v>0</v>
      </c>
      <c r="D101" s="192" t="s">
        <v>65</v>
      </c>
      <c r="E101" s="192">
        <v>0</v>
      </c>
      <c r="F101" s="192">
        <v>0</v>
      </c>
      <c r="G101" s="192">
        <v>86827</v>
      </c>
      <c r="H101" s="192">
        <v>20778</v>
      </c>
      <c r="I101" s="192">
        <v>1</v>
      </c>
      <c r="J101" s="192">
        <v>925</v>
      </c>
      <c r="K101" s="192" t="s">
        <v>918</v>
      </c>
      <c r="L101" s="192" t="s">
        <v>737</v>
      </c>
      <c r="M101" s="192" t="s">
        <v>923</v>
      </c>
      <c r="N101" s="192" t="s">
        <v>65</v>
      </c>
      <c r="O101" s="192" t="s">
        <v>65</v>
      </c>
      <c r="P101" s="192" t="s">
        <v>65</v>
      </c>
      <c r="Q101" s="192">
        <v>0.23000000417232513</v>
      </c>
      <c r="R101" s="192">
        <v>5</v>
      </c>
      <c r="S101" s="192">
        <f>VLOOKUP($H101,'RBSA Weights'!$A$2:$C$1406,3,FALSE)</f>
        <v>1144.6790000000001</v>
      </c>
    </row>
    <row r="102" spans="1:19">
      <c r="A102" s="192" t="s">
        <v>940</v>
      </c>
      <c r="C102" s="192">
        <v>1</v>
      </c>
      <c r="D102" s="192" t="s">
        <v>921</v>
      </c>
      <c r="E102" s="192">
        <v>0</v>
      </c>
      <c r="G102" s="192">
        <v>162525</v>
      </c>
      <c r="H102" s="192">
        <v>24120</v>
      </c>
      <c r="I102" s="192">
        <v>1</v>
      </c>
      <c r="J102" s="192">
        <v>1520</v>
      </c>
      <c r="K102" s="192" t="s">
        <v>925</v>
      </c>
      <c r="L102" s="192" t="s">
        <v>930</v>
      </c>
      <c r="M102" s="192" t="s">
        <v>923</v>
      </c>
      <c r="N102" s="192" t="s">
        <v>65</v>
      </c>
      <c r="O102" s="192" t="s">
        <v>65</v>
      </c>
      <c r="P102" s="192" t="s">
        <v>65</v>
      </c>
      <c r="Q102" s="192">
        <v>0.23000000417232513</v>
      </c>
      <c r="R102" s="192">
        <v>10.300000190734863</v>
      </c>
      <c r="S102" s="192">
        <f>VLOOKUP($H102,'RBSA Weights'!$A$2:$C$1406,3,FALSE)</f>
        <v>2130.886</v>
      </c>
    </row>
    <row r="103" spans="1:19">
      <c r="A103" s="192" t="s">
        <v>940</v>
      </c>
      <c r="C103" s="192">
        <v>0</v>
      </c>
      <c r="D103" s="192" t="s">
        <v>65</v>
      </c>
      <c r="E103" s="192">
        <v>0</v>
      </c>
      <c r="G103" s="192">
        <v>188782</v>
      </c>
      <c r="H103" s="192">
        <v>23627</v>
      </c>
      <c r="I103" s="192">
        <v>1</v>
      </c>
      <c r="J103" s="192">
        <v>500</v>
      </c>
      <c r="K103" s="192" t="s">
        <v>925</v>
      </c>
      <c r="L103" s="192" t="s">
        <v>737</v>
      </c>
      <c r="M103" s="192" t="s">
        <v>923</v>
      </c>
      <c r="N103" s="192" t="s">
        <v>65</v>
      </c>
      <c r="O103" s="192" t="s">
        <v>65</v>
      </c>
      <c r="P103" s="192" t="s">
        <v>65</v>
      </c>
      <c r="Q103" s="192">
        <v>0.23000000417232513</v>
      </c>
      <c r="R103" s="192">
        <v>5</v>
      </c>
      <c r="S103" s="192">
        <f>VLOOKUP($H103,'RBSA Weights'!$A$2:$C$1406,3,FALSE)</f>
        <v>1192.4649999999999</v>
      </c>
    </row>
    <row r="104" spans="1:19">
      <c r="A104" s="192" t="s">
        <v>940</v>
      </c>
      <c r="C104" s="192">
        <v>0</v>
      </c>
      <c r="D104" s="192" t="s">
        <v>65</v>
      </c>
      <c r="E104" s="192">
        <v>1</v>
      </c>
      <c r="F104" s="192">
        <v>0</v>
      </c>
      <c r="G104" s="192">
        <v>51579</v>
      </c>
      <c r="H104" s="192">
        <v>10738</v>
      </c>
      <c r="I104" s="192">
        <v>1</v>
      </c>
      <c r="J104" s="192">
        <v>1050</v>
      </c>
      <c r="K104" s="192" t="s">
        <v>925</v>
      </c>
      <c r="L104" s="192" t="s">
        <v>922</v>
      </c>
      <c r="M104" s="192" t="s">
        <v>919</v>
      </c>
      <c r="N104" s="192" t="s">
        <v>65</v>
      </c>
      <c r="O104" s="192" t="s">
        <v>65</v>
      </c>
      <c r="P104" s="192" t="s">
        <v>65</v>
      </c>
      <c r="Q104" s="192">
        <v>0.23000000417232513</v>
      </c>
      <c r="R104" s="192">
        <v>3.0999999046325684</v>
      </c>
      <c r="S104" s="192">
        <f>VLOOKUP($H104,'RBSA Weights'!$A$2:$C$1406,3,FALSE)</f>
        <v>1188.027</v>
      </c>
    </row>
    <row r="105" spans="1:19">
      <c r="A105" s="192" t="s">
        <v>940</v>
      </c>
      <c r="C105" s="192">
        <v>0</v>
      </c>
      <c r="D105" s="192" t="s">
        <v>65</v>
      </c>
      <c r="E105" s="192">
        <v>1</v>
      </c>
      <c r="F105" s="192">
        <v>0</v>
      </c>
      <c r="G105" s="192">
        <v>53180</v>
      </c>
      <c r="H105" s="192">
        <v>22515</v>
      </c>
      <c r="I105" s="192">
        <v>1</v>
      </c>
      <c r="J105" s="192">
        <v>1850</v>
      </c>
      <c r="K105" s="192" t="s">
        <v>918</v>
      </c>
      <c r="L105" s="192" t="s">
        <v>737</v>
      </c>
      <c r="M105" s="192" t="s">
        <v>923</v>
      </c>
      <c r="N105" s="192" t="s">
        <v>65</v>
      </c>
      <c r="O105" s="192" t="s">
        <v>65</v>
      </c>
      <c r="P105" s="192" t="s">
        <v>65</v>
      </c>
      <c r="Q105" s="192">
        <v>0.23000000417232513</v>
      </c>
      <c r="R105" s="192">
        <v>3.0999999046325684</v>
      </c>
      <c r="S105" s="192">
        <f>VLOOKUP($H105,'RBSA Weights'!$A$2:$C$1406,3,FALSE)</f>
        <v>2079.9929999999999</v>
      </c>
    </row>
    <row r="106" spans="1:19">
      <c r="A106" s="192" t="s">
        <v>940</v>
      </c>
      <c r="C106" s="192">
        <v>0</v>
      </c>
      <c r="D106" s="192" t="s">
        <v>65</v>
      </c>
      <c r="E106" s="192">
        <v>1</v>
      </c>
      <c r="F106" s="192">
        <v>0</v>
      </c>
      <c r="G106" s="192">
        <v>109479</v>
      </c>
      <c r="H106" s="192">
        <v>11222</v>
      </c>
      <c r="I106" s="192">
        <v>1</v>
      </c>
      <c r="J106" s="192">
        <v>1570</v>
      </c>
      <c r="K106" s="192" t="s">
        <v>918</v>
      </c>
      <c r="L106" s="192" t="s">
        <v>737</v>
      </c>
      <c r="M106" s="192" t="s">
        <v>919</v>
      </c>
      <c r="N106" s="192" t="s">
        <v>65</v>
      </c>
      <c r="O106" s="192" t="s">
        <v>65</v>
      </c>
      <c r="P106" s="192" t="s">
        <v>65</v>
      </c>
      <c r="Q106" s="192">
        <v>0.23000000417232513</v>
      </c>
      <c r="R106" s="192">
        <v>3.0999999046325684</v>
      </c>
      <c r="S106" s="192">
        <f>VLOOKUP($H106,'RBSA Weights'!$A$2:$C$1406,3,FALSE)</f>
        <v>4956.4930000000004</v>
      </c>
    </row>
    <row r="107" spans="1:19">
      <c r="A107" s="192" t="s">
        <v>940</v>
      </c>
      <c r="C107" s="192">
        <v>1</v>
      </c>
      <c r="D107" s="192" t="s">
        <v>921</v>
      </c>
      <c r="E107" s="192">
        <v>0</v>
      </c>
      <c r="G107" s="192">
        <v>155878</v>
      </c>
      <c r="H107" s="192">
        <v>21252</v>
      </c>
      <c r="I107" s="192">
        <v>1</v>
      </c>
      <c r="J107" s="192">
        <v>2790</v>
      </c>
      <c r="K107" s="192" t="s">
        <v>925</v>
      </c>
      <c r="L107" s="192" t="s">
        <v>927</v>
      </c>
      <c r="M107" s="192" t="s">
        <v>923</v>
      </c>
      <c r="N107" s="192" t="s">
        <v>65</v>
      </c>
      <c r="O107" s="192" t="s">
        <v>65</v>
      </c>
      <c r="P107" s="192" t="s">
        <v>65</v>
      </c>
      <c r="Q107" s="192">
        <v>0.23000000417232513</v>
      </c>
      <c r="R107" s="192">
        <v>10.300000190734863</v>
      </c>
      <c r="S107" s="192">
        <f>VLOOKUP($H107,'RBSA Weights'!$A$2:$C$1406,3,FALSE)</f>
        <v>1612.692</v>
      </c>
    </row>
    <row r="108" spans="1:19">
      <c r="A108" s="192" t="s">
        <v>940</v>
      </c>
      <c r="C108" s="192">
        <v>0</v>
      </c>
      <c r="D108" s="192" t="s">
        <v>65</v>
      </c>
      <c r="E108" s="192">
        <v>1</v>
      </c>
      <c r="F108" s="192">
        <v>1</v>
      </c>
      <c r="G108" s="192">
        <v>165637</v>
      </c>
      <c r="H108" s="192">
        <v>20618</v>
      </c>
      <c r="I108" s="192">
        <v>1</v>
      </c>
      <c r="J108" s="192">
        <v>910</v>
      </c>
      <c r="K108" s="192" t="s">
        <v>65</v>
      </c>
      <c r="L108" s="192" t="s">
        <v>922</v>
      </c>
      <c r="M108" s="192" t="s">
        <v>919</v>
      </c>
      <c r="N108" s="192" t="s">
        <v>65</v>
      </c>
      <c r="O108" s="192" t="s">
        <v>65</v>
      </c>
      <c r="P108" s="192" t="s">
        <v>65</v>
      </c>
      <c r="Q108" s="192">
        <v>0.23000000417232513</v>
      </c>
      <c r="R108" s="192">
        <v>4.5</v>
      </c>
      <c r="S108" s="192">
        <f>VLOOKUP($H108,'RBSA Weights'!$A$2:$C$1406,3,FALSE)</f>
        <v>1612.692</v>
      </c>
    </row>
    <row r="109" spans="1:19">
      <c r="A109" s="192" t="s">
        <v>940</v>
      </c>
      <c r="C109" s="192">
        <v>0</v>
      </c>
      <c r="D109" s="192" t="s">
        <v>65</v>
      </c>
      <c r="E109" s="192">
        <v>1</v>
      </c>
      <c r="F109" s="192">
        <v>0</v>
      </c>
      <c r="G109" s="192">
        <v>80120</v>
      </c>
      <c r="H109" s="192">
        <v>21242</v>
      </c>
      <c r="I109" s="192">
        <v>1</v>
      </c>
      <c r="J109" s="192">
        <v>552</v>
      </c>
      <c r="K109" s="192" t="s">
        <v>918</v>
      </c>
      <c r="L109" s="192" t="s">
        <v>737</v>
      </c>
      <c r="M109" s="192" t="s">
        <v>923</v>
      </c>
      <c r="N109" s="192" t="s">
        <v>65</v>
      </c>
      <c r="O109" s="192" t="s">
        <v>65</v>
      </c>
      <c r="P109" s="192" t="s">
        <v>65</v>
      </c>
      <c r="Q109" s="192">
        <v>0.23000000417232513</v>
      </c>
      <c r="R109" s="192">
        <v>3.0999999046325684</v>
      </c>
      <c r="S109" s="192">
        <f>VLOOKUP($H109,'RBSA Weights'!$A$2:$C$1406,3,FALSE)</f>
        <v>1925.059</v>
      </c>
    </row>
    <row r="110" spans="1:19">
      <c r="A110" s="192" t="s">
        <v>940</v>
      </c>
      <c r="C110" s="192">
        <v>1</v>
      </c>
      <c r="D110" s="192" t="s">
        <v>941</v>
      </c>
      <c r="E110" s="192">
        <v>1</v>
      </c>
      <c r="F110" s="192">
        <v>0</v>
      </c>
      <c r="G110" s="192">
        <v>195771</v>
      </c>
      <c r="H110" s="192">
        <v>12737</v>
      </c>
      <c r="I110" s="192">
        <v>1</v>
      </c>
      <c r="J110" s="192">
        <v>856</v>
      </c>
      <c r="K110" s="192" t="s">
        <v>918</v>
      </c>
      <c r="L110" s="192" t="s">
        <v>65</v>
      </c>
      <c r="M110" s="192" t="s">
        <v>919</v>
      </c>
      <c r="N110" s="192" t="s">
        <v>65</v>
      </c>
      <c r="O110" s="192" t="s">
        <v>65</v>
      </c>
      <c r="P110" s="192" t="s">
        <v>65</v>
      </c>
      <c r="Q110" s="192">
        <v>0.23000000417232513</v>
      </c>
      <c r="R110" s="192">
        <v>3.9000000953674316</v>
      </c>
      <c r="S110" s="192">
        <f>VLOOKUP($H110,'RBSA Weights'!$A$2:$C$1406,3,FALSE)</f>
        <v>6932.7380000000003</v>
      </c>
    </row>
    <row r="111" spans="1:19">
      <c r="A111" s="192" t="s">
        <v>940</v>
      </c>
      <c r="C111" s="192">
        <v>0</v>
      </c>
      <c r="D111" s="192" t="s">
        <v>65</v>
      </c>
      <c r="E111" s="192">
        <v>1</v>
      </c>
      <c r="F111" s="192">
        <v>0</v>
      </c>
      <c r="G111" s="192">
        <v>184784</v>
      </c>
      <c r="H111" s="192">
        <v>20965</v>
      </c>
      <c r="I111" s="192">
        <v>1</v>
      </c>
      <c r="J111" s="192">
        <v>1400</v>
      </c>
      <c r="K111" s="192" t="s">
        <v>918</v>
      </c>
      <c r="L111" s="192" t="s">
        <v>65</v>
      </c>
      <c r="M111" s="192" t="s">
        <v>919</v>
      </c>
      <c r="N111" s="192" t="s">
        <v>65</v>
      </c>
      <c r="O111" s="192" t="s">
        <v>65</v>
      </c>
      <c r="P111" s="192" t="s">
        <v>65</v>
      </c>
      <c r="Q111" s="192">
        <v>0.23000000417232513</v>
      </c>
      <c r="R111" s="192">
        <v>3.0999999046325684</v>
      </c>
      <c r="S111" s="192">
        <f>VLOOKUP($H111,'RBSA Weights'!$A$2:$C$1406,3,FALSE)</f>
        <v>3785.7640000000001</v>
      </c>
    </row>
    <row r="112" spans="1:19">
      <c r="A112" s="192" t="s">
        <v>940</v>
      </c>
      <c r="C112" s="192">
        <v>0</v>
      </c>
      <c r="D112" s="192" t="s">
        <v>65</v>
      </c>
      <c r="E112" s="192">
        <v>1</v>
      </c>
      <c r="F112" s="192">
        <v>0</v>
      </c>
      <c r="G112" s="192">
        <v>154392</v>
      </c>
      <c r="H112" s="192">
        <v>10178</v>
      </c>
      <c r="I112" s="192">
        <v>1</v>
      </c>
      <c r="J112" s="192">
        <v>1014</v>
      </c>
      <c r="K112" s="192" t="s">
        <v>918</v>
      </c>
      <c r="L112" s="192" t="s">
        <v>65</v>
      </c>
      <c r="M112" s="192" t="s">
        <v>923</v>
      </c>
      <c r="N112" s="192" t="s">
        <v>65</v>
      </c>
      <c r="O112" s="192" t="s">
        <v>65</v>
      </c>
      <c r="P112" s="192" t="s">
        <v>65</v>
      </c>
      <c r="Q112" s="192">
        <v>0.23000000417232513</v>
      </c>
      <c r="R112" s="192">
        <v>3.0999999046325684</v>
      </c>
      <c r="S112" s="192">
        <f>VLOOKUP($H112,'RBSA Weights'!$A$2:$C$1406,3,FALSE)</f>
        <v>6932.7380000000003</v>
      </c>
    </row>
    <row r="113" spans="1:19">
      <c r="A113" s="192" t="s">
        <v>940</v>
      </c>
      <c r="C113" s="192">
        <v>0</v>
      </c>
      <c r="D113" s="192" t="s">
        <v>65</v>
      </c>
      <c r="E113" s="192">
        <v>1</v>
      </c>
      <c r="F113" s="192">
        <v>0</v>
      </c>
      <c r="G113" s="192">
        <v>133820</v>
      </c>
      <c r="H113" s="192">
        <v>20619</v>
      </c>
      <c r="I113" s="192">
        <v>1</v>
      </c>
      <c r="J113" s="192">
        <v>785</v>
      </c>
      <c r="K113" s="192" t="s">
        <v>918</v>
      </c>
      <c r="L113" s="192" t="s">
        <v>65</v>
      </c>
      <c r="M113" s="192" t="s">
        <v>923</v>
      </c>
      <c r="N113" s="192" t="s">
        <v>65</v>
      </c>
      <c r="O113" s="192" t="s">
        <v>65</v>
      </c>
      <c r="P113" s="192" t="s">
        <v>65</v>
      </c>
      <c r="Q113" s="192">
        <v>0.23000000417232513</v>
      </c>
      <c r="R113" s="192">
        <v>3.0999999046325684</v>
      </c>
      <c r="S113" s="192">
        <f>VLOOKUP($H113,'RBSA Weights'!$A$2:$C$1406,3,FALSE)</f>
        <v>2079.9929999999999</v>
      </c>
    </row>
    <row r="114" spans="1:19">
      <c r="A114" s="192" t="s">
        <v>940</v>
      </c>
      <c r="C114" s="192">
        <v>0</v>
      </c>
      <c r="D114" s="192" t="s">
        <v>65</v>
      </c>
      <c r="E114" s="192">
        <v>1</v>
      </c>
      <c r="F114" s="192">
        <v>0</v>
      </c>
      <c r="G114" s="192">
        <v>241402</v>
      </c>
      <c r="H114" s="192">
        <v>10259</v>
      </c>
      <c r="I114" s="192">
        <v>1</v>
      </c>
      <c r="J114" s="192">
        <v>705</v>
      </c>
      <c r="K114" s="192" t="s">
        <v>918</v>
      </c>
      <c r="L114" s="192" t="s">
        <v>65</v>
      </c>
      <c r="M114" s="192" t="s">
        <v>923</v>
      </c>
      <c r="N114" s="192" t="s">
        <v>65</v>
      </c>
      <c r="O114" s="192" t="s">
        <v>65</v>
      </c>
      <c r="P114" s="192" t="s">
        <v>65</v>
      </c>
      <c r="Q114" s="192">
        <v>0.23000000417232513</v>
      </c>
      <c r="R114" s="192">
        <v>3.0999999046325684</v>
      </c>
      <c r="S114" s="192">
        <f>VLOOKUP($H114,'RBSA Weights'!$A$2:$C$1406,3,FALSE)</f>
        <v>1524.7619999999999</v>
      </c>
    </row>
    <row r="115" spans="1:19">
      <c r="A115" s="192" t="s">
        <v>940</v>
      </c>
      <c r="C115" s="192">
        <v>0</v>
      </c>
      <c r="D115" s="192" t="s">
        <v>65</v>
      </c>
      <c r="E115" s="192">
        <v>1</v>
      </c>
      <c r="F115" s="192">
        <v>1</v>
      </c>
      <c r="G115" s="192">
        <v>41756</v>
      </c>
      <c r="H115" s="192">
        <v>12679</v>
      </c>
      <c r="I115" s="192">
        <v>1</v>
      </c>
      <c r="J115" s="192">
        <v>1824</v>
      </c>
      <c r="K115" s="192" t="s">
        <v>925</v>
      </c>
      <c r="L115" s="192" t="s">
        <v>922</v>
      </c>
      <c r="M115" s="192" t="s">
        <v>923</v>
      </c>
      <c r="N115" s="192" t="s">
        <v>65</v>
      </c>
      <c r="O115" s="192" t="s">
        <v>65</v>
      </c>
      <c r="P115" s="192" t="s">
        <v>65</v>
      </c>
      <c r="Q115" s="192">
        <v>0.23000000417232513</v>
      </c>
      <c r="R115" s="192">
        <v>4.5</v>
      </c>
      <c r="S115" s="192">
        <f>VLOOKUP($H115,'RBSA Weights'!$A$2:$C$1406,3,FALSE)</f>
        <v>1524.7619999999999</v>
      </c>
    </row>
    <row r="116" spans="1:19">
      <c r="A116" s="192" t="s">
        <v>940</v>
      </c>
      <c r="C116" s="192">
        <v>0</v>
      </c>
      <c r="D116" s="192" t="s">
        <v>65</v>
      </c>
      <c r="E116" s="192">
        <v>1</v>
      </c>
      <c r="F116" s="192">
        <v>0</v>
      </c>
      <c r="G116" s="192">
        <v>689715</v>
      </c>
      <c r="H116" s="192">
        <v>10715</v>
      </c>
      <c r="I116" s="192">
        <v>1</v>
      </c>
      <c r="J116" s="192">
        <v>2352</v>
      </c>
      <c r="K116" s="192" t="s">
        <v>925</v>
      </c>
      <c r="L116" s="192" t="s">
        <v>927</v>
      </c>
      <c r="M116" s="192" t="s">
        <v>923</v>
      </c>
      <c r="N116" s="192" t="s">
        <v>65</v>
      </c>
      <c r="O116" s="192" t="s">
        <v>65</v>
      </c>
      <c r="P116" s="192" t="s">
        <v>65</v>
      </c>
      <c r="Q116" s="192">
        <v>0.23000000417232513</v>
      </c>
      <c r="R116" s="192">
        <v>3.0999999046325684</v>
      </c>
      <c r="S116" s="192">
        <f>VLOOKUP($H116,'RBSA Weights'!$A$2:$C$1406,3,FALSE)</f>
        <v>4956.4930000000004</v>
      </c>
    </row>
    <row r="117" spans="1:19">
      <c r="A117" s="192" t="s">
        <v>940</v>
      </c>
      <c r="C117" s="192">
        <v>0</v>
      </c>
      <c r="D117" s="192" t="s">
        <v>65</v>
      </c>
      <c r="E117" s="192">
        <v>1</v>
      </c>
      <c r="F117" s="192">
        <v>0</v>
      </c>
      <c r="G117" s="192">
        <v>659312</v>
      </c>
      <c r="H117" s="192">
        <v>14674</v>
      </c>
      <c r="I117" s="192">
        <v>1</v>
      </c>
      <c r="J117" s="192">
        <v>1242</v>
      </c>
      <c r="K117" s="192" t="s">
        <v>918</v>
      </c>
      <c r="L117" s="192" t="s">
        <v>65</v>
      </c>
      <c r="M117" s="192" t="s">
        <v>919</v>
      </c>
      <c r="N117" s="192" t="s">
        <v>65</v>
      </c>
      <c r="O117" s="192" t="s">
        <v>65</v>
      </c>
      <c r="P117" s="192" t="s">
        <v>65</v>
      </c>
      <c r="Q117" s="192">
        <v>0.23000000417232513</v>
      </c>
      <c r="R117" s="192">
        <v>3.0999999046325684</v>
      </c>
      <c r="S117" s="192">
        <f>VLOOKUP($H117,'RBSA Weights'!$A$2:$C$1406,3,FALSE)</f>
        <v>6932.7380000000003</v>
      </c>
    </row>
    <row r="118" spans="1:19">
      <c r="A118" s="192" t="s">
        <v>940</v>
      </c>
      <c r="C118" s="192">
        <v>0</v>
      </c>
      <c r="D118" s="192" t="s">
        <v>65</v>
      </c>
      <c r="E118" s="192">
        <v>1</v>
      </c>
      <c r="F118" s="192">
        <v>0</v>
      </c>
      <c r="G118" s="192">
        <v>152876</v>
      </c>
      <c r="H118" s="192">
        <v>21456</v>
      </c>
      <c r="I118" s="192">
        <v>1</v>
      </c>
      <c r="J118" s="192">
        <v>672</v>
      </c>
      <c r="K118" s="192" t="s">
        <v>918</v>
      </c>
      <c r="L118" s="192" t="s">
        <v>65</v>
      </c>
      <c r="M118" s="192" t="s">
        <v>919</v>
      </c>
      <c r="N118" s="192" t="s">
        <v>65</v>
      </c>
      <c r="O118" s="192" t="s">
        <v>65</v>
      </c>
      <c r="P118" s="192" t="s">
        <v>65</v>
      </c>
      <c r="Q118" s="192">
        <v>0.23000000417232513</v>
      </c>
      <c r="R118" s="192">
        <v>3.0999999046325684</v>
      </c>
      <c r="S118" s="192">
        <f>VLOOKUP($H118,'RBSA Weights'!$A$2:$C$1406,3,FALSE)</f>
        <v>1612.692</v>
      </c>
    </row>
    <row r="119" spans="1:19">
      <c r="A119" s="192" t="s">
        <v>940</v>
      </c>
      <c r="C119" s="192">
        <v>0</v>
      </c>
      <c r="D119" s="192" t="s">
        <v>65</v>
      </c>
      <c r="E119" s="192">
        <v>1</v>
      </c>
      <c r="F119" s="192">
        <v>0</v>
      </c>
      <c r="G119" s="192">
        <v>55590</v>
      </c>
      <c r="H119" s="192">
        <v>10337</v>
      </c>
      <c r="I119" s="192">
        <v>1</v>
      </c>
      <c r="J119" s="192">
        <v>1340</v>
      </c>
      <c r="K119" s="192" t="s">
        <v>65</v>
      </c>
      <c r="L119" s="192" t="s">
        <v>65</v>
      </c>
      <c r="M119" s="192" t="s">
        <v>65</v>
      </c>
      <c r="N119" s="192" t="s">
        <v>65</v>
      </c>
      <c r="O119" s="192" t="s">
        <v>65</v>
      </c>
      <c r="P119" s="192" t="s">
        <v>65</v>
      </c>
      <c r="Q119" s="192">
        <v>0.23000000417232513</v>
      </c>
      <c r="R119" s="192">
        <v>3.0999999046325684</v>
      </c>
      <c r="S119" s="192">
        <f>VLOOKUP($H119,'RBSA Weights'!$A$2:$C$1406,3,FALSE)</f>
        <v>1188.027</v>
      </c>
    </row>
    <row r="120" spans="1:19">
      <c r="A120" s="192" t="s">
        <v>940</v>
      </c>
      <c r="C120" s="192">
        <v>0</v>
      </c>
      <c r="D120" s="192" t="s">
        <v>65</v>
      </c>
      <c r="E120" s="192">
        <v>1</v>
      </c>
      <c r="F120" s="192">
        <v>0</v>
      </c>
      <c r="G120" s="192">
        <v>97321</v>
      </c>
      <c r="H120" s="192">
        <v>10629</v>
      </c>
      <c r="I120" s="192">
        <v>1</v>
      </c>
      <c r="J120" s="192">
        <v>1790</v>
      </c>
      <c r="K120" s="192" t="s">
        <v>918</v>
      </c>
      <c r="L120" s="192" t="s">
        <v>927</v>
      </c>
      <c r="M120" s="192" t="s">
        <v>923</v>
      </c>
      <c r="N120" s="192" t="s">
        <v>65</v>
      </c>
      <c r="O120" s="192" t="s">
        <v>65</v>
      </c>
      <c r="P120" s="192" t="s">
        <v>65</v>
      </c>
      <c r="Q120" s="192">
        <v>0.23000000417232513</v>
      </c>
      <c r="R120" s="192">
        <v>3.0999999046325684</v>
      </c>
      <c r="S120" s="192">
        <f>VLOOKUP($H120,'RBSA Weights'!$A$2:$C$1406,3,FALSE)</f>
        <v>4956.4930000000004</v>
      </c>
    </row>
    <row r="121" spans="1:19">
      <c r="A121" s="192" t="s">
        <v>940</v>
      </c>
      <c r="C121" s="192">
        <v>0</v>
      </c>
      <c r="D121" s="192" t="s">
        <v>65</v>
      </c>
      <c r="E121" s="192">
        <v>0</v>
      </c>
      <c r="G121" s="192">
        <v>159813</v>
      </c>
      <c r="H121" s="192">
        <v>11051</v>
      </c>
      <c r="I121" s="192">
        <v>1</v>
      </c>
      <c r="J121" s="192">
        <v>1010</v>
      </c>
      <c r="K121" s="192" t="s">
        <v>925</v>
      </c>
      <c r="L121" s="192" t="s">
        <v>737</v>
      </c>
      <c r="M121" s="192" t="s">
        <v>919</v>
      </c>
      <c r="N121" s="192" t="s">
        <v>65</v>
      </c>
      <c r="O121" s="192" t="s">
        <v>65</v>
      </c>
      <c r="P121" s="192" t="s">
        <v>65</v>
      </c>
      <c r="Q121" s="192">
        <v>0.23000000417232513</v>
      </c>
      <c r="R121" s="192">
        <v>5</v>
      </c>
      <c r="S121" s="192">
        <f>VLOOKUP($H121,'RBSA Weights'!$A$2:$C$1406,3,FALSE)</f>
        <v>6932.7380000000003</v>
      </c>
    </row>
    <row r="122" spans="1:19">
      <c r="A122" s="192" t="s">
        <v>940</v>
      </c>
      <c r="C122" s="192">
        <v>1</v>
      </c>
      <c r="D122" s="192" t="s">
        <v>941</v>
      </c>
      <c r="E122" s="192">
        <v>1</v>
      </c>
      <c r="F122" s="192">
        <v>0</v>
      </c>
      <c r="G122" s="192">
        <v>682276</v>
      </c>
      <c r="H122" s="192">
        <v>24844</v>
      </c>
      <c r="I122" s="192">
        <v>1</v>
      </c>
      <c r="J122" s="192">
        <v>741</v>
      </c>
      <c r="K122" s="192" t="s">
        <v>925</v>
      </c>
      <c r="L122" s="192" t="s">
        <v>927</v>
      </c>
      <c r="M122" s="192" t="s">
        <v>923</v>
      </c>
      <c r="N122" s="192" t="s">
        <v>65</v>
      </c>
      <c r="O122" s="192" t="s">
        <v>949</v>
      </c>
      <c r="P122" s="192" t="s">
        <v>65</v>
      </c>
      <c r="Q122" s="192">
        <v>0.23000000417232513</v>
      </c>
      <c r="R122" s="192">
        <v>3.9000000953674316</v>
      </c>
      <c r="S122" s="192">
        <f>VLOOKUP($H122,'RBSA Weights'!$A$2:$C$1406,3,FALSE)</f>
        <v>3785.7640000000001</v>
      </c>
    </row>
    <row r="123" spans="1:19">
      <c r="A123" s="192" t="s">
        <v>940</v>
      </c>
      <c r="C123" s="192">
        <v>0</v>
      </c>
      <c r="D123" s="192" t="s">
        <v>65</v>
      </c>
      <c r="E123" s="192">
        <v>0</v>
      </c>
      <c r="F123" s="192">
        <v>0</v>
      </c>
      <c r="G123" s="192">
        <v>47094</v>
      </c>
      <c r="H123" s="192">
        <v>12263</v>
      </c>
      <c r="I123" s="192">
        <v>1</v>
      </c>
      <c r="J123" s="192">
        <v>825</v>
      </c>
      <c r="K123" s="192" t="s">
        <v>918</v>
      </c>
      <c r="L123" s="192" t="s">
        <v>927</v>
      </c>
      <c r="M123" s="192" t="s">
        <v>923</v>
      </c>
      <c r="N123" s="192" t="s">
        <v>65</v>
      </c>
      <c r="O123" s="192" t="s">
        <v>65</v>
      </c>
      <c r="P123" s="192" t="s">
        <v>65</v>
      </c>
      <c r="Q123" s="192">
        <v>0.23000000417232513</v>
      </c>
      <c r="R123" s="192">
        <v>5</v>
      </c>
      <c r="S123" s="192">
        <f>VLOOKUP($H123,'RBSA Weights'!$A$2:$C$1406,3,FALSE)</f>
        <v>1524.7619999999999</v>
      </c>
    </row>
    <row r="124" spans="1:19">
      <c r="A124" s="192" t="s">
        <v>940</v>
      </c>
      <c r="C124" s="192">
        <v>0</v>
      </c>
      <c r="D124" s="192" t="s">
        <v>65</v>
      </c>
      <c r="E124" s="192">
        <v>1</v>
      </c>
      <c r="F124" s="192">
        <v>0</v>
      </c>
      <c r="G124" s="192">
        <v>201901</v>
      </c>
      <c r="H124" s="192">
        <v>22087</v>
      </c>
      <c r="I124" s="192">
        <v>1</v>
      </c>
      <c r="J124" s="192">
        <v>1160</v>
      </c>
      <c r="K124" s="192" t="s">
        <v>918</v>
      </c>
      <c r="L124" s="192" t="s">
        <v>65</v>
      </c>
      <c r="M124" s="192" t="s">
        <v>919</v>
      </c>
      <c r="N124" s="192" t="s">
        <v>65</v>
      </c>
      <c r="O124" s="192" t="s">
        <v>65</v>
      </c>
      <c r="P124" s="192" t="s">
        <v>65</v>
      </c>
      <c r="Q124" s="192">
        <v>0.23000000417232513</v>
      </c>
      <c r="R124" s="192">
        <v>3.0999999046325684</v>
      </c>
      <c r="S124" s="192">
        <f>VLOOKUP($H124,'RBSA Weights'!$A$2:$C$1406,3,FALSE)</f>
        <v>1612.692</v>
      </c>
    </row>
    <row r="125" spans="1:19">
      <c r="A125" s="192" t="s">
        <v>940</v>
      </c>
      <c r="C125" s="192">
        <v>0</v>
      </c>
      <c r="D125" s="192" t="s">
        <v>65</v>
      </c>
      <c r="E125" s="192">
        <v>1</v>
      </c>
      <c r="F125" s="192">
        <v>1</v>
      </c>
      <c r="G125" s="192">
        <v>174626</v>
      </c>
      <c r="H125" s="192">
        <v>22175</v>
      </c>
      <c r="I125" s="192">
        <v>1</v>
      </c>
      <c r="J125" s="192">
        <v>1096</v>
      </c>
      <c r="K125" s="192" t="s">
        <v>925</v>
      </c>
      <c r="L125" s="192" t="s">
        <v>930</v>
      </c>
      <c r="M125" s="192" t="s">
        <v>923</v>
      </c>
      <c r="N125" s="192" t="s">
        <v>65</v>
      </c>
      <c r="O125" s="192" t="s">
        <v>65</v>
      </c>
      <c r="P125" s="192" t="s">
        <v>65</v>
      </c>
      <c r="Q125" s="192">
        <v>0.23000000417232513</v>
      </c>
      <c r="R125" s="192">
        <v>4.5</v>
      </c>
      <c r="S125" s="192">
        <f>VLOOKUP($H125,'RBSA Weights'!$A$2:$C$1406,3,FALSE)</f>
        <v>2079.9929999999999</v>
      </c>
    </row>
    <row r="126" spans="1:19">
      <c r="A126" s="192" t="s">
        <v>940</v>
      </c>
      <c r="C126" s="192">
        <v>1</v>
      </c>
      <c r="D126" s="192" t="s">
        <v>941</v>
      </c>
      <c r="E126" s="192">
        <v>1</v>
      </c>
      <c r="F126" s="192">
        <v>1</v>
      </c>
      <c r="G126" s="192">
        <v>185981</v>
      </c>
      <c r="H126" s="192">
        <v>24207</v>
      </c>
      <c r="I126" s="192">
        <v>1</v>
      </c>
      <c r="J126" s="192">
        <v>910</v>
      </c>
      <c r="K126" s="192" t="s">
        <v>918</v>
      </c>
      <c r="L126" s="192" t="s">
        <v>65</v>
      </c>
      <c r="M126" s="192" t="s">
        <v>919</v>
      </c>
      <c r="N126" s="192" t="s">
        <v>65</v>
      </c>
      <c r="O126" s="192" t="s">
        <v>65</v>
      </c>
      <c r="P126" s="192" t="s">
        <v>65</v>
      </c>
      <c r="Q126" s="192">
        <v>0.23000000417232513</v>
      </c>
      <c r="R126" s="192">
        <v>7.5999999046325684</v>
      </c>
      <c r="S126" s="192">
        <f>VLOOKUP($H126,'RBSA Weights'!$A$2:$C$1406,3,FALSE)</f>
        <v>1925.059</v>
      </c>
    </row>
    <row r="127" spans="1:19">
      <c r="A127" s="192" t="s">
        <v>940</v>
      </c>
      <c r="C127" s="192">
        <v>0</v>
      </c>
      <c r="D127" s="192" t="s">
        <v>65</v>
      </c>
      <c r="E127" s="192">
        <v>0</v>
      </c>
      <c r="F127" s="192">
        <v>0</v>
      </c>
      <c r="G127" s="192">
        <v>117796</v>
      </c>
      <c r="H127" s="192">
        <v>10491</v>
      </c>
      <c r="I127" s="192">
        <v>1</v>
      </c>
      <c r="J127" s="192">
        <v>1035</v>
      </c>
      <c r="K127" s="192" t="s">
        <v>918</v>
      </c>
      <c r="L127" s="192" t="s">
        <v>927</v>
      </c>
      <c r="M127" s="192" t="s">
        <v>923</v>
      </c>
      <c r="N127" s="192" t="s">
        <v>65</v>
      </c>
      <c r="O127" s="192" t="s">
        <v>65</v>
      </c>
      <c r="P127" s="192" t="s">
        <v>65</v>
      </c>
      <c r="Q127" s="192">
        <v>0.23000000417232513</v>
      </c>
      <c r="R127" s="192">
        <v>5</v>
      </c>
      <c r="S127" s="192">
        <f>VLOOKUP($H127,'RBSA Weights'!$A$2:$C$1406,3,FALSE)</f>
        <v>1464.694</v>
      </c>
    </row>
    <row r="128" spans="1:19">
      <c r="A128" s="192" t="s">
        <v>940</v>
      </c>
      <c r="C128" s="192">
        <v>0</v>
      </c>
      <c r="D128" s="192" t="s">
        <v>65</v>
      </c>
      <c r="E128" s="192">
        <v>0</v>
      </c>
      <c r="G128" s="192">
        <v>192685</v>
      </c>
      <c r="H128" s="192">
        <v>20016</v>
      </c>
      <c r="I128" s="192">
        <v>1</v>
      </c>
      <c r="J128" s="192">
        <v>780</v>
      </c>
      <c r="K128" s="192" t="s">
        <v>925</v>
      </c>
      <c r="L128" s="192" t="s">
        <v>927</v>
      </c>
      <c r="M128" s="192" t="s">
        <v>923</v>
      </c>
      <c r="N128" s="192" t="s">
        <v>65</v>
      </c>
      <c r="O128" s="192" t="s">
        <v>65</v>
      </c>
      <c r="P128" s="192" t="s">
        <v>65</v>
      </c>
      <c r="Q128" s="192">
        <v>0.23000000417232513</v>
      </c>
      <c r="R128" s="192">
        <v>5</v>
      </c>
      <c r="S128" s="192">
        <f>VLOOKUP($H128,'RBSA Weights'!$A$2:$C$1406,3,FALSE)</f>
        <v>12271.31</v>
      </c>
    </row>
    <row r="129" spans="1:19">
      <c r="A129" s="192" t="s">
        <v>940</v>
      </c>
      <c r="C129" s="192">
        <v>1</v>
      </c>
      <c r="D129" s="192" t="s">
        <v>941</v>
      </c>
      <c r="E129" s="192">
        <v>1</v>
      </c>
      <c r="F129" s="192">
        <v>1</v>
      </c>
      <c r="G129" s="192">
        <v>209852</v>
      </c>
      <c r="H129" s="192">
        <v>21708</v>
      </c>
      <c r="I129" s="192">
        <v>1</v>
      </c>
      <c r="J129" s="192">
        <v>1392</v>
      </c>
      <c r="K129" s="192" t="s">
        <v>925</v>
      </c>
      <c r="L129" s="192" t="s">
        <v>927</v>
      </c>
      <c r="M129" s="192" t="s">
        <v>923</v>
      </c>
      <c r="N129" s="192" t="s">
        <v>65</v>
      </c>
      <c r="O129" s="192" t="s">
        <v>65</v>
      </c>
      <c r="P129" s="192" t="s">
        <v>65</v>
      </c>
      <c r="Q129" s="192">
        <v>0.23000000417232513</v>
      </c>
      <c r="R129" s="192">
        <v>7.5999999046325684</v>
      </c>
      <c r="S129" s="192">
        <f>VLOOKUP($H129,'RBSA Weights'!$A$2:$C$1406,3,FALSE)</f>
        <v>3785.7640000000001</v>
      </c>
    </row>
    <row r="130" spans="1:19">
      <c r="A130" s="192" t="s">
        <v>940</v>
      </c>
      <c r="C130" s="192">
        <v>0</v>
      </c>
      <c r="D130" s="192" t="s">
        <v>65</v>
      </c>
      <c r="E130" s="192">
        <v>0</v>
      </c>
      <c r="F130" s="192">
        <v>0</v>
      </c>
      <c r="G130" s="192">
        <v>81373</v>
      </c>
      <c r="H130" s="192">
        <v>22897</v>
      </c>
      <c r="I130" s="192">
        <v>1</v>
      </c>
      <c r="J130" s="192">
        <v>1350</v>
      </c>
      <c r="K130" s="192" t="s">
        <v>918</v>
      </c>
      <c r="L130" s="192" t="s">
        <v>737</v>
      </c>
      <c r="M130" s="192" t="s">
        <v>923</v>
      </c>
      <c r="N130" s="192" t="s">
        <v>65</v>
      </c>
      <c r="O130" s="192" t="s">
        <v>65</v>
      </c>
      <c r="P130" s="192" t="s">
        <v>65</v>
      </c>
      <c r="Q130" s="192">
        <v>0.23000000417232513</v>
      </c>
      <c r="R130" s="192">
        <v>5</v>
      </c>
      <c r="S130" s="192">
        <f>VLOOKUP($H130,'RBSA Weights'!$A$2:$C$1406,3,FALSE)</f>
        <v>2079.9929999999999</v>
      </c>
    </row>
    <row r="131" spans="1:19">
      <c r="A131" s="192" t="s">
        <v>940</v>
      </c>
      <c r="C131" s="192">
        <v>0</v>
      </c>
      <c r="D131" s="192" t="s">
        <v>65</v>
      </c>
      <c r="E131" s="192">
        <v>1</v>
      </c>
      <c r="F131" s="192">
        <v>0</v>
      </c>
      <c r="G131" s="192">
        <v>100598</v>
      </c>
      <c r="H131" s="192">
        <v>20265</v>
      </c>
      <c r="I131" s="192">
        <v>1</v>
      </c>
      <c r="J131" s="192">
        <v>1936</v>
      </c>
      <c r="K131" s="192" t="s">
        <v>918</v>
      </c>
      <c r="L131" s="192" t="s">
        <v>922</v>
      </c>
      <c r="M131" s="192" t="s">
        <v>923</v>
      </c>
      <c r="N131" s="192" t="s">
        <v>65</v>
      </c>
      <c r="O131" s="192" t="s">
        <v>65</v>
      </c>
      <c r="P131" s="192" t="s">
        <v>65</v>
      </c>
      <c r="Q131" s="192">
        <v>0.23000000417232513</v>
      </c>
      <c r="R131" s="192">
        <v>3.0999999046325684</v>
      </c>
      <c r="S131" s="192">
        <f>VLOOKUP($H131,'RBSA Weights'!$A$2:$C$1406,3,FALSE)</f>
        <v>1925.059</v>
      </c>
    </row>
    <row r="132" spans="1:19">
      <c r="A132" s="192" t="s">
        <v>940</v>
      </c>
      <c r="C132" s="192">
        <v>0</v>
      </c>
      <c r="D132" s="192" t="s">
        <v>65</v>
      </c>
      <c r="E132" s="192">
        <v>1</v>
      </c>
      <c r="F132" s="192">
        <v>1</v>
      </c>
      <c r="G132" s="192">
        <v>74116</v>
      </c>
      <c r="H132" s="192">
        <v>10211</v>
      </c>
      <c r="I132" s="192">
        <v>1</v>
      </c>
      <c r="J132" s="192">
        <v>959</v>
      </c>
      <c r="K132" s="192" t="s">
        <v>918</v>
      </c>
      <c r="L132" s="192" t="s">
        <v>927</v>
      </c>
      <c r="M132" s="192" t="s">
        <v>923</v>
      </c>
      <c r="N132" s="192" t="s">
        <v>65</v>
      </c>
      <c r="O132" s="192" t="s">
        <v>65</v>
      </c>
      <c r="P132" s="192" t="s">
        <v>65</v>
      </c>
      <c r="Q132" s="192">
        <v>0.23000000417232513</v>
      </c>
      <c r="R132" s="192">
        <v>4.5</v>
      </c>
      <c r="S132" s="192">
        <f>VLOOKUP($H132,'RBSA Weights'!$A$2:$C$1406,3,FALSE)</f>
        <v>1524.7619999999999</v>
      </c>
    </row>
    <row r="133" spans="1:19">
      <c r="A133" s="192" t="s">
        <v>940</v>
      </c>
      <c r="C133" s="192">
        <v>1</v>
      </c>
      <c r="D133" s="192" t="s">
        <v>941</v>
      </c>
      <c r="E133" s="192">
        <v>0</v>
      </c>
      <c r="G133" s="192">
        <v>137950</v>
      </c>
      <c r="H133" s="192">
        <v>23621</v>
      </c>
      <c r="I133" s="192">
        <v>1</v>
      </c>
      <c r="J133" s="192">
        <v>742</v>
      </c>
      <c r="K133" s="192" t="s">
        <v>925</v>
      </c>
      <c r="L133" s="192" t="s">
        <v>927</v>
      </c>
      <c r="M133" s="192" t="s">
        <v>923</v>
      </c>
      <c r="N133" s="192" t="s">
        <v>65</v>
      </c>
      <c r="O133" s="192" t="s">
        <v>65</v>
      </c>
      <c r="P133" s="192" t="s">
        <v>65</v>
      </c>
      <c r="Q133" s="192">
        <v>0.23000000417232513</v>
      </c>
      <c r="R133" s="192">
        <v>9.1000003814697266</v>
      </c>
      <c r="S133" s="192">
        <f>VLOOKUP($H133,'RBSA Weights'!$A$2:$C$1406,3,FALSE)</f>
        <v>2130.886</v>
      </c>
    </row>
    <row r="134" spans="1:19">
      <c r="A134" s="192" t="s">
        <v>940</v>
      </c>
      <c r="C134" s="192">
        <v>1</v>
      </c>
      <c r="D134" s="192" t="s">
        <v>921</v>
      </c>
      <c r="E134" s="192">
        <v>0</v>
      </c>
      <c r="G134" s="192">
        <v>229701</v>
      </c>
      <c r="H134" s="192">
        <v>20108</v>
      </c>
      <c r="I134" s="192">
        <v>1</v>
      </c>
      <c r="J134" s="192">
        <v>1695</v>
      </c>
      <c r="K134" s="192" t="s">
        <v>925</v>
      </c>
      <c r="L134" s="192" t="s">
        <v>927</v>
      </c>
      <c r="M134" s="192" t="s">
        <v>923</v>
      </c>
      <c r="N134" s="192" t="s">
        <v>65</v>
      </c>
      <c r="O134" s="192" t="s">
        <v>950</v>
      </c>
      <c r="P134" s="192" t="s">
        <v>65</v>
      </c>
      <c r="Q134" s="192">
        <v>0.23000000417232513</v>
      </c>
      <c r="R134" s="192">
        <v>10.300000190734863</v>
      </c>
      <c r="S134" s="192">
        <f>VLOOKUP($H134,'RBSA Weights'!$A$2:$C$1406,3,FALSE)</f>
        <v>3785.7640000000001</v>
      </c>
    </row>
    <row r="135" spans="1:19">
      <c r="A135" s="192" t="s">
        <v>940</v>
      </c>
      <c r="C135" s="192">
        <v>0</v>
      </c>
      <c r="D135" s="192" t="s">
        <v>65</v>
      </c>
      <c r="E135" s="192">
        <v>0</v>
      </c>
      <c r="F135" s="192">
        <v>0</v>
      </c>
      <c r="G135" s="192">
        <v>103568</v>
      </c>
      <c r="H135" s="192">
        <v>23318</v>
      </c>
      <c r="I135" s="192">
        <v>1</v>
      </c>
      <c r="J135" s="192">
        <v>528</v>
      </c>
      <c r="K135" s="192" t="s">
        <v>918</v>
      </c>
      <c r="L135" s="192" t="s">
        <v>922</v>
      </c>
      <c r="M135" s="192" t="s">
        <v>923</v>
      </c>
      <c r="N135" s="192" t="s">
        <v>65</v>
      </c>
      <c r="O135" s="192" t="s">
        <v>65</v>
      </c>
      <c r="P135" s="192" t="s">
        <v>65</v>
      </c>
      <c r="Q135" s="192">
        <v>0.23000000417232513</v>
      </c>
      <c r="R135" s="192">
        <v>5</v>
      </c>
      <c r="S135" s="192">
        <f>VLOOKUP($H135,'RBSA Weights'!$A$2:$C$1406,3,FALSE)</f>
        <v>1144.6790000000001</v>
      </c>
    </row>
    <row r="136" spans="1:19">
      <c r="A136" s="192" t="s">
        <v>940</v>
      </c>
      <c r="C136" s="192">
        <v>0</v>
      </c>
      <c r="D136" s="192" t="s">
        <v>65</v>
      </c>
      <c r="E136" s="192">
        <v>1</v>
      </c>
      <c r="F136" s="192">
        <v>0</v>
      </c>
      <c r="G136" s="192">
        <v>182875</v>
      </c>
      <c r="H136" s="192">
        <v>11815</v>
      </c>
      <c r="I136" s="192">
        <v>1</v>
      </c>
      <c r="J136" s="192">
        <v>1190</v>
      </c>
      <c r="K136" s="192" t="s">
        <v>925</v>
      </c>
      <c r="L136" s="192" t="s">
        <v>737</v>
      </c>
      <c r="M136" s="192" t="s">
        <v>923</v>
      </c>
      <c r="N136" s="192" t="s">
        <v>65</v>
      </c>
      <c r="O136" s="192" t="s">
        <v>65</v>
      </c>
      <c r="P136" s="192" t="s">
        <v>65</v>
      </c>
      <c r="Q136" s="192">
        <v>0.23000000417232513</v>
      </c>
      <c r="R136" s="192">
        <v>3.0999999046325684</v>
      </c>
      <c r="S136" s="192">
        <f>VLOOKUP($H136,'RBSA Weights'!$A$2:$C$1406,3,FALSE)</f>
        <v>6932.7380000000003</v>
      </c>
    </row>
    <row r="137" spans="1:19">
      <c r="A137" s="192" t="s">
        <v>940</v>
      </c>
      <c r="C137" s="192">
        <v>0</v>
      </c>
      <c r="D137" s="192" t="s">
        <v>65</v>
      </c>
      <c r="E137" s="192">
        <v>1</v>
      </c>
      <c r="F137" s="192">
        <v>0</v>
      </c>
      <c r="G137" s="192">
        <v>55847</v>
      </c>
      <c r="H137" s="192">
        <v>10661</v>
      </c>
      <c r="I137" s="192">
        <v>1</v>
      </c>
      <c r="J137" s="192">
        <v>1200</v>
      </c>
      <c r="K137" s="192" t="s">
        <v>925</v>
      </c>
      <c r="L137" s="192" t="s">
        <v>922</v>
      </c>
      <c r="M137" s="192" t="s">
        <v>923</v>
      </c>
      <c r="N137" s="192" t="s">
        <v>65</v>
      </c>
      <c r="O137" s="192" t="s">
        <v>65</v>
      </c>
      <c r="P137" s="192" t="s">
        <v>65</v>
      </c>
      <c r="Q137" s="192">
        <v>0.23000000417232513</v>
      </c>
      <c r="R137" s="192">
        <v>3.0999999046325684</v>
      </c>
      <c r="S137" s="192">
        <f>VLOOKUP($H137,'RBSA Weights'!$A$2:$C$1406,3,FALSE)</f>
        <v>1524.7619999999999</v>
      </c>
    </row>
    <row r="138" spans="1:19">
      <c r="A138" s="192" t="s">
        <v>940</v>
      </c>
      <c r="C138" s="192">
        <v>0</v>
      </c>
      <c r="D138" s="192" t="s">
        <v>65</v>
      </c>
      <c r="E138" s="192">
        <v>1</v>
      </c>
      <c r="F138" s="192">
        <v>0</v>
      </c>
      <c r="G138" s="192">
        <v>153362</v>
      </c>
      <c r="H138" s="192">
        <v>13242</v>
      </c>
      <c r="I138" s="192">
        <v>1</v>
      </c>
      <c r="J138" s="192">
        <v>1280</v>
      </c>
      <c r="K138" s="192" t="s">
        <v>918</v>
      </c>
      <c r="L138" s="192" t="s">
        <v>65</v>
      </c>
      <c r="M138" s="192" t="s">
        <v>923</v>
      </c>
      <c r="N138" s="192" t="s">
        <v>65</v>
      </c>
      <c r="O138" s="192" t="s">
        <v>65</v>
      </c>
      <c r="P138" s="192" t="s">
        <v>65</v>
      </c>
      <c r="Q138" s="192">
        <v>0.23000000417232513</v>
      </c>
      <c r="R138" s="192">
        <v>3.0999999046325684</v>
      </c>
      <c r="S138" s="192">
        <f>VLOOKUP($H138,'RBSA Weights'!$A$2:$C$1406,3,FALSE)</f>
        <v>4956.4930000000004</v>
      </c>
    </row>
    <row r="139" spans="1:19">
      <c r="A139" s="192" t="s">
        <v>940</v>
      </c>
      <c r="C139" s="192">
        <v>0</v>
      </c>
      <c r="D139" s="192" t="s">
        <v>65</v>
      </c>
      <c r="E139" s="192">
        <v>1</v>
      </c>
      <c r="F139" s="192">
        <v>0</v>
      </c>
      <c r="G139" s="192">
        <v>190008</v>
      </c>
      <c r="H139" s="192">
        <v>23262</v>
      </c>
      <c r="I139" s="192">
        <v>1</v>
      </c>
      <c r="J139" s="192">
        <v>1307</v>
      </c>
      <c r="K139" s="192" t="s">
        <v>925</v>
      </c>
      <c r="L139" s="192" t="s">
        <v>737</v>
      </c>
      <c r="M139" s="192" t="s">
        <v>919</v>
      </c>
      <c r="N139" s="192" t="s">
        <v>65</v>
      </c>
      <c r="O139" s="192" t="s">
        <v>65</v>
      </c>
      <c r="P139" s="192" t="s">
        <v>65</v>
      </c>
      <c r="Q139" s="192">
        <v>0.23000000417232513</v>
      </c>
      <c r="R139" s="192">
        <v>3.0999999046325684</v>
      </c>
      <c r="S139" s="192">
        <f>VLOOKUP($H139,'RBSA Weights'!$A$2:$C$1406,3,FALSE)</f>
        <v>1612.692</v>
      </c>
    </row>
    <row r="140" spans="1:19">
      <c r="A140" s="192" t="s">
        <v>940</v>
      </c>
      <c r="C140" s="192">
        <v>0</v>
      </c>
      <c r="D140" s="192" t="s">
        <v>65</v>
      </c>
      <c r="E140" s="192">
        <v>0</v>
      </c>
      <c r="F140" s="192">
        <v>0</v>
      </c>
      <c r="G140" s="192">
        <v>52640</v>
      </c>
      <c r="H140" s="192">
        <v>23676</v>
      </c>
      <c r="I140" s="192">
        <v>1</v>
      </c>
      <c r="J140" s="192">
        <v>1350</v>
      </c>
      <c r="K140" s="192" t="s">
        <v>925</v>
      </c>
      <c r="L140" s="192" t="s">
        <v>737</v>
      </c>
      <c r="M140" s="192" t="s">
        <v>923</v>
      </c>
      <c r="N140" s="192" t="s">
        <v>65</v>
      </c>
      <c r="O140" s="192" t="s">
        <v>65</v>
      </c>
      <c r="P140" s="192" t="s">
        <v>65</v>
      </c>
      <c r="Q140" s="192">
        <v>0.23000000417232513</v>
      </c>
      <c r="R140" s="192">
        <v>5</v>
      </c>
      <c r="S140" s="192">
        <f>VLOOKUP($H140,'RBSA Weights'!$A$2:$C$1406,3,FALSE)</f>
        <v>2079.9929999999999</v>
      </c>
    </row>
    <row r="141" spans="1:19">
      <c r="A141" s="192" t="s">
        <v>940</v>
      </c>
      <c r="C141" s="192">
        <v>1</v>
      </c>
      <c r="D141" s="192" t="s">
        <v>921</v>
      </c>
      <c r="E141" s="192">
        <v>1</v>
      </c>
      <c r="F141" s="192">
        <v>0</v>
      </c>
      <c r="G141" s="192">
        <v>100004</v>
      </c>
      <c r="H141" s="192">
        <v>23611</v>
      </c>
      <c r="I141" s="192">
        <v>1</v>
      </c>
      <c r="J141" s="192">
        <v>1808</v>
      </c>
      <c r="K141" s="192" t="s">
        <v>925</v>
      </c>
      <c r="L141" s="192" t="s">
        <v>930</v>
      </c>
      <c r="M141" s="192" t="s">
        <v>923</v>
      </c>
      <c r="N141" s="192" t="s">
        <v>926</v>
      </c>
      <c r="O141" s="192" t="s">
        <v>65</v>
      </c>
      <c r="P141" s="192" t="s">
        <v>65</v>
      </c>
      <c r="Q141" s="192">
        <v>0.23000000417232513</v>
      </c>
      <c r="R141" s="192">
        <v>4.5</v>
      </c>
      <c r="S141" s="192">
        <f>VLOOKUP($H141,'RBSA Weights'!$A$2:$C$1406,3,FALSE)</f>
        <v>1144.6790000000001</v>
      </c>
    </row>
    <row r="142" spans="1:19">
      <c r="A142" s="192" t="s">
        <v>940</v>
      </c>
      <c r="C142" s="192">
        <v>0</v>
      </c>
      <c r="D142" s="192" t="s">
        <v>65</v>
      </c>
      <c r="E142" s="192">
        <v>0</v>
      </c>
      <c r="G142" s="192">
        <v>204822</v>
      </c>
      <c r="H142" s="192">
        <v>21701</v>
      </c>
      <c r="I142" s="192">
        <v>1</v>
      </c>
      <c r="J142" s="192">
        <v>154</v>
      </c>
      <c r="K142" s="192" t="s">
        <v>918</v>
      </c>
      <c r="L142" s="192" t="s">
        <v>65</v>
      </c>
      <c r="M142" s="192" t="s">
        <v>919</v>
      </c>
      <c r="N142" s="192" t="s">
        <v>65</v>
      </c>
      <c r="O142" s="192" t="s">
        <v>65</v>
      </c>
      <c r="P142" s="192" t="s">
        <v>65</v>
      </c>
      <c r="Q142" s="192">
        <v>0.23000000417232513</v>
      </c>
      <c r="R142" s="192">
        <v>5</v>
      </c>
      <c r="S142" s="192">
        <f>VLOOKUP($H142,'RBSA Weights'!$A$2:$C$1406,3,FALSE)</f>
        <v>1144.6790000000001</v>
      </c>
    </row>
    <row r="143" spans="1:19">
      <c r="A143" s="192" t="s">
        <v>940</v>
      </c>
      <c r="C143" s="192">
        <v>0</v>
      </c>
      <c r="D143" s="192" t="s">
        <v>65</v>
      </c>
      <c r="E143" s="192">
        <v>1</v>
      </c>
      <c r="F143" s="192">
        <v>0</v>
      </c>
      <c r="G143" s="192">
        <v>120917</v>
      </c>
      <c r="H143" s="192">
        <v>11163</v>
      </c>
      <c r="I143" s="192">
        <v>1</v>
      </c>
      <c r="J143" s="192">
        <v>1888</v>
      </c>
      <c r="K143" s="192" t="s">
        <v>918</v>
      </c>
      <c r="L143" s="192" t="s">
        <v>737</v>
      </c>
      <c r="M143" s="192" t="s">
        <v>923</v>
      </c>
      <c r="N143" s="192" t="s">
        <v>65</v>
      </c>
      <c r="O143" s="192" t="s">
        <v>65</v>
      </c>
      <c r="P143" s="192" t="s">
        <v>65</v>
      </c>
      <c r="Q143" s="192">
        <v>0.23000000417232513</v>
      </c>
      <c r="R143" s="192">
        <v>3.0999999046325684</v>
      </c>
      <c r="S143" s="192">
        <f>VLOOKUP($H143,'RBSA Weights'!$A$2:$C$1406,3,FALSE)</f>
        <v>4956.4930000000004</v>
      </c>
    </row>
    <row r="144" spans="1:19">
      <c r="A144" s="192" t="s">
        <v>940</v>
      </c>
      <c r="C144" s="192">
        <v>0</v>
      </c>
      <c r="D144" s="192" t="s">
        <v>65</v>
      </c>
      <c r="E144" s="192">
        <v>0</v>
      </c>
      <c r="G144" s="192">
        <v>132966</v>
      </c>
      <c r="H144" s="192">
        <v>23765</v>
      </c>
      <c r="I144" s="192">
        <v>1</v>
      </c>
      <c r="J144" s="192">
        <v>1470</v>
      </c>
      <c r="K144" s="192" t="s">
        <v>925</v>
      </c>
      <c r="L144" s="192" t="s">
        <v>737</v>
      </c>
      <c r="M144" s="192" t="s">
        <v>923</v>
      </c>
      <c r="N144" s="192" t="s">
        <v>65</v>
      </c>
      <c r="O144" s="192" t="s">
        <v>65</v>
      </c>
      <c r="P144" s="192" t="s">
        <v>65</v>
      </c>
      <c r="Q144" s="192">
        <v>0.23000000417232513</v>
      </c>
      <c r="R144" s="192">
        <v>5</v>
      </c>
      <c r="S144" s="192">
        <f>VLOOKUP($H144,'RBSA Weights'!$A$2:$C$1406,3,FALSE)</f>
        <v>1144.6790000000001</v>
      </c>
    </row>
    <row r="145" spans="1:19">
      <c r="A145" s="192" t="s">
        <v>940</v>
      </c>
      <c r="C145" s="192">
        <v>0</v>
      </c>
      <c r="D145" s="192" t="s">
        <v>65</v>
      </c>
      <c r="E145" s="192">
        <v>1</v>
      </c>
      <c r="F145" s="192">
        <v>0</v>
      </c>
      <c r="G145" s="192">
        <v>207623</v>
      </c>
      <c r="H145" s="192">
        <v>14162</v>
      </c>
      <c r="I145" s="192">
        <v>1</v>
      </c>
      <c r="J145" s="192">
        <v>630</v>
      </c>
      <c r="K145" s="192" t="s">
        <v>925</v>
      </c>
      <c r="L145" s="192" t="s">
        <v>922</v>
      </c>
      <c r="M145" s="192" t="s">
        <v>919</v>
      </c>
      <c r="N145" s="192" t="s">
        <v>65</v>
      </c>
      <c r="O145" s="192" t="s">
        <v>65</v>
      </c>
      <c r="P145" s="192" t="s">
        <v>65</v>
      </c>
      <c r="Q145" s="192">
        <v>0.23000000417232513</v>
      </c>
      <c r="R145" s="192">
        <v>3.0999999046325684</v>
      </c>
      <c r="S145" s="192">
        <f>VLOOKUP($H145,'RBSA Weights'!$A$2:$C$1406,3,FALSE)</f>
        <v>1464.694</v>
      </c>
    </row>
    <row r="146" spans="1:19">
      <c r="A146" s="192" t="s">
        <v>940</v>
      </c>
      <c r="C146" s="192">
        <v>0</v>
      </c>
      <c r="D146" s="192" t="s">
        <v>65</v>
      </c>
      <c r="E146" s="192">
        <v>0</v>
      </c>
      <c r="G146" s="192">
        <v>208176</v>
      </c>
      <c r="H146" s="192">
        <v>20758</v>
      </c>
      <c r="I146" s="192">
        <v>1</v>
      </c>
      <c r="J146" s="192">
        <v>1591</v>
      </c>
      <c r="K146" s="192" t="s">
        <v>925</v>
      </c>
      <c r="L146" s="192" t="s">
        <v>737</v>
      </c>
      <c r="M146" s="192" t="s">
        <v>919</v>
      </c>
      <c r="N146" s="192" t="s">
        <v>65</v>
      </c>
      <c r="O146" s="192" t="s">
        <v>65</v>
      </c>
      <c r="P146" s="192" t="s">
        <v>65</v>
      </c>
      <c r="Q146" s="192">
        <v>0.23000000417232513</v>
      </c>
      <c r="R146" s="192">
        <v>5</v>
      </c>
      <c r="S146" s="192">
        <f>VLOOKUP($H146,'RBSA Weights'!$A$2:$C$1406,3,FALSE)</f>
        <v>1904.288</v>
      </c>
    </row>
    <row r="147" spans="1:19">
      <c r="A147" s="192" t="s">
        <v>940</v>
      </c>
      <c r="C147" s="192">
        <v>1</v>
      </c>
      <c r="D147" s="192" t="s">
        <v>941</v>
      </c>
      <c r="E147" s="192">
        <v>1</v>
      </c>
      <c r="F147" s="192">
        <v>1</v>
      </c>
      <c r="G147" s="192">
        <v>151436</v>
      </c>
      <c r="H147" s="192">
        <v>22566</v>
      </c>
      <c r="I147" s="192">
        <v>1</v>
      </c>
      <c r="J147" s="192">
        <v>849</v>
      </c>
      <c r="K147" s="192" t="s">
        <v>925</v>
      </c>
      <c r="L147" s="192" t="s">
        <v>927</v>
      </c>
      <c r="M147" s="192" t="s">
        <v>923</v>
      </c>
      <c r="N147" s="192" t="s">
        <v>65</v>
      </c>
      <c r="O147" s="192" t="s">
        <v>65</v>
      </c>
      <c r="P147" s="192" t="s">
        <v>65</v>
      </c>
      <c r="Q147" s="192">
        <v>0.23000000417232513</v>
      </c>
      <c r="R147" s="192">
        <v>7.5999999046325684</v>
      </c>
      <c r="S147" s="192">
        <f>VLOOKUP($H147,'RBSA Weights'!$A$2:$C$1406,3,FALSE)</f>
        <v>1144.6790000000001</v>
      </c>
    </row>
    <row r="148" spans="1:19">
      <c r="A148" s="192" t="s">
        <v>940</v>
      </c>
      <c r="C148" s="192">
        <v>0</v>
      </c>
      <c r="D148" s="192" t="s">
        <v>65</v>
      </c>
      <c r="E148" s="192">
        <v>1</v>
      </c>
      <c r="F148" s="192">
        <v>0</v>
      </c>
      <c r="G148" s="192">
        <v>58070</v>
      </c>
      <c r="H148" s="192">
        <v>24662</v>
      </c>
      <c r="I148" s="192">
        <v>1</v>
      </c>
      <c r="J148" s="192">
        <v>1820</v>
      </c>
      <c r="K148" s="192" t="s">
        <v>925</v>
      </c>
      <c r="L148" s="192" t="s">
        <v>922</v>
      </c>
      <c r="M148" s="192" t="s">
        <v>919</v>
      </c>
      <c r="N148" s="192" t="s">
        <v>65</v>
      </c>
      <c r="O148" s="192" t="s">
        <v>65</v>
      </c>
      <c r="P148" s="192" t="s">
        <v>65</v>
      </c>
      <c r="Q148" s="192">
        <v>0.23000000417232513</v>
      </c>
      <c r="R148" s="192">
        <v>3.0999999046325684</v>
      </c>
      <c r="S148" s="192">
        <f>VLOOKUP($H148,'RBSA Weights'!$A$2:$C$1406,3,FALSE)</f>
        <v>2079.9929999999999</v>
      </c>
    </row>
    <row r="149" spans="1:19">
      <c r="A149" s="192" t="s">
        <v>940</v>
      </c>
      <c r="C149" s="192">
        <v>0</v>
      </c>
      <c r="D149" s="192" t="s">
        <v>65</v>
      </c>
      <c r="E149" s="192">
        <v>1</v>
      </c>
      <c r="F149" s="192">
        <v>0</v>
      </c>
      <c r="G149" s="192">
        <v>224072</v>
      </c>
      <c r="H149" s="192">
        <v>10710</v>
      </c>
      <c r="I149" s="192">
        <v>1</v>
      </c>
      <c r="J149" s="192">
        <v>2290</v>
      </c>
      <c r="K149" s="192" t="s">
        <v>925</v>
      </c>
      <c r="L149" s="192" t="s">
        <v>930</v>
      </c>
      <c r="M149" s="192" t="s">
        <v>923</v>
      </c>
      <c r="N149" s="192" t="s">
        <v>65</v>
      </c>
      <c r="O149" s="192" t="s">
        <v>65</v>
      </c>
      <c r="P149" s="192" t="s">
        <v>65</v>
      </c>
      <c r="Q149" s="192">
        <v>0.23000000417232513</v>
      </c>
      <c r="R149" s="192">
        <v>3.0999999046325684</v>
      </c>
      <c r="S149" s="192">
        <f>VLOOKUP($H149,'RBSA Weights'!$A$2:$C$1406,3,FALSE)</f>
        <v>6932.7380000000003</v>
      </c>
    </row>
    <row r="150" spans="1:19">
      <c r="A150" s="192" t="s">
        <v>940</v>
      </c>
      <c r="C150" s="192">
        <v>1</v>
      </c>
      <c r="D150" s="192" t="s">
        <v>941</v>
      </c>
      <c r="E150" s="192">
        <v>1</v>
      </c>
      <c r="F150" s="192">
        <v>0</v>
      </c>
      <c r="G150" s="192">
        <v>95097</v>
      </c>
      <c r="H150" s="192">
        <v>21233</v>
      </c>
      <c r="I150" s="192">
        <v>1</v>
      </c>
      <c r="J150" s="192">
        <v>1300</v>
      </c>
      <c r="K150" s="192" t="s">
        <v>918</v>
      </c>
      <c r="L150" s="192" t="s">
        <v>930</v>
      </c>
      <c r="M150" s="192" t="s">
        <v>923</v>
      </c>
      <c r="N150" s="192" t="s">
        <v>926</v>
      </c>
      <c r="O150" s="192" t="s">
        <v>65</v>
      </c>
      <c r="P150" s="192" t="s">
        <v>65</v>
      </c>
      <c r="Q150" s="192">
        <v>0.23000000417232513</v>
      </c>
      <c r="R150" s="192">
        <v>3.9000000953674316</v>
      </c>
      <c r="S150" s="192">
        <f>VLOOKUP($H150,'RBSA Weights'!$A$2:$C$1406,3,FALSE)</f>
        <v>2130.886</v>
      </c>
    </row>
    <row r="151" spans="1:19">
      <c r="A151" s="192" t="s">
        <v>940</v>
      </c>
      <c r="C151" s="192">
        <v>0</v>
      </c>
      <c r="D151" s="192" t="s">
        <v>65</v>
      </c>
      <c r="E151" s="192">
        <v>0</v>
      </c>
      <c r="G151" s="192">
        <v>231854</v>
      </c>
      <c r="H151" s="192">
        <v>23446</v>
      </c>
      <c r="I151" s="192">
        <v>1</v>
      </c>
      <c r="J151" s="192">
        <v>1200</v>
      </c>
      <c r="K151" s="192" t="s">
        <v>925</v>
      </c>
      <c r="L151" s="192" t="s">
        <v>922</v>
      </c>
      <c r="M151" s="192" t="s">
        <v>919</v>
      </c>
      <c r="N151" s="192" t="s">
        <v>65</v>
      </c>
      <c r="O151" s="192" t="s">
        <v>65</v>
      </c>
      <c r="P151" s="192" t="s">
        <v>65</v>
      </c>
      <c r="Q151" s="192">
        <v>0.23000000417232513</v>
      </c>
      <c r="R151" s="192">
        <v>5</v>
      </c>
      <c r="S151" s="192">
        <f>VLOOKUP($H151,'RBSA Weights'!$A$2:$C$1406,3,FALSE)</f>
        <v>2079.9929999999999</v>
      </c>
    </row>
    <row r="152" spans="1:19">
      <c r="A152" s="192" t="s">
        <v>940</v>
      </c>
      <c r="C152" s="192">
        <v>0</v>
      </c>
      <c r="D152" s="192" t="s">
        <v>65</v>
      </c>
      <c r="E152" s="192">
        <v>0</v>
      </c>
      <c r="F152" s="192">
        <v>0</v>
      </c>
      <c r="G152" s="192">
        <v>28014</v>
      </c>
      <c r="H152" s="192">
        <v>12496</v>
      </c>
      <c r="I152" s="192">
        <v>1</v>
      </c>
      <c r="J152" s="192">
        <v>975</v>
      </c>
      <c r="K152" s="192" t="s">
        <v>918</v>
      </c>
      <c r="L152" s="192" t="s">
        <v>922</v>
      </c>
      <c r="M152" s="192" t="s">
        <v>919</v>
      </c>
      <c r="N152" s="192" t="s">
        <v>65</v>
      </c>
      <c r="O152" s="192" t="s">
        <v>65</v>
      </c>
      <c r="P152" s="192" t="s">
        <v>65</v>
      </c>
      <c r="Q152" s="192">
        <v>0.23000000417232513</v>
      </c>
      <c r="R152" s="192">
        <v>5</v>
      </c>
      <c r="S152" s="192">
        <f>VLOOKUP($H152,'RBSA Weights'!$A$2:$C$1406,3,FALSE)</f>
        <v>1150.8789999999999</v>
      </c>
    </row>
    <row r="153" spans="1:19">
      <c r="A153" s="192" t="s">
        <v>940</v>
      </c>
      <c r="C153" s="192">
        <v>0</v>
      </c>
      <c r="D153" s="192" t="s">
        <v>65</v>
      </c>
      <c r="E153" s="192">
        <v>0</v>
      </c>
      <c r="G153" s="192">
        <v>206856</v>
      </c>
      <c r="H153" s="192">
        <v>11958</v>
      </c>
      <c r="I153" s="192">
        <v>1</v>
      </c>
      <c r="J153" s="192">
        <v>1026</v>
      </c>
      <c r="K153" s="192" t="s">
        <v>925</v>
      </c>
      <c r="L153" s="192" t="s">
        <v>927</v>
      </c>
      <c r="M153" s="192" t="s">
        <v>923</v>
      </c>
      <c r="N153" s="192" t="s">
        <v>65</v>
      </c>
      <c r="O153" s="192" t="s">
        <v>65</v>
      </c>
      <c r="P153" s="192" t="s">
        <v>65</v>
      </c>
      <c r="Q153" s="192">
        <v>0.23000000417232513</v>
      </c>
      <c r="R153" s="192">
        <v>5</v>
      </c>
      <c r="S153" s="192">
        <f>VLOOKUP($H153,'RBSA Weights'!$A$2:$C$1406,3,FALSE)</f>
        <v>6932.7380000000003</v>
      </c>
    </row>
    <row r="154" spans="1:19">
      <c r="A154" s="192" t="s">
        <v>940</v>
      </c>
      <c r="C154" s="192">
        <v>0</v>
      </c>
      <c r="D154" s="192" t="s">
        <v>65</v>
      </c>
      <c r="E154" s="192">
        <v>1</v>
      </c>
      <c r="F154" s="192">
        <v>1</v>
      </c>
      <c r="G154" s="192">
        <v>158299</v>
      </c>
      <c r="H154" s="192">
        <v>22289</v>
      </c>
      <c r="I154" s="192">
        <v>1</v>
      </c>
      <c r="J154" s="192">
        <v>1296</v>
      </c>
      <c r="K154" s="192" t="s">
        <v>918</v>
      </c>
      <c r="L154" s="192" t="s">
        <v>65</v>
      </c>
      <c r="M154" s="192" t="s">
        <v>919</v>
      </c>
      <c r="N154" s="192" t="s">
        <v>65</v>
      </c>
      <c r="O154" s="192" t="s">
        <v>65</v>
      </c>
      <c r="P154" s="192" t="s">
        <v>65</v>
      </c>
      <c r="Q154" s="192">
        <v>0.23000000417232513</v>
      </c>
      <c r="R154" s="192">
        <v>4.5</v>
      </c>
      <c r="S154" s="192">
        <f>VLOOKUP($H154,'RBSA Weights'!$A$2:$C$1406,3,FALSE)</f>
        <v>4360.1880000000001</v>
      </c>
    </row>
    <row r="155" spans="1:19">
      <c r="A155" s="192" t="s">
        <v>940</v>
      </c>
      <c r="C155" s="192">
        <v>0</v>
      </c>
      <c r="D155" s="192" t="s">
        <v>65</v>
      </c>
      <c r="E155" s="192">
        <v>0</v>
      </c>
      <c r="F155" s="192">
        <v>1</v>
      </c>
      <c r="G155" s="192">
        <v>129007</v>
      </c>
      <c r="H155" s="192">
        <v>24246</v>
      </c>
      <c r="I155" s="192">
        <v>1</v>
      </c>
      <c r="J155" s="192">
        <v>120</v>
      </c>
      <c r="K155" s="192" t="s">
        <v>925</v>
      </c>
      <c r="L155" s="192" t="s">
        <v>737</v>
      </c>
      <c r="M155" s="192" t="s">
        <v>923</v>
      </c>
      <c r="N155" s="192" t="s">
        <v>65</v>
      </c>
      <c r="O155" s="192" t="s">
        <v>65</v>
      </c>
      <c r="P155" s="192" t="s">
        <v>65</v>
      </c>
      <c r="Q155" s="192">
        <v>0.23000000417232513</v>
      </c>
      <c r="R155" s="192">
        <v>5</v>
      </c>
      <c r="S155" s="192">
        <f>VLOOKUP($H155,'RBSA Weights'!$A$2:$C$1406,3,FALSE)</f>
        <v>3785.7640000000001</v>
      </c>
    </row>
    <row r="156" spans="1:19">
      <c r="A156" s="192" t="s">
        <v>940</v>
      </c>
      <c r="C156" s="192">
        <v>0</v>
      </c>
      <c r="D156" s="192" t="s">
        <v>65</v>
      </c>
      <c r="E156" s="192">
        <v>1</v>
      </c>
      <c r="F156" s="192">
        <v>1</v>
      </c>
      <c r="G156" s="192">
        <v>681581</v>
      </c>
      <c r="H156" s="192">
        <v>12434</v>
      </c>
      <c r="I156" s="192">
        <v>1</v>
      </c>
      <c r="J156" s="192">
        <v>1477</v>
      </c>
      <c r="K156" s="192" t="s">
        <v>918</v>
      </c>
      <c r="L156" s="192" t="s">
        <v>65</v>
      </c>
      <c r="M156" s="192" t="s">
        <v>919</v>
      </c>
      <c r="N156" s="192" t="s">
        <v>65</v>
      </c>
      <c r="O156" s="192" t="s">
        <v>65</v>
      </c>
      <c r="P156" s="192" t="s">
        <v>65</v>
      </c>
      <c r="Q156" s="192">
        <v>0.23000000417232513</v>
      </c>
      <c r="R156" s="192">
        <v>4.5</v>
      </c>
      <c r="S156" s="192">
        <f>VLOOKUP($H156,'RBSA Weights'!$A$2:$C$1406,3,FALSE)</f>
        <v>6932.7380000000003</v>
      </c>
    </row>
    <row r="157" spans="1:19">
      <c r="A157" s="192" t="s">
        <v>940</v>
      </c>
      <c r="C157" s="192">
        <v>0</v>
      </c>
      <c r="D157" s="192" t="s">
        <v>65</v>
      </c>
      <c r="E157" s="192">
        <v>0</v>
      </c>
      <c r="F157" s="192">
        <v>0</v>
      </c>
      <c r="G157" s="192">
        <v>86342</v>
      </c>
      <c r="H157" s="192">
        <v>12620</v>
      </c>
      <c r="I157" s="192">
        <v>2</v>
      </c>
      <c r="J157" s="192">
        <v>105</v>
      </c>
      <c r="K157" s="192" t="s">
        <v>918</v>
      </c>
      <c r="L157" s="192" t="s">
        <v>737</v>
      </c>
      <c r="M157" s="192" t="s">
        <v>923</v>
      </c>
      <c r="N157" s="192" t="s">
        <v>65</v>
      </c>
      <c r="O157" s="192" t="s">
        <v>65</v>
      </c>
      <c r="P157" s="192" t="s">
        <v>65</v>
      </c>
      <c r="Q157" s="192">
        <v>0.23000000417232513</v>
      </c>
      <c r="R157" s="192">
        <v>5</v>
      </c>
      <c r="S157" s="192">
        <f>VLOOKUP($H157,'RBSA Weights'!$A$2:$C$1406,3,FALSE)</f>
        <v>2003.7159999999999</v>
      </c>
    </row>
    <row r="158" spans="1:19">
      <c r="A158" s="192" t="s">
        <v>940</v>
      </c>
      <c r="C158" s="192">
        <v>1</v>
      </c>
      <c r="D158" s="192" t="s">
        <v>941</v>
      </c>
      <c r="E158" s="192">
        <v>1</v>
      </c>
      <c r="F158" s="192">
        <v>0</v>
      </c>
      <c r="G158" s="192">
        <v>83985</v>
      </c>
      <c r="H158" s="192">
        <v>21977</v>
      </c>
      <c r="I158" s="192">
        <v>1</v>
      </c>
      <c r="J158" s="192">
        <v>1249</v>
      </c>
      <c r="K158" s="192" t="s">
        <v>925</v>
      </c>
      <c r="L158" s="192" t="s">
        <v>737</v>
      </c>
      <c r="M158" s="192" t="s">
        <v>923</v>
      </c>
      <c r="N158" s="192" t="s">
        <v>948</v>
      </c>
      <c r="O158" s="192" t="s">
        <v>65</v>
      </c>
      <c r="P158" s="192" t="s">
        <v>65</v>
      </c>
      <c r="Q158" s="192">
        <v>0.23000000417232513</v>
      </c>
      <c r="R158" s="192">
        <v>3.9000000953674316</v>
      </c>
      <c r="S158" s="192">
        <f>VLOOKUP($H158,'RBSA Weights'!$A$2:$C$1406,3,FALSE)</f>
        <v>8559.1039999999994</v>
      </c>
    </row>
    <row r="159" spans="1:19">
      <c r="A159" s="192" t="s">
        <v>940</v>
      </c>
      <c r="C159" s="192">
        <v>0</v>
      </c>
      <c r="D159" s="192" t="s">
        <v>65</v>
      </c>
      <c r="E159" s="192">
        <v>0</v>
      </c>
      <c r="F159" s="192">
        <v>0</v>
      </c>
      <c r="G159" s="192">
        <v>79717</v>
      </c>
      <c r="H159" s="192">
        <v>13232</v>
      </c>
      <c r="I159" s="192">
        <v>1</v>
      </c>
      <c r="J159" s="192">
        <v>210</v>
      </c>
      <c r="K159" s="192" t="s">
        <v>925</v>
      </c>
      <c r="L159" s="192" t="s">
        <v>737</v>
      </c>
      <c r="M159" s="192" t="s">
        <v>919</v>
      </c>
      <c r="N159" s="192" t="s">
        <v>65</v>
      </c>
      <c r="O159" s="192" t="s">
        <v>65</v>
      </c>
      <c r="P159" s="192" t="s">
        <v>65</v>
      </c>
      <c r="Q159" s="192">
        <v>0.23000000417232513</v>
      </c>
      <c r="R159" s="192">
        <v>5</v>
      </c>
      <c r="S159" s="192">
        <f>VLOOKUP($H159,'RBSA Weights'!$A$2:$C$1406,3,FALSE)</f>
        <v>2003.7159999999999</v>
      </c>
    </row>
    <row r="160" spans="1:19">
      <c r="A160" s="192" t="s">
        <v>940</v>
      </c>
      <c r="C160" s="192">
        <v>1</v>
      </c>
      <c r="D160" s="192" t="s">
        <v>921</v>
      </c>
      <c r="E160" s="192">
        <v>1</v>
      </c>
      <c r="F160" s="192">
        <v>1</v>
      </c>
      <c r="G160" s="192">
        <v>143709</v>
      </c>
      <c r="H160" s="192">
        <v>24456</v>
      </c>
      <c r="I160" s="192">
        <v>1</v>
      </c>
      <c r="J160" s="192">
        <v>1424</v>
      </c>
      <c r="K160" s="192" t="s">
        <v>925</v>
      </c>
      <c r="L160" s="192" t="s">
        <v>930</v>
      </c>
      <c r="M160" s="192" t="s">
        <v>923</v>
      </c>
      <c r="N160" s="192" t="s">
        <v>65</v>
      </c>
      <c r="O160" s="192" t="s">
        <v>65</v>
      </c>
      <c r="P160" s="192" t="s">
        <v>65</v>
      </c>
      <c r="Q160" s="192">
        <v>0.23000000417232513</v>
      </c>
      <c r="R160" s="192">
        <v>8.3999996185302734</v>
      </c>
      <c r="S160" s="192">
        <f>VLOOKUP($H160,'RBSA Weights'!$A$2:$C$1406,3,FALSE)</f>
        <v>2130.886</v>
      </c>
    </row>
    <row r="161" spans="1:19">
      <c r="A161" s="192" t="s">
        <v>940</v>
      </c>
      <c r="C161" s="192">
        <v>1</v>
      </c>
      <c r="D161" s="192" t="s">
        <v>941</v>
      </c>
      <c r="E161" s="192">
        <v>1</v>
      </c>
      <c r="F161" s="192">
        <v>0</v>
      </c>
      <c r="G161" s="192">
        <v>185200</v>
      </c>
      <c r="H161" s="192">
        <v>14037</v>
      </c>
      <c r="I161" s="192">
        <v>1</v>
      </c>
      <c r="J161" s="192">
        <v>90</v>
      </c>
      <c r="K161" s="192" t="s">
        <v>925</v>
      </c>
      <c r="L161" s="192" t="s">
        <v>927</v>
      </c>
      <c r="M161" s="192" t="s">
        <v>923</v>
      </c>
      <c r="N161" s="192" t="s">
        <v>65</v>
      </c>
      <c r="O161" s="192" t="s">
        <v>65</v>
      </c>
      <c r="P161" s="192" t="s">
        <v>65</v>
      </c>
      <c r="Q161" s="192">
        <v>0.23000000417232513</v>
      </c>
      <c r="R161" s="192">
        <v>3.9000000953674316</v>
      </c>
      <c r="S161" s="192">
        <f>VLOOKUP($H161,'RBSA Weights'!$A$2:$C$1406,3,FALSE)</f>
        <v>1524.7619999999999</v>
      </c>
    </row>
    <row r="162" spans="1:19">
      <c r="A162" s="192" t="s">
        <v>940</v>
      </c>
      <c r="C162" s="192">
        <v>0</v>
      </c>
      <c r="D162" s="192" t="s">
        <v>65</v>
      </c>
      <c r="E162" s="192">
        <v>0</v>
      </c>
      <c r="G162" s="192">
        <v>663283</v>
      </c>
      <c r="H162" s="192">
        <v>21316</v>
      </c>
      <c r="I162" s="192">
        <v>1</v>
      </c>
      <c r="J162" s="192">
        <v>986</v>
      </c>
      <c r="K162" s="192" t="s">
        <v>925</v>
      </c>
      <c r="L162" s="192" t="s">
        <v>737</v>
      </c>
      <c r="M162" s="192" t="s">
        <v>919</v>
      </c>
      <c r="N162" s="192" t="s">
        <v>65</v>
      </c>
      <c r="O162" s="192" t="s">
        <v>65</v>
      </c>
      <c r="P162" s="192" t="s">
        <v>65</v>
      </c>
      <c r="Q162" s="192">
        <v>0.23000000417232513</v>
      </c>
      <c r="R162" s="192">
        <v>5</v>
      </c>
      <c r="S162" s="192">
        <f>VLOOKUP($H162,'RBSA Weights'!$A$2:$C$1406,3,FALSE)</f>
        <v>3785.7640000000001</v>
      </c>
    </row>
    <row r="163" spans="1:19">
      <c r="A163" s="192" t="s">
        <v>940</v>
      </c>
      <c r="C163" s="192">
        <v>0</v>
      </c>
      <c r="D163" s="192" t="s">
        <v>65</v>
      </c>
      <c r="E163" s="192">
        <v>1</v>
      </c>
      <c r="F163" s="192">
        <v>0</v>
      </c>
      <c r="G163" s="192">
        <v>166044</v>
      </c>
      <c r="H163" s="192">
        <v>23403</v>
      </c>
      <c r="I163" s="192">
        <v>1</v>
      </c>
      <c r="J163" s="192">
        <v>676</v>
      </c>
      <c r="K163" s="192" t="s">
        <v>925</v>
      </c>
      <c r="L163" s="192" t="s">
        <v>737</v>
      </c>
      <c r="M163" s="192" t="s">
        <v>923</v>
      </c>
      <c r="N163" s="192" t="s">
        <v>65</v>
      </c>
      <c r="O163" s="192" t="s">
        <v>65</v>
      </c>
      <c r="P163" s="192" t="s">
        <v>65</v>
      </c>
      <c r="Q163" s="192">
        <v>0.23000000417232513</v>
      </c>
      <c r="R163" s="192">
        <v>3.0999999046325684</v>
      </c>
      <c r="S163" s="192">
        <f>VLOOKUP($H163,'RBSA Weights'!$A$2:$C$1406,3,FALSE)</f>
        <v>3785.7640000000001</v>
      </c>
    </row>
    <row r="164" spans="1:19">
      <c r="A164" s="192" t="s">
        <v>940</v>
      </c>
      <c r="C164" s="192">
        <v>0</v>
      </c>
      <c r="D164" s="192" t="s">
        <v>65</v>
      </c>
      <c r="E164" s="192">
        <v>1</v>
      </c>
      <c r="F164" s="192">
        <v>0</v>
      </c>
      <c r="G164" s="192">
        <v>54867</v>
      </c>
      <c r="H164" s="192">
        <v>10044</v>
      </c>
      <c r="I164" s="192">
        <v>1</v>
      </c>
      <c r="J164" s="192">
        <v>943</v>
      </c>
      <c r="K164" s="192" t="s">
        <v>925</v>
      </c>
      <c r="L164" s="192" t="s">
        <v>930</v>
      </c>
      <c r="M164" s="192" t="s">
        <v>923</v>
      </c>
      <c r="N164" s="192" t="s">
        <v>65</v>
      </c>
      <c r="O164" s="192" t="s">
        <v>65</v>
      </c>
      <c r="P164" s="192" t="s">
        <v>65</v>
      </c>
      <c r="Q164" s="192">
        <v>0.23000000417232513</v>
      </c>
      <c r="R164" s="192">
        <v>3.0999999046325684</v>
      </c>
      <c r="S164" s="192">
        <f>VLOOKUP($H164,'RBSA Weights'!$A$2:$C$1406,3,FALSE)</f>
        <v>2003.7159999999999</v>
      </c>
    </row>
    <row r="165" spans="1:19">
      <c r="A165" s="192" t="s">
        <v>940</v>
      </c>
      <c r="C165" s="192">
        <v>0</v>
      </c>
      <c r="D165" s="192" t="s">
        <v>65</v>
      </c>
      <c r="E165" s="192">
        <v>1</v>
      </c>
      <c r="F165" s="192">
        <v>0</v>
      </c>
      <c r="G165" s="192">
        <v>110915</v>
      </c>
      <c r="H165" s="192">
        <v>22944</v>
      </c>
      <c r="I165" s="192">
        <v>1</v>
      </c>
      <c r="J165" s="192">
        <v>1090</v>
      </c>
      <c r="K165" s="192" t="s">
        <v>925</v>
      </c>
      <c r="L165" s="192" t="s">
        <v>927</v>
      </c>
      <c r="M165" s="192" t="s">
        <v>919</v>
      </c>
      <c r="N165" s="192" t="s">
        <v>65</v>
      </c>
      <c r="O165" s="192" t="s">
        <v>65</v>
      </c>
      <c r="P165" s="192" t="s">
        <v>65</v>
      </c>
      <c r="Q165" s="192">
        <v>0.23000000417232513</v>
      </c>
      <c r="R165" s="192">
        <v>3.0999999046325684</v>
      </c>
      <c r="S165" s="192">
        <f>VLOOKUP($H165,'RBSA Weights'!$A$2:$C$1406,3,FALSE)</f>
        <v>2079.9929999999999</v>
      </c>
    </row>
    <row r="166" spans="1:19">
      <c r="A166" s="192" t="s">
        <v>940</v>
      </c>
      <c r="C166" s="192">
        <v>0</v>
      </c>
      <c r="D166" s="192" t="s">
        <v>65</v>
      </c>
      <c r="E166" s="192">
        <v>1</v>
      </c>
      <c r="F166" s="192">
        <v>1</v>
      </c>
      <c r="G166" s="192">
        <v>113629</v>
      </c>
      <c r="H166" s="192">
        <v>14122</v>
      </c>
      <c r="I166" s="192">
        <v>1</v>
      </c>
      <c r="J166" s="192">
        <v>1332</v>
      </c>
      <c r="K166" s="192" t="s">
        <v>925</v>
      </c>
      <c r="L166" s="192" t="s">
        <v>737</v>
      </c>
      <c r="M166" s="192" t="s">
        <v>923</v>
      </c>
      <c r="N166" s="192" t="s">
        <v>65</v>
      </c>
      <c r="O166" s="192" t="s">
        <v>65</v>
      </c>
      <c r="P166" s="192" t="s">
        <v>65</v>
      </c>
      <c r="Q166" s="192">
        <v>0.23000000417232513</v>
      </c>
      <c r="R166" s="192">
        <v>4.5</v>
      </c>
      <c r="S166" s="192">
        <f>VLOOKUP($H166,'RBSA Weights'!$A$2:$C$1406,3,FALSE)</f>
        <v>1464.694</v>
      </c>
    </row>
    <row r="167" spans="1:19">
      <c r="A167" s="192" t="s">
        <v>940</v>
      </c>
      <c r="C167" s="192">
        <v>0</v>
      </c>
      <c r="D167" s="192" t="s">
        <v>65</v>
      </c>
      <c r="E167" s="192">
        <v>1</v>
      </c>
      <c r="F167" s="192">
        <v>0</v>
      </c>
      <c r="G167" s="192">
        <v>100417</v>
      </c>
      <c r="H167" s="192">
        <v>11003</v>
      </c>
      <c r="I167" s="192">
        <v>1</v>
      </c>
      <c r="J167" s="192">
        <v>504</v>
      </c>
      <c r="K167" s="192" t="s">
        <v>925</v>
      </c>
      <c r="L167" s="192" t="s">
        <v>737</v>
      </c>
      <c r="M167" s="192" t="s">
        <v>919</v>
      </c>
      <c r="N167" s="192" t="s">
        <v>65</v>
      </c>
      <c r="O167" s="192" t="s">
        <v>65</v>
      </c>
      <c r="P167" s="192" t="s">
        <v>65</v>
      </c>
      <c r="Q167" s="192">
        <v>0.23000000417232513</v>
      </c>
      <c r="R167" s="192">
        <v>3.0999999046325684</v>
      </c>
      <c r="S167" s="192">
        <f>VLOOKUP($H167,'RBSA Weights'!$A$2:$C$1406,3,FALSE)</f>
        <v>2003.7159999999999</v>
      </c>
    </row>
    <row r="168" spans="1:19">
      <c r="A168" s="192" t="s">
        <v>940</v>
      </c>
      <c r="C168" s="192">
        <v>0</v>
      </c>
      <c r="D168" s="192" t="s">
        <v>65</v>
      </c>
      <c r="E168" s="192">
        <v>0</v>
      </c>
      <c r="G168" s="192">
        <v>165739</v>
      </c>
      <c r="H168" s="192">
        <v>13129</v>
      </c>
      <c r="I168" s="192">
        <v>1</v>
      </c>
      <c r="J168" s="192">
        <v>2962</v>
      </c>
      <c r="K168" s="192" t="s">
        <v>918</v>
      </c>
      <c r="L168" s="192" t="s">
        <v>65</v>
      </c>
      <c r="M168" s="192" t="s">
        <v>923</v>
      </c>
      <c r="N168" s="192" t="s">
        <v>65</v>
      </c>
      <c r="O168" s="192" t="s">
        <v>65</v>
      </c>
      <c r="P168" s="192" t="s">
        <v>65</v>
      </c>
      <c r="Q168" s="192">
        <v>0.23000000417232513</v>
      </c>
      <c r="R168" s="192">
        <v>5</v>
      </c>
      <c r="S168" s="192">
        <f>VLOOKUP($H168,'RBSA Weights'!$A$2:$C$1406,3,FALSE)</f>
        <v>4956.4930000000004</v>
      </c>
    </row>
    <row r="169" spans="1:19">
      <c r="A169" s="192" t="s">
        <v>940</v>
      </c>
      <c r="C169" s="192">
        <v>0</v>
      </c>
      <c r="D169" s="192" t="s">
        <v>65</v>
      </c>
      <c r="E169" s="192">
        <v>1</v>
      </c>
      <c r="F169" s="192">
        <v>0</v>
      </c>
      <c r="G169" s="192">
        <v>154144</v>
      </c>
      <c r="H169" s="192">
        <v>23705</v>
      </c>
      <c r="I169" s="192">
        <v>1</v>
      </c>
      <c r="J169" s="192">
        <v>1188</v>
      </c>
      <c r="K169" s="192" t="s">
        <v>925</v>
      </c>
      <c r="L169" s="192" t="s">
        <v>930</v>
      </c>
      <c r="M169" s="192" t="s">
        <v>923</v>
      </c>
      <c r="N169" s="192" t="s">
        <v>65</v>
      </c>
      <c r="O169" s="192" t="s">
        <v>65</v>
      </c>
      <c r="P169" s="192" t="s">
        <v>65</v>
      </c>
      <c r="Q169" s="192">
        <v>0.23000000417232513</v>
      </c>
      <c r="R169" s="192">
        <v>3.0999999046325684</v>
      </c>
      <c r="S169" s="192">
        <f>VLOOKUP($H169,'RBSA Weights'!$A$2:$C$1406,3,FALSE)</f>
        <v>1612.692</v>
      </c>
    </row>
    <row r="170" spans="1:19">
      <c r="A170" s="192" t="s">
        <v>940</v>
      </c>
      <c r="C170" s="192">
        <v>0</v>
      </c>
      <c r="D170" s="192" t="s">
        <v>65</v>
      </c>
      <c r="E170" s="192">
        <v>1</v>
      </c>
      <c r="F170" s="192">
        <v>0</v>
      </c>
      <c r="G170" s="192">
        <v>107743</v>
      </c>
      <c r="H170" s="192">
        <v>24696</v>
      </c>
      <c r="I170" s="192">
        <v>1</v>
      </c>
      <c r="J170" s="192">
        <v>475</v>
      </c>
      <c r="K170" s="192" t="s">
        <v>925</v>
      </c>
      <c r="L170" s="192" t="s">
        <v>922</v>
      </c>
      <c r="M170" s="192" t="s">
        <v>919</v>
      </c>
      <c r="N170" s="192" t="s">
        <v>65</v>
      </c>
      <c r="O170" s="192" t="s">
        <v>65</v>
      </c>
      <c r="P170" s="192" t="s">
        <v>65</v>
      </c>
      <c r="Q170" s="192">
        <v>0.23000000417232513</v>
      </c>
      <c r="R170" s="192">
        <v>3.0999999046325684</v>
      </c>
      <c r="S170" s="192">
        <f>VLOOKUP($H170,'RBSA Weights'!$A$2:$C$1406,3,FALSE)</f>
        <v>2079.9929999999999</v>
      </c>
    </row>
    <row r="171" spans="1:19">
      <c r="A171" s="192" t="s">
        <v>940</v>
      </c>
      <c r="C171" s="192">
        <v>1</v>
      </c>
      <c r="D171" s="192" t="s">
        <v>933</v>
      </c>
      <c r="E171" s="192">
        <v>0</v>
      </c>
      <c r="G171" s="192">
        <v>225718</v>
      </c>
      <c r="H171" s="192">
        <v>24373</v>
      </c>
      <c r="I171" s="192">
        <v>1</v>
      </c>
      <c r="J171" s="192">
        <v>391</v>
      </c>
      <c r="K171" s="192" t="s">
        <v>925</v>
      </c>
      <c r="L171" s="192" t="s">
        <v>930</v>
      </c>
      <c r="M171" s="192" t="s">
        <v>923</v>
      </c>
      <c r="N171" s="192" t="s">
        <v>65</v>
      </c>
      <c r="O171" s="192" t="s">
        <v>951</v>
      </c>
      <c r="P171" s="192" t="s">
        <v>65</v>
      </c>
      <c r="Q171" s="192">
        <v>0.23000000417232513</v>
      </c>
      <c r="R171" s="192">
        <v>10.699999809265137</v>
      </c>
      <c r="S171" s="192">
        <f>VLOOKUP($H171,'RBSA Weights'!$A$2:$C$1406,3,FALSE)</f>
        <v>1904.288</v>
      </c>
    </row>
    <row r="172" spans="1:19">
      <c r="A172" s="192" t="s">
        <v>940</v>
      </c>
      <c r="C172" s="192">
        <v>0</v>
      </c>
      <c r="D172" s="192" t="s">
        <v>65</v>
      </c>
      <c r="E172" s="192">
        <v>1</v>
      </c>
      <c r="F172" s="192">
        <v>1</v>
      </c>
      <c r="G172" s="192">
        <v>724892</v>
      </c>
      <c r="H172" s="192">
        <v>23384</v>
      </c>
      <c r="I172" s="192">
        <v>1</v>
      </c>
      <c r="J172" s="192">
        <v>654</v>
      </c>
      <c r="K172" s="192" t="s">
        <v>918</v>
      </c>
      <c r="L172" s="192" t="s">
        <v>65</v>
      </c>
      <c r="M172" s="192" t="s">
        <v>919</v>
      </c>
      <c r="N172" s="192" t="s">
        <v>65</v>
      </c>
      <c r="O172" s="192" t="s">
        <v>952</v>
      </c>
      <c r="P172" s="192" t="s">
        <v>65</v>
      </c>
      <c r="Q172" s="192">
        <v>0.23000000417232513</v>
      </c>
      <c r="R172" s="192">
        <v>4.5</v>
      </c>
      <c r="S172" s="192">
        <f>VLOOKUP($H172,'RBSA Weights'!$A$2:$C$1406,3,FALSE)</f>
        <v>8264.9449999999997</v>
      </c>
    </row>
    <row r="173" spans="1:19">
      <c r="A173" s="192" t="s">
        <v>940</v>
      </c>
      <c r="C173" s="192">
        <v>0</v>
      </c>
      <c r="D173" s="192" t="s">
        <v>65</v>
      </c>
      <c r="E173" s="192">
        <v>1</v>
      </c>
      <c r="F173" s="192">
        <v>0</v>
      </c>
      <c r="G173" s="192">
        <v>46304</v>
      </c>
      <c r="H173" s="192">
        <v>12064</v>
      </c>
      <c r="I173" s="192">
        <v>1</v>
      </c>
      <c r="J173" s="192">
        <v>432</v>
      </c>
      <c r="K173" s="192" t="s">
        <v>925</v>
      </c>
      <c r="L173" s="192" t="s">
        <v>737</v>
      </c>
      <c r="M173" s="192" t="s">
        <v>923</v>
      </c>
      <c r="N173" s="192" t="s">
        <v>65</v>
      </c>
      <c r="O173" s="192" t="s">
        <v>65</v>
      </c>
      <c r="P173" s="192" t="s">
        <v>65</v>
      </c>
      <c r="Q173" s="192">
        <v>0.23000000417232513</v>
      </c>
      <c r="R173" s="192">
        <v>3.0999999046325684</v>
      </c>
      <c r="S173" s="192">
        <f>VLOOKUP($H173,'RBSA Weights'!$A$2:$C$1406,3,FALSE)</f>
        <v>1524.7619999999999</v>
      </c>
    </row>
    <row r="174" spans="1:19">
      <c r="A174" s="192" t="s">
        <v>940</v>
      </c>
      <c r="C174" s="192">
        <v>0</v>
      </c>
      <c r="D174" s="192" t="s">
        <v>65</v>
      </c>
      <c r="E174" s="192">
        <v>0</v>
      </c>
      <c r="G174" s="192">
        <v>191168</v>
      </c>
      <c r="H174" s="192">
        <v>23939</v>
      </c>
      <c r="I174" s="192">
        <v>1</v>
      </c>
      <c r="J174" s="192">
        <v>560</v>
      </c>
      <c r="K174" s="192" t="s">
        <v>925</v>
      </c>
      <c r="L174" s="192" t="s">
        <v>930</v>
      </c>
      <c r="M174" s="192" t="s">
        <v>923</v>
      </c>
      <c r="N174" s="192" t="s">
        <v>65</v>
      </c>
      <c r="O174" s="192" t="s">
        <v>65</v>
      </c>
      <c r="P174" s="192" t="s">
        <v>65</v>
      </c>
      <c r="Q174" s="192">
        <v>0.23000000417232513</v>
      </c>
      <c r="R174" s="192">
        <v>5</v>
      </c>
      <c r="S174" s="192">
        <f>VLOOKUP($H174,'RBSA Weights'!$A$2:$C$1406,3,FALSE)</f>
        <v>2130.886</v>
      </c>
    </row>
    <row r="175" spans="1:19">
      <c r="A175" s="192" t="s">
        <v>940</v>
      </c>
      <c r="C175" s="192">
        <v>0</v>
      </c>
      <c r="D175" s="192" t="s">
        <v>65</v>
      </c>
      <c r="E175" s="192">
        <v>1</v>
      </c>
      <c r="F175" s="192">
        <v>0</v>
      </c>
      <c r="G175" s="192">
        <v>224471</v>
      </c>
      <c r="H175" s="192">
        <v>11475</v>
      </c>
      <c r="I175" s="192">
        <v>1</v>
      </c>
      <c r="J175" s="192">
        <v>605</v>
      </c>
      <c r="K175" s="192" t="s">
        <v>918</v>
      </c>
      <c r="L175" s="192" t="s">
        <v>65</v>
      </c>
      <c r="M175" s="192" t="s">
        <v>919</v>
      </c>
      <c r="N175" s="192" t="s">
        <v>65</v>
      </c>
      <c r="O175" s="192" t="s">
        <v>65</v>
      </c>
      <c r="P175" s="192" t="s">
        <v>65</v>
      </c>
      <c r="Q175" s="192">
        <v>0.23000000417232513</v>
      </c>
      <c r="R175" s="192">
        <v>3.0999999046325684</v>
      </c>
      <c r="S175" s="192">
        <f>VLOOKUP($H175,'RBSA Weights'!$A$2:$C$1406,3,FALSE)</f>
        <v>6932.7380000000003</v>
      </c>
    </row>
    <row r="176" spans="1:19">
      <c r="A176" s="192" t="s">
        <v>940</v>
      </c>
      <c r="C176" s="192">
        <v>0</v>
      </c>
      <c r="D176" s="192" t="s">
        <v>65</v>
      </c>
      <c r="E176" s="192">
        <v>0</v>
      </c>
      <c r="G176" s="192">
        <v>159202</v>
      </c>
      <c r="H176" s="192">
        <v>11452</v>
      </c>
      <c r="I176" s="192">
        <v>1</v>
      </c>
      <c r="J176" s="192">
        <v>400</v>
      </c>
      <c r="K176" s="192" t="s">
        <v>918</v>
      </c>
      <c r="L176" s="192" t="s">
        <v>65</v>
      </c>
      <c r="M176" s="192" t="s">
        <v>919</v>
      </c>
      <c r="N176" s="192" t="s">
        <v>65</v>
      </c>
      <c r="O176" s="192" t="s">
        <v>65</v>
      </c>
      <c r="P176" s="192" t="s">
        <v>65</v>
      </c>
      <c r="Q176" s="192">
        <v>0.23000000417232513</v>
      </c>
      <c r="R176" s="192">
        <v>5</v>
      </c>
      <c r="S176" s="192">
        <f>VLOOKUP($H176,'RBSA Weights'!$A$2:$C$1406,3,FALSE)</f>
        <v>6932.7380000000003</v>
      </c>
    </row>
    <row r="177" spans="1:19">
      <c r="A177" s="192" t="s">
        <v>940</v>
      </c>
      <c r="C177" s="192">
        <v>0</v>
      </c>
      <c r="D177" s="192" t="s">
        <v>65</v>
      </c>
      <c r="E177" s="192">
        <v>0</v>
      </c>
      <c r="G177" s="192">
        <v>155141</v>
      </c>
      <c r="H177" s="192">
        <v>20043</v>
      </c>
      <c r="I177" s="192">
        <v>1</v>
      </c>
      <c r="J177" s="192">
        <v>1036</v>
      </c>
      <c r="K177" s="192" t="s">
        <v>925</v>
      </c>
      <c r="L177" s="192" t="s">
        <v>737</v>
      </c>
      <c r="M177" s="192" t="s">
        <v>919</v>
      </c>
      <c r="N177" s="192" t="s">
        <v>65</v>
      </c>
      <c r="O177" s="192" t="s">
        <v>65</v>
      </c>
      <c r="P177" s="192" t="s">
        <v>65</v>
      </c>
      <c r="Q177" s="192">
        <v>0.23000000417232513</v>
      </c>
      <c r="R177" s="192">
        <v>5</v>
      </c>
      <c r="S177" s="192">
        <f>VLOOKUP($H177,'RBSA Weights'!$A$2:$C$1406,3,FALSE)</f>
        <v>1904.288</v>
      </c>
    </row>
    <row r="178" spans="1:19">
      <c r="A178" s="192" t="s">
        <v>940</v>
      </c>
      <c r="C178" s="192">
        <v>1</v>
      </c>
      <c r="D178" s="192" t="s">
        <v>921</v>
      </c>
      <c r="E178" s="192">
        <v>1</v>
      </c>
      <c r="F178" s="192">
        <v>0</v>
      </c>
      <c r="G178" s="192">
        <v>95719</v>
      </c>
      <c r="H178" s="192">
        <v>23502</v>
      </c>
      <c r="I178" s="192">
        <v>1</v>
      </c>
      <c r="J178" s="192">
        <v>1274</v>
      </c>
      <c r="K178" s="192" t="s">
        <v>925</v>
      </c>
      <c r="L178" s="192" t="s">
        <v>927</v>
      </c>
      <c r="M178" s="192" t="s">
        <v>923</v>
      </c>
      <c r="N178" s="192" t="s">
        <v>926</v>
      </c>
      <c r="O178" s="192" t="s">
        <v>65</v>
      </c>
      <c r="P178" s="192" t="s">
        <v>65</v>
      </c>
      <c r="Q178" s="192">
        <v>0.23000000417232513</v>
      </c>
      <c r="R178" s="192">
        <v>4.5</v>
      </c>
      <c r="S178" s="192">
        <f>VLOOKUP($H178,'RBSA Weights'!$A$2:$C$1406,3,FALSE)</f>
        <v>1144.6790000000001</v>
      </c>
    </row>
    <row r="179" spans="1:19">
      <c r="A179" s="192" t="s">
        <v>940</v>
      </c>
      <c r="C179" s="192">
        <v>0</v>
      </c>
      <c r="D179" s="192" t="s">
        <v>65</v>
      </c>
      <c r="E179" s="192">
        <v>0</v>
      </c>
      <c r="F179" s="192">
        <v>1</v>
      </c>
      <c r="G179" s="192">
        <v>106527</v>
      </c>
      <c r="H179" s="192">
        <v>23400</v>
      </c>
      <c r="I179" s="192">
        <v>1</v>
      </c>
      <c r="J179" s="192">
        <v>413</v>
      </c>
      <c r="K179" s="192" t="s">
        <v>925</v>
      </c>
      <c r="L179" s="192" t="s">
        <v>737</v>
      </c>
      <c r="M179" s="192" t="s">
        <v>923</v>
      </c>
      <c r="N179" s="192" t="s">
        <v>65</v>
      </c>
      <c r="O179" s="192" t="s">
        <v>65</v>
      </c>
      <c r="P179" s="192" t="s">
        <v>65</v>
      </c>
      <c r="Q179" s="192">
        <v>0.23000000417232513</v>
      </c>
      <c r="R179" s="192">
        <v>5</v>
      </c>
      <c r="S179" s="192">
        <f>VLOOKUP($H179,'RBSA Weights'!$A$2:$C$1406,3,FALSE)</f>
        <v>3785.7640000000001</v>
      </c>
    </row>
    <row r="180" spans="1:19">
      <c r="A180" s="192" t="s">
        <v>940</v>
      </c>
      <c r="C180" s="192">
        <v>1</v>
      </c>
      <c r="D180" s="192" t="s">
        <v>921</v>
      </c>
      <c r="E180" s="192">
        <v>0</v>
      </c>
      <c r="F180" s="192">
        <v>0</v>
      </c>
      <c r="G180" s="192">
        <v>109257</v>
      </c>
      <c r="H180" s="192">
        <v>24418</v>
      </c>
      <c r="I180" s="192">
        <v>1</v>
      </c>
      <c r="J180" s="192">
        <v>570</v>
      </c>
      <c r="K180" s="192" t="s">
        <v>925</v>
      </c>
      <c r="L180" s="192" t="s">
        <v>930</v>
      </c>
      <c r="M180" s="192" t="s">
        <v>923</v>
      </c>
      <c r="N180" s="192" t="s">
        <v>948</v>
      </c>
      <c r="O180" s="192" t="s">
        <v>65</v>
      </c>
      <c r="P180" s="192" t="s">
        <v>65</v>
      </c>
      <c r="Q180" s="192">
        <v>0.23000000417232513</v>
      </c>
      <c r="R180" s="192">
        <v>10.300000190734863</v>
      </c>
      <c r="S180" s="192">
        <f>VLOOKUP($H180,'RBSA Weights'!$A$2:$C$1406,3,FALSE)</f>
        <v>1144.6790000000001</v>
      </c>
    </row>
    <row r="181" spans="1:19">
      <c r="A181" s="192" t="s">
        <v>940</v>
      </c>
      <c r="C181" s="192">
        <v>0</v>
      </c>
      <c r="D181" s="192" t="s">
        <v>65</v>
      </c>
      <c r="E181" s="192">
        <v>1</v>
      </c>
      <c r="F181" s="192">
        <v>0</v>
      </c>
      <c r="G181" s="192">
        <v>62173</v>
      </c>
      <c r="H181" s="192">
        <v>12759</v>
      </c>
      <c r="I181" s="192">
        <v>1</v>
      </c>
      <c r="J181" s="192">
        <v>950</v>
      </c>
      <c r="K181" s="192" t="s">
        <v>918</v>
      </c>
      <c r="L181" s="192" t="s">
        <v>737</v>
      </c>
      <c r="M181" s="192" t="s">
        <v>923</v>
      </c>
      <c r="N181" s="192" t="s">
        <v>65</v>
      </c>
      <c r="O181" s="192" t="s">
        <v>65</v>
      </c>
      <c r="P181" s="192" t="s">
        <v>65</v>
      </c>
      <c r="Q181" s="192">
        <v>0.23000000417232513</v>
      </c>
      <c r="R181" s="192">
        <v>3.0999999046325684</v>
      </c>
      <c r="S181" s="192">
        <f>VLOOKUP($H181,'RBSA Weights'!$A$2:$C$1406,3,FALSE)</f>
        <v>2003.7159999999999</v>
      </c>
    </row>
    <row r="182" spans="1:19">
      <c r="A182" s="192" t="s">
        <v>940</v>
      </c>
      <c r="C182" s="192">
        <v>0</v>
      </c>
      <c r="D182" s="192" t="s">
        <v>65</v>
      </c>
      <c r="E182" s="192">
        <v>0</v>
      </c>
      <c r="G182" s="192">
        <v>203593</v>
      </c>
      <c r="H182" s="192">
        <v>21689</v>
      </c>
      <c r="I182" s="192">
        <v>1</v>
      </c>
      <c r="J182" s="192">
        <v>1054</v>
      </c>
      <c r="K182" s="192" t="s">
        <v>925</v>
      </c>
      <c r="L182" s="192" t="s">
        <v>927</v>
      </c>
      <c r="M182" s="192" t="s">
        <v>919</v>
      </c>
      <c r="N182" s="192" t="s">
        <v>65</v>
      </c>
      <c r="O182" s="192" t="s">
        <v>65</v>
      </c>
      <c r="P182" s="192" t="s">
        <v>65</v>
      </c>
      <c r="Q182" s="192">
        <v>0.23000000417232513</v>
      </c>
      <c r="R182" s="192">
        <v>5</v>
      </c>
      <c r="S182" s="192">
        <f>VLOOKUP($H182,'RBSA Weights'!$A$2:$C$1406,3,FALSE)</f>
        <v>3785.7640000000001</v>
      </c>
    </row>
    <row r="183" spans="1:19">
      <c r="A183" s="192" t="s">
        <v>940</v>
      </c>
      <c r="C183" s="192">
        <v>0</v>
      </c>
      <c r="D183" s="192" t="s">
        <v>65</v>
      </c>
      <c r="E183" s="192">
        <v>0</v>
      </c>
      <c r="G183" s="192">
        <v>28386</v>
      </c>
      <c r="H183" s="192">
        <v>11178</v>
      </c>
      <c r="I183" s="192">
        <v>1</v>
      </c>
      <c r="J183" s="192">
        <v>816</v>
      </c>
      <c r="K183" s="192" t="s">
        <v>925</v>
      </c>
      <c r="L183" s="192" t="s">
        <v>927</v>
      </c>
      <c r="M183" s="192" t="s">
        <v>923</v>
      </c>
      <c r="N183" s="192" t="s">
        <v>65</v>
      </c>
      <c r="O183" s="192" t="s">
        <v>65</v>
      </c>
      <c r="P183" s="192" t="s">
        <v>65</v>
      </c>
      <c r="Q183" s="192">
        <v>0.23000000417232513</v>
      </c>
      <c r="R183" s="192">
        <v>5</v>
      </c>
      <c r="S183" s="192">
        <f>VLOOKUP($H183,'RBSA Weights'!$A$2:$C$1406,3,FALSE)</f>
        <v>1524.7619999999999</v>
      </c>
    </row>
    <row r="184" spans="1:19">
      <c r="A184" s="192" t="s">
        <v>940</v>
      </c>
      <c r="C184" s="192">
        <v>0</v>
      </c>
      <c r="D184" s="192" t="s">
        <v>65</v>
      </c>
      <c r="E184" s="192">
        <v>1</v>
      </c>
      <c r="F184" s="192">
        <v>0</v>
      </c>
      <c r="G184" s="192">
        <v>803441</v>
      </c>
      <c r="H184" s="192">
        <v>24349</v>
      </c>
      <c r="I184" s="192">
        <v>1</v>
      </c>
      <c r="J184" s="192">
        <v>840</v>
      </c>
      <c r="K184" s="192" t="s">
        <v>925</v>
      </c>
      <c r="L184" s="192" t="s">
        <v>737</v>
      </c>
      <c r="M184" s="192" t="s">
        <v>919</v>
      </c>
      <c r="N184" s="192" t="s">
        <v>65</v>
      </c>
      <c r="O184" s="192" t="s">
        <v>65</v>
      </c>
      <c r="P184" s="192" t="s">
        <v>65</v>
      </c>
      <c r="Q184" s="192">
        <v>0.23000000417232513</v>
      </c>
      <c r="R184" s="192">
        <v>3.0999999046325684</v>
      </c>
      <c r="S184" s="192">
        <f>VLOOKUP($H184,'RBSA Weights'!$A$2:$C$1406,3,FALSE)</f>
        <v>8559.1039999999994</v>
      </c>
    </row>
    <row r="185" spans="1:19">
      <c r="A185" s="192" t="s">
        <v>940</v>
      </c>
      <c r="C185" s="192">
        <v>0</v>
      </c>
      <c r="D185" s="192" t="s">
        <v>65</v>
      </c>
      <c r="E185" s="192">
        <v>1</v>
      </c>
      <c r="F185" s="192">
        <v>1</v>
      </c>
      <c r="G185" s="192">
        <v>57427</v>
      </c>
      <c r="H185" s="192">
        <v>22411</v>
      </c>
      <c r="I185" s="192">
        <v>1</v>
      </c>
      <c r="J185" s="192">
        <v>1980</v>
      </c>
      <c r="K185" s="192" t="s">
        <v>925</v>
      </c>
      <c r="L185" s="192" t="s">
        <v>922</v>
      </c>
      <c r="M185" s="192" t="s">
        <v>923</v>
      </c>
      <c r="N185" s="192" t="s">
        <v>65</v>
      </c>
      <c r="O185" s="192" t="s">
        <v>65</v>
      </c>
      <c r="P185" s="192" t="s">
        <v>65</v>
      </c>
      <c r="Q185" s="192">
        <v>0.23000000417232513</v>
      </c>
      <c r="R185" s="192">
        <v>4.5</v>
      </c>
      <c r="S185" s="192">
        <f>VLOOKUP($H185,'RBSA Weights'!$A$2:$C$1406,3,FALSE)</f>
        <v>2079.9929999999999</v>
      </c>
    </row>
    <row r="186" spans="1:19">
      <c r="A186" s="192" t="s">
        <v>940</v>
      </c>
      <c r="C186" s="192">
        <v>0</v>
      </c>
      <c r="D186" s="192" t="s">
        <v>65</v>
      </c>
      <c r="E186" s="192">
        <v>1</v>
      </c>
      <c r="F186" s="192">
        <v>0</v>
      </c>
      <c r="G186" s="192">
        <v>134513</v>
      </c>
      <c r="H186" s="192">
        <v>23235</v>
      </c>
      <c r="I186" s="192">
        <v>1</v>
      </c>
      <c r="J186" s="192">
        <v>936</v>
      </c>
      <c r="K186" s="192" t="s">
        <v>918</v>
      </c>
      <c r="L186" s="192" t="s">
        <v>65</v>
      </c>
      <c r="M186" s="192" t="s">
        <v>919</v>
      </c>
      <c r="N186" s="192" t="s">
        <v>65</v>
      </c>
      <c r="O186" s="192" t="s">
        <v>65</v>
      </c>
      <c r="P186" s="192" t="s">
        <v>65</v>
      </c>
      <c r="Q186" s="192">
        <v>0.23000000417232513</v>
      </c>
      <c r="R186" s="192">
        <v>3.0999999046325684</v>
      </c>
      <c r="S186" s="192">
        <f>VLOOKUP($H186,'RBSA Weights'!$A$2:$C$1406,3,FALSE)</f>
        <v>1612.692</v>
      </c>
    </row>
    <row r="187" spans="1:19">
      <c r="A187" s="192" t="s">
        <v>940</v>
      </c>
      <c r="C187" s="192">
        <v>0</v>
      </c>
      <c r="D187" s="192" t="s">
        <v>65</v>
      </c>
      <c r="E187" s="192">
        <v>1</v>
      </c>
      <c r="F187" s="192">
        <v>0</v>
      </c>
      <c r="G187" s="192">
        <v>227258</v>
      </c>
      <c r="H187" s="192">
        <v>11030</v>
      </c>
      <c r="I187" s="192">
        <v>1</v>
      </c>
      <c r="J187" s="192">
        <v>958</v>
      </c>
      <c r="K187" s="192" t="s">
        <v>925</v>
      </c>
      <c r="L187" s="192" t="s">
        <v>922</v>
      </c>
      <c r="M187" s="192" t="s">
        <v>919</v>
      </c>
      <c r="N187" s="192" t="s">
        <v>65</v>
      </c>
      <c r="O187" s="192" t="s">
        <v>65</v>
      </c>
      <c r="P187" s="192" t="s">
        <v>65</v>
      </c>
      <c r="Q187" s="192">
        <v>0.23000000417232513</v>
      </c>
      <c r="R187" s="192">
        <v>3.0999999046325684</v>
      </c>
      <c r="S187" s="192">
        <f>VLOOKUP($H187,'RBSA Weights'!$A$2:$C$1406,3,FALSE)</f>
        <v>1464.694</v>
      </c>
    </row>
    <row r="188" spans="1:19">
      <c r="A188" s="192" t="s">
        <v>940</v>
      </c>
      <c r="C188" s="192">
        <v>0</v>
      </c>
      <c r="D188" s="192" t="s">
        <v>65</v>
      </c>
      <c r="E188" s="192">
        <v>1</v>
      </c>
      <c r="F188" s="192">
        <v>0</v>
      </c>
      <c r="G188" s="192">
        <v>89647</v>
      </c>
      <c r="H188" s="192">
        <v>24655</v>
      </c>
      <c r="I188" s="192">
        <v>1</v>
      </c>
      <c r="J188" s="192">
        <v>891</v>
      </c>
      <c r="K188" s="192" t="s">
        <v>918</v>
      </c>
      <c r="L188" s="192" t="s">
        <v>922</v>
      </c>
      <c r="M188" s="192" t="s">
        <v>923</v>
      </c>
      <c r="N188" s="192" t="s">
        <v>65</v>
      </c>
      <c r="O188" s="192" t="s">
        <v>65</v>
      </c>
      <c r="P188" s="192" t="s">
        <v>65</v>
      </c>
      <c r="Q188" s="192">
        <v>0.23000000417232513</v>
      </c>
      <c r="R188" s="192">
        <v>3.0999999046325684</v>
      </c>
      <c r="S188" s="192">
        <f>VLOOKUP($H188,'RBSA Weights'!$A$2:$C$1406,3,FALSE)</f>
        <v>1144.6790000000001</v>
      </c>
    </row>
    <row r="189" spans="1:19">
      <c r="A189" s="192" t="s">
        <v>940</v>
      </c>
      <c r="C189" s="192">
        <v>0</v>
      </c>
      <c r="D189" s="192" t="s">
        <v>65</v>
      </c>
      <c r="E189" s="192">
        <v>1</v>
      </c>
      <c r="F189" s="192">
        <v>0</v>
      </c>
      <c r="G189" s="192">
        <v>123569</v>
      </c>
      <c r="H189" s="192">
        <v>21277</v>
      </c>
      <c r="I189" s="192">
        <v>1</v>
      </c>
      <c r="J189" s="192">
        <v>1610</v>
      </c>
      <c r="K189" s="192" t="s">
        <v>925</v>
      </c>
      <c r="L189" s="192" t="s">
        <v>737</v>
      </c>
      <c r="M189" s="192" t="s">
        <v>919</v>
      </c>
      <c r="N189" s="192" t="s">
        <v>65</v>
      </c>
      <c r="O189" s="192" t="s">
        <v>65</v>
      </c>
      <c r="P189" s="192" t="s">
        <v>65</v>
      </c>
      <c r="Q189" s="192">
        <v>0.23000000417232513</v>
      </c>
      <c r="R189" s="192">
        <v>3.0999999046325684</v>
      </c>
      <c r="S189" s="192">
        <f>VLOOKUP($H189,'RBSA Weights'!$A$2:$C$1406,3,FALSE)</f>
        <v>1612.692</v>
      </c>
    </row>
    <row r="190" spans="1:19">
      <c r="A190" s="192" t="s">
        <v>940</v>
      </c>
      <c r="C190" s="192">
        <v>0</v>
      </c>
      <c r="D190" s="192" t="s">
        <v>65</v>
      </c>
      <c r="E190" s="192">
        <v>0</v>
      </c>
      <c r="G190" s="192">
        <v>203792</v>
      </c>
      <c r="H190" s="192">
        <v>20106</v>
      </c>
      <c r="I190" s="192">
        <v>1</v>
      </c>
      <c r="J190" s="192">
        <v>1008</v>
      </c>
      <c r="K190" s="192" t="s">
        <v>918</v>
      </c>
      <c r="L190" s="192" t="s">
        <v>65</v>
      </c>
      <c r="M190" s="192" t="s">
        <v>923</v>
      </c>
      <c r="N190" s="192" t="s">
        <v>65</v>
      </c>
      <c r="O190" s="192" t="s">
        <v>65</v>
      </c>
      <c r="P190" s="192" t="s">
        <v>65</v>
      </c>
      <c r="Q190" s="192">
        <v>0.23000000417232513</v>
      </c>
      <c r="R190" s="192">
        <v>5</v>
      </c>
      <c r="S190" s="192">
        <f>VLOOKUP($H190,'RBSA Weights'!$A$2:$C$1406,3,FALSE)</f>
        <v>3785.7640000000001</v>
      </c>
    </row>
    <row r="191" spans="1:19">
      <c r="A191" s="192" t="s">
        <v>940</v>
      </c>
      <c r="C191" s="192">
        <v>0</v>
      </c>
      <c r="D191" s="192" t="s">
        <v>65</v>
      </c>
      <c r="E191" s="192">
        <v>1</v>
      </c>
      <c r="F191" s="192">
        <v>0</v>
      </c>
      <c r="G191" s="192">
        <v>68557</v>
      </c>
      <c r="H191" s="192">
        <v>20100</v>
      </c>
      <c r="I191" s="192">
        <v>1</v>
      </c>
      <c r="J191" s="192">
        <v>1152</v>
      </c>
      <c r="K191" s="192" t="s">
        <v>918</v>
      </c>
      <c r="L191" s="192" t="s">
        <v>927</v>
      </c>
      <c r="M191" s="192" t="s">
        <v>923</v>
      </c>
      <c r="N191" s="192" t="s">
        <v>65</v>
      </c>
      <c r="O191" s="192" t="s">
        <v>65</v>
      </c>
      <c r="P191" s="192" t="s">
        <v>65</v>
      </c>
      <c r="Q191" s="192">
        <v>0.23000000417232513</v>
      </c>
      <c r="R191" s="192">
        <v>3.0999999046325684</v>
      </c>
      <c r="S191" s="192">
        <f>VLOOKUP($H191,'RBSA Weights'!$A$2:$C$1406,3,FALSE)</f>
        <v>2130.886</v>
      </c>
    </row>
    <row r="192" spans="1:19">
      <c r="A192" s="192" t="s">
        <v>940</v>
      </c>
      <c r="C192" s="192">
        <v>1</v>
      </c>
      <c r="D192" s="192" t="s">
        <v>921</v>
      </c>
      <c r="E192" s="192">
        <v>1</v>
      </c>
      <c r="F192" s="192">
        <v>0</v>
      </c>
      <c r="G192" s="192">
        <v>43629</v>
      </c>
      <c r="H192" s="192">
        <v>21366</v>
      </c>
      <c r="I192" s="192">
        <v>1</v>
      </c>
      <c r="J192" s="192">
        <v>2800</v>
      </c>
      <c r="K192" s="192" t="s">
        <v>925</v>
      </c>
      <c r="L192" s="192" t="s">
        <v>930</v>
      </c>
      <c r="M192" s="192" t="s">
        <v>923</v>
      </c>
      <c r="N192" s="192" t="s">
        <v>948</v>
      </c>
      <c r="O192" s="192" t="s">
        <v>65</v>
      </c>
      <c r="P192" s="192" t="s">
        <v>65</v>
      </c>
      <c r="Q192" s="192">
        <v>0.23000000417232513</v>
      </c>
      <c r="R192" s="192">
        <v>4.5</v>
      </c>
      <c r="S192" s="192">
        <f>VLOOKUP($H192,'RBSA Weights'!$A$2:$C$1406,3,FALSE)</f>
        <v>2130.886</v>
      </c>
    </row>
    <row r="193" spans="1:19">
      <c r="A193" s="192" t="s">
        <v>940</v>
      </c>
      <c r="C193" s="192">
        <v>1</v>
      </c>
      <c r="D193" s="192" t="s">
        <v>941</v>
      </c>
      <c r="E193" s="192">
        <v>1</v>
      </c>
      <c r="F193" s="192">
        <v>0</v>
      </c>
      <c r="G193" s="192">
        <v>219677</v>
      </c>
      <c r="H193" s="192">
        <v>11504</v>
      </c>
      <c r="I193" s="192">
        <v>1</v>
      </c>
      <c r="J193" s="192">
        <v>1232</v>
      </c>
      <c r="K193" s="192" t="s">
        <v>918</v>
      </c>
      <c r="L193" s="192" t="s">
        <v>65</v>
      </c>
      <c r="M193" s="192" t="s">
        <v>919</v>
      </c>
      <c r="N193" s="192" t="s">
        <v>65</v>
      </c>
      <c r="O193" s="192" t="s">
        <v>65</v>
      </c>
      <c r="P193" s="192" t="s">
        <v>65</v>
      </c>
      <c r="Q193" s="192">
        <v>0.23000000417232513</v>
      </c>
      <c r="R193" s="192">
        <v>3.9000000953674316</v>
      </c>
      <c r="S193" s="192">
        <f>VLOOKUP($H193,'RBSA Weights'!$A$2:$C$1406,3,FALSE)</f>
        <v>6932.7380000000003</v>
      </c>
    </row>
    <row r="194" spans="1:19">
      <c r="A194" s="192" t="s">
        <v>940</v>
      </c>
      <c r="C194" s="192">
        <v>0</v>
      </c>
      <c r="D194" s="192" t="s">
        <v>65</v>
      </c>
      <c r="E194" s="192">
        <v>0</v>
      </c>
      <c r="G194" s="192">
        <v>184009</v>
      </c>
      <c r="H194" s="192">
        <v>21334</v>
      </c>
      <c r="I194" s="192">
        <v>1</v>
      </c>
      <c r="J194" s="192">
        <v>1200</v>
      </c>
      <c r="K194" s="192" t="s">
        <v>925</v>
      </c>
      <c r="L194" s="192" t="s">
        <v>737</v>
      </c>
      <c r="M194" s="192" t="s">
        <v>919</v>
      </c>
      <c r="N194" s="192" t="s">
        <v>65</v>
      </c>
      <c r="O194" s="192" t="s">
        <v>65</v>
      </c>
      <c r="P194" s="192" t="s">
        <v>65</v>
      </c>
      <c r="Q194" s="192">
        <v>0.23000000417232513</v>
      </c>
      <c r="R194" s="192">
        <v>5</v>
      </c>
      <c r="S194" s="192">
        <f>VLOOKUP($H194,'RBSA Weights'!$A$2:$C$1406,3,FALSE)</f>
        <v>12271.31</v>
      </c>
    </row>
    <row r="195" spans="1:19">
      <c r="A195" s="192" t="s">
        <v>940</v>
      </c>
      <c r="C195" s="192">
        <v>0</v>
      </c>
      <c r="D195" s="192" t="s">
        <v>65</v>
      </c>
      <c r="E195" s="192">
        <v>1</v>
      </c>
      <c r="F195" s="192">
        <v>0</v>
      </c>
      <c r="G195" s="192">
        <v>100226</v>
      </c>
      <c r="H195" s="192">
        <v>20783</v>
      </c>
      <c r="I195" s="192">
        <v>1</v>
      </c>
      <c r="J195" s="192">
        <v>1380</v>
      </c>
      <c r="K195" s="192" t="s">
        <v>918</v>
      </c>
      <c r="L195" s="192" t="s">
        <v>922</v>
      </c>
      <c r="M195" s="192" t="s">
        <v>923</v>
      </c>
      <c r="N195" s="192" t="s">
        <v>65</v>
      </c>
      <c r="O195" s="192" t="s">
        <v>65</v>
      </c>
      <c r="P195" s="192" t="s">
        <v>65</v>
      </c>
      <c r="Q195" s="192">
        <v>0.23000000417232513</v>
      </c>
      <c r="R195" s="192">
        <v>3.0999999046325684</v>
      </c>
      <c r="S195" s="192">
        <f>VLOOKUP($H195,'RBSA Weights'!$A$2:$C$1406,3,FALSE)</f>
        <v>1144.6790000000001</v>
      </c>
    </row>
    <row r="196" spans="1:19">
      <c r="A196" s="192" t="s">
        <v>940</v>
      </c>
      <c r="C196" s="192">
        <v>0</v>
      </c>
      <c r="D196" s="192" t="s">
        <v>65</v>
      </c>
      <c r="E196" s="192">
        <v>0</v>
      </c>
      <c r="G196" s="192">
        <v>232819</v>
      </c>
      <c r="H196" s="192">
        <v>22632</v>
      </c>
      <c r="I196" s="192">
        <v>2</v>
      </c>
      <c r="J196" s="192">
        <v>636</v>
      </c>
      <c r="K196" s="192" t="s">
        <v>925</v>
      </c>
      <c r="L196" s="192" t="s">
        <v>930</v>
      </c>
      <c r="M196" s="192" t="s">
        <v>919</v>
      </c>
      <c r="N196" s="192" t="s">
        <v>65</v>
      </c>
      <c r="O196" s="192" t="s">
        <v>953</v>
      </c>
      <c r="P196" s="192" t="s">
        <v>65</v>
      </c>
      <c r="Q196" s="192">
        <v>0.23000000417232513</v>
      </c>
      <c r="R196" s="192">
        <v>5</v>
      </c>
      <c r="S196" s="192">
        <f>VLOOKUP($H196,'RBSA Weights'!$A$2:$C$1406,3,FALSE)</f>
        <v>1144.6790000000001</v>
      </c>
    </row>
    <row r="197" spans="1:19">
      <c r="A197" s="192" t="s">
        <v>940</v>
      </c>
      <c r="C197" s="192">
        <v>1</v>
      </c>
      <c r="D197" s="192" t="s">
        <v>941</v>
      </c>
      <c r="E197" s="192">
        <v>1</v>
      </c>
      <c r="F197" s="192">
        <v>0</v>
      </c>
      <c r="G197" s="192">
        <v>56350</v>
      </c>
      <c r="H197" s="192">
        <v>22955</v>
      </c>
      <c r="I197" s="192">
        <v>1</v>
      </c>
      <c r="J197" s="192">
        <v>1468</v>
      </c>
      <c r="K197" s="192" t="s">
        <v>925</v>
      </c>
      <c r="L197" s="192" t="s">
        <v>927</v>
      </c>
      <c r="M197" s="192" t="s">
        <v>923</v>
      </c>
      <c r="N197" s="192" t="s">
        <v>926</v>
      </c>
      <c r="O197" s="192" t="s">
        <v>65</v>
      </c>
      <c r="P197" s="192" t="s">
        <v>65</v>
      </c>
      <c r="Q197" s="192">
        <v>0.23000000417232513</v>
      </c>
      <c r="R197" s="192">
        <v>3.9000000953674316</v>
      </c>
      <c r="S197" s="192">
        <f>VLOOKUP($H197,'RBSA Weights'!$A$2:$C$1406,3,FALSE)</f>
        <v>3785.7640000000001</v>
      </c>
    </row>
    <row r="198" spans="1:19">
      <c r="A198" s="192" t="s">
        <v>940</v>
      </c>
      <c r="C198" s="192">
        <v>0</v>
      </c>
      <c r="D198" s="192" t="s">
        <v>65</v>
      </c>
      <c r="E198" s="192">
        <v>0</v>
      </c>
      <c r="G198" s="192">
        <v>175278</v>
      </c>
      <c r="H198" s="192">
        <v>20357</v>
      </c>
      <c r="I198" s="192">
        <v>1</v>
      </c>
      <c r="J198" s="192">
        <v>922</v>
      </c>
      <c r="K198" s="192" t="s">
        <v>918</v>
      </c>
      <c r="L198" s="192" t="s">
        <v>65</v>
      </c>
      <c r="M198" s="192" t="s">
        <v>919</v>
      </c>
      <c r="N198" s="192" t="s">
        <v>65</v>
      </c>
      <c r="O198" s="192" t="s">
        <v>65</v>
      </c>
      <c r="P198" s="192" t="s">
        <v>65</v>
      </c>
      <c r="Q198" s="192">
        <v>0.23000000417232513</v>
      </c>
      <c r="R198" s="192">
        <v>5</v>
      </c>
      <c r="S198" s="192">
        <f>VLOOKUP($H198,'RBSA Weights'!$A$2:$C$1406,3,FALSE)</f>
        <v>1612.692</v>
      </c>
    </row>
    <row r="199" spans="1:19">
      <c r="A199" s="192" t="s">
        <v>940</v>
      </c>
      <c r="C199" s="192">
        <v>0</v>
      </c>
      <c r="D199" s="192" t="s">
        <v>65</v>
      </c>
      <c r="E199" s="192">
        <v>0</v>
      </c>
      <c r="G199" s="192">
        <v>165079</v>
      </c>
      <c r="H199" s="192">
        <v>20905</v>
      </c>
      <c r="I199" s="192">
        <v>1</v>
      </c>
      <c r="J199" s="192">
        <v>860</v>
      </c>
      <c r="K199" s="192" t="s">
        <v>918</v>
      </c>
      <c r="L199" s="192" t="s">
        <v>65</v>
      </c>
      <c r="M199" s="192" t="s">
        <v>919</v>
      </c>
      <c r="N199" s="192" t="s">
        <v>65</v>
      </c>
      <c r="O199" s="192" t="s">
        <v>65</v>
      </c>
      <c r="P199" s="192" t="s">
        <v>65</v>
      </c>
      <c r="Q199" s="192">
        <v>0.23000000417232513</v>
      </c>
      <c r="R199" s="192">
        <v>5</v>
      </c>
      <c r="S199" s="192">
        <f>VLOOKUP($H199,'RBSA Weights'!$A$2:$C$1406,3,FALSE)</f>
        <v>8264.9449999999997</v>
      </c>
    </row>
    <row r="200" spans="1:19">
      <c r="A200" s="192" t="s">
        <v>940</v>
      </c>
      <c r="C200" s="192">
        <v>0</v>
      </c>
      <c r="D200" s="192" t="s">
        <v>65</v>
      </c>
      <c r="E200" s="192">
        <v>1</v>
      </c>
      <c r="F200" s="192">
        <v>0</v>
      </c>
      <c r="G200" s="192">
        <v>165175</v>
      </c>
      <c r="H200" s="192">
        <v>21700</v>
      </c>
      <c r="I200" s="192">
        <v>1</v>
      </c>
      <c r="J200" s="192">
        <v>888</v>
      </c>
      <c r="K200" s="192" t="s">
        <v>918</v>
      </c>
      <c r="L200" s="192" t="s">
        <v>65</v>
      </c>
      <c r="M200" s="192" t="s">
        <v>919</v>
      </c>
      <c r="N200" s="192" t="s">
        <v>65</v>
      </c>
      <c r="O200" s="192" t="s">
        <v>65</v>
      </c>
      <c r="P200" s="192" t="s">
        <v>65</v>
      </c>
      <c r="Q200" s="192">
        <v>0.23000000417232513</v>
      </c>
      <c r="R200" s="192">
        <v>3.0999999046325684</v>
      </c>
      <c r="S200" s="192">
        <f>VLOOKUP($H200,'RBSA Weights'!$A$2:$C$1406,3,FALSE)</f>
        <v>8264.9449999999997</v>
      </c>
    </row>
    <row r="201" spans="1:19">
      <c r="A201" s="192" t="s">
        <v>940</v>
      </c>
      <c r="C201" s="192">
        <v>1</v>
      </c>
      <c r="D201" s="192" t="s">
        <v>921</v>
      </c>
      <c r="E201" s="192">
        <v>1</v>
      </c>
      <c r="F201" s="192">
        <v>0</v>
      </c>
      <c r="G201" s="192">
        <v>89577</v>
      </c>
      <c r="H201" s="192">
        <v>23674</v>
      </c>
      <c r="I201" s="192">
        <v>1</v>
      </c>
      <c r="J201" s="192">
        <v>972</v>
      </c>
      <c r="K201" s="192" t="s">
        <v>918</v>
      </c>
      <c r="L201" s="192" t="s">
        <v>927</v>
      </c>
      <c r="M201" s="192" t="s">
        <v>923</v>
      </c>
      <c r="N201" s="192" t="s">
        <v>924</v>
      </c>
      <c r="O201" s="192" t="s">
        <v>65</v>
      </c>
      <c r="P201" s="192" t="s">
        <v>65</v>
      </c>
      <c r="Q201" s="192">
        <v>0.23000000417232513</v>
      </c>
      <c r="R201" s="192">
        <v>4.5</v>
      </c>
      <c r="S201" s="192">
        <f>VLOOKUP($H201,'RBSA Weights'!$A$2:$C$1406,3,FALSE)</f>
        <v>1144.6790000000001</v>
      </c>
    </row>
    <row r="202" spans="1:19">
      <c r="A202" s="192" t="s">
        <v>940</v>
      </c>
      <c r="C202" s="192">
        <v>0</v>
      </c>
      <c r="D202" s="192" t="s">
        <v>65</v>
      </c>
      <c r="E202" s="192">
        <v>1</v>
      </c>
      <c r="F202" s="192">
        <v>0</v>
      </c>
      <c r="G202" s="192">
        <v>678196</v>
      </c>
      <c r="H202" s="192">
        <v>10887</v>
      </c>
      <c r="I202" s="192">
        <v>2</v>
      </c>
      <c r="J202" s="192">
        <v>140</v>
      </c>
      <c r="K202" s="192" t="s">
        <v>925</v>
      </c>
      <c r="L202" s="192" t="s">
        <v>922</v>
      </c>
      <c r="M202" s="192" t="s">
        <v>919</v>
      </c>
      <c r="N202" s="192" t="s">
        <v>65</v>
      </c>
      <c r="O202" s="192" t="s">
        <v>65</v>
      </c>
      <c r="P202" s="192" t="s">
        <v>65</v>
      </c>
      <c r="Q202" s="192">
        <v>0.23000000417232513</v>
      </c>
      <c r="R202" s="192">
        <v>3.0999999046325684</v>
      </c>
      <c r="S202" s="192">
        <f>VLOOKUP($H202,'RBSA Weights'!$A$2:$C$1406,3,FALSE)</f>
        <v>1464.694</v>
      </c>
    </row>
    <row r="203" spans="1:19">
      <c r="A203" s="192" t="s">
        <v>940</v>
      </c>
      <c r="C203" s="192">
        <v>0</v>
      </c>
      <c r="D203" s="192" t="s">
        <v>65</v>
      </c>
      <c r="E203" s="192">
        <v>0</v>
      </c>
      <c r="G203" s="192">
        <v>164447</v>
      </c>
      <c r="H203" s="192">
        <v>12782</v>
      </c>
      <c r="I203" s="192">
        <v>1</v>
      </c>
      <c r="J203" s="192">
        <v>690</v>
      </c>
      <c r="K203" s="192" t="s">
        <v>918</v>
      </c>
      <c r="L203" s="192" t="s">
        <v>65</v>
      </c>
      <c r="M203" s="192" t="s">
        <v>919</v>
      </c>
      <c r="N203" s="192" t="s">
        <v>65</v>
      </c>
      <c r="O203" s="192" t="s">
        <v>65</v>
      </c>
      <c r="P203" s="192" t="s">
        <v>65</v>
      </c>
      <c r="Q203" s="192">
        <v>0.23000000417232513</v>
      </c>
      <c r="R203" s="192">
        <v>5</v>
      </c>
      <c r="S203" s="192">
        <f>VLOOKUP($H203,'RBSA Weights'!$A$2:$C$1406,3,FALSE)</f>
        <v>1524.7619999999999</v>
      </c>
    </row>
    <row r="204" spans="1:19">
      <c r="A204" s="192" t="s">
        <v>940</v>
      </c>
      <c r="C204" s="192">
        <v>1</v>
      </c>
      <c r="D204" s="192" t="s">
        <v>921</v>
      </c>
      <c r="E204" s="192">
        <v>1</v>
      </c>
      <c r="F204" s="192">
        <v>0</v>
      </c>
      <c r="G204" s="192">
        <v>74724</v>
      </c>
      <c r="H204" s="192">
        <v>20066</v>
      </c>
      <c r="I204" s="192">
        <v>1</v>
      </c>
      <c r="J204" s="192">
        <v>2300</v>
      </c>
      <c r="K204" s="192" t="s">
        <v>925</v>
      </c>
      <c r="L204" s="192" t="s">
        <v>930</v>
      </c>
      <c r="M204" s="192" t="s">
        <v>919</v>
      </c>
      <c r="N204" s="192" t="s">
        <v>926</v>
      </c>
      <c r="O204" s="192" t="s">
        <v>65</v>
      </c>
      <c r="P204" s="192" t="s">
        <v>65</v>
      </c>
      <c r="Q204" s="192">
        <v>0.23000000417232513</v>
      </c>
      <c r="R204" s="192">
        <v>4.5</v>
      </c>
      <c r="S204" s="192">
        <f>VLOOKUP($H204,'RBSA Weights'!$A$2:$C$1406,3,FALSE)</f>
        <v>2079.9929999999999</v>
      </c>
    </row>
    <row r="205" spans="1:19">
      <c r="A205" s="192" t="s">
        <v>940</v>
      </c>
      <c r="C205" s="192">
        <v>0</v>
      </c>
      <c r="D205" s="192" t="s">
        <v>65</v>
      </c>
      <c r="E205" s="192">
        <v>0</v>
      </c>
      <c r="G205" s="192">
        <v>678366</v>
      </c>
      <c r="H205" s="192">
        <v>14153</v>
      </c>
      <c r="I205" s="192">
        <v>1</v>
      </c>
      <c r="J205" s="192">
        <v>961</v>
      </c>
      <c r="K205" s="192" t="s">
        <v>918</v>
      </c>
      <c r="L205" s="192" t="s">
        <v>65</v>
      </c>
      <c r="M205" s="192" t="s">
        <v>923</v>
      </c>
      <c r="N205" s="192" t="s">
        <v>65</v>
      </c>
      <c r="O205" s="192" t="s">
        <v>65</v>
      </c>
      <c r="P205" s="192" t="s">
        <v>65</v>
      </c>
      <c r="Q205" s="192">
        <v>0.23000000417232513</v>
      </c>
      <c r="R205" s="192">
        <v>5</v>
      </c>
      <c r="S205" s="192">
        <f>VLOOKUP($H205,'RBSA Weights'!$A$2:$C$1406,3,FALSE)</f>
        <v>6932.7380000000003</v>
      </c>
    </row>
    <row r="206" spans="1:19">
      <c r="A206" s="192" t="s">
        <v>940</v>
      </c>
      <c r="C206" s="192">
        <v>1</v>
      </c>
      <c r="D206" s="192" t="s">
        <v>941</v>
      </c>
      <c r="E206" s="192">
        <v>0</v>
      </c>
      <c r="G206" s="192">
        <v>222696</v>
      </c>
      <c r="H206" s="192">
        <v>24462</v>
      </c>
      <c r="I206" s="192">
        <v>1</v>
      </c>
      <c r="J206" s="192">
        <v>524</v>
      </c>
      <c r="K206" s="192" t="s">
        <v>925</v>
      </c>
      <c r="L206" s="192" t="s">
        <v>737</v>
      </c>
      <c r="M206" s="192" t="s">
        <v>923</v>
      </c>
      <c r="N206" s="192" t="s">
        <v>65</v>
      </c>
      <c r="O206" s="192" t="s">
        <v>954</v>
      </c>
      <c r="P206" s="192" t="s">
        <v>65</v>
      </c>
      <c r="Q206" s="192">
        <v>0.23000000417232513</v>
      </c>
      <c r="R206" s="192">
        <v>9.1000003814697266</v>
      </c>
      <c r="S206" s="192">
        <f>VLOOKUP($H206,'RBSA Weights'!$A$2:$C$1406,3,FALSE)</f>
        <v>3785.7640000000001</v>
      </c>
    </row>
    <row r="207" spans="1:19">
      <c r="A207" s="192" t="s">
        <v>940</v>
      </c>
      <c r="C207" s="192">
        <v>1</v>
      </c>
      <c r="D207" s="192" t="s">
        <v>921</v>
      </c>
      <c r="E207" s="192">
        <v>0</v>
      </c>
      <c r="G207" s="192">
        <v>131321</v>
      </c>
      <c r="H207" s="192">
        <v>21228</v>
      </c>
      <c r="I207" s="192">
        <v>1</v>
      </c>
      <c r="J207" s="192">
        <v>496</v>
      </c>
      <c r="K207" s="192" t="s">
        <v>925</v>
      </c>
      <c r="L207" s="192" t="s">
        <v>927</v>
      </c>
      <c r="M207" s="192" t="s">
        <v>923</v>
      </c>
      <c r="N207" s="192" t="s">
        <v>65</v>
      </c>
      <c r="O207" s="192" t="s">
        <v>65</v>
      </c>
      <c r="P207" s="192" t="s">
        <v>65</v>
      </c>
      <c r="Q207" s="192">
        <v>0.23000000417232513</v>
      </c>
      <c r="R207" s="192">
        <v>10.300000190734863</v>
      </c>
      <c r="S207" s="192">
        <f>VLOOKUP($H207,'RBSA Weights'!$A$2:$C$1406,3,FALSE)</f>
        <v>3785.7640000000001</v>
      </c>
    </row>
    <row r="208" spans="1:19">
      <c r="A208" s="192" t="s">
        <v>940</v>
      </c>
      <c r="C208" s="192">
        <v>0</v>
      </c>
      <c r="D208" s="192" t="s">
        <v>65</v>
      </c>
      <c r="E208" s="192">
        <v>1</v>
      </c>
      <c r="F208" s="192">
        <v>0</v>
      </c>
      <c r="G208" s="192">
        <v>211379</v>
      </c>
      <c r="H208" s="192">
        <v>13420</v>
      </c>
      <c r="I208" s="192">
        <v>1</v>
      </c>
      <c r="J208" s="192">
        <v>1180</v>
      </c>
      <c r="K208" s="192" t="s">
        <v>925</v>
      </c>
      <c r="L208" s="192" t="s">
        <v>737</v>
      </c>
      <c r="M208" s="192" t="s">
        <v>923</v>
      </c>
      <c r="N208" s="192" t="s">
        <v>65</v>
      </c>
      <c r="O208" s="192" t="s">
        <v>65</v>
      </c>
      <c r="P208" s="192" t="s">
        <v>65</v>
      </c>
      <c r="Q208" s="192">
        <v>0.23000000417232513</v>
      </c>
      <c r="R208" s="192">
        <v>3.0999999046325684</v>
      </c>
      <c r="S208" s="192">
        <f>VLOOKUP($H208,'RBSA Weights'!$A$2:$C$1406,3,FALSE)</f>
        <v>4956.4930000000004</v>
      </c>
    </row>
    <row r="209" spans="1:19">
      <c r="A209" s="192" t="s">
        <v>940</v>
      </c>
      <c r="C209" s="192">
        <v>1</v>
      </c>
      <c r="D209" s="192" t="s">
        <v>941</v>
      </c>
      <c r="E209" s="192">
        <v>1</v>
      </c>
      <c r="F209" s="192">
        <v>1</v>
      </c>
      <c r="G209" s="192">
        <v>260629</v>
      </c>
      <c r="H209" s="192">
        <v>23857</v>
      </c>
      <c r="I209" s="192">
        <v>1</v>
      </c>
      <c r="J209" s="192">
        <v>1358</v>
      </c>
      <c r="K209" s="192" t="s">
        <v>925</v>
      </c>
      <c r="L209" s="192" t="s">
        <v>930</v>
      </c>
      <c r="M209" s="192" t="s">
        <v>923</v>
      </c>
      <c r="N209" s="192" t="s">
        <v>65</v>
      </c>
      <c r="O209" s="192" t="s">
        <v>65</v>
      </c>
      <c r="P209" s="192" t="s">
        <v>65</v>
      </c>
      <c r="Q209" s="192">
        <v>0.23000000417232513</v>
      </c>
      <c r="R209" s="192">
        <v>7.5999999046325684</v>
      </c>
      <c r="S209" s="192">
        <f>VLOOKUP($H209,'RBSA Weights'!$A$2:$C$1406,3,FALSE)</f>
        <v>1144.6790000000001</v>
      </c>
    </row>
    <row r="210" spans="1:19">
      <c r="A210" s="192" t="s">
        <v>940</v>
      </c>
      <c r="C210" s="192">
        <v>0</v>
      </c>
      <c r="D210" s="192" t="s">
        <v>65</v>
      </c>
      <c r="E210" s="192">
        <v>1</v>
      </c>
      <c r="F210" s="192">
        <v>1</v>
      </c>
      <c r="G210" s="192">
        <v>121183</v>
      </c>
      <c r="H210" s="192">
        <v>20371</v>
      </c>
      <c r="I210" s="192">
        <v>1</v>
      </c>
      <c r="J210" s="192">
        <v>1329</v>
      </c>
      <c r="K210" s="192" t="s">
        <v>925</v>
      </c>
      <c r="L210" s="192" t="s">
        <v>65</v>
      </c>
      <c r="M210" s="192" t="s">
        <v>919</v>
      </c>
      <c r="N210" s="192" t="s">
        <v>65</v>
      </c>
      <c r="O210" s="192" t="s">
        <v>955</v>
      </c>
      <c r="P210" s="192" t="s">
        <v>65</v>
      </c>
      <c r="Q210" s="192">
        <v>0.23000000417232513</v>
      </c>
      <c r="R210" s="192">
        <v>4.5</v>
      </c>
      <c r="S210" s="192">
        <f>VLOOKUP($H210,'RBSA Weights'!$A$2:$C$1406,3,FALSE)</f>
        <v>1925.059</v>
      </c>
    </row>
    <row r="211" spans="1:19">
      <c r="A211" s="192" t="s">
        <v>940</v>
      </c>
      <c r="C211" s="192">
        <v>1</v>
      </c>
      <c r="D211" s="192" t="s">
        <v>921</v>
      </c>
      <c r="E211" s="192">
        <v>0</v>
      </c>
      <c r="F211" s="192">
        <v>0</v>
      </c>
      <c r="G211" s="192">
        <v>87393</v>
      </c>
      <c r="H211" s="192">
        <v>23846</v>
      </c>
      <c r="I211" s="192">
        <v>1</v>
      </c>
      <c r="J211" s="192">
        <v>996</v>
      </c>
      <c r="K211" s="192" t="s">
        <v>918</v>
      </c>
      <c r="L211" s="192" t="s">
        <v>930</v>
      </c>
      <c r="M211" s="192" t="s">
        <v>923</v>
      </c>
      <c r="N211" s="192" t="s">
        <v>948</v>
      </c>
      <c r="O211" s="192" t="s">
        <v>65</v>
      </c>
      <c r="P211" s="192" t="s">
        <v>65</v>
      </c>
      <c r="Q211" s="192">
        <v>0.23000000417232513</v>
      </c>
      <c r="R211" s="192">
        <v>10.300000190734863</v>
      </c>
      <c r="S211" s="192">
        <f>VLOOKUP($H211,'RBSA Weights'!$A$2:$C$1406,3,FALSE)</f>
        <v>1144.6790000000001</v>
      </c>
    </row>
    <row r="212" spans="1:19">
      <c r="A212" s="192" t="s">
        <v>940</v>
      </c>
      <c r="C212" s="192">
        <v>1</v>
      </c>
      <c r="D212" s="192" t="s">
        <v>941</v>
      </c>
      <c r="E212" s="192">
        <v>0</v>
      </c>
      <c r="G212" s="192">
        <v>233400</v>
      </c>
      <c r="H212" s="192">
        <v>22138</v>
      </c>
      <c r="I212" s="192">
        <v>1</v>
      </c>
      <c r="J212" s="192">
        <v>1608</v>
      </c>
      <c r="K212" s="192" t="s">
        <v>918</v>
      </c>
      <c r="L212" s="192" t="s">
        <v>65</v>
      </c>
      <c r="M212" s="192" t="s">
        <v>919</v>
      </c>
      <c r="N212" s="192" t="s">
        <v>65</v>
      </c>
      <c r="O212" s="192" t="s">
        <v>956</v>
      </c>
      <c r="P212" s="192" t="s">
        <v>65</v>
      </c>
      <c r="Q212" s="192">
        <v>0.23000000417232513</v>
      </c>
      <c r="R212" s="192">
        <v>9.1000003814697266</v>
      </c>
      <c r="S212" s="192">
        <f>VLOOKUP($H212,'RBSA Weights'!$A$2:$C$1406,3,FALSE)</f>
        <v>3785.7640000000001</v>
      </c>
    </row>
    <row r="213" spans="1:19">
      <c r="A213" s="192" t="s">
        <v>940</v>
      </c>
      <c r="C213" s="192">
        <v>0</v>
      </c>
      <c r="D213" s="192" t="s">
        <v>65</v>
      </c>
      <c r="E213" s="192">
        <v>0</v>
      </c>
      <c r="G213" s="192">
        <v>171083</v>
      </c>
      <c r="H213" s="192">
        <v>24572</v>
      </c>
      <c r="I213" s="192">
        <v>1</v>
      </c>
      <c r="J213" s="192">
        <v>850</v>
      </c>
      <c r="K213" s="192" t="s">
        <v>918</v>
      </c>
      <c r="L213" s="192" t="s">
        <v>65</v>
      </c>
      <c r="M213" s="192" t="s">
        <v>923</v>
      </c>
      <c r="N213" s="192" t="s">
        <v>65</v>
      </c>
      <c r="O213" s="192" t="s">
        <v>65</v>
      </c>
      <c r="P213" s="192" t="s">
        <v>65</v>
      </c>
      <c r="Q213" s="192">
        <v>0.23000000417232513</v>
      </c>
      <c r="R213" s="192">
        <v>5</v>
      </c>
      <c r="S213" s="192">
        <f>VLOOKUP($H213,'RBSA Weights'!$A$2:$C$1406,3,FALSE)</f>
        <v>4360.1880000000001</v>
      </c>
    </row>
    <row r="214" spans="1:19">
      <c r="A214" s="192" t="s">
        <v>940</v>
      </c>
      <c r="C214" s="192">
        <v>0</v>
      </c>
      <c r="D214" s="192" t="s">
        <v>65</v>
      </c>
      <c r="E214" s="192">
        <v>1</v>
      </c>
      <c r="F214" s="192">
        <v>0</v>
      </c>
      <c r="G214" s="192">
        <v>238800</v>
      </c>
      <c r="H214" s="192">
        <v>24232</v>
      </c>
      <c r="I214" s="192">
        <v>1</v>
      </c>
      <c r="J214" s="192">
        <v>800</v>
      </c>
      <c r="K214" s="192" t="s">
        <v>925</v>
      </c>
      <c r="L214" s="192" t="s">
        <v>737</v>
      </c>
      <c r="M214" s="192" t="s">
        <v>919</v>
      </c>
      <c r="N214" s="192" t="s">
        <v>65</v>
      </c>
      <c r="O214" s="192" t="s">
        <v>65</v>
      </c>
      <c r="P214" s="192" t="s">
        <v>65</v>
      </c>
      <c r="Q214" s="192">
        <v>0.23000000417232513</v>
      </c>
      <c r="R214" s="192">
        <v>3.0999999046325684</v>
      </c>
      <c r="S214" s="192">
        <f>VLOOKUP($H214,'RBSA Weights'!$A$2:$C$1406,3,FALSE)</f>
        <v>2079.9929999999999</v>
      </c>
    </row>
    <row r="215" spans="1:19">
      <c r="A215" s="192" t="s">
        <v>940</v>
      </c>
      <c r="C215" s="192">
        <v>0</v>
      </c>
      <c r="D215" s="192" t="s">
        <v>65</v>
      </c>
      <c r="E215" s="192">
        <v>0</v>
      </c>
      <c r="G215" s="192">
        <v>208409</v>
      </c>
      <c r="H215" s="192">
        <v>23756</v>
      </c>
      <c r="I215" s="192">
        <v>1</v>
      </c>
      <c r="J215" s="192">
        <v>330</v>
      </c>
      <c r="K215" s="192" t="s">
        <v>925</v>
      </c>
      <c r="L215" s="192" t="s">
        <v>737</v>
      </c>
      <c r="M215" s="192" t="s">
        <v>919</v>
      </c>
      <c r="N215" s="192" t="s">
        <v>65</v>
      </c>
      <c r="O215" s="192" t="s">
        <v>65</v>
      </c>
      <c r="P215" s="192" t="s">
        <v>65</v>
      </c>
      <c r="Q215" s="192">
        <v>0.23000000417232513</v>
      </c>
      <c r="R215" s="192">
        <v>5</v>
      </c>
      <c r="S215" s="192">
        <f>VLOOKUP($H215,'RBSA Weights'!$A$2:$C$1406,3,FALSE)</f>
        <v>1904.288</v>
      </c>
    </row>
    <row r="216" spans="1:19">
      <c r="A216" s="192" t="s">
        <v>940</v>
      </c>
      <c r="C216" s="192">
        <v>0</v>
      </c>
      <c r="D216" s="192" t="s">
        <v>65</v>
      </c>
      <c r="E216" s="192">
        <v>0</v>
      </c>
      <c r="G216" s="192">
        <v>31282</v>
      </c>
      <c r="H216" s="192">
        <v>10580</v>
      </c>
      <c r="I216" s="192">
        <v>1</v>
      </c>
      <c r="J216" s="192">
        <v>268</v>
      </c>
      <c r="K216" s="192" t="s">
        <v>925</v>
      </c>
      <c r="L216" s="192" t="s">
        <v>927</v>
      </c>
      <c r="M216" s="192" t="s">
        <v>923</v>
      </c>
      <c r="N216" s="192" t="s">
        <v>65</v>
      </c>
      <c r="O216" s="192" t="s">
        <v>65</v>
      </c>
      <c r="P216" s="192" t="s">
        <v>65</v>
      </c>
      <c r="Q216" s="192">
        <v>0.23000000417232513</v>
      </c>
      <c r="R216" s="192">
        <v>5</v>
      </c>
      <c r="S216" s="192">
        <f>VLOOKUP($H216,'RBSA Weights'!$A$2:$C$1406,3,FALSE)</f>
        <v>1524.7619999999999</v>
      </c>
    </row>
    <row r="217" spans="1:19">
      <c r="A217" s="192" t="s">
        <v>940</v>
      </c>
      <c r="C217" s="192">
        <v>0</v>
      </c>
      <c r="D217" s="192" t="s">
        <v>65</v>
      </c>
      <c r="E217" s="192">
        <v>0</v>
      </c>
      <c r="F217" s="192">
        <v>1</v>
      </c>
      <c r="G217" s="192">
        <v>38322</v>
      </c>
      <c r="H217" s="192">
        <v>21376</v>
      </c>
      <c r="I217" s="192">
        <v>1</v>
      </c>
      <c r="J217" s="192">
        <v>600</v>
      </c>
      <c r="K217" s="192" t="s">
        <v>918</v>
      </c>
      <c r="L217" s="192" t="s">
        <v>65</v>
      </c>
      <c r="M217" s="192" t="s">
        <v>923</v>
      </c>
      <c r="N217" s="192" t="s">
        <v>65</v>
      </c>
      <c r="O217" s="192" t="s">
        <v>65</v>
      </c>
      <c r="P217" s="192" t="s">
        <v>65</v>
      </c>
      <c r="Q217" s="192">
        <v>0.23000000417232513</v>
      </c>
      <c r="R217" s="192">
        <v>5</v>
      </c>
      <c r="S217" s="192">
        <f>VLOOKUP($H217,'RBSA Weights'!$A$2:$C$1406,3,FALSE)</f>
        <v>3785.7640000000001</v>
      </c>
    </row>
    <row r="218" spans="1:19">
      <c r="A218" s="192" t="s">
        <v>940</v>
      </c>
      <c r="C218" s="192">
        <v>1</v>
      </c>
      <c r="D218" s="192" t="s">
        <v>941</v>
      </c>
      <c r="E218" s="192">
        <v>0</v>
      </c>
      <c r="G218" s="192">
        <v>187328</v>
      </c>
      <c r="H218" s="192">
        <v>23526</v>
      </c>
      <c r="I218" s="192">
        <v>1</v>
      </c>
      <c r="J218" s="192">
        <v>1352</v>
      </c>
      <c r="K218" s="192" t="s">
        <v>918</v>
      </c>
      <c r="L218" s="192" t="s">
        <v>65</v>
      </c>
      <c r="M218" s="192" t="s">
        <v>923</v>
      </c>
      <c r="N218" s="192" t="s">
        <v>65</v>
      </c>
      <c r="O218" s="192" t="s">
        <v>65</v>
      </c>
      <c r="P218" s="192" t="s">
        <v>65</v>
      </c>
      <c r="Q218" s="192">
        <v>0.23000000417232513</v>
      </c>
      <c r="R218" s="192">
        <v>9.1000003814697266</v>
      </c>
      <c r="S218" s="192">
        <f>VLOOKUP($H218,'RBSA Weights'!$A$2:$C$1406,3,FALSE)</f>
        <v>1925.059</v>
      </c>
    </row>
    <row r="219" spans="1:19">
      <c r="A219" s="192" t="s">
        <v>940</v>
      </c>
      <c r="C219" s="192">
        <v>0</v>
      </c>
      <c r="D219" s="192" t="s">
        <v>65</v>
      </c>
      <c r="E219" s="192">
        <v>0</v>
      </c>
      <c r="F219" s="192">
        <v>0</v>
      </c>
      <c r="G219" s="192">
        <v>54867</v>
      </c>
      <c r="H219" s="192">
        <v>10044</v>
      </c>
      <c r="I219" s="192">
        <v>2</v>
      </c>
      <c r="J219" s="192">
        <v>506</v>
      </c>
      <c r="K219" s="192" t="s">
        <v>918</v>
      </c>
      <c r="L219" s="192" t="s">
        <v>930</v>
      </c>
      <c r="M219" s="192" t="s">
        <v>923</v>
      </c>
      <c r="N219" s="192" t="s">
        <v>65</v>
      </c>
      <c r="O219" s="192" t="s">
        <v>65</v>
      </c>
      <c r="P219" s="192" t="s">
        <v>65</v>
      </c>
      <c r="Q219" s="192">
        <v>0.23000000417232513</v>
      </c>
      <c r="R219" s="192">
        <v>5</v>
      </c>
      <c r="S219" s="192">
        <f>VLOOKUP($H219,'RBSA Weights'!$A$2:$C$1406,3,FALSE)</f>
        <v>2003.7159999999999</v>
      </c>
    </row>
    <row r="220" spans="1:19">
      <c r="A220" s="192" t="s">
        <v>940</v>
      </c>
      <c r="C220" s="192">
        <v>0</v>
      </c>
      <c r="D220" s="192" t="s">
        <v>65</v>
      </c>
      <c r="E220" s="192">
        <v>1</v>
      </c>
      <c r="F220" s="192">
        <v>0</v>
      </c>
      <c r="G220" s="192">
        <v>138208</v>
      </c>
      <c r="H220" s="192">
        <v>23762</v>
      </c>
      <c r="I220" s="192">
        <v>1</v>
      </c>
      <c r="J220" s="192">
        <v>1024</v>
      </c>
      <c r="K220" s="192" t="s">
        <v>925</v>
      </c>
      <c r="L220" s="192" t="s">
        <v>922</v>
      </c>
      <c r="M220" s="192" t="s">
        <v>919</v>
      </c>
      <c r="N220" s="192" t="s">
        <v>65</v>
      </c>
      <c r="O220" s="192" t="s">
        <v>65</v>
      </c>
      <c r="P220" s="192" t="s">
        <v>65</v>
      </c>
      <c r="Q220" s="192">
        <v>0.23000000417232513</v>
      </c>
      <c r="R220" s="192">
        <v>3.0999999046325684</v>
      </c>
      <c r="S220" s="192">
        <f>VLOOKUP($H220,'RBSA Weights'!$A$2:$C$1406,3,FALSE)</f>
        <v>8264.9449999999997</v>
      </c>
    </row>
    <row r="221" spans="1:19">
      <c r="A221" s="192" t="s">
        <v>940</v>
      </c>
      <c r="C221" s="192">
        <v>0</v>
      </c>
      <c r="D221" s="192" t="s">
        <v>65</v>
      </c>
      <c r="E221" s="192">
        <v>1</v>
      </c>
      <c r="F221" s="192">
        <v>1</v>
      </c>
      <c r="G221" s="192">
        <v>205849</v>
      </c>
      <c r="H221" s="192">
        <v>20065</v>
      </c>
      <c r="I221" s="192">
        <v>1</v>
      </c>
      <c r="J221" s="192">
        <v>1032</v>
      </c>
      <c r="K221" s="192" t="s">
        <v>925</v>
      </c>
      <c r="L221" s="192" t="s">
        <v>927</v>
      </c>
      <c r="M221" s="192" t="s">
        <v>923</v>
      </c>
      <c r="N221" s="192" t="s">
        <v>65</v>
      </c>
      <c r="O221" s="192" t="s">
        <v>65</v>
      </c>
      <c r="P221" s="192" t="s">
        <v>65</v>
      </c>
      <c r="Q221" s="192">
        <v>0.23000000417232513</v>
      </c>
      <c r="R221" s="192">
        <v>4.5</v>
      </c>
      <c r="S221" s="192">
        <f>VLOOKUP($H221,'RBSA Weights'!$A$2:$C$1406,3,FALSE)</f>
        <v>3785.7640000000001</v>
      </c>
    </row>
    <row r="222" spans="1:19">
      <c r="A222" s="192" t="s">
        <v>940</v>
      </c>
      <c r="C222" s="192">
        <v>0</v>
      </c>
      <c r="D222" s="192" t="s">
        <v>65</v>
      </c>
      <c r="E222" s="192">
        <v>1</v>
      </c>
      <c r="F222" s="192">
        <v>0</v>
      </c>
      <c r="G222" s="192">
        <v>97430</v>
      </c>
      <c r="H222" s="192">
        <v>10630</v>
      </c>
      <c r="I222" s="192">
        <v>3</v>
      </c>
      <c r="J222" s="192">
        <v>792</v>
      </c>
      <c r="K222" s="192" t="s">
        <v>925</v>
      </c>
      <c r="L222" s="192" t="s">
        <v>922</v>
      </c>
      <c r="M222" s="192" t="s">
        <v>919</v>
      </c>
      <c r="N222" s="192" t="s">
        <v>65</v>
      </c>
      <c r="O222" s="192" t="s">
        <v>957</v>
      </c>
      <c r="P222" s="192" t="s">
        <v>65</v>
      </c>
      <c r="Q222" s="192">
        <v>0.23000000417232513</v>
      </c>
      <c r="R222" s="192">
        <v>3.0999999046325684</v>
      </c>
      <c r="S222" s="192">
        <f>VLOOKUP($H222,'RBSA Weights'!$A$2:$C$1406,3,FALSE)</f>
        <v>4956.4930000000004</v>
      </c>
    </row>
    <row r="223" spans="1:19">
      <c r="A223" s="192" t="s">
        <v>940</v>
      </c>
      <c r="C223" s="192">
        <v>0</v>
      </c>
      <c r="D223" s="192" t="s">
        <v>65</v>
      </c>
      <c r="E223" s="192">
        <v>0</v>
      </c>
      <c r="G223" s="192">
        <v>45531</v>
      </c>
      <c r="H223" s="192">
        <v>13713</v>
      </c>
      <c r="I223" s="192">
        <v>1</v>
      </c>
      <c r="J223" s="192">
        <v>1154</v>
      </c>
      <c r="K223" s="192" t="s">
        <v>925</v>
      </c>
      <c r="L223" s="192" t="s">
        <v>927</v>
      </c>
      <c r="M223" s="192" t="s">
        <v>923</v>
      </c>
      <c r="N223" s="192" t="s">
        <v>65</v>
      </c>
      <c r="O223" s="192" t="s">
        <v>65</v>
      </c>
      <c r="P223" s="192" t="s">
        <v>65</v>
      </c>
      <c r="Q223" s="192">
        <v>0.23000000417232513</v>
      </c>
      <c r="R223" s="192">
        <v>5</v>
      </c>
      <c r="S223" s="192">
        <f>VLOOKUP($H223,'RBSA Weights'!$A$2:$C$1406,3,FALSE)</f>
        <v>1150.8789999999999</v>
      </c>
    </row>
    <row r="224" spans="1:19">
      <c r="A224" s="192" t="s">
        <v>940</v>
      </c>
      <c r="C224" s="192">
        <v>0</v>
      </c>
      <c r="D224" s="192" t="s">
        <v>65</v>
      </c>
      <c r="E224" s="192">
        <v>1</v>
      </c>
      <c r="F224" s="192">
        <v>0</v>
      </c>
      <c r="G224" s="192">
        <v>133328</v>
      </c>
      <c r="H224" s="192">
        <v>23188</v>
      </c>
      <c r="I224" s="192">
        <v>1</v>
      </c>
      <c r="J224" s="192">
        <v>600</v>
      </c>
      <c r="K224" s="192" t="s">
        <v>918</v>
      </c>
      <c r="L224" s="192" t="s">
        <v>927</v>
      </c>
      <c r="M224" s="192" t="s">
        <v>923</v>
      </c>
      <c r="N224" s="192" t="s">
        <v>65</v>
      </c>
      <c r="O224" s="192" t="s">
        <v>65</v>
      </c>
      <c r="P224" s="192" t="s">
        <v>65</v>
      </c>
      <c r="Q224" s="192">
        <v>0.23000000417232513</v>
      </c>
      <c r="R224" s="192">
        <v>3.0999999046325684</v>
      </c>
      <c r="S224" s="192">
        <f>VLOOKUP($H224,'RBSA Weights'!$A$2:$C$1406,3,FALSE)</f>
        <v>2079.9929999999999</v>
      </c>
    </row>
    <row r="225" spans="1:19">
      <c r="A225" s="192" t="s">
        <v>940</v>
      </c>
      <c r="C225" s="192">
        <v>0</v>
      </c>
      <c r="D225" s="192" t="s">
        <v>65</v>
      </c>
      <c r="E225" s="192">
        <v>0</v>
      </c>
      <c r="F225" s="192">
        <v>0</v>
      </c>
      <c r="G225" s="192">
        <v>68243</v>
      </c>
      <c r="H225" s="192">
        <v>22721</v>
      </c>
      <c r="I225" s="192">
        <v>1</v>
      </c>
      <c r="J225" s="192">
        <v>819</v>
      </c>
      <c r="K225" s="192" t="s">
        <v>918</v>
      </c>
      <c r="L225" s="192" t="s">
        <v>927</v>
      </c>
      <c r="M225" s="192" t="s">
        <v>923</v>
      </c>
      <c r="N225" s="192" t="s">
        <v>65</v>
      </c>
      <c r="O225" s="192" t="s">
        <v>65</v>
      </c>
      <c r="P225" s="192" t="s">
        <v>65</v>
      </c>
      <c r="Q225" s="192">
        <v>0.23000000417232513</v>
      </c>
      <c r="R225" s="192">
        <v>5</v>
      </c>
      <c r="S225" s="192">
        <f>VLOOKUP($H225,'RBSA Weights'!$A$2:$C$1406,3,FALSE)</f>
        <v>2130.886</v>
      </c>
    </row>
    <row r="226" spans="1:19">
      <c r="A226" s="192" t="s">
        <v>940</v>
      </c>
      <c r="C226" s="192">
        <v>0</v>
      </c>
      <c r="D226" s="192" t="s">
        <v>65</v>
      </c>
      <c r="E226" s="192">
        <v>1</v>
      </c>
      <c r="F226" s="192">
        <v>0</v>
      </c>
      <c r="G226" s="192">
        <v>61143</v>
      </c>
      <c r="H226" s="192">
        <v>12271</v>
      </c>
      <c r="I226" s="192">
        <v>1</v>
      </c>
      <c r="J226" s="192">
        <v>234</v>
      </c>
      <c r="K226" s="192" t="s">
        <v>925</v>
      </c>
      <c r="L226" s="192" t="s">
        <v>737</v>
      </c>
      <c r="M226" s="192" t="s">
        <v>919</v>
      </c>
      <c r="N226" s="192" t="s">
        <v>65</v>
      </c>
      <c r="O226" s="192" t="s">
        <v>65</v>
      </c>
      <c r="P226" s="192" t="s">
        <v>65</v>
      </c>
      <c r="Q226" s="192">
        <v>0.23000000417232513</v>
      </c>
      <c r="R226" s="192">
        <v>3.0999999046325684</v>
      </c>
      <c r="S226" s="192">
        <f>VLOOKUP($H226,'RBSA Weights'!$A$2:$C$1406,3,FALSE)</f>
        <v>1524.7619999999999</v>
      </c>
    </row>
    <row r="227" spans="1:19">
      <c r="A227" s="192" t="s">
        <v>940</v>
      </c>
      <c r="C227" s="192">
        <v>0</v>
      </c>
      <c r="D227" s="192" t="s">
        <v>65</v>
      </c>
      <c r="E227" s="192">
        <v>1</v>
      </c>
      <c r="F227" s="192">
        <v>1</v>
      </c>
      <c r="G227" s="192">
        <v>99247</v>
      </c>
      <c r="H227" s="192">
        <v>11713</v>
      </c>
      <c r="I227" s="192">
        <v>1</v>
      </c>
      <c r="J227" s="192">
        <v>1839</v>
      </c>
      <c r="K227" s="192" t="s">
        <v>925</v>
      </c>
      <c r="L227" s="192" t="s">
        <v>737</v>
      </c>
      <c r="M227" s="192" t="s">
        <v>919</v>
      </c>
      <c r="N227" s="192" t="s">
        <v>65</v>
      </c>
      <c r="O227" s="192" t="s">
        <v>65</v>
      </c>
      <c r="P227" s="192" t="s">
        <v>65</v>
      </c>
      <c r="Q227" s="192">
        <v>0.23000000417232513</v>
      </c>
      <c r="R227" s="192">
        <v>4.5</v>
      </c>
      <c r="S227" s="192">
        <f>VLOOKUP($H227,'RBSA Weights'!$A$2:$C$1406,3,FALSE)</f>
        <v>2003.7159999999999</v>
      </c>
    </row>
    <row r="228" spans="1:19">
      <c r="A228" s="192" t="s">
        <v>940</v>
      </c>
      <c r="C228" s="192">
        <v>1</v>
      </c>
      <c r="D228" s="192" t="s">
        <v>921</v>
      </c>
      <c r="E228" s="192">
        <v>1</v>
      </c>
      <c r="F228" s="192">
        <v>1</v>
      </c>
      <c r="G228" s="192">
        <v>242119</v>
      </c>
      <c r="H228" s="192">
        <v>22854</v>
      </c>
      <c r="I228" s="192">
        <v>1</v>
      </c>
      <c r="J228" s="192">
        <v>1222</v>
      </c>
      <c r="K228" s="192" t="s">
        <v>925</v>
      </c>
      <c r="L228" s="192" t="s">
        <v>930</v>
      </c>
      <c r="M228" s="192" t="s">
        <v>923</v>
      </c>
      <c r="N228" s="192" t="s">
        <v>65</v>
      </c>
      <c r="O228" s="192" t="s">
        <v>65</v>
      </c>
      <c r="P228" s="192" t="s">
        <v>65</v>
      </c>
      <c r="Q228" s="192">
        <v>0.23000000417232513</v>
      </c>
      <c r="R228" s="192">
        <v>8.3999996185302734</v>
      </c>
      <c r="S228" s="192">
        <f>VLOOKUP($H228,'RBSA Weights'!$A$2:$C$1406,3,FALSE)</f>
        <v>1144.6790000000001</v>
      </c>
    </row>
    <row r="229" spans="1:19">
      <c r="A229" s="192" t="s">
        <v>940</v>
      </c>
      <c r="C229" s="192">
        <v>0</v>
      </c>
      <c r="D229" s="192" t="s">
        <v>65</v>
      </c>
      <c r="E229" s="192">
        <v>0</v>
      </c>
      <c r="F229" s="192">
        <v>0</v>
      </c>
      <c r="G229" s="192">
        <v>46814</v>
      </c>
      <c r="H229" s="192">
        <v>23559</v>
      </c>
      <c r="I229" s="192">
        <v>1</v>
      </c>
      <c r="J229" s="192">
        <v>660</v>
      </c>
      <c r="K229" s="192" t="s">
        <v>918</v>
      </c>
      <c r="L229" s="192" t="s">
        <v>930</v>
      </c>
      <c r="M229" s="192" t="s">
        <v>923</v>
      </c>
      <c r="N229" s="192" t="s">
        <v>65</v>
      </c>
      <c r="O229" s="192" t="s">
        <v>65</v>
      </c>
      <c r="P229" s="192" t="s">
        <v>65</v>
      </c>
      <c r="Q229" s="192">
        <v>0.23000000417232513</v>
      </c>
      <c r="R229" s="192">
        <v>5</v>
      </c>
      <c r="S229" s="192">
        <f>VLOOKUP($H229,'RBSA Weights'!$A$2:$C$1406,3,FALSE)</f>
        <v>8264.9449999999997</v>
      </c>
    </row>
    <row r="230" spans="1:19">
      <c r="A230" s="192" t="s">
        <v>940</v>
      </c>
      <c r="C230" s="192">
        <v>0</v>
      </c>
      <c r="D230" s="192" t="s">
        <v>65</v>
      </c>
      <c r="E230" s="192">
        <v>1</v>
      </c>
      <c r="F230" s="192">
        <v>0</v>
      </c>
      <c r="G230" s="192">
        <v>720010</v>
      </c>
      <c r="H230" s="192">
        <v>22077</v>
      </c>
      <c r="I230" s="192">
        <v>1</v>
      </c>
      <c r="J230" s="192">
        <v>1008</v>
      </c>
      <c r="K230" s="192" t="s">
        <v>925</v>
      </c>
      <c r="L230" s="192" t="s">
        <v>927</v>
      </c>
      <c r="M230" s="192" t="s">
        <v>919</v>
      </c>
      <c r="N230" s="192" t="s">
        <v>65</v>
      </c>
      <c r="O230" s="192" t="s">
        <v>65</v>
      </c>
      <c r="P230" s="192" t="s">
        <v>65</v>
      </c>
      <c r="Q230" s="192">
        <v>0.23000000417232513</v>
      </c>
      <c r="R230" s="192">
        <v>3.0999999046325684</v>
      </c>
      <c r="S230" s="192">
        <f>VLOOKUP($H230,'RBSA Weights'!$A$2:$C$1406,3,FALSE)</f>
        <v>3785.7640000000001</v>
      </c>
    </row>
    <row r="231" spans="1:19">
      <c r="A231" s="192" t="s">
        <v>940</v>
      </c>
      <c r="C231" s="192">
        <v>0</v>
      </c>
      <c r="D231" s="192" t="s">
        <v>65</v>
      </c>
      <c r="E231" s="192">
        <v>1</v>
      </c>
      <c r="F231" s="192">
        <v>0</v>
      </c>
      <c r="G231" s="192">
        <v>99114</v>
      </c>
      <c r="H231" s="192">
        <v>23840</v>
      </c>
      <c r="I231" s="192">
        <v>1</v>
      </c>
      <c r="J231" s="192">
        <v>378</v>
      </c>
      <c r="K231" s="192" t="s">
        <v>918</v>
      </c>
      <c r="L231" s="192" t="s">
        <v>737</v>
      </c>
      <c r="M231" s="192" t="s">
        <v>923</v>
      </c>
      <c r="N231" s="192" t="s">
        <v>65</v>
      </c>
      <c r="O231" s="192" t="s">
        <v>65</v>
      </c>
      <c r="P231" s="192" t="s">
        <v>65</v>
      </c>
      <c r="Q231" s="192">
        <v>0.23000000417232513</v>
      </c>
      <c r="R231" s="192">
        <v>3.0999999046325684</v>
      </c>
      <c r="S231" s="192">
        <f>VLOOKUP($H231,'RBSA Weights'!$A$2:$C$1406,3,FALSE)</f>
        <v>1144.6790000000001</v>
      </c>
    </row>
    <row r="232" spans="1:19">
      <c r="A232" s="192" t="s">
        <v>940</v>
      </c>
      <c r="C232" s="192">
        <v>0</v>
      </c>
      <c r="D232" s="192" t="s">
        <v>65</v>
      </c>
      <c r="E232" s="192">
        <v>0</v>
      </c>
      <c r="F232" s="192">
        <v>0</v>
      </c>
      <c r="G232" s="192">
        <v>61958</v>
      </c>
      <c r="H232" s="192">
        <v>10299</v>
      </c>
      <c r="I232" s="192">
        <v>1</v>
      </c>
      <c r="J232" s="192">
        <v>3398</v>
      </c>
      <c r="K232" s="192" t="s">
        <v>925</v>
      </c>
      <c r="L232" s="192" t="s">
        <v>927</v>
      </c>
      <c r="M232" s="192" t="s">
        <v>923</v>
      </c>
      <c r="N232" s="192" t="s">
        <v>65</v>
      </c>
      <c r="O232" s="192" t="s">
        <v>65</v>
      </c>
      <c r="P232" s="192" t="s">
        <v>65</v>
      </c>
      <c r="Q232" s="192">
        <v>0.23000000417232513</v>
      </c>
      <c r="R232" s="192">
        <v>5</v>
      </c>
      <c r="S232" s="192">
        <f>VLOOKUP($H232,'RBSA Weights'!$A$2:$C$1406,3,FALSE)</f>
        <v>2003.7159999999999</v>
      </c>
    </row>
    <row r="233" spans="1:19">
      <c r="A233" s="192" t="s">
        <v>940</v>
      </c>
      <c r="C233" s="192">
        <v>0</v>
      </c>
      <c r="D233" s="192" t="s">
        <v>65</v>
      </c>
      <c r="E233" s="192">
        <v>0</v>
      </c>
      <c r="F233" s="192">
        <v>0</v>
      </c>
      <c r="G233" s="192">
        <v>96584</v>
      </c>
      <c r="H233" s="192">
        <v>11836</v>
      </c>
      <c r="I233" s="192">
        <v>1</v>
      </c>
      <c r="J233" s="192">
        <v>1240</v>
      </c>
      <c r="K233" s="192" t="s">
        <v>925</v>
      </c>
      <c r="L233" s="192" t="s">
        <v>927</v>
      </c>
      <c r="M233" s="192" t="s">
        <v>923</v>
      </c>
      <c r="N233" s="192" t="s">
        <v>65</v>
      </c>
      <c r="O233" s="192" t="s">
        <v>65</v>
      </c>
      <c r="P233" s="192" t="s">
        <v>65</v>
      </c>
      <c r="Q233" s="192">
        <v>0.23000000417232513</v>
      </c>
      <c r="R233" s="192">
        <v>5</v>
      </c>
      <c r="S233" s="192">
        <f>VLOOKUP($H233,'RBSA Weights'!$A$2:$C$1406,3,FALSE)</f>
        <v>2003.7159999999999</v>
      </c>
    </row>
    <row r="234" spans="1:19">
      <c r="A234" s="192" t="s">
        <v>940</v>
      </c>
      <c r="C234" s="192">
        <v>1</v>
      </c>
      <c r="D234" s="192" t="s">
        <v>921</v>
      </c>
      <c r="E234" s="192">
        <v>1</v>
      </c>
      <c r="F234" s="192">
        <v>0</v>
      </c>
      <c r="G234" s="192">
        <v>206613</v>
      </c>
      <c r="H234" s="192">
        <v>12144</v>
      </c>
      <c r="I234" s="192">
        <v>1</v>
      </c>
      <c r="J234" s="192">
        <v>1785</v>
      </c>
      <c r="K234" s="192" t="s">
        <v>918</v>
      </c>
      <c r="L234" s="192" t="s">
        <v>65</v>
      </c>
      <c r="M234" s="192" t="s">
        <v>919</v>
      </c>
      <c r="N234" s="192" t="s">
        <v>65</v>
      </c>
      <c r="O234" s="192" t="s">
        <v>65</v>
      </c>
      <c r="P234" s="192" t="s">
        <v>65</v>
      </c>
      <c r="Q234" s="192">
        <v>0.23000000417232513</v>
      </c>
      <c r="R234" s="192">
        <v>4.5</v>
      </c>
      <c r="S234" s="192">
        <f>VLOOKUP($H234,'RBSA Weights'!$A$2:$C$1406,3,FALSE)</f>
        <v>6932.7380000000003</v>
      </c>
    </row>
    <row r="235" spans="1:19">
      <c r="A235" s="192" t="s">
        <v>940</v>
      </c>
      <c r="C235" s="192">
        <v>0</v>
      </c>
      <c r="D235" s="192" t="s">
        <v>65</v>
      </c>
      <c r="E235" s="192">
        <v>1</v>
      </c>
      <c r="F235" s="192">
        <v>0</v>
      </c>
      <c r="G235" s="192">
        <v>196498</v>
      </c>
      <c r="H235" s="192">
        <v>11552</v>
      </c>
      <c r="I235" s="192">
        <v>1</v>
      </c>
      <c r="J235" s="192">
        <v>1124</v>
      </c>
      <c r="K235" s="192" t="s">
        <v>918</v>
      </c>
      <c r="L235" s="192" t="s">
        <v>65</v>
      </c>
      <c r="M235" s="192" t="s">
        <v>923</v>
      </c>
      <c r="N235" s="192" t="s">
        <v>65</v>
      </c>
      <c r="O235" s="192" t="s">
        <v>65</v>
      </c>
      <c r="P235" s="192" t="s">
        <v>65</v>
      </c>
      <c r="Q235" s="192">
        <v>0.23000000417232513</v>
      </c>
      <c r="R235" s="192">
        <v>3.0999999046325684</v>
      </c>
      <c r="S235" s="192">
        <f>VLOOKUP($H235,'RBSA Weights'!$A$2:$C$1406,3,FALSE)</f>
        <v>1464.694</v>
      </c>
    </row>
    <row r="236" spans="1:19">
      <c r="A236" s="192" t="s">
        <v>940</v>
      </c>
      <c r="C236" s="192">
        <v>0</v>
      </c>
      <c r="D236" s="192" t="s">
        <v>65</v>
      </c>
      <c r="E236" s="192">
        <v>1</v>
      </c>
      <c r="F236" s="192">
        <v>0</v>
      </c>
      <c r="G236" s="192">
        <v>206361</v>
      </c>
      <c r="H236" s="192">
        <v>14046</v>
      </c>
      <c r="I236" s="192">
        <v>1</v>
      </c>
      <c r="J236" s="192">
        <v>1524</v>
      </c>
      <c r="K236" s="192" t="s">
        <v>918</v>
      </c>
      <c r="L236" s="192" t="s">
        <v>65</v>
      </c>
      <c r="M236" s="192" t="s">
        <v>923</v>
      </c>
      <c r="N236" s="192" t="s">
        <v>65</v>
      </c>
      <c r="O236" s="192" t="s">
        <v>65</v>
      </c>
      <c r="P236" s="192" t="s">
        <v>65</v>
      </c>
      <c r="Q236" s="192">
        <v>0.23000000417232513</v>
      </c>
      <c r="R236" s="192">
        <v>3.0999999046325684</v>
      </c>
      <c r="S236" s="192">
        <f>VLOOKUP($H236,'RBSA Weights'!$A$2:$C$1406,3,FALSE)</f>
        <v>1464.694</v>
      </c>
    </row>
    <row r="237" spans="1:19">
      <c r="A237" s="192" t="s">
        <v>940</v>
      </c>
      <c r="C237" s="192">
        <v>0</v>
      </c>
      <c r="D237" s="192" t="s">
        <v>65</v>
      </c>
      <c r="E237" s="192">
        <v>1</v>
      </c>
      <c r="F237" s="192">
        <v>1</v>
      </c>
      <c r="G237" s="192">
        <v>74361</v>
      </c>
      <c r="H237" s="192">
        <v>22774</v>
      </c>
      <c r="I237" s="192">
        <v>1</v>
      </c>
      <c r="J237" s="192">
        <v>1401</v>
      </c>
      <c r="K237" s="192" t="s">
        <v>925</v>
      </c>
      <c r="L237" s="192" t="s">
        <v>930</v>
      </c>
      <c r="M237" s="192" t="s">
        <v>923</v>
      </c>
      <c r="N237" s="192" t="s">
        <v>65</v>
      </c>
      <c r="O237" s="192" t="s">
        <v>65</v>
      </c>
      <c r="P237" s="192" t="s">
        <v>65</v>
      </c>
      <c r="Q237" s="192">
        <v>0.23000000417232513</v>
      </c>
      <c r="R237" s="192">
        <v>4.5</v>
      </c>
      <c r="S237" s="192">
        <f>VLOOKUP($H237,'RBSA Weights'!$A$2:$C$1406,3,FALSE)</f>
        <v>1144.6790000000001</v>
      </c>
    </row>
    <row r="238" spans="1:19">
      <c r="A238" s="192" t="s">
        <v>940</v>
      </c>
      <c r="C238" s="192">
        <v>0</v>
      </c>
      <c r="D238" s="192" t="s">
        <v>65</v>
      </c>
      <c r="E238" s="192">
        <v>1</v>
      </c>
      <c r="F238" s="192">
        <v>0</v>
      </c>
      <c r="G238" s="192">
        <v>95493</v>
      </c>
      <c r="H238" s="192">
        <v>10408</v>
      </c>
      <c r="I238" s="192">
        <v>1</v>
      </c>
      <c r="J238" s="192">
        <v>1983</v>
      </c>
      <c r="K238" s="192" t="s">
        <v>918</v>
      </c>
      <c r="L238" s="192" t="s">
        <v>737</v>
      </c>
      <c r="M238" s="192" t="s">
        <v>923</v>
      </c>
      <c r="N238" s="192" t="s">
        <v>65</v>
      </c>
      <c r="O238" s="192" t="s">
        <v>65</v>
      </c>
      <c r="P238" s="192" t="s">
        <v>65</v>
      </c>
      <c r="Q238" s="192">
        <v>0.23000000417232513</v>
      </c>
      <c r="R238" s="192">
        <v>3.0999999046325684</v>
      </c>
      <c r="S238" s="192">
        <f>VLOOKUP($H238,'RBSA Weights'!$A$2:$C$1406,3,FALSE)</f>
        <v>4956.4930000000004</v>
      </c>
    </row>
    <row r="239" spans="1:19">
      <c r="A239" s="192" t="s">
        <v>940</v>
      </c>
      <c r="C239" s="192">
        <v>1</v>
      </c>
      <c r="D239" s="192" t="s">
        <v>941</v>
      </c>
      <c r="E239" s="192">
        <v>1</v>
      </c>
      <c r="F239" s="192">
        <v>1</v>
      </c>
      <c r="G239" s="192">
        <v>192843</v>
      </c>
      <c r="H239" s="192">
        <v>22222</v>
      </c>
      <c r="I239" s="192">
        <v>1</v>
      </c>
      <c r="J239" s="192">
        <v>728</v>
      </c>
      <c r="K239" s="192" t="s">
        <v>925</v>
      </c>
      <c r="L239" s="192" t="s">
        <v>922</v>
      </c>
      <c r="M239" s="192" t="s">
        <v>919</v>
      </c>
      <c r="N239" s="192" t="s">
        <v>65</v>
      </c>
      <c r="O239" s="192" t="s">
        <v>65</v>
      </c>
      <c r="P239" s="192" t="s">
        <v>65</v>
      </c>
      <c r="Q239" s="192">
        <v>0.23000000417232513</v>
      </c>
      <c r="R239" s="192">
        <v>7.5999999046325684</v>
      </c>
      <c r="S239" s="192">
        <f>VLOOKUP($H239,'RBSA Weights'!$A$2:$C$1406,3,FALSE)</f>
        <v>1904.288</v>
      </c>
    </row>
    <row r="240" spans="1:19">
      <c r="A240" s="192" t="s">
        <v>940</v>
      </c>
      <c r="C240" s="192">
        <v>0</v>
      </c>
      <c r="D240" s="192" t="s">
        <v>65</v>
      </c>
      <c r="E240" s="192">
        <v>0</v>
      </c>
      <c r="G240" s="192">
        <v>209010</v>
      </c>
      <c r="H240" s="192">
        <v>22179</v>
      </c>
      <c r="I240" s="192">
        <v>2</v>
      </c>
      <c r="J240" s="192">
        <v>404</v>
      </c>
      <c r="K240" s="192" t="s">
        <v>925</v>
      </c>
      <c r="L240" s="192" t="s">
        <v>922</v>
      </c>
      <c r="M240" s="192" t="s">
        <v>923</v>
      </c>
      <c r="N240" s="192" t="s">
        <v>65</v>
      </c>
      <c r="O240" s="192" t="s">
        <v>65</v>
      </c>
      <c r="P240" s="192" t="s">
        <v>65</v>
      </c>
      <c r="Q240" s="192">
        <v>0.23000000417232513</v>
      </c>
      <c r="R240" s="192">
        <v>5</v>
      </c>
      <c r="S240" s="192">
        <f>VLOOKUP($H240,'RBSA Weights'!$A$2:$C$1406,3,FALSE)</f>
        <v>3785.7640000000001</v>
      </c>
    </row>
    <row r="241" spans="1:19">
      <c r="A241" s="192" t="s">
        <v>940</v>
      </c>
      <c r="C241" s="192">
        <v>0</v>
      </c>
      <c r="D241" s="192" t="s">
        <v>65</v>
      </c>
      <c r="E241" s="192">
        <v>0</v>
      </c>
      <c r="G241" s="192">
        <v>239225</v>
      </c>
      <c r="H241" s="192">
        <v>14117</v>
      </c>
      <c r="I241" s="192">
        <v>1</v>
      </c>
      <c r="J241" s="192">
        <v>936</v>
      </c>
      <c r="K241" s="192" t="s">
        <v>925</v>
      </c>
      <c r="L241" s="192" t="s">
        <v>737</v>
      </c>
      <c r="M241" s="192" t="s">
        <v>919</v>
      </c>
      <c r="N241" s="192" t="s">
        <v>65</v>
      </c>
      <c r="O241" s="192" t="s">
        <v>65</v>
      </c>
      <c r="P241" s="192" t="s">
        <v>65</v>
      </c>
      <c r="Q241" s="192">
        <v>0.23000000417232513</v>
      </c>
      <c r="R241" s="192">
        <v>5</v>
      </c>
      <c r="S241" s="192">
        <f>VLOOKUP($H241,'RBSA Weights'!$A$2:$C$1406,3,FALSE)</f>
        <v>1150.8789999999999</v>
      </c>
    </row>
    <row r="242" spans="1:19">
      <c r="A242" s="192" t="s">
        <v>940</v>
      </c>
      <c r="C242" s="192">
        <v>0</v>
      </c>
      <c r="D242" s="192" t="s">
        <v>65</v>
      </c>
      <c r="E242" s="192">
        <v>1</v>
      </c>
      <c r="F242" s="192">
        <v>1</v>
      </c>
      <c r="G242" s="192">
        <v>226636</v>
      </c>
      <c r="H242" s="192">
        <v>22061</v>
      </c>
      <c r="I242" s="192">
        <v>1</v>
      </c>
      <c r="J242" s="192">
        <v>416</v>
      </c>
      <c r="K242" s="192" t="s">
        <v>925</v>
      </c>
      <c r="L242" s="192" t="s">
        <v>927</v>
      </c>
      <c r="M242" s="192" t="s">
        <v>919</v>
      </c>
      <c r="N242" s="192" t="s">
        <v>65</v>
      </c>
      <c r="O242" s="192" t="s">
        <v>65</v>
      </c>
      <c r="P242" s="192" t="s">
        <v>65</v>
      </c>
      <c r="Q242" s="192">
        <v>0.23000000417232513</v>
      </c>
      <c r="R242" s="192">
        <v>4.5</v>
      </c>
      <c r="S242" s="192">
        <f>VLOOKUP($H242,'RBSA Weights'!$A$2:$C$1406,3,FALSE)</f>
        <v>1904.288</v>
      </c>
    </row>
    <row r="243" spans="1:19">
      <c r="A243" s="192" t="s">
        <v>940</v>
      </c>
      <c r="C243" s="192">
        <v>1</v>
      </c>
      <c r="D243" s="192" t="s">
        <v>921</v>
      </c>
      <c r="E243" s="192">
        <v>1</v>
      </c>
      <c r="F243" s="192">
        <v>0</v>
      </c>
      <c r="G243" s="192">
        <v>88049</v>
      </c>
      <c r="H243" s="192">
        <v>22728</v>
      </c>
      <c r="I243" s="192">
        <v>1</v>
      </c>
      <c r="J243" s="192">
        <v>1726</v>
      </c>
      <c r="K243" s="192" t="s">
        <v>925</v>
      </c>
      <c r="L243" s="192" t="s">
        <v>930</v>
      </c>
      <c r="M243" s="192" t="s">
        <v>923</v>
      </c>
      <c r="N243" s="192" t="s">
        <v>924</v>
      </c>
      <c r="O243" s="192" t="s">
        <v>65</v>
      </c>
      <c r="P243" s="192" t="s">
        <v>65</v>
      </c>
      <c r="Q243" s="192">
        <v>0.23000000417232513</v>
      </c>
      <c r="R243" s="192">
        <v>4.5</v>
      </c>
      <c r="S243" s="192">
        <f>VLOOKUP($H243,'RBSA Weights'!$A$2:$C$1406,3,FALSE)</f>
        <v>1144.6790000000001</v>
      </c>
    </row>
    <row r="244" spans="1:19">
      <c r="A244" s="192" t="s">
        <v>940</v>
      </c>
      <c r="C244" s="192">
        <v>0</v>
      </c>
      <c r="D244" s="192" t="s">
        <v>65</v>
      </c>
      <c r="E244" s="192">
        <v>0</v>
      </c>
      <c r="G244" s="192">
        <v>689463</v>
      </c>
      <c r="H244" s="192">
        <v>24833</v>
      </c>
      <c r="I244" s="192">
        <v>1</v>
      </c>
      <c r="J244" s="192">
        <v>1494</v>
      </c>
      <c r="K244" s="192" t="s">
        <v>925</v>
      </c>
      <c r="L244" s="192" t="s">
        <v>737</v>
      </c>
      <c r="M244" s="192" t="s">
        <v>919</v>
      </c>
      <c r="N244" s="192" t="s">
        <v>65</v>
      </c>
      <c r="O244" s="192" t="s">
        <v>65</v>
      </c>
      <c r="P244" s="192" t="s">
        <v>65</v>
      </c>
      <c r="Q244" s="192">
        <v>0.23000000417232513</v>
      </c>
      <c r="R244" s="192">
        <v>5</v>
      </c>
      <c r="S244" s="192">
        <f>VLOOKUP($H244,'RBSA Weights'!$A$2:$C$1406,3,FALSE)</f>
        <v>12271.31</v>
      </c>
    </row>
    <row r="245" spans="1:19">
      <c r="A245" s="192" t="s">
        <v>940</v>
      </c>
      <c r="C245" s="192">
        <v>0</v>
      </c>
      <c r="D245" s="192" t="s">
        <v>65</v>
      </c>
      <c r="E245" s="192">
        <v>0</v>
      </c>
      <c r="G245" s="192">
        <v>160997</v>
      </c>
      <c r="H245" s="192">
        <v>21906</v>
      </c>
      <c r="I245" s="192">
        <v>1</v>
      </c>
      <c r="J245" s="192">
        <v>372</v>
      </c>
      <c r="K245" s="192" t="s">
        <v>65</v>
      </c>
      <c r="L245" s="192" t="s">
        <v>65</v>
      </c>
      <c r="M245" s="192" t="s">
        <v>919</v>
      </c>
      <c r="N245" s="192" t="s">
        <v>65</v>
      </c>
      <c r="O245" s="192" t="s">
        <v>65</v>
      </c>
      <c r="P245" s="192" t="s">
        <v>65</v>
      </c>
      <c r="Q245" s="192">
        <v>0.23000000417232513</v>
      </c>
      <c r="R245" s="192">
        <v>5</v>
      </c>
      <c r="S245" s="192">
        <f>VLOOKUP($H245,'RBSA Weights'!$A$2:$C$1406,3,FALSE)</f>
        <v>2130.886</v>
      </c>
    </row>
    <row r="246" spans="1:19">
      <c r="A246" s="192" t="s">
        <v>940</v>
      </c>
      <c r="C246" s="192">
        <v>0</v>
      </c>
      <c r="D246" s="192" t="s">
        <v>65</v>
      </c>
      <c r="E246" s="192">
        <v>1</v>
      </c>
      <c r="F246" s="192">
        <v>0</v>
      </c>
      <c r="G246" s="192">
        <v>677725</v>
      </c>
      <c r="H246" s="192">
        <v>23284</v>
      </c>
      <c r="I246" s="192">
        <v>1</v>
      </c>
      <c r="J246" s="192">
        <v>1248</v>
      </c>
      <c r="K246" s="192" t="s">
        <v>925</v>
      </c>
      <c r="L246" s="192" t="s">
        <v>922</v>
      </c>
      <c r="M246" s="192" t="s">
        <v>919</v>
      </c>
      <c r="N246" s="192" t="s">
        <v>65</v>
      </c>
      <c r="O246" s="192" t="s">
        <v>65</v>
      </c>
      <c r="P246" s="192" t="s">
        <v>65</v>
      </c>
      <c r="Q246" s="192">
        <v>0.23000000417232513</v>
      </c>
      <c r="R246" s="192">
        <v>3.0999999046325684</v>
      </c>
      <c r="S246" s="192">
        <f>VLOOKUP($H246,'RBSA Weights'!$A$2:$C$1406,3,FALSE)</f>
        <v>3785.7640000000001</v>
      </c>
    </row>
    <row r="247" spans="1:19">
      <c r="A247" s="192" t="s">
        <v>940</v>
      </c>
      <c r="C247" s="192">
        <v>0</v>
      </c>
      <c r="D247" s="192" t="s">
        <v>65</v>
      </c>
      <c r="E247" s="192">
        <v>1</v>
      </c>
      <c r="F247" s="192">
        <v>0</v>
      </c>
      <c r="G247" s="192">
        <v>135430</v>
      </c>
      <c r="H247" s="192">
        <v>21598</v>
      </c>
      <c r="I247" s="192">
        <v>1</v>
      </c>
      <c r="J247" s="192">
        <v>1423</v>
      </c>
      <c r="K247" s="192" t="s">
        <v>918</v>
      </c>
      <c r="L247" s="192" t="s">
        <v>737</v>
      </c>
      <c r="M247" s="192" t="s">
        <v>919</v>
      </c>
      <c r="N247" s="192" t="s">
        <v>65</v>
      </c>
      <c r="O247" s="192" t="s">
        <v>65</v>
      </c>
      <c r="P247" s="192" t="s">
        <v>65</v>
      </c>
      <c r="Q247" s="192">
        <v>0.23000000417232513</v>
      </c>
      <c r="R247" s="192">
        <v>3.0999999046325684</v>
      </c>
      <c r="S247" s="192">
        <f>VLOOKUP($H247,'RBSA Weights'!$A$2:$C$1406,3,FALSE)</f>
        <v>8559.1039999999994</v>
      </c>
    </row>
    <row r="248" spans="1:19">
      <c r="A248" s="192" t="s">
        <v>940</v>
      </c>
      <c r="C248" s="192">
        <v>1</v>
      </c>
      <c r="D248" s="192" t="s">
        <v>941</v>
      </c>
      <c r="E248" s="192">
        <v>1</v>
      </c>
      <c r="F248" s="192">
        <v>1</v>
      </c>
      <c r="G248" s="192">
        <v>200370</v>
      </c>
      <c r="H248" s="192">
        <v>21950</v>
      </c>
      <c r="I248" s="192">
        <v>1</v>
      </c>
      <c r="J248" s="192">
        <v>2125</v>
      </c>
      <c r="K248" s="192" t="s">
        <v>925</v>
      </c>
      <c r="L248" s="192" t="s">
        <v>927</v>
      </c>
      <c r="M248" s="192" t="s">
        <v>923</v>
      </c>
      <c r="N248" s="192" t="s">
        <v>65</v>
      </c>
      <c r="O248" s="192" t="s">
        <v>65</v>
      </c>
      <c r="P248" s="192" t="s">
        <v>65</v>
      </c>
      <c r="Q248" s="192">
        <v>0.23000000417232513</v>
      </c>
      <c r="R248" s="192">
        <v>7.5999999046325684</v>
      </c>
      <c r="S248" s="192">
        <f>VLOOKUP($H248,'RBSA Weights'!$A$2:$C$1406,3,FALSE)</f>
        <v>2130.886</v>
      </c>
    </row>
    <row r="249" spans="1:19">
      <c r="A249" s="192" t="s">
        <v>940</v>
      </c>
      <c r="C249" s="192">
        <v>1</v>
      </c>
      <c r="D249" s="192" t="s">
        <v>921</v>
      </c>
      <c r="E249" s="192">
        <v>0</v>
      </c>
      <c r="G249" s="192">
        <v>137842</v>
      </c>
      <c r="H249" s="192">
        <v>23824</v>
      </c>
      <c r="I249" s="192">
        <v>1</v>
      </c>
      <c r="J249" s="192">
        <v>720</v>
      </c>
      <c r="K249" s="192" t="s">
        <v>925</v>
      </c>
      <c r="L249" s="192" t="s">
        <v>927</v>
      </c>
      <c r="M249" s="192" t="s">
        <v>923</v>
      </c>
      <c r="N249" s="192" t="s">
        <v>65</v>
      </c>
      <c r="O249" s="192" t="s">
        <v>65</v>
      </c>
      <c r="P249" s="192" t="s">
        <v>65</v>
      </c>
      <c r="Q249" s="192">
        <v>0.23000000417232513</v>
      </c>
      <c r="R249" s="192">
        <v>10.300000190734863</v>
      </c>
      <c r="S249" s="192">
        <f>VLOOKUP($H249,'RBSA Weights'!$A$2:$C$1406,3,FALSE)</f>
        <v>1144.6790000000001</v>
      </c>
    </row>
    <row r="250" spans="1:19">
      <c r="A250" s="192" t="s">
        <v>940</v>
      </c>
      <c r="C250" s="192">
        <v>0</v>
      </c>
      <c r="D250" s="192" t="s">
        <v>65</v>
      </c>
      <c r="E250" s="192">
        <v>1</v>
      </c>
      <c r="F250" s="192">
        <v>0</v>
      </c>
      <c r="G250" s="192">
        <v>45753</v>
      </c>
      <c r="H250" s="192">
        <v>23835</v>
      </c>
      <c r="I250" s="192">
        <v>1</v>
      </c>
      <c r="J250" s="192">
        <v>210</v>
      </c>
      <c r="K250" s="192" t="s">
        <v>925</v>
      </c>
      <c r="L250" s="192" t="s">
        <v>922</v>
      </c>
      <c r="M250" s="192" t="s">
        <v>923</v>
      </c>
      <c r="N250" s="192" t="s">
        <v>65</v>
      </c>
      <c r="O250" s="192" t="s">
        <v>65</v>
      </c>
      <c r="P250" s="192" t="s">
        <v>65</v>
      </c>
      <c r="Q250" s="192">
        <v>0.23000000417232513</v>
      </c>
      <c r="R250" s="192">
        <v>3.0999999046325684</v>
      </c>
      <c r="S250" s="192">
        <f>VLOOKUP($H250,'RBSA Weights'!$A$2:$C$1406,3,FALSE)</f>
        <v>8264.9449999999997</v>
      </c>
    </row>
    <row r="251" spans="1:19">
      <c r="A251" s="192" t="s">
        <v>940</v>
      </c>
      <c r="C251" s="192">
        <v>0</v>
      </c>
      <c r="D251" s="192" t="s">
        <v>65</v>
      </c>
      <c r="E251" s="192">
        <v>1</v>
      </c>
      <c r="F251" s="192">
        <v>1</v>
      </c>
      <c r="G251" s="192">
        <v>49071</v>
      </c>
      <c r="H251" s="192">
        <v>11900</v>
      </c>
      <c r="I251" s="192">
        <v>1</v>
      </c>
      <c r="J251" s="192">
        <v>925</v>
      </c>
      <c r="K251" s="192" t="s">
        <v>918</v>
      </c>
      <c r="L251" s="192" t="s">
        <v>930</v>
      </c>
      <c r="M251" s="192" t="s">
        <v>919</v>
      </c>
      <c r="N251" s="192" t="s">
        <v>65</v>
      </c>
      <c r="O251" s="192" t="s">
        <v>65</v>
      </c>
      <c r="P251" s="192" t="s">
        <v>65</v>
      </c>
      <c r="Q251" s="192">
        <v>0.23000000417232513</v>
      </c>
      <c r="R251" s="192">
        <v>4.5</v>
      </c>
      <c r="S251" s="192">
        <f>VLOOKUP($H251,'RBSA Weights'!$A$2:$C$1406,3,FALSE)</f>
        <v>1524.7619999999999</v>
      </c>
    </row>
    <row r="252" spans="1:19">
      <c r="A252" s="192" t="s">
        <v>940</v>
      </c>
      <c r="C252" s="192">
        <v>0</v>
      </c>
      <c r="D252" s="192" t="s">
        <v>65</v>
      </c>
      <c r="E252" s="192">
        <v>0</v>
      </c>
      <c r="F252" s="192">
        <v>0</v>
      </c>
      <c r="G252" s="192">
        <v>49797</v>
      </c>
      <c r="H252" s="192">
        <v>22226</v>
      </c>
      <c r="I252" s="192">
        <v>1</v>
      </c>
      <c r="J252" s="192">
        <v>1800</v>
      </c>
      <c r="K252" s="192" t="s">
        <v>918</v>
      </c>
      <c r="L252" s="192" t="s">
        <v>927</v>
      </c>
      <c r="M252" s="192" t="s">
        <v>923</v>
      </c>
      <c r="N252" s="192" t="s">
        <v>65</v>
      </c>
      <c r="O252" s="192" t="s">
        <v>65</v>
      </c>
      <c r="P252" s="192" t="s">
        <v>65</v>
      </c>
      <c r="Q252" s="192">
        <v>0.23000000417232513</v>
      </c>
      <c r="R252" s="192">
        <v>5</v>
      </c>
      <c r="S252" s="192">
        <f>VLOOKUP($H252,'RBSA Weights'!$A$2:$C$1406,3,FALSE)</f>
        <v>3785.7640000000001</v>
      </c>
    </row>
    <row r="253" spans="1:19">
      <c r="A253" s="192" t="s">
        <v>940</v>
      </c>
      <c r="C253" s="192">
        <v>0</v>
      </c>
      <c r="D253" s="192" t="s">
        <v>65</v>
      </c>
      <c r="E253" s="192">
        <v>1</v>
      </c>
      <c r="F253" s="192">
        <v>0</v>
      </c>
      <c r="G253" s="192">
        <v>190364</v>
      </c>
      <c r="H253" s="192">
        <v>11352</v>
      </c>
      <c r="I253" s="192">
        <v>1</v>
      </c>
      <c r="J253" s="192">
        <v>1478</v>
      </c>
      <c r="K253" s="192" t="s">
        <v>925</v>
      </c>
      <c r="L253" s="192" t="s">
        <v>922</v>
      </c>
      <c r="M253" s="192" t="s">
        <v>919</v>
      </c>
      <c r="N253" s="192" t="s">
        <v>65</v>
      </c>
      <c r="O253" s="192" t="s">
        <v>65</v>
      </c>
      <c r="P253" s="192" t="s">
        <v>65</v>
      </c>
      <c r="Q253" s="192">
        <v>0.23000000417232513</v>
      </c>
      <c r="R253" s="192">
        <v>3.0999999046325684</v>
      </c>
      <c r="S253" s="192">
        <f>VLOOKUP($H253,'RBSA Weights'!$A$2:$C$1406,3,FALSE)</f>
        <v>6932.7380000000003</v>
      </c>
    </row>
    <row r="254" spans="1:19">
      <c r="A254" s="192" t="s">
        <v>940</v>
      </c>
      <c r="C254" s="192">
        <v>0</v>
      </c>
      <c r="D254" s="192" t="s">
        <v>65</v>
      </c>
      <c r="E254" s="192">
        <v>1</v>
      </c>
      <c r="F254" s="192">
        <v>0</v>
      </c>
      <c r="G254" s="192">
        <v>84208</v>
      </c>
      <c r="H254" s="192">
        <v>20878</v>
      </c>
      <c r="I254" s="192">
        <v>1</v>
      </c>
      <c r="J254" s="192">
        <v>1632</v>
      </c>
      <c r="K254" s="192" t="s">
        <v>925</v>
      </c>
      <c r="L254" s="192" t="s">
        <v>927</v>
      </c>
      <c r="M254" s="192" t="s">
        <v>923</v>
      </c>
      <c r="N254" s="192" t="s">
        <v>65</v>
      </c>
      <c r="O254" s="192" t="s">
        <v>65</v>
      </c>
      <c r="P254" s="192" t="s">
        <v>65</v>
      </c>
      <c r="Q254" s="192">
        <v>0.23000000417232513</v>
      </c>
      <c r="R254" s="192">
        <v>3.0999999046325684</v>
      </c>
      <c r="S254" s="192">
        <f>VLOOKUP($H254,'RBSA Weights'!$A$2:$C$1406,3,FALSE)</f>
        <v>1904.288</v>
      </c>
    </row>
    <row r="255" spans="1:19">
      <c r="A255" s="192" t="s">
        <v>940</v>
      </c>
      <c r="C255" s="192">
        <v>0</v>
      </c>
      <c r="D255" s="192" t="s">
        <v>65</v>
      </c>
      <c r="E255" s="192">
        <v>1</v>
      </c>
      <c r="F255" s="192">
        <v>0</v>
      </c>
      <c r="G255" s="192">
        <v>127352</v>
      </c>
      <c r="H255" s="192">
        <v>21896</v>
      </c>
      <c r="I255" s="192">
        <v>1</v>
      </c>
      <c r="J255" s="192">
        <v>1053</v>
      </c>
      <c r="K255" s="192" t="s">
        <v>925</v>
      </c>
      <c r="L255" s="192" t="s">
        <v>927</v>
      </c>
      <c r="M255" s="192" t="s">
        <v>923</v>
      </c>
      <c r="N255" s="192" t="s">
        <v>65</v>
      </c>
      <c r="O255" s="192" t="s">
        <v>65</v>
      </c>
      <c r="P255" s="192" t="s">
        <v>65</v>
      </c>
      <c r="Q255" s="192">
        <v>0.23000000417232513</v>
      </c>
      <c r="R255" s="192">
        <v>3.0999999046325684</v>
      </c>
      <c r="S255" s="192">
        <f>VLOOKUP($H255,'RBSA Weights'!$A$2:$C$1406,3,FALSE)</f>
        <v>1144.6790000000001</v>
      </c>
    </row>
    <row r="256" spans="1:19">
      <c r="A256" s="192" t="s">
        <v>940</v>
      </c>
      <c r="C256" s="192">
        <v>0</v>
      </c>
      <c r="D256" s="192" t="s">
        <v>65</v>
      </c>
      <c r="E256" s="192">
        <v>1</v>
      </c>
      <c r="F256" s="192">
        <v>1</v>
      </c>
      <c r="G256" s="192">
        <v>57177</v>
      </c>
      <c r="H256" s="192">
        <v>11339</v>
      </c>
      <c r="I256" s="192">
        <v>1</v>
      </c>
      <c r="J256" s="192">
        <v>1130</v>
      </c>
      <c r="K256" s="192" t="s">
        <v>925</v>
      </c>
      <c r="L256" s="192" t="s">
        <v>922</v>
      </c>
      <c r="M256" s="192" t="s">
        <v>923</v>
      </c>
      <c r="N256" s="192" t="s">
        <v>65</v>
      </c>
      <c r="O256" s="192" t="s">
        <v>65</v>
      </c>
      <c r="P256" s="192" t="s">
        <v>65</v>
      </c>
      <c r="Q256" s="192">
        <v>0.23000000417232513</v>
      </c>
      <c r="R256" s="192">
        <v>4.5</v>
      </c>
      <c r="S256" s="192">
        <f>VLOOKUP($H256,'RBSA Weights'!$A$2:$C$1406,3,FALSE)</f>
        <v>1524.7619999999999</v>
      </c>
    </row>
    <row r="257" spans="1:19">
      <c r="A257" s="192" t="s">
        <v>940</v>
      </c>
      <c r="C257" s="192">
        <v>0</v>
      </c>
      <c r="D257" s="192" t="s">
        <v>65</v>
      </c>
      <c r="E257" s="192">
        <v>0</v>
      </c>
      <c r="G257" s="192">
        <v>725550</v>
      </c>
      <c r="H257" s="192">
        <v>21319</v>
      </c>
      <c r="I257" s="192">
        <v>1</v>
      </c>
      <c r="J257" s="192">
        <v>858</v>
      </c>
      <c r="K257" s="192" t="s">
        <v>918</v>
      </c>
      <c r="L257" s="192" t="s">
        <v>65</v>
      </c>
      <c r="M257" s="192" t="s">
        <v>919</v>
      </c>
      <c r="N257" s="192" t="s">
        <v>65</v>
      </c>
      <c r="O257" s="192" t="s">
        <v>65</v>
      </c>
      <c r="P257" s="192" t="s">
        <v>65</v>
      </c>
      <c r="Q257" s="192">
        <v>0.23000000417232513</v>
      </c>
      <c r="R257" s="192">
        <v>5</v>
      </c>
      <c r="S257" s="192">
        <f>VLOOKUP($H257,'RBSA Weights'!$A$2:$C$1406,3,FALSE)</f>
        <v>2130.886</v>
      </c>
    </row>
    <row r="258" spans="1:19">
      <c r="A258" s="192" t="s">
        <v>940</v>
      </c>
      <c r="C258" s="192">
        <v>0</v>
      </c>
      <c r="D258" s="192" t="s">
        <v>65</v>
      </c>
      <c r="E258" s="192">
        <v>0</v>
      </c>
      <c r="G258" s="192">
        <v>154929</v>
      </c>
      <c r="H258" s="192">
        <v>24153</v>
      </c>
      <c r="I258" s="192">
        <v>1</v>
      </c>
      <c r="J258" s="192">
        <v>1760</v>
      </c>
      <c r="K258" s="192" t="s">
        <v>925</v>
      </c>
      <c r="L258" s="192" t="s">
        <v>737</v>
      </c>
      <c r="M258" s="192" t="s">
        <v>919</v>
      </c>
      <c r="N258" s="192" t="s">
        <v>65</v>
      </c>
      <c r="O258" s="192" t="s">
        <v>65</v>
      </c>
      <c r="P258" s="192" t="s">
        <v>65</v>
      </c>
      <c r="Q258" s="192">
        <v>0.23000000417232513</v>
      </c>
      <c r="R258" s="192">
        <v>5</v>
      </c>
      <c r="S258" s="192">
        <f>VLOOKUP($H258,'RBSA Weights'!$A$2:$C$1406,3,FALSE)</f>
        <v>1144.6790000000001</v>
      </c>
    </row>
    <row r="259" spans="1:19">
      <c r="A259" s="192" t="s">
        <v>940</v>
      </c>
      <c r="C259" s="192">
        <v>0</v>
      </c>
      <c r="D259" s="192" t="s">
        <v>65</v>
      </c>
      <c r="E259" s="192">
        <v>1</v>
      </c>
      <c r="F259" s="192">
        <v>0</v>
      </c>
      <c r="G259" s="192">
        <v>54535</v>
      </c>
      <c r="H259" s="192">
        <v>23196</v>
      </c>
      <c r="I259" s="192">
        <v>1</v>
      </c>
      <c r="J259" s="192">
        <v>1512</v>
      </c>
      <c r="K259" s="192" t="s">
        <v>918</v>
      </c>
      <c r="L259" s="192" t="s">
        <v>922</v>
      </c>
      <c r="M259" s="192" t="s">
        <v>919</v>
      </c>
      <c r="N259" s="192" t="s">
        <v>65</v>
      </c>
      <c r="O259" s="192" t="s">
        <v>65</v>
      </c>
      <c r="P259" s="192" t="s">
        <v>65</v>
      </c>
      <c r="Q259" s="192">
        <v>0.23000000417232513</v>
      </c>
      <c r="R259" s="192">
        <v>3.0999999046325684</v>
      </c>
      <c r="S259" s="192">
        <f>VLOOKUP($H259,'RBSA Weights'!$A$2:$C$1406,3,FALSE)</f>
        <v>2079.9929999999999</v>
      </c>
    </row>
    <row r="260" spans="1:19">
      <c r="A260" s="192" t="s">
        <v>940</v>
      </c>
      <c r="C260" s="192">
        <v>0</v>
      </c>
      <c r="D260" s="192" t="s">
        <v>65</v>
      </c>
      <c r="E260" s="192">
        <v>1</v>
      </c>
      <c r="F260" s="192">
        <v>0</v>
      </c>
      <c r="G260" s="192">
        <v>57049</v>
      </c>
      <c r="H260" s="192">
        <v>11210</v>
      </c>
      <c r="I260" s="192">
        <v>1</v>
      </c>
      <c r="J260" s="192">
        <v>560</v>
      </c>
      <c r="K260" s="192" t="s">
        <v>925</v>
      </c>
      <c r="L260" s="192" t="s">
        <v>737</v>
      </c>
      <c r="M260" s="192" t="s">
        <v>923</v>
      </c>
      <c r="N260" s="192" t="s">
        <v>65</v>
      </c>
      <c r="O260" s="192" t="s">
        <v>65</v>
      </c>
      <c r="P260" s="192" t="s">
        <v>65</v>
      </c>
      <c r="Q260" s="192">
        <v>0.23000000417232513</v>
      </c>
      <c r="R260" s="192">
        <v>3.0999999046325684</v>
      </c>
      <c r="S260" s="192">
        <f>VLOOKUP($H260,'RBSA Weights'!$A$2:$C$1406,3,FALSE)</f>
        <v>1524.7619999999999</v>
      </c>
    </row>
    <row r="261" spans="1:19">
      <c r="A261" s="192" t="s">
        <v>940</v>
      </c>
      <c r="C261" s="192">
        <v>0</v>
      </c>
      <c r="D261" s="192" t="s">
        <v>65</v>
      </c>
      <c r="E261" s="192">
        <v>1</v>
      </c>
      <c r="F261" s="192">
        <v>1</v>
      </c>
      <c r="G261" s="192">
        <v>200182</v>
      </c>
      <c r="H261" s="192">
        <v>21390</v>
      </c>
      <c r="I261" s="192">
        <v>1</v>
      </c>
      <c r="J261" s="192">
        <v>1378</v>
      </c>
      <c r="K261" s="192" t="s">
        <v>925</v>
      </c>
      <c r="L261" s="192" t="s">
        <v>927</v>
      </c>
      <c r="M261" s="192" t="s">
        <v>923</v>
      </c>
      <c r="N261" s="192" t="s">
        <v>65</v>
      </c>
      <c r="O261" s="192" t="s">
        <v>65</v>
      </c>
      <c r="P261" s="192" t="s">
        <v>65</v>
      </c>
      <c r="Q261" s="192">
        <v>0.23000000417232513</v>
      </c>
      <c r="R261" s="192">
        <v>4.5</v>
      </c>
      <c r="S261" s="192">
        <f>VLOOKUP($H261,'RBSA Weights'!$A$2:$C$1406,3,FALSE)</f>
        <v>2130.886</v>
      </c>
    </row>
    <row r="262" spans="1:19">
      <c r="A262" s="192" t="s">
        <v>940</v>
      </c>
      <c r="C262" s="192">
        <v>0</v>
      </c>
      <c r="D262" s="192" t="s">
        <v>65</v>
      </c>
      <c r="E262" s="192">
        <v>0</v>
      </c>
      <c r="G262" s="192">
        <v>142336</v>
      </c>
      <c r="H262" s="192">
        <v>22352</v>
      </c>
      <c r="I262" s="192">
        <v>1</v>
      </c>
      <c r="J262" s="192">
        <v>787</v>
      </c>
      <c r="K262" s="192" t="s">
        <v>918</v>
      </c>
      <c r="L262" s="192" t="s">
        <v>65</v>
      </c>
      <c r="M262" s="192" t="s">
        <v>919</v>
      </c>
      <c r="N262" s="192" t="s">
        <v>65</v>
      </c>
      <c r="O262" s="192" t="s">
        <v>65</v>
      </c>
      <c r="P262" s="192" t="s">
        <v>65</v>
      </c>
      <c r="Q262" s="192">
        <v>0.23000000417232513</v>
      </c>
      <c r="R262" s="192">
        <v>5</v>
      </c>
      <c r="S262" s="192">
        <f>VLOOKUP($H262,'RBSA Weights'!$A$2:$C$1406,3,FALSE)</f>
        <v>1192.4649999999999</v>
      </c>
    </row>
    <row r="263" spans="1:19">
      <c r="A263" s="192" t="s">
        <v>940</v>
      </c>
      <c r="C263" s="192">
        <v>0</v>
      </c>
      <c r="D263" s="192" t="s">
        <v>65</v>
      </c>
      <c r="E263" s="192">
        <v>1</v>
      </c>
      <c r="F263" s="192">
        <v>1</v>
      </c>
      <c r="G263" s="192">
        <v>196826</v>
      </c>
      <c r="H263" s="192">
        <v>24866</v>
      </c>
      <c r="I263" s="192">
        <v>1</v>
      </c>
      <c r="J263" s="192">
        <v>780</v>
      </c>
      <c r="K263" s="192" t="s">
        <v>918</v>
      </c>
      <c r="L263" s="192" t="s">
        <v>65</v>
      </c>
      <c r="M263" s="192" t="s">
        <v>923</v>
      </c>
      <c r="N263" s="192" t="s">
        <v>65</v>
      </c>
      <c r="O263" s="192" t="s">
        <v>65</v>
      </c>
      <c r="P263" s="192" t="s">
        <v>65</v>
      </c>
      <c r="Q263" s="192">
        <v>0.23000000417232513</v>
      </c>
      <c r="R263" s="192">
        <v>4.5</v>
      </c>
      <c r="S263" s="192">
        <f>VLOOKUP($H263,'RBSA Weights'!$A$2:$C$1406,3,FALSE)</f>
        <v>4360.1880000000001</v>
      </c>
    </row>
    <row r="264" spans="1:19">
      <c r="A264" s="192" t="s">
        <v>940</v>
      </c>
      <c r="C264" s="192">
        <v>0</v>
      </c>
      <c r="D264" s="192" t="s">
        <v>65</v>
      </c>
      <c r="E264" s="192">
        <v>1</v>
      </c>
      <c r="F264" s="192">
        <v>0</v>
      </c>
      <c r="G264" s="192">
        <v>102442</v>
      </c>
      <c r="H264" s="192">
        <v>12908</v>
      </c>
      <c r="I264" s="192">
        <v>1</v>
      </c>
      <c r="J264" s="192">
        <v>216</v>
      </c>
      <c r="K264" s="192" t="s">
        <v>925</v>
      </c>
      <c r="L264" s="192" t="s">
        <v>927</v>
      </c>
      <c r="M264" s="192" t="s">
        <v>923</v>
      </c>
      <c r="N264" s="192" t="s">
        <v>65</v>
      </c>
      <c r="O264" s="192" t="s">
        <v>65</v>
      </c>
      <c r="P264" s="192" t="s">
        <v>65</v>
      </c>
      <c r="Q264" s="192">
        <v>0.23000000417232513</v>
      </c>
      <c r="R264" s="192">
        <v>3.0999999046325684</v>
      </c>
      <c r="S264" s="192">
        <f>VLOOKUP($H264,'RBSA Weights'!$A$2:$C$1406,3,FALSE)</f>
        <v>1524.7619999999999</v>
      </c>
    </row>
    <row r="265" spans="1:19">
      <c r="A265" s="192" t="s">
        <v>940</v>
      </c>
      <c r="C265" s="192">
        <v>0</v>
      </c>
      <c r="D265" s="192" t="s">
        <v>65</v>
      </c>
      <c r="E265" s="192">
        <v>1</v>
      </c>
      <c r="F265" s="192">
        <v>0</v>
      </c>
      <c r="G265" s="192">
        <v>240138</v>
      </c>
      <c r="H265" s="192">
        <v>10282</v>
      </c>
      <c r="I265" s="192">
        <v>1</v>
      </c>
      <c r="J265" s="192">
        <v>1288</v>
      </c>
      <c r="K265" s="192" t="s">
        <v>925</v>
      </c>
      <c r="L265" s="192" t="s">
        <v>737</v>
      </c>
      <c r="M265" s="192" t="s">
        <v>919</v>
      </c>
      <c r="N265" s="192" t="s">
        <v>65</v>
      </c>
      <c r="O265" s="192" t="s">
        <v>65</v>
      </c>
      <c r="P265" s="192" t="s">
        <v>65</v>
      </c>
      <c r="Q265" s="192">
        <v>0.23000000417232513</v>
      </c>
      <c r="R265" s="192">
        <v>3.0999999046325684</v>
      </c>
      <c r="S265" s="192">
        <f>VLOOKUP($H265,'RBSA Weights'!$A$2:$C$1406,3,FALSE)</f>
        <v>1150.8789999999999</v>
      </c>
    </row>
    <row r="266" spans="1:19">
      <c r="A266" s="192" t="s">
        <v>940</v>
      </c>
      <c r="C266" s="192">
        <v>1</v>
      </c>
      <c r="D266" s="192" t="s">
        <v>941</v>
      </c>
      <c r="E266" s="192">
        <v>0</v>
      </c>
      <c r="G266" s="192">
        <v>232411</v>
      </c>
      <c r="H266" s="192">
        <v>20646</v>
      </c>
      <c r="I266" s="192">
        <v>1</v>
      </c>
      <c r="J266" s="192">
        <v>580</v>
      </c>
      <c r="K266" s="192" t="s">
        <v>925</v>
      </c>
      <c r="L266" s="192" t="s">
        <v>737</v>
      </c>
      <c r="M266" s="192" t="s">
        <v>923</v>
      </c>
      <c r="N266" s="192" t="s">
        <v>65</v>
      </c>
      <c r="O266" s="192" t="s">
        <v>65</v>
      </c>
      <c r="P266" s="192" t="s">
        <v>65</v>
      </c>
      <c r="Q266" s="192">
        <v>0.23000000417232513</v>
      </c>
      <c r="R266" s="192">
        <v>9.1000003814697266</v>
      </c>
      <c r="S266" s="192">
        <f>VLOOKUP($H266,'RBSA Weights'!$A$2:$C$1406,3,FALSE)</f>
        <v>1904.288</v>
      </c>
    </row>
    <row r="267" spans="1:19">
      <c r="A267" s="192" t="s">
        <v>940</v>
      </c>
      <c r="C267" s="192">
        <v>0</v>
      </c>
      <c r="D267" s="192" t="s">
        <v>65</v>
      </c>
      <c r="E267" s="192">
        <v>1</v>
      </c>
      <c r="F267" s="192">
        <v>0</v>
      </c>
      <c r="G267" s="192">
        <v>178503</v>
      </c>
      <c r="H267" s="192">
        <v>23034</v>
      </c>
      <c r="I267" s="192">
        <v>1</v>
      </c>
      <c r="J267" s="192">
        <v>504</v>
      </c>
      <c r="K267" s="192" t="s">
        <v>925</v>
      </c>
      <c r="L267" s="192" t="s">
        <v>930</v>
      </c>
      <c r="M267" s="192" t="s">
        <v>923</v>
      </c>
      <c r="N267" s="192" t="s">
        <v>65</v>
      </c>
      <c r="O267" s="192" t="s">
        <v>65</v>
      </c>
      <c r="P267" s="192" t="s">
        <v>65</v>
      </c>
      <c r="Q267" s="192">
        <v>0.23000000417232513</v>
      </c>
      <c r="R267" s="192">
        <v>3.0999999046325684</v>
      </c>
      <c r="S267" s="192">
        <f>VLOOKUP($H267,'RBSA Weights'!$A$2:$C$1406,3,FALSE)</f>
        <v>1192.4649999999999</v>
      </c>
    </row>
    <row r="268" spans="1:19">
      <c r="A268" s="192" t="s">
        <v>940</v>
      </c>
      <c r="C268" s="192">
        <v>0</v>
      </c>
      <c r="D268" s="192" t="s">
        <v>65</v>
      </c>
      <c r="E268" s="192">
        <v>1</v>
      </c>
      <c r="F268" s="192">
        <v>0</v>
      </c>
      <c r="G268" s="192">
        <v>155515</v>
      </c>
      <c r="H268" s="192">
        <v>12103</v>
      </c>
      <c r="I268" s="192">
        <v>1</v>
      </c>
      <c r="J268" s="192">
        <v>984</v>
      </c>
      <c r="K268" s="192" t="s">
        <v>918</v>
      </c>
      <c r="L268" s="192" t="s">
        <v>737</v>
      </c>
      <c r="M268" s="192" t="s">
        <v>923</v>
      </c>
      <c r="N268" s="192" t="s">
        <v>65</v>
      </c>
      <c r="O268" s="192" t="s">
        <v>65</v>
      </c>
      <c r="P268" s="192" t="s">
        <v>65</v>
      </c>
      <c r="Q268" s="192">
        <v>0.23000000417232513</v>
      </c>
      <c r="R268" s="192">
        <v>3.0999999046325684</v>
      </c>
      <c r="S268" s="192">
        <f>VLOOKUP($H268,'RBSA Weights'!$A$2:$C$1406,3,FALSE)</f>
        <v>4956.4930000000004</v>
      </c>
    </row>
    <row r="269" spans="1:19">
      <c r="A269" s="192" t="s">
        <v>940</v>
      </c>
      <c r="C269" s="192">
        <v>0</v>
      </c>
      <c r="D269" s="192" t="s">
        <v>65</v>
      </c>
      <c r="E269" s="192">
        <v>1</v>
      </c>
      <c r="F269" s="192">
        <v>0</v>
      </c>
      <c r="G269" s="192">
        <v>185914</v>
      </c>
      <c r="H269" s="192">
        <v>22751</v>
      </c>
      <c r="I269" s="192">
        <v>1</v>
      </c>
      <c r="J269" s="192">
        <v>804</v>
      </c>
      <c r="K269" s="192" t="s">
        <v>918</v>
      </c>
      <c r="L269" s="192" t="s">
        <v>65</v>
      </c>
      <c r="M269" s="192" t="s">
        <v>919</v>
      </c>
      <c r="N269" s="192" t="s">
        <v>65</v>
      </c>
      <c r="O269" s="192" t="s">
        <v>65</v>
      </c>
      <c r="P269" s="192" t="s">
        <v>65</v>
      </c>
      <c r="Q269" s="192">
        <v>0.23000000417232513</v>
      </c>
      <c r="R269" s="192">
        <v>3.0999999046325684</v>
      </c>
      <c r="S269" s="192">
        <f>VLOOKUP($H269,'RBSA Weights'!$A$2:$C$1406,3,FALSE)</f>
        <v>1925.059</v>
      </c>
    </row>
    <row r="270" spans="1:19">
      <c r="A270" s="192" t="s">
        <v>940</v>
      </c>
      <c r="C270" s="192">
        <v>0</v>
      </c>
      <c r="D270" s="192" t="s">
        <v>65</v>
      </c>
      <c r="E270" s="192">
        <v>1</v>
      </c>
      <c r="F270" s="192">
        <v>0</v>
      </c>
      <c r="G270" s="192">
        <v>100132</v>
      </c>
      <c r="H270" s="192">
        <v>20445</v>
      </c>
      <c r="I270" s="192">
        <v>1</v>
      </c>
      <c r="J270" s="192">
        <v>1516</v>
      </c>
      <c r="K270" s="192" t="s">
        <v>918</v>
      </c>
      <c r="L270" s="192" t="s">
        <v>922</v>
      </c>
      <c r="M270" s="192" t="s">
        <v>923</v>
      </c>
      <c r="N270" s="192" t="s">
        <v>65</v>
      </c>
      <c r="O270" s="192" t="s">
        <v>65</v>
      </c>
      <c r="P270" s="192" t="s">
        <v>65</v>
      </c>
      <c r="Q270" s="192">
        <v>0.23000000417232513</v>
      </c>
      <c r="R270" s="192">
        <v>3.0999999046325684</v>
      </c>
      <c r="S270" s="192">
        <f>VLOOKUP($H270,'RBSA Weights'!$A$2:$C$1406,3,FALSE)</f>
        <v>1144.6790000000001</v>
      </c>
    </row>
    <row r="271" spans="1:19">
      <c r="A271" s="192" t="s">
        <v>940</v>
      </c>
      <c r="C271" s="192">
        <v>0</v>
      </c>
      <c r="D271" s="192" t="s">
        <v>65</v>
      </c>
      <c r="E271" s="192">
        <v>1</v>
      </c>
      <c r="F271" s="192">
        <v>0</v>
      </c>
      <c r="G271" s="192">
        <v>116222</v>
      </c>
      <c r="H271" s="192">
        <v>13154</v>
      </c>
      <c r="I271" s="192">
        <v>1</v>
      </c>
      <c r="J271" s="192">
        <v>1435</v>
      </c>
      <c r="K271" s="192" t="s">
        <v>918</v>
      </c>
      <c r="L271" s="192" t="s">
        <v>927</v>
      </c>
      <c r="M271" s="192" t="s">
        <v>923</v>
      </c>
      <c r="N271" s="192" t="s">
        <v>65</v>
      </c>
      <c r="O271" s="192" t="s">
        <v>65</v>
      </c>
      <c r="P271" s="192" t="s">
        <v>65</v>
      </c>
      <c r="Q271" s="192">
        <v>0.23000000417232513</v>
      </c>
      <c r="R271" s="192">
        <v>3.0999999046325684</v>
      </c>
      <c r="S271" s="192">
        <f>VLOOKUP($H271,'RBSA Weights'!$A$2:$C$1406,3,FALSE)</f>
        <v>4956.4930000000004</v>
      </c>
    </row>
    <row r="272" spans="1:19">
      <c r="A272" s="192" t="s">
        <v>940</v>
      </c>
      <c r="C272" s="192">
        <v>0</v>
      </c>
      <c r="D272" s="192" t="s">
        <v>65</v>
      </c>
      <c r="E272" s="192">
        <v>1</v>
      </c>
      <c r="F272" s="192">
        <v>0</v>
      </c>
      <c r="G272" s="192">
        <v>179870</v>
      </c>
      <c r="H272" s="192">
        <v>23704</v>
      </c>
      <c r="I272" s="192">
        <v>1</v>
      </c>
      <c r="J272" s="192">
        <v>1348</v>
      </c>
      <c r="K272" s="192" t="s">
        <v>918</v>
      </c>
      <c r="L272" s="192" t="s">
        <v>65</v>
      </c>
      <c r="M272" s="192" t="s">
        <v>919</v>
      </c>
      <c r="N272" s="192" t="s">
        <v>65</v>
      </c>
      <c r="O272" s="192" t="s">
        <v>65</v>
      </c>
      <c r="P272" s="192" t="s">
        <v>65</v>
      </c>
      <c r="Q272" s="192">
        <v>0.23000000417232513</v>
      </c>
      <c r="R272" s="192">
        <v>3.0999999046325684</v>
      </c>
      <c r="S272" s="192">
        <f>VLOOKUP($H272,'RBSA Weights'!$A$2:$C$1406,3,FALSE)</f>
        <v>1612.692</v>
      </c>
    </row>
    <row r="273" spans="1:19">
      <c r="A273" s="192" t="s">
        <v>940</v>
      </c>
      <c r="C273" s="192">
        <v>0</v>
      </c>
      <c r="D273" s="192" t="s">
        <v>65</v>
      </c>
      <c r="E273" s="192">
        <v>1</v>
      </c>
      <c r="F273" s="192">
        <v>0</v>
      </c>
      <c r="G273" s="192">
        <v>724647</v>
      </c>
      <c r="H273" s="192">
        <v>10764</v>
      </c>
      <c r="I273" s="192">
        <v>1</v>
      </c>
      <c r="J273" s="192">
        <v>1344</v>
      </c>
      <c r="K273" s="192" t="s">
        <v>925</v>
      </c>
      <c r="L273" s="192" t="s">
        <v>737</v>
      </c>
      <c r="M273" s="192" t="s">
        <v>923</v>
      </c>
      <c r="N273" s="192" t="s">
        <v>65</v>
      </c>
      <c r="O273" s="192" t="s">
        <v>65</v>
      </c>
      <c r="P273" s="192" t="s">
        <v>65</v>
      </c>
      <c r="Q273" s="192">
        <v>0.23000000417232513</v>
      </c>
      <c r="R273" s="192">
        <v>3.0999999046325684</v>
      </c>
      <c r="S273" s="192">
        <f>VLOOKUP($H273,'RBSA Weights'!$A$2:$C$1406,3,FALSE)</f>
        <v>1524.7619999999999</v>
      </c>
    </row>
    <row r="274" spans="1:19">
      <c r="A274" s="192" t="s">
        <v>940</v>
      </c>
      <c r="C274" s="192">
        <v>1</v>
      </c>
      <c r="D274" s="192" t="s">
        <v>921</v>
      </c>
      <c r="E274" s="192">
        <v>1</v>
      </c>
      <c r="F274" s="192">
        <v>1</v>
      </c>
      <c r="G274" s="192">
        <v>193268</v>
      </c>
      <c r="H274" s="192">
        <v>22291</v>
      </c>
      <c r="I274" s="192">
        <v>1</v>
      </c>
      <c r="J274" s="192">
        <v>1230</v>
      </c>
      <c r="K274" s="192" t="s">
        <v>925</v>
      </c>
      <c r="L274" s="192" t="s">
        <v>927</v>
      </c>
      <c r="M274" s="192" t="s">
        <v>923</v>
      </c>
      <c r="N274" s="192" t="s">
        <v>65</v>
      </c>
      <c r="O274" s="192" t="s">
        <v>65</v>
      </c>
      <c r="P274" s="192" t="s">
        <v>65</v>
      </c>
      <c r="Q274" s="192">
        <v>0.23000000417232513</v>
      </c>
      <c r="R274" s="192">
        <v>8.3999996185302734</v>
      </c>
      <c r="S274" s="192">
        <f>VLOOKUP($H274,'RBSA Weights'!$A$2:$C$1406,3,FALSE)</f>
        <v>1192.4649999999999</v>
      </c>
    </row>
    <row r="275" spans="1:19">
      <c r="A275" s="192" t="s">
        <v>940</v>
      </c>
      <c r="C275" s="192">
        <v>0</v>
      </c>
      <c r="D275" s="192" t="s">
        <v>65</v>
      </c>
      <c r="E275" s="192">
        <v>0</v>
      </c>
      <c r="G275" s="192">
        <v>677624</v>
      </c>
      <c r="H275" s="192">
        <v>23933</v>
      </c>
      <c r="I275" s="192">
        <v>1</v>
      </c>
      <c r="J275" s="192">
        <v>898</v>
      </c>
      <c r="K275" s="192" t="s">
        <v>925</v>
      </c>
      <c r="L275" s="192" t="s">
        <v>922</v>
      </c>
      <c r="M275" s="192" t="s">
        <v>919</v>
      </c>
      <c r="N275" s="192" t="s">
        <v>65</v>
      </c>
      <c r="O275" s="192" t="s">
        <v>65</v>
      </c>
      <c r="P275" s="192" t="s">
        <v>65</v>
      </c>
      <c r="Q275" s="192">
        <v>0.23000000417232513</v>
      </c>
      <c r="R275" s="192">
        <v>5</v>
      </c>
      <c r="S275" s="192">
        <f>VLOOKUP($H275,'RBSA Weights'!$A$2:$C$1406,3,FALSE)</f>
        <v>3785.7640000000001</v>
      </c>
    </row>
    <row r="276" spans="1:19">
      <c r="A276" s="192" t="s">
        <v>940</v>
      </c>
      <c r="C276" s="192">
        <v>0</v>
      </c>
      <c r="D276" s="192" t="s">
        <v>65</v>
      </c>
      <c r="E276" s="192">
        <v>1</v>
      </c>
      <c r="F276" s="192">
        <v>0</v>
      </c>
      <c r="G276" s="192">
        <v>232058</v>
      </c>
      <c r="H276" s="192">
        <v>12738</v>
      </c>
      <c r="I276" s="192">
        <v>1</v>
      </c>
      <c r="J276" s="192">
        <v>1345</v>
      </c>
      <c r="K276" s="192" t="s">
        <v>925</v>
      </c>
      <c r="L276" s="192" t="s">
        <v>922</v>
      </c>
      <c r="M276" s="192" t="s">
        <v>923</v>
      </c>
      <c r="N276" s="192" t="s">
        <v>65</v>
      </c>
      <c r="O276" s="192" t="s">
        <v>65</v>
      </c>
      <c r="P276" s="192" t="s">
        <v>65</v>
      </c>
      <c r="Q276" s="192">
        <v>0.23000000417232513</v>
      </c>
      <c r="R276" s="192">
        <v>3.0999999046325684</v>
      </c>
      <c r="S276" s="192">
        <f>VLOOKUP($H276,'RBSA Weights'!$A$2:$C$1406,3,FALSE)</f>
        <v>1464.694</v>
      </c>
    </row>
    <row r="277" spans="1:19">
      <c r="A277" s="192" t="s">
        <v>940</v>
      </c>
      <c r="C277" s="192">
        <v>0</v>
      </c>
      <c r="D277" s="192" t="s">
        <v>65</v>
      </c>
      <c r="E277" s="192">
        <v>0</v>
      </c>
      <c r="G277" s="192">
        <v>181713</v>
      </c>
      <c r="H277" s="192">
        <v>13019</v>
      </c>
      <c r="I277" s="192">
        <v>1</v>
      </c>
      <c r="J277" s="192">
        <v>920</v>
      </c>
      <c r="K277" s="192" t="s">
        <v>925</v>
      </c>
      <c r="L277" s="192" t="s">
        <v>737</v>
      </c>
      <c r="M277" s="192" t="s">
        <v>923</v>
      </c>
      <c r="N277" s="192" t="s">
        <v>65</v>
      </c>
      <c r="O277" s="192" t="s">
        <v>65</v>
      </c>
      <c r="P277" s="192" t="s">
        <v>65</v>
      </c>
      <c r="Q277" s="192">
        <v>0.23000000417232513</v>
      </c>
      <c r="R277" s="192">
        <v>5</v>
      </c>
      <c r="S277" s="192">
        <f>VLOOKUP($H277,'RBSA Weights'!$A$2:$C$1406,3,FALSE)</f>
        <v>6932.7380000000003</v>
      </c>
    </row>
    <row r="278" spans="1:19">
      <c r="A278" s="192" t="s">
        <v>940</v>
      </c>
      <c r="C278" s="192">
        <v>1</v>
      </c>
      <c r="D278" s="192" t="s">
        <v>921</v>
      </c>
      <c r="E278" s="192">
        <v>1</v>
      </c>
      <c r="F278" s="192">
        <v>0</v>
      </c>
      <c r="G278" s="192">
        <v>677818</v>
      </c>
      <c r="H278" s="192">
        <v>22909</v>
      </c>
      <c r="I278" s="192">
        <v>1</v>
      </c>
      <c r="J278" s="192">
        <v>1160</v>
      </c>
      <c r="K278" s="192" t="s">
        <v>925</v>
      </c>
      <c r="L278" s="192" t="s">
        <v>927</v>
      </c>
      <c r="M278" s="192" t="s">
        <v>923</v>
      </c>
      <c r="N278" s="192" t="s">
        <v>65</v>
      </c>
      <c r="O278" s="192" t="s">
        <v>65</v>
      </c>
      <c r="P278" s="192" t="s">
        <v>65</v>
      </c>
      <c r="Q278" s="192">
        <v>0.23000000417232513</v>
      </c>
      <c r="R278" s="192">
        <v>4.5</v>
      </c>
      <c r="S278" s="192">
        <f>VLOOKUP($H278,'RBSA Weights'!$A$2:$C$1406,3,FALSE)</f>
        <v>3785.7640000000001</v>
      </c>
    </row>
    <row r="279" spans="1:19">
      <c r="A279" s="192" t="s">
        <v>940</v>
      </c>
      <c r="C279" s="192">
        <v>0</v>
      </c>
      <c r="D279" s="192" t="s">
        <v>65</v>
      </c>
      <c r="E279" s="192">
        <v>0</v>
      </c>
      <c r="G279" s="192">
        <v>798475</v>
      </c>
      <c r="H279" s="192">
        <v>20390</v>
      </c>
      <c r="I279" s="192">
        <v>1</v>
      </c>
      <c r="J279" s="192">
        <v>850</v>
      </c>
      <c r="K279" s="192" t="s">
        <v>918</v>
      </c>
      <c r="L279" s="192" t="s">
        <v>65</v>
      </c>
      <c r="M279" s="192" t="s">
        <v>919</v>
      </c>
      <c r="N279" s="192" t="s">
        <v>65</v>
      </c>
      <c r="O279" s="192" t="s">
        <v>65</v>
      </c>
      <c r="P279" s="192" t="s">
        <v>65</v>
      </c>
      <c r="Q279" s="192">
        <v>0.23000000417232513</v>
      </c>
      <c r="R279" s="192">
        <v>5</v>
      </c>
      <c r="S279" s="192">
        <f>VLOOKUP($H279,'RBSA Weights'!$A$2:$C$1406,3,FALSE)</f>
        <v>8264.9449999999997</v>
      </c>
    </row>
    <row r="280" spans="1:19">
      <c r="A280" s="192" t="s">
        <v>940</v>
      </c>
      <c r="C280" s="192">
        <v>1</v>
      </c>
      <c r="D280" s="192" t="s">
        <v>921</v>
      </c>
      <c r="E280" s="192">
        <v>1</v>
      </c>
      <c r="F280" s="192">
        <v>0</v>
      </c>
      <c r="G280" s="192">
        <v>675572</v>
      </c>
      <c r="H280" s="192">
        <v>22144</v>
      </c>
      <c r="I280" s="192">
        <v>1</v>
      </c>
      <c r="J280" s="192">
        <v>1232</v>
      </c>
      <c r="K280" s="192" t="s">
        <v>918</v>
      </c>
      <c r="L280" s="192" t="s">
        <v>65</v>
      </c>
      <c r="M280" s="192" t="s">
        <v>919</v>
      </c>
      <c r="N280" s="192" t="s">
        <v>65</v>
      </c>
      <c r="O280" s="192" t="s">
        <v>65</v>
      </c>
      <c r="P280" s="192" t="s">
        <v>65</v>
      </c>
      <c r="Q280" s="192">
        <v>0.23000000417232513</v>
      </c>
      <c r="R280" s="192">
        <v>4.5</v>
      </c>
      <c r="S280" s="192">
        <f>VLOOKUP($H280,'RBSA Weights'!$A$2:$C$1406,3,FALSE)</f>
        <v>3785.7640000000001</v>
      </c>
    </row>
    <row r="281" spans="1:19">
      <c r="A281" s="192" t="s">
        <v>940</v>
      </c>
      <c r="C281" s="192">
        <v>0</v>
      </c>
      <c r="D281" s="192" t="s">
        <v>65</v>
      </c>
      <c r="E281" s="192">
        <v>1</v>
      </c>
      <c r="F281" s="192">
        <v>0</v>
      </c>
      <c r="G281" s="192">
        <v>137738</v>
      </c>
      <c r="H281" s="192">
        <v>12131</v>
      </c>
      <c r="I281" s="192">
        <v>1</v>
      </c>
      <c r="J281" s="192">
        <v>1276</v>
      </c>
      <c r="K281" s="192" t="s">
        <v>925</v>
      </c>
      <c r="L281" s="192" t="s">
        <v>922</v>
      </c>
      <c r="M281" s="192" t="s">
        <v>923</v>
      </c>
      <c r="N281" s="192" t="s">
        <v>65</v>
      </c>
      <c r="O281" s="192" t="s">
        <v>65</v>
      </c>
      <c r="P281" s="192" t="s">
        <v>65</v>
      </c>
      <c r="Q281" s="192">
        <v>0.23000000417232513</v>
      </c>
      <c r="R281" s="192">
        <v>3.0999999046325684</v>
      </c>
      <c r="S281" s="192">
        <f>VLOOKUP($H281,'RBSA Weights'!$A$2:$C$1406,3,FALSE)</f>
        <v>4956.4930000000004</v>
      </c>
    </row>
    <row r="282" spans="1:19">
      <c r="A282" s="192" t="s">
        <v>940</v>
      </c>
      <c r="C282" s="192">
        <v>0</v>
      </c>
      <c r="D282" s="192" t="s">
        <v>65</v>
      </c>
      <c r="E282" s="192">
        <v>1</v>
      </c>
      <c r="F282" s="192">
        <v>0</v>
      </c>
      <c r="G282" s="192">
        <v>200508</v>
      </c>
      <c r="H282" s="192">
        <v>23746</v>
      </c>
      <c r="I282" s="192">
        <v>1</v>
      </c>
      <c r="J282" s="192">
        <v>743</v>
      </c>
      <c r="K282" s="192" t="s">
        <v>918</v>
      </c>
      <c r="L282" s="192" t="s">
        <v>65</v>
      </c>
      <c r="M282" s="192" t="s">
        <v>919</v>
      </c>
      <c r="N282" s="192" t="s">
        <v>65</v>
      </c>
      <c r="O282" s="192" t="s">
        <v>65</v>
      </c>
      <c r="P282" s="192" t="s">
        <v>65</v>
      </c>
      <c r="Q282" s="192">
        <v>0.23000000417232513</v>
      </c>
      <c r="R282" s="192">
        <v>3.0999999046325684</v>
      </c>
      <c r="S282" s="192">
        <f>VLOOKUP($H282,'RBSA Weights'!$A$2:$C$1406,3,FALSE)</f>
        <v>8559.1039999999994</v>
      </c>
    </row>
    <row r="283" spans="1:19">
      <c r="A283" s="192" t="s">
        <v>940</v>
      </c>
      <c r="C283" s="192">
        <v>0</v>
      </c>
      <c r="D283" s="192" t="s">
        <v>65</v>
      </c>
      <c r="E283" s="192">
        <v>1</v>
      </c>
      <c r="F283" s="192">
        <v>0</v>
      </c>
      <c r="G283" s="192">
        <v>33975</v>
      </c>
      <c r="H283" s="192">
        <v>23123</v>
      </c>
      <c r="I283" s="192">
        <v>1</v>
      </c>
      <c r="J283" s="192">
        <v>468</v>
      </c>
      <c r="K283" s="192" t="s">
        <v>918</v>
      </c>
      <c r="L283" s="192" t="s">
        <v>737</v>
      </c>
      <c r="M283" s="192" t="s">
        <v>919</v>
      </c>
      <c r="N283" s="192" t="s">
        <v>65</v>
      </c>
      <c r="O283" s="192" t="s">
        <v>65</v>
      </c>
      <c r="P283" s="192" t="s">
        <v>65</v>
      </c>
      <c r="Q283" s="192">
        <v>0.23000000417232513</v>
      </c>
      <c r="R283" s="192">
        <v>3.0999999046325684</v>
      </c>
      <c r="S283" s="192">
        <f>VLOOKUP($H283,'RBSA Weights'!$A$2:$C$1406,3,FALSE)</f>
        <v>2130.886</v>
      </c>
    </row>
    <row r="284" spans="1:19">
      <c r="A284" s="192" t="s">
        <v>940</v>
      </c>
      <c r="C284" s="192">
        <v>0</v>
      </c>
      <c r="D284" s="192" t="s">
        <v>65</v>
      </c>
      <c r="E284" s="192">
        <v>1</v>
      </c>
      <c r="F284" s="192">
        <v>0</v>
      </c>
      <c r="G284" s="192">
        <v>48385</v>
      </c>
      <c r="H284" s="192">
        <v>12504</v>
      </c>
      <c r="I284" s="192">
        <v>1</v>
      </c>
      <c r="J284" s="192">
        <v>1290</v>
      </c>
      <c r="K284" s="192" t="s">
        <v>925</v>
      </c>
      <c r="L284" s="192" t="s">
        <v>922</v>
      </c>
      <c r="M284" s="192" t="s">
        <v>919</v>
      </c>
      <c r="N284" s="192" t="s">
        <v>65</v>
      </c>
      <c r="O284" s="192" t="s">
        <v>65</v>
      </c>
      <c r="P284" s="192" t="s">
        <v>65</v>
      </c>
      <c r="Q284" s="192">
        <v>0.23000000417232513</v>
      </c>
      <c r="R284" s="192">
        <v>3.0999999046325684</v>
      </c>
      <c r="S284" s="192">
        <f>VLOOKUP($H284,'RBSA Weights'!$A$2:$C$1406,3,FALSE)</f>
        <v>1524.7619999999999</v>
      </c>
    </row>
    <row r="285" spans="1:19">
      <c r="A285" s="192" t="s">
        <v>940</v>
      </c>
      <c r="C285" s="192">
        <v>1</v>
      </c>
      <c r="D285" s="192" t="s">
        <v>941</v>
      </c>
      <c r="E285" s="192">
        <v>1</v>
      </c>
      <c r="F285" s="192">
        <v>0</v>
      </c>
      <c r="G285" s="192">
        <v>151574</v>
      </c>
      <c r="H285" s="192">
        <v>23380</v>
      </c>
      <c r="I285" s="192">
        <v>1</v>
      </c>
      <c r="J285" s="192">
        <v>1056</v>
      </c>
      <c r="K285" s="192" t="s">
        <v>925</v>
      </c>
      <c r="L285" s="192" t="s">
        <v>927</v>
      </c>
      <c r="M285" s="192" t="s">
        <v>923</v>
      </c>
      <c r="N285" s="192" t="s">
        <v>65</v>
      </c>
      <c r="O285" s="192" t="s">
        <v>65</v>
      </c>
      <c r="P285" s="192" t="s">
        <v>65</v>
      </c>
      <c r="Q285" s="192">
        <v>0.23000000417232513</v>
      </c>
      <c r="R285" s="192">
        <v>3.9000000953674316</v>
      </c>
      <c r="S285" s="192">
        <f>VLOOKUP($H285,'RBSA Weights'!$A$2:$C$1406,3,FALSE)</f>
        <v>3785.7640000000001</v>
      </c>
    </row>
    <row r="286" spans="1:19">
      <c r="A286" s="192" t="s">
        <v>940</v>
      </c>
      <c r="C286" s="192">
        <v>0</v>
      </c>
      <c r="D286" s="192" t="s">
        <v>65</v>
      </c>
      <c r="E286" s="192">
        <v>1</v>
      </c>
      <c r="F286" s="192">
        <v>0</v>
      </c>
      <c r="G286" s="192">
        <v>87879</v>
      </c>
      <c r="H286" s="192">
        <v>20089</v>
      </c>
      <c r="I286" s="192">
        <v>1</v>
      </c>
      <c r="J286" s="192">
        <v>1240</v>
      </c>
      <c r="K286" s="192" t="s">
        <v>925</v>
      </c>
      <c r="L286" s="192" t="s">
        <v>927</v>
      </c>
      <c r="M286" s="192" t="s">
        <v>923</v>
      </c>
      <c r="N286" s="192" t="s">
        <v>65</v>
      </c>
      <c r="O286" s="192" t="s">
        <v>65</v>
      </c>
      <c r="P286" s="192" t="s">
        <v>65</v>
      </c>
      <c r="Q286" s="192">
        <v>0.23000000417232513</v>
      </c>
      <c r="R286" s="192">
        <v>3.0999999046325684</v>
      </c>
      <c r="S286" s="192">
        <f>VLOOKUP($H286,'RBSA Weights'!$A$2:$C$1406,3,FALSE)</f>
        <v>1144.6790000000001</v>
      </c>
    </row>
    <row r="287" spans="1:19">
      <c r="A287" s="192" t="s">
        <v>940</v>
      </c>
      <c r="C287" s="192">
        <v>0</v>
      </c>
      <c r="D287" s="192" t="s">
        <v>65</v>
      </c>
      <c r="E287" s="192">
        <v>1</v>
      </c>
      <c r="F287" s="192">
        <v>1</v>
      </c>
      <c r="G287" s="192">
        <v>654825</v>
      </c>
      <c r="H287" s="192">
        <v>21974</v>
      </c>
      <c r="I287" s="192">
        <v>1</v>
      </c>
      <c r="J287" s="192">
        <v>1008</v>
      </c>
      <c r="K287" s="192" t="s">
        <v>925</v>
      </c>
      <c r="L287" s="192" t="s">
        <v>927</v>
      </c>
      <c r="M287" s="192" t="s">
        <v>923</v>
      </c>
      <c r="N287" s="192" t="s">
        <v>65</v>
      </c>
      <c r="O287" s="192" t="s">
        <v>65</v>
      </c>
      <c r="P287" s="192" t="s">
        <v>65</v>
      </c>
      <c r="Q287" s="192">
        <v>0.23000000417232513</v>
      </c>
      <c r="R287" s="192">
        <v>4.5</v>
      </c>
      <c r="S287" s="192">
        <f>VLOOKUP($H287,'RBSA Weights'!$A$2:$C$1406,3,FALSE)</f>
        <v>3785.7640000000001</v>
      </c>
    </row>
    <row r="288" spans="1:19">
      <c r="A288" s="192" t="s">
        <v>940</v>
      </c>
      <c r="C288" s="192">
        <v>0</v>
      </c>
      <c r="D288" s="192" t="s">
        <v>65</v>
      </c>
      <c r="E288" s="192">
        <v>0</v>
      </c>
      <c r="F288" s="192">
        <v>0</v>
      </c>
      <c r="G288" s="192">
        <v>60996</v>
      </c>
      <c r="H288" s="192">
        <v>20163</v>
      </c>
      <c r="I288" s="192">
        <v>1</v>
      </c>
      <c r="J288" s="192">
        <v>600</v>
      </c>
      <c r="K288" s="192" t="s">
        <v>925</v>
      </c>
      <c r="L288" s="192" t="s">
        <v>922</v>
      </c>
      <c r="M288" s="192" t="s">
        <v>919</v>
      </c>
      <c r="N288" s="192" t="s">
        <v>65</v>
      </c>
      <c r="O288" s="192" t="s">
        <v>65</v>
      </c>
      <c r="P288" s="192" t="s">
        <v>65</v>
      </c>
      <c r="Q288" s="192">
        <v>0.23000000417232513</v>
      </c>
      <c r="R288" s="192">
        <v>5</v>
      </c>
      <c r="S288" s="192">
        <f>VLOOKUP($H288,'RBSA Weights'!$A$2:$C$1406,3,FALSE)</f>
        <v>2079.9929999999999</v>
      </c>
    </row>
    <row r="289" spans="1:19">
      <c r="A289" s="192" t="s">
        <v>940</v>
      </c>
      <c r="C289" s="192">
        <v>0</v>
      </c>
      <c r="D289" s="192" t="s">
        <v>65</v>
      </c>
      <c r="E289" s="192">
        <v>0</v>
      </c>
      <c r="G289" s="192">
        <v>203495</v>
      </c>
      <c r="H289" s="192">
        <v>22021</v>
      </c>
      <c r="I289" s="192">
        <v>1</v>
      </c>
      <c r="J289" s="192">
        <v>1078</v>
      </c>
      <c r="K289" s="192" t="s">
        <v>925</v>
      </c>
      <c r="L289" s="192" t="s">
        <v>927</v>
      </c>
      <c r="M289" s="192" t="s">
        <v>919</v>
      </c>
      <c r="N289" s="192" t="s">
        <v>65</v>
      </c>
      <c r="O289" s="192" t="s">
        <v>65</v>
      </c>
      <c r="P289" s="192" t="s">
        <v>65</v>
      </c>
      <c r="Q289" s="192">
        <v>0.23000000417232513</v>
      </c>
      <c r="R289" s="192">
        <v>5</v>
      </c>
      <c r="S289" s="192">
        <f>VLOOKUP($H289,'RBSA Weights'!$A$2:$C$1406,3,FALSE)</f>
        <v>1192.4649999999999</v>
      </c>
    </row>
    <row r="290" spans="1:19">
      <c r="A290" s="192" t="s">
        <v>940</v>
      </c>
      <c r="C290" s="192">
        <v>0</v>
      </c>
      <c r="D290" s="192" t="s">
        <v>65</v>
      </c>
      <c r="E290" s="192">
        <v>0</v>
      </c>
      <c r="G290" s="192">
        <v>684110</v>
      </c>
      <c r="H290" s="192">
        <v>20553</v>
      </c>
      <c r="I290" s="192">
        <v>1</v>
      </c>
      <c r="J290" s="192">
        <v>988</v>
      </c>
      <c r="K290" s="192" t="s">
        <v>925</v>
      </c>
      <c r="L290" s="192" t="s">
        <v>922</v>
      </c>
      <c r="M290" s="192" t="s">
        <v>919</v>
      </c>
      <c r="N290" s="192" t="s">
        <v>65</v>
      </c>
      <c r="O290" s="192" t="s">
        <v>65</v>
      </c>
      <c r="P290" s="192" t="s">
        <v>65</v>
      </c>
      <c r="Q290" s="192">
        <v>0.23000000417232513</v>
      </c>
      <c r="R290" s="192">
        <v>5</v>
      </c>
      <c r="S290" s="192">
        <f>VLOOKUP($H290,'RBSA Weights'!$A$2:$C$1406,3,FALSE)</f>
        <v>3785.7640000000001</v>
      </c>
    </row>
    <row r="291" spans="1:19">
      <c r="A291" s="192" t="s">
        <v>940</v>
      </c>
      <c r="C291" s="192">
        <v>0</v>
      </c>
      <c r="D291" s="192" t="s">
        <v>65</v>
      </c>
      <c r="E291" s="192">
        <v>1</v>
      </c>
      <c r="F291" s="192">
        <v>0</v>
      </c>
      <c r="G291" s="192">
        <v>51676</v>
      </c>
      <c r="H291" s="192">
        <v>12458</v>
      </c>
      <c r="I291" s="192">
        <v>1</v>
      </c>
      <c r="J291" s="192">
        <v>1395</v>
      </c>
      <c r="K291" s="192" t="s">
        <v>925</v>
      </c>
      <c r="L291" s="192" t="s">
        <v>737</v>
      </c>
      <c r="M291" s="192" t="s">
        <v>919</v>
      </c>
      <c r="N291" s="192" t="s">
        <v>65</v>
      </c>
      <c r="O291" s="192" t="s">
        <v>65</v>
      </c>
      <c r="P291" s="192" t="s">
        <v>65</v>
      </c>
      <c r="Q291" s="192">
        <v>0.23000000417232513</v>
      </c>
      <c r="R291" s="192">
        <v>3.0999999046325684</v>
      </c>
      <c r="S291" s="192">
        <f>VLOOKUP($H291,'RBSA Weights'!$A$2:$C$1406,3,FALSE)</f>
        <v>1188.027</v>
      </c>
    </row>
    <row r="292" spans="1:19">
      <c r="A292" s="192" t="s">
        <v>940</v>
      </c>
      <c r="C292" s="192">
        <v>0</v>
      </c>
      <c r="D292" s="192" t="s">
        <v>65</v>
      </c>
      <c r="E292" s="192">
        <v>1</v>
      </c>
      <c r="F292" s="192">
        <v>0</v>
      </c>
      <c r="G292" s="192">
        <v>87479</v>
      </c>
      <c r="H292" s="192">
        <v>20344</v>
      </c>
      <c r="I292" s="192">
        <v>1</v>
      </c>
      <c r="J292" s="192">
        <v>828</v>
      </c>
      <c r="K292" s="192" t="s">
        <v>918</v>
      </c>
      <c r="L292" s="192" t="s">
        <v>930</v>
      </c>
      <c r="M292" s="192" t="s">
        <v>923</v>
      </c>
      <c r="N292" s="192" t="s">
        <v>65</v>
      </c>
      <c r="O292" s="192" t="s">
        <v>65</v>
      </c>
      <c r="P292" s="192" t="s">
        <v>65</v>
      </c>
      <c r="Q292" s="192">
        <v>0.23000000417232513</v>
      </c>
      <c r="R292" s="192">
        <v>3.0999999046325684</v>
      </c>
      <c r="S292" s="192">
        <f>VLOOKUP($H292,'RBSA Weights'!$A$2:$C$1406,3,FALSE)</f>
        <v>1144.6790000000001</v>
      </c>
    </row>
    <row r="293" spans="1:19">
      <c r="A293" s="192" t="s">
        <v>940</v>
      </c>
      <c r="C293" s="192">
        <v>0</v>
      </c>
      <c r="D293" s="192" t="s">
        <v>65</v>
      </c>
      <c r="E293" s="192">
        <v>1</v>
      </c>
      <c r="F293" s="192">
        <v>1</v>
      </c>
      <c r="G293" s="192">
        <v>219182</v>
      </c>
      <c r="H293" s="192">
        <v>14150</v>
      </c>
      <c r="I293" s="192">
        <v>1</v>
      </c>
      <c r="J293" s="192">
        <v>998</v>
      </c>
      <c r="K293" s="192" t="s">
        <v>925</v>
      </c>
      <c r="L293" s="192" t="s">
        <v>922</v>
      </c>
      <c r="M293" s="192" t="s">
        <v>919</v>
      </c>
      <c r="N293" s="192" t="s">
        <v>65</v>
      </c>
      <c r="O293" s="192" t="s">
        <v>65</v>
      </c>
      <c r="P293" s="192" t="s">
        <v>65</v>
      </c>
      <c r="Q293" s="192">
        <v>0.23000000417232513</v>
      </c>
      <c r="R293" s="192">
        <v>4.5</v>
      </c>
      <c r="S293" s="192">
        <f>VLOOKUP($H293,'RBSA Weights'!$A$2:$C$1406,3,FALSE)</f>
        <v>6932.7380000000003</v>
      </c>
    </row>
    <row r="294" spans="1:19">
      <c r="A294" s="192" t="s">
        <v>940</v>
      </c>
      <c r="C294" s="192">
        <v>0</v>
      </c>
      <c r="D294" s="192" t="s">
        <v>65</v>
      </c>
      <c r="E294" s="192">
        <v>0</v>
      </c>
      <c r="G294" s="192">
        <v>136229</v>
      </c>
      <c r="H294" s="192">
        <v>20505</v>
      </c>
      <c r="I294" s="192">
        <v>1</v>
      </c>
      <c r="J294" s="192">
        <v>2225</v>
      </c>
      <c r="K294" s="192" t="s">
        <v>918</v>
      </c>
      <c r="L294" s="192" t="s">
        <v>65</v>
      </c>
      <c r="M294" s="192" t="s">
        <v>923</v>
      </c>
      <c r="N294" s="192" t="s">
        <v>65</v>
      </c>
      <c r="O294" s="192" t="s">
        <v>65</v>
      </c>
      <c r="P294" s="192" t="s">
        <v>65</v>
      </c>
      <c r="Q294" s="192">
        <v>0.23000000417232513</v>
      </c>
      <c r="R294" s="192">
        <v>5</v>
      </c>
      <c r="S294" s="192">
        <f>VLOOKUP($H294,'RBSA Weights'!$A$2:$C$1406,3,FALSE)</f>
        <v>1612.692</v>
      </c>
    </row>
    <row r="295" spans="1:19">
      <c r="A295" s="192" t="s">
        <v>940</v>
      </c>
      <c r="C295" s="192">
        <v>0</v>
      </c>
      <c r="D295" s="192" t="s">
        <v>65</v>
      </c>
      <c r="E295" s="192">
        <v>1</v>
      </c>
      <c r="F295" s="192">
        <v>1</v>
      </c>
      <c r="G295" s="192">
        <v>671583</v>
      </c>
      <c r="H295" s="192">
        <v>11420</v>
      </c>
      <c r="I295" s="192">
        <v>1</v>
      </c>
      <c r="J295" s="192">
        <v>1780</v>
      </c>
      <c r="K295" s="192" t="s">
        <v>918</v>
      </c>
      <c r="L295" s="192" t="s">
        <v>65</v>
      </c>
      <c r="M295" s="192" t="s">
        <v>919</v>
      </c>
      <c r="N295" s="192" t="s">
        <v>65</v>
      </c>
      <c r="O295" s="192" t="s">
        <v>65</v>
      </c>
      <c r="P295" s="192" t="s">
        <v>65</v>
      </c>
      <c r="Q295" s="192">
        <v>0.23000000417232513</v>
      </c>
      <c r="R295" s="192">
        <v>4.5</v>
      </c>
      <c r="S295" s="192">
        <f>VLOOKUP($H295,'RBSA Weights'!$A$2:$C$1406,3,FALSE)</f>
        <v>6932.7380000000003</v>
      </c>
    </row>
    <row r="296" spans="1:19">
      <c r="A296" s="192" t="s">
        <v>940</v>
      </c>
      <c r="C296" s="192">
        <v>0</v>
      </c>
      <c r="D296" s="192" t="s">
        <v>65</v>
      </c>
      <c r="E296" s="192">
        <v>1</v>
      </c>
      <c r="F296" s="192">
        <v>1</v>
      </c>
      <c r="G296" s="192">
        <v>78084</v>
      </c>
      <c r="H296" s="192">
        <v>21296</v>
      </c>
      <c r="I296" s="192">
        <v>1</v>
      </c>
      <c r="J296" s="192">
        <v>480</v>
      </c>
      <c r="K296" s="192" t="s">
        <v>925</v>
      </c>
      <c r="L296" s="192" t="s">
        <v>922</v>
      </c>
      <c r="M296" s="192" t="s">
        <v>919</v>
      </c>
      <c r="N296" s="192" t="s">
        <v>65</v>
      </c>
      <c r="O296" s="192" t="s">
        <v>65</v>
      </c>
      <c r="P296" s="192" t="s">
        <v>65</v>
      </c>
      <c r="Q296" s="192">
        <v>0.23000000417232513</v>
      </c>
      <c r="R296" s="192">
        <v>4.5</v>
      </c>
      <c r="S296" s="192">
        <f>VLOOKUP($H296,'RBSA Weights'!$A$2:$C$1406,3,FALSE)</f>
        <v>1925.059</v>
      </c>
    </row>
    <row r="297" spans="1:19">
      <c r="A297" s="192" t="s">
        <v>940</v>
      </c>
      <c r="C297" s="192">
        <v>0</v>
      </c>
      <c r="D297" s="192" t="s">
        <v>65</v>
      </c>
      <c r="E297" s="192">
        <v>1</v>
      </c>
      <c r="F297" s="192">
        <v>1</v>
      </c>
      <c r="G297" s="192">
        <v>119026</v>
      </c>
      <c r="H297" s="192">
        <v>24713</v>
      </c>
      <c r="I297" s="192">
        <v>1</v>
      </c>
      <c r="J297" s="192">
        <v>1624</v>
      </c>
      <c r="K297" s="192" t="s">
        <v>925</v>
      </c>
      <c r="L297" s="192" t="s">
        <v>927</v>
      </c>
      <c r="M297" s="192" t="s">
        <v>923</v>
      </c>
      <c r="N297" s="192" t="s">
        <v>65</v>
      </c>
      <c r="O297" s="192" t="s">
        <v>65</v>
      </c>
      <c r="P297" s="192" t="s">
        <v>65</v>
      </c>
      <c r="Q297" s="192">
        <v>0.23000000417232513</v>
      </c>
      <c r="R297" s="192">
        <v>4.5</v>
      </c>
      <c r="S297" s="192">
        <f>VLOOKUP($H297,'RBSA Weights'!$A$2:$C$1406,3,FALSE)</f>
        <v>1925.059</v>
      </c>
    </row>
    <row r="298" spans="1:19">
      <c r="A298" s="192" t="s">
        <v>940</v>
      </c>
      <c r="C298" s="192">
        <v>0</v>
      </c>
      <c r="D298" s="192" t="s">
        <v>65</v>
      </c>
      <c r="E298" s="192">
        <v>0</v>
      </c>
      <c r="F298" s="192">
        <v>0</v>
      </c>
      <c r="G298" s="192">
        <v>68905</v>
      </c>
      <c r="H298" s="192">
        <v>21367</v>
      </c>
      <c r="I298" s="192">
        <v>1</v>
      </c>
      <c r="J298" s="192">
        <v>679</v>
      </c>
      <c r="K298" s="192" t="s">
        <v>925</v>
      </c>
      <c r="L298" s="192" t="s">
        <v>927</v>
      </c>
      <c r="M298" s="192" t="s">
        <v>923</v>
      </c>
      <c r="N298" s="192" t="s">
        <v>65</v>
      </c>
      <c r="O298" s="192" t="s">
        <v>65</v>
      </c>
      <c r="P298" s="192" t="s">
        <v>65</v>
      </c>
      <c r="Q298" s="192">
        <v>0.23000000417232513</v>
      </c>
      <c r="R298" s="192">
        <v>5</v>
      </c>
      <c r="S298" s="192">
        <f>VLOOKUP($H298,'RBSA Weights'!$A$2:$C$1406,3,FALSE)</f>
        <v>2130.886</v>
      </c>
    </row>
    <row r="299" spans="1:19">
      <c r="A299" s="192" t="s">
        <v>940</v>
      </c>
      <c r="C299" s="192">
        <v>0</v>
      </c>
      <c r="D299" s="192" t="s">
        <v>65</v>
      </c>
      <c r="E299" s="192">
        <v>1</v>
      </c>
      <c r="F299" s="192">
        <v>0</v>
      </c>
      <c r="G299" s="192">
        <v>69775</v>
      </c>
      <c r="H299" s="192">
        <v>10265</v>
      </c>
      <c r="I299" s="192">
        <v>1</v>
      </c>
      <c r="J299" s="192">
        <v>1464</v>
      </c>
      <c r="K299" s="192" t="s">
        <v>918</v>
      </c>
      <c r="L299" s="192" t="s">
        <v>65</v>
      </c>
      <c r="M299" s="192" t="s">
        <v>919</v>
      </c>
      <c r="N299" s="192" t="s">
        <v>65</v>
      </c>
      <c r="O299" s="192" t="s">
        <v>65</v>
      </c>
      <c r="P299" s="192" t="s">
        <v>65</v>
      </c>
      <c r="Q299" s="192">
        <v>0.23000000417232513</v>
      </c>
      <c r="R299" s="192">
        <v>3.0999999046325684</v>
      </c>
      <c r="S299" s="192">
        <f>VLOOKUP($H299,'RBSA Weights'!$A$2:$C$1406,3,FALSE)</f>
        <v>2003.7159999999999</v>
      </c>
    </row>
    <row r="300" spans="1:19">
      <c r="A300" s="192" t="s">
        <v>940</v>
      </c>
      <c r="C300" s="192">
        <v>0</v>
      </c>
      <c r="D300" s="192" t="s">
        <v>65</v>
      </c>
      <c r="E300" s="192">
        <v>1</v>
      </c>
      <c r="F300" s="192">
        <v>0</v>
      </c>
      <c r="G300" s="192">
        <v>160807</v>
      </c>
      <c r="H300" s="192">
        <v>10795</v>
      </c>
      <c r="I300" s="192">
        <v>1</v>
      </c>
      <c r="J300" s="192">
        <v>988</v>
      </c>
      <c r="K300" s="192" t="s">
        <v>918</v>
      </c>
      <c r="L300" s="192" t="s">
        <v>65</v>
      </c>
      <c r="M300" s="192" t="s">
        <v>923</v>
      </c>
      <c r="N300" s="192" t="s">
        <v>65</v>
      </c>
      <c r="O300" s="192" t="s">
        <v>65</v>
      </c>
      <c r="P300" s="192" t="s">
        <v>65</v>
      </c>
      <c r="Q300" s="192">
        <v>0.23000000417232513</v>
      </c>
      <c r="R300" s="192">
        <v>3.0999999046325684</v>
      </c>
      <c r="S300" s="192">
        <f>VLOOKUP($H300,'RBSA Weights'!$A$2:$C$1406,3,FALSE)</f>
        <v>6932.7380000000003</v>
      </c>
    </row>
    <row r="301" spans="1:19">
      <c r="A301" s="192" t="s">
        <v>940</v>
      </c>
      <c r="C301" s="192">
        <v>0</v>
      </c>
      <c r="D301" s="192" t="s">
        <v>65</v>
      </c>
      <c r="E301" s="192">
        <v>1</v>
      </c>
      <c r="F301" s="192">
        <v>0</v>
      </c>
      <c r="G301" s="192">
        <v>216097</v>
      </c>
      <c r="H301" s="192">
        <v>10649</v>
      </c>
      <c r="I301" s="192">
        <v>1</v>
      </c>
      <c r="J301" s="192">
        <v>1228</v>
      </c>
      <c r="K301" s="192" t="s">
        <v>918</v>
      </c>
      <c r="L301" s="192" t="s">
        <v>65</v>
      </c>
      <c r="M301" s="192" t="s">
        <v>923</v>
      </c>
      <c r="N301" s="192" t="s">
        <v>65</v>
      </c>
      <c r="O301" s="192" t="s">
        <v>65</v>
      </c>
      <c r="P301" s="192" t="s">
        <v>65</v>
      </c>
      <c r="Q301" s="192">
        <v>0.23000000417232513</v>
      </c>
      <c r="R301" s="192">
        <v>3.0999999046325684</v>
      </c>
      <c r="S301" s="192">
        <f>VLOOKUP($H301,'RBSA Weights'!$A$2:$C$1406,3,FALSE)</f>
        <v>6932.7380000000003</v>
      </c>
    </row>
    <row r="302" spans="1:19">
      <c r="A302" s="192" t="s">
        <v>940</v>
      </c>
      <c r="C302" s="192">
        <v>0</v>
      </c>
      <c r="D302" s="192" t="s">
        <v>65</v>
      </c>
      <c r="E302" s="192">
        <v>1</v>
      </c>
      <c r="F302" s="192">
        <v>0</v>
      </c>
      <c r="G302" s="192">
        <v>241311</v>
      </c>
      <c r="H302" s="192">
        <v>22785</v>
      </c>
      <c r="I302" s="192">
        <v>1</v>
      </c>
      <c r="J302" s="192">
        <v>930</v>
      </c>
      <c r="K302" s="192" t="s">
        <v>925</v>
      </c>
      <c r="L302" s="192" t="s">
        <v>737</v>
      </c>
      <c r="M302" s="192" t="s">
        <v>923</v>
      </c>
      <c r="N302" s="192" t="s">
        <v>65</v>
      </c>
      <c r="O302" s="192" t="s">
        <v>65</v>
      </c>
      <c r="P302" s="192" t="s">
        <v>65</v>
      </c>
      <c r="Q302" s="192">
        <v>0.23000000417232513</v>
      </c>
      <c r="R302" s="192">
        <v>3.0999999046325684</v>
      </c>
      <c r="S302" s="192">
        <f>VLOOKUP($H302,'RBSA Weights'!$A$2:$C$1406,3,FALSE)</f>
        <v>2079.9929999999999</v>
      </c>
    </row>
    <row r="303" spans="1:19">
      <c r="A303" s="192" t="s">
        <v>940</v>
      </c>
      <c r="C303" s="192">
        <v>0</v>
      </c>
      <c r="D303" s="192" t="s">
        <v>65</v>
      </c>
      <c r="E303" s="192">
        <v>1</v>
      </c>
      <c r="F303" s="192">
        <v>0</v>
      </c>
      <c r="G303" s="192">
        <v>107827</v>
      </c>
      <c r="H303" s="192">
        <v>24451</v>
      </c>
      <c r="I303" s="192">
        <v>1</v>
      </c>
      <c r="J303" s="192">
        <v>1050</v>
      </c>
      <c r="K303" s="192" t="s">
        <v>925</v>
      </c>
      <c r="L303" s="192" t="s">
        <v>737</v>
      </c>
      <c r="M303" s="192" t="s">
        <v>923</v>
      </c>
      <c r="N303" s="192" t="s">
        <v>65</v>
      </c>
      <c r="O303" s="192" t="s">
        <v>65</v>
      </c>
      <c r="P303" s="192" t="s">
        <v>65</v>
      </c>
      <c r="Q303" s="192">
        <v>0.23000000417232513</v>
      </c>
      <c r="R303" s="192">
        <v>3.0999999046325684</v>
      </c>
      <c r="S303" s="192">
        <f>VLOOKUP($H303,'RBSA Weights'!$A$2:$C$1406,3,FALSE)</f>
        <v>2079.9929999999999</v>
      </c>
    </row>
    <row r="304" spans="1:19">
      <c r="A304" s="192" t="s">
        <v>940</v>
      </c>
      <c r="C304" s="192">
        <v>0</v>
      </c>
      <c r="D304" s="192" t="s">
        <v>65</v>
      </c>
      <c r="E304" s="192">
        <v>0</v>
      </c>
      <c r="G304" s="192">
        <v>231537</v>
      </c>
      <c r="H304" s="192">
        <v>20109</v>
      </c>
      <c r="I304" s="192">
        <v>1</v>
      </c>
      <c r="J304" s="192">
        <v>1024</v>
      </c>
      <c r="K304" s="192" t="s">
        <v>925</v>
      </c>
      <c r="L304" s="192" t="s">
        <v>737</v>
      </c>
      <c r="M304" s="192" t="s">
        <v>919</v>
      </c>
      <c r="N304" s="192" t="s">
        <v>65</v>
      </c>
      <c r="O304" s="192" t="s">
        <v>65</v>
      </c>
      <c r="P304" s="192" t="s">
        <v>65</v>
      </c>
      <c r="Q304" s="192">
        <v>0.23000000417232513</v>
      </c>
      <c r="R304" s="192">
        <v>5</v>
      </c>
      <c r="S304" s="192">
        <f>VLOOKUP($H304,'RBSA Weights'!$A$2:$C$1406,3,FALSE)</f>
        <v>1612.692</v>
      </c>
    </row>
    <row r="305" spans="1:19">
      <c r="A305" s="192" t="s">
        <v>940</v>
      </c>
      <c r="C305" s="192">
        <v>0</v>
      </c>
      <c r="D305" s="192" t="s">
        <v>65</v>
      </c>
      <c r="E305" s="192">
        <v>0</v>
      </c>
      <c r="F305" s="192">
        <v>0</v>
      </c>
      <c r="G305" s="192">
        <v>720816</v>
      </c>
      <c r="H305" s="192">
        <v>10082</v>
      </c>
      <c r="I305" s="192">
        <v>1</v>
      </c>
      <c r="J305" s="192">
        <v>416</v>
      </c>
      <c r="K305" s="192" t="s">
        <v>925</v>
      </c>
      <c r="L305" s="192" t="s">
        <v>737</v>
      </c>
      <c r="M305" s="192" t="s">
        <v>919</v>
      </c>
      <c r="N305" s="192" t="s">
        <v>65</v>
      </c>
      <c r="O305" s="192" t="s">
        <v>65</v>
      </c>
      <c r="P305" s="192" t="s">
        <v>65</v>
      </c>
      <c r="Q305" s="192">
        <v>0.23000000417232513</v>
      </c>
      <c r="R305" s="192">
        <v>5</v>
      </c>
      <c r="S305" s="192">
        <f>VLOOKUP($H305,'RBSA Weights'!$A$2:$C$1406,3,FALSE)</f>
        <v>4956.4930000000004</v>
      </c>
    </row>
    <row r="306" spans="1:19">
      <c r="A306" s="192" t="s">
        <v>940</v>
      </c>
      <c r="C306" s="192">
        <v>0</v>
      </c>
      <c r="D306" s="192" t="s">
        <v>65</v>
      </c>
      <c r="E306" s="192">
        <v>1</v>
      </c>
      <c r="F306" s="192">
        <v>0</v>
      </c>
      <c r="G306" s="192">
        <v>823533</v>
      </c>
      <c r="H306" s="192">
        <v>11844</v>
      </c>
      <c r="I306" s="192">
        <v>1</v>
      </c>
      <c r="J306" s="192">
        <v>752</v>
      </c>
      <c r="K306" s="192" t="s">
        <v>925</v>
      </c>
      <c r="L306" s="192" t="s">
        <v>65</v>
      </c>
      <c r="M306" s="192" t="s">
        <v>919</v>
      </c>
      <c r="N306" s="192" t="s">
        <v>65</v>
      </c>
      <c r="O306" s="192" t="s">
        <v>958</v>
      </c>
      <c r="P306" s="192" t="s">
        <v>65</v>
      </c>
      <c r="Q306" s="192">
        <v>0.23000000417232513</v>
      </c>
      <c r="R306" s="192">
        <v>3.0999999046325684</v>
      </c>
      <c r="S306" s="192">
        <f>VLOOKUP($H306,'RBSA Weights'!$A$2:$C$1406,3,FALSE)</f>
        <v>4956.4930000000004</v>
      </c>
    </row>
    <row r="307" spans="1:19">
      <c r="A307" s="192" t="s">
        <v>940</v>
      </c>
      <c r="C307" s="192">
        <v>0</v>
      </c>
      <c r="D307" s="192" t="s">
        <v>65</v>
      </c>
      <c r="E307" s="192">
        <v>1</v>
      </c>
      <c r="F307" s="192">
        <v>0</v>
      </c>
      <c r="G307" s="192">
        <v>690284</v>
      </c>
      <c r="H307" s="192">
        <v>20250</v>
      </c>
      <c r="I307" s="192">
        <v>1</v>
      </c>
      <c r="J307" s="192">
        <v>777</v>
      </c>
      <c r="K307" s="192" t="s">
        <v>925</v>
      </c>
      <c r="L307" s="192" t="s">
        <v>737</v>
      </c>
      <c r="M307" s="192" t="s">
        <v>919</v>
      </c>
      <c r="N307" s="192" t="s">
        <v>65</v>
      </c>
      <c r="O307" s="192" t="s">
        <v>65</v>
      </c>
      <c r="P307" s="192" t="s">
        <v>65</v>
      </c>
      <c r="Q307" s="192">
        <v>0.23000000417232513</v>
      </c>
      <c r="R307" s="192">
        <v>3.0999999046325684</v>
      </c>
      <c r="S307" s="192">
        <f>VLOOKUP($H307,'RBSA Weights'!$A$2:$C$1406,3,FALSE)</f>
        <v>12271.31</v>
      </c>
    </row>
    <row r="308" spans="1:19">
      <c r="A308" s="192" t="s">
        <v>940</v>
      </c>
      <c r="C308" s="192">
        <v>0</v>
      </c>
      <c r="D308" s="192" t="s">
        <v>65</v>
      </c>
      <c r="E308" s="192">
        <v>1</v>
      </c>
      <c r="F308" s="192">
        <v>1</v>
      </c>
      <c r="G308" s="192">
        <v>78692</v>
      </c>
      <c r="H308" s="192">
        <v>21107</v>
      </c>
      <c r="I308" s="192">
        <v>1</v>
      </c>
      <c r="J308" s="192">
        <v>1410</v>
      </c>
      <c r="K308" s="192" t="s">
        <v>925</v>
      </c>
      <c r="L308" s="192" t="s">
        <v>930</v>
      </c>
      <c r="M308" s="192" t="s">
        <v>923</v>
      </c>
      <c r="N308" s="192" t="s">
        <v>65</v>
      </c>
      <c r="O308" s="192" t="s">
        <v>65</v>
      </c>
      <c r="P308" s="192" t="s">
        <v>65</v>
      </c>
      <c r="Q308" s="192">
        <v>0.23000000417232513</v>
      </c>
      <c r="R308" s="192">
        <v>4.5</v>
      </c>
      <c r="S308" s="192">
        <f>VLOOKUP($H308,'RBSA Weights'!$A$2:$C$1406,3,FALSE)</f>
        <v>1144.6790000000001</v>
      </c>
    </row>
    <row r="309" spans="1:19">
      <c r="A309" s="192" t="s">
        <v>940</v>
      </c>
      <c r="C309" s="192">
        <v>0</v>
      </c>
      <c r="D309" s="192" t="s">
        <v>65</v>
      </c>
      <c r="E309" s="192">
        <v>0</v>
      </c>
      <c r="G309" s="192">
        <v>241477</v>
      </c>
      <c r="H309" s="192">
        <v>22250</v>
      </c>
      <c r="I309" s="192">
        <v>1</v>
      </c>
      <c r="J309" s="192">
        <v>728</v>
      </c>
      <c r="K309" s="192" t="s">
        <v>65</v>
      </c>
      <c r="L309" s="192" t="s">
        <v>65</v>
      </c>
      <c r="M309" s="192" t="s">
        <v>919</v>
      </c>
      <c r="N309" s="192" t="s">
        <v>65</v>
      </c>
      <c r="O309" s="192" t="s">
        <v>959</v>
      </c>
      <c r="P309" s="192" t="s">
        <v>65</v>
      </c>
      <c r="Q309" s="192">
        <v>0.23000000417232513</v>
      </c>
      <c r="R309" s="192">
        <v>5</v>
      </c>
      <c r="S309" s="192">
        <f>VLOOKUP($H309,'RBSA Weights'!$A$2:$C$1406,3,FALSE)</f>
        <v>1904.288</v>
      </c>
    </row>
    <row r="310" spans="1:19">
      <c r="A310" s="192" t="s">
        <v>940</v>
      </c>
      <c r="C310" s="192">
        <v>0</v>
      </c>
      <c r="D310" s="192" t="s">
        <v>65</v>
      </c>
      <c r="E310" s="192">
        <v>0</v>
      </c>
      <c r="F310" s="192">
        <v>0</v>
      </c>
      <c r="G310" s="192">
        <v>77784</v>
      </c>
      <c r="H310" s="192">
        <v>22570</v>
      </c>
      <c r="I310" s="192">
        <v>1</v>
      </c>
      <c r="J310" s="192">
        <v>1215</v>
      </c>
      <c r="K310" s="192" t="s">
        <v>925</v>
      </c>
      <c r="L310" s="192" t="s">
        <v>927</v>
      </c>
      <c r="M310" s="192" t="s">
        <v>923</v>
      </c>
      <c r="N310" s="192" t="s">
        <v>65</v>
      </c>
      <c r="O310" s="192" t="s">
        <v>65</v>
      </c>
      <c r="P310" s="192" t="s">
        <v>65</v>
      </c>
      <c r="Q310" s="192">
        <v>0.23000000417232513</v>
      </c>
      <c r="R310" s="192">
        <v>5</v>
      </c>
      <c r="S310" s="192">
        <f>VLOOKUP($H310,'RBSA Weights'!$A$2:$C$1406,3,FALSE)</f>
        <v>1144.6790000000001</v>
      </c>
    </row>
    <row r="311" spans="1:19">
      <c r="A311" s="192" t="s">
        <v>940</v>
      </c>
      <c r="C311" s="192">
        <v>0</v>
      </c>
      <c r="D311" s="192" t="s">
        <v>65</v>
      </c>
      <c r="E311" s="192">
        <v>0</v>
      </c>
      <c r="F311" s="192">
        <v>0</v>
      </c>
      <c r="G311" s="192">
        <v>90479</v>
      </c>
      <c r="H311" s="192">
        <v>22293</v>
      </c>
      <c r="I311" s="192">
        <v>1</v>
      </c>
      <c r="J311" s="192">
        <v>360</v>
      </c>
      <c r="K311" s="192" t="s">
        <v>925</v>
      </c>
      <c r="L311" s="192" t="s">
        <v>922</v>
      </c>
      <c r="M311" s="192" t="s">
        <v>919</v>
      </c>
      <c r="N311" s="192" t="s">
        <v>65</v>
      </c>
      <c r="O311" s="192" t="s">
        <v>65</v>
      </c>
      <c r="P311" s="192" t="s">
        <v>65</v>
      </c>
      <c r="Q311" s="192">
        <v>0.23000000417232513</v>
      </c>
      <c r="R311" s="192">
        <v>5</v>
      </c>
      <c r="S311" s="192">
        <f>VLOOKUP($H311,'RBSA Weights'!$A$2:$C$1406,3,FALSE)</f>
        <v>1925.059</v>
      </c>
    </row>
    <row r="312" spans="1:19">
      <c r="A312" s="192" t="s">
        <v>940</v>
      </c>
      <c r="C312" s="192">
        <v>1</v>
      </c>
      <c r="D312" s="192" t="s">
        <v>941</v>
      </c>
      <c r="E312" s="192">
        <v>0</v>
      </c>
      <c r="G312" s="192">
        <v>240498</v>
      </c>
      <c r="H312" s="192">
        <v>24202</v>
      </c>
      <c r="I312" s="192">
        <v>1</v>
      </c>
      <c r="J312" s="192">
        <v>1470</v>
      </c>
      <c r="K312" s="192" t="s">
        <v>925</v>
      </c>
      <c r="L312" s="192" t="s">
        <v>65</v>
      </c>
      <c r="M312" s="192" t="s">
        <v>919</v>
      </c>
      <c r="N312" s="192" t="s">
        <v>65</v>
      </c>
      <c r="O312" s="192" t="s">
        <v>960</v>
      </c>
      <c r="P312" s="192" t="s">
        <v>65</v>
      </c>
      <c r="Q312" s="192">
        <v>0.23000000417232513</v>
      </c>
      <c r="R312" s="192">
        <v>9.1000003814697266</v>
      </c>
      <c r="S312" s="192">
        <f>VLOOKUP($H312,'RBSA Weights'!$A$2:$C$1406,3,FALSE)</f>
        <v>1192.4649999999999</v>
      </c>
    </row>
    <row r="313" spans="1:19">
      <c r="A313" s="192" t="s">
        <v>940</v>
      </c>
      <c r="C313" s="192">
        <v>0</v>
      </c>
      <c r="D313" s="192" t="s">
        <v>65</v>
      </c>
      <c r="E313" s="192">
        <v>0</v>
      </c>
      <c r="G313" s="192">
        <v>164288</v>
      </c>
      <c r="H313" s="192">
        <v>22902</v>
      </c>
      <c r="I313" s="192">
        <v>1</v>
      </c>
      <c r="J313" s="192">
        <v>315</v>
      </c>
      <c r="K313" s="192" t="s">
        <v>65</v>
      </c>
      <c r="L313" s="192" t="s">
        <v>65</v>
      </c>
      <c r="M313" s="192" t="s">
        <v>919</v>
      </c>
      <c r="N313" s="192" t="s">
        <v>65</v>
      </c>
      <c r="O313" s="192" t="s">
        <v>65</v>
      </c>
      <c r="P313" s="192" t="s">
        <v>65</v>
      </c>
      <c r="Q313" s="192">
        <v>0.23000000417232513</v>
      </c>
      <c r="R313" s="192">
        <v>5</v>
      </c>
      <c r="S313" s="192">
        <f>VLOOKUP($H313,'RBSA Weights'!$A$2:$C$1406,3,FALSE)</f>
        <v>2130.886</v>
      </c>
    </row>
    <row r="314" spans="1:19">
      <c r="A314" s="192" t="s">
        <v>940</v>
      </c>
      <c r="C314" s="192">
        <v>1</v>
      </c>
      <c r="D314" s="192" t="s">
        <v>941</v>
      </c>
      <c r="E314" s="192">
        <v>1</v>
      </c>
      <c r="F314" s="192">
        <v>0</v>
      </c>
      <c r="G314" s="192">
        <v>106218</v>
      </c>
      <c r="H314" s="192">
        <v>24342</v>
      </c>
      <c r="I314" s="192">
        <v>1</v>
      </c>
      <c r="J314" s="192">
        <v>775</v>
      </c>
      <c r="K314" s="192" t="s">
        <v>918</v>
      </c>
      <c r="L314" s="192" t="s">
        <v>737</v>
      </c>
      <c r="M314" s="192" t="s">
        <v>919</v>
      </c>
      <c r="N314" s="192" t="s">
        <v>961</v>
      </c>
      <c r="O314" s="192" t="s">
        <v>65</v>
      </c>
      <c r="P314" s="192" t="s">
        <v>65</v>
      </c>
      <c r="Q314" s="192">
        <v>0.23000000417232513</v>
      </c>
      <c r="R314" s="192">
        <v>3.9000000953674316</v>
      </c>
      <c r="S314" s="192">
        <f>VLOOKUP($H314,'RBSA Weights'!$A$2:$C$1406,3,FALSE)</f>
        <v>2130.886</v>
      </c>
    </row>
    <row r="315" spans="1:19">
      <c r="A315" s="192" t="s">
        <v>940</v>
      </c>
      <c r="C315" s="192">
        <v>1</v>
      </c>
      <c r="D315" s="192" t="s">
        <v>921</v>
      </c>
      <c r="E315" s="192">
        <v>1</v>
      </c>
      <c r="F315" s="192">
        <v>0</v>
      </c>
      <c r="G315" s="192">
        <v>144155</v>
      </c>
      <c r="H315" s="192">
        <v>22095</v>
      </c>
      <c r="I315" s="192">
        <v>1</v>
      </c>
      <c r="J315" s="192">
        <v>975</v>
      </c>
      <c r="K315" s="192" t="s">
        <v>925</v>
      </c>
      <c r="L315" s="192" t="s">
        <v>927</v>
      </c>
      <c r="M315" s="192" t="s">
        <v>923</v>
      </c>
      <c r="N315" s="192" t="s">
        <v>65</v>
      </c>
      <c r="O315" s="192" t="s">
        <v>65</v>
      </c>
      <c r="P315" s="192" t="s">
        <v>65</v>
      </c>
      <c r="Q315" s="192">
        <v>0.23000000417232513</v>
      </c>
      <c r="R315" s="192">
        <v>4.5</v>
      </c>
      <c r="S315" s="192">
        <f>VLOOKUP($H315,'RBSA Weights'!$A$2:$C$1406,3,FALSE)</f>
        <v>2130.886</v>
      </c>
    </row>
    <row r="316" spans="1:19">
      <c r="A316" s="192" t="s">
        <v>940</v>
      </c>
      <c r="C316" s="192">
        <v>0</v>
      </c>
      <c r="D316" s="192" t="s">
        <v>65</v>
      </c>
      <c r="E316" s="192">
        <v>1</v>
      </c>
      <c r="F316" s="192">
        <v>0</v>
      </c>
      <c r="G316" s="192">
        <v>136990</v>
      </c>
      <c r="H316" s="192">
        <v>10062</v>
      </c>
      <c r="I316" s="192">
        <v>1</v>
      </c>
      <c r="J316" s="192">
        <v>884</v>
      </c>
      <c r="K316" s="192" t="s">
        <v>918</v>
      </c>
      <c r="L316" s="192" t="s">
        <v>65</v>
      </c>
      <c r="M316" s="192" t="s">
        <v>923</v>
      </c>
      <c r="N316" s="192" t="s">
        <v>65</v>
      </c>
      <c r="O316" s="192" t="s">
        <v>65</v>
      </c>
      <c r="P316" s="192" t="s">
        <v>65</v>
      </c>
      <c r="Q316" s="192">
        <v>0.23000000417232513</v>
      </c>
      <c r="R316" s="192">
        <v>3.0999999046325684</v>
      </c>
      <c r="S316" s="192">
        <f>VLOOKUP($H316,'RBSA Weights'!$A$2:$C$1406,3,FALSE)</f>
        <v>4956.4930000000004</v>
      </c>
    </row>
    <row r="317" spans="1:19">
      <c r="A317" s="192" t="s">
        <v>940</v>
      </c>
      <c r="C317" s="192">
        <v>0</v>
      </c>
      <c r="D317" s="192" t="s">
        <v>65</v>
      </c>
      <c r="E317" s="192">
        <v>1</v>
      </c>
      <c r="F317" s="192">
        <v>0</v>
      </c>
      <c r="G317" s="192">
        <v>175460</v>
      </c>
      <c r="H317" s="192">
        <v>23486</v>
      </c>
      <c r="I317" s="192">
        <v>1</v>
      </c>
      <c r="J317" s="192">
        <v>1053</v>
      </c>
      <c r="K317" s="192" t="s">
        <v>918</v>
      </c>
      <c r="L317" s="192" t="s">
        <v>65</v>
      </c>
      <c r="M317" s="192" t="s">
        <v>919</v>
      </c>
      <c r="N317" s="192" t="s">
        <v>65</v>
      </c>
      <c r="O317" s="192" t="s">
        <v>65</v>
      </c>
      <c r="P317" s="192" t="s">
        <v>65</v>
      </c>
      <c r="Q317" s="192">
        <v>0.23000000417232513</v>
      </c>
      <c r="R317" s="192">
        <v>3.0999999046325684</v>
      </c>
      <c r="S317" s="192">
        <f>VLOOKUP($H317,'RBSA Weights'!$A$2:$C$1406,3,FALSE)</f>
        <v>1612.692</v>
      </c>
    </row>
    <row r="318" spans="1:19">
      <c r="A318" s="192" t="s">
        <v>940</v>
      </c>
      <c r="C318" s="192">
        <v>0</v>
      </c>
      <c r="D318" s="192" t="s">
        <v>65</v>
      </c>
      <c r="E318" s="192">
        <v>0</v>
      </c>
      <c r="G318" s="192">
        <v>87060</v>
      </c>
      <c r="H318" s="192">
        <v>24686</v>
      </c>
      <c r="I318" s="192">
        <v>1</v>
      </c>
      <c r="J318" s="192">
        <v>1200</v>
      </c>
      <c r="K318" s="192" t="s">
        <v>65</v>
      </c>
      <c r="L318" s="192" t="s">
        <v>65</v>
      </c>
      <c r="M318" s="192" t="s">
        <v>919</v>
      </c>
      <c r="N318" s="192" t="s">
        <v>65</v>
      </c>
      <c r="O318" s="192" t="s">
        <v>65</v>
      </c>
      <c r="P318" s="192" t="s">
        <v>65</v>
      </c>
      <c r="Q318" s="192">
        <v>0.23000000417232513</v>
      </c>
      <c r="R318" s="192">
        <v>5</v>
      </c>
      <c r="S318" s="192">
        <f>VLOOKUP($H318,'RBSA Weights'!$A$2:$C$1406,3,FALSE)</f>
        <v>1144.6790000000001</v>
      </c>
    </row>
    <row r="319" spans="1:19">
      <c r="A319" s="192" t="s">
        <v>940</v>
      </c>
      <c r="C319" s="192">
        <v>0</v>
      </c>
      <c r="D319" s="192" t="s">
        <v>65</v>
      </c>
      <c r="E319" s="192">
        <v>1</v>
      </c>
      <c r="F319" s="192">
        <v>0</v>
      </c>
      <c r="G319" s="192">
        <v>74988</v>
      </c>
      <c r="H319" s="192">
        <v>20930</v>
      </c>
      <c r="I319" s="192">
        <v>1</v>
      </c>
      <c r="J319" s="192">
        <v>246</v>
      </c>
      <c r="K319" s="192" t="s">
        <v>925</v>
      </c>
      <c r="L319" s="192" t="s">
        <v>927</v>
      </c>
      <c r="M319" s="192" t="s">
        <v>923</v>
      </c>
      <c r="N319" s="192" t="s">
        <v>65</v>
      </c>
      <c r="O319" s="192" t="s">
        <v>65</v>
      </c>
      <c r="P319" s="192" t="s">
        <v>65</v>
      </c>
      <c r="Q319" s="192">
        <v>0.23000000417232513</v>
      </c>
      <c r="R319" s="192">
        <v>3.0999999046325684</v>
      </c>
      <c r="S319" s="192">
        <f>VLOOKUP($H319,'RBSA Weights'!$A$2:$C$1406,3,FALSE)</f>
        <v>1904.288</v>
      </c>
    </row>
    <row r="320" spans="1:19">
      <c r="A320" s="192" t="s">
        <v>940</v>
      </c>
      <c r="C320" s="192">
        <v>1</v>
      </c>
      <c r="D320" s="192" t="s">
        <v>933</v>
      </c>
      <c r="E320" s="192">
        <v>1</v>
      </c>
      <c r="F320" s="192">
        <v>1</v>
      </c>
      <c r="G320" s="192">
        <v>95399</v>
      </c>
      <c r="H320" s="192">
        <v>22398</v>
      </c>
      <c r="I320" s="192">
        <v>1</v>
      </c>
      <c r="J320" s="192">
        <v>1518</v>
      </c>
      <c r="K320" s="192" t="s">
        <v>925</v>
      </c>
      <c r="L320" s="192" t="s">
        <v>927</v>
      </c>
      <c r="M320" s="192" t="s">
        <v>923</v>
      </c>
      <c r="N320" s="192" t="s">
        <v>926</v>
      </c>
      <c r="O320" s="192" t="s">
        <v>65</v>
      </c>
      <c r="P320" s="192" t="s">
        <v>65</v>
      </c>
      <c r="Q320" s="192">
        <v>0.23000000417232513</v>
      </c>
      <c r="R320" s="192">
        <v>8.8000001907348633</v>
      </c>
      <c r="S320" s="192">
        <f>VLOOKUP($H320,'RBSA Weights'!$A$2:$C$1406,3,FALSE)</f>
        <v>1144.6790000000001</v>
      </c>
    </row>
    <row r="321" spans="1:19">
      <c r="A321" s="192" t="s">
        <v>940</v>
      </c>
      <c r="C321" s="192">
        <v>1</v>
      </c>
      <c r="D321" s="192" t="s">
        <v>921</v>
      </c>
      <c r="E321" s="192">
        <v>1</v>
      </c>
      <c r="F321" s="192">
        <v>0</v>
      </c>
      <c r="G321" s="192">
        <v>184889</v>
      </c>
      <c r="H321" s="192">
        <v>20154</v>
      </c>
      <c r="I321" s="192">
        <v>1</v>
      </c>
      <c r="J321" s="192">
        <v>1512</v>
      </c>
      <c r="K321" s="192" t="s">
        <v>925</v>
      </c>
      <c r="L321" s="192" t="s">
        <v>927</v>
      </c>
      <c r="M321" s="192" t="s">
        <v>919</v>
      </c>
      <c r="N321" s="192" t="s">
        <v>65</v>
      </c>
      <c r="O321" s="192" t="s">
        <v>65</v>
      </c>
      <c r="P321" s="192" t="s">
        <v>65</v>
      </c>
      <c r="Q321" s="192">
        <v>0.23000000417232513</v>
      </c>
      <c r="R321" s="192">
        <v>4.5</v>
      </c>
      <c r="S321" s="192">
        <f>VLOOKUP($H321,'RBSA Weights'!$A$2:$C$1406,3,FALSE)</f>
        <v>3785.7640000000001</v>
      </c>
    </row>
    <row r="322" spans="1:19">
      <c r="A322" s="192" t="s">
        <v>940</v>
      </c>
      <c r="C322" s="192">
        <v>0</v>
      </c>
      <c r="D322" s="192" t="s">
        <v>65</v>
      </c>
      <c r="E322" s="192">
        <v>0</v>
      </c>
      <c r="F322" s="192">
        <v>0</v>
      </c>
      <c r="G322" s="192">
        <v>90601</v>
      </c>
      <c r="H322" s="192">
        <v>21692</v>
      </c>
      <c r="I322" s="192">
        <v>1</v>
      </c>
      <c r="J322" s="192">
        <v>1332</v>
      </c>
      <c r="K322" s="192" t="s">
        <v>918</v>
      </c>
      <c r="L322" s="192" t="s">
        <v>737</v>
      </c>
      <c r="M322" s="192" t="s">
        <v>919</v>
      </c>
      <c r="N322" s="192" t="s">
        <v>65</v>
      </c>
      <c r="O322" s="192" t="s">
        <v>65</v>
      </c>
      <c r="P322" s="192" t="s">
        <v>65</v>
      </c>
      <c r="Q322" s="192">
        <v>0.23000000417232513</v>
      </c>
      <c r="R322" s="192">
        <v>5</v>
      </c>
      <c r="S322" s="192">
        <f>VLOOKUP($H322,'RBSA Weights'!$A$2:$C$1406,3,FALSE)</f>
        <v>8559.1039999999994</v>
      </c>
    </row>
    <row r="323" spans="1:19">
      <c r="A323" s="192" t="s">
        <v>940</v>
      </c>
      <c r="C323" s="192">
        <v>0</v>
      </c>
      <c r="D323" s="192" t="s">
        <v>65</v>
      </c>
      <c r="E323" s="192">
        <v>0</v>
      </c>
      <c r="G323" s="192">
        <v>238072</v>
      </c>
      <c r="H323" s="192">
        <v>21601</v>
      </c>
      <c r="I323" s="192">
        <v>1</v>
      </c>
      <c r="J323" s="192">
        <v>1008</v>
      </c>
      <c r="K323" s="192" t="s">
        <v>925</v>
      </c>
      <c r="L323" s="192" t="s">
        <v>65</v>
      </c>
      <c r="M323" s="192" t="s">
        <v>919</v>
      </c>
      <c r="N323" s="192" t="s">
        <v>65</v>
      </c>
      <c r="O323" s="192" t="s">
        <v>65</v>
      </c>
      <c r="P323" s="192" t="s">
        <v>65</v>
      </c>
      <c r="Q323" s="192">
        <v>0.23000000417232513</v>
      </c>
      <c r="R323" s="192">
        <v>5</v>
      </c>
      <c r="S323" s="192">
        <f>VLOOKUP($H323,'RBSA Weights'!$A$2:$C$1406,3,FALSE)</f>
        <v>2079.9929999999999</v>
      </c>
    </row>
    <row r="324" spans="1:19">
      <c r="A324" s="192" t="s">
        <v>940</v>
      </c>
      <c r="C324" s="192">
        <v>1</v>
      </c>
      <c r="D324" s="192" t="s">
        <v>921</v>
      </c>
      <c r="E324" s="192">
        <v>1</v>
      </c>
      <c r="F324" s="192">
        <v>0</v>
      </c>
      <c r="G324" s="192">
        <v>56249</v>
      </c>
      <c r="H324" s="192">
        <v>21501</v>
      </c>
      <c r="I324" s="192">
        <v>1</v>
      </c>
      <c r="J324" s="192">
        <v>1664</v>
      </c>
      <c r="K324" s="192" t="s">
        <v>925</v>
      </c>
      <c r="L324" s="192" t="s">
        <v>927</v>
      </c>
      <c r="M324" s="192" t="s">
        <v>923</v>
      </c>
      <c r="N324" s="192" t="s">
        <v>924</v>
      </c>
      <c r="O324" s="192" t="s">
        <v>65</v>
      </c>
      <c r="P324" s="192" t="s">
        <v>65</v>
      </c>
      <c r="Q324" s="192">
        <v>0.23000000417232513</v>
      </c>
      <c r="R324" s="192">
        <v>4.5</v>
      </c>
      <c r="S324" s="192">
        <f>VLOOKUP($H324,'RBSA Weights'!$A$2:$C$1406,3,FALSE)</f>
        <v>3785.7640000000001</v>
      </c>
    </row>
    <row r="325" spans="1:19">
      <c r="A325" s="192" t="s">
        <v>940</v>
      </c>
      <c r="C325" s="192">
        <v>1</v>
      </c>
      <c r="D325" s="192" t="s">
        <v>941</v>
      </c>
      <c r="E325" s="192">
        <v>0</v>
      </c>
      <c r="F325" s="192">
        <v>0</v>
      </c>
      <c r="G325" s="192">
        <v>68097</v>
      </c>
      <c r="H325" s="192">
        <v>22369</v>
      </c>
      <c r="I325" s="192">
        <v>1</v>
      </c>
      <c r="J325" s="192">
        <v>1968</v>
      </c>
      <c r="K325" s="192" t="s">
        <v>925</v>
      </c>
      <c r="L325" s="192" t="s">
        <v>930</v>
      </c>
      <c r="M325" s="192" t="s">
        <v>923</v>
      </c>
      <c r="N325" s="192" t="s">
        <v>926</v>
      </c>
      <c r="O325" s="192" t="s">
        <v>65</v>
      </c>
      <c r="P325" s="192" t="s">
        <v>65</v>
      </c>
      <c r="Q325" s="192">
        <v>0.23000000417232513</v>
      </c>
      <c r="R325" s="192">
        <v>9.1000003814697266</v>
      </c>
      <c r="S325" s="192">
        <f>VLOOKUP($H325,'RBSA Weights'!$A$2:$C$1406,3,FALSE)</f>
        <v>2130.886</v>
      </c>
    </row>
    <row r="326" spans="1:19">
      <c r="A326" s="192" t="s">
        <v>940</v>
      </c>
      <c r="C326" s="192">
        <v>1</v>
      </c>
      <c r="D326" s="192" t="s">
        <v>921</v>
      </c>
      <c r="E326" s="192">
        <v>1</v>
      </c>
      <c r="F326" s="192">
        <v>0</v>
      </c>
      <c r="G326" s="192">
        <v>101813</v>
      </c>
      <c r="H326" s="192">
        <v>21654</v>
      </c>
      <c r="I326" s="192">
        <v>1</v>
      </c>
      <c r="J326" s="192">
        <v>1933</v>
      </c>
      <c r="K326" s="192" t="s">
        <v>925</v>
      </c>
      <c r="L326" s="192" t="s">
        <v>927</v>
      </c>
      <c r="M326" s="192" t="s">
        <v>923</v>
      </c>
      <c r="N326" s="192" t="s">
        <v>943</v>
      </c>
      <c r="O326" s="192" t="s">
        <v>65</v>
      </c>
      <c r="P326" s="192" t="s">
        <v>65</v>
      </c>
      <c r="Q326" s="192">
        <v>0.23000000417232513</v>
      </c>
      <c r="R326" s="192">
        <v>4.5</v>
      </c>
      <c r="S326" s="192">
        <f>VLOOKUP($H326,'RBSA Weights'!$A$2:$C$1406,3,FALSE)</f>
        <v>1144.6790000000001</v>
      </c>
    </row>
    <row r="327" spans="1:19">
      <c r="A327" s="192" t="s">
        <v>940</v>
      </c>
      <c r="C327" s="192">
        <v>1</v>
      </c>
      <c r="D327" s="192" t="s">
        <v>921</v>
      </c>
      <c r="E327" s="192">
        <v>1</v>
      </c>
      <c r="F327" s="192">
        <v>0</v>
      </c>
      <c r="G327" s="192">
        <v>176472</v>
      </c>
      <c r="H327" s="192">
        <v>24740</v>
      </c>
      <c r="I327" s="192">
        <v>1</v>
      </c>
      <c r="J327" s="192">
        <v>1323</v>
      </c>
      <c r="K327" s="192" t="s">
        <v>925</v>
      </c>
      <c r="L327" s="192" t="s">
        <v>927</v>
      </c>
      <c r="M327" s="192" t="s">
        <v>923</v>
      </c>
      <c r="N327" s="192" t="s">
        <v>65</v>
      </c>
      <c r="O327" s="192" t="s">
        <v>65</v>
      </c>
      <c r="P327" s="192" t="s">
        <v>65</v>
      </c>
      <c r="Q327" s="192">
        <v>0.23000000417232513</v>
      </c>
      <c r="R327" s="192">
        <v>4.5</v>
      </c>
      <c r="S327" s="192">
        <f>VLOOKUP($H327,'RBSA Weights'!$A$2:$C$1406,3,FALSE)</f>
        <v>2130.886</v>
      </c>
    </row>
    <row r="328" spans="1:19">
      <c r="A328" s="192" t="s">
        <v>940</v>
      </c>
      <c r="C328" s="192">
        <v>1</v>
      </c>
      <c r="D328" s="192" t="s">
        <v>933</v>
      </c>
      <c r="E328" s="192">
        <v>0</v>
      </c>
      <c r="G328" s="192">
        <v>248412</v>
      </c>
      <c r="H328" s="192">
        <v>22615</v>
      </c>
      <c r="I328" s="192">
        <v>1</v>
      </c>
      <c r="J328" s="192">
        <v>1441</v>
      </c>
      <c r="K328" s="192" t="s">
        <v>925</v>
      </c>
      <c r="L328" s="192" t="s">
        <v>930</v>
      </c>
      <c r="M328" s="192" t="s">
        <v>923</v>
      </c>
      <c r="N328" s="192" t="s">
        <v>65</v>
      </c>
      <c r="O328" s="192" t="s">
        <v>962</v>
      </c>
      <c r="P328" s="192" t="s">
        <v>65</v>
      </c>
      <c r="Q328" s="192">
        <v>0.23000000417232513</v>
      </c>
      <c r="R328" s="192">
        <v>10.699999809265137</v>
      </c>
      <c r="S328" s="192">
        <f>VLOOKUP($H328,'RBSA Weights'!$A$2:$C$1406,3,FALSE)</f>
        <v>2130.886</v>
      </c>
    </row>
    <row r="329" spans="1:19">
      <c r="A329" s="192" t="s">
        <v>940</v>
      </c>
      <c r="C329" s="192">
        <v>0</v>
      </c>
      <c r="D329" s="192" t="s">
        <v>65</v>
      </c>
      <c r="E329" s="192">
        <v>1</v>
      </c>
      <c r="F329" s="192">
        <v>0</v>
      </c>
      <c r="G329" s="192">
        <v>170631</v>
      </c>
      <c r="H329" s="192">
        <v>24408</v>
      </c>
      <c r="I329" s="192">
        <v>1</v>
      </c>
      <c r="J329" s="192">
        <v>770</v>
      </c>
      <c r="K329" s="192" t="s">
        <v>918</v>
      </c>
      <c r="L329" s="192" t="s">
        <v>65</v>
      </c>
      <c r="M329" s="192" t="s">
        <v>919</v>
      </c>
      <c r="N329" s="192" t="s">
        <v>65</v>
      </c>
      <c r="O329" s="192" t="s">
        <v>65</v>
      </c>
      <c r="P329" s="192" t="s">
        <v>65</v>
      </c>
      <c r="Q329" s="192">
        <v>0.23000000417232513</v>
      </c>
      <c r="R329" s="192">
        <v>3.0999999046325684</v>
      </c>
      <c r="S329" s="192">
        <f>VLOOKUP($H329,'RBSA Weights'!$A$2:$C$1406,3,FALSE)</f>
        <v>1612.692</v>
      </c>
    </row>
    <row r="330" spans="1:19">
      <c r="A330" s="192" t="s">
        <v>940</v>
      </c>
      <c r="C330" s="192">
        <v>0</v>
      </c>
      <c r="D330" s="192" t="s">
        <v>65</v>
      </c>
      <c r="E330" s="192">
        <v>1</v>
      </c>
      <c r="F330" s="192">
        <v>0</v>
      </c>
      <c r="G330" s="192">
        <v>722931</v>
      </c>
      <c r="H330" s="192">
        <v>12975</v>
      </c>
      <c r="I330" s="192">
        <v>1</v>
      </c>
      <c r="J330" s="192">
        <v>1188</v>
      </c>
      <c r="K330" s="192" t="s">
        <v>918</v>
      </c>
      <c r="L330" s="192" t="s">
        <v>65</v>
      </c>
      <c r="M330" s="192" t="s">
        <v>919</v>
      </c>
      <c r="N330" s="192" t="s">
        <v>65</v>
      </c>
      <c r="O330" s="192" t="s">
        <v>65</v>
      </c>
      <c r="P330" s="192" t="s">
        <v>65</v>
      </c>
      <c r="Q330" s="192">
        <v>0.23000000417232513</v>
      </c>
      <c r="R330" s="192">
        <v>3.0999999046325684</v>
      </c>
      <c r="S330" s="192">
        <f>VLOOKUP($H330,'RBSA Weights'!$A$2:$C$1406,3,FALSE)</f>
        <v>6932.7380000000003</v>
      </c>
    </row>
    <row r="331" spans="1:19">
      <c r="A331" s="192" t="s">
        <v>940</v>
      </c>
      <c r="C331" s="192">
        <v>0</v>
      </c>
      <c r="D331" s="192" t="s">
        <v>65</v>
      </c>
      <c r="E331" s="192">
        <v>0</v>
      </c>
      <c r="G331" s="192">
        <v>194407</v>
      </c>
      <c r="H331" s="192">
        <v>22295</v>
      </c>
      <c r="I331" s="192">
        <v>1</v>
      </c>
      <c r="J331" s="192">
        <v>556</v>
      </c>
      <c r="K331" s="192" t="s">
        <v>925</v>
      </c>
      <c r="L331" s="192" t="s">
        <v>927</v>
      </c>
      <c r="M331" s="192" t="s">
        <v>923</v>
      </c>
      <c r="N331" s="192" t="s">
        <v>65</v>
      </c>
      <c r="O331" s="192" t="s">
        <v>65</v>
      </c>
      <c r="P331" s="192" t="s">
        <v>65</v>
      </c>
      <c r="Q331" s="192">
        <v>0.23000000417232513</v>
      </c>
      <c r="R331" s="192">
        <v>5</v>
      </c>
      <c r="S331" s="192">
        <f>VLOOKUP($H331,'RBSA Weights'!$A$2:$C$1406,3,FALSE)</f>
        <v>1925.059</v>
      </c>
    </row>
    <row r="332" spans="1:19">
      <c r="A332" s="192" t="s">
        <v>940</v>
      </c>
      <c r="C332" s="192">
        <v>0</v>
      </c>
      <c r="D332" s="192" t="s">
        <v>65</v>
      </c>
      <c r="E332" s="192">
        <v>0</v>
      </c>
      <c r="G332" s="192">
        <v>163134</v>
      </c>
      <c r="H332" s="192">
        <v>24500</v>
      </c>
      <c r="I332" s="192">
        <v>1</v>
      </c>
      <c r="J332" s="192">
        <v>468</v>
      </c>
      <c r="K332" s="192" t="s">
        <v>925</v>
      </c>
      <c r="L332" s="192" t="s">
        <v>737</v>
      </c>
      <c r="M332" s="192" t="s">
        <v>919</v>
      </c>
      <c r="N332" s="192" t="s">
        <v>65</v>
      </c>
      <c r="O332" s="192" t="s">
        <v>65</v>
      </c>
      <c r="P332" s="192" t="s">
        <v>65</v>
      </c>
      <c r="Q332" s="192">
        <v>0.23000000417232513</v>
      </c>
      <c r="R332" s="192">
        <v>5</v>
      </c>
      <c r="S332" s="192">
        <f>VLOOKUP($H332,'RBSA Weights'!$A$2:$C$1406,3,FALSE)</f>
        <v>1192.4649999999999</v>
      </c>
    </row>
    <row r="333" spans="1:19">
      <c r="A333" s="192" t="s">
        <v>940</v>
      </c>
      <c r="C333" s="192">
        <v>1</v>
      </c>
      <c r="D333" s="192" t="s">
        <v>921</v>
      </c>
      <c r="E333" s="192">
        <v>1</v>
      </c>
      <c r="F333" s="192">
        <v>0</v>
      </c>
      <c r="G333" s="192">
        <v>175908</v>
      </c>
      <c r="H333" s="192">
        <v>22649</v>
      </c>
      <c r="I333" s="192">
        <v>2</v>
      </c>
      <c r="J333" s="192">
        <v>156</v>
      </c>
      <c r="K333" s="192" t="s">
        <v>925</v>
      </c>
      <c r="L333" s="192" t="s">
        <v>922</v>
      </c>
      <c r="M333" s="192" t="s">
        <v>919</v>
      </c>
      <c r="N333" s="192" t="s">
        <v>65</v>
      </c>
      <c r="O333" s="192" t="s">
        <v>65</v>
      </c>
      <c r="P333" s="192" t="s">
        <v>65</v>
      </c>
      <c r="Q333" s="192">
        <v>0.23000000417232513</v>
      </c>
      <c r="R333" s="192">
        <v>4.5</v>
      </c>
      <c r="S333" s="192">
        <f>VLOOKUP($H333,'RBSA Weights'!$A$2:$C$1406,3,FALSE)</f>
        <v>1925.059</v>
      </c>
    </row>
    <row r="334" spans="1:19">
      <c r="A334" s="192" t="s">
        <v>940</v>
      </c>
      <c r="C334" s="192">
        <v>0</v>
      </c>
      <c r="D334" s="192" t="s">
        <v>65</v>
      </c>
      <c r="E334" s="192">
        <v>1</v>
      </c>
      <c r="F334" s="192">
        <v>0</v>
      </c>
      <c r="G334" s="192">
        <v>115371</v>
      </c>
      <c r="H334" s="192">
        <v>21889</v>
      </c>
      <c r="I334" s="192">
        <v>1</v>
      </c>
      <c r="J334" s="192">
        <v>1705</v>
      </c>
      <c r="K334" s="192" t="s">
        <v>925</v>
      </c>
      <c r="L334" s="192" t="s">
        <v>737</v>
      </c>
      <c r="M334" s="192" t="s">
        <v>923</v>
      </c>
      <c r="N334" s="192" t="s">
        <v>65</v>
      </c>
      <c r="O334" s="192" t="s">
        <v>65</v>
      </c>
      <c r="P334" s="192" t="s">
        <v>65</v>
      </c>
      <c r="Q334" s="192">
        <v>0.23000000417232513</v>
      </c>
      <c r="R334" s="192">
        <v>3.0999999046325684</v>
      </c>
      <c r="S334" s="192">
        <f>VLOOKUP($H334,'RBSA Weights'!$A$2:$C$1406,3,FALSE)</f>
        <v>1925.059</v>
      </c>
    </row>
    <row r="335" spans="1:19">
      <c r="A335" s="192" t="s">
        <v>940</v>
      </c>
      <c r="C335" s="192">
        <v>0</v>
      </c>
      <c r="D335" s="192" t="s">
        <v>65</v>
      </c>
      <c r="E335" s="192">
        <v>0</v>
      </c>
      <c r="F335" s="192">
        <v>0</v>
      </c>
      <c r="G335" s="192">
        <v>102085</v>
      </c>
      <c r="H335" s="192">
        <v>21856</v>
      </c>
      <c r="I335" s="192">
        <v>1</v>
      </c>
      <c r="J335" s="192">
        <v>336</v>
      </c>
      <c r="K335" s="192" t="s">
        <v>918</v>
      </c>
      <c r="L335" s="192" t="s">
        <v>737</v>
      </c>
      <c r="M335" s="192" t="s">
        <v>923</v>
      </c>
      <c r="N335" s="192" t="s">
        <v>65</v>
      </c>
      <c r="O335" s="192" t="s">
        <v>65</v>
      </c>
      <c r="P335" s="192" t="s">
        <v>65</v>
      </c>
      <c r="Q335" s="192">
        <v>0.23000000417232513</v>
      </c>
      <c r="R335" s="192">
        <v>5</v>
      </c>
      <c r="S335" s="192">
        <f>VLOOKUP($H335,'RBSA Weights'!$A$2:$C$1406,3,FALSE)</f>
        <v>2130.886</v>
      </c>
    </row>
    <row r="336" spans="1:19">
      <c r="A336" s="192" t="s">
        <v>940</v>
      </c>
      <c r="C336" s="192">
        <v>0</v>
      </c>
      <c r="D336" s="192" t="s">
        <v>65</v>
      </c>
      <c r="E336" s="192">
        <v>1</v>
      </c>
      <c r="F336" s="192">
        <v>0</v>
      </c>
      <c r="G336" s="192">
        <v>148515</v>
      </c>
      <c r="H336" s="192">
        <v>20809</v>
      </c>
      <c r="I336" s="192">
        <v>1</v>
      </c>
      <c r="J336" s="192">
        <v>1200</v>
      </c>
      <c r="K336" s="192" t="s">
        <v>925</v>
      </c>
      <c r="L336" s="192" t="s">
        <v>737</v>
      </c>
      <c r="M336" s="192" t="s">
        <v>923</v>
      </c>
      <c r="N336" s="192" t="s">
        <v>65</v>
      </c>
      <c r="O336" s="192" t="s">
        <v>65</v>
      </c>
      <c r="P336" s="192" t="s">
        <v>65</v>
      </c>
      <c r="Q336" s="192">
        <v>0.23000000417232513</v>
      </c>
      <c r="R336" s="192">
        <v>3.0999999046325684</v>
      </c>
      <c r="S336" s="192">
        <f>VLOOKUP($H336,'RBSA Weights'!$A$2:$C$1406,3,FALSE)</f>
        <v>1192.4649999999999</v>
      </c>
    </row>
    <row r="337" spans="1:19">
      <c r="A337" s="192" t="s">
        <v>940</v>
      </c>
      <c r="C337" s="192">
        <v>1</v>
      </c>
      <c r="D337" s="192" t="s">
        <v>921</v>
      </c>
      <c r="E337" s="192">
        <v>1</v>
      </c>
      <c r="F337" s="192">
        <v>0</v>
      </c>
      <c r="G337" s="192">
        <v>147338</v>
      </c>
      <c r="H337" s="192">
        <v>20958</v>
      </c>
      <c r="I337" s="192">
        <v>1</v>
      </c>
      <c r="J337" s="192">
        <v>2400</v>
      </c>
      <c r="K337" s="192" t="s">
        <v>925</v>
      </c>
      <c r="L337" s="192" t="s">
        <v>927</v>
      </c>
      <c r="M337" s="192" t="s">
        <v>923</v>
      </c>
      <c r="N337" s="192" t="s">
        <v>65</v>
      </c>
      <c r="O337" s="192" t="s">
        <v>65</v>
      </c>
      <c r="P337" s="192" t="s">
        <v>65</v>
      </c>
      <c r="Q337" s="192">
        <v>0.23000000417232513</v>
      </c>
      <c r="R337" s="192">
        <v>4.5</v>
      </c>
      <c r="S337" s="192">
        <f>VLOOKUP($H337,'RBSA Weights'!$A$2:$C$1406,3,FALSE)</f>
        <v>1192.4649999999999</v>
      </c>
    </row>
    <row r="338" spans="1:19">
      <c r="A338" s="192" t="s">
        <v>940</v>
      </c>
      <c r="C338" s="192">
        <v>0</v>
      </c>
      <c r="D338" s="192" t="s">
        <v>65</v>
      </c>
      <c r="E338" s="192">
        <v>1</v>
      </c>
      <c r="F338" s="192">
        <v>0</v>
      </c>
      <c r="G338" s="192">
        <v>110603</v>
      </c>
      <c r="H338" s="192">
        <v>21503</v>
      </c>
      <c r="I338" s="192">
        <v>1</v>
      </c>
      <c r="J338" s="192">
        <v>1300</v>
      </c>
      <c r="K338" s="192" t="s">
        <v>918</v>
      </c>
      <c r="L338" s="192" t="s">
        <v>922</v>
      </c>
      <c r="M338" s="192" t="s">
        <v>923</v>
      </c>
      <c r="N338" s="192" t="s">
        <v>65</v>
      </c>
      <c r="O338" s="192" t="s">
        <v>65</v>
      </c>
      <c r="P338" s="192" t="s">
        <v>65</v>
      </c>
      <c r="Q338" s="192">
        <v>0.23000000417232513</v>
      </c>
      <c r="R338" s="192">
        <v>3.0999999046325684</v>
      </c>
      <c r="S338" s="192">
        <f>VLOOKUP($H338,'RBSA Weights'!$A$2:$C$1406,3,FALSE)</f>
        <v>2079.9929999999999</v>
      </c>
    </row>
    <row r="339" spans="1:19">
      <c r="A339" s="192" t="s">
        <v>940</v>
      </c>
      <c r="C339" s="192">
        <v>0</v>
      </c>
      <c r="D339" s="192" t="s">
        <v>65</v>
      </c>
      <c r="E339" s="192">
        <v>1</v>
      </c>
      <c r="F339" s="192">
        <v>0</v>
      </c>
      <c r="G339" s="192">
        <v>170631</v>
      </c>
      <c r="H339" s="192">
        <v>24408</v>
      </c>
      <c r="I339" s="192">
        <v>2</v>
      </c>
      <c r="J339" s="192">
        <v>475</v>
      </c>
      <c r="K339" s="192" t="s">
        <v>925</v>
      </c>
      <c r="L339" s="192" t="s">
        <v>737</v>
      </c>
      <c r="M339" s="192" t="s">
        <v>919</v>
      </c>
      <c r="N339" s="192" t="s">
        <v>65</v>
      </c>
      <c r="O339" s="192" t="s">
        <v>65</v>
      </c>
      <c r="P339" s="192" t="s">
        <v>65</v>
      </c>
      <c r="Q339" s="192">
        <v>0.23000000417232513</v>
      </c>
      <c r="R339" s="192">
        <v>3.0999999046325684</v>
      </c>
      <c r="S339" s="192">
        <f>VLOOKUP($H339,'RBSA Weights'!$A$2:$C$1406,3,FALSE)</f>
        <v>1612.692</v>
      </c>
    </row>
    <row r="340" spans="1:19">
      <c r="A340" s="192" t="s">
        <v>940</v>
      </c>
      <c r="C340" s="192">
        <v>0</v>
      </c>
      <c r="D340" s="192" t="s">
        <v>65</v>
      </c>
      <c r="E340" s="192">
        <v>0</v>
      </c>
      <c r="F340" s="192">
        <v>0</v>
      </c>
      <c r="G340" s="192">
        <v>102170</v>
      </c>
      <c r="H340" s="192">
        <v>21612</v>
      </c>
      <c r="I340" s="192">
        <v>1</v>
      </c>
      <c r="J340" s="192">
        <v>437</v>
      </c>
      <c r="K340" s="192" t="s">
        <v>918</v>
      </c>
      <c r="L340" s="192" t="s">
        <v>927</v>
      </c>
      <c r="M340" s="192" t="s">
        <v>923</v>
      </c>
      <c r="N340" s="192" t="s">
        <v>65</v>
      </c>
      <c r="O340" s="192" t="s">
        <v>65</v>
      </c>
      <c r="P340" s="192" t="s">
        <v>65</v>
      </c>
      <c r="Q340" s="192">
        <v>0.23000000417232513</v>
      </c>
      <c r="R340" s="192">
        <v>5</v>
      </c>
      <c r="S340" s="192">
        <f>VLOOKUP($H340,'RBSA Weights'!$A$2:$C$1406,3,FALSE)</f>
        <v>2130.886</v>
      </c>
    </row>
    <row r="341" spans="1:19">
      <c r="A341" s="192" t="s">
        <v>940</v>
      </c>
      <c r="C341" s="192">
        <v>0</v>
      </c>
      <c r="D341" s="192" t="s">
        <v>65</v>
      </c>
      <c r="E341" s="192">
        <v>0</v>
      </c>
      <c r="G341" s="192">
        <v>193745</v>
      </c>
      <c r="H341" s="192">
        <v>22618</v>
      </c>
      <c r="I341" s="192">
        <v>1</v>
      </c>
      <c r="J341" s="192">
        <v>900</v>
      </c>
      <c r="K341" s="192" t="s">
        <v>65</v>
      </c>
      <c r="L341" s="192" t="s">
        <v>65</v>
      </c>
      <c r="M341" s="192" t="s">
        <v>919</v>
      </c>
      <c r="N341" s="192" t="s">
        <v>65</v>
      </c>
      <c r="O341" s="192" t="s">
        <v>65</v>
      </c>
      <c r="P341" s="192" t="s">
        <v>65</v>
      </c>
      <c r="Q341" s="192">
        <v>0.23000000417232513</v>
      </c>
      <c r="R341" s="192">
        <v>5</v>
      </c>
      <c r="S341" s="192">
        <f>VLOOKUP($H341,'RBSA Weights'!$A$2:$C$1406,3,FALSE)</f>
        <v>2130.886</v>
      </c>
    </row>
    <row r="342" spans="1:19">
      <c r="A342" s="192" t="s">
        <v>940</v>
      </c>
      <c r="C342" s="192">
        <v>0</v>
      </c>
      <c r="D342" s="192" t="s">
        <v>65</v>
      </c>
      <c r="E342" s="192">
        <v>0</v>
      </c>
      <c r="G342" s="192">
        <v>241735</v>
      </c>
      <c r="H342" s="192">
        <v>22580</v>
      </c>
      <c r="I342" s="192">
        <v>1</v>
      </c>
      <c r="J342" s="192">
        <v>1092</v>
      </c>
      <c r="K342" s="192" t="s">
        <v>925</v>
      </c>
      <c r="L342" s="192" t="s">
        <v>737</v>
      </c>
      <c r="M342" s="192" t="s">
        <v>919</v>
      </c>
      <c r="N342" s="192" t="s">
        <v>65</v>
      </c>
      <c r="O342" s="192" t="s">
        <v>963</v>
      </c>
      <c r="P342" s="192" t="s">
        <v>65</v>
      </c>
      <c r="Q342" s="192">
        <v>0.23000000417232513</v>
      </c>
      <c r="R342" s="192">
        <v>5</v>
      </c>
      <c r="S342" s="192">
        <f>VLOOKUP($H342,'RBSA Weights'!$A$2:$C$1406,3,FALSE)</f>
        <v>12271.31</v>
      </c>
    </row>
    <row r="343" spans="1:19">
      <c r="A343" s="192" t="s">
        <v>940</v>
      </c>
      <c r="C343" s="192">
        <v>0</v>
      </c>
      <c r="D343" s="192" t="s">
        <v>65</v>
      </c>
      <c r="E343" s="192">
        <v>1</v>
      </c>
      <c r="F343" s="192">
        <v>0</v>
      </c>
      <c r="G343" s="192">
        <v>205939</v>
      </c>
      <c r="H343" s="192">
        <v>22181</v>
      </c>
      <c r="I343" s="192">
        <v>1</v>
      </c>
      <c r="J343" s="192">
        <v>1221</v>
      </c>
      <c r="K343" s="192" t="s">
        <v>925</v>
      </c>
      <c r="L343" s="192" t="s">
        <v>927</v>
      </c>
      <c r="M343" s="192" t="s">
        <v>923</v>
      </c>
      <c r="N343" s="192" t="s">
        <v>65</v>
      </c>
      <c r="O343" s="192" t="s">
        <v>65</v>
      </c>
      <c r="P343" s="192" t="s">
        <v>65</v>
      </c>
      <c r="Q343" s="192">
        <v>0.23000000417232513</v>
      </c>
      <c r="R343" s="192">
        <v>3.0999999046325684</v>
      </c>
      <c r="S343" s="192">
        <f>VLOOKUP($H343,'RBSA Weights'!$A$2:$C$1406,3,FALSE)</f>
        <v>1192.4649999999999</v>
      </c>
    </row>
    <row r="344" spans="1:19">
      <c r="A344" s="192" t="s">
        <v>920</v>
      </c>
      <c r="B344" s="192">
        <v>0.75</v>
      </c>
      <c r="C344" s="192">
        <v>0</v>
      </c>
      <c r="D344" s="192" t="s">
        <v>65</v>
      </c>
      <c r="E344" s="192">
        <v>1</v>
      </c>
      <c r="F344" s="192">
        <v>0</v>
      </c>
      <c r="G344" s="192">
        <v>47007</v>
      </c>
      <c r="H344" s="192">
        <v>23714</v>
      </c>
      <c r="I344" s="192">
        <v>1</v>
      </c>
      <c r="J344" s="192">
        <v>720</v>
      </c>
      <c r="K344" s="192" t="s">
        <v>918</v>
      </c>
      <c r="L344" s="192" t="s">
        <v>737</v>
      </c>
      <c r="M344" s="192" t="s">
        <v>923</v>
      </c>
      <c r="N344" s="192" t="s">
        <v>65</v>
      </c>
      <c r="O344" s="192" t="s">
        <v>65</v>
      </c>
      <c r="P344" s="192" t="s">
        <v>65</v>
      </c>
      <c r="Q344" s="192">
        <v>0.15999999642372131</v>
      </c>
      <c r="R344" s="192">
        <v>3.0999999046325684</v>
      </c>
      <c r="S344" s="192">
        <f>VLOOKUP($H344,'RBSA Weights'!$A$2:$C$1406,3,FALSE)</f>
        <v>8264.9449999999997</v>
      </c>
    </row>
    <row r="345" spans="1:19">
      <c r="A345" s="192" t="s">
        <v>920</v>
      </c>
      <c r="B345" s="192">
        <v>0.9</v>
      </c>
      <c r="C345" s="192">
        <v>0</v>
      </c>
      <c r="D345" s="192" t="s">
        <v>65</v>
      </c>
      <c r="E345" s="192">
        <v>1</v>
      </c>
      <c r="F345" s="192">
        <v>0</v>
      </c>
      <c r="G345" s="192">
        <v>113955</v>
      </c>
      <c r="H345" s="192">
        <v>12107</v>
      </c>
      <c r="I345" s="192">
        <v>1</v>
      </c>
      <c r="J345" s="192">
        <v>651</v>
      </c>
      <c r="K345" s="192" t="s">
        <v>918</v>
      </c>
      <c r="L345" s="192" t="s">
        <v>65</v>
      </c>
      <c r="M345" s="192" t="s">
        <v>65</v>
      </c>
      <c r="N345" s="192" t="s">
        <v>65</v>
      </c>
      <c r="O345" s="192" t="s">
        <v>65</v>
      </c>
      <c r="P345" s="192" t="s">
        <v>65</v>
      </c>
      <c r="Q345" s="192">
        <v>0.15000000596046448</v>
      </c>
      <c r="R345" s="192">
        <v>3.0999999046325684</v>
      </c>
      <c r="S345" s="192">
        <f>VLOOKUP($H345,'RBSA Weights'!$A$2:$C$1406,3,FALSE)</f>
        <v>4956.4930000000004</v>
      </c>
    </row>
    <row r="346" spans="1:19">
      <c r="A346" s="192" t="s">
        <v>920</v>
      </c>
      <c r="B346" s="192">
        <v>0.9</v>
      </c>
      <c r="C346" s="192">
        <v>0</v>
      </c>
      <c r="D346" s="192" t="s">
        <v>65</v>
      </c>
      <c r="E346" s="192">
        <v>1</v>
      </c>
      <c r="F346" s="192">
        <v>0</v>
      </c>
      <c r="G346" s="192">
        <v>63129</v>
      </c>
      <c r="H346" s="192">
        <v>10005</v>
      </c>
      <c r="I346" s="192">
        <v>1</v>
      </c>
      <c r="J346" s="192">
        <v>1254</v>
      </c>
      <c r="K346" s="192" t="s">
        <v>65</v>
      </c>
      <c r="L346" s="192" t="s">
        <v>65</v>
      </c>
      <c r="M346" s="192" t="s">
        <v>65</v>
      </c>
      <c r="N346" s="192" t="s">
        <v>65</v>
      </c>
      <c r="O346" s="192" t="s">
        <v>65</v>
      </c>
      <c r="P346" s="192" t="s">
        <v>65</v>
      </c>
      <c r="Q346" s="192">
        <v>0.15000000596046448</v>
      </c>
      <c r="R346" s="192">
        <v>3.0999999046325684</v>
      </c>
      <c r="S346" s="192">
        <f>VLOOKUP($H346,'RBSA Weights'!$A$2:$C$1406,3,FALSE)</f>
        <v>1188.027</v>
      </c>
    </row>
    <row r="347" spans="1:19">
      <c r="A347" s="192" t="s">
        <v>920</v>
      </c>
      <c r="B347" s="192">
        <v>1</v>
      </c>
      <c r="C347" s="192">
        <v>0</v>
      </c>
      <c r="D347" s="192" t="s">
        <v>65</v>
      </c>
      <c r="E347" s="192">
        <v>0</v>
      </c>
      <c r="F347" s="192">
        <v>0</v>
      </c>
      <c r="G347" s="192">
        <v>113068</v>
      </c>
      <c r="H347" s="192">
        <v>22694</v>
      </c>
      <c r="I347" s="192">
        <v>1</v>
      </c>
      <c r="J347" s="192">
        <v>1100</v>
      </c>
      <c r="K347" s="192" t="s">
        <v>925</v>
      </c>
      <c r="L347" s="192" t="s">
        <v>737</v>
      </c>
      <c r="M347" s="192" t="s">
        <v>919</v>
      </c>
      <c r="N347" s="192" t="s">
        <v>65</v>
      </c>
      <c r="O347" s="192" t="s">
        <v>65</v>
      </c>
      <c r="P347" s="192" t="s">
        <v>926</v>
      </c>
      <c r="Q347" s="192">
        <v>0.14000000059604645</v>
      </c>
      <c r="R347" s="192">
        <v>5</v>
      </c>
      <c r="S347" s="192">
        <f>VLOOKUP($H347,'RBSA Weights'!$A$2:$C$1406,3,FALSE)</f>
        <v>2079.9929999999999</v>
      </c>
    </row>
    <row r="348" spans="1:19">
      <c r="A348" s="192" t="s">
        <v>701</v>
      </c>
      <c r="B348" s="192">
        <v>0.25</v>
      </c>
      <c r="C348" s="192">
        <v>0</v>
      </c>
      <c r="D348" s="192" t="s">
        <v>65</v>
      </c>
      <c r="E348" s="192">
        <v>1</v>
      </c>
      <c r="F348" s="192">
        <v>0</v>
      </c>
      <c r="G348" s="192">
        <v>116874</v>
      </c>
      <c r="H348" s="192">
        <v>12486</v>
      </c>
      <c r="I348" s="192">
        <v>1</v>
      </c>
      <c r="J348" s="192">
        <v>1276</v>
      </c>
      <c r="K348" s="192" t="s">
        <v>918</v>
      </c>
      <c r="L348" s="192" t="s">
        <v>927</v>
      </c>
      <c r="M348" s="192" t="s">
        <v>923</v>
      </c>
      <c r="N348" s="192" t="s">
        <v>65</v>
      </c>
      <c r="O348" s="192" t="s">
        <v>65</v>
      </c>
      <c r="P348" s="192" t="s">
        <v>926</v>
      </c>
      <c r="Q348" s="192">
        <v>0.18999999761581421</v>
      </c>
      <c r="R348" s="192">
        <v>3.0999999046325684</v>
      </c>
      <c r="S348" s="192">
        <f>VLOOKUP($H348,'RBSA Weights'!$A$2:$C$1406,3,FALSE)</f>
        <v>4956.4930000000004</v>
      </c>
    </row>
    <row r="349" spans="1:19">
      <c r="A349" s="192" t="s">
        <v>701</v>
      </c>
      <c r="B349" s="192">
        <v>0.5</v>
      </c>
      <c r="C349" s="192">
        <v>0</v>
      </c>
      <c r="D349" s="192" t="s">
        <v>65</v>
      </c>
      <c r="E349" s="192">
        <v>1</v>
      </c>
      <c r="F349" s="192">
        <v>0</v>
      </c>
      <c r="G349" s="192">
        <v>130296</v>
      </c>
      <c r="H349" s="192">
        <v>13401</v>
      </c>
      <c r="I349" s="192">
        <v>1</v>
      </c>
      <c r="J349" s="192">
        <v>1162</v>
      </c>
      <c r="K349" s="192" t="s">
        <v>925</v>
      </c>
      <c r="L349" s="192" t="s">
        <v>922</v>
      </c>
      <c r="M349" s="192" t="s">
        <v>919</v>
      </c>
      <c r="N349" s="192" t="s">
        <v>65</v>
      </c>
      <c r="O349" s="192" t="s">
        <v>65</v>
      </c>
      <c r="P349" s="192" t="s">
        <v>926</v>
      </c>
      <c r="Q349" s="192">
        <v>0.14499999582767487</v>
      </c>
      <c r="R349" s="192">
        <v>3.0999999046325684</v>
      </c>
      <c r="S349" s="192">
        <f>VLOOKUP($H349,'RBSA Weights'!$A$2:$C$1406,3,FALSE)</f>
        <v>4956.4930000000004</v>
      </c>
    </row>
    <row r="350" spans="1:19">
      <c r="A350" s="192" t="s">
        <v>701</v>
      </c>
      <c r="B350" s="192">
        <v>0.5</v>
      </c>
      <c r="C350" s="192">
        <v>0</v>
      </c>
      <c r="D350" s="192" t="s">
        <v>65</v>
      </c>
      <c r="E350" s="192">
        <v>1</v>
      </c>
      <c r="F350" s="192">
        <v>0</v>
      </c>
      <c r="G350" s="192">
        <v>161561</v>
      </c>
      <c r="H350" s="192">
        <v>24312</v>
      </c>
      <c r="I350" s="192">
        <v>1</v>
      </c>
      <c r="J350" s="192">
        <v>901</v>
      </c>
      <c r="K350" s="192" t="s">
        <v>925</v>
      </c>
      <c r="L350" s="192" t="s">
        <v>922</v>
      </c>
      <c r="M350" s="192" t="s">
        <v>919</v>
      </c>
      <c r="N350" s="192" t="s">
        <v>65</v>
      </c>
      <c r="O350" s="192" t="s">
        <v>65</v>
      </c>
      <c r="P350" s="192" t="s">
        <v>926</v>
      </c>
      <c r="Q350" s="192">
        <v>0.14499999582767487</v>
      </c>
      <c r="R350" s="192">
        <v>3.0999999046325684</v>
      </c>
      <c r="S350" s="192">
        <f>VLOOKUP($H350,'RBSA Weights'!$A$2:$C$1406,3,FALSE)</f>
        <v>2079.9929999999999</v>
      </c>
    </row>
    <row r="351" spans="1:19">
      <c r="A351" s="192" t="s">
        <v>701</v>
      </c>
      <c r="B351" s="192">
        <v>0.5</v>
      </c>
      <c r="C351" s="192">
        <v>0</v>
      </c>
      <c r="D351" s="192" t="s">
        <v>65</v>
      </c>
      <c r="E351" s="192">
        <v>1</v>
      </c>
      <c r="F351" s="192">
        <v>0</v>
      </c>
      <c r="G351" s="192">
        <v>240215</v>
      </c>
      <c r="H351" s="192">
        <v>12730</v>
      </c>
      <c r="I351" s="192">
        <v>1</v>
      </c>
      <c r="J351" s="192">
        <v>704</v>
      </c>
      <c r="K351" s="192" t="s">
        <v>918</v>
      </c>
      <c r="L351" s="192" t="s">
        <v>65</v>
      </c>
      <c r="M351" s="192" t="s">
        <v>919</v>
      </c>
      <c r="N351" s="192" t="s">
        <v>65</v>
      </c>
      <c r="O351" s="192" t="s">
        <v>964</v>
      </c>
      <c r="P351" s="192" t="s">
        <v>65</v>
      </c>
      <c r="Q351" s="192">
        <v>0.14499999582767487</v>
      </c>
      <c r="R351" s="192">
        <v>3.0999999046325684</v>
      </c>
      <c r="S351" s="192">
        <f>VLOOKUP($H351,'RBSA Weights'!$A$2:$C$1406,3,FALSE)</f>
        <v>1150.8789999999999</v>
      </c>
    </row>
    <row r="352" spans="1:19">
      <c r="A352" s="192" t="s">
        <v>701</v>
      </c>
      <c r="B352" s="192">
        <v>0.75</v>
      </c>
      <c r="C352" s="192">
        <v>0</v>
      </c>
      <c r="D352" s="192" t="s">
        <v>65</v>
      </c>
      <c r="E352" s="192">
        <v>0</v>
      </c>
      <c r="F352" s="192">
        <v>0</v>
      </c>
      <c r="G352" s="192">
        <v>76346</v>
      </c>
      <c r="H352" s="192">
        <v>11702</v>
      </c>
      <c r="I352" s="192">
        <v>1</v>
      </c>
      <c r="J352" s="192">
        <v>740</v>
      </c>
      <c r="K352" s="192" t="s">
        <v>925</v>
      </c>
      <c r="L352" s="192" t="s">
        <v>922</v>
      </c>
      <c r="M352" s="192" t="s">
        <v>919</v>
      </c>
      <c r="N352" s="192" t="s">
        <v>65</v>
      </c>
      <c r="O352" s="192" t="s">
        <v>65</v>
      </c>
      <c r="P352" s="192" t="s">
        <v>926</v>
      </c>
      <c r="Q352" s="192">
        <v>0.10000000149011612</v>
      </c>
      <c r="R352" s="192">
        <v>5</v>
      </c>
      <c r="S352" s="192">
        <f>VLOOKUP($H352,'RBSA Weights'!$A$2:$C$1406,3,FALSE)</f>
        <v>2003.7159999999999</v>
      </c>
    </row>
    <row r="353" spans="1:19">
      <c r="A353" s="192" t="s">
        <v>701</v>
      </c>
      <c r="B353" s="192">
        <v>0.75</v>
      </c>
      <c r="C353" s="192">
        <v>0</v>
      </c>
      <c r="D353" s="192" t="s">
        <v>65</v>
      </c>
      <c r="E353" s="192">
        <v>1</v>
      </c>
      <c r="F353" s="192">
        <v>0</v>
      </c>
      <c r="G353" s="192">
        <v>116549</v>
      </c>
      <c r="H353" s="192">
        <v>22212</v>
      </c>
      <c r="I353" s="192">
        <v>1</v>
      </c>
      <c r="J353" s="192">
        <v>1092</v>
      </c>
      <c r="K353" s="192" t="s">
        <v>925</v>
      </c>
      <c r="L353" s="192" t="s">
        <v>927</v>
      </c>
      <c r="M353" s="192" t="s">
        <v>923</v>
      </c>
      <c r="N353" s="192" t="s">
        <v>65</v>
      </c>
      <c r="O353" s="192" t="s">
        <v>65</v>
      </c>
      <c r="P353" s="192" t="s">
        <v>924</v>
      </c>
      <c r="Q353" s="192">
        <v>0.10000000149011612</v>
      </c>
      <c r="R353" s="192">
        <v>3.0999999046325684</v>
      </c>
      <c r="S353" s="192">
        <f>VLOOKUP($H353,'RBSA Weights'!$A$2:$C$1406,3,FALSE)</f>
        <v>1612.692</v>
      </c>
    </row>
    <row r="354" spans="1:19">
      <c r="A354" s="192" t="s">
        <v>701</v>
      </c>
      <c r="B354" s="192">
        <v>0.75</v>
      </c>
      <c r="C354" s="192">
        <v>0</v>
      </c>
      <c r="D354" s="192" t="s">
        <v>65</v>
      </c>
      <c r="E354" s="192">
        <v>1</v>
      </c>
      <c r="F354" s="192">
        <v>0</v>
      </c>
      <c r="G354" s="192">
        <v>40530</v>
      </c>
      <c r="H354" s="192">
        <v>10807</v>
      </c>
      <c r="I354" s="192">
        <v>1</v>
      </c>
      <c r="J354" s="192">
        <v>322</v>
      </c>
      <c r="K354" s="192" t="s">
        <v>925</v>
      </c>
      <c r="L354" s="192" t="s">
        <v>737</v>
      </c>
      <c r="M354" s="192" t="s">
        <v>919</v>
      </c>
      <c r="N354" s="192" t="s">
        <v>65</v>
      </c>
      <c r="O354" s="192" t="s">
        <v>65</v>
      </c>
      <c r="P354" s="192" t="s">
        <v>924</v>
      </c>
      <c r="Q354" s="192">
        <v>0.10000000149011612</v>
      </c>
      <c r="R354" s="192">
        <v>3.0999999046325684</v>
      </c>
      <c r="S354" s="192">
        <f>VLOOKUP($H354,'RBSA Weights'!$A$2:$C$1406,3,FALSE)</f>
        <v>1524.7619999999999</v>
      </c>
    </row>
    <row r="355" spans="1:19">
      <c r="A355" s="192" t="s">
        <v>701</v>
      </c>
      <c r="B355" s="192">
        <v>0.75</v>
      </c>
      <c r="C355" s="192">
        <v>0</v>
      </c>
      <c r="D355" s="192" t="s">
        <v>65</v>
      </c>
      <c r="E355" s="192">
        <v>1</v>
      </c>
      <c r="F355" s="192">
        <v>0</v>
      </c>
      <c r="G355" s="192">
        <v>802994</v>
      </c>
      <c r="H355" s="192">
        <v>12111</v>
      </c>
      <c r="I355" s="192">
        <v>2</v>
      </c>
      <c r="J355" s="192">
        <v>534</v>
      </c>
      <c r="K355" s="192" t="s">
        <v>925</v>
      </c>
      <c r="L355" s="192" t="s">
        <v>922</v>
      </c>
      <c r="M355" s="192" t="s">
        <v>919</v>
      </c>
      <c r="N355" s="192" t="s">
        <v>65</v>
      </c>
      <c r="O355" s="192" t="s">
        <v>65</v>
      </c>
      <c r="P355" s="192" t="s">
        <v>65</v>
      </c>
      <c r="Q355" s="192">
        <v>0.10000000149011612</v>
      </c>
      <c r="R355" s="192">
        <v>3.0999999046325684</v>
      </c>
      <c r="S355" s="192">
        <f>VLOOKUP($H355,'RBSA Weights'!$A$2:$C$1406,3,FALSE)</f>
        <v>1464.694</v>
      </c>
    </row>
    <row r="356" spans="1:19">
      <c r="A356" s="192" t="s">
        <v>701</v>
      </c>
      <c r="B356" s="192">
        <v>0.75</v>
      </c>
      <c r="C356" s="192">
        <v>1</v>
      </c>
      <c r="D356" s="192" t="s">
        <v>921</v>
      </c>
      <c r="E356" s="192">
        <v>1</v>
      </c>
      <c r="F356" s="192">
        <v>0</v>
      </c>
      <c r="G356" s="192">
        <v>109607</v>
      </c>
      <c r="H356" s="192">
        <v>13803</v>
      </c>
      <c r="I356" s="192">
        <v>1</v>
      </c>
      <c r="J356" s="192">
        <v>416</v>
      </c>
      <c r="K356" s="192" t="s">
        <v>925</v>
      </c>
      <c r="L356" s="192" t="s">
        <v>927</v>
      </c>
      <c r="M356" s="192" t="s">
        <v>923</v>
      </c>
      <c r="N356" s="192" t="s">
        <v>926</v>
      </c>
      <c r="O356" s="192" t="s">
        <v>65</v>
      </c>
      <c r="P356" s="192" t="s">
        <v>926</v>
      </c>
      <c r="Q356" s="192">
        <v>0.10000000149011612</v>
      </c>
      <c r="R356" s="192">
        <v>4.5</v>
      </c>
      <c r="S356" s="192">
        <f>VLOOKUP($H356,'RBSA Weights'!$A$2:$C$1406,3,FALSE)</f>
        <v>2003.7159999999999</v>
      </c>
    </row>
    <row r="357" spans="1:19">
      <c r="A357" s="192" t="s">
        <v>701</v>
      </c>
      <c r="B357" s="192">
        <v>0.75</v>
      </c>
      <c r="C357" s="192">
        <v>0</v>
      </c>
      <c r="D357" s="192" t="s">
        <v>65</v>
      </c>
      <c r="E357" s="192">
        <v>0</v>
      </c>
      <c r="F357" s="192">
        <v>0</v>
      </c>
      <c r="G357" s="192">
        <v>108405</v>
      </c>
      <c r="H357" s="192">
        <v>12247</v>
      </c>
      <c r="I357" s="192">
        <v>1</v>
      </c>
      <c r="J357" s="192">
        <v>1051</v>
      </c>
      <c r="K357" s="192" t="s">
        <v>918</v>
      </c>
      <c r="L357" s="192" t="s">
        <v>737</v>
      </c>
      <c r="M357" s="192" t="s">
        <v>923</v>
      </c>
      <c r="N357" s="192" t="s">
        <v>65</v>
      </c>
      <c r="O357" s="192" t="s">
        <v>65</v>
      </c>
      <c r="P357" s="192" t="s">
        <v>926</v>
      </c>
      <c r="Q357" s="192">
        <v>0.10000000149011612</v>
      </c>
      <c r="R357" s="192">
        <v>5</v>
      </c>
      <c r="S357" s="192">
        <f>VLOOKUP($H357,'RBSA Weights'!$A$2:$C$1406,3,FALSE)</f>
        <v>2003.7159999999999</v>
      </c>
    </row>
    <row r="358" spans="1:19">
      <c r="A358" s="192" t="s">
        <v>701</v>
      </c>
      <c r="B358" s="192">
        <v>0.75</v>
      </c>
      <c r="C358" s="192">
        <v>0</v>
      </c>
      <c r="D358" s="192" t="s">
        <v>65</v>
      </c>
      <c r="E358" s="192">
        <v>1</v>
      </c>
      <c r="F358" s="192">
        <v>0</v>
      </c>
      <c r="G358" s="192">
        <v>137212</v>
      </c>
      <c r="H358" s="192">
        <v>11880</v>
      </c>
      <c r="I358" s="192">
        <v>1</v>
      </c>
      <c r="J358" s="192">
        <v>918</v>
      </c>
      <c r="K358" s="192" t="s">
        <v>918</v>
      </c>
      <c r="L358" s="192" t="s">
        <v>65</v>
      </c>
      <c r="M358" s="192" t="s">
        <v>923</v>
      </c>
      <c r="N358" s="192" t="s">
        <v>65</v>
      </c>
      <c r="O358" s="192" t="s">
        <v>65</v>
      </c>
      <c r="P358" s="192" t="s">
        <v>65</v>
      </c>
      <c r="Q358" s="192">
        <v>0.10000000149011612</v>
      </c>
      <c r="R358" s="192">
        <v>3.0999999046325684</v>
      </c>
      <c r="S358" s="192">
        <f>VLOOKUP($H358,'RBSA Weights'!$A$2:$C$1406,3,FALSE)</f>
        <v>2003.7159999999999</v>
      </c>
    </row>
    <row r="359" spans="1:19">
      <c r="A359" s="192" t="s">
        <v>701</v>
      </c>
      <c r="B359" s="192">
        <v>0.75</v>
      </c>
      <c r="C359" s="192">
        <v>0</v>
      </c>
      <c r="D359" s="192" t="s">
        <v>65</v>
      </c>
      <c r="E359" s="192">
        <v>1</v>
      </c>
      <c r="F359" s="192">
        <v>0</v>
      </c>
      <c r="G359" s="192">
        <v>678196</v>
      </c>
      <c r="H359" s="192">
        <v>10887</v>
      </c>
      <c r="I359" s="192">
        <v>1</v>
      </c>
      <c r="J359" s="192">
        <v>396</v>
      </c>
      <c r="K359" s="192" t="s">
        <v>925</v>
      </c>
      <c r="L359" s="192" t="s">
        <v>922</v>
      </c>
      <c r="M359" s="192" t="s">
        <v>919</v>
      </c>
      <c r="N359" s="192" t="s">
        <v>65</v>
      </c>
      <c r="O359" s="192" t="s">
        <v>65</v>
      </c>
      <c r="P359" s="192" t="s">
        <v>65</v>
      </c>
      <c r="Q359" s="192">
        <v>0.10000000149011612</v>
      </c>
      <c r="R359" s="192">
        <v>3.0999999046325684</v>
      </c>
      <c r="S359" s="192">
        <f>VLOOKUP($H359,'RBSA Weights'!$A$2:$C$1406,3,FALSE)</f>
        <v>1464.694</v>
      </c>
    </row>
    <row r="360" spans="1:19">
      <c r="A360" s="192" t="s">
        <v>701</v>
      </c>
      <c r="B360" s="192">
        <v>0.75</v>
      </c>
      <c r="C360" s="192">
        <v>0</v>
      </c>
      <c r="D360" s="192" t="s">
        <v>65</v>
      </c>
      <c r="E360" s="192">
        <v>1</v>
      </c>
      <c r="F360" s="192">
        <v>0</v>
      </c>
      <c r="G360" s="192">
        <v>238495</v>
      </c>
      <c r="H360" s="192">
        <v>22767</v>
      </c>
      <c r="I360" s="192">
        <v>1</v>
      </c>
      <c r="J360" s="192">
        <v>2431</v>
      </c>
      <c r="K360" s="192" t="s">
        <v>925</v>
      </c>
      <c r="L360" s="192" t="s">
        <v>927</v>
      </c>
      <c r="M360" s="192" t="s">
        <v>919</v>
      </c>
      <c r="N360" s="192" t="s">
        <v>65</v>
      </c>
      <c r="O360" s="192" t="s">
        <v>65</v>
      </c>
      <c r="P360" s="192" t="s">
        <v>65</v>
      </c>
      <c r="Q360" s="192">
        <v>0.10000000149011612</v>
      </c>
      <c r="R360" s="192">
        <v>3.0999999046325684</v>
      </c>
      <c r="S360" s="192">
        <f>VLOOKUP($H360,'RBSA Weights'!$A$2:$C$1406,3,FALSE)</f>
        <v>2079.9929999999999</v>
      </c>
    </row>
    <row r="361" spans="1:19">
      <c r="A361" s="192" t="s">
        <v>701</v>
      </c>
      <c r="B361" s="192">
        <v>0.75</v>
      </c>
      <c r="C361" s="192">
        <v>0</v>
      </c>
      <c r="D361" s="192" t="s">
        <v>65</v>
      </c>
      <c r="E361" s="192">
        <v>0</v>
      </c>
      <c r="G361" s="192">
        <v>203593</v>
      </c>
      <c r="H361" s="192">
        <v>21689</v>
      </c>
      <c r="I361" s="192">
        <v>2</v>
      </c>
      <c r="J361" s="192">
        <v>576</v>
      </c>
      <c r="K361" s="192" t="s">
        <v>925</v>
      </c>
      <c r="L361" s="192" t="s">
        <v>927</v>
      </c>
      <c r="M361" s="192" t="s">
        <v>919</v>
      </c>
      <c r="N361" s="192" t="s">
        <v>65</v>
      </c>
      <c r="O361" s="192" t="s">
        <v>65</v>
      </c>
      <c r="P361" s="192" t="s">
        <v>65</v>
      </c>
      <c r="Q361" s="192">
        <v>0.10000000149011612</v>
      </c>
      <c r="R361" s="192">
        <v>5</v>
      </c>
      <c r="S361" s="192">
        <f>VLOOKUP($H361,'RBSA Weights'!$A$2:$C$1406,3,FALSE)</f>
        <v>3785.7640000000001</v>
      </c>
    </row>
    <row r="362" spans="1:19">
      <c r="A362" s="192" t="s">
        <v>701</v>
      </c>
      <c r="B362" s="192">
        <v>0.75</v>
      </c>
      <c r="C362" s="192">
        <v>0</v>
      </c>
      <c r="D362" s="192" t="s">
        <v>65</v>
      </c>
      <c r="E362" s="192">
        <v>1</v>
      </c>
      <c r="F362" s="192">
        <v>0</v>
      </c>
      <c r="G362" s="192">
        <v>89464</v>
      </c>
      <c r="H362" s="192">
        <v>12524</v>
      </c>
      <c r="I362" s="192">
        <v>1</v>
      </c>
      <c r="J362" s="192">
        <v>1152</v>
      </c>
      <c r="K362" s="192" t="s">
        <v>918</v>
      </c>
      <c r="L362" s="192" t="s">
        <v>922</v>
      </c>
      <c r="M362" s="192" t="s">
        <v>923</v>
      </c>
      <c r="N362" s="192" t="s">
        <v>65</v>
      </c>
      <c r="O362" s="192" t="s">
        <v>65</v>
      </c>
      <c r="P362" s="192" t="s">
        <v>926</v>
      </c>
      <c r="Q362" s="192">
        <v>0.10000000149011612</v>
      </c>
      <c r="R362" s="192">
        <v>3.0999999046325684</v>
      </c>
      <c r="S362" s="192">
        <f>VLOOKUP($H362,'RBSA Weights'!$A$2:$C$1406,3,FALSE)</f>
        <v>2003.7159999999999</v>
      </c>
    </row>
    <row r="363" spans="1:19">
      <c r="A363" s="192" t="s">
        <v>701</v>
      </c>
      <c r="B363" s="192">
        <v>0.75</v>
      </c>
      <c r="C363" s="192">
        <v>0</v>
      </c>
      <c r="D363" s="192" t="s">
        <v>65</v>
      </c>
      <c r="E363" s="192">
        <v>1</v>
      </c>
      <c r="F363" s="192">
        <v>0</v>
      </c>
      <c r="G363" s="192">
        <v>130969</v>
      </c>
      <c r="H363" s="192">
        <v>11054</v>
      </c>
      <c r="I363" s="192">
        <v>1</v>
      </c>
      <c r="J363" s="192">
        <v>1608</v>
      </c>
      <c r="K363" s="192" t="s">
        <v>918</v>
      </c>
      <c r="L363" s="192" t="s">
        <v>65</v>
      </c>
      <c r="M363" s="192" t="s">
        <v>923</v>
      </c>
      <c r="N363" s="192" t="s">
        <v>65</v>
      </c>
      <c r="O363" s="192" t="s">
        <v>65</v>
      </c>
      <c r="P363" s="192" t="s">
        <v>65</v>
      </c>
      <c r="Q363" s="192">
        <v>0.10000000149011612</v>
      </c>
      <c r="R363" s="192">
        <v>3.0999999046325684</v>
      </c>
      <c r="S363" s="192">
        <f>VLOOKUP($H363,'RBSA Weights'!$A$2:$C$1406,3,FALSE)</f>
        <v>2003.7159999999999</v>
      </c>
    </row>
    <row r="364" spans="1:19">
      <c r="A364" s="192" t="s">
        <v>701</v>
      </c>
      <c r="B364" s="192">
        <v>0.75</v>
      </c>
      <c r="C364" s="192">
        <v>0</v>
      </c>
      <c r="D364" s="192" t="s">
        <v>65</v>
      </c>
      <c r="E364" s="192">
        <v>0</v>
      </c>
      <c r="F364" s="192">
        <v>0</v>
      </c>
      <c r="G364" s="192">
        <v>108555</v>
      </c>
      <c r="H364" s="192">
        <v>10100</v>
      </c>
      <c r="I364" s="192">
        <v>1</v>
      </c>
      <c r="J364" s="192">
        <v>1000</v>
      </c>
      <c r="K364" s="192" t="s">
        <v>918</v>
      </c>
      <c r="L364" s="192" t="s">
        <v>922</v>
      </c>
      <c r="M364" s="192" t="s">
        <v>919</v>
      </c>
      <c r="N364" s="192" t="s">
        <v>65</v>
      </c>
      <c r="O364" s="192" t="s">
        <v>65</v>
      </c>
      <c r="P364" s="192" t="s">
        <v>926</v>
      </c>
      <c r="Q364" s="192">
        <v>0.10000000149011612</v>
      </c>
      <c r="R364" s="192">
        <v>5</v>
      </c>
      <c r="S364" s="192">
        <f>VLOOKUP($H364,'RBSA Weights'!$A$2:$C$1406,3,FALSE)</f>
        <v>1464.694</v>
      </c>
    </row>
    <row r="365" spans="1:19">
      <c r="A365" s="192" t="s">
        <v>701</v>
      </c>
      <c r="B365" s="192">
        <v>0.75</v>
      </c>
      <c r="C365" s="192">
        <v>0</v>
      </c>
      <c r="D365" s="192" t="s">
        <v>65</v>
      </c>
      <c r="E365" s="192">
        <v>1</v>
      </c>
      <c r="F365" s="192">
        <v>0</v>
      </c>
      <c r="G365" s="192">
        <v>83006</v>
      </c>
      <c r="H365" s="192">
        <v>12255</v>
      </c>
      <c r="I365" s="192">
        <v>1</v>
      </c>
      <c r="J365" s="192">
        <v>1146</v>
      </c>
      <c r="K365" s="192" t="s">
        <v>918</v>
      </c>
      <c r="L365" s="192" t="s">
        <v>922</v>
      </c>
      <c r="M365" s="192" t="s">
        <v>919</v>
      </c>
      <c r="N365" s="192" t="s">
        <v>65</v>
      </c>
      <c r="O365" s="192" t="s">
        <v>65</v>
      </c>
      <c r="P365" s="192" t="s">
        <v>924</v>
      </c>
      <c r="Q365" s="192">
        <v>0.10000000149011612</v>
      </c>
      <c r="R365" s="192">
        <v>3.0999999046325684</v>
      </c>
      <c r="S365" s="192">
        <f>VLOOKUP($H365,'RBSA Weights'!$A$2:$C$1406,3,FALSE)</f>
        <v>1188.027</v>
      </c>
    </row>
    <row r="366" spans="1:19">
      <c r="A366" s="192" t="s">
        <v>701</v>
      </c>
      <c r="B366" s="192">
        <v>0.75</v>
      </c>
      <c r="C366" s="192">
        <v>0</v>
      </c>
      <c r="D366" s="192" t="s">
        <v>65</v>
      </c>
      <c r="E366" s="192">
        <v>1</v>
      </c>
      <c r="F366" s="192">
        <v>0</v>
      </c>
      <c r="G366" s="192">
        <v>121839</v>
      </c>
      <c r="H366" s="192">
        <v>23539</v>
      </c>
      <c r="I366" s="192">
        <v>1</v>
      </c>
      <c r="J366" s="192">
        <v>1218</v>
      </c>
      <c r="K366" s="192" t="s">
        <v>918</v>
      </c>
      <c r="L366" s="192" t="s">
        <v>922</v>
      </c>
      <c r="M366" s="192" t="s">
        <v>919</v>
      </c>
      <c r="N366" s="192" t="s">
        <v>65</v>
      </c>
      <c r="O366" s="192" t="s">
        <v>65</v>
      </c>
      <c r="P366" s="192" t="s">
        <v>924</v>
      </c>
      <c r="Q366" s="192">
        <v>0.10000000149011612</v>
      </c>
      <c r="R366" s="192">
        <v>3.0999999046325684</v>
      </c>
      <c r="S366" s="192">
        <f>VLOOKUP($H366,'RBSA Weights'!$A$2:$C$1406,3,FALSE)</f>
        <v>2079.9929999999999</v>
      </c>
    </row>
    <row r="367" spans="1:19">
      <c r="A367" s="192" t="s">
        <v>701</v>
      </c>
      <c r="B367" s="192">
        <v>0.9</v>
      </c>
      <c r="C367" s="192">
        <v>0</v>
      </c>
      <c r="D367" s="192" t="s">
        <v>65</v>
      </c>
      <c r="E367" s="192">
        <v>0</v>
      </c>
      <c r="G367" s="192">
        <v>203966</v>
      </c>
      <c r="H367" s="192">
        <v>14140</v>
      </c>
      <c r="I367" s="192">
        <v>1</v>
      </c>
      <c r="J367" s="192">
        <v>220</v>
      </c>
      <c r="K367" s="192" t="s">
        <v>925</v>
      </c>
      <c r="L367" s="192" t="s">
        <v>922</v>
      </c>
      <c r="M367" s="192" t="s">
        <v>919</v>
      </c>
      <c r="N367" s="192" t="s">
        <v>65</v>
      </c>
      <c r="O367" s="192" t="s">
        <v>65</v>
      </c>
      <c r="P367" s="192" t="s">
        <v>65</v>
      </c>
      <c r="Q367" s="192">
        <v>7.5000002980232239E-2</v>
      </c>
      <c r="R367" s="192">
        <v>5</v>
      </c>
      <c r="S367" s="192">
        <f>VLOOKUP($H367,'RBSA Weights'!$A$2:$C$1406,3,FALSE)</f>
        <v>2003.7159999999999</v>
      </c>
    </row>
    <row r="368" spans="1:19">
      <c r="A368" s="192" t="s">
        <v>701</v>
      </c>
      <c r="B368" s="192">
        <v>0.9</v>
      </c>
      <c r="C368" s="192">
        <v>0</v>
      </c>
      <c r="D368" s="192" t="s">
        <v>65</v>
      </c>
      <c r="E368" s="192">
        <v>1</v>
      </c>
      <c r="F368" s="192">
        <v>0</v>
      </c>
      <c r="G368" s="192">
        <v>164961</v>
      </c>
      <c r="H368" s="192">
        <v>23278</v>
      </c>
      <c r="I368" s="192">
        <v>1</v>
      </c>
      <c r="J368" s="192">
        <v>1176</v>
      </c>
      <c r="K368" s="192" t="s">
        <v>65</v>
      </c>
      <c r="L368" s="192" t="s">
        <v>65</v>
      </c>
      <c r="M368" s="192" t="s">
        <v>919</v>
      </c>
      <c r="N368" s="192" t="s">
        <v>65</v>
      </c>
      <c r="O368" s="192" t="s">
        <v>65</v>
      </c>
      <c r="P368" s="192" t="s">
        <v>65</v>
      </c>
      <c r="Q368" s="192">
        <v>7.5000002980232239E-2</v>
      </c>
      <c r="R368" s="192">
        <v>3.0999999046325684</v>
      </c>
      <c r="S368" s="192">
        <f>VLOOKUP($H368,'RBSA Weights'!$A$2:$C$1406,3,FALSE)</f>
        <v>1612.692</v>
      </c>
    </row>
    <row r="369" spans="1:19">
      <c r="A369" s="192" t="s">
        <v>701</v>
      </c>
      <c r="B369" s="192">
        <v>0.9</v>
      </c>
      <c r="C369" s="192">
        <v>1</v>
      </c>
      <c r="D369" s="192" t="s">
        <v>941</v>
      </c>
      <c r="E369" s="192">
        <v>1</v>
      </c>
      <c r="F369" s="192">
        <v>0</v>
      </c>
      <c r="G369" s="192">
        <v>33076</v>
      </c>
      <c r="H369" s="192">
        <v>11035</v>
      </c>
      <c r="I369" s="192">
        <v>1</v>
      </c>
      <c r="J369" s="192">
        <v>1500</v>
      </c>
      <c r="K369" s="192" t="s">
        <v>925</v>
      </c>
      <c r="L369" s="192" t="s">
        <v>922</v>
      </c>
      <c r="M369" s="192" t="s">
        <v>919</v>
      </c>
      <c r="N369" s="192" t="s">
        <v>948</v>
      </c>
      <c r="O369" s="192" t="s">
        <v>65</v>
      </c>
      <c r="P369" s="192" t="s">
        <v>926</v>
      </c>
      <c r="Q369" s="192">
        <v>7.5000002980232239E-2</v>
      </c>
      <c r="R369" s="192">
        <v>3.9000000953674316</v>
      </c>
      <c r="S369" s="192">
        <f>VLOOKUP($H369,'RBSA Weights'!$A$2:$C$1406,3,FALSE)</f>
        <v>1150.8789999999999</v>
      </c>
    </row>
    <row r="370" spans="1:19">
      <c r="A370" s="192" t="s">
        <v>701</v>
      </c>
      <c r="B370" s="192">
        <v>0.9</v>
      </c>
      <c r="C370" s="192">
        <v>0</v>
      </c>
      <c r="D370" s="192" t="s">
        <v>65</v>
      </c>
      <c r="E370" s="192">
        <v>1</v>
      </c>
      <c r="F370" s="192">
        <v>0</v>
      </c>
      <c r="G370" s="192">
        <v>114752</v>
      </c>
      <c r="H370" s="192">
        <v>10141</v>
      </c>
      <c r="I370" s="192">
        <v>1</v>
      </c>
      <c r="J370" s="192">
        <v>728</v>
      </c>
      <c r="K370" s="192" t="s">
        <v>918</v>
      </c>
      <c r="L370" s="192" t="s">
        <v>737</v>
      </c>
      <c r="M370" s="192" t="s">
        <v>923</v>
      </c>
      <c r="N370" s="192" t="s">
        <v>65</v>
      </c>
      <c r="O370" s="192" t="s">
        <v>65</v>
      </c>
      <c r="P370" s="192" t="s">
        <v>924</v>
      </c>
      <c r="Q370" s="192">
        <v>7.5000002980232239E-2</v>
      </c>
      <c r="R370" s="192">
        <v>3.0999999046325684</v>
      </c>
      <c r="S370" s="192">
        <f>VLOOKUP($H370,'RBSA Weights'!$A$2:$C$1406,3,FALSE)</f>
        <v>4956.4930000000004</v>
      </c>
    </row>
    <row r="371" spans="1:19">
      <c r="A371" s="192" t="s">
        <v>701</v>
      </c>
      <c r="B371" s="192">
        <v>0.9</v>
      </c>
      <c r="C371" s="192">
        <v>0</v>
      </c>
      <c r="D371" s="192" t="s">
        <v>65</v>
      </c>
      <c r="E371" s="192">
        <v>1</v>
      </c>
      <c r="F371" s="192">
        <v>0</v>
      </c>
      <c r="G371" s="192">
        <v>28882</v>
      </c>
      <c r="H371" s="192">
        <v>12270</v>
      </c>
      <c r="I371" s="192">
        <v>1</v>
      </c>
      <c r="J371" s="192">
        <v>1100</v>
      </c>
      <c r="K371" s="192" t="s">
        <v>918</v>
      </c>
      <c r="L371" s="192" t="s">
        <v>922</v>
      </c>
      <c r="M371" s="192" t="s">
        <v>919</v>
      </c>
      <c r="N371" s="192" t="s">
        <v>65</v>
      </c>
      <c r="O371" s="192" t="s">
        <v>65</v>
      </c>
      <c r="P371" s="192" t="s">
        <v>924</v>
      </c>
      <c r="Q371" s="192">
        <v>7.5000002980232239E-2</v>
      </c>
      <c r="R371" s="192">
        <v>3.0999999046325684</v>
      </c>
      <c r="S371" s="192">
        <f>VLOOKUP($H371,'RBSA Weights'!$A$2:$C$1406,3,FALSE)</f>
        <v>1150.8789999999999</v>
      </c>
    </row>
    <row r="372" spans="1:19">
      <c r="A372" s="192" t="s">
        <v>701</v>
      </c>
      <c r="B372" s="192">
        <v>0.9</v>
      </c>
      <c r="C372" s="192">
        <v>0</v>
      </c>
      <c r="D372" s="192" t="s">
        <v>65</v>
      </c>
      <c r="E372" s="192">
        <v>1</v>
      </c>
      <c r="F372" s="192">
        <v>0</v>
      </c>
      <c r="G372" s="192">
        <v>663080</v>
      </c>
      <c r="H372" s="192">
        <v>12372</v>
      </c>
      <c r="I372" s="192">
        <v>1</v>
      </c>
      <c r="J372" s="192">
        <v>730</v>
      </c>
      <c r="K372" s="192" t="s">
        <v>925</v>
      </c>
      <c r="L372" s="192" t="s">
        <v>737</v>
      </c>
      <c r="M372" s="192" t="s">
        <v>923</v>
      </c>
      <c r="N372" s="192" t="s">
        <v>65</v>
      </c>
      <c r="O372" s="192" t="s">
        <v>65</v>
      </c>
      <c r="P372" s="192" t="s">
        <v>65</v>
      </c>
      <c r="Q372" s="192">
        <v>7.5000002980232239E-2</v>
      </c>
      <c r="R372" s="192">
        <v>3.0999999046325684</v>
      </c>
      <c r="S372" s="192">
        <f>VLOOKUP($H372,'RBSA Weights'!$A$2:$C$1406,3,FALSE)</f>
        <v>4956.4930000000004</v>
      </c>
    </row>
    <row r="373" spans="1:19">
      <c r="A373" s="192" t="s">
        <v>701</v>
      </c>
      <c r="B373" s="192">
        <v>0.9</v>
      </c>
      <c r="C373" s="192">
        <v>0</v>
      </c>
      <c r="D373" s="192" t="s">
        <v>65</v>
      </c>
      <c r="E373" s="192">
        <v>1</v>
      </c>
      <c r="F373" s="192">
        <v>1</v>
      </c>
      <c r="G373" s="192">
        <v>47190</v>
      </c>
      <c r="H373" s="192">
        <v>11653</v>
      </c>
      <c r="I373" s="192">
        <v>1</v>
      </c>
      <c r="J373" s="192">
        <v>1130</v>
      </c>
      <c r="K373" s="192" t="s">
        <v>918</v>
      </c>
      <c r="L373" s="192" t="s">
        <v>927</v>
      </c>
      <c r="M373" s="192" t="s">
        <v>923</v>
      </c>
      <c r="N373" s="192" t="s">
        <v>65</v>
      </c>
      <c r="O373" s="192" t="s">
        <v>65</v>
      </c>
      <c r="P373" s="192" t="s">
        <v>924</v>
      </c>
      <c r="Q373" s="192">
        <v>7.5000002980232239E-2</v>
      </c>
      <c r="R373" s="192">
        <v>4.5</v>
      </c>
      <c r="S373" s="192">
        <f>VLOOKUP($H373,'RBSA Weights'!$A$2:$C$1406,3,FALSE)</f>
        <v>1524.7619999999999</v>
      </c>
    </row>
    <row r="374" spans="1:19">
      <c r="A374" s="192" t="s">
        <v>701</v>
      </c>
      <c r="B374" s="192">
        <v>0.9</v>
      </c>
      <c r="C374" s="192">
        <v>0</v>
      </c>
      <c r="D374" s="192" t="s">
        <v>65</v>
      </c>
      <c r="E374" s="192">
        <v>0</v>
      </c>
      <c r="F374" s="192">
        <v>0</v>
      </c>
      <c r="G374" s="192">
        <v>67175</v>
      </c>
      <c r="H374" s="192">
        <v>11327</v>
      </c>
      <c r="I374" s="192">
        <v>1</v>
      </c>
      <c r="J374" s="192">
        <v>1170</v>
      </c>
      <c r="K374" s="192" t="s">
        <v>918</v>
      </c>
      <c r="L374" s="192" t="s">
        <v>922</v>
      </c>
      <c r="M374" s="192" t="s">
        <v>919</v>
      </c>
      <c r="N374" s="192" t="s">
        <v>65</v>
      </c>
      <c r="O374" s="192" t="s">
        <v>65</v>
      </c>
      <c r="P374" s="192" t="s">
        <v>926</v>
      </c>
      <c r="Q374" s="192">
        <v>7.5000002980232239E-2</v>
      </c>
      <c r="R374" s="192">
        <v>5</v>
      </c>
      <c r="S374" s="192">
        <f>VLOOKUP($H374,'RBSA Weights'!$A$2:$C$1406,3,FALSE)</f>
        <v>2003.7159999999999</v>
      </c>
    </row>
    <row r="375" spans="1:19">
      <c r="A375" s="192" t="s">
        <v>701</v>
      </c>
      <c r="B375" s="192">
        <v>0.9</v>
      </c>
      <c r="C375" s="192">
        <v>0</v>
      </c>
      <c r="D375" s="192" t="s">
        <v>65</v>
      </c>
      <c r="E375" s="192">
        <v>1</v>
      </c>
      <c r="F375" s="192">
        <v>0</v>
      </c>
      <c r="G375" s="192">
        <v>231749</v>
      </c>
      <c r="H375" s="192">
        <v>23414</v>
      </c>
      <c r="I375" s="192">
        <v>1</v>
      </c>
      <c r="J375" s="192">
        <v>2180</v>
      </c>
      <c r="K375" s="192" t="s">
        <v>918</v>
      </c>
      <c r="L375" s="192" t="s">
        <v>737</v>
      </c>
      <c r="M375" s="192" t="s">
        <v>919</v>
      </c>
      <c r="N375" s="192" t="s">
        <v>65</v>
      </c>
      <c r="O375" s="192" t="s">
        <v>65</v>
      </c>
      <c r="P375" s="192" t="s">
        <v>65</v>
      </c>
      <c r="Q375" s="192">
        <v>7.5000002980232239E-2</v>
      </c>
      <c r="R375" s="192">
        <v>3.0999999046325684</v>
      </c>
      <c r="S375" s="192">
        <f>VLOOKUP($H375,'RBSA Weights'!$A$2:$C$1406,3,FALSE)</f>
        <v>2079.9929999999999</v>
      </c>
    </row>
    <row r="376" spans="1:19">
      <c r="A376" s="192" t="s">
        <v>701</v>
      </c>
      <c r="B376" s="192">
        <v>0.9</v>
      </c>
      <c r="C376" s="192">
        <v>0</v>
      </c>
      <c r="D376" s="192" t="s">
        <v>65</v>
      </c>
      <c r="E376" s="192">
        <v>0</v>
      </c>
      <c r="G376" s="192">
        <v>241243</v>
      </c>
      <c r="H376" s="192">
        <v>21305</v>
      </c>
      <c r="I376" s="192">
        <v>1</v>
      </c>
      <c r="J376" s="192">
        <v>700</v>
      </c>
      <c r="K376" s="192" t="s">
        <v>925</v>
      </c>
      <c r="L376" s="192" t="s">
        <v>922</v>
      </c>
      <c r="M376" s="192" t="s">
        <v>919</v>
      </c>
      <c r="N376" s="192" t="s">
        <v>65</v>
      </c>
      <c r="O376" s="192" t="s">
        <v>65</v>
      </c>
      <c r="P376" s="192" t="s">
        <v>65</v>
      </c>
      <c r="Q376" s="192">
        <v>7.5000002980232239E-2</v>
      </c>
      <c r="R376" s="192">
        <v>5</v>
      </c>
      <c r="S376" s="192">
        <f>VLOOKUP($H376,'RBSA Weights'!$A$2:$C$1406,3,FALSE)</f>
        <v>1612.692</v>
      </c>
    </row>
    <row r="377" spans="1:19">
      <c r="A377" s="192" t="s">
        <v>701</v>
      </c>
      <c r="B377" s="192">
        <v>0.9</v>
      </c>
      <c r="C377" s="192">
        <v>0</v>
      </c>
      <c r="D377" s="192" t="s">
        <v>65</v>
      </c>
      <c r="E377" s="192">
        <v>1</v>
      </c>
      <c r="F377" s="192">
        <v>0</v>
      </c>
      <c r="G377" s="192">
        <v>208510</v>
      </c>
      <c r="H377" s="192">
        <v>12264</v>
      </c>
      <c r="I377" s="192">
        <v>1</v>
      </c>
      <c r="J377" s="192">
        <v>1476</v>
      </c>
      <c r="K377" s="192" t="s">
        <v>925</v>
      </c>
      <c r="L377" s="192" t="s">
        <v>922</v>
      </c>
      <c r="M377" s="192" t="s">
        <v>919</v>
      </c>
      <c r="N377" s="192" t="s">
        <v>65</v>
      </c>
      <c r="O377" s="192" t="s">
        <v>65</v>
      </c>
      <c r="P377" s="192" t="s">
        <v>65</v>
      </c>
      <c r="Q377" s="192">
        <v>7.5000002980232239E-2</v>
      </c>
      <c r="R377" s="192">
        <v>3.0999999046325684</v>
      </c>
      <c r="S377" s="192">
        <f>VLOOKUP($H377,'RBSA Weights'!$A$2:$C$1406,3,FALSE)</f>
        <v>1464.694</v>
      </c>
    </row>
    <row r="378" spans="1:19">
      <c r="A378" s="192" t="s">
        <v>701</v>
      </c>
      <c r="B378" s="192">
        <v>0.9</v>
      </c>
      <c r="C378" s="192">
        <v>0</v>
      </c>
      <c r="D378" s="192" t="s">
        <v>65</v>
      </c>
      <c r="E378" s="192">
        <v>1</v>
      </c>
      <c r="F378" s="192">
        <v>0</v>
      </c>
      <c r="G378" s="192">
        <v>34423</v>
      </c>
      <c r="H378" s="192">
        <v>10289</v>
      </c>
      <c r="I378" s="192">
        <v>1</v>
      </c>
      <c r="J378" s="192">
        <v>1200</v>
      </c>
      <c r="K378" s="192" t="s">
        <v>925</v>
      </c>
      <c r="L378" s="192" t="s">
        <v>922</v>
      </c>
      <c r="M378" s="192" t="s">
        <v>919</v>
      </c>
      <c r="N378" s="192" t="s">
        <v>65</v>
      </c>
      <c r="O378" s="192" t="s">
        <v>65</v>
      </c>
      <c r="P378" s="192" t="s">
        <v>926</v>
      </c>
      <c r="Q378" s="192">
        <v>7.5000002980232239E-2</v>
      </c>
      <c r="R378" s="192">
        <v>3.0999999046325684</v>
      </c>
      <c r="S378" s="192">
        <f>VLOOKUP($H378,'RBSA Weights'!$A$2:$C$1406,3,FALSE)</f>
        <v>1524.7619999999999</v>
      </c>
    </row>
    <row r="379" spans="1:19">
      <c r="A379" s="192" t="s">
        <v>701</v>
      </c>
      <c r="B379" s="192">
        <v>0.9</v>
      </c>
      <c r="C379" s="192">
        <v>0</v>
      </c>
      <c r="D379" s="192" t="s">
        <v>65</v>
      </c>
      <c r="E379" s="192">
        <v>1</v>
      </c>
      <c r="F379" s="192">
        <v>1</v>
      </c>
      <c r="G379" s="192">
        <v>115868</v>
      </c>
      <c r="H379" s="192">
        <v>13514</v>
      </c>
      <c r="I379" s="192">
        <v>1</v>
      </c>
      <c r="J379" s="192">
        <v>960</v>
      </c>
      <c r="K379" s="192" t="s">
        <v>925</v>
      </c>
      <c r="L379" s="192" t="s">
        <v>922</v>
      </c>
      <c r="M379" s="192" t="s">
        <v>919</v>
      </c>
      <c r="N379" s="192" t="s">
        <v>65</v>
      </c>
      <c r="O379" s="192" t="s">
        <v>65</v>
      </c>
      <c r="P379" s="192" t="s">
        <v>924</v>
      </c>
      <c r="Q379" s="192">
        <v>7.5000002980232239E-2</v>
      </c>
      <c r="R379" s="192">
        <v>4.5</v>
      </c>
      <c r="S379" s="192">
        <f>VLOOKUP($H379,'RBSA Weights'!$A$2:$C$1406,3,FALSE)</f>
        <v>4956.4930000000004</v>
      </c>
    </row>
    <row r="380" spans="1:19">
      <c r="A380" s="192" t="s">
        <v>701</v>
      </c>
      <c r="B380" s="192">
        <v>0.9</v>
      </c>
      <c r="C380" s="192">
        <v>0</v>
      </c>
      <c r="D380" s="192" t="s">
        <v>65</v>
      </c>
      <c r="E380" s="192">
        <v>1</v>
      </c>
      <c r="F380" s="192">
        <v>0</v>
      </c>
      <c r="G380" s="192">
        <v>85929</v>
      </c>
      <c r="H380" s="192">
        <v>13678</v>
      </c>
      <c r="I380" s="192">
        <v>1</v>
      </c>
      <c r="J380" s="192">
        <v>1080</v>
      </c>
      <c r="K380" s="192" t="s">
        <v>925</v>
      </c>
      <c r="L380" s="192" t="s">
        <v>737</v>
      </c>
      <c r="M380" s="192" t="s">
        <v>923</v>
      </c>
      <c r="N380" s="192" t="s">
        <v>65</v>
      </c>
      <c r="O380" s="192" t="s">
        <v>65</v>
      </c>
      <c r="P380" s="192" t="s">
        <v>926</v>
      </c>
      <c r="Q380" s="192">
        <v>7.5000002980232239E-2</v>
      </c>
      <c r="R380" s="192">
        <v>3.0999999046325684</v>
      </c>
      <c r="S380" s="192">
        <f>VLOOKUP($H380,'RBSA Weights'!$A$2:$C$1406,3,FALSE)</f>
        <v>2003.7159999999999</v>
      </c>
    </row>
    <row r="381" spans="1:19">
      <c r="A381" s="192" t="s">
        <v>701</v>
      </c>
      <c r="B381" s="192">
        <v>0.9</v>
      </c>
      <c r="C381" s="192">
        <v>0</v>
      </c>
      <c r="D381" s="192" t="s">
        <v>65</v>
      </c>
      <c r="E381" s="192">
        <v>1</v>
      </c>
      <c r="F381" s="192">
        <v>0</v>
      </c>
      <c r="G381" s="192">
        <v>79615</v>
      </c>
      <c r="H381" s="192">
        <v>12505</v>
      </c>
      <c r="I381" s="192">
        <v>1</v>
      </c>
      <c r="J381" s="192">
        <v>891</v>
      </c>
      <c r="K381" s="192" t="s">
        <v>925</v>
      </c>
      <c r="L381" s="192" t="s">
        <v>922</v>
      </c>
      <c r="M381" s="192" t="s">
        <v>919</v>
      </c>
      <c r="N381" s="192" t="s">
        <v>65</v>
      </c>
      <c r="O381" s="192" t="s">
        <v>65</v>
      </c>
      <c r="P381" s="192" t="s">
        <v>926</v>
      </c>
      <c r="Q381" s="192">
        <v>7.5000002980232239E-2</v>
      </c>
      <c r="R381" s="192">
        <v>3.0999999046325684</v>
      </c>
      <c r="S381" s="192">
        <f>VLOOKUP($H381,'RBSA Weights'!$A$2:$C$1406,3,FALSE)</f>
        <v>2003.7159999999999</v>
      </c>
    </row>
    <row r="382" spans="1:19">
      <c r="A382" s="192" t="s">
        <v>701</v>
      </c>
      <c r="B382" s="192">
        <v>0.9</v>
      </c>
      <c r="C382" s="192">
        <v>0</v>
      </c>
      <c r="D382" s="192" t="s">
        <v>65</v>
      </c>
      <c r="E382" s="192">
        <v>1</v>
      </c>
      <c r="F382" s="192">
        <v>0</v>
      </c>
      <c r="G382" s="192">
        <v>106404</v>
      </c>
      <c r="H382" s="192">
        <v>22743</v>
      </c>
      <c r="I382" s="192">
        <v>1</v>
      </c>
      <c r="J382" s="192">
        <v>1458</v>
      </c>
      <c r="K382" s="192" t="s">
        <v>918</v>
      </c>
      <c r="L382" s="192" t="s">
        <v>737</v>
      </c>
      <c r="M382" s="192" t="s">
        <v>919</v>
      </c>
      <c r="N382" s="192" t="s">
        <v>65</v>
      </c>
      <c r="O382" s="192" t="s">
        <v>65</v>
      </c>
      <c r="P382" s="192" t="s">
        <v>926</v>
      </c>
      <c r="Q382" s="192">
        <v>7.5000002980232239E-2</v>
      </c>
      <c r="R382" s="192">
        <v>3.0999999046325684</v>
      </c>
      <c r="S382" s="192">
        <f>VLOOKUP($H382,'RBSA Weights'!$A$2:$C$1406,3,FALSE)</f>
        <v>3785.7640000000001</v>
      </c>
    </row>
    <row r="383" spans="1:19">
      <c r="A383" s="192" t="s">
        <v>701</v>
      </c>
      <c r="B383" s="192">
        <v>1</v>
      </c>
      <c r="C383" s="192">
        <v>0</v>
      </c>
      <c r="D383" s="192" t="s">
        <v>65</v>
      </c>
      <c r="E383" s="192">
        <v>1</v>
      </c>
      <c r="F383" s="192">
        <v>0</v>
      </c>
      <c r="G383" s="192">
        <v>85118</v>
      </c>
      <c r="H383" s="192">
        <v>10565</v>
      </c>
      <c r="I383" s="192">
        <v>1</v>
      </c>
      <c r="J383" s="192">
        <v>1742</v>
      </c>
      <c r="K383" s="192" t="s">
        <v>918</v>
      </c>
      <c r="L383" s="192" t="s">
        <v>922</v>
      </c>
      <c r="M383" s="192" t="s">
        <v>923</v>
      </c>
      <c r="N383" s="192" t="s">
        <v>65</v>
      </c>
      <c r="O383" s="192" t="s">
        <v>65</v>
      </c>
      <c r="P383" s="192" t="s">
        <v>926</v>
      </c>
      <c r="Q383" s="192">
        <v>5.9999998658895493E-2</v>
      </c>
      <c r="R383" s="192">
        <v>3.0999999046325684</v>
      </c>
      <c r="S383" s="192">
        <f>VLOOKUP($H383,'RBSA Weights'!$A$2:$C$1406,3,FALSE)</f>
        <v>2003.7159999999999</v>
      </c>
    </row>
    <row r="384" spans="1:19">
      <c r="A384" s="192" t="s">
        <v>701</v>
      </c>
      <c r="B384" s="192">
        <v>1</v>
      </c>
      <c r="C384" s="192">
        <v>0</v>
      </c>
      <c r="D384" s="192" t="s">
        <v>65</v>
      </c>
      <c r="E384" s="192">
        <v>1</v>
      </c>
      <c r="F384" s="192">
        <v>0</v>
      </c>
      <c r="G384" s="192">
        <v>105499</v>
      </c>
      <c r="H384" s="192">
        <v>12755</v>
      </c>
      <c r="I384" s="192">
        <v>1</v>
      </c>
      <c r="J384" s="192">
        <v>1622</v>
      </c>
      <c r="K384" s="192" t="s">
        <v>918</v>
      </c>
      <c r="L384" s="192" t="s">
        <v>737</v>
      </c>
      <c r="M384" s="192" t="s">
        <v>923</v>
      </c>
      <c r="N384" s="192" t="s">
        <v>65</v>
      </c>
      <c r="O384" s="192" t="s">
        <v>65</v>
      </c>
      <c r="P384" s="192" t="s">
        <v>924</v>
      </c>
      <c r="Q384" s="192">
        <v>5.9999998658895493E-2</v>
      </c>
      <c r="R384" s="192">
        <v>3.0999999046325684</v>
      </c>
      <c r="S384" s="192">
        <f>VLOOKUP($H384,'RBSA Weights'!$A$2:$C$1406,3,FALSE)</f>
        <v>4956.4930000000004</v>
      </c>
    </row>
    <row r="385" spans="1:19">
      <c r="A385" s="192" t="s">
        <v>701</v>
      </c>
      <c r="B385" s="192">
        <v>1</v>
      </c>
      <c r="C385" s="192">
        <v>0</v>
      </c>
      <c r="D385" s="192" t="s">
        <v>65</v>
      </c>
      <c r="E385" s="192">
        <v>0</v>
      </c>
      <c r="G385" s="192">
        <v>205256</v>
      </c>
      <c r="H385" s="192">
        <v>21707</v>
      </c>
      <c r="I385" s="192">
        <v>1</v>
      </c>
      <c r="J385" s="192">
        <v>154</v>
      </c>
      <c r="K385" s="192" t="s">
        <v>925</v>
      </c>
      <c r="L385" s="192" t="s">
        <v>927</v>
      </c>
      <c r="M385" s="192" t="s">
        <v>923</v>
      </c>
      <c r="N385" s="192" t="s">
        <v>65</v>
      </c>
      <c r="O385" s="192" t="s">
        <v>65</v>
      </c>
      <c r="P385" s="192" t="s">
        <v>65</v>
      </c>
      <c r="Q385" s="192">
        <v>5.9999998658895493E-2</v>
      </c>
      <c r="R385" s="192">
        <v>5</v>
      </c>
      <c r="S385" s="192">
        <f>VLOOKUP($H385,'RBSA Weights'!$A$2:$C$1406,3,FALSE)</f>
        <v>1904.288</v>
      </c>
    </row>
    <row r="386" spans="1:19">
      <c r="A386" s="192" t="s">
        <v>701</v>
      </c>
      <c r="B386" s="192">
        <v>1</v>
      </c>
      <c r="C386" s="192">
        <v>0</v>
      </c>
      <c r="D386" s="192" t="s">
        <v>65</v>
      </c>
      <c r="E386" s="192">
        <v>1</v>
      </c>
      <c r="F386" s="192">
        <v>0</v>
      </c>
      <c r="G386" s="192">
        <v>42348</v>
      </c>
      <c r="H386" s="192">
        <v>22053</v>
      </c>
      <c r="I386" s="192">
        <v>1</v>
      </c>
      <c r="J386" s="192">
        <v>1700</v>
      </c>
      <c r="K386" s="192" t="s">
        <v>925</v>
      </c>
      <c r="L386" s="192" t="s">
        <v>922</v>
      </c>
      <c r="M386" s="192" t="s">
        <v>923</v>
      </c>
      <c r="N386" s="192" t="s">
        <v>65</v>
      </c>
      <c r="O386" s="192" t="s">
        <v>65</v>
      </c>
      <c r="P386" s="192" t="s">
        <v>926</v>
      </c>
      <c r="Q386" s="192">
        <v>5.9999998658895493E-2</v>
      </c>
      <c r="R386" s="192">
        <v>3.0999999046325684</v>
      </c>
      <c r="S386" s="192">
        <f>VLOOKUP($H386,'RBSA Weights'!$A$2:$C$1406,3,FALSE)</f>
        <v>2079.9929999999999</v>
      </c>
    </row>
    <row r="387" spans="1:19">
      <c r="A387" s="192" t="s">
        <v>701</v>
      </c>
      <c r="B387" s="192">
        <v>1</v>
      </c>
      <c r="C387" s="192">
        <v>1</v>
      </c>
      <c r="D387" s="192" t="s">
        <v>941</v>
      </c>
      <c r="E387" s="192">
        <v>1</v>
      </c>
      <c r="F387" s="192">
        <v>0</v>
      </c>
      <c r="G387" s="192">
        <v>160710</v>
      </c>
      <c r="H387" s="192">
        <v>11729</v>
      </c>
      <c r="I387" s="192">
        <v>1</v>
      </c>
      <c r="J387" s="192">
        <v>1272</v>
      </c>
      <c r="K387" s="192" t="s">
        <v>918</v>
      </c>
      <c r="L387" s="192" t="s">
        <v>65</v>
      </c>
      <c r="M387" s="192" t="s">
        <v>923</v>
      </c>
      <c r="N387" s="192" t="s">
        <v>65</v>
      </c>
      <c r="O387" s="192" t="s">
        <v>65</v>
      </c>
      <c r="P387" s="192" t="s">
        <v>65</v>
      </c>
      <c r="Q387" s="192">
        <v>5.9999998658895493E-2</v>
      </c>
      <c r="R387" s="192">
        <v>3.9000000953674316</v>
      </c>
      <c r="S387" s="192">
        <f>VLOOKUP($H387,'RBSA Weights'!$A$2:$C$1406,3,FALSE)</f>
        <v>6932.7380000000003</v>
      </c>
    </row>
    <row r="388" spans="1:19">
      <c r="A388" s="192" t="s">
        <v>701</v>
      </c>
      <c r="B388" s="192">
        <v>1</v>
      </c>
      <c r="C388" s="192">
        <v>0</v>
      </c>
      <c r="D388" s="192" t="s">
        <v>65</v>
      </c>
      <c r="E388" s="192">
        <v>1</v>
      </c>
      <c r="F388" s="192">
        <v>1</v>
      </c>
      <c r="G388" s="192">
        <v>222470</v>
      </c>
      <c r="H388" s="192">
        <v>14577</v>
      </c>
      <c r="I388" s="192">
        <v>1</v>
      </c>
      <c r="J388" s="192">
        <v>832</v>
      </c>
      <c r="K388" s="192" t="s">
        <v>925</v>
      </c>
      <c r="L388" s="192" t="s">
        <v>927</v>
      </c>
      <c r="M388" s="192" t="s">
        <v>923</v>
      </c>
      <c r="N388" s="192" t="s">
        <v>65</v>
      </c>
      <c r="O388" s="192" t="s">
        <v>65</v>
      </c>
      <c r="P388" s="192" t="s">
        <v>65</v>
      </c>
      <c r="Q388" s="192">
        <v>5.9999998658895493E-2</v>
      </c>
      <c r="R388" s="192">
        <v>4.5</v>
      </c>
      <c r="S388" s="192">
        <f>VLOOKUP($H388,'RBSA Weights'!$A$2:$C$1406,3,FALSE)</f>
        <v>6932.7380000000003</v>
      </c>
    </row>
    <row r="389" spans="1:19">
      <c r="A389" s="192" t="s">
        <v>701</v>
      </c>
      <c r="B389" s="192">
        <v>1</v>
      </c>
      <c r="C389" s="192">
        <v>0</v>
      </c>
      <c r="D389" s="192" t="s">
        <v>65</v>
      </c>
      <c r="E389" s="192">
        <v>1</v>
      </c>
      <c r="F389" s="192">
        <v>0</v>
      </c>
      <c r="G389" s="192">
        <v>783197</v>
      </c>
      <c r="H389" s="192">
        <v>24311</v>
      </c>
      <c r="I389" s="192">
        <v>1</v>
      </c>
      <c r="J389" s="192">
        <v>1576</v>
      </c>
      <c r="K389" s="192" t="s">
        <v>925</v>
      </c>
      <c r="L389" s="192" t="s">
        <v>737</v>
      </c>
      <c r="M389" s="192" t="s">
        <v>919</v>
      </c>
      <c r="N389" s="192" t="s">
        <v>65</v>
      </c>
      <c r="O389" s="192" t="s">
        <v>965</v>
      </c>
      <c r="P389" s="192" t="s">
        <v>65</v>
      </c>
      <c r="Q389" s="192">
        <v>5.9999998658895493E-2</v>
      </c>
      <c r="R389" s="192">
        <v>3.0999999046325684</v>
      </c>
      <c r="S389" s="192">
        <f>VLOOKUP($H389,'RBSA Weights'!$A$2:$C$1406,3,FALSE)</f>
        <v>8264.9449999999997</v>
      </c>
    </row>
    <row r="390" spans="1:19">
      <c r="A390" s="192" t="s">
        <v>701</v>
      </c>
      <c r="B390" s="192">
        <v>1</v>
      </c>
      <c r="C390" s="192">
        <v>0</v>
      </c>
      <c r="D390" s="192" t="s">
        <v>65</v>
      </c>
      <c r="E390" s="192">
        <v>0</v>
      </c>
      <c r="G390" s="192">
        <v>58258</v>
      </c>
      <c r="H390" s="192">
        <v>11670</v>
      </c>
      <c r="I390" s="192">
        <v>2</v>
      </c>
      <c r="J390" s="192">
        <v>224</v>
      </c>
      <c r="K390" s="192" t="s">
        <v>925</v>
      </c>
      <c r="L390" s="192" t="s">
        <v>922</v>
      </c>
      <c r="M390" s="192" t="s">
        <v>919</v>
      </c>
      <c r="N390" s="192" t="s">
        <v>65</v>
      </c>
      <c r="O390" s="192" t="s">
        <v>966</v>
      </c>
      <c r="P390" s="192" t="s">
        <v>65</v>
      </c>
      <c r="Q390" s="192">
        <v>5.9999998658895493E-2</v>
      </c>
      <c r="R390" s="192">
        <v>5</v>
      </c>
      <c r="S390" s="192">
        <f>VLOOKUP($H390,'RBSA Weights'!$A$2:$C$1406,3,FALSE)</f>
        <v>1524.7619999999999</v>
      </c>
    </row>
    <row r="391" spans="1:19">
      <c r="A391" s="192" t="s">
        <v>701</v>
      </c>
      <c r="B391" s="192">
        <v>1</v>
      </c>
      <c r="C391" s="192">
        <v>0</v>
      </c>
      <c r="D391" s="192" t="s">
        <v>65</v>
      </c>
      <c r="E391" s="192">
        <v>0</v>
      </c>
      <c r="G391" s="192">
        <v>194616</v>
      </c>
      <c r="H391" s="192">
        <v>20671</v>
      </c>
      <c r="I391" s="192">
        <v>1</v>
      </c>
      <c r="J391" s="192">
        <v>384</v>
      </c>
      <c r="K391" s="192" t="s">
        <v>918</v>
      </c>
      <c r="L391" s="192" t="s">
        <v>65</v>
      </c>
      <c r="M391" s="192" t="s">
        <v>919</v>
      </c>
      <c r="N391" s="192" t="s">
        <v>65</v>
      </c>
      <c r="O391" s="192" t="s">
        <v>65</v>
      </c>
      <c r="P391" s="192" t="s">
        <v>65</v>
      </c>
      <c r="Q391" s="192">
        <v>5.9999998658895493E-2</v>
      </c>
      <c r="R391" s="192">
        <v>5</v>
      </c>
      <c r="S391" s="192">
        <f>VLOOKUP($H391,'RBSA Weights'!$A$2:$C$1406,3,FALSE)</f>
        <v>8264.9449999999997</v>
      </c>
    </row>
    <row r="392" spans="1:19">
      <c r="A392" s="192" t="s">
        <v>701</v>
      </c>
      <c r="B392" s="192">
        <v>1</v>
      </c>
      <c r="C392" s="192">
        <v>0</v>
      </c>
      <c r="D392" s="192" t="s">
        <v>65</v>
      </c>
      <c r="E392" s="192">
        <v>1</v>
      </c>
      <c r="F392" s="192">
        <v>0</v>
      </c>
      <c r="G392" s="192">
        <v>136006</v>
      </c>
      <c r="H392" s="192">
        <v>10309</v>
      </c>
      <c r="I392" s="192">
        <v>1</v>
      </c>
      <c r="J392" s="192">
        <v>730</v>
      </c>
      <c r="K392" s="192" t="s">
        <v>918</v>
      </c>
      <c r="L392" s="192" t="s">
        <v>65</v>
      </c>
      <c r="M392" s="192" t="s">
        <v>923</v>
      </c>
      <c r="N392" s="192" t="s">
        <v>65</v>
      </c>
      <c r="O392" s="192" t="s">
        <v>65</v>
      </c>
      <c r="P392" s="192" t="s">
        <v>65</v>
      </c>
      <c r="Q392" s="192">
        <v>5.9999998658895493E-2</v>
      </c>
      <c r="R392" s="192">
        <v>3.0999999046325684</v>
      </c>
      <c r="S392" s="192">
        <f>VLOOKUP($H392,'RBSA Weights'!$A$2:$C$1406,3,FALSE)</f>
        <v>6932.7380000000003</v>
      </c>
    </row>
    <row r="393" spans="1:19">
      <c r="A393" s="192" t="s">
        <v>701</v>
      </c>
      <c r="B393" s="192">
        <v>1</v>
      </c>
      <c r="C393" s="192">
        <v>0</v>
      </c>
      <c r="D393" s="192" t="s">
        <v>65</v>
      </c>
      <c r="E393" s="192">
        <v>1</v>
      </c>
      <c r="F393" s="192">
        <v>0</v>
      </c>
      <c r="G393" s="192">
        <v>58258</v>
      </c>
      <c r="H393" s="192">
        <v>11670</v>
      </c>
      <c r="I393" s="192">
        <v>1</v>
      </c>
      <c r="J393" s="192">
        <v>672</v>
      </c>
      <c r="K393" s="192" t="s">
        <v>925</v>
      </c>
      <c r="L393" s="192" t="s">
        <v>922</v>
      </c>
      <c r="M393" s="192" t="s">
        <v>919</v>
      </c>
      <c r="N393" s="192" t="s">
        <v>65</v>
      </c>
      <c r="O393" s="192" t="s">
        <v>754</v>
      </c>
      <c r="P393" s="192" t="s">
        <v>924</v>
      </c>
      <c r="Q393" s="192">
        <v>5.9999998658895493E-2</v>
      </c>
      <c r="R393" s="192">
        <v>3.0999999046325684</v>
      </c>
      <c r="S393" s="192">
        <f>VLOOKUP($H393,'RBSA Weights'!$A$2:$C$1406,3,FALSE)</f>
        <v>1524.7619999999999</v>
      </c>
    </row>
    <row r="394" spans="1:19">
      <c r="A394" s="192" t="s">
        <v>701</v>
      </c>
      <c r="B394" s="192">
        <v>1</v>
      </c>
      <c r="C394" s="192">
        <v>0</v>
      </c>
      <c r="D394" s="192" t="s">
        <v>65</v>
      </c>
      <c r="E394" s="192">
        <v>1</v>
      </c>
      <c r="F394" s="192">
        <v>0</v>
      </c>
      <c r="G394" s="192">
        <v>223977</v>
      </c>
      <c r="H394" s="192">
        <v>24614</v>
      </c>
      <c r="I394" s="192">
        <v>1</v>
      </c>
      <c r="J394" s="192">
        <v>1568</v>
      </c>
      <c r="K394" s="192" t="s">
        <v>918</v>
      </c>
      <c r="L394" s="192" t="s">
        <v>65</v>
      </c>
      <c r="M394" s="192" t="s">
        <v>923</v>
      </c>
      <c r="N394" s="192" t="s">
        <v>65</v>
      </c>
      <c r="O394" s="192" t="s">
        <v>65</v>
      </c>
      <c r="P394" s="192" t="s">
        <v>65</v>
      </c>
      <c r="Q394" s="192">
        <v>5.9999998658895493E-2</v>
      </c>
      <c r="R394" s="192">
        <v>3.0999999046325684</v>
      </c>
      <c r="S394" s="192">
        <f>VLOOKUP($H394,'RBSA Weights'!$A$2:$C$1406,3,FALSE)</f>
        <v>2079.9929999999999</v>
      </c>
    </row>
    <row r="395" spans="1:19">
      <c r="A395" s="192" t="s">
        <v>701</v>
      </c>
      <c r="B395" s="192">
        <v>1</v>
      </c>
      <c r="C395" s="192">
        <v>0</v>
      </c>
      <c r="D395" s="192" t="s">
        <v>65</v>
      </c>
      <c r="E395" s="192">
        <v>1</v>
      </c>
      <c r="F395" s="192">
        <v>0</v>
      </c>
      <c r="G395" s="192">
        <v>682066</v>
      </c>
      <c r="H395" s="192">
        <v>13656</v>
      </c>
      <c r="I395" s="192">
        <v>1</v>
      </c>
      <c r="J395" s="192">
        <v>1257</v>
      </c>
      <c r="K395" s="192" t="s">
        <v>925</v>
      </c>
      <c r="L395" s="192" t="s">
        <v>737</v>
      </c>
      <c r="M395" s="192" t="s">
        <v>923</v>
      </c>
      <c r="N395" s="192" t="s">
        <v>65</v>
      </c>
      <c r="O395" s="192" t="s">
        <v>967</v>
      </c>
      <c r="P395" s="192" t="s">
        <v>65</v>
      </c>
      <c r="Q395" s="192">
        <v>5.9999998658895493E-2</v>
      </c>
      <c r="R395" s="192">
        <v>3.0999999046325684</v>
      </c>
      <c r="S395" s="192">
        <f>VLOOKUP($H395,'RBSA Weights'!$A$2:$C$1406,3,FALSE)</f>
        <v>1524.7619999999999</v>
      </c>
    </row>
    <row r="396" spans="1:19">
      <c r="A396" s="192" t="s">
        <v>701</v>
      </c>
      <c r="B396" s="192">
        <v>1</v>
      </c>
      <c r="C396" s="192">
        <v>0</v>
      </c>
      <c r="D396" s="192" t="s">
        <v>65</v>
      </c>
      <c r="E396" s="192">
        <v>1</v>
      </c>
      <c r="F396" s="192">
        <v>0</v>
      </c>
      <c r="G396" s="192">
        <v>135175</v>
      </c>
      <c r="H396" s="192">
        <v>12408</v>
      </c>
      <c r="I396" s="192">
        <v>1</v>
      </c>
      <c r="J396" s="192">
        <v>990</v>
      </c>
      <c r="K396" s="192" t="s">
        <v>918</v>
      </c>
      <c r="L396" s="192" t="s">
        <v>737</v>
      </c>
      <c r="M396" s="192" t="s">
        <v>923</v>
      </c>
      <c r="N396" s="192" t="s">
        <v>65</v>
      </c>
      <c r="O396" s="192" t="s">
        <v>65</v>
      </c>
      <c r="P396" s="192" t="s">
        <v>65</v>
      </c>
      <c r="Q396" s="192">
        <v>5.9999998658895493E-2</v>
      </c>
      <c r="R396" s="192">
        <v>3.0999999046325684</v>
      </c>
      <c r="S396" s="192">
        <f>VLOOKUP($H396,'RBSA Weights'!$A$2:$C$1406,3,FALSE)</f>
        <v>4956.4930000000004</v>
      </c>
    </row>
    <row r="397" spans="1:19">
      <c r="A397" s="192" t="s">
        <v>701</v>
      </c>
      <c r="B397" s="192">
        <v>1</v>
      </c>
      <c r="C397" s="192">
        <v>0</v>
      </c>
      <c r="D397" s="192" t="s">
        <v>65</v>
      </c>
      <c r="E397" s="192">
        <v>1</v>
      </c>
      <c r="F397" s="192">
        <v>0</v>
      </c>
      <c r="G397" s="192">
        <v>71125</v>
      </c>
      <c r="H397" s="192">
        <v>23905</v>
      </c>
      <c r="I397" s="192">
        <v>1</v>
      </c>
      <c r="J397" s="192">
        <v>987</v>
      </c>
      <c r="K397" s="192" t="s">
        <v>925</v>
      </c>
      <c r="L397" s="192" t="s">
        <v>927</v>
      </c>
      <c r="M397" s="192" t="s">
        <v>923</v>
      </c>
      <c r="N397" s="192" t="s">
        <v>65</v>
      </c>
      <c r="O397" s="192" t="s">
        <v>65</v>
      </c>
      <c r="P397" s="192" t="s">
        <v>926</v>
      </c>
      <c r="Q397" s="192">
        <v>5.9999998658895493E-2</v>
      </c>
      <c r="R397" s="192">
        <v>3.0999999046325684</v>
      </c>
      <c r="S397" s="192">
        <f>VLOOKUP($H397,'RBSA Weights'!$A$2:$C$1406,3,FALSE)</f>
        <v>2079.9929999999999</v>
      </c>
    </row>
    <row r="398" spans="1:19">
      <c r="A398" s="192" t="s">
        <v>701</v>
      </c>
      <c r="B398" s="192">
        <v>1</v>
      </c>
      <c r="C398" s="192">
        <v>0</v>
      </c>
      <c r="D398" s="192" t="s">
        <v>65</v>
      </c>
      <c r="E398" s="192">
        <v>1</v>
      </c>
      <c r="F398" s="192">
        <v>1</v>
      </c>
      <c r="G398" s="192">
        <v>46465</v>
      </c>
      <c r="H398" s="192">
        <v>20712</v>
      </c>
      <c r="I398" s="192">
        <v>1</v>
      </c>
      <c r="J398" s="192">
        <v>1835</v>
      </c>
      <c r="K398" s="192" t="s">
        <v>925</v>
      </c>
      <c r="L398" s="192" t="s">
        <v>927</v>
      </c>
      <c r="M398" s="192" t="s">
        <v>923</v>
      </c>
      <c r="N398" s="192" t="s">
        <v>65</v>
      </c>
      <c r="O398" s="192" t="s">
        <v>65</v>
      </c>
      <c r="P398" s="192" t="s">
        <v>924</v>
      </c>
      <c r="Q398" s="192">
        <v>5.9999998658895493E-2</v>
      </c>
      <c r="R398" s="192">
        <v>4.5</v>
      </c>
      <c r="S398" s="192">
        <f>VLOOKUP($H398,'RBSA Weights'!$A$2:$C$1406,3,FALSE)</f>
        <v>2079.9929999999999</v>
      </c>
    </row>
    <row r="399" spans="1:19">
      <c r="A399" s="192" t="s">
        <v>701</v>
      </c>
      <c r="B399" s="192">
        <v>1</v>
      </c>
      <c r="C399" s="192">
        <v>0</v>
      </c>
      <c r="D399" s="192" t="s">
        <v>65</v>
      </c>
      <c r="E399" s="192">
        <v>1</v>
      </c>
      <c r="F399" s="192">
        <v>0</v>
      </c>
      <c r="G399" s="192">
        <v>130510</v>
      </c>
      <c r="H399" s="192">
        <v>11766</v>
      </c>
      <c r="I399" s="192">
        <v>1</v>
      </c>
      <c r="J399" s="192">
        <v>2108</v>
      </c>
      <c r="K399" s="192" t="s">
        <v>925</v>
      </c>
      <c r="L399" s="192" t="s">
        <v>922</v>
      </c>
      <c r="M399" s="192" t="s">
        <v>919</v>
      </c>
      <c r="N399" s="192" t="s">
        <v>65</v>
      </c>
      <c r="O399" s="192" t="s">
        <v>65</v>
      </c>
      <c r="P399" s="192" t="s">
        <v>65</v>
      </c>
      <c r="Q399" s="192">
        <v>5.9999998658895493E-2</v>
      </c>
      <c r="R399" s="192">
        <v>3.0999999046325684</v>
      </c>
      <c r="S399" s="192">
        <f>VLOOKUP($H399,'RBSA Weights'!$A$2:$C$1406,3,FALSE)</f>
        <v>4956.4930000000004</v>
      </c>
    </row>
    <row r="400" spans="1:19">
      <c r="A400" s="192" t="s">
        <v>701</v>
      </c>
      <c r="B400" s="192">
        <v>1</v>
      </c>
      <c r="C400" s="192">
        <v>1</v>
      </c>
      <c r="D400" s="192" t="s">
        <v>921</v>
      </c>
      <c r="E400" s="192">
        <v>1</v>
      </c>
      <c r="F400" s="192">
        <v>0</v>
      </c>
      <c r="G400" s="192">
        <v>158880</v>
      </c>
      <c r="H400" s="192">
        <v>23358</v>
      </c>
      <c r="I400" s="192">
        <v>1</v>
      </c>
      <c r="J400" s="192">
        <v>1200</v>
      </c>
      <c r="K400" s="192" t="s">
        <v>925</v>
      </c>
      <c r="L400" s="192" t="s">
        <v>930</v>
      </c>
      <c r="M400" s="192" t="s">
        <v>923</v>
      </c>
      <c r="N400" s="192" t="s">
        <v>65</v>
      </c>
      <c r="O400" s="192" t="s">
        <v>65</v>
      </c>
      <c r="P400" s="192" t="s">
        <v>65</v>
      </c>
      <c r="Q400" s="192">
        <v>5.9999998658895493E-2</v>
      </c>
      <c r="R400" s="192">
        <v>4.5</v>
      </c>
      <c r="S400" s="192">
        <f>VLOOKUP($H400,'RBSA Weights'!$A$2:$C$1406,3,FALSE)</f>
        <v>2130.886</v>
      </c>
    </row>
    <row r="401" spans="1:19">
      <c r="A401" s="192" t="s">
        <v>701</v>
      </c>
      <c r="B401" s="192">
        <v>1</v>
      </c>
      <c r="C401" s="192">
        <v>0</v>
      </c>
      <c r="D401" s="192" t="s">
        <v>65</v>
      </c>
      <c r="E401" s="192">
        <v>0</v>
      </c>
      <c r="F401" s="192">
        <v>0</v>
      </c>
      <c r="G401" s="192">
        <v>46397</v>
      </c>
      <c r="H401" s="192">
        <v>20111</v>
      </c>
      <c r="I401" s="192">
        <v>1</v>
      </c>
      <c r="J401" s="192">
        <v>770</v>
      </c>
      <c r="K401" s="192" t="s">
        <v>925</v>
      </c>
      <c r="L401" s="192" t="s">
        <v>737</v>
      </c>
      <c r="M401" s="192" t="s">
        <v>919</v>
      </c>
      <c r="N401" s="192" t="s">
        <v>65</v>
      </c>
      <c r="O401" s="192" t="s">
        <v>65</v>
      </c>
      <c r="P401" s="192" t="s">
        <v>924</v>
      </c>
      <c r="Q401" s="192">
        <v>5.9999998658895493E-2</v>
      </c>
      <c r="R401" s="192">
        <v>5</v>
      </c>
      <c r="S401" s="192">
        <f>VLOOKUP($H401,'RBSA Weights'!$A$2:$C$1406,3,FALSE)</f>
        <v>2079.9929999999999</v>
      </c>
    </row>
    <row r="402" spans="1:19">
      <c r="A402" s="192" t="s">
        <v>701</v>
      </c>
      <c r="B402" s="192">
        <v>1</v>
      </c>
      <c r="C402" s="192">
        <v>0</v>
      </c>
      <c r="D402" s="192" t="s">
        <v>65</v>
      </c>
      <c r="E402" s="192">
        <v>0</v>
      </c>
      <c r="G402" s="192">
        <v>205517</v>
      </c>
      <c r="H402" s="192">
        <v>23440</v>
      </c>
      <c r="I402" s="192">
        <v>1</v>
      </c>
      <c r="J402" s="192">
        <v>228</v>
      </c>
      <c r="K402" s="192" t="s">
        <v>925</v>
      </c>
      <c r="L402" s="192" t="s">
        <v>737</v>
      </c>
      <c r="M402" s="192" t="s">
        <v>919</v>
      </c>
      <c r="N402" s="192" t="s">
        <v>65</v>
      </c>
      <c r="O402" s="192" t="s">
        <v>65</v>
      </c>
      <c r="P402" s="192" t="s">
        <v>65</v>
      </c>
      <c r="Q402" s="192">
        <v>5.9999998658895493E-2</v>
      </c>
      <c r="R402" s="192">
        <v>5</v>
      </c>
      <c r="S402" s="192">
        <f>VLOOKUP($H402,'RBSA Weights'!$A$2:$C$1406,3,FALSE)</f>
        <v>1904.288</v>
      </c>
    </row>
    <row r="403" spans="1:19">
      <c r="A403" s="192" t="s">
        <v>701</v>
      </c>
      <c r="B403" s="192">
        <v>1</v>
      </c>
      <c r="C403" s="192">
        <v>0</v>
      </c>
      <c r="D403" s="192" t="s">
        <v>65</v>
      </c>
      <c r="E403" s="192">
        <v>1</v>
      </c>
      <c r="F403" s="192">
        <v>0</v>
      </c>
      <c r="G403" s="192">
        <v>183732</v>
      </c>
      <c r="H403" s="192">
        <v>24826</v>
      </c>
      <c r="I403" s="192">
        <v>1</v>
      </c>
      <c r="J403" s="192">
        <v>1704</v>
      </c>
      <c r="K403" s="192" t="s">
        <v>918</v>
      </c>
      <c r="L403" s="192" t="s">
        <v>65</v>
      </c>
      <c r="M403" s="192" t="s">
        <v>919</v>
      </c>
      <c r="N403" s="192" t="s">
        <v>65</v>
      </c>
      <c r="O403" s="192" t="s">
        <v>65</v>
      </c>
      <c r="P403" s="192" t="s">
        <v>65</v>
      </c>
      <c r="Q403" s="192">
        <v>5.9999998658895493E-2</v>
      </c>
      <c r="R403" s="192">
        <v>3.0999999046325684</v>
      </c>
      <c r="S403" s="192">
        <f>VLOOKUP($H403,'RBSA Weights'!$A$2:$C$1406,3,FALSE)</f>
        <v>1612.692</v>
      </c>
    </row>
    <row r="404" spans="1:19">
      <c r="A404" s="192" t="s">
        <v>701</v>
      </c>
      <c r="B404" s="192">
        <v>1</v>
      </c>
      <c r="C404" s="192">
        <v>0</v>
      </c>
      <c r="D404" s="192" t="s">
        <v>65</v>
      </c>
      <c r="E404" s="192">
        <v>1</v>
      </c>
      <c r="F404" s="192">
        <v>0</v>
      </c>
      <c r="G404" s="192">
        <v>134318</v>
      </c>
      <c r="H404" s="192">
        <v>23581</v>
      </c>
      <c r="I404" s="192">
        <v>1</v>
      </c>
      <c r="J404" s="192">
        <v>1866</v>
      </c>
      <c r="K404" s="192" t="s">
        <v>918</v>
      </c>
      <c r="L404" s="192" t="s">
        <v>65</v>
      </c>
      <c r="M404" s="192" t="s">
        <v>919</v>
      </c>
      <c r="N404" s="192" t="s">
        <v>65</v>
      </c>
      <c r="O404" s="192" t="s">
        <v>65</v>
      </c>
      <c r="P404" s="192" t="s">
        <v>65</v>
      </c>
      <c r="Q404" s="192">
        <v>5.9999998658895493E-2</v>
      </c>
      <c r="R404" s="192">
        <v>3.0999999046325684</v>
      </c>
      <c r="S404" s="192">
        <f>VLOOKUP($H404,'RBSA Weights'!$A$2:$C$1406,3,FALSE)</f>
        <v>1612.692</v>
      </c>
    </row>
    <row r="405" spans="1:19">
      <c r="A405" s="192" t="s">
        <v>701</v>
      </c>
      <c r="B405" s="192">
        <v>1</v>
      </c>
      <c r="C405" s="192">
        <v>1</v>
      </c>
      <c r="D405" s="192" t="s">
        <v>921</v>
      </c>
      <c r="E405" s="192">
        <v>1</v>
      </c>
      <c r="F405" s="192">
        <v>0</v>
      </c>
      <c r="G405" s="192">
        <v>78817</v>
      </c>
      <c r="H405" s="192">
        <v>20051</v>
      </c>
      <c r="I405" s="192">
        <v>1</v>
      </c>
      <c r="J405" s="192">
        <v>1392</v>
      </c>
      <c r="K405" s="192" t="s">
        <v>925</v>
      </c>
      <c r="L405" s="192" t="s">
        <v>930</v>
      </c>
      <c r="M405" s="192" t="s">
        <v>923</v>
      </c>
      <c r="N405" s="192" t="s">
        <v>924</v>
      </c>
      <c r="O405" s="192" t="s">
        <v>65</v>
      </c>
      <c r="P405" s="192" t="s">
        <v>924</v>
      </c>
      <c r="Q405" s="192">
        <v>5.9999998658895493E-2</v>
      </c>
      <c r="R405" s="192">
        <v>4.5</v>
      </c>
      <c r="S405" s="192">
        <f>VLOOKUP($H405,'RBSA Weights'!$A$2:$C$1406,3,FALSE)</f>
        <v>1144.6790000000001</v>
      </c>
    </row>
    <row r="406" spans="1:19">
      <c r="A406" s="192" t="s">
        <v>701</v>
      </c>
      <c r="B406" s="192">
        <v>1</v>
      </c>
      <c r="C406" s="192">
        <v>0</v>
      </c>
      <c r="D406" s="192" t="s">
        <v>65</v>
      </c>
      <c r="E406" s="192">
        <v>1</v>
      </c>
      <c r="F406" s="192">
        <v>0</v>
      </c>
      <c r="G406" s="192">
        <v>125441</v>
      </c>
      <c r="H406" s="192">
        <v>12693</v>
      </c>
      <c r="I406" s="192">
        <v>1</v>
      </c>
      <c r="J406" s="192">
        <v>1272</v>
      </c>
      <c r="K406" s="192" t="s">
        <v>918</v>
      </c>
      <c r="L406" s="192" t="s">
        <v>737</v>
      </c>
      <c r="M406" s="192" t="s">
        <v>923</v>
      </c>
      <c r="N406" s="192" t="s">
        <v>65</v>
      </c>
      <c r="O406" s="192" t="s">
        <v>65</v>
      </c>
      <c r="P406" s="192" t="s">
        <v>926</v>
      </c>
      <c r="Q406" s="192">
        <v>5.9999998658895493E-2</v>
      </c>
      <c r="R406" s="192">
        <v>3.0999999046325684</v>
      </c>
      <c r="S406" s="192">
        <f>VLOOKUP($H406,'RBSA Weights'!$A$2:$C$1406,3,FALSE)</f>
        <v>4956.4930000000004</v>
      </c>
    </row>
    <row r="407" spans="1:19">
      <c r="A407" s="192" t="s">
        <v>701</v>
      </c>
      <c r="B407" s="192">
        <v>1</v>
      </c>
      <c r="C407" s="192">
        <v>0</v>
      </c>
      <c r="D407" s="192" t="s">
        <v>65</v>
      </c>
      <c r="E407" s="192">
        <v>0</v>
      </c>
      <c r="F407" s="192">
        <v>0</v>
      </c>
      <c r="G407" s="192">
        <v>124713</v>
      </c>
      <c r="H407" s="192">
        <v>22919</v>
      </c>
      <c r="I407" s="192">
        <v>1</v>
      </c>
      <c r="J407" s="192">
        <v>950</v>
      </c>
      <c r="K407" s="192" t="s">
        <v>925</v>
      </c>
      <c r="L407" s="192" t="s">
        <v>922</v>
      </c>
      <c r="M407" s="192" t="s">
        <v>919</v>
      </c>
      <c r="N407" s="192" t="s">
        <v>65</v>
      </c>
      <c r="O407" s="192" t="s">
        <v>65</v>
      </c>
      <c r="P407" s="192" t="s">
        <v>926</v>
      </c>
      <c r="Q407" s="192">
        <v>5.9999998658895493E-2</v>
      </c>
      <c r="R407" s="192">
        <v>5</v>
      </c>
      <c r="S407" s="192">
        <f>VLOOKUP($H407,'RBSA Weights'!$A$2:$C$1406,3,FALSE)</f>
        <v>2079.9929999999999</v>
      </c>
    </row>
    <row r="408" spans="1:19">
      <c r="A408" s="192" t="s">
        <v>701</v>
      </c>
      <c r="B408" s="192">
        <v>1</v>
      </c>
      <c r="C408" s="192">
        <v>0</v>
      </c>
      <c r="D408" s="192" t="s">
        <v>65</v>
      </c>
      <c r="E408" s="192">
        <v>1</v>
      </c>
      <c r="F408" s="192">
        <v>0</v>
      </c>
      <c r="G408" s="192">
        <v>237947</v>
      </c>
      <c r="H408" s="192">
        <v>14300</v>
      </c>
      <c r="I408" s="192">
        <v>1</v>
      </c>
      <c r="J408" s="192">
        <v>1240</v>
      </c>
      <c r="K408" s="192" t="s">
        <v>918</v>
      </c>
      <c r="L408" s="192" t="s">
        <v>65</v>
      </c>
      <c r="M408" s="192" t="s">
        <v>919</v>
      </c>
      <c r="N408" s="192" t="s">
        <v>65</v>
      </c>
      <c r="O408" s="192" t="s">
        <v>65</v>
      </c>
      <c r="P408" s="192" t="s">
        <v>65</v>
      </c>
      <c r="Q408" s="192">
        <v>5.9999998658895493E-2</v>
      </c>
      <c r="R408" s="192">
        <v>3.0999999046325684</v>
      </c>
      <c r="S408" s="192">
        <f>VLOOKUP($H408,'RBSA Weights'!$A$2:$C$1406,3,FALSE)</f>
        <v>4956.4930000000004</v>
      </c>
    </row>
    <row r="409" spans="1:19">
      <c r="A409" s="192" t="s">
        <v>701</v>
      </c>
      <c r="B409" s="192">
        <v>1</v>
      </c>
      <c r="C409" s="192">
        <v>0</v>
      </c>
      <c r="D409" s="192" t="s">
        <v>65</v>
      </c>
      <c r="E409" s="192">
        <v>1</v>
      </c>
      <c r="F409" s="192">
        <v>0</v>
      </c>
      <c r="G409" s="192">
        <v>221160</v>
      </c>
      <c r="H409" s="192">
        <v>21384</v>
      </c>
      <c r="I409" s="192">
        <v>1</v>
      </c>
      <c r="J409" s="192">
        <v>957</v>
      </c>
      <c r="K409" s="192" t="s">
        <v>925</v>
      </c>
      <c r="L409" s="192" t="s">
        <v>927</v>
      </c>
      <c r="M409" s="192" t="s">
        <v>923</v>
      </c>
      <c r="N409" s="192" t="s">
        <v>65</v>
      </c>
      <c r="O409" s="192" t="s">
        <v>65</v>
      </c>
      <c r="P409" s="192" t="s">
        <v>65</v>
      </c>
      <c r="Q409" s="192">
        <v>5.9999998658895493E-2</v>
      </c>
      <c r="R409" s="192">
        <v>3.0999999046325684</v>
      </c>
      <c r="S409" s="192">
        <f>VLOOKUP($H409,'RBSA Weights'!$A$2:$C$1406,3,FALSE)</f>
        <v>1904.288</v>
      </c>
    </row>
    <row r="410" spans="1:19">
      <c r="A410" s="192" t="s">
        <v>701</v>
      </c>
      <c r="B410" s="192">
        <v>1</v>
      </c>
      <c r="C410" s="192">
        <v>0</v>
      </c>
      <c r="D410" s="192" t="s">
        <v>65</v>
      </c>
      <c r="E410" s="192">
        <v>1</v>
      </c>
      <c r="F410" s="192">
        <v>1</v>
      </c>
      <c r="G410" s="192">
        <v>210929</v>
      </c>
      <c r="H410" s="192">
        <v>20440</v>
      </c>
      <c r="I410" s="192">
        <v>1</v>
      </c>
      <c r="J410" s="192">
        <v>1452</v>
      </c>
      <c r="K410" s="192" t="s">
        <v>918</v>
      </c>
      <c r="L410" s="192" t="s">
        <v>65</v>
      </c>
      <c r="M410" s="192" t="s">
        <v>919</v>
      </c>
      <c r="N410" s="192" t="s">
        <v>65</v>
      </c>
      <c r="O410" s="192" t="s">
        <v>65</v>
      </c>
      <c r="P410" s="192" t="s">
        <v>65</v>
      </c>
      <c r="Q410" s="192">
        <v>5.9999998658895493E-2</v>
      </c>
      <c r="R410" s="192">
        <v>4.5</v>
      </c>
      <c r="S410" s="192">
        <f>VLOOKUP($H410,'RBSA Weights'!$A$2:$C$1406,3,FALSE)</f>
        <v>1925.059</v>
      </c>
    </row>
    <row r="411" spans="1:19">
      <c r="A411" s="192" t="s">
        <v>701</v>
      </c>
      <c r="B411" s="192">
        <v>1</v>
      </c>
      <c r="C411" s="192">
        <v>0</v>
      </c>
      <c r="D411" s="192" t="s">
        <v>65</v>
      </c>
      <c r="E411" s="192">
        <v>1</v>
      </c>
      <c r="F411" s="192">
        <v>1</v>
      </c>
      <c r="G411" s="192">
        <v>85821</v>
      </c>
      <c r="H411" s="192">
        <v>11684</v>
      </c>
      <c r="I411" s="192">
        <v>1</v>
      </c>
      <c r="J411" s="192">
        <v>1334</v>
      </c>
      <c r="K411" s="192" t="s">
        <v>925</v>
      </c>
      <c r="L411" s="192" t="s">
        <v>737</v>
      </c>
      <c r="M411" s="192" t="s">
        <v>919</v>
      </c>
      <c r="N411" s="192" t="s">
        <v>65</v>
      </c>
      <c r="O411" s="192" t="s">
        <v>65</v>
      </c>
      <c r="P411" s="192" t="s">
        <v>926</v>
      </c>
      <c r="Q411" s="192">
        <v>5.9999998658895493E-2</v>
      </c>
      <c r="R411" s="192">
        <v>4.5</v>
      </c>
      <c r="S411" s="192">
        <f>VLOOKUP($H411,'RBSA Weights'!$A$2:$C$1406,3,FALSE)</f>
        <v>2003.7159999999999</v>
      </c>
    </row>
    <row r="412" spans="1:19">
      <c r="A412" s="192" t="s">
        <v>928</v>
      </c>
      <c r="B412" s="192">
        <v>0.25</v>
      </c>
      <c r="C412" s="192">
        <v>0</v>
      </c>
      <c r="D412" s="192" t="s">
        <v>65</v>
      </c>
      <c r="E412" s="192">
        <v>1</v>
      </c>
      <c r="F412" s="192">
        <v>0</v>
      </c>
      <c r="G412" s="192">
        <v>73893</v>
      </c>
      <c r="H412" s="192">
        <v>11752</v>
      </c>
      <c r="I412" s="192">
        <v>1</v>
      </c>
      <c r="J412" s="192">
        <v>1240</v>
      </c>
      <c r="K412" s="192" t="s">
        <v>918</v>
      </c>
      <c r="L412" s="192" t="s">
        <v>65</v>
      </c>
      <c r="M412" s="192" t="s">
        <v>923</v>
      </c>
      <c r="N412" s="192" t="s">
        <v>65</v>
      </c>
      <c r="O412" s="192" t="s">
        <v>65</v>
      </c>
      <c r="P412" s="192" t="s">
        <v>926</v>
      </c>
      <c r="Q412" s="192">
        <v>0.18500000238418579</v>
      </c>
      <c r="R412" s="192">
        <v>3.0999999046325684</v>
      </c>
      <c r="S412" s="192">
        <f>VLOOKUP($H412,'RBSA Weights'!$A$2:$C$1406,3,FALSE)</f>
        <v>2003.7159999999999</v>
      </c>
    </row>
    <row r="413" spans="1:19">
      <c r="A413" s="192" t="s">
        <v>928</v>
      </c>
      <c r="B413" s="192">
        <v>0.5</v>
      </c>
      <c r="C413" s="192">
        <v>0</v>
      </c>
      <c r="D413" s="192" t="s">
        <v>65</v>
      </c>
      <c r="E413" s="192">
        <v>1</v>
      </c>
      <c r="F413" s="192">
        <v>0</v>
      </c>
      <c r="G413" s="192">
        <v>79122</v>
      </c>
      <c r="H413" s="192">
        <v>22439</v>
      </c>
      <c r="I413" s="192">
        <v>1</v>
      </c>
      <c r="J413" s="192">
        <v>1485</v>
      </c>
      <c r="K413" s="192" t="s">
        <v>925</v>
      </c>
      <c r="L413" s="192" t="s">
        <v>737</v>
      </c>
      <c r="M413" s="192" t="s">
        <v>919</v>
      </c>
      <c r="N413" s="192" t="s">
        <v>65</v>
      </c>
      <c r="O413" s="192" t="s">
        <v>65</v>
      </c>
      <c r="P413" s="192" t="s">
        <v>926</v>
      </c>
      <c r="Q413" s="192">
        <v>0.14000000059604645</v>
      </c>
      <c r="R413" s="192">
        <v>3.0999999046325684</v>
      </c>
      <c r="S413" s="192">
        <f>VLOOKUP($H413,'RBSA Weights'!$A$2:$C$1406,3,FALSE)</f>
        <v>2079.9929999999999</v>
      </c>
    </row>
    <row r="414" spans="1:19">
      <c r="A414" s="192" t="s">
        <v>928</v>
      </c>
      <c r="B414" s="192">
        <v>0.5</v>
      </c>
      <c r="C414" s="192">
        <v>0</v>
      </c>
      <c r="D414" s="192" t="s">
        <v>65</v>
      </c>
      <c r="E414" s="192">
        <v>1</v>
      </c>
      <c r="F414" s="192">
        <v>0</v>
      </c>
      <c r="G414" s="192">
        <v>54290</v>
      </c>
      <c r="H414" s="192">
        <v>11499</v>
      </c>
      <c r="I414" s="192">
        <v>1</v>
      </c>
      <c r="J414" s="192">
        <v>840</v>
      </c>
      <c r="K414" s="192" t="s">
        <v>925</v>
      </c>
      <c r="L414" s="192" t="s">
        <v>737</v>
      </c>
      <c r="M414" s="192" t="s">
        <v>919</v>
      </c>
      <c r="N414" s="192" t="s">
        <v>65</v>
      </c>
      <c r="O414" s="192" t="s">
        <v>65</v>
      </c>
      <c r="P414" s="192" t="s">
        <v>924</v>
      </c>
      <c r="Q414" s="192">
        <v>0.14000000059604645</v>
      </c>
      <c r="R414" s="192">
        <v>3.0999999046325684</v>
      </c>
      <c r="S414" s="192">
        <f>VLOOKUP($H414,'RBSA Weights'!$A$2:$C$1406,3,FALSE)</f>
        <v>1188.027</v>
      </c>
    </row>
    <row r="415" spans="1:19">
      <c r="A415" s="192" t="s">
        <v>928</v>
      </c>
      <c r="B415" s="192">
        <v>0.5</v>
      </c>
      <c r="C415" s="192">
        <v>0</v>
      </c>
      <c r="D415" s="192" t="s">
        <v>65</v>
      </c>
      <c r="E415" s="192">
        <v>1</v>
      </c>
      <c r="F415" s="192">
        <v>0</v>
      </c>
      <c r="G415" s="192">
        <v>142855</v>
      </c>
      <c r="H415" s="192">
        <v>21647</v>
      </c>
      <c r="I415" s="192">
        <v>1</v>
      </c>
      <c r="J415" s="192">
        <v>744</v>
      </c>
      <c r="K415" s="192" t="s">
        <v>925</v>
      </c>
      <c r="L415" s="192" t="s">
        <v>922</v>
      </c>
      <c r="M415" s="192" t="s">
        <v>919</v>
      </c>
      <c r="N415" s="192" t="s">
        <v>65</v>
      </c>
      <c r="O415" s="192" t="s">
        <v>65</v>
      </c>
      <c r="P415" s="192" t="s">
        <v>65</v>
      </c>
      <c r="Q415" s="192">
        <v>0.14000000059604645</v>
      </c>
      <c r="R415" s="192">
        <v>3.0999999046325684</v>
      </c>
      <c r="S415" s="192">
        <f>VLOOKUP($H415,'RBSA Weights'!$A$2:$C$1406,3,FALSE)</f>
        <v>1612.692</v>
      </c>
    </row>
    <row r="416" spans="1:19">
      <c r="A416" s="192" t="s">
        <v>928</v>
      </c>
      <c r="B416" s="192">
        <v>0.5</v>
      </c>
      <c r="C416" s="192">
        <v>0</v>
      </c>
      <c r="D416" s="192" t="s">
        <v>65</v>
      </c>
      <c r="E416" s="192">
        <v>1</v>
      </c>
      <c r="F416" s="192">
        <v>0</v>
      </c>
      <c r="G416" s="192">
        <v>720710</v>
      </c>
      <c r="H416" s="192">
        <v>11219</v>
      </c>
      <c r="I416" s="192">
        <v>1</v>
      </c>
      <c r="J416" s="192">
        <v>1322</v>
      </c>
      <c r="K416" s="192" t="s">
        <v>918</v>
      </c>
      <c r="L416" s="192" t="s">
        <v>65</v>
      </c>
      <c r="M416" s="192" t="s">
        <v>923</v>
      </c>
      <c r="N416" s="192" t="s">
        <v>65</v>
      </c>
      <c r="O416" s="192" t="s">
        <v>65</v>
      </c>
      <c r="P416" s="192" t="s">
        <v>65</v>
      </c>
      <c r="Q416" s="192">
        <v>0.14000000059604645</v>
      </c>
      <c r="R416" s="192">
        <v>3.0999999046325684</v>
      </c>
      <c r="S416" s="192">
        <f>VLOOKUP($H416,'RBSA Weights'!$A$2:$C$1406,3,FALSE)</f>
        <v>4956.4930000000004</v>
      </c>
    </row>
    <row r="417" spans="1:19">
      <c r="A417" s="192" t="s">
        <v>928</v>
      </c>
      <c r="B417" s="192">
        <v>0.5</v>
      </c>
      <c r="C417" s="192">
        <v>0</v>
      </c>
      <c r="D417" s="192" t="s">
        <v>65</v>
      </c>
      <c r="E417" s="192">
        <v>1</v>
      </c>
      <c r="F417" s="192">
        <v>1</v>
      </c>
      <c r="G417" s="192">
        <v>81568</v>
      </c>
      <c r="H417" s="192">
        <v>21668</v>
      </c>
      <c r="I417" s="192">
        <v>1</v>
      </c>
      <c r="J417" s="192">
        <v>854</v>
      </c>
      <c r="K417" s="192" t="s">
        <v>925</v>
      </c>
      <c r="L417" s="192" t="s">
        <v>922</v>
      </c>
      <c r="M417" s="192" t="s">
        <v>923</v>
      </c>
      <c r="N417" s="192" t="s">
        <v>65</v>
      </c>
      <c r="O417" s="192" t="s">
        <v>65</v>
      </c>
      <c r="P417" s="192" t="s">
        <v>926</v>
      </c>
      <c r="Q417" s="192">
        <v>0.14000000059604645</v>
      </c>
      <c r="R417" s="192">
        <v>4.5</v>
      </c>
      <c r="S417" s="192">
        <f>VLOOKUP($H417,'RBSA Weights'!$A$2:$C$1406,3,FALSE)</f>
        <v>3785.7640000000001</v>
      </c>
    </row>
    <row r="418" spans="1:19">
      <c r="A418" s="192" t="s">
        <v>928</v>
      </c>
      <c r="B418" s="192">
        <v>0.5</v>
      </c>
      <c r="C418" s="192">
        <v>0</v>
      </c>
      <c r="D418" s="192" t="s">
        <v>65</v>
      </c>
      <c r="E418" s="192">
        <v>1</v>
      </c>
      <c r="F418" s="192">
        <v>1</v>
      </c>
      <c r="G418" s="192">
        <v>55001</v>
      </c>
      <c r="H418" s="192">
        <v>22509</v>
      </c>
      <c r="I418" s="192">
        <v>1</v>
      </c>
      <c r="J418" s="192">
        <v>624</v>
      </c>
      <c r="K418" s="192" t="s">
        <v>918</v>
      </c>
      <c r="L418" s="192" t="s">
        <v>922</v>
      </c>
      <c r="M418" s="192" t="s">
        <v>923</v>
      </c>
      <c r="N418" s="192" t="s">
        <v>65</v>
      </c>
      <c r="O418" s="192" t="s">
        <v>65</v>
      </c>
      <c r="P418" s="192" t="s">
        <v>926</v>
      </c>
      <c r="Q418" s="192">
        <v>0.14000000059604645</v>
      </c>
      <c r="R418" s="192">
        <v>4.5</v>
      </c>
      <c r="S418" s="192">
        <f>VLOOKUP($H418,'RBSA Weights'!$A$2:$C$1406,3,FALSE)</f>
        <v>2079.9929999999999</v>
      </c>
    </row>
    <row r="419" spans="1:19">
      <c r="A419" s="192" t="s">
        <v>928</v>
      </c>
      <c r="B419" s="192">
        <v>0.5</v>
      </c>
      <c r="C419" s="192">
        <v>0</v>
      </c>
      <c r="D419" s="192" t="s">
        <v>65</v>
      </c>
      <c r="E419" s="192">
        <v>0</v>
      </c>
      <c r="F419" s="192">
        <v>0</v>
      </c>
      <c r="G419" s="192">
        <v>27289</v>
      </c>
      <c r="H419" s="192">
        <v>12640</v>
      </c>
      <c r="I419" s="192">
        <v>1</v>
      </c>
      <c r="J419" s="192">
        <v>1240</v>
      </c>
      <c r="K419" s="192" t="s">
        <v>925</v>
      </c>
      <c r="L419" s="192" t="s">
        <v>737</v>
      </c>
      <c r="M419" s="192" t="s">
        <v>919</v>
      </c>
      <c r="N419" s="192" t="s">
        <v>65</v>
      </c>
      <c r="O419" s="192" t="s">
        <v>65</v>
      </c>
      <c r="P419" s="192" t="s">
        <v>926</v>
      </c>
      <c r="Q419" s="192">
        <v>0.14000000059604645</v>
      </c>
      <c r="R419" s="192">
        <v>5</v>
      </c>
      <c r="S419" s="192">
        <f>VLOOKUP($H419,'RBSA Weights'!$A$2:$C$1406,3,FALSE)</f>
        <v>1150.8789999999999</v>
      </c>
    </row>
    <row r="420" spans="1:19">
      <c r="A420" s="192" t="s">
        <v>928</v>
      </c>
      <c r="B420" s="192">
        <v>0.5</v>
      </c>
      <c r="C420" s="192">
        <v>0</v>
      </c>
      <c r="D420" s="192" t="s">
        <v>65</v>
      </c>
      <c r="E420" s="192">
        <v>0</v>
      </c>
      <c r="F420" s="192">
        <v>0</v>
      </c>
      <c r="G420" s="192">
        <v>33372</v>
      </c>
      <c r="H420" s="192">
        <v>21605</v>
      </c>
      <c r="I420" s="192">
        <v>1</v>
      </c>
      <c r="J420" s="192">
        <v>1237</v>
      </c>
      <c r="K420" s="192" t="s">
        <v>918</v>
      </c>
      <c r="L420" s="192" t="s">
        <v>737</v>
      </c>
      <c r="M420" s="192" t="s">
        <v>919</v>
      </c>
      <c r="N420" s="192" t="s">
        <v>65</v>
      </c>
      <c r="O420" s="192" t="s">
        <v>65</v>
      </c>
      <c r="P420" s="192" t="s">
        <v>926</v>
      </c>
      <c r="Q420" s="192">
        <v>0.14000000059604645</v>
      </c>
      <c r="R420" s="192">
        <v>5</v>
      </c>
      <c r="S420" s="192">
        <f>VLOOKUP($H420,'RBSA Weights'!$A$2:$C$1406,3,FALSE)</f>
        <v>2130.886</v>
      </c>
    </row>
    <row r="421" spans="1:19">
      <c r="A421" s="192" t="s">
        <v>928</v>
      </c>
      <c r="B421" s="192">
        <v>0.5</v>
      </c>
      <c r="C421" s="192">
        <v>0</v>
      </c>
      <c r="D421" s="192" t="s">
        <v>65</v>
      </c>
      <c r="E421" s="192">
        <v>1</v>
      </c>
      <c r="F421" s="192">
        <v>0</v>
      </c>
      <c r="G421" s="192">
        <v>29629</v>
      </c>
      <c r="H421" s="192">
        <v>10895</v>
      </c>
      <c r="I421" s="192">
        <v>1</v>
      </c>
      <c r="J421" s="192">
        <v>1759</v>
      </c>
      <c r="K421" s="192" t="s">
        <v>925</v>
      </c>
      <c r="L421" s="192" t="s">
        <v>922</v>
      </c>
      <c r="M421" s="192" t="s">
        <v>923</v>
      </c>
      <c r="N421" s="192" t="s">
        <v>65</v>
      </c>
      <c r="O421" s="192" t="s">
        <v>65</v>
      </c>
      <c r="P421" s="192" t="s">
        <v>924</v>
      </c>
      <c r="Q421" s="192">
        <v>0.14000000059604645</v>
      </c>
      <c r="R421" s="192">
        <v>3.0999999046325684</v>
      </c>
      <c r="S421" s="192">
        <f>VLOOKUP($H421,'RBSA Weights'!$A$2:$C$1406,3,FALSE)</f>
        <v>1524.7619999999999</v>
      </c>
    </row>
    <row r="422" spans="1:19">
      <c r="A422" s="192" t="s">
        <v>928</v>
      </c>
      <c r="B422" s="192">
        <v>0.5</v>
      </c>
      <c r="C422" s="192">
        <v>0</v>
      </c>
      <c r="D422" s="192" t="s">
        <v>65</v>
      </c>
      <c r="E422" s="192">
        <v>1</v>
      </c>
      <c r="F422" s="192">
        <v>0</v>
      </c>
      <c r="G422" s="192">
        <v>199336</v>
      </c>
      <c r="H422" s="192">
        <v>22699</v>
      </c>
      <c r="I422" s="192">
        <v>1</v>
      </c>
      <c r="J422" s="192">
        <v>940</v>
      </c>
      <c r="K422" s="192" t="s">
        <v>918</v>
      </c>
      <c r="L422" s="192" t="s">
        <v>65</v>
      </c>
      <c r="M422" s="192" t="s">
        <v>923</v>
      </c>
      <c r="N422" s="192" t="s">
        <v>65</v>
      </c>
      <c r="O422" s="192" t="s">
        <v>65</v>
      </c>
      <c r="P422" s="192" t="s">
        <v>65</v>
      </c>
      <c r="Q422" s="192">
        <v>0.14000000059604645</v>
      </c>
      <c r="R422" s="192">
        <v>3.0999999046325684</v>
      </c>
      <c r="S422" s="192">
        <f>VLOOKUP($H422,'RBSA Weights'!$A$2:$C$1406,3,FALSE)</f>
        <v>1612.692</v>
      </c>
    </row>
    <row r="423" spans="1:19">
      <c r="A423" s="192" t="s">
        <v>928</v>
      </c>
      <c r="B423" s="192">
        <v>0.5</v>
      </c>
      <c r="C423" s="192">
        <v>0</v>
      </c>
      <c r="D423" s="192" t="s">
        <v>65</v>
      </c>
      <c r="E423" s="192">
        <v>1</v>
      </c>
      <c r="F423" s="192">
        <v>0</v>
      </c>
      <c r="G423" s="192">
        <v>79482</v>
      </c>
      <c r="H423" s="192">
        <v>13017</v>
      </c>
      <c r="I423" s="192">
        <v>1</v>
      </c>
      <c r="J423" s="192">
        <v>594</v>
      </c>
      <c r="K423" s="192" t="s">
        <v>918</v>
      </c>
      <c r="L423" s="192" t="s">
        <v>737</v>
      </c>
      <c r="M423" s="192" t="s">
        <v>919</v>
      </c>
      <c r="N423" s="192" t="s">
        <v>65</v>
      </c>
      <c r="O423" s="192" t="s">
        <v>65</v>
      </c>
      <c r="P423" s="192" t="s">
        <v>926</v>
      </c>
      <c r="Q423" s="192">
        <v>0.14000000059604645</v>
      </c>
      <c r="R423" s="192">
        <v>3.0999999046325684</v>
      </c>
      <c r="S423" s="192">
        <f>VLOOKUP($H423,'RBSA Weights'!$A$2:$C$1406,3,FALSE)</f>
        <v>2003.7159999999999</v>
      </c>
    </row>
    <row r="424" spans="1:19">
      <c r="A424" s="192" t="s">
        <v>928</v>
      </c>
      <c r="B424" s="192">
        <v>0.5</v>
      </c>
      <c r="C424" s="192">
        <v>0</v>
      </c>
      <c r="D424" s="192" t="s">
        <v>65</v>
      </c>
      <c r="E424" s="192">
        <v>1</v>
      </c>
      <c r="F424" s="192">
        <v>0</v>
      </c>
      <c r="G424" s="192">
        <v>76662</v>
      </c>
      <c r="H424" s="192">
        <v>13292</v>
      </c>
      <c r="I424" s="192">
        <v>1</v>
      </c>
      <c r="J424" s="192">
        <v>989</v>
      </c>
      <c r="K424" s="192" t="s">
        <v>918</v>
      </c>
      <c r="L424" s="192" t="s">
        <v>737</v>
      </c>
      <c r="M424" s="192" t="s">
        <v>923</v>
      </c>
      <c r="N424" s="192" t="s">
        <v>65</v>
      </c>
      <c r="O424" s="192" t="s">
        <v>65</v>
      </c>
      <c r="P424" s="192" t="s">
        <v>926</v>
      </c>
      <c r="Q424" s="192">
        <v>0.14000000059604645</v>
      </c>
      <c r="R424" s="192">
        <v>3.0999999046325684</v>
      </c>
      <c r="S424" s="192">
        <f>VLOOKUP($H424,'RBSA Weights'!$A$2:$C$1406,3,FALSE)</f>
        <v>2003.7159999999999</v>
      </c>
    </row>
    <row r="425" spans="1:19">
      <c r="A425" s="192" t="s">
        <v>928</v>
      </c>
      <c r="B425" s="192">
        <v>0.75</v>
      </c>
      <c r="C425" s="192">
        <v>0</v>
      </c>
      <c r="D425" s="192" t="s">
        <v>65</v>
      </c>
      <c r="E425" s="192">
        <v>1</v>
      </c>
      <c r="F425" s="192">
        <v>0</v>
      </c>
      <c r="G425" s="192">
        <v>679558</v>
      </c>
      <c r="H425" s="192">
        <v>10388</v>
      </c>
      <c r="I425" s="192">
        <v>1</v>
      </c>
      <c r="J425" s="192">
        <v>748</v>
      </c>
      <c r="K425" s="192" t="s">
        <v>925</v>
      </c>
      <c r="L425" s="192" t="s">
        <v>922</v>
      </c>
      <c r="M425" s="192" t="s">
        <v>919</v>
      </c>
      <c r="N425" s="192" t="s">
        <v>65</v>
      </c>
      <c r="O425" s="192" t="s">
        <v>65</v>
      </c>
      <c r="P425" s="192" t="s">
        <v>65</v>
      </c>
      <c r="Q425" s="192">
        <v>9.0000003576278687E-2</v>
      </c>
      <c r="R425" s="192">
        <v>3.0999999046325684</v>
      </c>
      <c r="S425" s="192">
        <f>VLOOKUP($H425,'RBSA Weights'!$A$2:$C$1406,3,FALSE)</f>
        <v>1464.694</v>
      </c>
    </row>
    <row r="426" spans="1:19">
      <c r="A426" s="192" t="s">
        <v>928</v>
      </c>
      <c r="B426" s="192">
        <v>0.75</v>
      </c>
      <c r="C426" s="192">
        <v>0</v>
      </c>
      <c r="D426" s="192" t="s">
        <v>65</v>
      </c>
      <c r="E426" s="192">
        <v>1</v>
      </c>
      <c r="F426" s="192">
        <v>0</v>
      </c>
      <c r="G426" s="192">
        <v>187583</v>
      </c>
      <c r="H426" s="192">
        <v>24467</v>
      </c>
      <c r="I426" s="192">
        <v>1</v>
      </c>
      <c r="J426" s="192">
        <v>1600</v>
      </c>
      <c r="K426" s="192" t="s">
        <v>918</v>
      </c>
      <c r="L426" s="192" t="s">
        <v>65</v>
      </c>
      <c r="M426" s="192" t="s">
        <v>919</v>
      </c>
      <c r="N426" s="192" t="s">
        <v>65</v>
      </c>
      <c r="O426" s="192" t="s">
        <v>65</v>
      </c>
      <c r="P426" s="192" t="s">
        <v>65</v>
      </c>
      <c r="Q426" s="192">
        <v>9.0000003576278687E-2</v>
      </c>
      <c r="R426" s="192">
        <v>3.0999999046325684</v>
      </c>
      <c r="S426" s="192">
        <f>VLOOKUP($H426,'RBSA Weights'!$A$2:$C$1406,3,FALSE)</f>
        <v>1612.692</v>
      </c>
    </row>
    <row r="427" spans="1:19">
      <c r="A427" s="192" t="s">
        <v>928</v>
      </c>
      <c r="B427" s="192">
        <v>0.75</v>
      </c>
      <c r="C427" s="192">
        <v>0</v>
      </c>
      <c r="D427" s="192" t="s">
        <v>65</v>
      </c>
      <c r="E427" s="192">
        <v>1</v>
      </c>
      <c r="F427" s="192">
        <v>0</v>
      </c>
      <c r="G427" s="192">
        <v>166930</v>
      </c>
      <c r="H427" s="192">
        <v>21464</v>
      </c>
      <c r="I427" s="192">
        <v>1</v>
      </c>
      <c r="J427" s="192">
        <v>1233</v>
      </c>
      <c r="K427" s="192" t="s">
        <v>925</v>
      </c>
      <c r="L427" s="192" t="s">
        <v>927</v>
      </c>
      <c r="M427" s="192" t="s">
        <v>923</v>
      </c>
      <c r="N427" s="192" t="s">
        <v>65</v>
      </c>
      <c r="O427" s="192" t="s">
        <v>65</v>
      </c>
      <c r="P427" s="192" t="s">
        <v>65</v>
      </c>
      <c r="Q427" s="192">
        <v>9.0000003576278687E-2</v>
      </c>
      <c r="R427" s="192">
        <v>3.0999999046325684</v>
      </c>
      <c r="S427" s="192">
        <f>VLOOKUP($H427,'RBSA Weights'!$A$2:$C$1406,3,FALSE)</f>
        <v>1192.4649999999999</v>
      </c>
    </row>
    <row r="428" spans="1:19">
      <c r="A428" s="192" t="s">
        <v>928</v>
      </c>
      <c r="B428" s="192">
        <v>0.75</v>
      </c>
      <c r="C428" s="192">
        <v>1</v>
      </c>
      <c r="D428" s="192" t="s">
        <v>941</v>
      </c>
      <c r="E428" s="192">
        <v>0</v>
      </c>
      <c r="G428" s="192">
        <v>148757</v>
      </c>
      <c r="H428" s="192">
        <v>22597</v>
      </c>
      <c r="I428" s="192">
        <v>1</v>
      </c>
      <c r="J428" s="192">
        <v>1012</v>
      </c>
      <c r="K428" s="192" t="s">
        <v>918</v>
      </c>
      <c r="L428" s="192" t="s">
        <v>65</v>
      </c>
      <c r="M428" s="192" t="s">
        <v>919</v>
      </c>
      <c r="N428" s="192" t="s">
        <v>65</v>
      </c>
      <c r="O428" s="192" t="s">
        <v>65</v>
      </c>
      <c r="P428" s="192" t="s">
        <v>65</v>
      </c>
      <c r="Q428" s="192">
        <v>9.0000003576278687E-2</v>
      </c>
      <c r="R428" s="192">
        <v>9.1000003814697266</v>
      </c>
      <c r="S428" s="192">
        <f>VLOOKUP($H428,'RBSA Weights'!$A$2:$C$1406,3,FALSE)</f>
        <v>8264.9449999999997</v>
      </c>
    </row>
    <row r="429" spans="1:19">
      <c r="A429" s="192" t="s">
        <v>928</v>
      </c>
      <c r="B429" s="192">
        <v>0.75</v>
      </c>
      <c r="C429" s="192">
        <v>0</v>
      </c>
      <c r="D429" s="192" t="s">
        <v>65</v>
      </c>
      <c r="E429" s="192">
        <v>1</v>
      </c>
      <c r="F429" s="192">
        <v>0</v>
      </c>
      <c r="G429" s="192">
        <v>71387</v>
      </c>
      <c r="H429" s="192">
        <v>21103</v>
      </c>
      <c r="I429" s="192">
        <v>1</v>
      </c>
      <c r="J429" s="192">
        <v>1185</v>
      </c>
      <c r="K429" s="192" t="s">
        <v>918</v>
      </c>
      <c r="L429" s="192" t="s">
        <v>65</v>
      </c>
      <c r="M429" s="192" t="s">
        <v>923</v>
      </c>
      <c r="N429" s="192" t="s">
        <v>65</v>
      </c>
      <c r="O429" s="192" t="s">
        <v>65</v>
      </c>
      <c r="P429" s="192" t="s">
        <v>926</v>
      </c>
      <c r="Q429" s="192">
        <v>9.0000003576278687E-2</v>
      </c>
      <c r="R429" s="192">
        <v>3.0999999046325684</v>
      </c>
      <c r="S429" s="192">
        <f>VLOOKUP($H429,'RBSA Weights'!$A$2:$C$1406,3,FALSE)</f>
        <v>2079.9929999999999</v>
      </c>
    </row>
    <row r="430" spans="1:19">
      <c r="A430" s="192" t="s">
        <v>928</v>
      </c>
      <c r="B430" s="192">
        <v>0.75</v>
      </c>
      <c r="C430" s="192">
        <v>0</v>
      </c>
      <c r="D430" s="192" t="s">
        <v>65</v>
      </c>
      <c r="E430" s="192">
        <v>0</v>
      </c>
      <c r="F430" s="192">
        <v>0</v>
      </c>
      <c r="G430" s="192">
        <v>36666</v>
      </c>
      <c r="H430" s="192">
        <v>20995</v>
      </c>
      <c r="I430" s="192">
        <v>1</v>
      </c>
      <c r="J430" s="192">
        <v>784</v>
      </c>
      <c r="K430" s="192" t="s">
        <v>925</v>
      </c>
      <c r="L430" s="192" t="s">
        <v>927</v>
      </c>
      <c r="M430" s="192" t="s">
        <v>919</v>
      </c>
      <c r="N430" s="192" t="s">
        <v>65</v>
      </c>
      <c r="O430" s="192" t="s">
        <v>65</v>
      </c>
      <c r="P430" s="192" t="s">
        <v>926</v>
      </c>
      <c r="Q430" s="192">
        <v>9.0000003576278687E-2</v>
      </c>
      <c r="R430" s="192">
        <v>5</v>
      </c>
      <c r="S430" s="192">
        <f>VLOOKUP($H430,'RBSA Weights'!$A$2:$C$1406,3,FALSE)</f>
        <v>2130.886</v>
      </c>
    </row>
    <row r="431" spans="1:19">
      <c r="A431" s="192" t="s">
        <v>928</v>
      </c>
      <c r="B431" s="192">
        <v>0.75</v>
      </c>
      <c r="C431" s="192">
        <v>0</v>
      </c>
      <c r="D431" s="192" t="s">
        <v>65</v>
      </c>
      <c r="E431" s="192">
        <v>1</v>
      </c>
      <c r="F431" s="192">
        <v>1</v>
      </c>
      <c r="G431" s="192">
        <v>676108</v>
      </c>
      <c r="H431" s="192">
        <v>24684</v>
      </c>
      <c r="I431" s="192">
        <v>1</v>
      </c>
      <c r="J431" s="192">
        <v>1334</v>
      </c>
      <c r="K431" s="192" t="s">
        <v>925</v>
      </c>
      <c r="L431" s="192" t="s">
        <v>737</v>
      </c>
      <c r="M431" s="192" t="s">
        <v>919</v>
      </c>
      <c r="N431" s="192" t="s">
        <v>65</v>
      </c>
      <c r="O431" s="192" t="s">
        <v>65</v>
      </c>
      <c r="P431" s="192" t="s">
        <v>65</v>
      </c>
      <c r="Q431" s="192">
        <v>9.0000003576278687E-2</v>
      </c>
      <c r="R431" s="192">
        <v>4.5</v>
      </c>
      <c r="S431" s="192">
        <f>VLOOKUP($H431,'RBSA Weights'!$A$2:$C$1406,3,FALSE)</f>
        <v>1904.288</v>
      </c>
    </row>
    <row r="432" spans="1:19">
      <c r="A432" s="192" t="s">
        <v>928</v>
      </c>
      <c r="B432" s="192">
        <v>0.75</v>
      </c>
      <c r="C432" s="192">
        <v>0</v>
      </c>
      <c r="D432" s="192" t="s">
        <v>65</v>
      </c>
      <c r="E432" s="192">
        <v>0</v>
      </c>
      <c r="F432" s="192">
        <v>1</v>
      </c>
      <c r="G432" s="192">
        <v>112443</v>
      </c>
      <c r="H432" s="192">
        <v>22787</v>
      </c>
      <c r="I432" s="192">
        <v>1</v>
      </c>
      <c r="J432" s="192">
        <v>917</v>
      </c>
      <c r="K432" s="192" t="s">
        <v>925</v>
      </c>
      <c r="L432" s="192" t="s">
        <v>737</v>
      </c>
      <c r="M432" s="192" t="s">
        <v>923</v>
      </c>
      <c r="N432" s="192" t="s">
        <v>65</v>
      </c>
      <c r="O432" s="192" t="s">
        <v>65</v>
      </c>
      <c r="P432" s="192" t="s">
        <v>924</v>
      </c>
      <c r="Q432" s="192">
        <v>9.0000003576278687E-2</v>
      </c>
      <c r="R432" s="192">
        <v>5</v>
      </c>
      <c r="S432" s="192">
        <f>VLOOKUP($H432,'RBSA Weights'!$A$2:$C$1406,3,FALSE)</f>
        <v>3785.7640000000001</v>
      </c>
    </row>
    <row r="433" spans="1:19">
      <c r="A433" s="192" t="s">
        <v>928</v>
      </c>
      <c r="B433" s="192">
        <v>0.75</v>
      </c>
      <c r="C433" s="192">
        <v>0</v>
      </c>
      <c r="D433" s="192" t="s">
        <v>65</v>
      </c>
      <c r="E433" s="192">
        <v>1</v>
      </c>
      <c r="F433" s="192">
        <v>0</v>
      </c>
      <c r="G433" s="192">
        <v>31680</v>
      </c>
      <c r="H433" s="192">
        <v>13319</v>
      </c>
      <c r="I433" s="192">
        <v>1</v>
      </c>
      <c r="J433" s="192">
        <v>1600</v>
      </c>
      <c r="K433" s="192" t="s">
        <v>918</v>
      </c>
      <c r="L433" s="192" t="s">
        <v>922</v>
      </c>
      <c r="M433" s="192" t="s">
        <v>919</v>
      </c>
      <c r="N433" s="192" t="s">
        <v>65</v>
      </c>
      <c r="O433" s="192" t="s">
        <v>65</v>
      </c>
      <c r="P433" s="192" t="s">
        <v>924</v>
      </c>
      <c r="Q433" s="192">
        <v>9.0000003576278687E-2</v>
      </c>
      <c r="R433" s="192">
        <v>3.0999999046325684</v>
      </c>
      <c r="S433" s="192">
        <f>VLOOKUP($H433,'RBSA Weights'!$A$2:$C$1406,3,FALSE)</f>
        <v>1150.8789999999999</v>
      </c>
    </row>
    <row r="434" spans="1:19">
      <c r="A434" s="192" t="s">
        <v>928</v>
      </c>
      <c r="B434" s="192">
        <v>0.75</v>
      </c>
      <c r="C434" s="192">
        <v>0</v>
      </c>
      <c r="D434" s="192" t="s">
        <v>65</v>
      </c>
      <c r="E434" s="192">
        <v>1</v>
      </c>
      <c r="F434" s="192">
        <v>0</v>
      </c>
      <c r="G434" s="192">
        <v>156822</v>
      </c>
      <c r="H434" s="192">
        <v>24607</v>
      </c>
      <c r="I434" s="192">
        <v>1</v>
      </c>
      <c r="J434" s="192">
        <v>1046</v>
      </c>
      <c r="K434" s="192" t="s">
        <v>925</v>
      </c>
      <c r="L434" s="192" t="s">
        <v>737</v>
      </c>
      <c r="M434" s="192" t="s">
        <v>923</v>
      </c>
      <c r="N434" s="192" t="s">
        <v>65</v>
      </c>
      <c r="O434" s="192" t="s">
        <v>65</v>
      </c>
      <c r="P434" s="192" t="s">
        <v>65</v>
      </c>
      <c r="Q434" s="192">
        <v>9.0000003576278687E-2</v>
      </c>
      <c r="R434" s="192">
        <v>3.0999999046325684</v>
      </c>
      <c r="S434" s="192">
        <f>VLOOKUP($H434,'RBSA Weights'!$A$2:$C$1406,3,FALSE)</f>
        <v>1192.4649999999999</v>
      </c>
    </row>
    <row r="435" spans="1:19">
      <c r="A435" s="192" t="s">
        <v>928</v>
      </c>
      <c r="B435" s="192">
        <v>0.75</v>
      </c>
      <c r="C435" s="192">
        <v>0</v>
      </c>
      <c r="D435" s="192" t="s">
        <v>65</v>
      </c>
      <c r="E435" s="192">
        <v>1</v>
      </c>
      <c r="F435" s="192">
        <v>1</v>
      </c>
      <c r="G435" s="192">
        <v>49186</v>
      </c>
      <c r="H435" s="192">
        <v>21471</v>
      </c>
      <c r="I435" s="192">
        <v>1</v>
      </c>
      <c r="J435" s="192">
        <v>1111</v>
      </c>
      <c r="K435" s="192" t="s">
        <v>918</v>
      </c>
      <c r="L435" s="192" t="s">
        <v>927</v>
      </c>
      <c r="M435" s="192" t="s">
        <v>923</v>
      </c>
      <c r="N435" s="192" t="s">
        <v>65</v>
      </c>
      <c r="O435" s="192" t="s">
        <v>65</v>
      </c>
      <c r="P435" s="192" t="s">
        <v>926</v>
      </c>
      <c r="Q435" s="192">
        <v>9.0000003576278687E-2</v>
      </c>
      <c r="R435" s="192">
        <v>4.5</v>
      </c>
      <c r="S435" s="192">
        <f>VLOOKUP($H435,'RBSA Weights'!$A$2:$C$1406,3,FALSE)</f>
        <v>2079.9929999999999</v>
      </c>
    </row>
    <row r="436" spans="1:19">
      <c r="A436" s="192" t="s">
        <v>928</v>
      </c>
      <c r="B436" s="192">
        <v>0.75</v>
      </c>
      <c r="C436" s="192">
        <v>0</v>
      </c>
      <c r="D436" s="192" t="s">
        <v>65</v>
      </c>
      <c r="E436" s="192">
        <v>1</v>
      </c>
      <c r="F436" s="192">
        <v>0</v>
      </c>
      <c r="G436" s="192">
        <v>76422</v>
      </c>
      <c r="H436" s="192">
        <v>21768</v>
      </c>
      <c r="I436" s="192">
        <v>1</v>
      </c>
      <c r="J436" s="192">
        <v>1182</v>
      </c>
      <c r="K436" s="192" t="s">
        <v>918</v>
      </c>
      <c r="L436" s="192" t="s">
        <v>922</v>
      </c>
      <c r="M436" s="192" t="s">
        <v>919</v>
      </c>
      <c r="N436" s="192" t="s">
        <v>65</v>
      </c>
      <c r="O436" s="192" t="s">
        <v>65</v>
      </c>
      <c r="P436" s="192" t="s">
        <v>926</v>
      </c>
      <c r="Q436" s="192">
        <v>9.0000003576278687E-2</v>
      </c>
      <c r="R436" s="192">
        <v>3.0999999046325684</v>
      </c>
      <c r="S436" s="192">
        <f>VLOOKUP($H436,'RBSA Weights'!$A$2:$C$1406,3,FALSE)</f>
        <v>1925.059</v>
      </c>
    </row>
    <row r="437" spans="1:19">
      <c r="A437" s="192" t="s">
        <v>928</v>
      </c>
      <c r="B437" s="192">
        <v>0.75</v>
      </c>
      <c r="C437" s="192">
        <v>0</v>
      </c>
      <c r="D437" s="192" t="s">
        <v>65</v>
      </c>
      <c r="E437" s="192">
        <v>1</v>
      </c>
      <c r="F437" s="192">
        <v>0</v>
      </c>
      <c r="G437" s="192">
        <v>680634</v>
      </c>
      <c r="H437" s="192">
        <v>12507</v>
      </c>
      <c r="I437" s="192">
        <v>1</v>
      </c>
      <c r="J437" s="192">
        <v>415</v>
      </c>
      <c r="K437" s="192" t="s">
        <v>925</v>
      </c>
      <c r="L437" s="192" t="s">
        <v>737</v>
      </c>
      <c r="M437" s="192" t="s">
        <v>923</v>
      </c>
      <c r="N437" s="192" t="s">
        <v>65</v>
      </c>
      <c r="O437" s="192" t="s">
        <v>65</v>
      </c>
      <c r="P437" s="192" t="s">
        <v>65</v>
      </c>
      <c r="Q437" s="192">
        <v>9.0000003576278687E-2</v>
      </c>
      <c r="R437" s="192">
        <v>3.0999999046325684</v>
      </c>
      <c r="S437" s="192">
        <f>VLOOKUP($H437,'RBSA Weights'!$A$2:$C$1406,3,FALSE)</f>
        <v>1524.7619999999999</v>
      </c>
    </row>
    <row r="438" spans="1:19">
      <c r="A438" s="192" t="s">
        <v>928</v>
      </c>
      <c r="B438" s="192">
        <v>0.75</v>
      </c>
      <c r="C438" s="192">
        <v>0</v>
      </c>
      <c r="D438" s="192" t="s">
        <v>65</v>
      </c>
      <c r="E438" s="192">
        <v>1</v>
      </c>
      <c r="F438" s="192">
        <v>0</v>
      </c>
      <c r="G438" s="192">
        <v>720240</v>
      </c>
      <c r="H438" s="192">
        <v>20411</v>
      </c>
      <c r="I438" s="192">
        <v>1</v>
      </c>
      <c r="J438" s="192">
        <v>1134</v>
      </c>
      <c r="K438" s="192" t="s">
        <v>925</v>
      </c>
      <c r="L438" s="192" t="s">
        <v>927</v>
      </c>
      <c r="M438" s="192" t="s">
        <v>923</v>
      </c>
      <c r="N438" s="192" t="s">
        <v>65</v>
      </c>
      <c r="O438" s="192" t="s">
        <v>968</v>
      </c>
      <c r="P438" s="192" t="s">
        <v>65</v>
      </c>
      <c r="Q438" s="192">
        <v>9.0000003576278687E-2</v>
      </c>
      <c r="R438" s="192">
        <v>3.0999999046325684</v>
      </c>
      <c r="S438" s="192">
        <f>VLOOKUP($H438,'RBSA Weights'!$A$2:$C$1406,3,FALSE)</f>
        <v>3785.7640000000001</v>
      </c>
    </row>
    <row r="439" spans="1:19">
      <c r="A439" s="192" t="s">
        <v>928</v>
      </c>
      <c r="B439" s="192">
        <v>0.75</v>
      </c>
      <c r="C439" s="192">
        <v>0</v>
      </c>
      <c r="D439" s="192" t="s">
        <v>65</v>
      </c>
      <c r="E439" s="192">
        <v>1</v>
      </c>
      <c r="F439" s="192">
        <v>0</v>
      </c>
      <c r="G439" s="192">
        <v>55981</v>
      </c>
      <c r="H439" s="192">
        <v>11315</v>
      </c>
      <c r="I439" s="192">
        <v>1</v>
      </c>
      <c r="J439" s="192">
        <v>1792</v>
      </c>
      <c r="K439" s="192" t="s">
        <v>925</v>
      </c>
      <c r="L439" s="192" t="s">
        <v>737</v>
      </c>
      <c r="M439" s="192" t="s">
        <v>919</v>
      </c>
      <c r="N439" s="192" t="s">
        <v>65</v>
      </c>
      <c r="O439" s="192" t="s">
        <v>65</v>
      </c>
      <c r="P439" s="192" t="s">
        <v>926</v>
      </c>
      <c r="Q439" s="192">
        <v>9.0000003576278687E-2</v>
      </c>
      <c r="R439" s="192">
        <v>3.0999999046325684</v>
      </c>
      <c r="S439" s="192">
        <f>VLOOKUP($H439,'RBSA Weights'!$A$2:$C$1406,3,FALSE)</f>
        <v>1188.027</v>
      </c>
    </row>
    <row r="440" spans="1:19">
      <c r="A440" s="192" t="s">
        <v>928</v>
      </c>
      <c r="B440" s="192">
        <v>0.75</v>
      </c>
      <c r="C440" s="192">
        <v>0</v>
      </c>
      <c r="D440" s="192" t="s">
        <v>65</v>
      </c>
      <c r="E440" s="192">
        <v>1</v>
      </c>
      <c r="F440" s="192">
        <v>0</v>
      </c>
      <c r="G440" s="192">
        <v>238267</v>
      </c>
      <c r="H440" s="192">
        <v>23710</v>
      </c>
      <c r="I440" s="192">
        <v>1</v>
      </c>
      <c r="J440" s="192">
        <v>3078</v>
      </c>
      <c r="K440" s="192" t="s">
        <v>925</v>
      </c>
      <c r="L440" s="192" t="s">
        <v>737</v>
      </c>
      <c r="M440" s="192" t="s">
        <v>919</v>
      </c>
      <c r="N440" s="192" t="s">
        <v>65</v>
      </c>
      <c r="O440" s="192" t="s">
        <v>65</v>
      </c>
      <c r="P440" s="192" t="s">
        <v>65</v>
      </c>
      <c r="Q440" s="192">
        <v>9.0000003576278687E-2</v>
      </c>
      <c r="R440" s="192">
        <v>3.0999999046325684</v>
      </c>
      <c r="S440" s="192">
        <f>VLOOKUP($H440,'RBSA Weights'!$A$2:$C$1406,3,FALSE)</f>
        <v>2079.9929999999999</v>
      </c>
    </row>
    <row r="441" spans="1:19">
      <c r="A441" s="192" t="s">
        <v>928</v>
      </c>
      <c r="B441" s="192">
        <v>0.75</v>
      </c>
      <c r="C441" s="192">
        <v>0</v>
      </c>
      <c r="D441" s="192" t="s">
        <v>65</v>
      </c>
      <c r="E441" s="192">
        <v>1</v>
      </c>
      <c r="F441" s="192">
        <v>0</v>
      </c>
      <c r="G441" s="192">
        <v>126877</v>
      </c>
      <c r="H441" s="192">
        <v>20814</v>
      </c>
      <c r="I441" s="192">
        <v>1</v>
      </c>
      <c r="J441" s="192">
        <v>1050</v>
      </c>
      <c r="K441" s="192" t="s">
        <v>918</v>
      </c>
      <c r="L441" s="192" t="s">
        <v>737</v>
      </c>
      <c r="M441" s="192" t="s">
        <v>923</v>
      </c>
      <c r="N441" s="192" t="s">
        <v>65</v>
      </c>
      <c r="O441" s="192" t="s">
        <v>65</v>
      </c>
      <c r="P441" s="192" t="s">
        <v>924</v>
      </c>
      <c r="Q441" s="192">
        <v>9.0000003576278687E-2</v>
      </c>
      <c r="R441" s="192">
        <v>3.0999999046325684</v>
      </c>
      <c r="S441" s="192">
        <f>VLOOKUP($H441,'RBSA Weights'!$A$2:$C$1406,3,FALSE)</f>
        <v>2079.9929999999999</v>
      </c>
    </row>
    <row r="442" spans="1:19">
      <c r="A442" s="192" t="s">
        <v>928</v>
      </c>
      <c r="B442" s="192">
        <v>0.75</v>
      </c>
      <c r="C442" s="192">
        <v>0</v>
      </c>
      <c r="D442" s="192" t="s">
        <v>65</v>
      </c>
      <c r="E442" s="192">
        <v>1</v>
      </c>
      <c r="F442" s="192">
        <v>0</v>
      </c>
      <c r="G442" s="192">
        <v>233697</v>
      </c>
      <c r="H442" s="192">
        <v>11602</v>
      </c>
      <c r="I442" s="192">
        <v>1</v>
      </c>
      <c r="J442" s="192">
        <v>1456</v>
      </c>
      <c r="K442" s="192" t="s">
        <v>918</v>
      </c>
      <c r="L442" s="192" t="s">
        <v>65</v>
      </c>
      <c r="M442" s="192" t="s">
        <v>919</v>
      </c>
      <c r="N442" s="192" t="s">
        <v>65</v>
      </c>
      <c r="O442" s="192" t="s">
        <v>65</v>
      </c>
      <c r="P442" s="192" t="s">
        <v>65</v>
      </c>
      <c r="Q442" s="192">
        <v>9.0000003576278687E-2</v>
      </c>
      <c r="R442" s="192">
        <v>3.0999999046325684</v>
      </c>
      <c r="S442" s="192">
        <f>VLOOKUP($H442,'RBSA Weights'!$A$2:$C$1406,3,FALSE)</f>
        <v>1150.8789999999999</v>
      </c>
    </row>
    <row r="443" spans="1:19">
      <c r="A443" s="192" t="s">
        <v>928</v>
      </c>
      <c r="B443" s="192">
        <v>0.75</v>
      </c>
      <c r="C443" s="192">
        <v>0</v>
      </c>
      <c r="D443" s="192" t="s">
        <v>65</v>
      </c>
      <c r="E443" s="192">
        <v>0</v>
      </c>
      <c r="G443" s="192">
        <v>144581</v>
      </c>
      <c r="H443" s="192">
        <v>20381</v>
      </c>
      <c r="I443" s="192">
        <v>1</v>
      </c>
      <c r="J443" s="192">
        <v>235</v>
      </c>
      <c r="K443" s="192" t="s">
        <v>925</v>
      </c>
      <c r="L443" s="192" t="s">
        <v>927</v>
      </c>
      <c r="M443" s="192" t="s">
        <v>919</v>
      </c>
      <c r="N443" s="192" t="s">
        <v>65</v>
      </c>
      <c r="O443" s="192" t="s">
        <v>65</v>
      </c>
      <c r="P443" s="192" t="s">
        <v>65</v>
      </c>
      <c r="Q443" s="192">
        <v>9.0000003576278687E-2</v>
      </c>
      <c r="R443" s="192">
        <v>5</v>
      </c>
      <c r="S443" s="192">
        <f>VLOOKUP($H443,'RBSA Weights'!$A$2:$C$1406,3,FALSE)</f>
        <v>1192.4649999999999</v>
      </c>
    </row>
    <row r="444" spans="1:19">
      <c r="A444" s="192" t="s">
        <v>928</v>
      </c>
      <c r="B444" s="192">
        <v>0.75</v>
      </c>
      <c r="C444" s="192">
        <v>0</v>
      </c>
      <c r="D444" s="192" t="s">
        <v>65</v>
      </c>
      <c r="E444" s="192">
        <v>1</v>
      </c>
      <c r="F444" s="192">
        <v>0</v>
      </c>
      <c r="G444" s="192">
        <v>88556</v>
      </c>
      <c r="H444" s="192">
        <v>10986</v>
      </c>
      <c r="I444" s="192">
        <v>1</v>
      </c>
      <c r="J444" s="192">
        <v>1926</v>
      </c>
      <c r="K444" s="192" t="s">
        <v>925</v>
      </c>
      <c r="L444" s="192" t="s">
        <v>737</v>
      </c>
      <c r="M444" s="192" t="s">
        <v>919</v>
      </c>
      <c r="N444" s="192" t="s">
        <v>65</v>
      </c>
      <c r="O444" s="192" t="s">
        <v>65</v>
      </c>
      <c r="P444" s="192" t="s">
        <v>926</v>
      </c>
      <c r="Q444" s="192">
        <v>9.0000003576278687E-2</v>
      </c>
      <c r="R444" s="192">
        <v>3.0999999046325684</v>
      </c>
      <c r="S444" s="192">
        <f>VLOOKUP($H444,'RBSA Weights'!$A$2:$C$1406,3,FALSE)</f>
        <v>2003.7159999999999</v>
      </c>
    </row>
    <row r="445" spans="1:19">
      <c r="A445" s="192" t="s">
        <v>928</v>
      </c>
      <c r="B445" s="192">
        <v>0.75</v>
      </c>
      <c r="C445" s="192">
        <v>0</v>
      </c>
      <c r="D445" s="192" t="s">
        <v>65</v>
      </c>
      <c r="E445" s="192">
        <v>1</v>
      </c>
      <c r="F445" s="192">
        <v>0</v>
      </c>
      <c r="G445" s="192">
        <v>39714</v>
      </c>
      <c r="H445" s="192">
        <v>12321</v>
      </c>
      <c r="I445" s="192">
        <v>1</v>
      </c>
      <c r="J445" s="192">
        <v>729</v>
      </c>
      <c r="K445" s="192" t="s">
        <v>925</v>
      </c>
      <c r="L445" s="192" t="s">
        <v>737</v>
      </c>
      <c r="M445" s="192" t="s">
        <v>919</v>
      </c>
      <c r="N445" s="192" t="s">
        <v>65</v>
      </c>
      <c r="O445" s="192" t="s">
        <v>969</v>
      </c>
      <c r="P445" s="192" t="s">
        <v>65</v>
      </c>
      <c r="Q445" s="192">
        <v>9.0000003576278687E-2</v>
      </c>
      <c r="R445" s="192">
        <v>3.0999999046325684</v>
      </c>
      <c r="S445" s="192">
        <f>VLOOKUP($H445,'RBSA Weights'!$A$2:$C$1406,3,FALSE)</f>
        <v>1524.7619999999999</v>
      </c>
    </row>
    <row r="446" spans="1:19">
      <c r="A446" s="192" t="s">
        <v>928</v>
      </c>
      <c r="B446" s="192">
        <v>0.75</v>
      </c>
      <c r="C446" s="192">
        <v>0</v>
      </c>
      <c r="D446" s="192" t="s">
        <v>65</v>
      </c>
      <c r="E446" s="192">
        <v>1</v>
      </c>
      <c r="F446" s="192">
        <v>0</v>
      </c>
      <c r="G446" s="192">
        <v>72317</v>
      </c>
      <c r="H446" s="192">
        <v>13347</v>
      </c>
      <c r="I446" s="192">
        <v>1</v>
      </c>
      <c r="J446" s="192">
        <v>1764</v>
      </c>
      <c r="K446" s="192" t="s">
        <v>925</v>
      </c>
      <c r="L446" s="192" t="s">
        <v>737</v>
      </c>
      <c r="M446" s="192" t="s">
        <v>919</v>
      </c>
      <c r="N446" s="192" t="s">
        <v>65</v>
      </c>
      <c r="O446" s="192" t="s">
        <v>65</v>
      </c>
      <c r="P446" s="192" t="s">
        <v>926</v>
      </c>
      <c r="Q446" s="192">
        <v>9.0000003576278687E-2</v>
      </c>
      <c r="R446" s="192">
        <v>3.0999999046325684</v>
      </c>
      <c r="S446" s="192">
        <f>VLOOKUP($H446,'RBSA Weights'!$A$2:$C$1406,3,FALSE)</f>
        <v>2003.7159999999999</v>
      </c>
    </row>
    <row r="447" spans="1:19">
      <c r="A447" s="192" t="s">
        <v>928</v>
      </c>
      <c r="B447" s="192">
        <v>0.75</v>
      </c>
      <c r="C447" s="192">
        <v>0</v>
      </c>
      <c r="D447" s="192" t="s">
        <v>65</v>
      </c>
      <c r="E447" s="192">
        <v>1</v>
      </c>
      <c r="F447" s="192">
        <v>0</v>
      </c>
      <c r="G447" s="192">
        <v>240851</v>
      </c>
      <c r="H447" s="192">
        <v>23624</v>
      </c>
      <c r="I447" s="192">
        <v>1</v>
      </c>
      <c r="J447" s="192">
        <v>1386</v>
      </c>
      <c r="K447" s="192" t="s">
        <v>925</v>
      </c>
      <c r="L447" s="192" t="s">
        <v>927</v>
      </c>
      <c r="M447" s="192" t="s">
        <v>923</v>
      </c>
      <c r="N447" s="192" t="s">
        <v>65</v>
      </c>
      <c r="O447" s="192" t="s">
        <v>65</v>
      </c>
      <c r="P447" s="192" t="s">
        <v>65</v>
      </c>
      <c r="Q447" s="192">
        <v>9.0000003576278687E-2</v>
      </c>
      <c r="R447" s="192">
        <v>3.0999999046325684</v>
      </c>
      <c r="S447" s="192">
        <f>VLOOKUP($H447,'RBSA Weights'!$A$2:$C$1406,3,FALSE)</f>
        <v>3785.7640000000001</v>
      </c>
    </row>
    <row r="448" spans="1:19">
      <c r="A448" s="192" t="s">
        <v>928</v>
      </c>
      <c r="B448" s="192">
        <v>0.75</v>
      </c>
      <c r="C448" s="192">
        <v>0</v>
      </c>
      <c r="D448" s="192" t="s">
        <v>65</v>
      </c>
      <c r="E448" s="192">
        <v>1</v>
      </c>
      <c r="F448" s="192">
        <v>0</v>
      </c>
      <c r="G448" s="192">
        <v>50730</v>
      </c>
      <c r="H448" s="192">
        <v>10638</v>
      </c>
      <c r="I448" s="192">
        <v>1</v>
      </c>
      <c r="J448" s="192">
        <v>672</v>
      </c>
      <c r="K448" s="192" t="s">
        <v>925</v>
      </c>
      <c r="L448" s="192" t="s">
        <v>737</v>
      </c>
      <c r="M448" s="192" t="s">
        <v>919</v>
      </c>
      <c r="N448" s="192" t="s">
        <v>65</v>
      </c>
      <c r="O448" s="192" t="s">
        <v>970</v>
      </c>
      <c r="P448" s="192" t="s">
        <v>65</v>
      </c>
      <c r="Q448" s="192">
        <v>9.0000003576278687E-2</v>
      </c>
      <c r="R448" s="192">
        <v>3.0999999046325684</v>
      </c>
      <c r="S448" s="192">
        <f>VLOOKUP($H448,'RBSA Weights'!$A$2:$C$1406,3,FALSE)</f>
        <v>1524.7619999999999</v>
      </c>
    </row>
    <row r="449" spans="1:19">
      <c r="A449" s="192" t="s">
        <v>928</v>
      </c>
      <c r="B449" s="192">
        <v>0.75</v>
      </c>
      <c r="C449" s="192">
        <v>0</v>
      </c>
      <c r="D449" s="192" t="s">
        <v>65</v>
      </c>
      <c r="E449" s="192">
        <v>1</v>
      </c>
      <c r="F449" s="192">
        <v>0</v>
      </c>
      <c r="G449" s="192">
        <v>201692</v>
      </c>
      <c r="H449" s="192">
        <v>21258</v>
      </c>
      <c r="I449" s="192">
        <v>1</v>
      </c>
      <c r="J449" s="192">
        <v>1376</v>
      </c>
      <c r="K449" s="192" t="s">
        <v>918</v>
      </c>
      <c r="L449" s="192" t="s">
        <v>65</v>
      </c>
      <c r="M449" s="192" t="s">
        <v>919</v>
      </c>
      <c r="N449" s="192" t="s">
        <v>65</v>
      </c>
      <c r="O449" s="192" t="s">
        <v>65</v>
      </c>
      <c r="P449" s="192" t="s">
        <v>65</v>
      </c>
      <c r="Q449" s="192">
        <v>9.0000003576278687E-2</v>
      </c>
      <c r="R449" s="192">
        <v>3.0999999046325684</v>
      </c>
      <c r="S449" s="192">
        <f>VLOOKUP($H449,'RBSA Weights'!$A$2:$C$1406,3,FALSE)</f>
        <v>1612.692</v>
      </c>
    </row>
    <row r="450" spans="1:19">
      <c r="A450" s="192" t="s">
        <v>928</v>
      </c>
      <c r="B450" s="192">
        <v>0.75</v>
      </c>
      <c r="C450" s="192">
        <v>0</v>
      </c>
      <c r="D450" s="192" t="s">
        <v>65</v>
      </c>
      <c r="E450" s="192">
        <v>1</v>
      </c>
      <c r="F450" s="192">
        <v>0</v>
      </c>
      <c r="G450" s="192">
        <v>221796</v>
      </c>
      <c r="H450" s="192">
        <v>13912</v>
      </c>
      <c r="I450" s="192">
        <v>1</v>
      </c>
      <c r="J450" s="192">
        <v>1192</v>
      </c>
      <c r="K450" s="192" t="s">
        <v>925</v>
      </c>
      <c r="L450" s="192" t="s">
        <v>922</v>
      </c>
      <c r="M450" s="192" t="s">
        <v>919</v>
      </c>
      <c r="N450" s="192" t="s">
        <v>65</v>
      </c>
      <c r="O450" s="192" t="s">
        <v>65</v>
      </c>
      <c r="P450" s="192" t="s">
        <v>65</v>
      </c>
      <c r="Q450" s="192">
        <v>9.0000003576278687E-2</v>
      </c>
      <c r="R450" s="192">
        <v>3.0999999046325684</v>
      </c>
      <c r="S450" s="192">
        <f>VLOOKUP($H450,'RBSA Weights'!$A$2:$C$1406,3,FALSE)</f>
        <v>2003.7159999999999</v>
      </c>
    </row>
    <row r="451" spans="1:19">
      <c r="A451" s="192" t="s">
        <v>928</v>
      </c>
      <c r="B451" s="192">
        <v>0.75</v>
      </c>
      <c r="C451" s="192">
        <v>0</v>
      </c>
      <c r="D451" s="192" t="s">
        <v>65</v>
      </c>
      <c r="E451" s="192">
        <v>1</v>
      </c>
      <c r="F451" s="192">
        <v>0</v>
      </c>
      <c r="G451" s="192">
        <v>76093</v>
      </c>
      <c r="H451" s="192">
        <v>22096</v>
      </c>
      <c r="I451" s="192">
        <v>1</v>
      </c>
      <c r="J451" s="192">
        <v>2328</v>
      </c>
      <c r="K451" s="192" t="s">
        <v>925</v>
      </c>
      <c r="L451" s="192" t="s">
        <v>737</v>
      </c>
      <c r="M451" s="192" t="s">
        <v>923</v>
      </c>
      <c r="N451" s="192" t="s">
        <v>65</v>
      </c>
      <c r="O451" s="192" t="s">
        <v>65</v>
      </c>
      <c r="P451" s="192" t="s">
        <v>924</v>
      </c>
      <c r="Q451" s="192">
        <v>9.0000003576278687E-2</v>
      </c>
      <c r="R451" s="192">
        <v>3.0999999046325684</v>
      </c>
      <c r="S451" s="192">
        <f>VLOOKUP($H451,'RBSA Weights'!$A$2:$C$1406,3,FALSE)</f>
        <v>3785.7640000000001</v>
      </c>
    </row>
    <row r="452" spans="1:19">
      <c r="A452" s="192" t="s">
        <v>928</v>
      </c>
      <c r="B452" s="192">
        <v>0.75</v>
      </c>
      <c r="C452" s="192">
        <v>0</v>
      </c>
      <c r="D452" s="192" t="s">
        <v>65</v>
      </c>
      <c r="E452" s="192">
        <v>0</v>
      </c>
      <c r="G452" s="192">
        <v>221920</v>
      </c>
      <c r="H452" s="192">
        <v>21748</v>
      </c>
      <c r="I452" s="192">
        <v>1</v>
      </c>
      <c r="J452" s="192">
        <v>528</v>
      </c>
      <c r="K452" s="192" t="s">
        <v>925</v>
      </c>
      <c r="L452" s="192" t="s">
        <v>737</v>
      </c>
      <c r="M452" s="192" t="s">
        <v>919</v>
      </c>
      <c r="N452" s="192" t="s">
        <v>65</v>
      </c>
      <c r="O452" s="192" t="s">
        <v>65</v>
      </c>
      <c r="P452" s="192" t="s">
        <v>65</v>
      </c>
      <c r="Q452" s="192">
        <v>9.0000003576278687E-2</v>
      </c>
      <c r="R452" s="192">
        <v>5</v>
      </c>
      <c r="S452" s="192">
        <f>VLOOKUP($H452,'RBSA Weights'!$A$2:$C$1406,3,FALSE)</f>
        <v>1192.4649999999999</v>
      </c>
    </row>
    <row r="453" spans="1:19">
      <c r="A453" s="192" t="s">
        <v>928</v>
      </c>
      <c r="B453" s="192">
        <v>0.75</v>
      </c>
      <c r="C453" s="192">
        <v>0</v>
      </c>
      <c r="D453" s="192" t="s">
        <v>65</v>
      </c>
      <c r="E453" s="192">
        <v>0</v>
      </c>
      <c r="G453" s="192">
        <v>209010</v>
      </c>
      <c r="H453" s="192">
        <v>22179</v>
      </c>
      <c r="I453" s="192">
        <v>1</v>
      </c>
      <c r="J453" s="192">
        <v>456</v>
      </c>
      <c r="K453" s="192" t="s">
        <v>925</v>
      </c>
      <c r="L453" s="192" t="s">
        <v>922</v>
      </c>
      <c r="M453" s="192" t="s">
        <v>919</v>
      </c>
      <c r="N453" s="192" t="s">
        <v>65</v>
      </c>
      <c r="O453" s="192" t="s">
        <v>65</v>
      </c>
      <c r="P453" s="192" t="s">
        <v>65</v>
      </c>
      <c r="Q453" s="192">
        <v>9.0000003576278687E-2</v>
      </c>
      <c r="R453" s="192">
        <v>5</v>
      </c>
      <c r="S453" s="192">
        <f>VLOOKUP($H453,'RBSA Weights'!$A$2:$C$1406,3,FALSE)</f>
        <v>3785.7640000000001</v>
      </c>
    </row>
    <row r="454" spans="1:19">
      <c r="A454" s="192" t="s">
        <v>928</v>
      </c>
      <c r="B454" s="192">
        <v>0.75</v>
      </c>
      <c r="C454" s="192">
        <v>0</v>
      </c>
      <c r="D454" s="192" t="s">
        <v>65</v>
      </c>
      <c r="E454" s="192">
        <v>1</v>
      </c>
      <c r="F454" s="192">
        <v>1</v>
      </c>
      <c r="G454" s="192">
        <v>49186</v>
      </c>
      <c r="H454" s="192">
        <v>21471</v>
      </c>
      <c r="I454" s="192">
        <v>3</v>
      </c>
      <c r="J454" s="192">
        <v>135</v>
      </c>
      <c r="K454" s="192" t="s">
        <v>918</v>
      </c>
      <c r="L454" s="192" t="s">
        <v>927</v>
      </c>
      <c r="M454" s="192" t="s">
        <v>923</v>
      </c>
      <c r="N454" s="192" t="s">
        <v>65</v>
      </c>
      <c r="O454" s="192" t="s">
        <v>65</v>
      </c>
      <c r="P454" s="192" t="s">
        <v>926</v>
      </c>
      <c r="Q454" s="192">
        <v>9.0000003576278687E-2</v>
      </c>
      <c r="R454" s="192">
        <v>4.5</v>
      </c>
      <c r="S454" s="192">
        <f>VLOOKUP($H454,'RBSA Weights'!$A$2:$C$1406,3,FALSE)</f>
        <v>2079.9929999999999</v>
      </c>
    </row>
    <row r="455" spans="1:19">
      <c r="A455" s="192" t="s">
        <v>928</v>
      </c>
      <c r="B455" s="192">
        <v>0.9</v>
      </c>
      <c r="C455" s="192">
        <v>0</v>
      </c>
      <c r="D455" s="192" t="s">
        <v>65</v>
      </c>
      <c r="E455" s="192">
        <v>1</v>
      </c>
      <c r="F455" s="192">
        <v>0</v>
      </c>
      <c r="G455" s="192">
        <v>136117</v>
      </c>
      <c r="H455" s="192">
        <v>21979</v>
      </c>
      <c r="I455" s="192">
        <v>1</v>
      </c>
      <c r="J455" s="192">
        <v>1605</v>
      </c>
      <c r="K455" s="192" t="s">
        <v>918</v>
      </c>
      <c r="L455" s="192" t="s">
        <v>65</v>
      </c>
      <c r="M455" s="192" t="s">
        <v>923</v>
      </c>
      <c r="N455" s="192" t="s">
        <v>65</v>
      </c>
      <c r="O455" s="192" t="s">
        <v>65</v>
      </c>
      <c r="P455" s="192" t="s">
        <v>65</v>
      </c>
      <c r="Q455" s="192">
        <v>6.4999997615814209E-2</v>
      </c>
      <c r="R455" s="192">
        <v>3.0999999046325684</v>
      </c>
      <c r="S455" s="192">
        <f>VLOOKUP($H455,'RBSA Weights'!$A$2:$C$1406,3,FALSE)</f>
        <v>1612.692</v>
      </c>
    </row>
    <row r="456" spans="1:19">
      <c r="A456" s="192" t="s">
        <v>928</v>
      </c>
      <c r="B456" s="192">
        <v>0.9</v>
      </c>
      <c r="C456" s="192">
        <v>0</v>
      </c>
      <c r="D456" s="192" t="s">
        <v>65</v>
      </c>
      <c r="E456" s="192">
        <v>1</v>
      </c>
      <c r="F456" s="192">
        <v>0</v>
      </c>
      <c r="G456" s="192">
        <v>222803</v>
      </c>
      <c r="H456" s="192">
        <v>24247</v>
      </c>
      <c r="I456" s="192">
        <v>1</v>
      </c>
      <c r="J456" s="192">
        <v>1748</v>
      </c>
      <c r="K456" s="192" t="s">
        <v>918</v>
      </c>
      <c r="L456" s="192" t="s">
        <v>65</v>
      </c>
      <c r="M456" s="192" t="s">
        <v>919</v>
      </c>
      <c r="N456" s="192" t="s">
        <v>65</v>
      </c>
      <c r="O456" s="192" t="s">
        <v>65</v>
      </c>
      <c r="P456" s="192" t="s">
        <v>65</v>
      </c>
      <c r="Q456" s="192">
        <v>6.4999997615814209E-2</v>
      </c>
      <c r="R456" s="192">
        <v>3.0999999046325684</v>
      </c>
      <c r="S456" s="192">
        <f>VLOOKUP($H456,'RBSA Weights'!$A$2:$C$1406,3,FALSE)</f>
        <v>1612.692</v>
      </c>
    </row>
    <row r="457" spans="1:19">
      <c r="A457" s="192" t="s">
        <v>928</v>
      </c>
      <c r="B457" s="192">
        <v>0.9</v>
      </c>
      <c r="C457" s="192">
        <v>0</v>
      </c>
      <c r="D457" s="192" t="s">
        <v>65</v>
      </c>
      <c r="E457" s="192">
        <v>1</v>
      </c>
      <c r="F457" s="192">
        <v>0</v>
      </c>
      <c r="G457" s="192">
        <v>41063</v>
      </c>
      <c r="H457" s="192">
        <v>14017</v>
      </c>
      <c r="I457" s="192">
        <v>1</v>
      </c>
      <c r="J457" s="192">
        <v>1218</v>
      </c>
      <c r="K457" s="192" t="s">
        <v>925</v>
      </c>
      <c r="L457" s="192" t="s">
        <v>737</v>
      </c>
      <c r="M457" s="192" t="s">
        <v>919</v>
      </c>
      <c r="N457" s="192" t="s">
        <v>65</v>
      </c>
      <c r="O457" s="192" t="s">
        <v>65</v>
      </c>
      <c r="P457" s="192" t="s">
        <v>926</v>
      </c>
      <c r="Q457" s="192">
        <v>6.4999997615814209E-2</v>
      </c>
      <c r="R457" s="192">
        <v>3.0999999046325684</v>
      </c>
      <c r="S457" s="192">
        <f>VLOOKUP($H457,'RBSA Weights'!$A$2:$C$1406,3,FALSE)</f>
        <v>1188.027</v>
      </c>
    </row>
    <row r="458" spans="1:19">
      <c r="A458" s="192" t="s">
        <v>928</v>
      </c>
      <c r="B458" s="192">
        <v>0.9</v>
      </c>
      <c r="C458" s="192">
        <v>0</v>
      </c>
      <c r="D458" s="192" t="s">
        <v>65</v>
      </c>
      <c r="E458" s="192">
        <v>1</v>
      </c>
      <c r="F458" s="192">
        <v>1</v>
      </c>
      <c r="G458" s="192">
        <v>197033</v>
      </c>
      <c r="H458" s="192">
        <v>13863</v>
      </c>
      <c r="I458" s="192">
        <v>1</v>
      </c>
      <c r="J458" s="192">
        <v>746</v>
      </c>
      <c r="K458" s="192" t="s">
        <v>918</v>
      </c>
      <c r="L458" s="192" t="s">
        <v>65</v>
      </c>
      <c r="M458" s="192" t="s">
        <v>919</v>
      </c>
      <c r="N458" s="192" t="s">
        <v>65</v>
      </c>
      <c r="O458" s="192" t="s">
        <v>65</v>
      </c>
      <c r="P458" s="192" t="s">
        <v>65</v>
      </c>
      <c r="Q458" s="192">
        <v>6.4999997615814209E-2</v>
      </c>
      <c r="R458" s="192">
        <v>4.5</v>
      </c>
      <c r="S458" s="192">
        <f>VLOOKUP($H458,'RBSA Weights'!$A$2:$C$1406,3,FALSE)</f>
        <v>1464.694</v>
      </c>
    </row>
    <row r="459" spans="1:19">
      <c r="A459" s="192" t="s">
        <v>928</v>
      </c>
      <c r="B459" s="192">
        <v>0.9</v>
      </c>
      <c r="C459" s="192">
        <v>0</v>
      </c>
      <c r="D459" s="192" t="s">
        <v>65</v>
      </c>
      <c r="E459" s="192">
        <v>1</v>
      </c>
      <c r="F459" s="192">
        <v>1</v>
      </c>
      <c r="G459" s="192">
        <v>171802</v>
      </c>
      <c r="H459" s="192">
        <v>21374</v>
      </c>
      <c r="I459" s="192">
        <v>1</v>
      </c>
      <c r="J459" s="192">
        <v>1795</v>
      </c>
      <c r="K459" s="192" t="s">
        <v>925</v>
      </c>
      <c r="L459" s="192" t="s">
        <v>922</v>
      </c>
      <c r="M459" s="192" t="s">
        <v>923</v>
      </c>
      <c r="N459" s="192" t="s">
        <v>65</v>
      </c>
      <c r="O459" s="192" t="s">
        <v>65</v>
      </c>
      <c r="P459" s="192" t="s">
        <v>65</v>
      </c>
      <c r="Q459" s="192">
        <v>6.4999997615814209E-2</v>
      </c>
      <c r="R459" s="192">
        <v>4.5</v>
      </c>
      <c r="S459" s="192">
        <f>VLOOKUP($H459,'RBSA Weights'!$A$2:$C$1406,3,FALSE)</f>
        <v>1612.692</v>
      </c>
    </row>
    <row r="460" spans="1:19">
      <c r="A460" s="192" t="s">
        <v>928</v>
      </c>
      <c r="B460" s="192">
        <v>0.9</v>
      </c>
      <c r="C460" s="192">
        <v>0</v>
      </c>
      <c r="D460" s="192" t="s">
        <v>65</v>
      </c>
      <c r="E460" s="192">
        <v>1</v>
      </c>
      <c r="F460" s="192">
        <v>0</v>
      </c>
      <c r="G460" s="192">
        <v>60055</v>
      </c>
      <c r="H460" s="192">
        <v>11476</v>
      </c>
      <c r="I460" s="192">
        <v>1</v>
      </c>
      <c r="J460" s="192">
        <v>520</v>
      </c>
      <c r="K460" s="192" t="s">
        <v>925</v>
      </c>
      <c r="L460" s="192" t="s">
        <v>930</v>
      </c>
      <c r="M460" s="192" t="s">
        <v>923</v>
      </c>
      <c r="N460" s="192" t="s">
        <v>65</v>
      </c>
      <c r="O460" s="192" t="s">
        <v>65</v>
      </c>
      <c r="P460" s="192" t="s">
        <v>926</v>
      </c>
      <c r="Q460" s="192">
        <v>6.4999997615814209E-2</v>
      </c>
      <c r="R460" s="192">
        <v>3.0999999046325684</v>
      </c>
      <c r="S460" s="192">
        <f>VLOOKUP($H460,'RBSA Weights'!$A$2:$C$1406,3,FALSE)</f>
        <v>1524.7619999999999</v>
      </c>
    </row>
    <row r="461" spans="1:19">
      <c r="A461" s="192" t="s">
        <v>928</v>
      </c>
      <c r="B461" s="192">
        <v>0.9</v>
      </c>
      <c r="C461" s="192">
        <v>0</v>
      </c>
      <c r="D461" s="192" t="s">
        <v>65</v>
      </c>
      <c r="E461" s="192">
        <v>1</v>
      </c>
      <c r="F461" s="192">
        <v>0</v>
      </c>
      <c r="G461" s="192">
        <v>73980</v>
      </c>
      <c r="H461" s="192">
        <v>12956</v>
      </c>
      <c r="I461" s="192">
        <v>1</v>
      </c>
      <c r="J461" s="192">
        <v>2190</v>
      </c>
      <c r="K461" s="192" t="s">
        <v>918</v>
      </c>
      <c r="L461" s="192" t="s">
        <v>65</v>
      </c>
      <c r="M461" s="192" t="s">
        <v>919</v>
      </c>
      <c r="N461" s="192" t="s">
        <v>65</v>
      </c>
      <c r="O461" s="192" t="s">
        <v>65</v>
      </c>
      <c r="P461" s="192" t="s">
        <v>924</v>
      </c>
      <c r="Q461" s="192">
        <v>6.4999997615814209E-2</v>
      </c>
      <c r="R461" s="192">
        <v>3.0999999046325684</v>
      </c>
      <c r="S461" s="192">
        <f>VLOOKUP($H461,'RBSA Weights'!$A$2:$C$1406,3,FALSE)</f>
        <v>2003.7159999999999</v>
      </c>
    </row>
    <row r="462" spans="1:19">
      <c r="A462" s="192" t="s">
        <v>928</v>
      </c>
      <c r="B462" s="192">
        <v>0.9</v>
      </c>
      <c r="C462" s="192">
        <v>0</v>
      </c>
      <c r="D462" s="192" t="s">
        <v>65</v>
      </c>
      <c r="E462" s="192">
        <v>1</v>
      </c>
      <c r="F462" s="192">
        <v>0</v>
      </c>
      <c r="G462" s="192">
        <v>216548</v>
      </c>
      <c r="H462" s="192">
        <v>10421</v>
      </c>
      <c r="I462" s="192">
        <v>1</v>
      </c>
      <c r="J462" s="192">
        <v>618</v>
      </c>
      <c r="K462" s="192" t="s">
        <v>918</v>
      </c>
      <c r="L462" s="192" t="s">
        <v>65</v>
      </c>
      <c r="M462" s="192" t="s">
        <v>923</v>
      </c>
      <c r="N462" s="192" t="s">
        <v>65</v>
      </c>
      <c r="O462" s="192" t="s">
        <v>65</v>
      </c>
      <c r="P462" s="192" t="s">
        <v>65</v>
      </c>
      <c r="Q462" s="192">
        <v>6.4999997615814209E-2</v>
      </c>
      <c r="R462" s="192">
        <v>3.0999999046325684</v>
      </c>
      <c r="S462" s="192">
        <f>VLOOKUP($H462,'RBSA Weights'!$A$2:$C$1406,3,FALSE)</f>
        <v>1464.694</v>
      </c>
    </row>
    <row r="463" spans="1:19">
      <c r="A463" s="192" t="s">
        <v>928</v>
      </c>
      <c r="B463" s="192">
        <v>0.9</v>
      </c>
      <c r="C463" s="192">
        <v>0</v>
      </c>
      <c r="D463" s="192" t="s">
        <v>65</v>
      </c>
      <c r="E463" s="192">
        <v>1</v>
      </c>
      <c r="F463" s="192">
        <v>0</v>
      </c>
      <c r="G463" s="192">
        <v>197605</v>
      </c>
      <c r="H463" s="192">
        <v>13975</v>
      </c>
      <c r="I463" s="192">
        <v>1</v>
      </c>
      <c r="J463" s="192">
        <v>780</v>
      </c>
      <c r="K463" s="192" t="s">
        <v>925</v>
      </c>
      <c r="L463" s="192" t="s">
        <v>737</v>
      </c>
      <c r="M463" s="192" t="s">
        <v>919</v>
      </c>
      <c r="N463" s="192" t="s">
        <v>65</v>
      </c>
      <c r="O463" s="192" t="s">
        <v>65</v>
      </c>
      <c r="P463" s="192" t="s">
        <v>65</v>
      </c>
      <c r="Q463" s="192">
        <v>6.4999997615814209E-2</v>
      </c>
      <c r="R463" s="192">
        <v>3.0999999046325684</v>
      </c>
      <c r="S463" s="192">
        <f>VLOOKUP($H463,'RBSA Weights'!$A$2:$C$1406,3,FALSE)</f>
        <v>4956.4930000000004</v>
      </c>
    </row>
    <row r="464" spans="1:19">
      <c r="A464" s="192" t="s">
        <v>928</v>
      </c>
      <c r="B464" s="192">
        <v>0.9</v>
      </c>
      <c r="C464" s="192">
        <v>0</v>
      </c>
      <c r="D464" s="192" t="s">
        <v>65</v>
      </c>
      <c r="E464" s="192">
        <v>1</v>
      </c>
      <c r="F464" s="192">
        <v>0</v>
      </c>
      <c r="G464" s="192">
        <v>121950</v>
      </c>
      <c r="H464" s="192">
        <v>24245</v>
      </c>
      <c r="I464" s="192">
        <v>1</v>
      </c>
      <c r="J464" s="192">
        <v>864</v>
      </c>
      <c r="K464" s="192" t="s">
        <v>918</v>
      </c>
      <c r="L464" s="192" t="s">
        <v>737</v>
      </c>
      <c r="M464" s="192" t="s">
        <v>919</v>
      </c>
      <c r="N464" s="192" t="s">
        <v>65</v>
      </c>
      <c r="O464" s="192" t="s">
        <v>65</v>
      </c>
      <c r="P464" s="192" t="s">
        <v>926</v>
      </c>
      <c r="Q464" s="192">
        <v>6.4999997615814209E-2</v>
      </c>
      <c r="R464" s="192">
        <v>3.0999999046325684</v>
      </c>
      <c r="S464" s="192">
        <f>VLOOKUP($H464,'RBSA Weights'!$A$2:$C$1406,3,FALSE)</f>
        <v>1612.692</v>
      </c>
    </row>
    <row r="465" spans="1:19">
      <c r="A465" s="192" t="s">
        <v>928</v>
      </c>
      <c r="B465" s="192">
        <v>0.9</v>
      </c>
      <c r="C465" s="192">
        <v>0</v>
      </c>
      <c r="D465" s="192" t="s">
        <v>65</v>
      </c>
      <c r="E465" s="192">
        <v>1</v>
      </c>
      <c r="F465" s="192">
        <v>0</v>
      </c>
      <c r="G465" s="192">
        <v>166608</v>
      </c>
      <c r="H465" s="192">
        <v>23111</v>
      </c>
      <c r="I465" s="192">
        <v>1</v>
      </c>
      <c r="J465" s="192">
        <v>2494</v>
      </c>
      <c r="K465" s="192" t="s">
        <v>925</v>
      </c>
      <c r="L465" s="192" t="s">
        <v>927</v>
      </c>
      <c r="M465" s="192" t="s">
        <v>923</v>
      </c>
      <c r="N465" s="192" t="s">
        <v>65</v>
      </c>
      <c r="O465" s="192" t="s">
        <v>65</v>
      </c>
      <c r="P465" s="192" t="s">
        <v>65</v>
      </c>
      <c r="Q465" s="192">
        <v>6.4999997615814209E-2</v>
      </c>
      <c r="R465" s="192">
        <v>3.0999999046325684</v>
      </c>
      <c r="S465" s="192">
        <f>VLOOKUP($H465,'RBSA Weights'!$A$2:$C$1406,3,FALSE)</f>
        <v>1192.4649999999999</v>
      </c>
    </row>
    <row r="466" spans="1:19">
      <c r="A466" s="192" t="s">
        <v>928</v>
      </c>
      <c r="B466" s="192">
        <v>0.9</v>
      </c>
      <c r="C466" s="192">
        <v>0</v>
      </c>
      <c r="D466" s="192" t="s">
        <v>65</v>
      </c>
      <c r="E466" s="192">
        <v>1</v>
      </c>
      <c r="F466" s="192">
        <v>0</v>
      </c>
      <c r="G466" s="192">
        <v>233257</v>
      </c>
      <c r="H466" s="192">
        <v>10915</v>
      </c>
      <c r="I466" s="192">
        <v>1</v>
      </c>
      <c r="J466" s="192">
        <v>1096</v>
      </c>
      <c r="K466" s="192" t="s">
        <v>925</v>
      </c>
      <c r="L466" s="192" t="s">
        <v>922</v>
      </c>
      <c r="M466" s="192" t="s">
        <v>919</v>
      </c>
      <c r="N466" s="192" t="s">
        <v>65</v>
      </c>
      <c r="O466" s="192" t="s">
        <v>65</v>
      </c>
      <c r="P466" s="192" t="s">
        <v>65</v>
      </c>
      <c r="Q466" s="192">
        <v>6.4999997615814209E-2</v>
      </c>
      <c r="R466" s="192">
        <v>3.0999999046325684</v>
      </c>
      <c r="S466" s="192">
        <f>VLOOKUP($H466,'RBSA Weights'!$A$2:$C$1406,3,FALSE)</f>
        <v>1464.694</v>
      </c>
    </row>
    <row r="467" spans="1:19">
      <c r="A467" s="192" t="s">
        <v>928</v>
      </c>
      <c r="B467" s="192">
        <v>0.9</v>
      </c>
      <c r="C467" s="192">
        <v>0</v>
      </c>
      <c r="D467" s="192" t="s">
        <v>65</v>
      </c>
      <c r="E467" s="192">
        <v>1</v>
      </c>
      <c r="F467" s="192">
        <v>0</v>
      </c>
      <c r="G467" s="192">
        <v>31127</v>
      </c>
      <c r="H467" s="192">
        <v>10318</v>
      </c>
      <c r="I467" s="192">
        <v>1</v>
      </c>
      <c r="J467" s="192">
        <v>628</v>
      </c>
      <c r="K467" s="192" t="s">
        <v>925</v>
      </c>
      <c r="L467" s="192" t="s">
        <v>922</v>
      </c>
      <c r="M467" s="192" t="s">
        <v>923</v>
      </c>
      <c r="N467" s="192" t="s">
        <v>65</v>
      </c>
      <c r="O467" s="192" t="s">
        <v>65</v>
      </c>
      <c r="P467" s="192" t="s">
        <v>924</v>
      </c>
      <c r="Q467" s="192">
        <v>6.4999997615814209E-2</v>
      </c>
      <c r="R467" s="192">
        <v>3.0999999046325684</v>
      </c>
      <c r="S467" s="192">
        <f>VLOOKUP($H467,'RBSA Weights'!$A$2:$C$1406,3,FALSE)</f>
        <v>1524.7619999999999</v>
      </c>
    </row>
    <row r="468" spans="1:19">
      <c r="A468" s="192" t="s">
        <v>928</v>
      </c>
      <c r="B468" s="192">
        <v>0.9</v>
      </c>
      <c r="C468" s="192">
        <v>0</v>
      </c>
      <c r="D468" s="192" t="s">
        <v>65</v>
      </c>
      <c r="E468" s="192">
        <v>1</v>
      </c>
      <c r="F468" s="192">
        <v>0</v>
      </c>
      <c r="G468" s="192">
        <v>56920</v>
      </c>
      <c r="H468" s="192">
        <v>11978</v>
      </c>
      <c r="I468" s="192">
        <v>1</v>
      </c>
      <c r="J468" s="192">
        <v>1532</v>
      </c>
      <c r="K468" s="192" t="s">
        <v>918</v>
      </c>
      <c r="L468" s="192" t="s">
        <v>922</v>
      </c>
      <c r="M468" s="192" t="s">
        <v>919</v>
      </c>
      <c r="N468" s="192" t="s">
        <v>65</v>
      </c>
      <c r="O468" s="192" t="s">
        <v>65</v>
      </c>
      <c r="P468" s="192" t="s">
        <v>926</v>
      </c>
      <c r="Q468" s="192">
        <v>6.4999997615814209E-2</v>
      </c>
      <c r="R468" s="192">
        <v>3.0999999046325684</v>
      </c>
      <c r="S468" s="192">
        <f>VLOOKUP($H468,'RBSA Weights'!$A$2:$C$1406,3,FALSE)</f>
        <v>1188.027</v>
      </c>
    </row>
    <row r="469" spans="1:19">
      <c r="A469" s="192" t="s">
        <v>928</v>
      </c>
      <c r="B469" s="192">
        <v>0.9</v>
      </c>
      <c r="C469" s="192">
        <v>0</v>
      </c>
      <c r="D469" s="192" t="s">
        <v>65</v>
      </c>
      <c r="E469" s="192">
        <v>1</v>
      </c>
      <c r="F469" s="192">
        <v>0</v>
      </c>
      <c r="G469" s="192">
        <v>139444</v>
      </c>
      <c r="H469" s="192">
        <v>10083</v>
      </c>
      <c r="I469" s="192">
        <v>1</v>
      </c>
      <c r="J469" s="192">
        <v>1474</v>
      </c>
      <c r="K469" s="192" t="s">
        <v>918</v>
      </c>
      <c r="L469" s="192" t="s">
        <v>65</v>
      </c>
      <c r="M469" s="192" t="s">
        <v>919</v>
      </c>
      <c r="N469" s="192" t="s">
        <v>65</v>
      </c>
      <c r="O469" s="192" t="s">
        <v>65</v>
      </c>
      <c r="P469" s="192" t="s">
        <v>65</v>
      </c>
      <c r="Q469" s="192">
        <v>6.4999997615814209E-2</v>
      </c>
      <c r="R469" s="192">
        <v>3.0999999046325684</v>
      </c>
      <c r="S469" s="192">
        <f>VLOOKUP($H469,'RBSA Weights'!$A$2:$C$1406,3,FALSE)</f>
        <v>4956.4930000000004</v>
      </c>
    </row>
    <row r="470" spans="1:19">
      <c r="A470" s="192" t="s">
        <v>928</v>
      </c>
      <c r="B470" s="192">
        <v>0.9</v>
      </c>
      <c r="C470" s="192">
        <v>0</v>
      </c>
      <c r="D470" s="192" t="s">
        <v>65</v>
      </c>
      <c r="E470" s="192">
        <v>1</v>
      </c>
      <c r="F470" s="192">
        <v>0</v>
      </c>
      <c r="G470" s="192">
        <v>37983</v>
      </c>
      <c r="H470" s="192">
        <v>10150</v>
      </c>
      <c r="I470" s="192">
        <v>1</v>
      </c>
      <c r="J470" s="192">
        <v>1023</v>
      </c>
      <c r="K470" s="192" t="s">
        <v>918</v>
      </c>
      <c r="L470" s="192" t="s">
        <v>927</v>
      </c>
      <c r="M470" s="192" t="s">
        <v>919</v>
      </c>
      <c r="N470" s="192" t="s">
        <v>65</v>
      </c>
      <c r="O470" s="192" t="s">
        <v>65</v>
      </c>
      <c r="P470" s="192" t="s">
        <v>926</v>
      </c>
      <c r="Q470" s="192">
        <v>6.4999997615814209E-2</v>
      </c>
      <c r="R470" s="192">
        <v>3.0999999046325684</v>
      </c>
      <c r="S470" s="192">
        <f>VLOOKUP($H470,'RBSA Weights'!$A$2:$C$1406,3,FALSE)</f>
        <v>1188.027</v>
      </c>
    </row>
    <row r="471" spans="1:19">
      <c r="A471" s="192" t="s">
        <v>928</v>
      </c>
      <c r="B471" s="192">
        <v>0.9</v>
      </c>
      <c r="C471" s="192">
        <v>0</v>
      </c>
      <c r="D471" s="192" t="s">
        <v>65</v>
      </c>
      <c r="E471" s="192">
        <v>1</v>
      </c>
      <c r="F471" s="192">
        <v>0</v>
      </c>
      <c r="G471" s="192">
        <v>124958</v>
      </c>
      <c r="H471" s="192">
        <v>20770</v>
      </c>
      <c r="I471" s="192">
        <v>1</v>
      </c>
      <c r="J471" s="192">
        <v>950</v>
      </c>
      <c r="K471" s="192" t="s">
        <v>925</v>
      </c>
      <c r="L471" s="192" t="s">
        <v>737</v>
      </c>
      <c r="M471" s="192" t="s">
        <v>919</v>
      </c>
      <c r="N471" s="192" t="s">
        <v>65</v>
      </c>
      <c r="O471" s="192" t="s">
        <v>65</v>
      </c>
      <c r="P471" s="192" t="s">
        <v>926</v>
      </c>
      <c r="Q471" s="192">
        <v>6.4999997615814209E-2</v>
      </c>
      <c r="R471" s="192">
        <v>3.0999999046325684</v>
      </c>
      <c r="S471" s="192">
        <f>VLOOKUP($H471,'RBSA Weights'!$A$2:$C$1406,3,FALSE)</f>
        <v>2079.9929999999999</v>
      </c>
    </row>
    <row r="472" spans="1:19">
      <c r="A472" s="192" t="s">
        <v>928</v>
      </c>
      <c r="B472" s="192">
        <v>0.9</v>
      </c>
      <c r="C472" s="192">
        <v>0</v>
      </c>
      <c r="D472" s="192" t="s">
        <v>65</v>
      </c>
      <c r="E472" s="192">
        <v>1</v>
      </c>
      <c r="F472" s="192">
        <v>0</v>
      </c>
      <c r="G472" s="192">
        <v>133488</v>
      </c>
      <c r="H472" s="192">
        <v>23122</v>
      </c>
      <c r="I472" s="192">
        <v>1</v>
      </c>
      <c r="J472" s="192">
        <v>1400</v>
      </c>
      <c r="K472" s="192" t="s">
        <v>925</v>
      </c>
      <c r="L472" s="192" t="s">
        <v>927</v>
      </c>
      <c r="M472" s="192" t="s">
        <v>919</v>
      </c>
      <c r="N472" s="192" t="s">
        <v>65</v>
      </c>
      <c r="O472" s="192" t="s">
        <v>65</v>
      </c>
      <c r="P472" s="192" t="s">
        <v>926</v>
      </c>
      <c r="Q472" s="192">
        <v>6.4999997615814209E-2</v>
      </c>
      <c r="R472" s="192">
        <v>3.0999999046325684</v>
      </c>
      <c r="S472" s="192">
        <f>VLOOKUP($H472,'RBSA Weights'!$A$2:$C$1406,3,FALSE)</f>
        <v>2079.9929999999999</v>
      </c>
    </row>
    <row r="473" spans="1:19">
      <c r="A473" s="192" t="s">
        <v>928</v>
      </c>
      <c r="B473" s="192">
        <v>0.9</v>
      </c>
      <c r="C473" s="192">
        <v>0</v>
      </c>
      <c r="D473" s="192" t="s">
        <v>65</v>
      </c>
      <c r="E473" s="192">
        <v>1</v>
      </c>
      <c r="F473" s="192">
        <v>0</v>
      </c>
      <c r="G473" s="192">
        <v>175908</v>
      </c>
      <c r="H473" s="192">
        <v>22649</v>
      </c>
      <c r="I473" s="192">
        <v>1</v>
      </c>
      <c r="J473" s="192">
        <v>1936</v>
      </c>
      <c r="K473" s="192" t="s">
        <v>918</v>
      </c>
      <c r="L473" s="192" t="s">
        <v>65</v>
      </c>
      <c r="M473" s="192" t="s">
        <v>919</v>
      </c>
      <c r="N473" s="192" t="s">
        <v>65</v>
      </c>
      <c r="O473" s="192" t="s">
        <v>65</v>
      </c>
      <c r="P473" s="192" t="s">
        <v>65</v>
      </c>
      <c r="Q473" s="192">
        <v>6.4999997615814209E-2</v>
      </c>
      <c r="R473" s="192">
        <v>3.0999999046325684</v>
      </c>
      <c r="S473" s="192">
        <f>VLOOKUP($H473,'RBSA Weights'!$A$2:$C$1406,3,FALSE)</f>
        <v>1925.059</v>
      </c>
    </row>
    <row r="474" spans="1:19">
      <c r="A474" s="192" t="s">
        <v>928</v>
      </c>
      <c r="B474" s="192">
        <v>0.9</v>
      </c>
      <c r="C474" s="192">
        <v>0</v>
      </c>
      <c r="D474" s="192" t="s">
        <v>65</v>
      </c>
      <c r="E474" s="192">
        <v>1</v>
      </c>
      <c r="F474" s="192">
        <v>1</v>
      </c>
      <c r="G474" s="192">
        <v>194496</v>
      </c>
      <c r="H474" s="192">
        <v>23300</v>
      </c>
      <c r="I474" s="192">
        <v>1</v>
      </c>
      <c r="J474" s="192">
        <v>1339</v>
      </c>
      <c r="K474" s="192" t="s">
        <v>918</v>
      </c>
      <c r="L474" s="192" t="s">
        <v>65</v>
      </c>
      <c r="M474" s="192" t="s">
        <v>919</v>
      </c>
      <c r="N474" s="192" t="s">
        <v>65</v>
      </c>
      <c r="O474" s="192" t="s">
        <v>65</v>
      </c>
      <c r="P474" s="192" t="s">
        <v>65</v>
      </c>
      <c r="Q474" s="192">
        <v>6.4999997615814209E-2</v>
      </c>
      <c r="R474" s="192">
        <v>4.5</v>
      </c>
      <c r="S474" s="192">
        <f>VLOOKUP($H474,'RBSA Weights'!$A$2:$C$1406,3,FALSE)</f>
        <v>1925.059</v>
      </c>
    </row>
    <row r="475" spans="1:19">
      <c r="A475" s="192" t="s">
        <v>928</v>
      </c>
      <c r="B475" s="192">
        <v>0.9</v>
      </c>
      <c r="C475" s="192">
        <v>0</v>
      </c>
      <c r="D475" s="192" t="s">
        <v>65</v>
      </c>
      <c r="E475" s="192">
        <v>1</v>
      </c>
      <c r="F475" s="192">
        <v>0</v>
      </c>
      <c r="G475" s="192">
        <v>226902</v>
      </c>
      <c r="H475" s="192">
        <v>13113</v>
      </c>
      <c r="I475" s="192">
        <v>1</v>
      </c>
      <c r="J475" s="192">
        <v>480</v>
      </c>
      <c r="K475" s="192" t="s">
        <v>925</v>
      </c>
      <c r="L475" s="192" t="s">
        <v>737</v>
      </c>
      <c r="M475" s="192" t="s">
        <v>919</v>
      </c>
      <c r="N475" s="192" t="s">
        <v>65</v>
      </c>
      <c r="O475" s="192" t="s">
        <v>65</v>
      </c>
      <c r="P475" s="192" t="s">
        <v>65</v>
      </c>
      <c r="Q475" s="192">
        <v>6.4999997615814209E-2</v>
      </c>
      <c r="R475" s="192">
        <v>3.0999999046325684</v>
      </c>
      <c r="S475" s="192">
        <f>VLOOKUP($H475,'RBSA Weights'!$A$2:$C$1406,3,FALSE)</f>
        <v>1464.694</v>
      </c>
    </row>
    <row r="476" spans="1:19">
      <c r="A476" s="192" t="s">
        <v>928</v>
      </c>
      <c r="B476" s="192">
        <v>0.9</v>
      </c>
      <c r="C476" s="192">
        <v>0</v>
      </c>
      <c r="D476" s="192" t="s">
        <v>65</v>
      </c>
      <c r="E476" s="192">
        <v>1</v>
      </c>
      <c r="F476" s="192">
        <v>0</v>
      </c>
      <c r="G476" s="192">
        <v>50114</v>
      </c>
      <c r="H476" s="192">
        <v>22215</v>
      </c>
      <c r="I476" s="192">
        <v>1</v>
      </c>
      <c r="J476" s="192">
        <v>1640</v>
      </c>
      <c r="K476" s="192" t="s">
        <v>925</v>
      </c>
      <c r="L476" s="192" t="s">
        <v>927</v>
      </c>
      <c r="M476" s="192" t="s">
        <v>919</v>
      </c>
      <c r="N476" s="192" t="s">
        <v>65</v>
      </c>
      <c r="O476" s="192" t="s">
        <v>65</v>
      </c>
      <c r="P476" s="192" t="s">
        <v>926</v>
      </c>
      <c r="Q476" s="192">
        <v>6.4999997615814209E-2</v>
      </c>
      <c r="R476" s="192">
        <v>3.0999999046325684</v>
      </c>
      <c r="S476" s="192">
        <f>VLOOKUP($H476,'RBSA Weights'!$A$2:$C$1406,3,FALSE)</f>
        <v>3785.7640000000001</v>
      </c>
    </row>
    <row r="477" spans="1:19">
      <c r="A477" s="192" t="s">
        <v>928</v>
      </c>
      <c r="B477" s="192">
        <v>0.9</v>
      </c>
      <c r="C477" s="192">
        <v>0</v>
      </c>
      <c r="D477" s="192" t="s">
        <v>65</v>
      </c>
      <c r="E477" s="192">
        <v>0</v>
      </c>
      <c r="G477" s="192">
        <v>191282</v>
      </c>
      <c r="H477" s="192">
        <v>20085</v>
      </c>
      <c r="I477" s="192">
        <v>1</v>
      </c>
      <c r="J477" s="192">
        <v>2196</v>
      </c>
      <c r="K477" s="192" t="s">
        <v>918</v>
      </c>
      <c r="L477" s="192" t="s">
        <v>65</v>
      </c>
      <c r="M477" s="192" t="s">
        <v>919</v>
      </c>
      <c r="N477" s="192" t="s">
        <v>65</v>
      </c>
      <c r="O477" s="192" t="s">
        <v>65</v>
      </c>
      <c r="P477" s="192" t="s">
        <v>65</v>
      </c>
      <c r="Q477" s="192">
        <v>6.4999997615814209E-2</v>
      </c>
      <c r="R477" s="192">
        <v>5</v>
      </c>
      <c r="S477" s="192">
        <f>VLOOKUP($H477,'RBSA Weights'!$A$2:$C$1406,3,FALSE)</f>
        <v>4360.1880000000001</v>
      </c>
    </row>
    <row r="478" spans="1:19">
      <c r="A478" s="192" t="s">
        <v>928</v>
      </c>
      <c r="B478" s="192">
        <v>0.9</v>
      </c>
      <c r="C478" s="192">
        <v>0</v>
      </c>
      <c r="D478" s="192" t="s">
        <v>65</v>
      </c>
      <c r="E478" s="192">
        <v>0</v>
      </c>
      <c r="G478" s="192">
        <v>239583</v>
      </c>
      <c r="H478" s="192">
        <v>10021</v>
      </c>
      <c r="I478" s="192">
        <v>1</v>
      </c>
      <c r="J478" s="192">
        <v>1334</v>
      </c>
      <c r="K478" s="192" t="s">
        <v>925</v>
      </c>
      <c r="L478" s="192" t="s">
        <v>737</v>
      </c>
      <c r="M478" s="192" t="s">
        <v>919</v>
      </c>
      <c r="N478" s="192" t="s">
        <v>65</v>
      </c>
      <c r="O478" s="192" t="s">
        <v>65</v>
      </c>
      <c r="P478" s="192" t="s">
        <v>65</v>
      </c>
      <c r="Q478" s="192">
        <v>6.4999997615814209E-2</v>
      </c>
      <c r="R478" s="192">
        <v>5</v>
      </c>
      <c r="S478" s="192">
        <f>VLOOKUP($H478,'RBSA Weights'!$A$2:$C$1406,3,FALSE)</f>
        <v>1150.8789999999999</v>
      </c>
    </row>
    <row r="479" spans="1:19">
      <c r="A479" s="192" t="s">
        <v>928</v>
      </c>
      <c r="B479" s="192">
        <v>0.9</v>
      </c>
      <c r="C479" s="192">
        <v>0</v>
      </c>
      <c r="D479" s="192" t="s">
        <v>65</v>
      </c>
      <c r="E479" s="192">
        <v>1</v>
      </c>
      <c r="F479" s="192">
        <v>0</v>
      </c>
      <c r="G479" s="192">
        <v>117598</v>
      </c>
      <c r="H479" s="192">
        <v>10946</v>
      </c>
      <c r="I479" s="192">
        <v>1</v>
      </c>
      <c r="J479" s="192">
        <v>2953</v>
      </c>
      <c r="K479" s="192" t="s">
        <v>918</v>
      </c>
      <c r="L479" s="192" t="s">
        <v>922</v>
      </c>
      <c r="M479" s="192" t="s">
        <v>919</v>
      </c>
      <c r="N479" s="192" t="s">
        <v>65</v>
      </c>
      <c r="O479" s="192" t="s">
        <v>65</v>
      </c>
      <c r="P479" s="192" t="s">
        <v>926</v>
      </c>
      <c r="Q479" s="192">
        <v>6.4999997615814209E-2</v>
      </c>
      <c r="R479" s="192">
        <v>3.0999999046325684</v>
      </c>
      <c r="S479" s="192">
        <f>VLOOKUP($H479,'RBSA Weights'!$A$2:$C$1406,3,FALSE)</f>
        <v>4956.4930000000004</v>
      </c>
    </row>
    <row r="480" spans="1:19">
      <c r="A480" s="192" t="s">
        <v>928</v>
      </c>
      <c r="B480" s="192">
        <v>0.9</v>
      </c>
      <c r="C480" s="192">
        <v>0</v>
      </c>
      <c r="D480" s="192" t="s">
        <v>65</v>
      </c>
      <c r="E480" s="192">
        <v>1</v>
      </c>
      <c r="F480" s="192">
        <v>0</v>
      </c>
      <c r="G480" s="192">
        <v>130027</v>
      </c>
      <c r="H480" s="192">
        <v>22172</v>
      </c>
      <c r="I480" s="192">
        <v>1</v>
      </c>
      <c r="J480" s="192">
        <v>1498</v>
      </c>
      <c r="K480" s="192" t="s">
        <v>925</v>
      </c>
      <c r="L480" s="192" t="s">
        <v>737</v>
      </c>
      <c r="M480" s="192" t="s">
        <v>919</v>
      </c>
      <c r="N480" s="192" t="s">
        <v>65</v>
      </c>
      <c r="O480" s="192" t="s">
        <v>65</v>
      </c>
      <c r="P480" s="192" t="s">
        <v>65</v>
      </c>
      <c r="Q480" s="192">
        <v>6.4999997615814209E-2</v>
      </c>
      <c r="R480" s="192">
        <v>3.0999999046325684</v>
      </c>
      <c r="S480" s="192">
        <f>VLOOKUP($H480,'RBSA Weights'!$A$2:$C$1406,3,FALSE)</f>
        <v>1904.288</v>
      </c>
    </row>
    <row r="481" spans="1:19">
      <c r="A481" s="192" t="s">
        <v>928</v>
      </c>
      <c r="B481" s="192">
        <v>0.9</v>
      </c>
      <c r="C481" s="192">
        <v>0</v>
      </c>
      <c r="D481" s="192" t="s">
        <v>65</v>
      </c>
      <c r="E481" s="192">
        <v>1</v>
      </c>
      <c r="F481" s="192">
        <v>1</v>
      </c>
      <c r="G481" s="192">
        <v>205033</v>
      </c>
      <c r="H481" s="192">
        <v>20970</v>
      </c>
      <c r="I481" s="192">
        <v>1</v>
      </c>
      <c r="J481" s="192">
        <v>1327</v>
      </c>
      <c r="K481" s="192" t="s">
        <v>925</v>
      </c>
      <c r="L481" s="192" t="s">
        <v>927</v>
      </c>
      <c r="M481" s="192" t="s">
        <v>923</v>
      </c>
      <c r="N481" s="192" t="s">
        <v>65</v>
      </c>
      <c r="O481" s="192" t="s">
        <v>65</v>
      </c>
      <c r="P481" s="192" t="s">
        <v>65</v>
      </c>
      <c r="Q481" s="192">
        <v>6.4999997615814209E-2</v>
      </c>
      <c r="R481" s="192">
        <v>4.5</v>
      </c>
      <c r="S481" s="192">
        <f>VLOOKUP($H481,'RBSA Weights'!$A$2:$C$1406,3,FALSE)</f>
        <v>2079.9929999999999</v>
      </c>
    </row>
    <row r="482" spans="1:19">
      <c r="A482" s="192" t="s">
        <v>928</v>
      </c>
      <c r="B482" s="192">
        <v>0.9</v>
      </c>
      <c r="C482" s="192">
        <v>0</v>
      </c>
      <c r="D482" s="192" t="s">
        <v>65</v>
      </c>
      <c r="E482" s="192">
        <v>1</v>
      </c>
      <c r="F482" s="192">
        <v>0</v>
      </c>
      <c r="G482" s="192">
        <v>210564</v>
      </c>
      <c r="H482" s="192">
        <v>22521</v>
      </c>
      <c r="I482" s="192">
        <v>1</v>
      </c>
      <c r="J482" s="192">
        <v>976</v>
      </c>
      <c r="K482" s="192" t="s">
        <v>925</v>
      </c>
      <c r="L482" s="192" t="s">
        <v>927</v>
      </c>
      <c r="M482" s="192" t="s">
        <v>923</v>
      </c>
      <c r="N482" s="192" t="s">
        <v>65</v>
      </c>
      <c r="O482" s="192" t="s">
        <v>65</v>
      </c>
      <c r="P482" s="192" t="s">
        <v>65</v>
      </c>
      <c r="Q482" s="192">
        <v>6.4999997615814209E-2</v>
      </c>
      <c r="R482" s="192">
        <v>3.0999999046325684</v>
      </c>
      <c r="S482" s="192">
        <f>VLOOKUP($H482,'RBSA Weights'!$A$2:$C$1406,3,FALSE)</f>
        <v>1612.692</v>
      </c>
    </row>
    <row r="483" spans="1:19">
      <c r="A483" s="192" t="s">
        <v>928</v>
      </c>
      <c r="B483" s="192">
        <v>0.9</v>
      </c>
      <c r="C483" s="192">
        <v>0</v>
      </c>
      <c r="D483" s="192" t="s">
        <v>65</v>
      </c>
      <c r="E483" s="192">
        <v>1</v>
      </c>
      <c r="F483" s="192">
        <v>1</v>
      </c>
      <c r="G483" s="192">
        <v>218540</v>
      </c>
      <c r="H483" s="192">
        <v>23742</v>
      </c>
      <c r="I483" s="192">
        <v>1</v>
      </c>
      <c r="J483" s="192">
        <v>2010</v>
      </c>
      <c r="K483" s="192" t="s">
        <v>925</v>
      </c>
      <c r="L483" s="192" t="s">
        <v>927</v>
      </c>
      <c r="M483" s="192" t="s">
        <v>919</v>
      </c>
      <c r="N483" s="192" t="s">
        <v>65</v>
      </c>
      <c r="O483" s="192" t="s">
        <v>65</v>
      </c>
      <c r="P483" s="192" t="s">
        <v>65</v>
      </c>
      <c r="Q483" s="192">
        <v>6.4999997615814209E-2</v>
      </c>
      <c r="R483" s="192">
        <v>4.5</v>
      </c>
      <c r="S483" s="192">
        <f>VLOOKUP($H483,'RBSA Weights'!$A$2:$C$1406,3,FALSE)</f>
        <v>3785.7640000000001</v>
      </c>
    </row>
    <row r="484" spans="1:19">
      <c r="A484" s="192" t="s">
        <v>928</v>
      </c>
      <c r="B484" s="192">
        <v>0.9</v>
      </c>
      <c r="C484" s="192">
        <v>0</v>
      </c>
      <c r="D484" s="192" t="s">
        <v>65</v>
      </c>
      <c r="E484" s="192">
        <v>0</v>
      </c>
      <c r="F484" s="192">
        <v>0</v>
      </c>
      <c r="G484" s="192">
        <v>90393</v>
      </c>
      <c r="H484" s="192">
        <v>13250</v>
      </c>
      <c r="I484" s="192">
        <v>1</v>
      </c>
      <c r="J484" s="192">
        <v>1024</v>
      </c>
      <c r="K484" s="192" t="s">
        <v>925</v>
      </c>
      <c r="L484" s="192" t="s">
        <v>737</v>
      </c>
      <c r="M484" s="192" t="s">
        <v>919</v>
      </c>
      <c r="N484" s="192" t="s">
        <v>65</v>
      </c>
      <c r="O484" s="192" t="s">
        <v>65</v>
      </c>
      <c r="P484" s="192" t="s">
        <v>926</v>
      </c>
      <c r="Q484" s="192">
        <v>6.4999997615814209E-2</v>
      </c>
      <c r="R484" s="192">
        <v>5</v>
      </c>
      <c r="S484" s="192">
        <f>VLOOKUP($H484,'RBSA Weights'!$A$2:$C$1406,3,FALSE)</f>
        <v>2003.7159999999999</v>
      </c>
    </row>
    <row r="485" spans="1:19">
      <c r="A485" s="192" t="s">
        <v>928</v>
      </c>
      <c r="B485" s="192">
        <v>0.9</v>
      </c>
      <c r="C485" s="192">
        <v>0</v>
      </c>
      <c r="D485" s="192" t="s">
        <v>65</v>
      </c>
      <c r="E485" s="192">
        <v>1</v>
      </c>
      <c r="F485" s="192">
        <v>0</v>
      </c>
      <c r="G485" s="192">
        <v>181460</v>
      </c>
      <c r="H485" s="192">
        <v>10306</v>
      </c>
      <c r="I485" s="192">
        <v>1</v>
      </c>
      <c r="J485" s="192">
        <v>1781</v>
      </c>
      <c r="K485" s="192" t="s">
        <v>925</v>
      </c>
      <c r="L485" s="192" t="s">
        <v>927</v>
      </c>
      <c r="M485" s="192" t="s">
        <v>923</v>
      </c>
      <c r="N485" s="192" t="s">
        <v>65</v>
      </c>
      <c r="O485" s="192" t="s">
        <v>65</v>
      </c>
      <c r="P485" s="192" t="s">
        <v>65</v>
      </c>
      <c r="Q485" s="192">
        <v>6.4999997615814209E-2</v>
      </c>
      <c r="R485" s="192">
        <v>3.0999999046325684</v>
      </c>
      <c r="S485" s="192">
        <f>VLOOKUP($H485,'RBSA Weights'!$A$2:$C$1406,3,FALSE)</f>
        <v>4956.4930000000004</v>
      </c>
    </row>
    <row r="486" spans="1:19">
      <c r="A486" s="192" t="s">
        <v>928</v>
      </c>
      <c r="B486" s="192">
        <v>0.9</v>
      </c>
      <c r="C486" s="192">
        <v>0</v>
      </c>
      <c r="D486" s="192" t="s">
        <v>65</v>
      </c>
      <c r="E486" s="192">
        <v>1</v>
      </c>
      <c r="F486" s="192">
        <v>0</v>
      </c>
      <c r="G486" s="192">
        <v>41312</v>
      </c>
      <c r="H486" s="192">
        <v>12600</v>
      </c>
      <c r="I486" s="192">
        <v>1</v>
      </c>
      <c r="J486" s="192">
        <v>1200</v>
      </c>
      <c r="K486" s="192" t="s">
        <v>925</v>
      </c>
      <c r="L486" s="192" t="s">
        <v>927</v>
      </c>
      <c r="M486" s="192" t="s">
        <v>923</v>
      </c>
      <c r="N486" s="192" t="s">
        <v>65</v>
      </c>
      <c r="O486" s="192" t="s">
        <v>65</v>
      </c>
      <c r="P486" s="192" t="s">
        <v>926</v>
      </c>
      <c r="Q486" s="192">
        <v>6.4999997615814209E-2</v>
      </c>
      <c r="R486" s="192">
        <v>3.0999999046325684</v>
      </c>
      <c r="S486" s="192">
        <f>VLOOKUP($H486,'RBSA Weights'!$A$2:$C$1406,3,FALSE)</f>
        <v>1524.7619999999999</v>
      </c>
    </row>
    <row r="487" spans="1:19">
      <c r="A487" s="192" t="s">
        <v>928</v>
      </c>
      <c r="B487" s="192">
        <v>0.9</v>
      </c>
      <c r="C487" s="192">
        <v>0</v>
      </c>
      <c r="D487" s="192" t="s">
        <v>65</v>
      </c>
      <c r="E487" s="192">
        <v>1</v>
      </c>
      <c r="F487" s="192">
        <v>0</v>
      </c>
      <c r="G487" s="192">
        <v>159065</v>
      </c>
      <c r="H487" s="192">
        <v>11914</v>
      </c>
      <c r="I487" s="192">
        <v>1</v>
      </c>
      <c r="J487" s="192">
        <v>1500</v>
      </c>
      <c r="K487" s="192" t="s">
        <v>925</v>
      </c>
      <c r="L487" s="192" t="s">
        <v>930</v>
      </c>
      <c r="M487" s="192" t="s">
        <v>923</v>
      </c>
      <c r="N487" s="192" t="s">
        <v>65</v>
      </c>
      <c r="O487" s="192" t="s">
        <v>65</v>
      </c>
      <c r="P487" s="192" t="s">
        <v>65</v>
      </c>
      <c r="Q487" s="192">
        <v>6.4999997615814209E-2</v>
      </c>
      <c r="R487" s="192">
        <v>3.0999999046325684</v>
      </c>
      <c r="S487" s="192">
        <f>VLOOKUP($H487,'RBSA Weights'!$A$2:$C$1406,3,FALSE)</f>
        <v>6932.7380000000003</v>
      </c>
    </row>
    <row r="488" spans="1:19">
      <c r="A488" s="192" t="s">
        <v>928</v>
      </c>
      <c r="B488" s="192">
        <v>0.9</v>
      </c>
      <c r="C488" s="192">
        <v>0</v>
      </c>
      <c r="D488" s="192" t="s">
        <v>65</v>
      </c>
      <c r="E488" s="192">
        <v>1</v>
      </c>
      <c r="F488" s="192">
        <v>0</v>
      </c>
      <c r="G488" s="192">
        <v>125073</v>
      </c>
      <c r="H488" s="192">
        <v>20574</v>
      </c>
      <c r="I488" s="192">
        <v>1</v>
      </c>
      <c r="J488" s="192">
        <v>1300</v>
      </c>
      <c r="K488" s="192" t="s">
        <v>918</v>
      </c>
      <c r="L488" s="192" t="s">
        <v>737</v>
      </c>
      <c r="M488" s="192" t="s">
        <v>919</v>
      </c>
      <c r="N488" s="192" t="s">
        <v>65</v>
      </c>
      <c r="O488" s="192" t="s">
        <v>65</v>
      </c>
      <c r="P488" s="192" t="s">
        <v>926</v>
      </c>
      <c r="Q488" s="192">
        <v>6.4999997615814209E-2</v>
      </c>
      <c r="R488" s="192">
        <v>3.0999999046325684</v>
      </c>
      <c r="S488" s="192">
        <f>VLOOKUP($H488,'RBSA Weights'!$A$2:$C$1406,3,FALSE)</f>
        <v>2079.9929999999999</v>
      </c>
    </row>
    <row r="489" spans="1:19">
      <c r="A489" s="192" t="s">
        <v>928</v>
      </c>
      <c r="B489" s="192">
        <v>0.9</v>
      </c>
      <c r="C489" s="192">
        <v>0</v>
      </c>
      <c r="D489" s="192" t="s">
        <v>65</v>
      </c>
      <c r="E489" s="192">
        <v>1</v>
      </c>
      <c r="F489" s="192">
        <v>1</v>
      </c>
      <c r="G489" s="192">
        <v>208782</v>
      </c>
      <c r="H489" s="192">
        <v>23145</v>
      </c>
      <c r="I489" s="192">
        <v>1</v>
      </c>
      <c r="J489" s="192">
        <v>1268</v>
      </c>
      <c r="K489" s="192" t="s">
        <v>925</v>
      </c>
      <c r="L489" s="192" t="s">
        <v>927</v>
      </c>
      <c r="M489" s="192" t="s">
        <v>923</v>
      </c>
      <c r="N489" s="192" t="s">
        <v>65</v>
      </c>
      <c r="O489" s="192" t="s">
        <v>65</v>
      </c>
      <c r="P489" s="192" t="s">
        <v>65</v>
      </c>
      <c r="Q489" s="192">
        <v>6.4999997615814209E-2</v>
      </c>
      <c r="R489" s="192">
        <v>4.5</v>
      </c>
      <c r="S489" s="192">
        <f>VLOOKUP($H489,'RBSA Weights'!$A$2:$C$1406,3,FALSE)</f>
        <v>3785.7640000000001</v>
      </c>
    </row>
    <row r="490" spans="1:19">
      <c r="A490" s="192" t="s">
        <v>928</v>
      </c>
      <c r="B490" s="192">
        <v>0.9</v>
      </c>
      <c r="C490" s="192">
        <v>0</v>
      </c>
      <c r="D490" s="192" t="s">
        <v>65</v>
      </c>
      <c r="E490" s="192">
        <v>1</v>
      </c>
      <c r="F490" s="192">
        <v>0</v>
      </c>
      <c r="G490" s="192">
        <v>105377</v>
      </c>
      <c r="H490" s="192">
        <v>11347</v>
      </c>
      <c r="I490" s="192">
        <v>1</v>
      </c>
      <c r="J490" s="192">
        <v>1380</v>
      </c>
      <c r="K490" s="192" t="s">
        <v>918</v>
      </c>
      <c r="L490" s="192" t="s">
        <v>737</v>
      </c>
      <c r="M490" s="192" t="s">
        <v>919</v>
      </c>
      <c r="N490" s="192" t="s">
        <v>65</v>
      </c>
      <c r="O490" s="192" t="s">
        <v>65</v>
      </c>
      <c r="P490" s="192" t="s">
        <v>926</v>
      </c>
      <c r="Q490" s="192">
        <v>6.4999997615814209E-2</v>
      </c>
      <c r="R490" s="192">
        <v>3.0999999046325684</v>
      </c>
      <c r="S490" s="192">
        <f>VLOOKUP($H490,'RBSA Weights'!$A$2:$C$1406,3,FALSE)</f>
        <v>4956.4930000000004</v>
      </c>
    </row>
    <row r="491" spans="1:19">
      <c r="A491" s="192" t="s">
        <v>928</v>
      </c>
      <c r="B491" s="192">
        <v>0.9</v>
      </c>
      <c r="C491" s="192">
        <v>0</v>
      </c>
      <c r="D491" s="192" t="s">
        <v>65</v>
      </c>
      <c r="E491" s="192">
        <v>1</v>
      </c>
      <c r="F491" s="192">
        <v>0</v>
      </c>
      <c r="G491" s="192">
        <v>125315</v>
      </c>
      <c r="H491" s="192">
        <v>12377</v>
      </c>
      <c r="I491" s="192">
        <v>1</v>
      </c>
      <c r="J491" s="192">
        <v>930</v>
      </c>
      <c r="K491" s="192" t="s">
        <v>925</v>
      </c>
      <c r="L491" s="192" t="s">
        <v>737</v>
      </c>
      <c r="M491" s="192" t="s">
        <v>919</v>
      </c>
      <c r="N491" s="192" t="s">
        <v>65</v>
      </c>
      <c r="O491" s="192" t="s">
        <v>65</v>
      </c>
      <c r="P491" s="192" t="s">
        <v>926</v>
      </c>
      <c r="Q491" s="192">
        <v>6.4999997615814209E-2</v>
      </c>
      <c r="R491" s="192">
        <v>3.0999999046325684</v>
      </c>
      <c r="S491" s="192">
        <f>VLOOKUP($H491,'RBSA Weights'!$A$2:$C$1406,3,FALSE)</f>
        <v>6932.7380000000003</v>
      </c>
    </row>
    <row r="492" spans="1:19">
      <c r="A492" s="192" t="s">
        <v>928</v>
      </c>
      <c r="B492" s="192">
        <v>0.9</v>
      </c>
      <c r="C492" s="192">
        <v>0</v>
      </c>
      <c r="D492" s="192" t="s">
        <v>65</v>
      </c>
      <c r="E492" s="192">
        <v>1</v>
      </c>
      <c r="F492" s="192">
        <v>0</v>
      </c>
      <c r="G492" s="192">
        <v>161475</v>
      </c>
      <c r="H492" s="192">
        <v>13303</v>
      </c>
      <c r="I492" s="192">
        <v>1</v>
      </c>
      <c r="J492" s="192">
        <v>1040</v>
      </c>
      <c r="K492" s="192" t="s">
        <v>925</v>
      </c>
      <c r="L492" s="192" t="s">
        <v>737</v>
      </c>
      <c r="M492" s="192" t="s">
        <v>919</v>
      </c>
      <c r="N492" s="192" t="s">
        <v>65</v>
      </c>
      <c r="O492" s="192" t="s">
        <v>65</v>
      </c>
      <c r="P492" s="192" t="s">
        <v>65</v>
      </c>
      <c r="Q492" s="192">
        <v>6.4999997615814209E-2</v>
      </c>
      <c r="R492" s="192">
        <v>3.0999999046325684</v>
      </c>
      <c r="S492" s="192">
        <f>VLOOKUP($H492,'RBSA Weights'!$A$2:$C$1406,3,FALSE)</f>
        <v>2003.7159999999999</v>
      </c>
    </row>
    <row r="493" spans="1:19">
      <c r="A493" s="192" t="s">
        <v>928</v>
      </c>
      <c r="B493" s="192">
        <v>0.9</v>
      </c>
      <c r="C493" s="192">
        <v>0</v>
      </c>
      <c r="D493" s="192" t="s">
        <v>65</v>
      </c>
      <c r="E493" s="192">
        <v>1</v>
      </c>
      <c r="F493" s="192">
        <v>0</v>
      </c>
      <c r="G493" s="192">
        <v>229591</v>
      </c>
      <c r="H493" s="192">
        <v>21391</v>
      </c>
      <c r="I493" s="192">
        <v>1</v>
      </c>
      <c r="J493" s="192">
        <v>1418</v>
      </c>
      <c r="K493" s="192" t="s">
        <v>925</v>
      </c>
      <c r="L493" s="192" t="s">
        <v>927</v>
      </c>
      <c r="M493" s="192" t="s">
        <v>923</v>
      </c>
      <c r="N493" s="192" t="s">
        <v>65</v>
      </c>
      <c r="O493" s="192" t="s">
        <v>65</v>
      </c>
      <c r="P493" s="192" t="s">
        <v>65</v>
      </c>
      <c r="Q493" s="192">
        <v>6.4999997615814209E-2</v>
      </c>
      <c r="R493" s="192">
        <v>3.0999999046325684</v>
      </c>
      <c r="S493" s="192">
        <f>VLOOKUP($H493,'RBSA Weights'!$A$2:$C$1406,3,FALSE)</f>
        <v>3785.7640000000001</v>
      </c>
    </row>
    <row r="494" spans="1:19">
      <c r="A494" s="192" t="s">
        <v>928</v>
      </c>
      <c r="B494" s="192">
        <v>0.9</v>
      </c>
      <c r="C494" s="192">
        <v>0</v>
      </c>
      <c r="D494" s="192" t="s">
        <v>65</v>
      </c>
      <c r="E494" s="192">
        <v>1</v>
      </c>
      <c r="F494" s="192">
        <v>0</v>
      </c>
      <c r="G494" s="192">
        <v>202325</v>
      </c>
      <c r="H494" s="192">
        <v>11835</v>
      </c>
      <c r="I494" s="192">
        <v>1</v>
      </c>
      <c r="J494" s="192">
        <v>980</v>
      </c>
      <c r="K494" s="192" t="s">
        <v>925</v>
      </c>
      <c r="L494" s="192" t="s">
        <v>922</v>
      </c>
      <c r="M494" s="192" t="s">
        <v>919</v>
      </c>
      <c r="N494" s="192" t="s">
        <v>65</v>
      </c>
      <c r="O494" s="192" t="s">
        <v>65</v>
      </c>
      <c r="P494" s="192" t="s">
        <v>65</v>
      </c>
      <c r="Q494" s="192">
        <v>6.4999997615814209E-2</v>
      </c>
      <c r="R494" s="192">
        <v>3.0999999046325684</v>
      </c>
      <c r="S494" s="192">
        <f>VLOOKUP($H494,'RBSA Weights'!$A$2:$C$1406,3,FALSE)</f>
        <v>1464.694</v>
      </c>
    </row>
    <row r="495" spans="1:19">
      <c r="A495" s="192" t="s">
        <v>928</v>
      </c>
      <c r="B495" s="192">
        <v>0.9</v>
      </c>
      <c r="C495" s="192">
        <v>0</v>
      </c>
      <c r="D495" s="192" t="s">
        <v>65</v>
      </c>
      <c r="E495" s="192">
        <v>1</v>
      </c>
      <c r="F495" s="192">
        <v>0</v>
      </c>
      <c r="G495" s="192">
        <v>159652</v>
      </c>
      <c r="H495" s="192">
        <v>11283</v>
      </c>
      <c r="I495" s="192">
        <v>1</v>
      </c>
      <c r="J495" s="192">
        <v>280</v>
      </c>
      <c r="K495" s="192" t="s">
        <v>918</v>
      </c>
      <c r="L495" s="192" t="s">
        <v>65</v>
      </c>
      <c r="M495" s="192" t="s">
        <v>919</v>
      </c>
      <c r="N495" s="192" t="s">
        <v>65</v>
      </c>
      <c r="O495" s="192" t="s">
        <v>65</v>
      </c>
      <c r="P495" s="192" t="s">
        <v>65</v>
      </c>
      <c r="Q495" s="192">
        <v>6.4999997615814209E-2</v>
      </c>
      <c r="R495" s="192">
        <v>3.0999999046325684</v>
      </c>
      <c r="S495" s="192">
        <f>VLOOKUP($H495,'RBSA Weights'!$A$2:$C$1406,3,FALSE)</f>
        <v>6932.7380000000003</v>
      </c>
    </row>
    <row r="496" spans="1:19">
      <c r="A496" s="192" t="s">
        <v>928</v>
      </c>
      <c r="B496" s="192">
        <v>0.9</v>
      </c>
      <c r="C496" s="192">
        <v>0</v>
      </c>
      <c r="D496" s="192" t="s">
        <v>65</v>
      </c>
      <c r="E496" s="192">
        <v>1</v>
      </c>
      <c r="F496" s="192">
        <v>0</v>
      </c>
      <c r="G496" s="192">
        <v>183217</v>
      </c>
      <c r="H496" s="192">
        <v>10430</v>
      </c>
      <c r="I496" s="192">
        <v>1</v>
      </c>
      <c r="J496" s="192">
        <v>1544</v>
      </c>
      <c r="K496" s="192" t="s">
        <v>918</v>
      </c>
      <c r="L496" s="192" t="s">
        <v>65</v>
      </c>
      <c r="M496" s="192" t="s">
        <v>923</v>
      </c>
      <c r="N496" s="192" t="s">
        <v>65</v>
      </c>
      <c r="O496" s="192" t="s">
        <v>65</v>
      </c>
      <c r="P496" s="192" t="s">
        <v>65</v>
      </c>
      <c r="Q496" s="192">
        <v>6.4999997615814209E-2</v>
      </c>
      <c r="R496" s="192">
        <v>3.0999999046325684</v>
      </c>
      <c r="S496" s="192">
        <f>VLOOKUP($H496,'RBSA Weights'!$A$2:$C$1406,3,FALSE)</f>
        <v>1464.694</v>
      </c>
    </row>
    <row r="497" spans="1:19">
      <c r="A497" s="192" t="s">
        <v>928</v>
      </c>
      <c r="B497" s="192">
        <v>0.9</v>
      </c>
      <c r="C497" s="192">
        <v>0</v>
      </c>
      <c r="D497" s="192" t="s">
        <v>65</v>
      </c>
      <c r="E497" s="192">
        <v>1</v>
      </c>
      <c r="F497" s="192">
        <v>0</v>
      </c>
      <c r="G497" s="192">
        <v>163245</v>
      </c>
      <c r="H497" s="192">
        <v>21438</v>
      </c>
      <c r="I497" s="192">
        <v>1</v>
      </c>
      <c r="J497" s="192">
        <v>1152</v>
      </c>
      <c r="K497" s="192" t="s">
        <v>925</v>
      </c>
      <c r="L497" s="192" t="s">
        <v>922</v>
      </c>
      <c r="M497" s="192" t="s">
        <v>919</v>
      </c>
      <c r="N497" s="192" t="s">
        <v>65</v>
      </c>
      <c r="O497" s="192" t="s">
        <v>65</v>
      </c>
      <c r="P497" s="192" t="s">
        <v>65</v>
      </c>
      <c r="Q497" s="192">
        <v>6.4999997615814209E-2</v>
      </c>
      <c r="R497" s="192">
        <v>3.0999999046325684</v>
      </c>
      <c r="S497" s="192">
        <f>VLOOKUP($H497,'RBSA Weights'!$A$2:$C$1406,3,FALSE)</f>
        <v>1612.692</v>
      </c>
    </row>
    <row r="498" spans="1:19">
      <c r="A498" s="192" t="s">
        <v>928</v>
      </c>
      <c r="B498" s="192">
        <v>0.9</v>
      </c>
      <c r="C498" s="192">
        <v>0</v>
      </c>
      <c r="D498" s="192" t="s">
        <v>65</v>
      </c>
      <c r="E498" s="192">
        <v>1</v>
      </c>
      <c r="F498" s="192">
        <v>0</v>
      </c>
      <c r="G498" s="192">
        <v>215814</v>
      </c>
      <c r="H498" s="192">
        <v>24807</v>
      </c>
      <c r="I498" s="192">
        <v>1</v>
      </c>
      <c r="J498" s="192">
        <v>1148</v>
      </c>
      <c r="K498" s="192" t="s">
        <v>918</v>
      </c>
      <c r="L498" s="192" t="s">
        <v>65</v>
      </c>
      <c r="M498" s="192" t="s">
        <v>923</v>
      </c>
      <c r="N498" s="192" t="s">
        <v>65</v>
      </c>
      <c r="O498" s="192" t="s">
        <v>65</v>
      </c>
      <c r="P498" s="192" t="s">
        <v>65</v>
      </c>
      <c r="Q498" s="192">
        <v>6.4999997615814209E-2</v>
      </c>
      <c r="R498" s="192">
        <v>3.0999999046325684</v>
      </c>
      <c r="S498" s="192">
        <f>VLOOKUP($H498,'RBSA Weights'!$A$2:$C$1406,3,FALSE)</f>
        <v>2079.9929999999999</v>
      </c>
    </row>
    <row r="499" spans="1:19">
      <c r="A499" s="192" t="s">
        <v>928</v>
      </c>
      <c r="B499" s="192">
        <v>0.9</v>
      </c>
      <c r="C499" s="192">
        <v>0</v>
      </c>
      <c r="D499" s="192" t="s">
        <v>65</v>
      </c>
      <c r="E499" s="192">
        <v>1</v>
      </c>
      <c r="F499" s="192">
        <v>0</v>
      </c>
      <c r="G499" s="192">
        <v>48886</v>
      </c>
      <c r="H499" s="192">
        <v>22612</v>
      </c>
      <c r="I499" s="192">
        <v>1</v>
      </c>
      <c r="J499" s="192">
        <v>1857</v>
      </c>
      <c r="K499" s="192" t="s">
        <v>918</v>
      </c>
      <c r="L499" s="192" t="s">
        <v>737</v>
      </c>
      <c r="M499" s="192" t="s">
        <v>923</v>
      </c>
      <c r="N499" s="192" t="s">
        <v>65</v>
      </c>
      <c r="O499" s="192" t="s">
        <v>65</v>
      </c>
      <c r="P499" s="192" t="s">
        <v>926</v>
      </c>
      <c r="Q499" s="192">
        <v>6.4999997615814209E-2</v>
      </c>
      <c r="R499" s="192">
        <v>3.0999999046325684</v>
      </c>
      <c r="S499" s="192">
        <f>VLOOKUP($H499,'RBSA Weights'!$A$2:$C$1406,3,FALSE)</f>
        <v>3785.7640000000001</v>
      </c>
    </row>
    <row r="500" spans="1:19">
      <c r="A500" s="192" t="s">
        <v>928</v>
      </c>
      <c r="B500" s="192">
        <v>0.9</v>
      </c>
      <c r="C500" s="192">
        <v>0</v>
      </c>
      <c r="D500" s="192" t="s">
        <v>65</v>
      </c>
      <c r="E500" s="192">
        <v>1</v>
      </c>
      <c r="F500" s="192">
        <v>0</v>
      </c>
      <c r="G500" s="192">
        <v>680338</v>
      </c>
      <c r="H500" s="192">
        <v>24495</v>
      </c>
      <c r="I500" s="192">
        <v>1</v>
      </c>
      <c r="J500" s="192">
        <v>2395</v>
      </c>
      <c r="K500" s="192" t="s">
        <v>925</v>
      </c>
      <c r="L500" s="192" t="s">
        <v>922</v>
      </c>
      <c r="M500" s="192" t="s">
        <v>919</v>
      </c>
      <c r="N500" s="192" t="s">
        <v>65</v>
      </c>
      <c r="O500" s="192" t="s">
        <v>65</v>
      </c>
      <c r="P500" s="192" t="s">
        <v>65</v>
      </c>
      <c r="Q500" s="192">
        <v>6.4999997615814209E-2</v>
      </c>
      <c r="R500" s="192">
        <v>3.0999999046325684</v>
      </c>
      <c r="S500" s="192">
        <f>VLOOKUP($H500,'RBSA Weights'!$A$2:$C$1406,3,FALSE)</f>
        <v>4360.1880000000001</v>
      </c>
    </row>
    <row r="501" spans="1:19">
      <c r="A501" s="192" t="s">
        <v>928</v>
      </c>
      <c r="B501" s="192">
        <v>0.9</v>
      </c>
      <c r="C501" s="192">
        <v>0</v>
      </c>
      <c r="D501" s="192" t="s">
        <v>65</v>
      </c>
      <c r="E501" s="192">
        <v>1</v>
      </c>
      <c r="F501" s="192">
        <v>0</v>
      </c>
      <c r="G501" s="192">
        <v>232931</v>
      </c>
      <c r="H501" s="192">
        <v>13365</v>
      </c>
      <c r="I501" s="192">
        <v>1</v>
      </c>
      <c r="J501" s="192">
        <v>1700</v>
      </c>
      <c r="K501" s="192" t="s">
        <v>925</v>
      </c>
      <c r="L501" s="192" t="s">
        <v>737</v>
      </c>
      <c r="M501" s="192" t="s">
        <v>923</v>
      </c>
      <c r="N501" s="192" t="s">
        <v>65</v>
      </c>
      <c r="O501" s="192" t="s">
        <v>65</v>
      </c>
      <c r="P501" s="192" t="s">
        <v>65</v>
      </c>
      <c r="Q501" s="192">
        <v>6.4999997615814209E-2</v>
      </c>
      <c r="R501" s="192">
        <v>3.0999999046325684</v>
      </c>
      <c r="S501" s="192">
        <f>VLOOKUP($H501,'RBSA Weights'!$A$2:$C$1406,3,FALSE)</f>
        <v>4956.4930000000004</v>
      </c>
    </row>
    <row r="502" spans="1:19">
      <c r="A502" s="192" t="s">
        <v>928</v>
      </c>
      <c r="B502" s="192">
        <v>0.9</v>
      </c>
      <c r="C502" s="192">
        <v>0</v>
      </c>
      <c r="D502" s="192" t="s">
        <v>65</v>
      </c>
      <c r="E502" s="192">
        <v>1</v>
      </c>
      <c r="F502" s="192">
        <v>1</v>
      </c>
      <c r="G502" s="192">
        <v>671947</v>
      </c>
      <c r="H502" s="192">
        <v>10384</v>
      </c>
      <c r="I502" s="192">
        <v>1</v>
      </c>
      <c r="J502" s="192">
        <v>1258</v>
      </c>
      <c r="K502" s="192" t="s">
        <v>918</v>
      </c>
      <c r="L502" s="192" t="s">
        <v>65</v>
      </c>
      <c r="M502" s="192" t="s">
        <v>919</v>
      </c>
      <c r="N502" s="192" t="s">
        <v>65</v>
      </c>
      <c r="O502" s="192" t="s">
        <v>65</v>
      </c>
      <c r="P502" s="192" t="s">
        <v>65</v>
      </c>
      <c r="Q502" s="192">
        <v>6.4999997615814209E-2</v>
      </c>
      <c r="R502" s="192">
        <v>4.5</v>
      </c>
      <c r="S502" s="192">
        <f>VLOOKUP($H502,'RBSA Weights'!$A$2:$C$1406,3,FALSE)</f>
        <v>6932.7380000000003</v>
      </c>
    </row>
    <row r="503" spans="1:19">
      <c r="A503" s="192" t="s">
        <v>928</v>
      </c>
      <c r="B503" s="192">
        <v>0.9</v>
      </c>
      <c r="C503" s="192">
        <v>0</v>
      </c>
      <c r="D503" s="192" t="s">
        <v>65</v>
      </c>
      <c r="E503" s="192">
        <v>1</v>
      </c>
      <c r="F503" s="192">
        <v>0</v>
      </c>
      <c r="G503" s="192">
        <v>58936</v>
      </c>
      <c r="H503" s="192">
        <v>13898</v>
      </c>
      <c r="I503" s="192">
        <v>1</v>
      </c>
      <c r="J503" s="192">
        <v>364</v>
      </c>
      <c r="K503" s="192" t="s">
        <v>918</v>
      </c>
      <c r="L503" s="192" t="s">
        <v>922</v>
      </c>
      <c r="M503" s="192" t="s">
        <v>919</v>
      </c>
      <c r="N503" s="192" t="s">
        <v>65</v>
      </c>
      <c r="O503" s="192" t="s">
        <v>65</v>
      </c>
      <c r="P503" s="192" t="s">
        <v>926</v>
      </c>
      <c r="Q503" s="192">
        <v>6.4999997615814209E-2</v>
      </c>
      <c r="R503" s="192">
        <v>3.0999999046325684</v>
      </c>
      <c r="S503" s="192">
        <f>VLOOKUP($H503,'RBSA Weights'!$A$2:$C$1406,3,FALSE)</f>
        <v>1188.027</v>
      </c>
    </row>
    <row r="504" spans="1:19">
      <c r="A504" s="192" t="s">
        <v>928</v>
      </c>
      <c r="B504" s="192">
        <v>0.9</v>
      </c>
      <c r="C504" s="192">
        <v>0</v>
      </c>
      <c r="D504" s="192" t="s">
        <v>65</v>
      </c>
      <c r="E504" s="192">
        <v>1</v>
      </c>
      <c r="F504" s="192">
        <v>0</v>
      </c>
      <c r="G504" s="192">
        <v>144706</v>
      </c>
      <c r="H504" s="192">
        <v>23696</v>
      </c>
      <c r="I504" s="192">
        <v>1</v>
      </c>
      <c r="J504" s="192">
        <v>874</v>
      </c>
      <c r="K504" s="192" t="s">
        <v>925</v>
      </c>
      <c r="L504" s="192" t="s">
        <v>927</v>
      </c>
      <c r="M504" s="192" t="s">
        <v>919</v>
      </c>
      <c r="N504" s="192" t="s">
        <v>65</v>
      </c>
      <c r="O504" s="192" t="s">
        <v>65</v>
      </c>
      <c r="P504" s="192" t="s">
        <v>65</v>
      </c>
      <c r="Q504" s="192">
        <v>6.4999997615814209E-2</v>
      </c>
      <c r="R504" s="192">
        <v>3.0999999046325684</v>
      </c>
      <c r="S504" s="192">
        <f>VLOOKUP($H504,'RBSA Weights'!$A$2:$C$1406,3,FALSE)</f>
        <v>3785.7640000000001</v>
      </c>
    </row>
    <row r="505" spans="1:19">
      <c r="A505" s="192" t="s">
        <v>928</v>
      </c>
      <c r="B505" s="192">
        <v>0.9</v>
      </c>
      <c r="C505" s="192">
        <v>0</v>
      </c>
      <c r="D505" s="192" t="s">
        <v>65</v>
      </c>
      <c r="E505" s="192">
        <v>1</v>
      </c>
      <c r="F505" s="192">
        <v>0</v>
      </c>
      <c r="G505" s="192">
        <v>803222</v>
      </c>
      <c r="H505" s="192">
        <v>11825</v>
      </c>
      <c r="I505" s="192">
        <v>1</v>
      </c>
      <c r="J505" s="192">
        <v>1080</v>
      </c>
      <c r="K505" s="192" t="s">
        <v>925</v>
      </c>
      <c r="L505" s="192" t="s">
        <v>737</v>
      </c>
      <c r="M505" s="192" t="s">
        <v>923</v>
      </c>
      <c r="N505" s="192" t="s">
        <v>65</v>
      </c>
      <c r="O505" s="192" t="s">
        <v>65</v>
      </c>
      <c r="P505" s="192" t="s">
        <v>65</v>
      </c>
      <c r="Q505" s="192">
        <v>6.4999997615814209E-2</v>
      </c>
      <c r="R505" s="192">
        <v>3.0999999046325684</v>
      </c>
      <c r="S505" s="192">
        <f>VLOOKUP($H505,'RBSA Weights'!$A$2:$C$1406,3,FALSE)</f>
        <v>1464.694</v>
      </c>
    </row>
    <row r="506" spans="1:19">
      <c r="A506" s="192" t="s">
        <v>928</v>
      </c>
      <c r="B506" s="192">
        <v>0.9</v>
      </c>
      <c r="C506" s="192">
        <v>0</v>
      </c>
      <c r="D506" s="192" t="s">
        <v>65</v>
      </c>
      <c r="E506" s="192">
        <v>1</v>
      </c>
      <c r="F506" s="192">
        <v>0</v>
      </c>
      <c r="G506" s="192">
        <v>96069</v>
      </c>
      <c r="H506" s="192">
        <v>14051</v>
      </c>
      <c r="I506" s="192">
        <v>1</v>
      </c>
      <c r="J506" s="192">
        <v>1152</v>
      </c>
      <c r="K506" s="192" t="s">
        <v>918</v>
      </c>
      <c r="L506" s="192" t="s">
        <v>922</v>
      </c>
      <c r="M506" s="192" t="s">
        <v>923</v>
      </c>
      <c r="N506" s="192" t="s">
        <v>65</v>
      </c>
      <c r="O506" s="192" t="s">
        <v>65</v>
      </c>
      <c r="P506" s="192" t="s">
        <v>926</v>
      </c>
      <c r="Q506" s="192">
        <v>6.4999997615814209E-2</v>
      </c>
      <c r="R506" s="192">
        <v>3.0999999046325684</v>
      </c>
      <c r="S506" s="192">
        <f>VLOOKUP($H506,'RBSA Weights'!$A$2:$C$1406,3,FALSE)</f>
        <v>1188.027</v>
      </c>
    </row>
    <row r="507" spans="1:19">
      <c r="A507" s="192" t="s">
        <v>928</v>
      </c>
      <c r="B507" s="192">
        <v>0.9</v>
      </c>
      <c r="C507" s="192">
        <v>0</v>
      </c>
      <c r="D507" s="192" t="s">
        <v>65</v>
      </c>
      <c r="E507" s="192">
        <v>1</v>
      </c>
      <c r="F507" s="192">
        <v>0</v>
      </c>
      <c r="G507" s="192">
        <v>156119</v>
      </c>
      <c r="H507" s="192">
        <v>22180</v>
      </c>
      <c r="I507" s="192">
        <v>1</v>
      </c>
      <c r="J507" s="192">
        <v>1080</v>
      </c>
      <c r="K507" s="192" t="s">
        <v>918</v>
      </c>
      <c r="L507" s="192" t="s">
        <v>65</v>
      </c>
      <c r="M507" s="192" t="s">
        <v>923</v>
      </c>
      <c r="N507" s="192" t="s">
        <v>65</v>
      </c>
      <c r="O507" s="192" t="s">
        <v>65</v>
      </c>
      <c r="P507" s="192" t="s">
        <v>65</v>
      </c>
      <c r="Q507" s="192">
        <v>6.4999997615814209E-2</v>
      </c>
      <c r="R507" s="192">
        <v>3.0999999046325684</v>
      </c>
      <c r="S507" s="192">
        <f>VLOOKUP($H507,'RBSA Weights'!$A$2:$C$1406,3,FALSE)</f>
        <v>2079.9929999999999</v>
      </c>
    </row>
    <row r="508" spans="1:19">
      <c r="A508" s="192" t="s">
        <v>928</v>
      </c>
      <c r="B508" s="192">
        <v>0.9</v>
      </c>
      <c r="C508" s="192">
        <v>0</v>
      </c>
      <c r="D508" s="192" t="s">
        <v>65</v>
      </c>
      <c r="E508" s="192">
        <v>1</v>
      </c>
      <c r="F508" s="192">
        <v>0</v>
      </c>
      <c r="G508" s="192">
        <v>130394</v>
      </c>
      <c r="H508" s="192">
        <v>23545</v>
      </c>
      <c r="I508" s="192">
        <v>1</v>
      </c>
      <c r="J508" s="192">
        <v>1675</v>
      </c>
      <c r="K508" s="192" t="s">
        <v>925</v>
      </c>
      <c r="L508" s="192" t="s">
        <v>737</v>
      </c>
      <c r="M508" s="192" t="s">
        <v>919</v>
      </c>
      <c r="N508" s="192" t="s">
        <v>65</v>
      </c>
      <c r="O508" s="192" t="s">
        <v>65</v>
      </c>
      <c r="P508" s="192" t="s">
        <v>65</v>
      </c>
      <c r="Q508" s="192">
        <v>6.4999997615814209E-2</v>
      </c>
      <c r="R508" s="192">
        <v>3.0999999046325684</v>
      </c>
      <c r="S508" s="192">
        <f>VLOOKUP($H508,'RBSA Weights'!$A$2:$C$1406,3,FALSE)</f>
        <v>1612.692</v>
      </c>
    </row>
    <row r="509" spans="1:19">
      <c r="A509" s="192" t="s">
        <v>928</v>
      </c>
      <c r="B509" s="192">
        <v>0.9</v>
      </c>
      <c r="C509" s="192">
        <v>0</v>
      </c>
      <c r="D509" s="192" t="s">
        <v>65</v>
      </c>
      <c r="E509" s="192">
        <v>1</v>
      </c>
      <c r="F509" s="192">
        <v>0</v>
      </c>
      <c r="G509" s="192">
        <v>190695</v>
      </c>
      <c r="H509" s="192">
        <v>24242</v>
      </c>
      <c r="I509" s="192">
        <v>1</v>
      </c>
      <c r="J509" s="192">
        <v>756</v>
      </c>
      <c r="K509" s="192" t="s">
        <v>925</v>
      </c>
      <c r="L509" s="192" t="s">
        <v>930</v>
      </c>
      <c r="M509" s="192" t="s">
        <v>923</v>
      </c>
      <c r="N509" s="192" t="s">
        <v>65</v>
      </c>
      <c r="O509" s="192" t="s">
        <v>65</v>
      </c>
      <c r="P509" s="192" t="s">
        <v>65</v>
      </c>
      <c r="Q509" s="192">
        <v>6.4999997615814209E-2</v>
      </c>
      <c r="R509" s="192">
        <v>3.0999999046325684</v>
      </c>
      <c r="S509" s="192">
        <f>VLOOKUP($H509,'RBSA Weights'!$A$2:$C$1406,3,FALSE)</f>
        <v>2130.886</v>
      </c>
    </row>
    <row r="510" spans="1:19">
      <c r="A510" s="192" t="s">
        <v>928</v>
      </c>
      <c r="B510" s="192">
        <v>0.9</v>
      </c>
      <c r="C510" s="192">
        <v>0</v>
      </c>
      <c r="D510" s="192" t="s">
        <v>65</v>
      </c>
      <c r="E510" s="192">
        <v>1</v>
      </c>
      <c r="F510" s="192">
        <v>0</v>
      </c>
      <c r="G510" s="192">
        <v>117982</v>
      </c>
      <c r="H510" s="192">
        <v>10537</v>
      </c>
      <c r="I510" s="192">
        <v>1</v>
      </c>
      <c r="J510" s="192">
        <v>2005</v>
      </c>
      <c r="K510" s="192" t="s">
        <v>925</v>
      </c>
      <c r="L510" s="192" t="s">
        <v>927</v>
      </c>
      <c r="M510" s="192" t="s">
        <v>923</v>
      </c>
      <c r="N510" s="192" t="s">
        <v>65</v>
      </c>
      <c r="O510" s="192" t="s">
        <v>65</v>
      </c>
      <c r="P510" s="192" t="s">
        <v>926</v>
      </c>
      <c r="Q510" s="192">
        <v>6.4999997615814209E-2</v>
      </c>
      <c r="R510" s="192">
        <v>3.0999999046325684</v>
      </c>
      <c r="S510" s="192">
        <f>VLOOKUP($H510,'RBSA Weights'!$A$2:$C$1406,3,FALSE)</f>
        <v>4956.4930000000004</v>
      </c>
    </row>
    <row r="511" spans="1:19">
      <c r="A511" s="192" t="s">
        <v>928</v>
      </c>
      <c r="B511" s="192">
        <v>0.9</v>
      </c>
      <c r="C511" s="192">
        <v>0</v>
      </c>
      <c r="D511" s="192" t="s">
        <v>65</v>
      </c>
      <c r="E511" s="192">
        <v>1</v>
      </c>
      <c r="F511" s="192">
        <v>0</v>
      </c>
      <c r="G511" s="192">
        <v>233964</v>
      </c>
      <c r="H511" s="192">
        <v>10411</v>
      </c>
      <c r="I511" s="192">
        <v>1</v>
      </c>
      <c r="J511" s="192">
        <v>1076</v>
      </c>
      <c r="K511" s="192" t="s">
        <v>918</v>
      </c>
      <c r="L511" s="192" t="s">
        <v>65</v>
      </c>
      <c r="M511" s="192" t="s">
        <v>923</v>
      </c>
      <c r="N511" s="192" t="s">
        <v>65</v>
      </c>
      <c r="O511" s="192" t="s">
        <v>971</v>
      </c>
      <c r="P511" s="192" t="s">
        <v>65</v>
      </c>
      <c r="Q511" s="192">
        <v>6.4999997615814209E-2</v>
      </c>
      <c r="R511" s="192">
        <v>3.0999999046325684</v>
      </c>
      <c r="S511" s="192">
        <f>VLOOKUP($H511,'RBSA Weights'!$A$2:$C$1406,3,FALSE)</f>
        <v>1150.8789999999999</v>
      </c>
    </row>
    <row r="512" spans="1:19">
      <c r="A512" s="192" t="s">
        <v>928</v>
      </c>
      <c r="B512" s="192">
        <v>0.9</v>
      </c>
      <c r="C512" s="192">
        <v>0</v>
      </c>
      <c r="D512" s="192" t="s">
        <v>65</v>
      </c>
      <c r="E512" s="192">
        <v>0</v>
      </c>
      <c r="G512" s="192">
        <v>191619</v>
      </c>
      <c r="H512" s="192">
        <v>12062</v>
      </c>
      <c r="I512" s="192">
        <v>1</v>
      </c>
      <c r="J512" s="192">
        <v>1417</v>
      </c>
      <c r="K512" s="192" t="s">
        <v>918</v>
      </c>
      <c r="L512" s="192" t="s">
        <v>65</v>
      </c>
      <c r="M512" s="192" t="s">
        <v>923</v>
      </c>
      <c r="N512" s="192" t="s">
        <v>65</v>
      </c>
      <c r="O512" s="192" t="s">
        <v>65</v>
      </c>
      <c r="P512" s="192" t="s">
        <v>65</v>
      </c>
      <c r="Q512" s="192">
        <v>6.4999997615814209E-2</v>
      </c>
      <c r="R512" s="192">
        <v>5</v>
      </c>
      <c r="S512" s="192">
        <f>VLOOKUP($H512,'RBSA Weights'!$A$2:$C$1406,3,FALSE)</f>
        <v>6932.7380000000003</v>
      </c>
    </row>
    <row r="513" spans="1:19">
      <c r="A513" s="192" t="s">
        <v>928</v>
      </c>
      <c r="B513" s="192">
        <v>0.9</v>
      </c>
      <c r="C513" s="192">
        <v>0</v>
      </c>
      <c r="D513" s="192" t="s">
        <v>65</v>
      </c>
      <c r="E513" s="192">
        <v>1</v>
      </c>
      <c r="F513" s="192">
        <v>0</v>
      </c>
      <c r="G513" s="192">
        <v>123155</v>
      </c>
      <c r="H513" s="192">
        <v>12039</v>
      </c>
      <c r="I513" s="192">
        <v>1</v>
      </c>
      <c r="J513" s="192">
        <v>1820</v>
      </c>
      <c r="K513" s="192" t="s">
        <v>925</v>
      </c>
      <c r="L513" s="192" t="s">
        <v>737</v>
      </c>
      <c r="M513" s="192" t="s">
        <v>919</v>
      </c>
      <c r="N513" s="192" t="s">
        <v>65</v>
      </c>
      <c r="O513" s="192" t="s">
        <v>65</v>
      </c>
      <c r="P513" s="192" t="s">
        <v>924</v>
      </c>
      <c r="Q513" s="192">
        <v>6.4999997615814209E-2</v>
      </c>
      <c r="R513" s="192">
        <v>3.0999999046325684</v>
      </c>
      <c r="S513" s="192">
        <f>VLOOKUP($H513,'RBSA Weights'!$A$2:$C$1406,3,FALSE)</f>
        <v>4956.4930000000004</v>
      </c>
    </row>
    <row r="514" spans="1:19">
      <c r="A514" s="192" t="s">
        <v>928</v>
      </c>
      <c r="B514" s="192">
        <v>0.9</v>
      </c>
      <c r="C514" s="192">
        <v>0</v>
      </c>
      <c r="D514" s="192" t="s">
        <v>65</v>
      </c>
      <c r="E514" s="192">
        <v>1</v>
      </c>
      <c r="F514" s="192">
        <v>0</v>
      </c>
      <c r="G514" s="192">
        <v>212739</v>
      </c>
      <c r="H514" s="192">
        <v>11342</v>
      </c>
      <c r="I514" s="192">
        <v>1</v>
      </c>
      <c r="J514" s="192">
        <v>1580</v>
      </c>
      <c r="K514" s="192" t="s">
        <v>918</v>
      </c>
      <c r="L514" s="192" t="s">
        <v>65</v>
      </c>
      <c r="M514" s="192" t="s">
        <v>919</v>
      </c>
      <c r="N514" s="192" t="s">
        <v>65</v>
      </c>
      <c r="O514" s="192" t="s">
        <v>65</v>
      </c>
      <c r="P514" s="192" t="s">
        <v>65</v>
      </c>
      <c r="Q514" s="192">
        <v>6.4999997615814209E-2</v>
      </c>
      <c r="R514" s="192">
        <v>3.0999999046325684</v>
      </c>
      <c r="S514" s="192">
        <f>VLOOKUP($H514,'RBSA Weights'!$A$2:$C$1406,3,FALSE)</f>
        <v>4956.4930000000004</v>
      </c>
    </row>
    <row r="515" spans="1:19">
      <c r="A515" s="192" t="s">
        <v>928</v>
      </c>
      <c r="B515" s="192">
        <v>0.9</v>
      </c>
      <c r="C515" s="192">
        <v>0</v>
      </c>
      <c r="D515" s="192" t="s">
        <v>65</v>
      </c>
      <c r="E515" s="192">
        <v>0</v>
      </c>
      <c r="G515" s="192">
        <v>718804</v>
      </c>
      <c r="H515" s="192">
        <v>13494</v>
      </c>
      <c r="I515" s="192">
        <v>1</v>
      </c>
      <c r="J515" s="192">
        <v>1010</v>
      </c>
      <c r="K515" s="192" t="s">
        <v>925</v>
      </c>
      <c r="L515" s="192" t="s">
        <v>737</v>
      </c>
      <c r="M515" s="192" t="s">
        <v>923</v>
      </c>
      <c r="N515" s="192" t="s">
        <v>65</v>
      </c>
      <c r="O515" s="192" t="s">
        <v>65</v>
      </c>
      <c r="P515" s="192" t="s">
        <v>65</v>
      </c>
      <c r="Q515" s="192">
        <v>6.4999997615814209E-2</v>
      </c>
      <c r="R515" s="192">
        <v>5</v>
      </c>
      <c r="S515" s="192">
        <f>VLOOKUP($H515,'RBSA Weights'!$A$2:$C$1406,3,FALSE)</f>
        <v>2003.7159999999999</v>
      </c>
    </row>
    <row r="516" spans="1:19">
      <c r="A516" s="192" t="s">
        <v>928</v>
      </c>
      <c r="B516" s="192">
        <v>0.9</v>
      </c>
      <c r="C516" s="192">
        <v>0</v>
      </c>
      <c r="D516" s="192" t="s">
        <v>65</v>
      </c>
      <c r="E516" s="192">
        <v>1</v>
      </c>
      <c r="F516" s="192">
        <v>0</v>
      </c>
      <c r="G516" s="192">
        <v>203403</v>
      </c>
      <c r="H516" s="192">
        <v>20976</v>
      </c>
      <c r="I516" s="192">
        <v>1</v>
      </c>
      <c r="J516" s="192">
        <v>1050</v>
      </c>
      <c r="K516" s="192" t="s">
        <v>925</v>
      </c>
      <c r="L516" s="192" t="s">
        <v>927</v>
      </c>
      <c r="M516" s="192" t="s">
        <v>919</v>
      </c>
      <c r="N516" s="192" t="s">
        <v>65</v>
      </c>
      <c r="O516" s="192" t="s">
        <v>65</v>
      </c>
      <c r="P516" s="192" t="s">
        <v>65</v>
      </c>
      <c r="Q516" s="192">
        <v>6.4999997615814209E-2</v>
      </c>
      <c r="R516" s="192">
        <v>3.0999999046325684</v>
      </c>
      <c r="S516" s="192">
        <f>VLOOKUP($H516,'RBSA Weights'!$A$2:$C$1406,3,FALSE)</f>
        <v>1192.4649999999999</v>
      </c>
    </row>
    <row r="517" spans="1:19">
      <c r="A517" s="192" t="s">
        <v>928</v>
      </c>
      <c r="B517" s="192">
        <v>0.9</v>
      </c>
      <c r="C517" s="192">
        <v>0</v>
      </c>
      <c r="D517" s="192" t="s">
        <v>65</v>
      </c>
      <c r="E517" s="192">
        <v>0</v>
      </c>
      <c r="F517" s="192">
        <v>0</v>
      </c>
      <c r="G517" s="192">
        <v>44457</v>
      </c>
      <c r="H517" s="192">
        <v>22693</v>
      </c>
      <c r="I517" s="192">
        <v>1</v>
      </c>
      <c r="J517" s="192">
        <v>1456</v>
      </c>
      <c r="K517" s="192" t="s">
        <v>925</v>
      </c>
      <c r="L517" s="192" t="s">
        <v>737</v>
      </c>
      <c r="M517" s="192" t="s">
        <v>919</v>
      </c>
      <c r="N517" s="192" t="s">
        <v>65</v>
      </c>
      <c r="O517" s="192" t="s">
        <v>65</v>
      </c>
      <c r="P517" s="192" t="s">
        <v>926</v>
      </c>
      <c r="Q517" s="192">
        <v>6.4999997615814209E-2</v>
      </c>
      <c r="R517" s="192">
        <v>5</v>
      </c>
      <c r="S517" s="192">
        <f>VLOOKUP($H517,'RBSA Weights'!$A$2:$C$1406,3,FALSE)</f>
        <v>12271.31</v>
      </c>
    </row>
    <row r="518" spans="1:19">
      <c r="A518" s="192" t="s">
        <v>928</v>
      </c>
      <c r="B518" s="192">
        <v>0.9</v>
      </c>
      <c r="C518" s="192">
        <v>0</v>
      </c>
      <c r="D518" s="192" t="s">
        <v>65</v>
      </c>
      <c r="E518" s="192">
        <v>1</v>
      </c>
      <c r="F518" s="192">
        <v>0</v>
      </c>
      <c r="G518" s="192">
        <v>823336</v>
      </c>
      <c r="H518" s="192">
        <v>13310</v>
      </c>
      <c r="I518" s="192">
        <v>1</v>
      </c>
      <c r="J518" s="192">
        <v>756</v>
      </c>
      <c r="K518" s="192" t="s">
        <v>925</v>
      </c>
      <c r="L518" s="192" t="s">
        <v>922</v>
      </c>
      <c r="M518" s="192" t="s">
        <v>919</v>
      </c>
      <c r="N518" s="192" t="s">
        <v>65</v>
      </c>
      <c r="O518" s="192" t="s">
        <v>65</v>
      </c>
      <c r="P518" s="192" t="s">
        <v>65</v>
      </c>
      <c r="Q518" s="192">
        <v>6.4999997615814209E-2</v>
      </c>
      <c r="R518" s="192">
        <v>3.0999999046325684</v>
      </c>
      <c r="S518" s="192">
        <f>VLOOKUP($H518,'RBSA Weights'!$A$2:$C$1406,3,FALSE)</f>
        <v>2003.7159999999999</v>
      </c>
    </row>
    <row r="519" spans="1:19">
      <c r="A519" s="192" t="s">
        <v>928</v>
      </c>
      <c r="B519" s="192">
        <v>0.9</v>
      </c>
      <c r="C519" s="192">
        <v>0</v>
      </c>
      <c r="D519" s="192" t="s">
        <v>65</v>
      </c>
      <c r="E519" s="192">
        <v>0</v>
      </c>
      <c r="G519" s="192">
        <v>128698</v>
      </c>
      <c r="H519" s="192">
        <v>21112</v>
      </c>
      <c r="I519" s="192">
        <v>1</v>
      </c>
      <c r="J519" s="192">
        <v>1615</v>
      </c>
      <c r="K519" s="192" t="s">
        <v>925</v>
      </c>
      <c r="L519" s="192" t="s">
        <v>737</v>
      </c>
      <c r="M519" s="192" t="s">
        <v>919</v>
      </c>
      <c r="N519" s="192" t="s">
        <v>65</v>
      </c>
      <c r="O519" s="192" t="s">
        <v>65</v>
      </c>
      <c r="P519" s="192" t="s">
        <v>65</v>
      </c>
      <c r="Q519" s="192">
        <v>6.4999997615814209E-2</v>
      </c>
      <c r="R519" s="192">
        <v>5</v>
      </c>
      <c r="S519" s="192">
        <f>VLOOKUP($H519,'RBSA Weights'!$A$2:$C$1406,3,FALSE)</f>
        <v>1612.692</v>
      </c>
    </row>
    <row r="520" spans="1:19">
      <c r="A520" s="192" t="s">
        <v>928</v>
      </c>
      <c r="B520" s="192">
        <v>0.9</v>
      </c>
      <c r="C520" s="192">
        <v>0</v>
      </c>
      <c r="D520" s="192" t="s">
        <v>65</v>
      </c>
      <c r="E520" s="192">
        <v>1</v>
      </c>
      <c r="F520" s="192">
        <v>0</v>
      </c>
      <c r="G520" s="192">
        <v>192513</v>
      </c>
      <c r="H520" s="192">
        <v>13490</v>
      </c>
      <c r="I520" s="192">
        <v>1</v>
      </c>
      <c r="J520" s="192">
        <v>1560</v>
      </c>
      <c r="K520" s="192" t="s">
        <v>925</v>
      </c>
      <c r="L520" s="192" t="s">
        <v>737</v>
      </c>
      <c r="M520" s="192" t="s">
        <v>919</v>
      </c>
      <c r="N520" s="192" t="s">
        <v>65</v>
      </c>
      <c r="O520" s="192" t="s">
        <v>65</v>
      </c>
      <c r="P520" s="192" t="s">
        <v>65</v>
      </c>
      <c r="Q520" s="192">
        <v>6.4999997615814209E-2</v>
      </c>
      <c r="R520" s="192">
        <v>3.0999999046325684</v>
      </c>
      <c r="S520" s="192">
        <f>VLOOKUP($H520,'RBSA Weights'!$A$2:$C$1406,3,FALSE)</f>
        <v>1464.694</v>
      </c>
    </row>
    <row r="521" spans="1:19">
      <c r="A521" s="192" t="s">
        <v>928</v>
      </c>
      <c r="B521" s="192">
        <v>0.9</v>
      </c>
      <c r="C521" s="192">
        <v>0</v>
      </c>
      <c r="D521" s="192" t="s">
        <v>65</v>
      </c>
      <c r="E521" s="192">
        <v>0</v>
      </c>
      <c r="G521" s="192">
        <v>176583</v>
      </c>
      <c r="H521" s="192">
        <v>20117</v>
      </c>
      <c r="I521" s="192">
        <v>1</v>
      </c>
      <c r="J521" s="192">
        <v>390</v>
      </c>
      <c r="K521" s="192" t="s">
        <v>65</v>
      </c>
      <c r="L521" s="192" t="s">
        <v>65</v>
      </c>
      <c r="M521" s="192" t="s">
        <v>919</v>
      </c>
      <c r="N521" s="192" t="s">
        <v>65</v>
      </c>
      <c r="O521" s="192" t="s">
        <v>715</v>
      </c>
      <c r="P521" s="192" t="s">
        <v>65</v>
      </c>
      <c r="Q521" s="192">
        <v>6.4999997615814209E-2</v>
      </c>
      <c r="R521" s="192">
        <v>5</v>
      </c>
      <c r="S521" s="192">
        <f>VLOOKUP($H521,'RBSA Weights'!$A$2:$C$1406,3,FALSE)</f>
        <v>2130.886</v>
      </c>
    </row>
    <row r="522" spans="1:19">
      <c r="A522" s="192" t="s">
        <v>928</v>
      </c>
      <c r="B522" s="192">
        <v>0.9</v>
      </c>
      <c r="C522" s="192">
        <v>0</v>
      </c>
      <c r="D522" s="192" t="s">
        <v>65</v>
      </c>
      <c r="E522" s="192">
        <v>1</v>
      </c>
      <c r="F522" s="192">
        <v>0</v>
      </c>
      <c r="G522" s="192">
        <v>149470</v>
      </c>
      <c r="H522" s="192">
        <v>21741</v>
      </c>
      <c r="I522" s="192">
        <v>1</v>
      </c>
      <c r="J522" s="192">
        <v>1934</v>
      </c>
      <c r="K522" s="192" t="s">
        <v>925</v>
      </c>
      <c r="L522" s="192" t="s">
        <v>737</v>
      </c>
      <c r="M522" s="192" t="s">
        <v>923</v>
      </c>
      <c r="N522" s="192" t="s">
        <v>65</v>
      </c>
      <c r="O522" s="192" t="s">
        <v>65</v>
      </c>
      <c r="P522" s="192" t="s">
        <v>65</v>
      </c>
      <c r="Q522" s="192">
        <v>6.4999997615814209E-2</v>
      </c>
      <c r="R522" s="192">
        <v>3.0999999046325684</v>
      </c>
      <c r="S522" s="192">
        <f>VLOOKUP($H522,'RBSA Weights'!$A$2:$C$1406,3,FALSE)</f>
        <v>4360.1880000000001</v>
      </c>
    </row>
    <row r="523" spans="1:19">
      <c r="A523" s="192" t="s">
        <v>928</v>
      </c>
      <c r="B523" s="192">
        <v>0.9</v>
      </c>
      <c r="C523" s="192">
        <v>0</v>
      </c>
      <c r="D523" s="192" t="s">
        <v>65</v>
      </c>
      <c r="E523" s="192">
        <v>1</v>
      </c>
      <c r="F523" s="192">
        <v>0</v>
      </c>
      <c r="G523" s="192">
        <v>92627</v>
      </c>
      <c r="H523" s="192">
        <v>12569</v>
      </c>
      <c r="I523" s="192">
        <v>1</v>
      </c>
      <c r="J523" s="192">
        <v>827</v>
      </c>
      <c r="K523" s="192" t="s">
        <v>65</v>
      </c>
      <c r="L523" s="192" t="s">
        <v>65</v>
      </c>
      <c r="M523" s="192" t="s">
        <v>65</v>
      </c>
      <c r="N523" s="192" t="s">
        <v>65</v>
      </c>
      <c r="O523" s="192" t="s">
        <v>65</v>
      </c>
      <c r="P523" s="192" t="s">
        <v>65</v>
      </c>
      <c r="Q523" s="192">
        <v>6.4999997615814209E-2</v>
      </c>
      <c r="R523" s="192">
        <v>3.0999999046325684</v>
      </c>
      <c r="S523" s="192">
        <f>VLOOKUP($H523,'RBSA Weights'!$A$2:$C$1406,3,FALSE)</f>
        <v>2003.7159999999999</v>
      </c>
    </row>
    <row r="524" spans="1:19">
      <c r="A524" s="192" t="s">
        <v>928</v>
      </c>
      <c r="B524" s="192">
        <v>0.9</v>
      </c>
      <c r="C524" s="192">
        <v>0</v>
      </c>
      <c r="D524" s="192" t="s">
        <v>65</v>
      </c>
      <c r="E524" s="192">
        <v>1</v>
      </c>
      <c r="F524" s="192">
        <v>0</v>
      </c>
      <c r="G524" s="192">
        <v>98995</v>
      </c>
      <c r="H524" s="192">
        <v>20324</v>
      </c>
      <c r="I524" s="192">
        <v>1</v>
      </c>
      <c r="J524" s="192">
        <v>1620</v>
      </c>
      <c r="K524" s="192" t="s">
        <v>918</v>
      </c>
      <c r="L524" s="192" t="s">
        <v>922</v>
      </c>
      <c r="M524" s="192" t="s">
        <v>919</v>
      </c>
      <c r="N524" s="192" t="s">
        <v>65</v>
      </c>
      <c r="O524" s="192" t="s">
        <v>65</v>
      </c>
      <c r="P524" s="192" t="s">
        <v>926</v>
      </c>
      <c r="Q524" s="192">
        <v>6.4999997615814209E-2</v>
      </c>
      <c r="R524" s="192">
        <v>3.0999999046325684</v>
      </c>
      <c r="S524" s="192">
        <f>VLOOKUP($H524,'RBSA Weights'!$A$2:$C$1406,3,FALSE)</f>
        <v>1925.059</v>
      </c>
    </row>
    <row r="525" spans="1:19">
      <c r="A525" s="192" t="s">
        <v>928</v>
      </c>
      <c r="B525" s="192">
        <v>0.9</v>
      </c>
      <c r="C525" s="192">
        <v>0</v>
      </c>
      <c r="D525" s="192" t="s">
        <v>65</v>
      </c>
      <c r="E525" s="192">
        <v>1</v>
      </c>
      <c r="F525" s="192">
        <v>0</v>
      </c>
      <c r="G525" s="192">
        <v>196031</v>
      </c>
      <c r="H525" s="192">
        <v>11332</v>
      </c>
      <c r="I525" s="192">
        <v>1</v>
      </c>
      <c r="J525" s="192">
        <v>1326</v>
      </c>
      <c r="K525" s="192" t="s">
        <v>925</v>
      </c>
      <c r="L525" s="192" t="s">
        <v>737</v>
      </c>
      <c r="M525" s="192" t="s">
        <v>919</v>
      </c>
      <c r="N525" s="192" t="s">
        <v>65</v>
      </c>
      <c r="O525" s="192" t="s">
        <v>65</v>
      </c>
      <c r="P525" s="192" t="s">
        <v>65</v>
      </c>
      <c r="Q525" s="192">
        <v>6.4999997615814209E-2</v>
      </c>
      <c r="R525" s="192">
        <v>3.0999999046325684</v>
      </c>
      <c r="S525" s="192">
        <f>VLOOKUP($H525,'RBSA Weights'!$A$2:$C$1406,3,FALSE)</f>
        <v>4956.4930000000004</v>
      </c>
    </row>
    <row r="526" spans="1:19">
      <c r="A526" s="192" t="s">
        <v>928</v>
      </c>
      <c r="B526" s="192">
        <v>0.9</v>
      </c>
      <c r="C526" s="192">
        <v>0</v>
      </c>
      <c r="D526" s="192" t="s">
        <v>65</v>
      </c>
      <c r="E526" s="192">
        <v>1</v>
      </c>
      <c r="F526" s="192">
        <v>0</v>
      </c>
      <c r="G526" s="192">
        <v>52764</v>
      </c>
      <c r="H526" s="192">
        <v>23482</v>
      </c>
      <c r="I526" s="192">
        <v>1</v>
      </c>
      <c r="J526" s="192">
        <v>1105</v>
      </c>
      <c r="K526" s="192" t="s">
        <v>925</v>
      </c>
      <c r="L526" s="192" t="s">
        <v>737</v>
      </c>
      <c r="M526" s="192" t="s">
        <v>919</v>
      </c>
      <c r="N526" s="192" t="s">
        <v>65</v>
      </c>
      <c r="O526" s="192" t="s">
        <v>65</v>
      </c>
      <c r="P526" s="192" t="s">
        <v>926</v>
      </c>
      <c r="Q526" s="192">
        <v>6.4999997615814209E-2</v>
      </c>
      <c r="R526" s="192">
        <v>3.0999999046325684</v>
      </c>
      <c r="S526" s="192">
        <f>VLOOKUP($H526,'RBSA Weights'!$A$2:$C$1406,3,FALSE)</f>
        <v>2079.9929999999999</v>
      </c>
    </row>
    <row r="527" spans="1:19">
      <c r="A527" s="192" t="s">
        <v>928</v>
      </c>
      <c r="B527" s="192">
        <v>0.9</v>
      </c>
      <c r="C527" s="192">
        <v>0</v>
      </c>
      <c r="D527" s="192" t="s">
        <v>65</v>
      </c>
      <c r="E527" s="192">
        <v>1</v>
      </c>
      <c r="F527" s="192">
        <v>0</v>
      </c>
      <c r="G527" s="192">
        <v>802095</v>
      </c>
      <c r="H527" s="192">
        <v>24119</v>
      </c>
      <c r="I527" s="192">
        <v>1</v>
      </c>
      <c r="J527" s="192">
        <v>1293</v>
      </c>
      <c r="K527" s="192" t="s">
        <v>925</v>
      </c>
      <c r="L527" s="192" t="s">
        <v>737</v>
      </c>
      <c r="M527" s="192" t="s">
        <v>923</v>
      </c>
      <c r="N527" s="192" t="s">
        <v>65</v>
      </c>
      <c r="O527" s="192" t="s">
        <v>65</v>
      </c>
      <c r="P527" s="192" t="s">
        <v>65</v>
      </c>
      <c r="Q527" s="192">
        <v>6.4999997615814209E-2</v>
      </c>
      <c r="R527" s="192">
        <v>3.0999999046325684</v>
      </c>
      <c r="S527" s="192">
        <f>VLOOKUP($H527,'RBSA Weights'!$A$2:$C$1406,3,FALSE)</f>
        <v>2079.9929999999999</v>
      </c>
    </row>
    <row r="528" spans="1:19">
      <c r="A528" s="192" t="s">
        <v>928</v>
      </c>
      <c r="B528" s="192">
        <v>0.9</v>
      </c>
      <c r="C528" s="192">
        <v>0</v>
      </c>
      <c r="D528" s="192" t="s">
        <v>65</v>
      </c>
      <c r="E528" s="192">
        <v>1</v>
      </c>
      <c r="F528" s="192">
        <v>0</v>
      </c>
      <c r="G528" s="192">
        <v>63489</v>
      </c>
      <c r="H528" s="192">
        <v>10192</v>
      </c>
      <c r="I528" s="192">
        <v>1</v>
      </c>
      <c r="J528" s="192">
        <v>750</v>
      </c>
      <c r="K528" s="192" t="s">
        <v>925</v>
      </c>
      <c r="L528" s="192" t="s">
        <v>737</v>
      </c>
      <c r="M528" s="192" t="s">
        <v>919</v>
      </c>
      <c r="N528" s="192" t="s">
        <v>65</v>
      </c>
      <c r="O528" s="192" t="s">
        <v>65</v>
      </c>
      <c r="P528" s="192" t="s">
        <v>926</v>
      </c>
      <c r="Q528" s="192">
        <v>6.4999997615814209E-2</v>
      </c>
      <c r="R528" s="192">
        <v>3.0999999046325684</v>
      </c>
      <c r="S528" s="192">
        <f>VLOOKUP($H528,'RBSA Weights'!$A$2:$C$1406,3,FALSE)</f>
        <v>1524.7619999999999</v>
      </c>
    </row>
    <row r="529" spans="1:19">
      <c r="A529" s="192" t="s">
        <v>928</v>
      </c>
      <c r="B529" s="192">
        <v>0.9</v>
      </c>
      <c r="C529" s="192">
        <v>0</v>
      </c>
      <c r="D529" s="192" t="s">
        <v>65</v>
      </c>
      <c r="E529" s="192">
        <v>1</v>
      </c>
      <c r="F529" s="192">
        <v>0</v>
      </c>
      <c r="G529" s="192">
        <v>132029</v>
      </c>
      <c r="H529" s="192">
        <v>11717</v>
      </c>
      <c r="I529" s="192">
        <v>1</v>
      </c>
      <c r="J529" s="192">
        <v>1450</v>
      </c>
      <c r="K529" s="192" t="s">
        <v>925</v>
      </c>
      <c r="L529" s="192" t="s">
        <v>922</v>
      </c>
      <c r="M529" s="192" t="s">
        <v>919</v>
      </c>
      <c r="N529" s="192" t="s">
        <v>65</v>
      </c>
      <c r="O529" s="192" t="s">
        <v>65</v>
      </c>
      <c r="P529" s="192" t="s">
        <v>65</v>
      </c>
      <c r="Q529" s="192">
        <v>6.4999997615814209E-2</v>
      </c>
      <c r="R529" s="192">
        <v>3.0999999046325684</v>
      </c>
      <c r="S529" s="192">
        <f>VLOOKUP($H529,'RBSA Weights'!$A$2:$C$1406,3,FALSE)</f>
        <v>6932.7380000000003</v>
      </c>
    </row>
    <row r="530" spans="1:19">
      <c r="A530" s="192" t="s">
        <v>928</v>
      </c>
      <c r="B530" s="192">
        <v>0.9</v>
      </c>
      <c r="C530" s="192">
        <v>0</v>
      </c>
      <c r="D530" s="192" t="s">
        <v>65</v>
      </c>
      <c r="E530" s="192">
        <v>1</v>
      </c>
      <c r="F530" s="192">
        <v>1</v>
      </c>
      <c r="G530" s="192">
        <v>114097</v>
      </c>
      <c r="H530" s="192">
        <v>20895</v>
      </c>
      <c r="I530" s="192">
        <v>1</v>
      </c>
      <c r="J530" s="192">
        <v>1192</v>
      </c>
      <c r="K530" s="192" t="s">
        <v>925</v>
      </c>
      <c r="L530" s="192" t="s">
        <v>922</v>
      </c>
      <c r="M530" s="192" t="s">
        <v>919</v>
      </c>
      <c r="N530" s="192" t="s">
        <v>65</v>
      </c>
      <c r="O530" s="192" t="s">
        <v>65</v>
      </c>
      <c r="P530" s="192" t="s">
        <v>926</v>
      </c>
      <c r="Q530" s="192">
        <v>6.4999997615814209E-2</v>
      </c>
      <c r="R530" s="192">
        <v>4.5</v>
      </c>
      <c r="S530" s="192">
        <f>VLOOKUP($H530,'RBSA Weights'!$A$2:$C$1406,3,FALSE)</f>
        <v>1612.692</v>
      </c>
    </row>
    <row r="531" spans="1:19">
      <c r="A531" s="192" t="s">
        <v>928</v>
      </c>
      <c r="B531" s="192">
        <v>0.9</v>
      </c>
      <c r="C531" s="192">
        <v>0</v>
      </c>
      <c r="D531" s="192" t="s">
        <v>65</v>
      </c>
      <c r="E531" s="192">
        <v>1</v>
      </c>
      <c r="F531" s="192">
        <v>0</v>
      </c>
      <c r="G531" s="192">
        <v>229812</v>
      </c>
      <c r="H531" s="192">
        <v>24770</v>
      </c>
      <c r="I531" s="192">
        <v>1</v>
      </c>
      <c r="J531" s="192">
        <v>1532</v>
      </c>
      <c r="K531" s="192" t="s">
        <v>925</v>
      </c>
      <c r="L531" s="192" t="s">
        <v>927</v>
      </c>
      <c r="M531" s="192" t="s">
        <v>923</v>
      </c>
      <c r="N531" s="192" t="s">
        <v>65</v>
      </c>
      <c r="O531" s="192" t="s">
        <v>972</v>
      </c>
      <c r="P531" s="192" t="s">
        <v>65</v>
      </c>
      <c r="Q531" s="192">
        <v>6.4999997615814209E-2</v>
      </c>
      <c r="R531" s="192">
        <v>3.0999999046325684</v>
      </c>
      <c r="S531" s="192">
        <f>VLOOKUP($H531,'RBSA Weights'!$A$2:$C$1406,3,FALSE)</f>
        <v>3785.7640000000001</v>
      </c>
    </row>
    <row r="532" spans="1:19">
      <c r="A532" s="192" t="s">
        <v>928</v>
      </c>
      <c r="B532" s="192">
        <v>0.9</v>
      </c>
      <c r="C532" s="192">
        <v>0</v>
      </c>
      <c r="D532" s="192" t="s">
        <v>65</v>
      </c>
      <c r="E532" s="192">
        <v>1</v>
      </c>
      <c r="F532" s="192">
        <v>0</v>
      </c>
      <c r="G532" s="192">
        <v>59720</v>
      </c>
      <c r="H532" s="192">
        <v>10567</v>
      </c>
      <c r="I532" s="192">
        <v>1</v>
      </c>
      <c r="J532" s="192">
        <v>925</v>
      </c>
      <c r="K532" s="192" t="s">
        <v>925</v>
      </c>
      <c r="L532" s="192" t="s">
        <v>737</v>
      </c>
      <c r="M532" s="192" t="s">
        <v>923</v>
      </c>
      <c r="N532" s="192" t="s">
        <v>65</v>
      </c>
      <c r="O532" s="192" t="s">
        <v>65</v>
      </c>
      <c r="P532" s="192" t="s">
        <v>926</v>
      </c>
      <c r="Q532" s="192">
        <v>6.4999997615814209E-2</v>
      </c>
      <c r="R532" s="192">
        <v>3.0999999046325684</v>
      </c>
      <c r="S532" s="192">
        <f>VLOOKUP($H532,'RBSA Weights'!$A$2:$C$1406,3,FALSE)</f>
        <v>2003.7159999999999</v>
      </c>
    </row>
    <row r="533" spans="1:19">
      <c r="A533" s="192" t="s">
        <v>928</v>
      </c>
      <c r="B533" s="192">
        <v>0.9</v>
      </c>
      <c r="C533" s="192">
        <v>0</v>
      </c>
      <c r="D533" s="192" t="s">
        <v>65</v>
      </c>
      <c r="E533" s="192">
        <v>1</v>
      </c>
      <c r="F533" s="192">
        <v>0</v>
      </c>
      <c r="G533" s="192">
        <v>125563</v>
      </c>
      <c r="H533" s="192">
        <v>20779</v>
      </c>
      <c r="I533" s="192">
        <v>1</v>
      </c>
      <c r="J533" s="192">
        <v>1366</v>
      </c>
      <c r="K533" s="192" t="s">
        <v>925</v>
      </c>
      <c r="L533" s="192" t="s">
        <v>927</v>
      </c>
      <c r="M533" s="192" t="s">
        <v>923</v>
      </c>
      <c r="N533" s="192" t="s">
        <v>65</v>
      </c>
      <c r="O533" s="192" t="s">
        <v>65</v>
      </c>
      <c r="P533" s="192" t="s">
        <v>926</v>
      </c>
      <c r="Q533" s="192">
        <v>6.4999997615814209E-2</v>
      </c>
      <c r="R533" s="192">
        <v>3.0999999046325684</v>
      </c>
      <c r="S533" s="192">
        <f>VLOOKUP($H533,'RBSA Weights'!$A$2:$C$1406,3,FALSE)</f>
        <v>2079.9929999999999</v>
      </c>
    </row>
    <row r="534" spans="1:19">
      <c r="A534" s="192" t="s">
        <v>928</v>
      </c>
      <c r="B534" s="192">
        <v>0.9</v>
      </c>
      <c r="C534" s="192">
        <v>0</v>
      </c>
      <c r="D534" s="192" t="s">
        <v>65</v>
      </c>
      <c r="E534" s="192">
        <v>1</v>
      </c>
      <c r="F534" s="192">
        <v>0</v>
      </c>
      <c r="G534" s="192">
        <v>75741</v>
      </c>
      <c r="H534" s="192">
        <v>10811</v>
      </c>
      <c r="I534" s="192">
        <v>1</v>
      </c>
      <c r="J534" s="192">
        <v>1308</v>
      </c>
      <c r="K534" s="192" t="s">
        <v>918</v>
      </c>
      <c r="L534" s="192" t="s">
        <v>737</v>
      </c>
      <c r="M534" s="192" t="s">
        <v>923</v>
      </c>
      <c r="N534" s="192" t="s">
        <v>65</v>
      </c>
      <c r="O534" s="192" t="s">
        <v>65</v>
      </c>
      <c r="P534" s="192" t="s">
        <v>924</v>
      </c>
      <c r="Q534" s="192">
        <v>6.4999997615814209E-2</v>
      </c>
      <c r="R534" s="192">
        <v>3.0999999046325684</v>
      </c>
      <c r="S534" s="192">
        <f>VLOOKUP($H534,'RBSA Weights'!$A$2:$C$1406,3,FALSE)</f>
        <v>2003.7159999999999</v>
      </c>
    </row>
    <row r="535" spans="1:19">
      <c r="A535" s="192" t="s">
        <v>928</v>
      </c>
      <c r="B535" s="192">
        <v>0.9</v>
      </c>
      <c r="C535" s="192">
        <v>0</v>
      </c>
      <c r="D535" s="192" t="s">
        <v>65</v>
      </c>
      <c r="E535" s="192">
        <v>1</v>
      </c>
      <c r="F535" s="192">
        <v>0</v>
      </c>
      <c r="G535" s="192">
        <v>163030</v>
      </c>
      <c r="H535" s="192">
        <v>22832</v>
      </c>
      <c r="I535" s="192">
        <v>1</v>
      </c>
      <c r="J535" s="192">
        <v>1000</v>
      </c>
      <c r="K535" s="192" t="s">
        <v>918</v>
      </c>
      <c r="L535" s="192" t="s">
        <v>737</v>
      </c>
      <c r="M535" s="192" t="s">
        <v>919</v>
      </c>
      <c r="N535" s="192" t="s">
        <v>65</v>
      </c>
      <c r="O535" s="192" t="s">
        <v>65</v>
      </c>
      <c r="P535" s="192" t="s">
        <v>65</v>
      </c>
      <c r="Q535" s="192">
        <v>6.4999997615814209E-2</v>
      </c>
      <c r="R535" s="192">
        <v>3.0999999046325684</v>
      </c>
      <c r="S535" s="192">
        <f>VLOOKUP($H535,'RBSA Weights'!$A$2:$C$1406,3,FALSE)</f>
        <v>1612.692</v>
      </c>
    </row>
    <row r="536" spans="1:19">
      <c r="A536" s="192" t="s">
        <v>928</v>
      </c>
      <c r="B536" s="192">
        <v>0.9</v>
      </c>
      <c r="C536" s="192">
        <v>0</v>
      </c>
      <c r="D536" s="192" t="s">
        <v>65</v>
      </c>
      <c r="E536" s="192">
        <v>1</v>
      </c>
      <c r="F536" s="192">
        <v>0</v>
      </c>
      <c r="G536" s="192">
        <v>143275</v>
      </c>
      <c r="H536" s="192">
        <v>12889</v>
      </c>
      <c r="I536" s="192">
        <v>1</v>
      </c>
      <c r="J536" s="192">
        <v>1300</v>
      </c>
      <c r="K536" s="192" t="s">
        <v>918</v>
      </c>
      <c r="L536" s="192" t="s">
        <v>65</v>
      </c>
      <c r="M536" s="192" t="s">
        <v>919</v>
      </c>
      <c r="N536" s="192" t="s">
        <v>65</v>
      </c>
      <c r="O536" s="192" t="s">
        <v>65</v>
      </c>
      <c r="P536" s="192" t="s">
        <v>65</v>
      </c>
      <c r="Q536" s="192">
        <v>6.4999997615814209E-2</v>
      </c>
      <c r="R536" s="192">
        <v>3.0999999046325684</v>
      </c>
      <c r="S536" s="192">
        <f>VLOOKUP($H536,'RBSA Weights'!$A$2:$C$1406,3,FALSE)</f>
        <v>4956.4930000000004</v>
      </c>
    </row>
    <row r="537" spans="1:19">
      <c r="A537" s="192" t="s">
        <v>928</v>
      </c>
      <c r="B537" s="192">
        <v>0.9</v>
      </c>
      <c r="C537" s="192">
        <v>0</v>
      </c>
      <c r="D537" s="192" t="s">
        <v>65</v>
      </c>
      <c r="E537" s="192">
        <v>1</v>
      </c>
      <c r="F537" s="192">
        <v>0</v>
      </c>
      <c r="G537" s="192">
        <v>72196</v>
      </c>
      <c r="H537" s="192">
        <v>20007</v>
      </c>
      <c r="I537" s="192">
        <v>1</v>
      </c>
      <c r="J537" s="192">
        <v>1344</v>
      </c>
      <c r="K537" s="192" t="s">
        <v>925</v>
      </c>
      <c r="L537" s="192" t="s">
        <v>927</v>
      </c>
      <c r="M537" s="192" t="s">
        <v>923</v>
      </c>
      <c r="N537" s="192" t="s">
        <v>65</v>
      </c>
      <c r="O537" s="192" t="s">
        <v>65</v>
      </c>
      <c r="P537" s="192" t="s">
        <v>926</v>
      </c>
      <c r="Q537" s="192">
        <v>6.4999997615814209E-2</v>
      </c>
      <c r="R537" s="192">
        <v>3.0999999046325684</v>
      </c>
      <c r="S537" s="192">
        <f>VLOOKUP($H537,'RBSA Weights'!$A$2:$C$1406,3,FALSE)</f>
        <v>2079.9929999999999</v>
      </c>
    </row>
    <row r="538" spans="1:19">
      <c r="A538" s="192" t="s">
        <v>928</v>
      </c>
      <c r="B538" s="192">
        <v>0.9</v>
      </c>
      <c r="C538" s="192">
        <v>0</v>
      </c>
      <c r="D538" s="192" t="s">
        <v>65</v>
      </c>
      <c r="E538" s="192">
        <v>1</v>
      </c>
      <c r="F538" s="192">
        <v>0</v>
      </c>
      <c r="G538" s="192">
        <v>191411</v>
      </c>
      <c r="H538" s="192">
        <v>10334</v>
      </c>
      <c r="I538" s="192">
        <v>1</v>
      </c>
      <c r="J538" s="192">
        <v>1878</v>
      </c>
      <c r="K538" s="192" t="s">
        <v>918</v>
      </c>
      <c r="L538" s="192" t="s">
        <v>65</v>
      </c>
      <c r="M538" s="192" t="s">
        <v>919</v>
      </c>
      <c r="N538" s="192" t="s">
        <v>65</v>
      </c>
      <c r="O538" s="192" t="s">
        <v>65</v>
      </c>
      <c r="P538" s="192" t="s">
        <v>65</v>
      </c>
      <c r="Q538" s="192">
        <v>6.4999997615814209E-2</v>
      </c>
      <c r="R538" s="192">
        <v>3.0999999046325684</v>
      </c>
      <c r="S538" s="192">
        <f>VLOOKUP($H538,'RBSA Weights'!$A$2:$C$1406,3,FALSE)</f>
        <v>4956.4930000000004</v>
      </c>
    </row>
    <row r="539" spans="1:19">
      <c r="A539" s="192" t="s">
        <v>928</v>
      </c>
      <c r="B539" s="192">
        <v>0.9</v>
      </c>
      <c r="C539" s="192">
        <v>0</v>
      </c>
      <c r="D539" s="192" t="s">
        <v>65</v>
      </c>
      <c r="E539" s="192">
        <v>1</v>
      </c>
      <c r="F539" s="192">
        <v>0</v>
      </c>
      <c r="G539" s="192">
        <v>126063</v>
      </c>
      <c r="H539" s="192">
        <v>12895</v>
      </c>
      <c r="I539" s="192">
        <v>1</v>
      </c>
      <c r="J539" s="192">
        <v>2400</v>
      </c>
      <c r="K539" s="192" t="s">
        <v>925</v>
      </c>
      <c r="L539" s="192" t="s">
        <v>737</v>
      </c>
      <c r="M539" s="192" t="s">
        <v>923</v>
      </c>
      <c r="N539" s="192" t="s">
        <v>65</v>
      </c>
      <c r="O539" s="192" t="s">
        <v>65</v>
      </c>
      <c r="P539" s="192" t="s">
        <v>926</v>
      </c>
      <c r="Q539" s="192">
        <v>6.4999997615814209E-2</v>
      </c>
      <c r="R539" s="192">
        <v>3.0999999046325684</v>
      </c>
      <c r="S539" s="192">
        <f>VLOOKUP($H539,'RBSA Weights'!$A$2:$C$1406,3,FALSE)</f>
        <v>4956.4930000000004</v>
      </c>
    </row>
    <row r="540" spans="1:19">
      <c r="A540" s="192" t="s">
        <v>928</v>
      </c>
      <c r="B540" s="192">
        <v>0.9</v>
      </c>
      <c r="C540" s="192">
        <v>0</v>
      </c>
      <c r="D540" s="192" t="s">
        <v>65</v>
      </c>
      <c r="E540" s="192">
        <v>1</v>
      </c>
      <c r="F540" s="192">
        <v>0</v>
      </c>
      <c r="G540" s="192">
        <v>202976</v>
      </c>
      <c r="H540" s="192">
        <v>11639</v>
      </c>
      <c r="I540" s="192">
        <v>1</v>
      </c>
      <c r="J540" s="192">
        <v>680</v>
      </c>
      <c r="K540" s="192" t="s">
        <v>925</v>
      </c>
      <c r="L540" s="192" t="s">
        <v>737</v>
      </c>
      <c r="M540" s="192" t="s">
        <v>919</v>
      </c>
      <c r="N540" s="192" t="s">
        <v>65</v>
      </c>
      <c r="O540" s="192" t="s">
        <v>65</v>
      </c>
      <c r="P540" s="192" t="s">
        <v>65</v>
      </c>
      <c r="Q540" s="192">
        <v>6.4999997615814209E-2</v>
      </c>
      <c r="R540" s="192">
        <v>3.0999999046325684</v>
      </c>
      <c r="S540" s="192">
        <f>VLOOKUP($H540,'RBSA Weights'!$A$2:$C$1406,3,FALSE)</f>
        <v>1464.694</v>
      </c>
    </row>
    <row r="541" spans="1:19">
      <c r="A541" s="192" t="s">
        <v>928</v>
      </c>
      <c r="B541" s="192">
        <v>1</v>
      </c>
      <c r="C541" s="192">
        <v>0</v>
      </c>
      <c r="D541" s="192" t="s">
        <v>65</v>
      </c>
      <c r="E541" s="192">
        <v>1</v>
      </c>
      <c r="F541" s="192">
        <v>0</v>
      </c>
      <c r="G541" s="192">
        <v>74451</v>
      </c>
      <c r="H541" s="192">
        <v>23931</v>
      </c>
      <c r="I541" s="192">
        <v>1</v>
      </c>
      <c r="J541" s="192">
        <v>2151</v>
      </c>
      <c r="K541" s="192" t="s">
        <v>918</v>
      </c>
      <c r="L541" s="192" t="s">
        <v>927</v>
      </c>
      <c r="M541" s="192" t="s">
        <v>923</v>
      </c>
      <c r="N541" s="192" t="s">
        <v>65</v>
      </c>
      <c r="O541" s="192" t="s">
        <v>65</v>
      </c>
      <c r="P541" s="192" t="s">
        <v>926</v>
      </c>
      <c r="Q541" s="192">
        <v>4.5000001788139343E-2</v>
      </c>
      <c r="R541" s="192">
        <v>3.0999999046325684</v>
      </c>
      <c r="S541" s="192">
        <f>VLOOKUP($H541,'RBSA Weights'!$A$2:$C$1406,3,FALSE)</f>
        <v>1144.6790000000001</v>
      </c>
    </row>
    <row r="542" spans="1:19">
      <c r="A542" s="192" t="s">
        <v>928</v>
      </c>
      <c r="B542" s="192">
        <v>1</v>
      </c>
      <c r="C542" s="192">
        <v>0</v>
      </c>
      <c r="D542" s="192" t="s">
        <v>65</v>
      </c>
      <c r="E542" s="192">
        <v>1</v>
      </c>
      <c r="F542" s="192">
        <v>0</v>
      </c>
      <c r="G542" s="192">
        <v>130828</v>
      </c>
      <c r="H542" s="192">
        <v>13041</v>
      </c>
      <c r="I542" s="192">
        <v>1</v>
      </c>
      <c r="J542" s="192">
        <v>2915</v>
      </c>
      <c r="K542" s="192" t="s">
        <v>925</v>
      </c>
      <c r="L542" s="192" t="s">
        <v>922</v>
      </c>
      <c r="M542" s="192" t="s">
        <v>919</v>
      </c>
      <c r="N542" s="192" t="s">
        <v>65</v>
      </c>
      <c r="O542" s="192" t="s">
        <v>65</v>
      </c>
      <c r="P542" s="192" t="s">
        <v>926</v>
      </c>
      <c r="Q542" s="192">
        <v>4.5000001788139343E-2</v>
      </c>
      <c r="R542" s="192">
        <v>3.0999999046325684</v>
      </c>
      <c r="S542" s="192">
        <f>VLOOKUP($H542,'RBSA Weights'!$A$2:$C$1406,3,FALSE)</f>
        <v>4956.4930000000004</v>
      </c>
    </row>
    <row r="543" spans="1:19">
      <c r="A543" s="192" t="s">
        <v>928</v>
      </c>
      <c r="B543" s="192">
        <v>1</v>
      </c>
      <c r="C543" s="192">
        <v>0</v>
      </c>
      <c r="D543" s="192" t="s">
        <v>65</v>
      </c>
      <c r="E543" s="192">
        <v>1</v>
      </c>
      <c r="F543" s="192">
        <v>0</v>
      </c>
      <c r="G543" s="192">
        <v>233781</v>
      </c>
      <c r="H543" s="192">
        <v>12460</v>
      </c>
      <c r="I543" s="192">
        <v>1</v>
      </c>
      <c r="J543" s="192">
        <v>1296</v>
      </c>
      <c r="K543" s="192" t="s">
        <v>918</v>
      </c>
      <c r="L543" s="192" t="s">
        <v>65</v>
      </c>
      <c r="M543" s="192" t="s">
        <v>923</v>
      </c>
      <c r="N543" s="192" t="s">
        <v>65</v>
      </c>
      <c r="O543" s="192" t="s">
        <v>65</v>
      </c>
      <c r="P543" s="192" t="s">
        <v>65</v>
      </c>
      <c r="Q543" s="192">
        <v>4.5000001788139343E-2</v>
      </c>
      <c r="R543" s="192">
        <v>3.0999999046325684</v>
      </c>
      <c r="S543" s="192">
        <f>VLOOKUP($H543,'RBSA Weights'!$A$2:$C$1406,3,FALSE)</f>
        <v>1150.8789999999999</v>
      </c>
    </row>
    <row r="544" spans="1:19">
      <c r="A544" s="192" t="s">
        <v>928</v>
      </c>
      <c r="B544" s="192">
        <v>1</v>
      </c>
      <c r="C544" s="192">
        <v>0</v>
      </c>
      <c r="D544" s="192" t="s">
        <v>65</v>
      </c>
      <c r="E544" s="192">
        <v>1</v>
      </c>
      <c r="F544" s="192">
        <v>0</v>
      </c>
      <c r="G544" s="192">
        <v>189777</v>
      </c>
      <c r="H544" s="192">
        <v>21427</v>
      </c>
      <c r="I544" s="192">
        <v>1</v>
      </c>
      <c r="J544" s="192">
        <v>840</v>
      </c>
      <c r="K544" s="192" t="s">
        <v>918</v>
      </c>
      <c r="L544" s="192" t="s">
        <v>65</v>
      </c>
      <c r="M544" s="192" t="s">
        <v>923</v>
      </c>
      <c r="N544" s="192" t="s">
        <v>65</v>
      </c>
      <c r="O544" s="192" t="s">
        <v>65</v>
      </c>
      <c r="P544" s="192" t="s">
        <v>65</v>
      </c>
      <c r="Q544" s="192">
        <v>4.5000001788139343E-2</v>
      </c>
      <c r="R544" s="192">
        <v>3.0999999046325684</v>
      </c>
      <c r="S544" s="192">
        <f>VLOOKUP($H544,'RBSA Weights'!$A$2:$C$1406,3,FALSE)</f>
        <v>1612.692</v>
      </c>
    </row>
    <row r="545" spans="1:19">
      <c r="A545" s="192" t="s">
        <v>928</v>
      </c>
      <c r="B545" s="192">
        <v>1</v>
      </c>
      <c r="C545" s="192">
        <v>0</v>
      </c>
      <c r="D545" s="192" t="s">
        <v>65</v>
      </c>
      <c r="E545" s="192">
        <v>1</v>
      </c>
      <c r="F545" s="192">
        <v>0</v>
      </c>
      <c r="G545" s="192">
        <v>231450</v>
      </c>
      <c r="H545" s="192">
        <v>21753</v>
      </c>
      <c r="I545" s="192">
        <v>1</v>
      </c>
      <c r="J545" s="192">
        <v>1365</v>
      </c>
      <c r="K545" s="192" t="s">
        <v>918</v>
      </c>
      <c r="L545" s="192" t="s">
        <v>65</v>
      </c>
      <c r="M545" s="192" t="s">
        <v>919</v>
      </c>
      <c r="N545" s="192" t="s">
        <v>65</v>
      </c>
      <c r="O545" s="192" t="s">
        <v>65</v>
      </c>
      <c r="P545" s="192" t="s">
        <v>65</v>
      </c>
      <c r="Q545" s="192">
        <v>4.5000001788139343E-2</v>
      </c>
      <c r="R545" s="192">
        <v>3.0999999046325684</v>
      </c>
      <c r="S545" s="192">
        <f>VLOOKUP($H545,'RBSA Weights'!$A$2:$C$1406,3,FALSE)</f>
        <v>1612.692</v>
      </c>
    </row>
    <row r="546" spans="1:19">
      <c r="A546" s="192" t="s">
        <v>928</v>
      </c>
      <c r="B546" s="192">
        <v>1</v>
      </c>
      <c r="C546" s="192">
        <v>0</v>
      </c>
      <c r="D546" s="192" t="s">
        <v>65</v>
      </c>
      <c r="E546" s="192">
        <v>0</v>
      </c>
      <c r="G546" s="192">
        <v>231616</v>
      </c>
      <c r="H546" s="192">
        <v>21546</v>
      </c>
      <c r="I546" s="192">
        <v>1</v>
      </c>
      <c r="J546" s="192">
        <v>1372</v>
      </c>
      <c r="K546" s="192" t="s">
        <v>925</v>
      </c>
      <c r="L546" s="192" t="s">
        <v>737</v>
      </c>
      <c r="M546" s="192" t="s">
        <v>919</v>
      </c>
      <c r="N546" s="192" t="s">
        <v>65</v>
      </c>
      <c r="O546" s="192" t="s">
        <v>65</v>
      </c>
      <c r="P546" s="192" t="s">
        <v>65</v>
      </c>
      <c r="Q546" s="192">
        <v>4.5000001788139343E-2</v>
      </c>
      <c r="R546" s="192">
        <v>5</v>
      </c>
      <c r="S546" s="192">
        <f>VLOOKUP($H546,'RBSA Weights'!$A$2:$C$1406,3,FALSE)</f>
        <v>1612.692</v>
      </c>
    </row>
    <row r="547" spans="1:19">
      <c r="A547" s="192" t="s">
        <v>928</v>
      </c>
      <c r="B547" s="192">
        <v>1</v>
      </c>
      <c r="C547" s="192">
        <v>0</v>
      </c>
      <c r="D547" s="192" t="s">
        <v>65</v>
      </c>
      <c r="E547" s="192">
        <v>1</v>
      </c>
      <c r="F547" s="192">
        <v>0</v>
      </c>
      <c r="G547" s="192">
        <v>684002</v>
      </c>
      <c r="H547" s="192">
        <v>21414</v>
      </c>
      <c r="I547" s="192">
        <v>1</v>
      </c>
      <c r="J547" s="192">
        <v>1369</v>
      </c>
      <c r="K547" s="192" t="s">
        <v>925</v>
      </c>
      <c r="L547" s="192" t="s">
        <v>737</v>
      </c>
      <c r="M547" s="192" t="s">
        <v>919</v>
      </c>
      <c r="N547" s="192" t="s">
        <v>65</v>
      </c>
      <c r="O547" s="192" t="s">
        <v>65</v>
      </c>
      <c r="P547" s="192" t="s">
        <v>65</v>
      </c>
      <c r="Q547" s="192">
        <v>4.5000001788139343E-2</v>
      </c>
      <c r="R547" s="192">
        <v>3.0999999046325684</v>
      </c>
      <c r="S547" s="192">
        <f>VLOOKUP($H547,'RBSA Weights'!$A$2:$C$1406,3,FALSE)</f>
        <v>12271.31</v>
      </c>
    </row>
    <row r="548" spans="1:19">
      <c r="A548" s="192" t="s">
        <v>928</v>
      </c>
      <c r="B548" s="192">
        <v>1</v>
      </c>
      <c r="C548" s="192">
        <v>0</v>
      </c>
      <c r="D548" s="192" t="s">
        <v>65</v>
      </c>
      <c r="E548" s="192">
        <v>1</v>
      </c>
      <c r="F548" s="192">
        <v>0</v>
      </c>
      <c r="G548" s="192">
        <v>219282</v>
      </c>
      <c r="H548" s="192">
        <v>21343</v>
      </c>
      <c r="I548" s="192">
        <v>1</v>
      </c>
      <c r="J548" s="192">
        <v>1350</v>
      </c>
      <c r="K548" s="192" t="s">
        <v>925</v>
      </c>
      <c r="L548" s="192" t="s">
        <v>737</v>
      </c>
      <c r="M548" s="192" t="s">
        <v>919</v>
      </c>
      <c r="N548" s="192" t="s">
        <v>65</v>
      </c>
      <c r="O548" s="192" t="s">
        <v>65</v>
      </c>
      <c r="P548" s="192" t="s">
        <v>65</v>
      </c>
      <c r="Q548" s="192">
        <v>4.5000001788139343E-2</v>
      </c>
      <c r="R548" s="192">
        <v>3.0999999046325684</v>
      </c>
      <c r="S548" s="192">
        <f>VLOOKUP($H548,'RBSA Weights'!$A$2:$C$1406,3,FALSE)</f>
        <v>8264.9449999999997</v>
      </c>
    </row>
    <row r="549" spans="1:19">
      <c r="A549" s="192" t="s">
        <v>928</v>
      </c>
      <c r="B549" s="192">
        <v>1</v>
      </c>
      <c r="C549" s="192">
        <v>0</v>
      </c>
      <c r="D549" s="192" t="s">
        <v>65</v>
      </c>
      <c r="E549" s="192">
        <v>1</v>
      </c>
      <c r="F549" s="192">
        <v>1</v>
      </c>
      <c r="G549" s="192">
        <v>186933</v>
      </c>
      <c r="H549" s="192">
        <v>10752</v>
      </c>
      <c r="I549" s="192">
        <v>1</v>
      </c>
      <c r="J549" s="192">
        <v>1260</v>
      </c>
      <c r="K549" s="192" t="s">
        <v>918</v>
      </c>
      <c r="L549" s="192" t="s">
        <v>65</v>
      </c>
      <c r="M549" s="192" t="s">
        <v>919</v>
      </c>
      <c r="N549" s="192" t="s">
        <v>65</v>
      </c>
      <c r="O549" s="192" t="s">
        <v>65</v>
      </c>
      <c r="P549" s="192" t="s">
        <v>65</v>
      </c>
      <c r="Q549" s="192">
        <v>4.5000001788139343E-2</v>
      </c>
      <c r="R549" s="192">
        <v>4.5</v>
      </c>
      <c r="S549" s="192">
        <f>VLOOKUP($H549,'RBSA Weights'!$A$2:$C$1406,3,FALSE)</f>
        <v>4956.4930000000004</v>
      </c>
    </row>
    <row r="550" spans="1:19">
      <c r="A550" s="192" t="s">
        <v>928</v>
      </c>
      <c r="B550" s="192">
        <v>1</v>
      </c>
      <c r="C550" s="192">
        <v>0</v>
      </c>
      <c r="D550" s="192" t="s">
        <v>65</v>
      </c>
      <c r="E550" s="192">
        <v>1</v>
      </c>
      <c r="F550" s="192">
        <v>0</v>
      </c>
      <c r="G550" s="192">
        <v>187724</v>
      </c>
      <c r="H550" s="192">
        <v>20853</v>
      </c>
      <c r="I550" s="192">
        <v>1</v>
      </c>
      <c r="J550" s="192">
        <v>2189</v>
      </c>
      <c r="K550" s="192" t="s">
        <v>918</v>
      </c>
      <c r="L550" s="192" t="s">
        <v>65</v>
      </c>
      <c r="M550" s="192" t="s">
        <v>919</v>
      </c>
      <c r="N550" s="192" t="s">
        <v>65</v>
      </c>
      <c r="O550" s="192" t="s">
        <v>65</v>
      </c>
      <c r="P550" s="192" t="s">
        <v>65</v>
      </c>
      <c r="Q550" s="192">
        <v>4.5000001788139343E-2</v>
      </c>
      <c r="R550" s="192">
        <v>3.0999999046325684</v>
      </c>
      <c r="S550" s="192">
        <f>VLOOKUP($H550,'RBSA Weights'!$A$2:$C$1406,3,FALSE)</f>
        <v>1612.692</v>
      </c>
    </row>
    <row r="551" spans="1:19">
      <c r="A551" s="192" t="s">
        <v>928</v>
      </c>
      <c r="B551" s="192">
        <v>1</v>
      </c>
      <c r="C551" s="192">
        <v>0</v>
      </c>
      <c r="D551" s="192" t="s">
        <v>65</v>
      </c>
      <c r="E551" s="192">
        <v>0</v>
      </c>
      <c r="F551" s="192">
        <v>0</v>
      </c>
      <c r="G551" s="192">
        <v>70858</v>
      </c>
      <c r="H551" s="192">
        <v>11041</v>
      </c>
      <c r="I551" s="192">
        <v>1</v>
      </c>
      <c r="J551" s="192">
        <v>96</v>
      </c>
      <c r="K551" s="192" t="s">
        <v>925</v>
      </c>
      <c r="L551" s="192" t="s">
        <v>737</v>
      </c>
      <c r="M551" s="192" t="s">
        <v>919</v>
      </c>
      <c r="N551" s="192" t="s">
        <v>65</v>
      </c>
      <c r="O551" s="192" t="s">
        <v>973</v>
      </c>
      <c r="P551" s="192" t="s">
        <v>926</v>
      </c>
      <c r="Q551" s="192">
        <v>4.5000001788139343E-2</v>
      </c>
      <c r="R551" s="192">
        <v>5</v>
      </c>
      <c r="S551" s="192">
        <f>VLOOKUP($H551,'RBSA Weights'!$A$2:$C$1406,3,FALSE)</f>
        <v>1524.7619999999999</v>
      </c>
    </row>
    <row r="552" spans="1:19">
      <c r="A552" s="192" t="s">
        <v>928</v>
      </c>
      <c r="B552" s="192">
        <v>1</v>
      </c>
      <c r="C552" s="192">
        <v>0</v>
      </c>
      <c r="D552" s="192" t="s">
        <v>65</v>
      </c>
      <c r="E552" s="192">
        <v>1</v>
      </c>
      <c r="F552" s="192">
        <v>0</v>
      </c>
      <c r="G552" s="192">
        <v>124829</v>
      </c>
      <c r="H552" s="192">
        <v>21437</v>
      </c>
      <c r="I552" s="192">
        <v>1</v>
      </c>
      <c r="J552" s="192">
        <v>1400</v>
      </c>
      <c r="K552" s="192" t="s">
        <v>918</v>
      </c>
      <c r="L552" s="192" t="s">
        <v>737</v>
      </c>
      <c r="M552" s="192" t="s">
        <v>919</v>
      </c>
      <c r="N552" s="192" t="s">
        <v>65</v>
      </c>
      <c r="O552" s="192" t="s">
        <v>65</v>
      </c>
      <c r="P552" s="192" t="s">
        <v>926</v>
      </c>
      <c r="Q552" s="192">
        <v>4.5000001788139343E-2</v>
      </c>
      <c r="R552" s="192">
        <v>3.0999999046325684</v>
      </c>
      <c r="S552" s="192">
        <f>VLOOKUP($H552,'RBSA Weights'!$A$2:$C$1406,3,FALSE)</f>
        <v>2079.9929999999999</v>
      </c>
    </row>
    <row r="553" spans="1:19">
      <c r="A553" s="192" t="s">
        <v>928</v>
      </c>
      <c r="B553" s="192">
        <v>1</v>
      </c>
      <c r="C553" s="192">
        <v>0</v>
      </c>
      <c r="D553" s="192" t="s">
        <v>65</v>
      </c>
      <c r="E553" s="192">
        <v>1</v>
      </c>
      <c r="F553" s="192">
        <v>0</v>
      </c>
      <c r="G553" s="192">
        <v>94891</v>
      </c>
      <c r="H553" s="192">
        <v>13643</v>
      </c>
      <c r="I553" s="192">
        <v>1</v>
      </c>
      <c r="J553" s="192">
        <v>1645</v>
      </c>
      <c r="K553" s="192" t="s">
        <v>918</v>
      </c>
      <c r="L553" s="192" t="s">
        <v>922</v>
      </c>
      <c r="M553" s="192" t="s">
        <v>919</v>
      </c>
      <c r="N553" s="192" t="s">
        <v>65</v>
      </c>
      <c r="O553" s="192" t="s">
        <v>65</v>
      </c>
      <c r="P553" s="192" t="s">
        <v>926</v>
      </c>
      <c r="Q553" s="192">
        <v>4.5000001788139343E-2</v>
      </c>
      <c r="R553" s="192">
        <v>3.0999999046325684</v>
      </c>
      <c r="S553" s="192">
        <f>VLOOKUP($H553,'RBSA Weights'!$A$2:$C$1406,3,FALSE)</f>
        <v>2003.7159999999999</v>
      </c>
    </row>
    <row r="554" spans="1:19">
      <c r="A554" s="192" t="s">
        <v>928</v>
      </c>
      <c r="B554" s="192">
        <v>1</v>
      </c>
      <c r="C554" s="192">
        <v>0</v>
      </c>
      <c r="D554" s="192" t="s">
        <v>65</v>
      </c>
      <c r="E554" s="192">
        <v>1</v>
      </c>
      <c r="F554" s="192">
        <v>0</v>
      </c>
      <c r="G554" s="192">
        <v>100852</v>
      </c>
      <c r="H554" s="192">
        <v>13165</v>
      </c>
      <c r="I554" s="192">
        <v>1</v>
      </c>
      <c r="J554" s="192">
        <v>1225</v>
      </c>
      <c r="K554" s="192" t="s">
        <v>925</v>
      </c>
      <c r="L554" s="192" t="s">
        <v>737</v>
      </c>
      <c r="M554" s="192" t="s">
        <v>919</v>
      </c>
      <c r="N554" s="192" t="s">
        <v>65</v>
      </c>
      <c r="O554" s="192" t="s">
        <v>65</v>
      </c>
      <c r="P554" s="192" t="s">
        <v>926</v>
      </c>
      <c r="Q554" s="192">
        <v>4.5000001788139343E-2</v>
      </c>
      <c r="R554" s="192">
        <v>3.0999999046325684</v>
      </c>
      <c r="S554" s="192">
        <f>VLOOKUP($H554,'RBSA Weights'!$A$2:$C$1406,3,FALSE)</f>
        <v>4956.4930000000004</v>
      </c>
    </row>
    <row r="555" spans="1:19">
      <c r="A555" s="192" t="s">
        <v>928</v>
      </c>
      <c r="B555" s="192">
        <v>1</v>
      </c>
      <c r="C555" s="192">
        <v>0</v>
      </c>
      <c r="D555" s="192" t="s">
        <v>65</v>
      </c>
      <c r="E555" s="192">
        <v>1</v>
      </c>
      <c r="F555" s="192">
        <v>0</v>
      </c>
      <c r="G555" s="192">
        <v>44337</v>
      </c>
      <c r="H555" s="192">
        <v>13011</v>
      </c>
      <c r="I555" s="192">
        <v>1</v>
      </c>
      <c r="J555" s="192">
        <v>1536</v>
      </c>
      <c r="K555" s="192" t="s">
        <v>918</v>
      </c>
      <c r="L555" s="192" t="s">
        <v>922</v>
      </c>
      <c r="M555" s="192" t="s">
        <v>919</v>
      </c>
      <c r="N555" s="192" t="s">
        <v>65</v>
      </c>
      <c r="O555" s="192" t="s">
        <v>65</v>
      </c>
      <c r="P555" s="192" t="s">
        <v>926</v>
      </c>
      <c r="Q555" s="192">
        <v>4.5000001788139343E-2</v>
      </c>
      <c r="R555" s="192">
        <v>3.0999999046325684</v>
      </c>
      <c r="S555" s="192">
        <f>VLOOKUP($H555,'RBSA Weights'!$A$2:$C$1406,3,FALSE)</f>
        <v>1188.027</v>
      </c>
    </row>
    <row r="556" spans="1:19">
      <c r="A556" s="192" t="s">
        <v>928</v>
      </c>
      <c r="B556" s="192">
        <v>1</v>
      </c>
      <c r="C556" s="192">
        <v>0</v>
      </c>
      <c r="D556" s="192" t="s">
        <v>65</v>
      </c>
      <c r="E556" s="192">
        <v>0</v>
      </c>
      <c r="G556" s="192">
        <v>203690</v>
      </c>
      <c r="H556" s="192">
        <v>24850</v>
      </c>
      <c r="I556" s="192">
        <v>1</v>
      </c>
      <c r="J556" s="192">
        <v>1760</v>
      </c>
      <c r="K556" s="192" t="s">
        <v>925</v>
      </c>
      <c r="L556" s="192" t="s">
        <v>927</v>
      </c>
      <c r="M556" s="192" t="s">
        <v>923</v>
      </c>
      <c r="N556" s="192" t="s">
        <v>65</v>
      </c>
      <c r="O556" s="192" t="s">
        <v>65</v>
      </c>
      <c r="P556" s="192" t="s">
        <v>65</v>
      </c>
      <c r="Q556" s="192">
        <v>4.5000001788139343E-2</v>
      </c>
      <c r="R556" s="192">
        <v>5</v>
      </c>
      <c r="S556" s="192">
        <f>VLOOKUP($H556,'RBSA Weights'!$A$2:$C$1406,3,FALSE)</f>
        <v>1192.4649999999999</v>
      </c>
    </row>
    <row r="557" spans="1:19">
      <c r="A557" s="192" t="s">
        <v>928</v>
      </c>
      <c r="B557" s="192">
        <v>1</v>
      </c>
      <c r="C557" s="192">
        <v>0</v>
      </c>
      <c r="D557" s="192" t="s">
        <v>65</v>
      </c>
      <c r="E557" s="192">
        <v>1</v>
      </c>
      <c r="F557" s="192">
        <v>0</v>
      </c>
      <c r="G557" s="192">
        <v>200953</v>
      </c>
      <c r="H557" s="192">
        <v>22246</v>
      </c>
      <c r="I557" s="192">
        <v>1</v>
      </c>
      <c r="J557" s="192">
        <v>1674</v>
      </c>
      <c r="K557" s="192" t="s">
        <v>925</v>
      </c>
      <c r="L557" s="192" t="s">
        <v>922</v>
      </c>
      <c r="M557" s="192" t="s">
        <v>919</v>
      </c>
      <c r="N557" s="192" t="s">
        <v>65</v>
      </c>
      <c r="O557" s="192" t="s">
        <v>65</v>
      </c>
      <c r="P557" s="192" t="s">
        <v>65</v>
      </c>
      <c r="Q557" s="192">
        <v>4.5000001788139343E-2</v>
      </c>
      <c r="R557" s="192">
        <v>3.0999999046325684</v>
      </c>
      <c r="S557" s="192">
        <f>VLOOKUP($H557,'RBSA Weights'!$A$2:$C$1406,3,FALSE)</f>
        <v>1925.059</v>
      </c>
    </row>
    <row r="558" spans="1:19">
      <c r="A558" s="192" t="s">
        <v>928</v>
      </c>
      <c r="B558" s="192">
        <v>1</v>
      </c>
      <c r="C558" s="192">
        <v>0</v>
      </c>
      <c r="D558" s="192" t="s">
        <v>65</v>
      </c>
      <c r="E558" s="192">
        <v>0</v>
      </c>
      <c r="G558" s="192">
        <v>226383</v>
      </c>
      <c r="H558" s="192">
        <v>23791</v>
      </c>
      <c r="I558" s="192">
        <v>1</v>
      </c>
      <c r="J558" s="192">
        <v>1508</v>
      </c>
      <c r="K558" s="192" t="s">
        <v>925</v>
      </c>
      <c r="L558" s="192" t="s">
        <v>737</v>
      </c>
      <c r="M558" s="192" t="s">
        <v>919</v>
      </c>
      <c r="N558" s="192" t="s">
        <v>65</v>
      </c>
      <c r="O558" s="192" t="s">
        <v>65</v>
      </c>
      <c r="P558" s="192" t="s">
        <v>65</v>
      </c>
      <c r="Q558" s="192">
        <v>4.5000001788139343E-2</v>
      </c>
      <c r="R558" s="192">
        <v>5</v>
      </c>
      <c r="S558" s="192">
        <f>VLOOKUP($H558,'RBSA Weights'!$A$2:$C$1406,3,FALSE)</f>
        <v>1904.288</v>
      </c>
    </row>
    <row r="559" spans="1:19">
      <c r="A559" s="192" t="s">
        <v>928</v>
      </c>
      <c r="B559" s="192">
        <v>1</v>
      </c>
      <c r="C559" s="192">
        <v>0</v>
      </c>
      <c r="D559" s="192" t="s">
        <v>65</v>
      </c>
      <c r="E559" s="192">
        <v>1</v>
      </c>
      <c r="F559" s="192">
        <v>0</v>
      </c>
      <c r="G559" s="192">
        <v>45980</v>
      </c>
      <c r="H559" s="192">
        <v>20374</v>
      </c>
      <c r="I559" s="192">
        <v>1</v>
      </c>
      <c r="J559" s="192">
        <v>1590</v>
      </c>
      <c r="K559" s="192" t="s">
        <v>918</v>
      </c>
      <c r="L559" s="192" t="s">
        <v>922</v>
      </c>
      <c r="M559" s="192" t="s">
        <v>919</v>
      </c>
      <c r="N559" s="192" t="s">
        <v>65</v>
      </c>
      <c r="O559" s="192" t="s">
        <v>65</v>
      </c>
      <c r="P559" s="192" t="s">
        <v>926</v>
      </c>
      <c r="Q559" s="192">
        <v>4.5000001788139343E-2</v>
      </c>
      <c r="R559" s="192">
        <v>3.0999999046325684</v>
      </c>
      <c r="S559" s="192">
        <f>VLOOKUP($H559,'RBSA Weights'!$A$2:$C$1406,3,FALSE)</f>
        <v>8264.9449999999997</v>
      </c>
    </row>
    <row r="560" spans="1:19">
      <c r="A560" s="192" t="s">
        <v>928</v>
      </c>
      <c r="B560" s="192">
        <v>1</v>
      </c>
      <c r="C560" s="192">
        <v>0</v>
      </c>
      <c r="D560" s="192" t="s">
        <v>65</v>
      </c>
      <c r="E560" s="192">
        <v>0</v>
      </c>
      <c r="F560" s="192">
        <v>0</v>
      </c>
      <c r="G560" s="192">
        <v>113173</v>
      </c>
      <c r="H560" s="192">
        <v>22652</v>
      </c>
      <c r="I560" s="192">
        <v>1</v>
      </c>
      <c r="J560" s="192">
        <v>1400</v>
      </c>
      <c r="K560" s="192" t="s">
        <v>925</v>
      </c>
      <c r="L560" s="192" t="s">
        <v>737</v>
      </c>
      <c r="M560" s="192" t="s">
        <v>919</v>
      </c>
      <c r="N560" s="192" t="s">
        <v>65</v>
      </c>
      <c r="O560" s="192" t="s">
        <v>65</v>
      </c>
      <c r="P560" s="192" t="s">
        <v>926</v>
      </c>
      <c r="Q560" s="192">
        <v>4.5000001788139343E-2</v>
      </c>
      <c r="R560" s="192">
        <v>5</v>
      </c>
      <c r="S560" s="192">
        <f>VLOOKUP($H560,'RBSA Weights'!$A$2:$C$1406,3,FALSE)</f>
        <v>2079.9929999999999</v>
      </c>
    </row>
    <row r="561" spans="1:19">
      <c r="A561" s="192" t="s">
        <v>928</v>
      </c>
      <c r="B561" s="192">
        <v>1</v>
      </c>
      <c r="C561" s="192">
        <v>0</v>
      </c>
      <c r="D561" s="192" t="s">
        <v>65</v>
      </c>
      <c r="E561" s="192">
        <v>1</v>
      </c>
      <c r="F561" s="192">
        <v>0</v>
      </c>
      <c r="G561" s="192">
        <v>724074</v>
      </c>
      <c r="H561" s="192">
        <v>10052</v>
      </c>
      <c r="I561" s="192">
        <v>1</v>
      </c>
      <c r="J561" s="192">
        <v>1530</v>
      </c>
      <c r="K561" s="192" t="s">
        <v>925</v>
      </c>
      <c r="L561" s="192" t="s">
        <v>737</v>
      </c>
      <c r="M561" s="192" t="s">
        <v>919</v>
      </c>
      <c r="N561" s="192" t="s">
        <v>65</v>
      </c>
      <c r="O561" s="192" t="s">
        <v>65</v>
      </c>
      <c r="P561" s="192" t="s">
        <v>65</v>
      </c>
      <c r="Q561" s="192">
        <v>4.5000001788139343E-2</v>
      </c>
      <c r="R561" s="192">
        <v>3.0999999046325684</v>
      </c>
      <c r="S561" s="192">
        <f>VLOOKUP($H561,'RBSA Weights'!$A$2:$C$1406,3,FALSE)</f>
        <v>4956.4930000000004</v>
      </c>
    </row>
    <row r="562" spans="1:19">
      <c r="A562" s="192" t="s">
        <v>928</v>
      </c>
      <c r="B562" s="192">
        <v>1</v>
      </c>
      <c r="C562" s="192">
        <v>0</v>
      </c>
      <c r="D562" s="192" t="s">
        <v>65</v>
      </c>
      <c r="E562" s="192">
        <v>1</v>
      </c>
      <c r="F562" s="192">
        <v>0</v>
      </c>
      <c r="G562" s="192">
        <v>724428</v>
      </c>
      <c r="H562" s="192">
        <v>13474</v>
      </c>
      <c r="I562" s="192">
        <v>1</v>
      </c>
      <c r="J562" s="192">
        <v>1472</v>
      </c>
      <c r="K562" s="192" t="s">
        <v>925</v>
      </c>
      <c r="L562" s="192" t="s">
        <v>922</v>
      </c>
      <c r="M562" s="192" t="s">
        <v>919</v>
      </c>
      <c r="N562" s="192" t="s">
        <v>65</v>
      </c>
      <c r="O562" s="192" t="s">
        <v>65</v>
      </c>
      <c r="P562" s="192" t="s">
        <v>65</v>
      </c>
      <c r="Q562" s="192">
        <v>4.5000001788139343E-2</v>
      </c>
      <c r="R562" s="192">
        <v>3.0999999046325684</v>
      </c>
      <c r="S562" s="192">
        <f>VLOOKUP($H562,'RBSA Weights'!$A$2:$C$1406,3,FALSE)</f>
        <v>1524.7619999999999</v>
      </c>
    </row>
    <row r="563" spans="1:19">
      <c r="A563" s="192" t="s">
        <v>928</v>
      </c>
      <c r="B563" s="192">
        <v>1</v>
      </c>
      <c r="C563" s="192">
        <v>0</v>
      </c>
      <c r="D563" s="192" t="s">
        <v>65</v>
      </c>
      <c r="E563" s="192">
        <v>1</v>
      </c>
      <c r="F563" s="192">
        <v>0</v>
      </c>
      <c r="G563" s="192">
        <v>113387</v>
      </c>
      <c r="H563" s="192">
        <v>24158</v>
      </c>
      <c r="I563" s="192">
        <v>1</v>
      </c>
      <c r="J563" s="192">
        <v>600</v>
      </c>
      <c r="K563" s="192" t="s">
        <v>918</v>
      </c>
      <c r="L563" s="192" t="s">
        <v>737</v>
      </c>
      <c r="M563" s="192" t="s">
        <v>919</v>
      </c>
      <c r="N563" s="192" t="s">
        <v>65</v>
      </c>
      <c r="O563" s="192" t="s">
        <v>65</v>
      </c>
      <c r="P563" s="192" t="s">
        <v>926</v>
      </c>
      <c r="Q563" s="192">
        <v>4.5000001788139343E-2</v>
      </c>
      <c r="R563" s="192">
        <v>3.0999999046325684</v>
      </c>
      <c r="S563" s="192">
        <f>VLOOKUP($H563,'RBSA Weights'!$A$2:$C$1406,3,FALSE)</f>
        <v>2079.9929999999999</v>
      </c>
    </row>
    <row r="564" spans="1:19">
      <c r="A564" s="192" t="s">
        <v>928</v>
      </c>
      <c r="B564" s="192">
        <v>1</v>
      </c>
      <c r="C564" s="192">
        <v>0</v>
      </c>
      <c r="D564" s="192" t="s">
        <v>65</v>
      </c>
      <c r="E564" s="192">
        <v>1</v>
      </c>
      <c r="F564" s="192">
        <v>0</v>
      </c>
      <c r="G564" s="192">
        <v>101179</v>
      </c>
      <c r="H564" s="192">
        <v>22557</v>
      </c>
      <c r="I564" s="192">
        <v>1</v>
      </c>
      <c r="J564" s="192">
        <v>1530</v>
      </c>
      <c r="K564" s="192" t="s">
        <v>918</v>
      </c>
      <c r="L564" s="192" t="s">
        <v>65</v>
      </c>
      <c r="M564" s="192" t="s">
        <v>919</v>
      </c>
      <c r="N564" s="192" t="s">
        <v>65</v>
      </c>
      <c r="O564" s="192" t="s">
        <v>65</v>
      </c>
      <c r="P564" s="192" t="s">
        <v>926</v>
      </c>
      <c r="Q564" s="192">
        <v>4.5000001788139343E-2</v>
      </c>
      <c r="R564" s="192">
        <v>3.0999999046325684</v>
      </c>
      <c r="S564" s="192">
        <f>VLOOKUP($H564,'RBSA Weights'!$A$2:$C$1406,3,FALSE)</f>
        <v>2079.9929999999999</v>
      </c>
    </row>
    <row r="565" spans="1:19">
      <c r="A565" s="192" t="s">
        <v>928</v>
      </c>
      <c r="B565" s="192">
        <v>1</v>
      </c>
      <c r="C565" s="192">
        <v>0</v>
      </c>
      <c r="D565" s="192" t="s">
        <v>65</v>
      </c>
      <c r="E565" s="192">
        <v>1</v>
      </c>
      <c r="F565" s="192">
        <v>1</v>
      </c>
      <c r="G565" s="192">
        <v>176219</v>
      </c>
      <c r="H565" s="192">
        <v>22176</v>
      </c>
      <c r="I565" s="192">
        <v>1</v>
      </c>
      <c r="J565" s="192">
        <v>1044</v>
      </c>
      <c r="K565" s="192" t="s">
        <v>925</v>
      </c>
      <c r="L565" s="192" t="s">
        <v>737</v>
      </c>
      <c r="M565" s="192" t="s">
        <v>919</v>
      </c>
      <c r="N565" s="192" t="s">
        <v>65</v>
      </c>
      <c r="O565" s="192" t="s">
        <v>65</v>
      </c>
      <c r="P565" s="192" t="s">
        <v>65</v>
      </c>
      <c r="Q565" s="192">
        <v>4.5000001788139343E-2</v>
      </c>
      <c r="R565" s="192">
        <v>4.5</v>
      </c>
      <c r="S565" s="192">
        <f>VLOOKUP($H565,'RBSA Weights'!$A$2:$C$1406,3,FALSE)</f>
        <v>2130.886</v>
      </c>
    </row>
    <row r="566" spans="1:19">
      <c r="A566" s="192" t="s">
        <v>928</v>
      </c>
      <c r="B566" s="192">
        <v>1</v>
      </c>
      <c r="C566" s="192">
        <v>0</v>
      </c>
      <c r="D566" s="192" t="s">
        <v>65</v>
      </c>
      <c r="E566" s="192">
        <v>1</v>
      </c>
      <c r="F566" s="192">
        <v>0</v>
      </c>
      <c r="G566" s="192">
        <v>59847</v>
      </c>
      <c r="H566" s="192">
        <v>23847</v>
      </c>
      <c r="I566" s="192">
        <v>1</v>
      </c>
      <c r="J566" s="192">
        <v>1770</v>
      </c>
      <c r="K566" s="192" t="s">
        <v>925</v>
      </c>
      <c r="L566" s="192" t="s">
        <v>922</v>
      </c>
      <c r="M566" s="192" t="s">
        <v>919</v>
      </c>
      <c r="N566" s="192" t="s">
        <v>65</v>
      </c>
      <c r="O566" s="192" t="s">
        <v>65</v>
      </c>
      <c r="P566" s="192" t="s">
        <v>926</v>
      </c>
      <c r="Q566" s="192">
        <v>4.5000001788139343E-2</v>
      </c>
      <c r="R566" s="192">
        <v>3.0999999046325684</v>
      </c>
      <c r="S566" s="192">
        <f>VLOOKUP($H566,'RBSA Weights'!$A$2:$C$1406,3,FALSE)</f>
        <v>2079.9929999999999</v>
      </c>
    </row>
    <row r="567" spans="1:19">
      <c r="A567" s="192" t="s">
        <v>928</v>
      </c>
      <c r="B567" s="192">
        <v>1</v>
      </c>
      <c r="C567" s="192">
        <v>0</v>
      </c>
      <c r="D567" s="192" t="s">
        <v>65</v>
      </c>
      <c r="E567" s="192">
        <v>1</v>
      </c>
      <c r="F567" s="192">
        <v>0</v>
      </c>
      <c r="G567" s="192">
        <v>53543</v>
      </c>
      <c r="H567" s="192">
        <v>10254</v>
      </c>
      <c r="I567" s="192">
        <v>1</v>
      </c>
      <c r="J567" s="192">
        <v>1808</v>
      </c>
      <c r="K567" s="192" t="s">
        <v>918</v>
      </c>
      <c r="L567" s="192" t="s">
        <v>927</v>
      </c>
      <c r="M567" s="192" t="s">
        <v>923</v>
      </c>
      <c r="N567" s="192" t="s">
        <v>65</v>
      </c>
      <c r="O567" s="192" t="s">
        <v>65</v>
      </c>
      <c r="P567" s="192" t="s">
        <v>924</v>
      </c>
      <c r="Q567" s="192">
        <v>4.5000001788139343E-2</v>
      </c>
      <c r="R567" s="192">
        <v>3.0999999046325684</v>
      </c>
      <c r="S567" s="192">
        <f>VLOOKUP($H567,'RBSA Weights'!$A$2:$C$1406,3,FALSE)</f>
        <v>1188.027</v>
      </c>
    </row>
    <row r="568" spans="1:19">
      <c r="A568" s="192" t="s">
        <v>928</v>
      </c>
      <c r="B568" s="192">
        <v>1</v>
      </c>
      <c r="C568" s="192">
        <v>0</v>
      </c>
      <c r="D568" s="192" t="s">
        <v>65</v>
      </c>
      <c r="E568" s="192">
        <v>1</v>
      </c>
      <c r="F568" s="192">
        <v>0</v>
      </c>
      <c r="G568" s="192">
        <v>69133</v>
      </c>
      <c r="H568" s="192">
        <v>12404</v>
      </c>
      <c r="I568" s="192">
        <v>1</v>
      </c>
      <c r="J568" s="192">
        <v>1280</v>
      </c>
      <c r="K568" s="192" t="s">
        <v>925</v>
      </c>
      <c r="L568" s="192" t="s">
        <v>737</v>
      </c>
      <c r="M568" s="192" t="s">
        <v>919</v>
      </c>
      <c r="N568" s="192" t="s">
        <v>65</v>
      </c>
      <c r="O568" s="192" t="s">
        <v>65</v>
      </c>
      <c r="P568" s="192" t="s">
        <v>926</v>
      </c>
      <c r="Q568" s="192">
        <v>4.5000001788139343E-2</v>
      </c>
      <c r="R568" s="192">
        <v>3.0999999046325684</v>
      </c>
      <c r="S568" s="192">
        <f>VLOOKUP($H568,'RBSA Weights'!$A$2:$C$1406,3,FALSE)</f>
        <v>2003.7159999999999</v>
      </c>
    </row>
    <row r="569" spans="1:19">
      <c r="A569" s="192" t="s">
        <v>928</v>
      </c>
      <c r="B569" s="192">
        <v>1</v>
      </c>
      <c r="C569" s="192">
        <v>0</v>
      </c>
      <c r="D569" s="192" t="s">
        <v>65</v>
      </c>
      <c r="E569" s="192">
        <v>1</v>
      </c>
      <c r="F569" s="192">
        <v>0</v>
      </c>
      <c r="G569" s="192">
        <v>682943</v>
      </c>
      <c r="H569" s="192">
        <v>20807</v>
      </c>
      <c r="I569" s="192">
        <v>1</v>
      </c>
      <c r="J569" s="192">
        <v>1537</v>
      </c>
      <c r="K569" s="192" t="s">
        <v>925</v>
      </c>
      <c r="L569" s="192" t="s">
        <v>737</v>
      </c>
      <c r="M569" s="192" t="s">
        <v>919</v>
      </c>
      <c r="N569" s="192" t="s">
        <v>65</v>
      </c>
      <c r="O569" s="192" t="s">
        <v>65</v>
      </c>
      <c r="P569" s="192" t="s">
        <v>65</v>
      </c>
      <c r="Q569" s="192">
        <v>4.5000001788139343E-2</v>
      </c>
      <c r="R569" s="192">
        <v>3.0999999046325684</v>
      </c>
      <c r="S569" s="192">
        <f>VLOOKUP($H569,'RBSA Weights'!$A$2:$C$1406,3,FALSE)</f>
        <v>12271.31</v>
      </c>
    </row>
    <row r="570" spans="1:19">
      <c r="A570" s="192" t="s">
        <v>928</v>
      </c>
      <c r="B570" s="192">
        <v>1</v>
      </c>
      <c r="C570" s="192">
        <v>0</v>
      </c>
      <c r="D570" s="192" t="s">
        <v>65</v>
      </c>
      <c r="E570" s="192">
        <v>1</v>
      </c>
      <c r="F570" s="192">
        <v>0</v>
      </c>
      <c r="G570" s="192">
        <v>180463</v>
      </c>
      <c r="H570" s="192">
        <v>24733</v>
      </c>
      <c r="I570" s="192">
        <v>1</v>
      </c>
      <c r="J570" s="192">
        <v>1140</v>
      </c>
      <c r="K570" s="192" t="s">
        <v>925</v>
      </c>
      <c r="L570" s="192" t="s">
        <v>922</v>
      </c>
      <c r="M570" s="192" t="s">
        <v>919</v>
      </c>
      <c r="N570" s="192" t="s">
        <v>65</v>
      </c>
      <c r="O570" s="192" t="s">
        <v>65</v>
      </c>
      <c r="P570" s="192" t="s">
        <v>65</v>
      </c>
      <c r="Q570" s="192">
        <v>4.5000001788139343E-2</v>
      </c>
      <c r="R570" s="192">
        <v>3.0999999046325684</v>
      </c>
      <c r="S570" s="192">
        <f>VLOOKUP($H570,'RBSA Weights'!$A$2:$C$1406,3,FALSE)</f>
        <v>4360.1880000000001</v>
      </c>
    </row>
    <row r="571" spans="1:19">
      <c r="A571" s="192" t="s">
        <v>928</v>
      </c>
      <c r="B571" s="192">
        <v>1</v>
      </c>
      <c r="C571" s="192">
        <v>0</v>
      </c>
      <c r="D571" s="192" t="s">
        <v>65</v>
      </c>
      <c r="E571" s="192">
        <v>1</v>
      </c>
      <c r="F571" s="192">
        <v>0</v>
      </c>
      <c r="G571" s="192">
        <v>142617</v>
      </c>
      <c r="H571" s="192">
        <v>20188</v>
      </c>
      <c r="I571" s="192">
        <v>1</v>
      </c>
      <c r="J571" s="192">
        <v>1305</v>
      </c>
      <c r="K571" s="192" t="s">
        <v>918</v>
      </c>
      <c r="L571" s="192" t="s">
        <v>65</v>
      </c>
      <c r="M571" s="192" t="s">
        <v>919</v>
      </c>
      <c r="N571" s="192" t="s">
        <v>65</v>
      </c>
      <c r="O571" s="192" t="s">
        <v>65</v>
      </c>
      <c r="P571" s="192" t="s">
        <v>65</v>
      </c>
      <c r="Q571" s="192">
        <v>4.5000001788139343E-2</v>
      </c>
      <c r="R571" s="192">
        <v>3.0999999046325684</v>
      </c>
      <c r="S571" s="192">
        <f>VLOOKUP($H571,'RBSA Weights'!$A$2:$C$1406,3,FALSE)</f>
        <v>1612.692</v>
      </c>
    </row>
    <row r="572" spans="1:19">
      <c r="A572" s="192" t="s">
        <v>928</v>
      </c>
      <c r="B572" s="192">
        <v>1</v>
      </c>
      <c r="C572" s="192">
        <v>0</v>
      </c>
      <c r="D572" s="192" t="s">
        <v>65</v>
      </c>
      <c r="E572" s="192">
        <v>1</v>
      </c>
      <c r="F572" s="192">
        <v>0</v>
      </c>
      <c r="G572" s="192">
        <v>115246</v>
      </c>
      <c r="H572" s="192">
        <v>21109</v>
      </c>
      <c r="I572" s="192">
        <v>1</v>
      </c>
      <c r="J572" s="192">
        <v>1222</v>
      </c>
      <c r="K572" s="192" t="s">
        <v>925</v>
      </c>
      <c r="L572" s="192" t="s">
        <v>922</v>
      </c>
      <c r="M572" s="192" t="s">
        <v>919</v>
      </c>
      <c r="N572" s="192" t="s">
        <v>65</v>
      </c>
      <c r="O572" s="192" t="s">
        <v>65</v>
      </c>
      <c r="P572" s="192" t="s">
        <v>926</v>
      </c>
      <c r="Q572" s="192">
        <v>4.5000001788139343E-2</v>
      </c>
      <c r="R572" s="192">
        <v>3.0999999046325684</v>
      </c>
      <c r="S572" s="192">
        <f>VLOOKUP($H572,'RBSA Weights'!$A$2:$C$1406,3,FALSE)</f>
        <v>1925.059</v>
      </c>
    </row>
    <row r="573" spans="1:19">
      <c r="A573" s="192" t="s">
        <v>928</v>
      </c>
      <c r="B573" s="192">
        <v>1</v>
      </c>
      <c r="C573" s="192">
        <v>0</v>
      </c>
      <c r="D573" s="192" t="s">
        <v>65</v>
      </c>
      <c r="E573" s="192">
        <v>1</v>
      </c>
      <c r="F573" s="192">
        <v>0</v>
      </c>
      <c r="G573" s="192">
        <v>227118</v>
      </c>
      <c r="H573" s="192">
        <v>22702</v>
      </c>
      <c r="I573" s="192">
        <v>1</v>
      </c>
      <c r="J573" s="192">
        <v>3565</v>
      </c>
      <c r="K573" s="192" t="s">
        <v>925</v>
      </c>
      <c r="L573" s="192" t="s">
        <v>922</v>
      </c>
      <c r="M573" s="192" t="s">
        <v>919</v>
      </c>
      <c r="N573" s="192" t="s">
        <v>65</v>
      </c>
      <c r="O573" s="192" t="s">
        <v>65</v>
      </c>
      <c r="P573" s="192" t="s">
        <v>65</v>
      </c>
      <c r="Q573" s="192">
        <v>4.5000001788139343E-2</v>
      </c>
      <c r="R573" s="192">
        <v>3.0999999046325684</v>
      </c>
      <c r="S573" s="192">
        <f>VLOOKUP($H573,'RBSA Weights'!$A$2:$C$1406,3,FALSE)</f>
        <v>4360.1880000000001</v>
      </c>
    </row>
    <row r="574" spans="1:19">
      <c r="A574" s="192" t="s">
        <v>928</v>
      </c>
      <c r="B574" s="192">
        <v>1</v>
      </c>
      <c r="C574" s="192">
        <v>0</v>
      </c>
      <c r="D574" s="192" t="s">
        <v>65</v>
      </c>
      <c r="E574" s="192">
        <v>1</v>
      </c>
      <c r="F574" s="192">
        <v>0</v>
      </c>
      <c r="G574" s="192">
        <v>182731</v>
      </c>
      <c r="H574" s="192">
        <v>11679</v>
      </c>
      <c r="I574" s="192">
        <v>1</v>
      </c>
      <c r="J574" s="192">
        <v>1045</v>
      </c>
      <c r="K574" s="192" t="s">
        <v>925</v>
      </c>
      <c r="L574" s="192" t="s">
        <v>930</v>
      </c>
      <c r="M574" s="192" t="s">
        <v>923</v>
      </c>
      <c r="N574" s="192" t="s">
        <v>65</v>
      </c>
      <c r="O574" s="192" t="s">
        <v>65</v>
      </c>
      <c r="P574" s="192" t="s">
        <v>65</v>
      </c>
      <c r="Q574" s="192">
        <v>4.5000001788139343E-2</v>
      </c>
      <c r="R574" s="192">
        <v>3.0999999046325684</v>
      </c>
      <c r="S574" s="192">
        <f>VLOOKUP($H574,'RBSA Weights'!$A$2:$C$1406,3,FALSE)</f>
        <v>6932.7380000000003</v>
      </c>
    </row>
    <row r="575" spans="1:19">
      <c r="A575" s="192" t="s">
        <v>928</v>
      </c>
      <c r="B575" s="192">
        <v>1</v>
      </c>
      <c r="C575" s="192">
        <v>0</v>
      </c>
      <c r="D575" s="192" t="s">
        <v>65</v>
      </c>
      <c r="E575" s="192">
        <v>0</v>
      </c>
      <c r="F575" s="192">
        <v>0</v>
      </c>
      <c r="G575" s="192">
        <v>55703</v>
      </c>
      <c r="H575" s="192">
        <v>10709</v>
      </c>
      <c r="I575" s="192">
        <v>1</v>
      </c>
      <c r="J575" s="192">
        <v>160</v>
      </c>
      <c r="K575" s="192" t="s">
        <v>925</v>
      </c>
      <c r="L575" s="192" t="s">
        <v>737</v>
      </c>
      <c r="M575" s="192" t="s">
        <v>919</v>
      </c>
      <c r="N575" s="192" t="s">
        <v>65</v>
      </c>
      <c r="O575" s="192" t="s">
        <v>65</v>
      </c>
      <c r="P575" s="192" t="s">
        <v>924</v>
      </c>
      <c r="Q575" s="192">
        <v>4.5000001788139343E-2</v>
      </c>
      <c r="R575" s="192">
        <v>5</v>
      </c>
      <c r="S575" s="192">
        <f>VLOOKUP($H575,'RBSA Weights'!$A$2:$C$1406,3,FALSE)</f>
        <v>1524.7619999999999</v>
      </c>
    </row>
    <row r="576" spans="1:19">
      <c r="A576" s="192" t="s">
        <v>928</v>
      </c>
      <c r="B576" s="192">
        <v>1</v>
      </c>
      <c r="C576" s="192">
        <v>0</v>
      </c>
      <c r="D576" s="192" t="s">
        <v>65</v>
      </c>
      <c r="E576" s="192">
        <v>0</v>
      </c>
      <c r="G576" s="192">
        <v>97430</v>
      </c>
      <c r="H576" s="192">
        <v>10630</v>
      </c>
      <c r="I576" s="192">
        <v>1</v>
      </c>
      <c r="J576" s="192">
        <v>780</v>
      </c>
      <c r="K576" s="192" t="s">
        <v>925</v>
      </c>
      <c r="L576" s="192" t="s">
        <v>927</v>
      </c>
      <c r="M576" s="192" t="s">
        <v>923</v>
      </c>
      <c r="N576" s="192" t="s">
        <v>65</v>
      </c>
      <c r="O576" s="192" t="s">
        <v>974</v>
      </c>
      <c r="P576" s="192" t="s">
        <v>65</v>
      </c>
      <c r="Q576" s="192">
        <v>4.5000001788139343E-2</v>
      </c>
      <c r="R576" s="192">
        <v>5</v>
      </c>
      <c r="S576" s="192">
        <f>VLOOKUP($H576,'RBSA Weights'!$A$2:$C$1406,3,FALSE)</f>
        <v>4956.4930000000004</v>
      </c>
    </row>
    <row r="577" spans="1:19">
      <c r="A577" s="192" t="s">
        <v>928</v>
      </c>
      <c r="B577" s="192">
        <v>1</v>
      </c>
      <c r="C577" s="192">
        <v>0</v>
      </c>
      <c r="D577" s="192" t="s">
        <v>65</v>
      </c>
      <c r="E577" s="192">
        <v>0</v>
      </c>
      <c r="G577" s="192">
        <v>238157</v>
      </c>
      <c r="H577" s="192">
        <v>12478</v>
      </c>
      <c r="I577" s="192">
        <v>1</v>
      </c>
      <c r="J577" s="192">
        <v>1558</v>
      </c>
      <c r="K577" s="192" t="s">
        <v>925</v>
      </c>
      <c r="L577" s="192" t="s">
        <v>737</v>
      </c>
      <c r="M577" s="192" t="s">
        <v>919</v>
      </c>
      <c r="N577" s="192" t="s">
        <v>65</v>
      </c>
      <c r="O577" s="192" t="s">
        <v>65</v>
      </c>
      <c r="P577" s="192" t="s">
        <v>65</v>
      </c>
      <c r="Q577" s="192">
        <v>4.5000001788139343E-2</v>
      </c>
      <c r="R577" s="192">
        <v>5</v>
      </c>
      <c r="S577" s="192">
        <f>VLOOKUP($H577,'RBSA Weights'!$A$2:$C$1406,3,FALSE)</f>
        <v>1150.8789999999999</v>
      </c>
    </row>
    <row r="578" spans="1:19">
      <c r="A578" s="192" t="s">
        <v>928</v>
      </c>
      <c r="B578" s="192">
        <v>1</v>
      </c>
      <c r="C578" s="192">
        <v>0</v>
      </c>
      <c r="D578" s="192" t="s">
        <v>65</v>
      </c>
      <c r="E578" s="192">
        <v>1</v>
      </c>
      <c r="F578" s="192">
        <v>0</v>
      </c>
      <c r="G578" s="192">
        <v>77535</v>
      </c>
      <c r="H578" s="192">
        <v>11838</v>
      </c>
      <c r="I578" s="192">
        <v>1</v>
      </c>
      <c r="J578" s="192">
        <v>1600</v>
      </c>
      <c r="K578" s="192" t="s">
        <v>925</v>
      </c>
      <c r="L578" s="192" t="s">
        <v>922</v>
      </c>
      <c r="M578" s="192" t="s">
        <v>919</v>
      </c>
      <c r="N578" s="192" t="s">
        <v>65</v>
      </c>
      <c r="O578" s="192" t="s">
        <v>65</v>
      </c>
      <c r="P578" s="192" t="s">
        <v>926</v>
      </c>
      <c r="Q578" s="192">
        <v>4.5000001788139343E-2</v>
      </c>
      <c r="R578" s="192">
        <v>3.0999999046325684</v>
      </c>
      <c r="S578" s="192">
        <f>VLOOKUP($H578,'RBSA Weights'!$A$2:$C$1406,3,FALSE)</f>
        <v>2003.7159999999999</v>
      </c>
    </row>
    <row r="579" spans="1:19">
      <c r="A579" s="192" t="s">
        <v>928</v>
      </c>
      <c r="B579" s="192">
        <v>1</v>
      </c>
      <c r="C579" s="192">
        <v>1</v>
      </c>
      <c r="D579" s="192" t="s">
        <v>941</v>
      </c>
      <c r="E579" s="192">
        <v>0</v>
      </c>
      <c r="G579" s="192">
        <v>232503</v>
      </c>
      <c r="H579" s="192">
        <v>22479</v>
      </c>
      <c r="I579" s="192">
        <v>1</v>
      </c>
      <c r="J579" s="192">
        <v>2176</v>
      </c>
      <c r="K579" s="192" t="s">
        <v>925</v>
      </c>
      <c r="L579" s="192" t="s">
        <v>737</v>
      </c>
      <c r="M579" s="192" t="s">
        <v>919</v>
      </c>
      <c r="N579" s="192" t="s">
        <v>65</v>
      </c>
      <c r="O579" s="192" t="s">
        <v>65</v>
      </c>
      <c r="P579" s="192" t="s">
        <v>65</v>
      </c>
      <c r="Q579" s="192">
        <v>4.5000001788139343E-2</v>
      </c>
      <c r="R579" s="192">
        <v>9.1000003814697266</v>
      </c>
      <c r="S579" s="192">
        <f>VLOOKUP($H579,'RBSA Weights'!$A$2:$C$1406,3,FALSE)</f>
        <v>1904.288</v>
      </c>
    </row>
    <row r="580" spans="1:19">
      <c r="A580" s="192" t="s">
        <v>928</v>
      </c>
      <c r="B580" s="192">
        <v>1</v>
      </c>
      <c r="C580" s="192">
        <v>0</v>
      </c>
      <c r="D580" s="192" t="s">
        <v>65</v>
      </c>
      <c r="E580" s="192">
        <v>1</v>
      </c>
      <c r="F580" s="192">
        <v>0</v>
      </c>
      <c r="G580" s="192">
        <v>211042</v>
      </c>
      <c r="H580" s="192">
        <v>11749</v>
      </c>
      <c r="I580" s="192">
        <v>1</v>
      </c>
      <c r="J580" s="192">
        <v>985</v>
      </c>
      <c r="K580" s="192" t="s">
        <v>925</v>
      </c>
      <c r="L580" s="192" t="s">
        <v>737</v>
      </c>
      <c r="M580" s="192" t="s">
        <v>919</v>
      </c>
      <c r="N580" s="192" t="s">
        <v>65</v>
      </c>
      <c r="O580" s="192" t="s">
        <v>65</v>
      </c>
      <c r="P580" s="192" t="s">
        <v>65</v>
      </c>
      <c r="Q580" s="192">
        <v>4.5000001788139343E-2</v>
      </c>
      <c r="R580" s="192">
        <v>3.0999999046325684</v>
      </c>
      <c r="S580" s="192">
        <f>VLOOKUP($H580,'RBSA Weights'!$A$2:$C$1406,3,FALSE)</f>
        <v>1464.694</v>
      </c>
    </row>
    <row r="581" spans="1:19">
      <c r="A581" s="192" t="s">
        <v>928</v>
      </c>
      <c r="B581" s="192">
        <v>1</v>
      </c>
      <c r="C581" s="192">
        <v>0</v>
      </c>
      <c r="D581" s="192" t="s">
        <v>65</v>
      </c>
      <c r="E581" s="192">
        <v>0</v>
      </c>
      <c r="F581" s="192">
        <v>0</v>
      </c>
      <c r="G581" s="192">
        <v>101903</v>
      </c>
      <c r="H581" s="192">
        <v>22627</v>
      </c>
      <c r="I581" s="192">
        <v>1</v>
      </c>
      <c r="J581" s="192">
        <v>621</v>
      </c>
      <c r="K581" s="192" t="s">
        <v>918</v>
      </c>
      <c r="L581" s="192" t="s">
        <v>927</v>
      </c>
      <c r="M581" s="192" t="s">
        <v>923</v>
      </c>
      <c r="N581" s="192" t="s">
        <v>65</v>
      </c>
      <c r="O581" s="192" t="s">
        <v>65</v>
      </c>
      <c r="P581" s="192" t="s">
        <v>926</v>
      </c>
      <c r="Q581" s="192">
        <v>4.5000001788139343E-2</v>
      </c>
      <c r="R581" s="192">
        <v>5</v>
      </c>
      <c r="S581" s="192">
        <f>VLOOKUP($H581,'RBSA Weights'!$A$2:$C$1406,3,FALSE)</f>
        <v>2130.886</v>
      </c>
    </row>
    <row r="582" spans="1:19">
      <c r="A582" s="192" t="s">
        <v>928</v>
      </c>
      <c r="B582" s="192">
        <v>1</v>
      </c>
      <c r="C582" s="192">
        <v>0</v>
      </c>
      <c r="D582" s="192" t="s">
        <v>65</v>
      </c>
      <c r="E582" s="192">
        <v>1</v>
      </c>
      <c r="F582" s="192">
        <v>0</v>
      </c>
      <c r="G582" s="192">
        <v>141019</v>
      </c>
      <c r="H582" s="192">
        <v>13051</v>
      </c>
      <c r="I582" s="192">
        <v>1</v>
      </c>
      <c r="J582" s="192">
        <v>904</v>
      </c>
      <c r="K582" s="192" t="s">
        <v>918</v>
      </c>
      <c r="L582" s="192" t="s">
        <v>65</v>
      </c>
      <c r="M582" s="192" t="s">
        <v>919</v>
      </c>
      <c r="N582" s="192" t="s">
        <v>65</v>
      </c>
      <c r="O582" s="192" t="s">
        <v>65</v>
      </c>
      <c r="P582" s="192" t="s">
        <v>65</v>
      </c>
      <c r="Q582" s="192">
        <v>4.5000001788139343E-2</v>
      </c>
      <c r="R582" s="192">
        <v>3.0999999046325684</v>
      </c>
      <c r="S582" s="192">
        <f>VLOOKUP($H582,'RBSA Weights'!$A$2:$C$1406,3,FALSE)</f>
        <v>4956.4930000000004</v>
      </c>
    </row>
    <row r="583" spans="1:19">
      <c r="A583" s="192" t="s">
        <v>928</v>
      </c>
      <c r="B583" s="192">
        <v>1</v>
      </c>
      <c r="C583" s="192">
        <v>0</v>
      </c>
      <c r="D583" s="192" t="s">
        <v>65</v>
      </c>
      <c r="E583" s="192">
        <v>1</v>
      </c>
      <c r="F583" s="192">
        <v>0</v>
      </c>
      <c r="G583" s="192">
        <v>45870</v>
      </c>
      <c r="H583" s="192">
        <v>21021</v>
      </c>
      <c r="I583" s="192">
        <v>1</v>
      </c>
      <c r="J583" s="192">
        <v>1200</v>
      </c>
      <c r="K583" s="192" t="s">
        <v>918</v>
      </c>
      <c r="L583" s="192" t="s">
        <v>922</v>
      </c>
      <c r="M583" s="192" t="s">
        <v>919</v>
      </c>
      <c r="N583" s="192" t="s">
        <v>65</v>
      </c>
      <c r="O583" s="192" t="s">
        <v>65</v>
      </c>
      <c r="P583" s="192" t="s">
        <v>926</v>
      </c>
      <c r="Q583" s="192">
        <v>4.5000001788139343E-2</v>
      </c>
      <c r="R583" s="192">
        <v>3.0999999046325684</v>
      </c>
      <c r="S583" s="192">
        <f>VLOOKUP($H583,'RBSA Weights'!$A$2:$C$1406,3,FALSE)</f>
        <v>8264.9449999999997</v>
      </c>
    </row>
    <row r="584" spans="1:19">
      <c r="A584" s="192" t="s">
        <v>928</v>
      </c>
      <c r="B584" s="192">
        <v>1</v>
      </c>
      <c r="C584" s="192">
        <v>0</v>
      </c>
      <c r="D584" s="192" t="s">
        <v>65</v>
      </c>
      <c r="E584" s="192">
        <v>1</v>
      </c>
      <c r="F584" s="192">
        <v>0</v>
      </c>
      <c r="G584" s="192">
        <v>124600</v>
      </c>
      <c r="H584" s="192">
        <v>21988</v>
      </c>
      <c r="I584" s="192">
        <v>1</v>
      </c>
      <c r="J584" s="192">
        <v>1000</v>
      </c>
      <c r="K584" s="192" t="s">
        <v>918</v>
      </c>
      <c r="L584" s="192" t="s">
        <v>737</v>
      </c>
      <c r="M584" s="192" t="s">
        <v>919</v>
      </c>
      <c r="N584" s="192" t="s">
        <v>65</v>
      </c>
      <c r="O584" s="192" t="s">
        <v>65</v>
      </c>
      <c r="P584" s="192" t="s">
        <v>926</v>
      </c>
      <c r="Q584" s="192">
        <v>4.5000001788139343E-2</v>
      </c>
      <c r="R584" s="192">
        <v>3.0999999046325684</v>
      </c>
      <c r="S584" s="192">
        <f>VLOOKUP($H584,'RBSA Weights'!$A$2:$C$1406,3,FALSE)</f>
        <v>2079.9929999999999</v>
      </c>
    </row>
    <row r="585" spans="1:19">
      <c r="A585" s="192" t="s">
        <v>928</v>
      </c>
      <c r="B585" s="192">
        <v>1</v>
      </c>
      <c r="C585" s="192">
        <v>0</v>
      </c>
      <c r="D585" s="192" t="s">
        <v>65</v>
      </c>
      <c r="E585" s="192">
        <v>1</v>
      </c>
      <c r="F585" s="192">
        <v>0</v>
      </c>
      <c r="G585" s="192">
        <v>34780</v>
      </c>
      <c r="H585" s="192">
        <v>12232</v>
      </c>
      <c r="I585" s="192">
        <v>1</v>
      </c>
      <c r="J585" s="192">
        <v>1164</v>
      </c>
      <c r="K585" s="192" t="s">
        <v>925</v>
      </c>
      <c r="L585" s="192" t="s">
        <v>922</v>
      </c>
      <c r="M585" s="192" t="s">
        <v>919</v>
      </c>
      <c r="N585" s="192" t="s">
        <v>65</v>
      </c>
      <c r="O585" s="192" t="s">
        <v>65</v>
      </c>
      <c r="P585" s="192" t="s">
        <v>926</v>
      </c>
      <c r="Q585" s="192">
        <v>4.5000001788139343E-2</v>
      </c>
      <c r="R585" s="192">
        <v>3.0999999046325684</v>
      </c>
      <c r="S585" s="192">
        <f>VLOOKUP($H585,'RBSA Weights'!$A$2:$C$1406,3,FALSE)</f>
        <v>1188.027</v>
      </c>
    </row>
    <row r="586" spans="1:19">
      <c r="A586" s="192" t="s">
        <v>928</v>
      </c>
      <c r="B586" s="192">
        <v>1</v>
      </c>
      <c r="C586" s="192">
        <v>0</v>
      </c>
      <c r="D586" s="192" t="s">
        <v>65</v>
      </c>
      <c r="E586" s="192">
        <v>1</v>
      </c>
      <c r="F586" s="192">
        <v>0</v>
      </c>
      <c r="G586" s="192">
        <v>125935</v>
      </c>
      <c r="H586" s="192">
        <v>11233</v>
      </c>
      <c r="I586" s="192">
        <v>1</v>
      </c>
      <c r="J586" s="192">
        <v>745</v>
      </c>
      <c r="K586" s="192" t="s">
        <v>925</v>
      </c>
      <c r="L586" s="192" t="s">
        <v>737</v>
      </c>
      <c r="M586" s="192" t="s">
        <v>919</v>
      </c>
      <c r="N586" s="192" t="s">
        <v>65</v>
      </c>
      <c r="O586" s="192" t="s">
        <v>65</v>
      </c>
      <c r="P586" s="192" t="s">
        <v>926</v>
      </c>
      <c r="Q586" s="192">
        <v>4.5000001788139343E-2</v>
      </c>
      <c r="R586" s="192">
        <v>3.0999999046325684</v>
      </c>
      <c r="S586" s="192">
        <f>VLOOKUP($H586,'RBSA Weights'!$A$2:$C$1406,3,FALSE)</f>
        <v>4956.4930000000004</v>
      </c>
    </row>
    <row r="587" spans="1:19">
      <c r="A587" s="192" t="s">
        <v>928</v>
      </c>
      <c r="B587" s="192">
        <v>1</v>
      </c>
      <c r="C587" s="192">
        <v>0</v>
      </c>
      <c r="D587" s="192" t="s">
        <v>65</v>
      </c>
      <c r="E587" s="192">
        <v>1</v>
      </c>
      <c r="F587" s="192">
        <v>0</v>
      </c>
      <c r="G587" s="192">
        <v>156215</v>
      </c>
      <c r="H587" s="192">
        <v>22228</v>
      </c>
      <c r="I587" s="192">
        <v>1</v>
      </c>
      <c r="J587" s="192">
        <v>2192</v>
      </c>
      <c r="K587" s="192" t="s">
        <v>918</v>
      </c>
      <c r="L587" s="192" t="s">
        <v>65</v>
      </c>
      <c r="M587" s="192" t="s">
        <v>919</v>
      </c>
      <c r="N587" s="192" t="s">
        <v>65</v>
      </c>
      <c r="O587" s="192" t="s">
        <v>65</v>
      </c>
      <c r="P587" s="192" t="s">
        <v>65</v>
      </c>
      <c r="Q587" s="192">
        <v>4.5000001788139343E-2</v>
      </c>
      <c r="R587" s="192">
        <v>3.0999999046325684</v>
      </c>
      <c r="S587" s="192">
        <f>VLOOKUP($H587,'RBSA Weights'!$A$2:$C$1406,3,FALSE)</f>
        <v>1612.692</v>
      </c>
    </row>
    <row r="588" spans="1:19">
      <c r="A588" s="192" t="s">
        <v>928</v>
      </c>
      <c r="B588" s="192">
        <v>1</v>
      </c>
      <c r="C588" s="192">
        <v>0</v>
      </c>
      <c r="D588" s="192" t="s">
        <v>65</v>
      </c>
      <c r="E588" s="192">
        <v>1</v>
      </c>
      <c r="F588" s="192">
        <v>0</v>
      </c>
      <c r="G588" s="192">
        <v>219055</v>
      </c>
      <c r="H588" s="192">
        <v>13336</v>
      </c>
      <c r="I588" s="192">
        <v>1</v>
      </c>
      <c r="J588" s="192">
        <v>500</v>
      </c>
      <c r="K588" s="192" t="s">
        <v>925</v>
      </c>
      <c r="L588" s="192" t="s">
        <v>922</v>
      </c>
      <c r="M588" s="192" t="s">
        <v>923</v>
      </c>
      <c r="N588" s="192" t="s">
        <v>65</v>
      </c>
      <c r="O588" s="192" t="s">
        <v>65</v>
      </c>
      <c r="P588" s="192" t="s">
        <v>65</v>
      </c>
      <c r="Q588" s="192">
        <v>4.5000001788139343E-2</v>
      </c>
      <c r="R588" s="192">
        <v>3.0999999046325684</v>
      </c>
      <c r="S588" s="192">
        <f>VLOOKUP($H588,'RBSA Weights'!$A$2:$C$1406,3,FALSE)</f>
        <v>6932.7380000000003</v>
      </c>
    </row>
    <row r="589" spans="1:19">
      <c r="A589" s="192" t="s">
        <v>928</v>
      </c>
      <c r="B589" s="192">
        <v>1</v>
      </c>
      <c r="C589" s="192">
        <v>0</v>
      </c>
      <c r="D589" s="192" t="s">
        <v>65</v>
      </c>
      <c r="E589" s="192">
        <v>1</v>
      </c>
      <c r="F589" s="192">
        <v>0</v>
      </c>
      <c r="G589" s="192">
        <v>37864</v>
      </c>
      <c r="H589" s="192">
        <v>11014</v>
      </c>
      <c r="I589" s="192">
        <v>1</v>
      </c>
      <c r="J589" s="192">
        <v>1748</v>
      </c>
      <c r="K589" s="192" t="s">
        <v>918</v>
      </c>
      <c r="L589" s="192" t="s">
        <v>737</v>
      </c>
      <c r="M589" s="192" t="s">
        <v>919</v>
      </c>
      <c r="N589" s="192" t="s">
        <v>65</v>
      </c>
      <c r="O589" s="192" t="s">
        <v>65</v>
      </c>
      <c r="P589" s="192" t="s">
        <v>926</v>
      </c>
      <c r="Q589" s="192">
        <v>4.5000001788139343E-2</v>
      </c>
      <c r="R589" s="192">
        <v>3.0999999046325684</v>
      </c>
      <c r="S589" s="192">
        <f>VLOOKUP($H589,'RBSA Weights'!$A$2:$C$1406,3,FALSE)</f>
        <v>1188.027</v>
      </c>
    </row>
    <row r="590" spans="1:19">
      <c r="A590" s="192" t="s">
        <v>928</v>
      </c>
      <c r="B590" s="192">
        <v>1</v>
      </c>
      <c r="C590" s="192">
        <v>1</v>
      </c>
      <c r="D590" s="192" t="s">
        <v>921</v>
      </c>
      <c r="E590" s="192">
        <v>1</v>
      </c>
      <c r="F590" s="192">
        <v>0</v>
      </c>
      <c r="G590" s="192">
        <v>33212</v>
      </c>
      <c r="H590" s="192">
        <v>13451</v>
      </c>
      <c r="I590" s="192">
        <v>1</v>
      </c>
      <c r="J590" s="192">
        <v>1100</v>
      </c>
      <c r="K590" s="192" t="s">
        <v>918</v>
      </c>
      <c r="L590" s="192" t="s">
        <v>922</v>
      </c>
      <c r="M590" s="192" t="s">
        <v>919</v>
      </c>
      <c r="N590" s="192" t="s">
        <v>926</v>
      </c>
      <c r="O590" s="192" t="s">
        <v>65</v>
      </c>
      <c r="P590" s="192" t="s">
        <v>926</v>
      </c>
      <c r="Q590" s="192">
        <v>4.5000001788139343E-2</v>
      </c>
      <c r="R590" s="192">
        <v>4.5</v>
      </c>
      <c r="S590" s="192">
        <f>VLOOKUP($H590,'RBSA Weights'!$A$2:$C$1406,3,FALSE)</f>
        <v>1150.8789999999999</v>
      </c>
    </row>
    <row r="591" spans="1:19">
      <c r="A591" s="192" t="s">
        <v>928</v>
      </c>
      <c r="B591" s="192">
        <v>1</v>
      </c>
      <c r="C591" s="192">
        <v>0</v>
      </c>
      <c r="D591" s="192" t="s">
        <v>65</v>
      </c>
      <c r="E591" s="192">
        <v>1</v>
      </c>
      <c r="F591" s="192">
        <v>0</v>
      </c>
      <c r="G591" s="192">
        <v>686847</v>
      </c>
      <c r="H591" s="192">
        <v>23084</v>
      </c>
      <c r="I591" s="192">
        <v>1</v>
      </c>
      <c r="J591" s="192">
        <v>2625</v>
      </c>
      <c r="K591" s="192" t="s">
        <v>925</v>
      </c>
      <c r="L591" s="192" t="s">
        <v>737</v>
      </c>
      <c r="M591" s="192" t="s">
        <v>919</v>
      </c>
      <c r="N591" s="192" t="s">
        <v>65</v>
      </c>
      <c r="O591" s="192" t="s">
        <v>65</v>
      </c>
      <c r="P591" s="192" t="s">
        <v>65</v>
      </c>
      <c r="Q591" s="192">
        <v>4.5000001788139343E-2</v>
      </c>
      <c r="R591" s="192">
        <v>3.0999999046325684</v>
      </c>
      <c r="S591" s="192">
        <f>VLOOKUP($H591,'RBSA Weights'!$A$2:$C$1406,3,FALSE)</f>
        <v>2079.9929999999999</v>
      </c>
    </row>
    <row r="592" spans="1:19">
      <c r="A592" s="192" t="s">
        <v>928</v>
      </c>
      <c r="B592" s="192">
        <v>1</v>
      </c>
      <c r="C592" s="192">
        <v>0</v>
      </c>
      <c r="D592" s="192" t="s">
        <v>65</v>
      </c>
      <c r="E592" s="192">
        <v>1</v>
      </c>
      <c r="F592" s="192">
        <v>0</v>
      </c>
      <c r="G592" s="192">
        <v>234274</v>
      </c>
      <c r="H592" s="192">
        <v>11118</v>
      </c>
      <c r="I592" s="192">
        <v>1</v>
      </c>
      <c r="J592" s="192">
        <v>1870</v>
      </c>
      <c r="K592" s="192" t="s">
        <v>918</v>
      </c>
      <c r="L592" s="192" t="s">
        <v>65</v>
      </c>
      <c r="M592" s="192" t="s">
        <v>919</v>
      </c>
      <c r="N592" s="192" t="s">
        <v>65</v>
      </c>
      <c r="O592" s="192" t="s">
        <v>65</v>
      </c>
      <c r="P592" s="192" t="s">
        <v>65</v>
      </c>
      <c r="Q592" s="192">
        <v>4.5000001788139343E-2</v>
      </c>
      <c r="R592" s="192">
        <v>3.0999999046325684</v>
      </c>
      <c r="S592" s="192">
        <f>VLOOKUP($H592,'RBSA Weights'!$A$2:$C$1406,3,FALSE)</f>
        <v>1150.8789999999999</v>
      </c>
    </row>
    <row r="593" spans="1:19">
      <c r="A593" s="192" t="s">
        <v>928</v>
      </c>
      <c r="B593" s="192">
        <v>1</v>
      </c>
      <c r="C593" s="192">
        <v>0</v>
      </c>
      <c r="D593" s="192" t="s">
        <v>65</v>
      </c>
      <c r="E593" s="192">
        <v>1</v>
      </c>
      <c r="F593" s="192">
        <v>0</v>
      </c>
      <c r="G593" s="192">
        <v>182075</v>
      </c>
      <c r="H593" s="192">
        <v>10801</v>
      </c>
      <c r="I593" s="192">
        <v>1</v>
      </c>
      <c r="J593" s="192">
        <v>1530</v>
      </c>
      <c r="K593" s="192" t="s">
        <v>925</v>
      </c>
      <c r="L593" s="192" t="s">
        <v>922</v>
      </c>
      <c r="M593" s="192" t="s">
        <v>919</v>
      </c>
      <c r="N593" s="192" t="s">
        <v>65</v>
      </c>
      <c r="O593" s="192" t="s">
        <v>65</v>
      </c>
      <c r="P593" s="192" t="s">
        <v>65</v>
      </c>
      <c r="Q593" s="192">
        <v>4.5000001788139343E-2</v>
      </c>
      <c r="R593" s="192">
        <v>3.0999999046325684</v>
      </c>
      <c r="S593" s="192">
        <f>VLOOKUP($H593,'RBSA Weights'!$A$2:$C$1406,3,FALSE)</f>
        <v>4956.4930000000004</v>
      </c>
    </row>
    <row r="594" spans="1:19">
      <c r="A594" s="192" t="s">
        <v>928</v>
      </c>
      <c r="B594" s="192">
        <v>1</v>
      </c>
      <c r="C594" s="192">
        <v>0</v>
      </c>
      <c r="D594" s="192" t="s">
        <v>65</v>
      </c>
      <c r="E594" s="192">
        <v>1</v>
      </c>
      <c r="F594" s="192">
        <v>0</v>
      </c>
      <c r="G594" s="192">
        <v>108175</v>
      </c>
      <c r="H594" s="192">
        <v>10425</v>
      </c>
      <c r="I594" s="192">
        <v>1</v>
      </c>
      <c r="J594" s="192">
        <v>1699</v>
      </c>
      <c r="K594" s="192" t="s">
        <v>925</v>
      </c>
      <c r="L594" s="192" t="s">
        <v>930</v>
      </c>
      <c r="M594" s="192" t="s">
        <v>923</v>
      </c>
      <c r="N594" s="192" t="s">
        <v>65</v>
      </c>
      <c r="O594" s="192" t="s">
        <v>65</v>
      </c>
      <c r="P594" s="192" t="s">
        <v>926</v>
      </c>
      <c r="Q594" s="192">
        <v>4.5000001788139343E-2</v>
      </c>
      <c r="R594" s="192">
        <v>3.0999999046325684</v>
      </c>
      <c r="S594" s="192">
        <f>VLOOKUP($H594,'RBSA Weights'!$A$2:$C$1406,3,FALSE)</f>
        <v>4956.4930000000004</v>
      </c>
    </row>
    <row r="595" spans="1:19">
      <c r="A595" s="192" t="s">
        <v>928</v>
      </c>
      <c r="B595" s="192">
        <v>1</v>
      </c>
      <c r="C595" s="192">
        <v>0</v>
      </c>
      <c r="D595" s="192" t="s">
        <v>65</v>
      </c>
      <c r="E595" s="192">
        <v>1</v>
      </c>
      <c r="F595" s="192">
        <v>0</v>
      </c>
      <c r="G595" s="192">
        <v>718027</v>
      </c>
      <c r="H595" s="192">
        <v>11894</v>
      </c>
      <c r="I595" s="192">
        <v>1</v>
      </c>
      <c r="J595" s="192">
        <v>900</v>
      </c>
      <c r="K595" s="192" t="s">
        <v>925</v>
      </c>
      <c r="L595" s="192" t="s">
        <v>922</v>
      </c>
      <c r="M595" s="192" t="s">
        <v>919</v>
      </c>
      <c r="N595" s="192" t="s">
        <v>65</v>
      </c>
      <c r="O595" s="192" t="s">
        <v>65</v>
      </c>
      <c r="P595" s="192" t="s">
        <v>65</v>
      </c>
      <c r="Q595" s="192">
        <v>4.5000001788139343E-2</v>
      </c>
      <c r="R595" s="192">
        <v>3.0999999046325684</v>
      </c>
      <c r="S595" s="192">
        <f>VLOOKUP($H595,'RBSA Weights'!$A$2:$C$1406,3,FALSE)</f>
        <v>4956.4930000000004</v>
      </c>
    </row>
    <row r="596" spans="1:19">
      <c r="A596" s="192" t="s">
        <v>928</v>
      </c>
      <c r="B596" s="192">
        <v>1</v>
      </c>
      <c r="C596" s="192">
        <v>0</v>
      </c>
      <c r="D596" s="192" t="s">
        <v>65</v>
      </c>
      <c r="E596" s="192">
        <v>1</v>
      </c>
      <c r="F596" s="192">
        <v>0</v>
      </c>
      <c r="G596" s="192">
        <v>197466</v>
      </c>
      <c r="H596" s="192">
        <v>14277</v>
      </c>
      <c r="I596" s="192">
        <v>1</v>
      </c>
      <c r="J596" s="192">
        <v>977</v>
      </c>
      <c r="K596" s="192" t="s">
        <v>925</v>
      </c>
      <c r="L596" s="192" t="s">
        <v>922</v>
      </c>
      <c r="M596" s="192" t="s">
        <v>919</v>
      </c>
      <c r="N596" s="192" t="s">
        <v>65</v>
      </c>
      <c r="O596" s="192" t="s">
        <v>65</v>
      </c>
      <c r="P596" s="192" t="s">
        <v>65</v>
      </c>
      <c r="Q596" s="192">
        <v>4.5000001788139343E-2</v>
      </c>
      <c r="R596" s="192">
        <v>3.0999999046325684</v>
      </c>
      <c r="S596" s="192">
        <f>VLOOKUP($H596,'RBSA Weights'!$A$2:$C$1406,3,FALSE)</f>
        <v>4956.4930000000004</v>
      </c>
    </row>
    <row r="597" spans="1:19">
      <c r="A597" s="192" t="s">
        <v>928</v>
      </c>
      <c r="B597" s="192">
        <v>1</v>
      </c>
      <c r="C597" s="192">
        <v>0</v>
      </c>
      <c r="D597" s="192" t="s">
        <v>65</v>
      </c>
      <c r="E597" s="192">
        <v>0</v>
      </c>
      <c r="F597" s="192">
        <v>1</v>
      </c>
      <c r="G597" s="192">
        <v>84083</v>
      </c>
      <c r="H597" s="192">
        <v>20182</v>
      </c>
      <c r="I597" s="192">
        <v>1</v>
      </c>
      <c r="J597" s="192">
        <v>1280</v>
      </c>
      <c r="K597" s="192" t="s">
        <v>925</v>
      </c>
      <c r="L597" s="192" t="s">
        <v>737</v>
      </c>
      <c r="M597" s="192" t="s">
        <v>919</v>
      </c>
      <c r="N597" s="192" t="s">
        <v>65</v>
      </c>
      <c r="O597" s="192" t="s">
        <v>65</v>
      </c>
      <c r="P597" s="192" t="s">
        <v>924</v>
      </c>
      <c r="Q597" s="192">
        <v>4.5000001788139343E-2</v>
      </c>
      <c r="R597" s="192">
        <v>5</v>
      </c>
      <c r="S597" s="192">
        <f>VLOOKUP($H597,'RBSA Weights'!$A$2:$C$1406,3,FALSE)</f>
        <v>8559.1039999999994</v>
      </c>
    </row>
    <row r="598" spans="1:19">
      <c r="A598" s="192" t="s">
        <v>928</v>
      </c>
      <c r="B598" s="192">
        <v>1</v>
      </c>
      <c r="C598" s="192">
        <v>0</v>
      </c>
      <c r="D598" s="192" t="s">
        <v>65</v>
      </c>
      <c r="E598" s="192">
        <v>1</v>
      </c>
      <c r="F598" s="192">
        <v>0</v>
      </c>
      <c r="G598" s="192">
        <v>172917</v>
      </c>
      <c r="H598" s="192">
        <v>13127</v>
      </c>
      <c r="I598" s="192">
        <v>1</v>
      </c>
      <c r="J598" s="192">
        <v>681</v>
      </c>
      <c r="K598" s="192" t="s">
        <v>925</v>
      </c>
      <c r="L598" s="192" t="s">
        <v>65</v>
      </c>
      <c r="M598" s="192" t="s">
        <v>919</v>
      </c>
      <c r="N598" s="192" t="s">
        <v>65</v>
      </c>
      <c r="O598" s="192" t="s">
        <v>65</v>
      </c>
      <c r="P598" s="192" t="s">
        <v>65</v>
      </c>
      <c r="Q598" s="192">
        <v>4.5000001788139343E-2</v>
      </c>
      <c r="R598" s="192">
        <v>3.0999999046325684</v>
      </c>
      <c r="S598" s="192">
        <f>VLOOKUP($H598,'RBSA Weights'!$A$2:$C$1406,3,FALSE)</f>
        <v>4956.4930000000004</v>
      </c>
    </row>
    <row r="599" spans="1:19">
      <c r="A599" s="192" t="s">
        <v>928</v>
      </c>
      <c r="B599" s="192">
        <v>1</v>
      </c>
      <c r="C599" s="192">
        <v>0</v>
      </c>
      <c r="D599" s="192" t="s">
        <v>65</v>
      </c>
      <c r="E599" s="192">
        <v>1</v>
      </c>
      <c r="F599" s="192">
        <v>1</v>
      </c>
      <c r="G599" s="192">
        <v>220844</v>
      </c>
      <c r="H599" s="192">
        <v>21524</v>
      </c>
      <c r="I599" s="192">
        <v>1</v>
      </c>
      <c r="J599" s="192">
        <v>2542</v>
      </c>
      <c r="K599" s="192" t="s">
        <v>925</v>
      </c>
      <c r="L599" s="192" t="s">
        <v>737</v>
      </c>
      <c r="M599" s="192" t="s">
        <v>919</v>
      </c>
      <c r="N599" s="192" t="s">
        <v>65</v>
      </c>
      <c r="O599" s="192" t="s">
        <v>65</v>
      </c>
      <c r="P599" s="192" t="s">
        <v>65</v>
      </c>
      <c r="Q599" s="192">
        <v>4.5000001788139343E-2</v>
      </c>
      <c r="R599" s="192">
        <v>4.5</v>
      </c>
      <c r="S599" s="192">
        <f>VLOOKUP($H599,'RBSA Weights'!$A$2:$C$1406,3,FALSE)</f>
        <v>1904.288</v>
      </c>
    </row>
    <row r="600" spans="1:19">
      <c r="A600" s="192" t="s">
        <v>928</v>
      </c>
      <c r="B600" s="192">
        <v>1</v>
      </c>
      <c r="C600" s="192">
        <v>0</v>
      </c>
      <c r="D600" s="192" t="s">
        <v>65</v>
      </c>
      <c r="E600" s="192">
        <v>1</v>
      </c>
      <c r="F600" s="192">
        <v>0</v>
      </c>
      <c r="G600" s="192">
        <v>116647</v>
      </c>
      <c r="H600" s="192">
        <v>10134</v>
      </c>
      <c r="I600" s="192">
        <v>1</v>
      </c>
      <c r="J600" s="192">
        <v>91</v>
      </c>
      <c r="K600" s="192" t="s">
        <v>925</v>
      </c>
      <c r="L600" s="192" t="s">
        <v>922</v>
      </c>
      <c r="M600" s="192" t="s">
        <v>919</v>
      </c>
      <c r="N600" s="192" t="s">
        <v>65</v>
      </c>
      <c r="O600" s="192" t="s">
        <v>65</v>
      </c>
      <c r="P600" s="192" t="s">
        <v>65</v>
      </c>
      <c r="Q600" s="192">
        <v>4.5000001788139343E-2</v>
      </c>
      <c r="R600" s="192">
        <v>3.0999999046325684</v>
      </c>
      <c r="S600" s="192">
        <f>VLOOKUP($H600,'RBSA Weights'!$A$2:$C$1406,3,FALSE)</f>
        <v>1464.694</v>
      </c>
    </row>
    <row r="601" spans="1:19">
      <c r="A601" s="192" t="s">
        <v>928</v>
      </c>
      <c r="B601" s="192">
        <v>1</v>
      </c>
      <c r="C601" s="192">
        <v>0</v>
      </c>
      <c r="D601" s="192" t="s">
        <v>65</v>
      </c>
      <c r="E601" s="192">
        <v>1</v>
      </c>
      <c r="F601" s="192">
        <v>0</v>
      </c>
      <c r="G601" s="192">
        <v>170847</v>
      </c>
      <c r="H601" s="192">
        <v>20180</v>
      </c>
      <c r="I601" s="192">
        <v>2</v>
      </c>
      <c r="J601" s="192">
        <v>1032</v>
      </c>
      <c r="K601" s="192" t="s">
        <v>918</v>
      </c>
      <c r="L601" s="192" t="s">
        <v>65</v>
      </c>
      <c r="M601" s="192" t="s">
        <v>919</v>
      </c>
      <c r="N601" s="192" t="s">
        <v>65</v>
      </c>
      <c r="O601" s="192" t="s">
        <v>65</v>
      </c>
      <c r="P601" s="192" t="s">
        <v>65</v>
      </c>
      <c r="Q601" s="192">
        <v>4.5000001788139343E-2</v>
      </c>
      <c r="R601" s="192">
        <v>3.0999999046325684</v>
      </c>
      <c r="S601" s="192">
        <f>VLOOKUP($H601,'RBSA Weights'!$A$2:$C$1406,3,FALSE)</f>
        <v>1612.692</v>
      </c>
    </row>
    <row r="602" spans="1:19">
      <c r="A602" s="192" t="s">
        <v>928</v>
      </c>
      <c r="B602" s="192">
        <v>1</v>
      </c>
      <c r="C602" s="192">
        <v>0</v>
      </c>
      <c r="D602" s="192" t="s">
        <v>65</v>
      </c>
      <c r="E602" s="192">
        <v>1</v>
      </c>
      <c r="F602" s="192">
        <v>0</v>
      </c>
      <c r="G602" s="192">
        <v>181601</v>
      </c>
      <c r="H602" s="192">
        <v>11145</v>
      </c>
      <c r="I602" s="192">
        <v>1</v>
      </c>
      <c r="J602" s="192">
        <v>1400</v>
      </c>
      <c r="K602" s="192" t="s">
        <v>925</v>
      </c>
      <c r="L602" s="192" t="s">
        <v>922</v>
      </c>
      <c r="M602" s="192" t="s">
        <v>919</v>
      </c>
      <c r="N602" s="192" t="s">
        <v>65</v>
      </c>
      <c r="O602" s="192" t="s">
        <v>65</v>
      </c>
      <c r="P602" s="192" t="s">
        <v>65</v>
      </c>
      <c r="Q602" s="192">
        <v>4.5000001788139343E-2</v>
      </c>
      <c r="R602" s="192">
        <v>3.0999999046325684</v>
      </c>
      <c r="S602" s="192">
        <f>VLOOKUP($H602,'RBSA Weights'!$A$2:$C$1406,3,FALSE)</f>
        <v>4956.4930000000004</v>
      </c>
    </row>
    <row r="603" spans="1:19">
      <c r="A603" s="192" t="s">
        <v>928</v>
      </c>
      <c r="B603" s="192">
        <v>1</v>
      </c>
      <c r="C603" s="192">
        <v>0</v>
      </c>
      <c r="D603" s="192" t="s">
        <v>65</v>
      </c>
      <c r="E603" s="192">
        <v>0</v>
      </c>
      <c r="G603" s="192">
        <v>168483</v>
      </c>
      <c r="H603" s="192">
        <v>10245</v>
      </c>
      <c r="I603" s="192">
        <v>1</v>
      </c>
      <c r="J603" s="192">
        <v>945</v>
      </c>
      <c r="K603" s="192" t="s">
        <v>925</v>
      </c>
      <c r="L603" s="192" t="s">
        <v>737</v>
      </c>
      <c r="M603" s="192" t="s">
        <v>919</v>
      </c>
      <c r="N603" s="192" t="s">
        <v>65</v>
      </c>
      <c r="O603" s="192" t="s">
        <v>65</v>
      </c>
      <c r="P603" s="192" t="s">
        <v>65</v>
      </c>
      <c r="Q603" s="192">
        <v>4.5000001788139343E-2</v>
      </c>
      <c r="R603" s="192">
        <v>5</v>
      </c>
      <c r="S603" s="192">
        <f>VLOOKUP($H603,'RBSA Weights'!$A$2:$C$1406,3,FALSE)</f>
        <v>6932.7380000000003</v>
      </c>
    </row>
    <row r="604" spans="1:19">
      <c r="A604" s="192" t="s">
        <v>928</v>
      </c>
      <c r="B604" s="192">
        <v>1</v>
      </c>
      <c r="C604" s="192">
        <v>0</v>
      </c>
      <c r="D604" s="192" t="s">
        <v>65</v>
      </c>
      <c r="E604" s="192">
        <v>1</v>
      </c>
      <c r="F604" s="192">
        <v>0</v>
      </c>
      <c r="G604" s="192">
        <v>117162</v>
      </c>
      <c r="H604" s="192">
        <v>24706</v>
      </c>
      <c r="I604" s="192">
        <v>1</v>
      </c>
      <c r="J604" s="192">
        <v>690</v>
      </c>
      <c r="K604" s="192" t="s">
        <v>925</v>
      </c>
      <c r="L604" s="192" t="s">
        <v>922</v>
      </c>
      <c r="M604" s="192" t="s">
        <v>919</v>
      </c>
      <c r="N604" s="192" t="s">
        <v>65</v>
      </c>
      <c r="O604" s="192" t="s">
        <v>65</v>
      </c>
      <c r="P604" s="192" t="s">
        <v>926</v>
      </c>
      <c r="Q604" s="192">
        <v>4.5000001788139343E-2</v>
      </c>
      <c r="R604" s="192">
        <v>3.0999999046325684</v>
      </c>
      <c r="S604" s="192">
        <f>VLOOKUP($H604,'RBSA Weights'!$A$2:$C$1406,3,FALSE)</f>
        <v>1612.692</v>
      </c>
    </row>
    <row r="605" spans="1:19">
      <c r="A605" s="192" t="s">
        <v>928</v>
      </c>
      <c r="B605" s="192">
        <v>1</v>
      </c>
      <c r="C605" s="192">
        <v>0</v>
      </c>
      <c r="D605" s="192" t="s">
        <v>65</v>
      </c>
      <c r="E605" s="192">
        <v>1</v>
      </c>
      <c r="F605" s="192">
        <v>0</v>
      </c>
      <c r="G605" s="192">
        <v>86186</v>
      </c>
      <c r="H605" s="192">
        <v>11377</v>
      </c>
      <c r="I605" s="192">
        <v>1</v>
      </c>
      <c r="J605" s="192">
        <v>1202</v>
      </c>
      <c r="K605" s="192" t="s">
        <v>925</v>
      </c>
      <c r="L605" s="192" t="s">
        <v>927</v>
      </c>
      <c r="M605" s="192" t="s">
        <v>919</v>
      </c>
      <c r="N605" s="192" t="s">
        <v>65</v>
      </c>
      <c r="O605" s="192" t="s">
        <v>65</v>
      </c>
      <c r="P605" s="192" t="s">
        <v>926</v>
      </c>
      <c r="Q605" s="192">
        <v>4.5000001788139343E-2</v>
      </c>
      <c r="R605" s="192">
        <v>3.0999999046325684</v>
      </c>
      <c r="S605" s="192">
        <f>VLOOKUP($H605,'RBSA Weights'!$A$2:$C$1406,3,FALSE)</f>
        <v>4956.4930000000004</v>
      </c>
    </row>
    <row r="606" spans="1:19">
      <c r="A606" s="192" t="s">
        <v>928</v>
      </c>
      <c r="B606" s="192">
        <v>1</v>
      </c>
      <c r="C606" s="192">
        <v>0</v>
      </c>
      <c r="D606" s="192" t="s">
        <v>65</v>
      </c>
      <c r="E606" s="192">
        <v>1</v>
      </c>
      <c r="F606" s="192">
        <v>0</v>
      </c>
      <c r="G606" s="192">
        <v>193642</v>
      </c>
      <c r="H606" s="192">
        <v>20206</v>
      </c>
      <c r="I606" s="192">
        <v>1</v>
      </c>
      <c r="J606" s="192">
        <v>1227</v>
      </c>
      <c r="K606" s="192" t="s">
        <v>918</v>
      </c>
      <c r="L606" s="192" t="s">
        <v>65</v>
      </c>
      <c r="M606" s="192" t="s">
        <v>919</v>
      </c>
      <c r="N606" s="192" t="s">
        <v>65</v>
      </c>
      <c r="O606" s="192" t="s">
        <v>65</v>
      </c>
      <c r="P606" s="192" t="s">
        <v>65</v>
      </c>
      <c r="Q606" s="192">
        <v>4.5000001788139343E-2</v>
      </c>
      <c r="R606" s="192">
        <v>3.0999999046325684</v>
      </c>
      <c r="S606" s="192">
        <f>VLOOKUP($H606,'RBSA Weights'!$A$2:$C$1406,3,FALSE)</f>
        <v>1612.692</v>
      </c>
    </row>
    <row r="607" spans="1:19">
      <c r="A607" s="192" t="s">
        <v>928</v>
      </c>
      <c r="B607" s="192">
        <v>1</v>
      </c>
      <c r="C607" s="192">
        <v>0</v>
      </c>
      <c r="D607" s="192" t="s">
        <v>65</v>
      </c>
      <c r="E607" s="192">
        <v>1</v>
      </c>
      <c r="F607" s="192">
        <v>0</v>
      </c>
      <c r="G607" s="192">
        <v>689830</v>
      </c>
      <c r="H607" s="192">
        <v>21531</v>
      </c>
      <c r="I607" s="192">
        <v>1</v>
      </c>
      <c r="J607" s="192">
        <v>2249</v>
      </c>
      <c r="K607" s="192" t="s">
        <v>918</v>
      </c>
      <c r="L607" s="192" t="s">
        <v>65</v>
      </c>
      <c r="M607" s="192" t="s">
        <v>919</v>
      </c>
      <c r="N607" s="192" t="s">
        <v>65</v>
      </c>
      <c r="O607" s="192" t="s">
        <v>65</v>
      </c>
      <c r="P607" s="192" t="s">
        <v>65</v>
      </c>
      <c r="Q607" s="192">
        <v>4.5000001788139343E-2</v>
      </c>
      <c r="R607" s="192">
        <v>3.0999999046325684</v>
      </c>
      <c r="S607" s="192">
        <f>VLOOKUP($H607,'RBSA Weights'!$A$2:$C$1406,3,FALSE)</f>
        <v>4360.1880000000001</v>
      </c>
    </row>
    <row r="608" spans="1:19">
      <c r="A608" s="192" t="s">
        <v>928</v>
      </c>
      <c r="B608" s="192">
        <v>1</v>
      </c>
      <c r="C608" s="192">
        <v>0</v>
      </c>
      <c r="D608" s="192" t="s">
        <v>65</v>
      </c>
      <c r="E608" s="192">
        <v>1</v>
      </c>
      <c r="F608" s="192">
        <v>0</v>
      </c>
      <c r="G608" s="192">
        <v>34682</v>
      </c>
      <c r="H608" s="192">
        <v>11988</v>
      </c>
      <c r="I608" s="192">
        <v>1</v>
      </c>
      <c r="J608" s="192">
        <v>1120</v>
      </c>
      <c r="K608" s="192" t="s">
        <v>925</v>
      </c>
      <c r="L608" s="192" t="s">
        <v>737</v>
      </c>
      <c r="M608" s="192" t="s">
        <v>919</v>
      </c>
      <c r="N608" s="192" t="s">
        <v>65</v>
      </c>
      <c r="O608" s="192" t="s">
        <v>65</v>
      </c>
      <c r="P608" s="192" t="s">
        <v>926</v>
      </c>
      <c r="Q608" s="192">
        <v>4.5000001788139343E-2</v>
      </c>
      <c r="R608" s="192">
        <v>3.0999999046325684</v>
      </c>
      <c r="S608" s="192">
        <f>VLOOKUP($H608,'RBSA Weights'!$A$2:$C$1406,3,FALSE)</f>
        <v>1188.027</v>
      </c>
    </row>
    <row r="609" spans="1:19">
      <c r="A609" s="192" t="s">
        <v>928</v>
      </c>
      <c r="B609" s="192">
        <v>1</v>
      </c>
      <c r="C609" s="192">
        <v>0</v>
      </c>
      <c r="D609" s="192" t="s">
        <v>65</v>
      </c>
      <c r="E609" s="192">
        <v>1</v>
      </c>
      <c r="F609" s="192">
        <v>0</v>
      </c>
      <c r="G609" s="192">
        <v>71256</v>
      </c>
      <c r="H609" s="192">
        <v>20817</v>
      </c>
      <c r="I609" s="192">
        <v>1</v>
      </c>
      <c r="J609" s="192">
        <v>396</v>
      </c>
      <c r="K609" s="192" t="s">
        <v>925</v>
      </c>
      <c r="L609" s="192" t="s">
        <v>930</v>
      </c>
      <c r="M609" s="192" t="s">
        <v>923</v>
      </c>
      <c r="N609" s="192" t="s">
        <v>65</v>
      </c>
      <c r="O609" s="192" t="s">
        <v>65</v>
      </c>
      <c r="P609" s="192" t="s">
        <v>926</v>
      </c>
      <c r="Q609" s="192">
        <v>4.5000001788139343E-2</v>
      </c>
      <c r="R609" s="192">
        <v>3.0999999046325684</v>
      </c>
      <c r="S609" s="192">
        <f>VLOOKUP($H609,'RBSA Weights'!$A$2:$C$1406,3,FALSE)</f>
        <v>2079.9929999999999</v>
      </c>
    </row>
    <row r="610" spans="1:19">
      <c r="A610" s="192" t="s">
        <v>928</v>
      </c>
      <c r="B610" s="192">
        <v>1</v>
      </c>
      <c r="C610" s="192">
        <v>0</v>
      </c>
      <c r="D610" s="192" t="s">
        <v>65</v>
      </c>
      <c r="E610" s="192">
        <v>1</v>
      </c>
      <c r="F610" s="192">
        <v>0</v>
      </c>
      <c r="G610" s="192">
        <v>168735</v>
      </c>
      <c r="H610" s="192">
        <v>23538</v>
      </c>
      <c r="I610" s="192">
        <v>1</v>
      </c>
      <c r="J610" s="192">
        <v>1800</v>
      </c>
      <c r="K610" s="192" t="s">
        <v>925</v>
      </c>
      <c r="L610" s="192" t="s">
        <v>930</v>
      </c>
      <c r="M610" s="192" t="s">
        <v>923</v>
      </c>
      <c r="N610" s="192" t="s">
        <v>65</v>
      </c>
      <c r="O610" s="192" t="s">
        <v>65</v>
      </c>
      <c r="P610" s="192" t="s">
        <v>65</v>
      </c>
      <c r="Q610" s="192">
        <v>4.5000001788139343E-2</v>
      </c>
      <c r="R610" s="192">
        <v>3.0999999046325684</v>
      </c>
      <c r="S610" s="192">
        <f>VLOOKUP($H610,'RBSA Weights'!$A$2:$C$1406,3,FALSE)</f>
        <v>4360.1880000000001</v>
      </c>
    </row>
    <row r="611" spans="1:19">
      <c r="A611" s="192" t="s">
        <v>928</v>
      </c>
      <c r="B611" s="192">
        <v>1</v>
      </c>
      <c r="C611" s="192">
        <v>0</v>
      </c>
      <c r="D611" s="192" t="s">
        <v>65</v>
      </c>
      <c r="E611" s="192">
        <v>0</v>
      </c>
      <c r="F611" s="192">
        <v>0</v>
      </c>
      <c r="G611" s="192">
        <v>53306</v>
      </c>
      <c r="H611" s="192">
        <v>21746</v>
      </c>
      <c r="I611" s="192">
        <v>1</v>
      </c>
      <c r="J611" s="192">
        <v>1200</v>
      </c>
      <c r="K611" s="192" t="s">
        <v>925</v>
      </c>
      <c r="L611" s="192" t="s">
        <v>737</v>
      </c>
      <c r="M611" s="192" t="s">
        <v>919</v>
      </c>
      <c r="N611" s="192" t="s">
        <v>65</v>
      </c>
      <c r="O611" s="192" t="s">
        <v>65</v>
      </c>
      <c r="P611" s="192" t="s">
        <v>926</v>
      </c>
      <c r="Q611" s="192">
        <v>4.5000001788139343E-2</v>
      </c>
      <c r="R611" s="192">
        <v>5</v>
      </c>
      <c r="S611" s="192">
        <f>VLOOKUP($H611,'RBSA Weights'!$A$2:$C$1406,3,FALSE)</f>
        <v>8264.9449999999997</v>
      </c>
    </row>
    <row r="612" spans="1:19">
      <c r="A612" s="192" t="s">
        <v>928</v>
      </c>
      <c r="B612" s="192">
        <v>1</v>
      </c>
      <c r="C612" s="192">
        <v>0</v>
      </c>
      <c r="D612" s="192" t="s">
        <v>65</v>
      </c>
      <c r="E612" s="192">
        <v>1</v>
      </c>
      <c r="F612" s="192">
        <v>0</v>
      </c>
      <c r="G612" s="192">
        <v>224219</v>
      </c>
      <c r="H612" s="192">
        <v>23381</v>
      </c>
      <c r="I612" s="192">
        <v>1</v>
      </c>
      <c r="J612" s="192">
        <v>1073</v>
      </c>
      <c r="K612" s="192" t="s">
        <v>918</v>
      </c>
      <c r="L612" s="192" t="s">
        <v>65</v>
      </c>
      <c r="M612" s="192" t="s">
        <v>923</v>
      </c>
      <c r="N612" s="192" t="s">
        <v>65</v>
      </c>
      <c r="O612" s="192" t="s">
        <v>65</v>
      </c>
      <c r="P612" s="192" t="s">
        <v>65</v>
      </c>
      <c r="Q612" s="192">
        <v>4.5000001788139343E-2</v>
      </c>
      <c r="R612" s="192">
        <v>3.0999999046325684</v>
      </c>
      <c r="S612" s="192">
        <f>VLOOKUP($H612,'RBSA Weights'!$A$2:$C$1406,3,FALSE)</f>
        <v>2079.9929999999999</v>
      </c>
    </row>
    <row r="613" spans="1:19">
      <c r="A613" s="192" t="s">
        <v>928</v>
      </c>
      <c r="B613" s="192">
        <v>1</v>
      </c>
      <c r="C613" s="192">
        <v>0</v>
      </c>
      <c r="D613" s="192" t="s">
        <v>65</v>
      </c>
      <c r="E613" s="192">
        <v>1</v>
      </c>
      <c r="F613" s="192">
        <v>1</v>
      </c>
      <c r="G613" s="192">
        <v>182210</v>
      </c>
      <c r="H613" s="192">
        <v>14015</v>
      </c>
      <c r="I613" s="192">
        <v>1</v>
      </c>
      <c r="J613" s="192">
        <v>1284</v>
      </c>
      <c r="K613" s="192" t="s">
        <v>925</v>
      </c>
      <c r="L613" s="192" t="s">
        <v>922</v>
      </c>
      <c r="M613" s="192" t="s">
        <v>919</v>
      </c>
      <c r="N613" s="192" t="s">
        <v>65</v>
      </c>
      <c r="O613" s="192" t="s">
        <v>65</v>
      </c>
      <c r="P613" s="192" t="s">
        <v>65</v>
      </c>
      <c r="Q613" s="192">
        <v>4.5000001788139343E-2</v>
      </c>
      <c r="R613" s="192">
        <v>4.5</v>
      </c>
      <c r="S613" s="192">
        <f>VLOOKUP($H613,'RBSA Weights'!$A$2:$C$1406,3,FALSE)</f>
        <v>4956.4930000000004</v>
      </c>
    </row>
    <row r="614" spans="1:19">
      <c r="A614" s="192" t="s">
        <v>928</v>
      </c>
      <c r="B614" s="192">
        <v>1</v>
      </c>
      <c r="C614" s="192">
        <v>0</v>
      </c>
      <c r="D614" s="192" t="s">
        <v>65</v>
      </c>
      <c r="E614" s="192">
        <v>1</v>
      </c>
      <c r="F614" s="192">
        <v>0</v>
      </c>
      <c r="G614" s="192">
        <v>148443</v>
      </c>
      <c r="H614" s="192">
        <v>20559</v>
      </c>
      <c r="I614" s="192">
        <v>1</v>
      </c>
      <c r="J614" s="192">
        <v>756</v>
      </c>
      <c r="K614" s="192" t="s">
        <v>925</v>
      </c>
      <c r="L614" s="192" t="s">
        <v>737</v>
      </c>
      <c r="M614" s="192" t="s">
        <v>919</v>
      </c>
      <c r="N614" s="192" t="s">
        <v>65</v>
      </c>
      <c r="O614" s="192" t="s">
        <v>65</v>
      </c>
      <c r="P614" s="192" t="s">
        <v>65</v>
      </c>
      <c r="Q614" s="192">
        <v>4.5000001788139343E-2</v>
      </c>
      <c r="R614" s="192">
        <v>3.0999999046325684</v>
      </c>
      <c r="S614" s="192">
        <f>VLOOKUP($H614,'RBSA Weights'!$A$2:$C$1406,3,FALSE)</f>
        <v>1192.4649999999999</v>
      </c>
    </row>
    <row r="615" spans="1:19">
      <c r="A615" s="192" t="s">
        <v>928</v>
      </c>
      <c r="B615" s="192">
        <v>1</v>
      </c>
      <c r="C615" s="192">
        <v>0</v>
      </c>
      <c r="D615" s="192" t="s">
        <v>65</v>
      </c>
      <c r="E615" s="192">
        <v>0</v>
      </c>
      <c r="F615" s="192">
        <v>0</v>
      </c>
      <c r="G615" s="192">
        <v>104198</v>
      </c>
      <c r="H615" s="192">
        <v>12176</v>
      </c>
      <c r="I615" s="192">
        <v>1</v>
      </c>
      <c r="J615" s="192">
        <v>280</v>
      </c>
      <c r="K615" s="192" t="s">
        <v>918</v>
      </c>
      <c r="L615" s="192" t="s">
        <v>737</v>
      </c>
      <c r="M615" s="192" t="s">
        <v>919</v>
      </c>
      <c r="N615" s="192" t="s">
        <v>65</v>
      </c>
      <c r="O615" s="192" t="s">
        <v>65</v>
      </c>
      <c r="P615" s="192" t="s">
        <v>926</v>
      </c>
      <c r="Q615" s="192">
        <v>4.5000001788139343E-2</v>
      </c>
      <c r="R615" s="192">
        <v>5</v>
      </c>
      <c r="S615" s="192">
        <f>VLOOKUP($H615,'RBSA Weights'!$A$2:$C$1406,3,FALSE)</f>
        <v>1524.7619999999999</v>
      </c>
    </row>
    <row r="616" spans="1:19">
      <c r="A616" s="192" t="s">
        <v>928</v>
      </c>
      <c r="B616" s="192">
        <v>1</v>
      </c>
      <c r="C616" s="192">
        <v>0</v>
      </c>
      <c r="D616" s="192" t="s">
        <v>65</v>
      </c>
      <c r="E616" s="192">
        <v>1</v>
      </c>
      <c r="F616" s="192">
        <v>0</v>
      </c>
      <c r="G616" s="192">
        <v>152775</v>
      </c>
      <c r="H616" s="192">
        <v>22607</v>
      </c>
      <c r="I616" s="192">
        <v>1</v>
      </c>
      <c r="J616" s="192">
        <v>1191</v>
      </c>
      <c r="K616" s="192" t="s">
        <v>925</v>
      </c>
      <c r="L616" s="192" t="s">
        <v>737</v>
      </c>
      <c r="M616" s="192" t="s">
        <v>923</v>
      </c>
      <c r="N616" s="192" t="s">
        <v>65</v>
      </c>
      <c r="O616" s="192" t="s">
        <v>65</v>
      </c>
      <c r="P616" s="192" t="s">
        <v>65</v>
      </c>
      <c r="Q616" s="192">
        <v>4.5000001788139343E-2</v>
      </c>
      <c r="R616" s="192">
        <v>3.0999999046325684</v>
      </c>
      <c r="S616" s="192">
        <f>VLOOKUP($H616,'RBSA Weights'!$A$2:$C$1406,3,FALSE)</f>
        <v>1612.692</v>
      </c>
    </row>
    <row r="617" spans="1:19">
      <c r="A617" s="192" t="s">
        <v>928</v>
      </c>
      <c r="B617" s="192">
        <v>1</v>
      </c>
      <c r="C617" s="192">
        <v>0</v>
      </c>
      <c r="D617" s="192" t="s">
        <v>65</v>
      </c>
      <c r="E617" s="192">
        <v>1</v>
      </c>
      <c r="F617" s="192">
        <v>0</v>
      </c>
      <c r="G617" s="192">
        <v>227443</v>
      </c>
      <c r="H617" s="192">
        <v>21787</v>
      </c>
      <c r="I617" s="192">
        <v>1</v>
      </c>
      <c r="J617" s="192">
        <v>1152</v>
      </c>
      <c r="K617" s="192" t="s">
        <v>925</v>
      </c>
      <c r="L617" s="192" t="s">
        <v>737</v>
      </c>
      <c r="M617" s="192" t="s">
        <v>919</v>
      </c>
      <c r="N617" s="192" t="s">
        <v>65</v>
      </c>
      <c r="O617" s="192" t="s">
        <v>65</v>
      </c>
      <c r="P617" s="192" t="s">
        <v>65</v>
      </c>
      <c r="Q617" s="192">
        <v>4.5000001788139343E-2</v>
      </c>
      <c r="R617" s="192">
        <v>3.0999999046325684</v>
      </c>
      <c r="S617" s="192">
        <f>VLOOKUP($H617,'RBSA Weights'!$A$2:$C$1406,3,FALSE)</f>
        <v>4360.1880000000001</v>
      </c>
    </row>
    <row r="618" spans="1:19">
      <c r="A618" s="192" t="s">
        <v>928</v>
      </c>
      <c r="B618" s="192">
        <v>1</v>
      </c>
      <c r="C618" s="192">
        <v>0</v>
      </c>
      <c r="D618" s="192" t="s">
        <v>65</v>
      </c>
      <c r="E618" s="192">
        <v>1</v>
      </c>
      <c r="F618" s="192">
        <v>0</v>
      </c>
      <c r="G618" s="192">
        <v>210199</v>
      </c>
      <c r="H618" s="192">
        <v>12303</v>
      </c>
      <c r="I618" s="192">
        <v>1</v>
      </c>
      <c r="J618" s="192">
        <v>1985</v>
      </c>
      <c r="K618" s="192" t="s">
        <v>918</v>
      </c>
      <c r="L618" s="192" t="s">
        <v>737</v>
      </c>
      <c r="M618" s="192" t="s">
        <v>923</v>
      </c>
      <c r="N618" s="192" t="s">
        <v>65</v>
      </c>
      <c r="O618" s="192" t="s">
        <v>65</v>
      </c>
      <c r="P618" s="192" t="s">
        <v>65</v>
      </c>
      <c r="Q618" s="192">
        <v>4.5000001788139343E-2</v>
      </c>
      <c r="R618" s="192">
        <v>3.0999999046325684</v>
      </c>
      <c r="S618" s="192">
        <f>VLOOKUP($H618,'RBSA Weights'!$A$2:$C$1406,3,FALSE)</f>
        <v>1464.694</v>
      </c>
    </row>
    <row r="619" spans="1:19">
      <c r="A619" s="192" t="s">
        <v>928</v>
      </c>
      <c r="B619" s="192">
        <v>1</v>
      </c>
      <c r="C619" s="192">
        <v>0</v>
      </c>
      <c r="D619" s="192" t="s">
        <v>65</v>
      </c>
      <c r="E619" s="192">
        <v>1</v>
      </c>
      <c r="F619" s="192">
        <v>0</v>
      </c>
      <c r="G619" s="192">
        <v>724997</v>
      </c>
      <c r="H619" s="192">
        <v>13191</v>
      </c>
      <c r="I619" s="192">
        <v>1</v>
      </c>
      <c r="J619" s="192">
        <v>591</v>
      </c>
      <c r="K619" s="192" t="s">
        <v>925</v>
      </c>
      <c r="L619" s="192" t="s">
        <v>922</v>
      </c>
      <c r="M619" s="192" t="s">
        <v>919</v>
      </c>
      <c r="N619" s="192" t="s">
        <v>65</v>
      </c>
      <c r="O619" s="192" t="s">
        <v>65</v>
      </c>
      <c r="P619" s="192" t="s">
        <v>65</v>
      </c>
      <c r="Q619" s="192">
        <v>4.5000001788139343E-2</v>
      </c>
      <c r="R619" s="192">
        <v>3.0999999046325684</v>
      </c>
      <c r="S619" s="192">
        <f>VLOOKUP($H619,'RBSA Weights'!$A$2:$C$1406,3,FALSE)</f>
        <v>1524.7619999999999</v>
      </c>
    </row>
    <row r="620" spans="1:19">
      <c r="A620" s="192" t="s">
        <v>928</v>
      </c>
      <c r="B620" s="192">
        <v>1</v>
      </c>
      <c r="C620" s="192">
        <v>0</v>
      </c>
      <c r="D620" s="192" t="s">
        <v>65</v>
      </c>
      <c r="E620" s="192">
        <v>0</v>
      </c>
      <c r="F620" s="192">
        <v>0</v>
      </c>
      <c r="G620" s="192">
        <v>107313</v>
      </c>
      <c r="H620" s="192">
        <v>22125</v>
      </c>
      <c r="I620" s="192">
        <v>1</v>
      </c>
      <c r="J620" s="192">
        <v>1400</v>
      </c>
      <c r="K620" s="192" t="s">
        <v>925</v>
      </c>
      <c r="L620" s="192" t="s">
        <v>737</v>
      </c>
      <c r="M620" s="192" t="s">
        <v>919</v>
      </c>
      <c r="N620" s="192" t="s">
        <v>65</v>
      </c>
      <c r="O620" s="192" t="s">
        <v>65</v>
      </c>
      <c r="P620" s="192" t="s">
        <v>926</v>
      </c>
      <c r="Q620" s="192">
        <v>4.5000001788139343E-2</v>
      </c>
      <c r="R620" s="192">
        <v>5</v>
      </c>
      <c r="S620" s="192">
        <f>VLOOKUP($H620,'RBSA Weights'!$A$2:$C$1406,3,FALSE)</f>
        <v>2079.9929999999999</v>
      </c>
    </row>
    <row r="621" spans="1:19">
      <c r="A621" s="192" t="s">
        <v>928</v>
      </c>
      <c r="B621" s="192">
        <v>1</v>
      </c>
      <c r="C621" s="192">
        <v>0</v>
      </c>
      <c r="D621" s="192" t="s">
        <v>65</v>
      </c>
      <c r="E621" s="192">
        <v>1</v>
      </c>
      <c r="F621" s="192">
        <v>1</v>
      </c>
      <c r="G621" s="192">
        <v>658878</v>
      </c>
      <c r="H621" s="192">
        <v>12207</v>
      </c>
      <c r="I621" s="192">
        <v>1</v>
      </c>
      <c r="J621" s="192">
        <v>642</v>
      </c>
      <c r="K621" s="192" t="s">
        <v>925</v>
      </c>
      <c r="L621" s="192" t="s">
        <v>737</v>
      </c>
      <c r="M621" s="192" t="s">
        <v>923</v>
      </c>
      <c r="N621" s="192" t="s">
        <v>65</v>
      </c>
      <c r="O621" s="192" t="s">
        <v>65</v>
      </c>
      <c r="P621" s="192" t="s">
        <v>65</v>
      </c>
      <c r="Q621" s="192">
        <v>4.5000001788139343E-2</v>
      </c>
      <c r="R621" s="192">
        <v>4.5</v>
      </c>
      <c r="S621" s="192">
        <f>VLOOKUP($H621,'RBSA Weights'!$A$2:$C$1406,3,FALSE)</f>
        <v>4956.4930000000004</v>
      </c>
    </row>
    <row r="622" spans="1:19">
      <c r="A622" s="192" t="s">
        <v>928</v>
      </c>
      <c r="B622" s="192">
        <v>1</v>
      </c>
      <c r="C622" s="192">
        <v>0</v>
      </c>
      <c r="D622" s="192" t="s">
        <v>65</v>
      </c>
      <c r="E622" s="192">
        <v>1</v>
      </c>
      <c r="F622" s="192">
        <v>0</v>
      </c>
      <c r="G622" s="192">
        <v>119161</v>
      </c>
      <c r="H622" s="192">
        <v>21452</v>
      </c>
      <c r="I622" s="192">
        <v>1</v>
      </c>
      <c r="J622" s="192">
        <v>1230</v>
      </c>
      <c r="K622" s="192" t="s">
        <v>918</v>
      </c>
      <c r="L622" s="192" t="s">
        <v>922</v>
      </c>
      <c r="M622" s="192" t="s">
        <v>919</v>
      </c>
      <c r="N622" s="192" t="s">
        <v>65</v>
      </c>
      <c r="O622" s="192" t="s">
        <v>65</v>
      </c>
      <c r="P622" s="192" t="s">
        <v>926</v>
      </c>
      <c r="Q622" s="192">
        <v>4.5000001788139343E-2</v>
      </c>
      <c r="R622" s="192">
        <v>3.0999999046325684</v>
      </c>
      <c r="S622" s="192">
        <f>VLOOKUP($H622,'RBSA Weights'!$A$2:$C$1406,3,FALSE)</f>
        <v>1904.288</v>
      </c>
    </row>
    <row r="623" spans="1:19">
      <c r="A623" s="192" t="s">
        <v>928</v>
      </c>
      <c r="B623" s="192">
        <v>1</v>
      </c>
      <c r="C623" s="192">
        <v>0</v>
      </c>
      <c r="D623" s="192" t="s">
        <v>65</v>
      </c>
      <c r="E623" s="192">
        <v>1</v>
      </c>
      <c r="F623" s="192">
        <v>0</v>
      </c>
      <c r="G623" s="192">
        <v>213625</v>
      </c>
      <c r="H623" s="192">
        <v>23830</v>
      </c>
      <c r="I623" s="192">
        <v>1</v>
      </c>
      <c r="J623" s="192">
        <v>1968</v>
      </c>
      <c r="K623" s="192" t="s">
        <v>918</v>
      </c>
      <c r="L623" s="192" t="s">
        <v>65</v>
      </c>
      <c r="M623" s="192" t="s">
        <v>919</v>
      </c>
      <c r="N623" s="192" t="s">
        <v>65</v>
      </c>
      <c r="O623" s="192" t="s">
        <v>65</v>
      </c>
      <c r="P623" s="192" t="s">
        <v>65</v>
      </c>
      <c r="Q623" s="192">
        <v>4.5000001788139343E-2</v>
      </c>
      <c r="R623" s="192">
        <v>3.0999999046325684</v>
      </c>
      <c r="S623" s="192">
        <f>VLOOKUP($H623,'RBSA Weights'!$A$2:$C$1406,3,FALSE)</f>
        <v>1612.692</v>
      </c>
    </row>
    <row r="624" spans="1:19">
      <c r="A624" s="192" t="s">
        <v>928</v>
      </c>
      <c r="B624" s="192">
        <v>1</v>
      </c>
      <c r="C624" s="192">
        <v>0</v>
      </c>
      <c r="D624" s="192" t="s">
        <v>65</v>
      </c>
      <c r="E624" s="192">
        <v>1</v>
      </c>
      <c r="F624" s="192">
        <v>0</v>
      </c>
      <c r="G624" s="192">
        <v>158163</v>
      </c>
      <c r="H624" s="192">
        <v>20155</v>
      </c>
      <c r="I624" s="192">
        <v>1</v>
      </c>
      <c r="J624" s="192">
        <v>2156</v>
      </c>
      <c r="K624" s="192" t="s">
        <v>918</v>
      </c>
      <c r="L624" s="192" t="s">
        <v>65</v>
      </c>
      <c r="M624" s="192" t="s">
        <v>919</v>
      </c>
      <c r="N624" s="192" t="s">
        <v>65</v>
      </c>
      <c r="O624" s="192" t="s">
        <v>65</v>
      </c>
      <c r="P624" s="192" t="s">
        <v>65</v>
      </c>
      <c r="Q624" s="192">
        <v>4.5000001788139343E-2</v>
      </c>
      <c r="R624" s="192">
        <v>3.0999999046325684</v>
      </c>
      <c r="S624" s="192">
        <f>VLOOKUP($H624,'RBSA Weights'!$A$2:$C$1406,3,FALSE)</f>
        <v>1612.692</v>
      </c>
    </row>
    <row r="625" spans="1:19">
      <c r="A625" s="192" t="s">
        <v>928</v>
      </c>
      <c r="B625" s="192">
        <v>1</v>
      </c>
      <c r="C625" s="192">
        <v>0</v>
      </c>
      <c r="D625" s="192" t="s">
        <v>65</v>
      </c>
      <c r="E625" s="192">
        <v>1</v>
      </c>
      <c r="F625" s="192">
        <v>0</v>
      </c>
      <c r="G625" s="192">
        <v>725078</v>
      </c>
      <c r="H625" s="192">
        <v>11346</v>
      </c>
      <c r="I625" s="192">
        <v>1</v>
      </c>
      <c r="J625" s="192">
        <v>1620</v>
      </c>
      <c r="K625" s="192" t="s">
        <v>925</v>
      </c>
      <c r="L625" s="192" t="s">
        <v>737</v>
      </c>
      <c r="M625" s="192" t="s">
        <v>919</v>
      </c>
      <c r="N625" s="192" t="s">
        <v>65</v>
      </c>
      <c r="O625" s="192" t="s">
        <v>65</v>
      </c>
      <c r="P625" s="192" t="s">
        <v>65</v>
      </c>
      <c r="Q625" s="192">
        <v>4.5000001788139343E-2</v>
      </c>
      <c r="R625" s="192">
        <v>3.0999999046325684</v>
      </c>
      <c r="S625" s="192">
        <f>VLOOKUP($H625,'RBSA Weights'!$A$2:$C$1406,3,FALSE)</f>
        <v>4956.4930000000004</v>
      </c>
    </row>
    <row r="626" spans="1:19">
      <c r="A626" s="192" t="s">
        <v>928</v>
      </c>
      <c r="B626" s="192">
        <v>1</v>
      </c>
      <c r="C626" s="192">
        <v>0</v>
      </c>
      <c r="D626" s="192" t="s">
        <v>65</v>
      </c>
      <c r="E626" s="192">
        <v>1</v>
      </c>
      <c r="F626" s="192">
        <v>0</v>
      </c>
      <c r="G626" s="192">
        <v>154061</v>
      </c>
      <c r="H626" s="192">
        <v>23480</v>
      </c>
      <c r="I626" s="192">
        <v>1</v>
      </c>
      <c r="J626" s="192">
        <v>1960</v>
      </c>
      <c r="K626" s="192" t="s">
        <v>918</v>
      </c>
      <c r="L626" s="192" t="s">
        <v>65</v>
      </c>
      <c r="M626" s="192" t="s">
        <v>923</v>
      </c>
      <c r="N626" s="192" t="s">
        <v>65</v>
      </c>
      <c r="O626" s="192" t="s">
        <v>65</v>
      </c>
      <c r="P626" s="192" t="s">
        <v>65</v>
      </c>
      <c r="Q626" s="192">
        <v>4.5000001788139343E-2</v>
      </c>
      <c r="R626" s="192">
        <v>3.0999999046325684</v>
      </c>
      <c r="S626" s="192">
        <f>VLOOKUP($H626,'RBSA Weights'!$A$2:$C$1406,3,FALSE)</f>
        <v>1612.692</v>
      </c>
    </row>
    <row r="627" spans="1:19">
      <c r="A627" s="192" t="s">
        <v>928</v>
      </c>
      <c r="B627" s="192">
        <v>1</v>
      </c>
      <c r="C627" s="192">
        <v>0</v>
      </c>
      <c r="D627" s="192" t="s">
        <v>65</v>
      </c>
      <c r="E627" s="192">
        <v>1</v>
      </c>
      <c r="F627" s="192">
        <v>0</v>
      </c>
      <c r="G627" s="192">
        <v>107502</v>
      </c>
      <c r="H627" s="192">
        <v>23607</v>
      </c>
      <c r="I627" s="192">
        <v>1</v>
      </c>
      <c r="J627" s="192">
        <v>1600</v>
      </c>
      <c r="K627" s="192" t="s">
        <v>925</v>
      </c>
      <c r="L627" s="192" t="s">
        <v>737</v>
      </c>
      <c r="M627" s="192" t="s">
        <v>923</v>
      </c>
      <c r="N627" s="192" t="s">
        <v>65</v>
      </c>
      <c r="O627" s="192" t="s">
        <v>65</v>
      </c>
      <c r="P627" s="192" t="s">
        <v>926</v>
      </c>
      <c r="Q627" s="192">
        <v>4.5000001788139343E-2</v>
      </c>
      <c r="R627" s="192">
        <v>3.0999999046325684</v>
      </c>
      <c r="S627" s="192">
        <f>VLOOKUP($H627,'RBSA Weights'!$A$2:$C$1406,3,FALSE)</f>
        <v>2079.9929999999999</v>
      </c>
    </row>
    <row r="628" spans="1:19">
      <c r="A628" s="192" t="s">
        <v>928</v>
      </c>
      <c r="B628" s="192">
        <v>1</v>
      </c>
      <c r="C628" s="192">
        <v>0</v>
      </c>
      <c r="D628" s="192" t="s">
        <v>65</v>
      </c>
      <c r="E628" s="192">
        <v>1</v>
      </c>
      <c r="F628" s="192">
        <v>0</v>
      </c>
      <c r="G628" s="192">
        <v>174290</v>
      </c>
      <c r="H628" s="192">
        <v>10398</v>
      </c>
      <c r="I628" s="192">
        <v>1</v>
      </c>
      <c r="J628" s="192">
        <v>1920</v>
      </c>
      <c r="K628" s="192" t="s">
        <v>918</v>
      </c>
      <c r="L628" s="192" t="s">
        <v>65</v>
      </c>
      <c r="M628" s="192" t="s">
        <v>923</v>
      </c>
      <c r="N628" s="192" t="s">
        <v>65</v>
      </c>
      <c r="O628" s="192" t="s">
        <v>65</v>
      </c>
      <c r="P628" s="192" t="s">
        <v>65</v>
      </c>
      <c r="Q628" s="192">
        <v>4.5000001788139343E-2</v>
      </c>
      <c r="R628" s="192">
        <v>3.0999999046325684</v>
      </c>
      <c r="S628" s="192">
        <f>VLOOKUP($H628,'RBSA Weights'!$A$2:$C$1406,3,FALSE)</f>
        <v>6932.7380000000003</v>
      </c>
    </row>
    <row r="629" spans="1:19">
      <c r="A629" s="192" t="s">
        <v>928</v>
      </c>
      <c r="B629" s="192">
        <v>1</v>
      </c>
      <c r="C629" s="192">
        <v>0</v>
      </c>
      <c r="D629" s="192" t="s">
        <v>65</v>
      </c>
      <c r="E629" s="192">
        <v>1</v>
      </c>
      <c r="F629" s="192">
        <v>0</v>
      </c>
      <c r="G629" s="192">
        <v>105618</v>
      </c>
      <c r="H629" s="192">
        <v>10701</v>
      </c>
      <c r="I629" s="192">
        <v>1</v>
      </c>
      <c r="J629" s="192">
        <v>1874</v>
      </c>
      <c r="K629" s="192" t="s">
        <v>918</v>
      </c>
      <c r="L629" s="192" t="s">
        <v>737</v>
      </c>
      <c r="M629" s="192" t="s">
        <v>923</v>
      </c>
      <c r="N629" s="192" t="s">
        <v>65</v>
      </c>
      <c r="O629" s="192" t="s">
        <v>65</v>
      </c>
      <c r="P629" s="192" t="s">
        <v>926</v>
      </c>
      <c r="Q629" s="192">
        <v>4.5000001788139343E-2</v>
      </c>
      <c r="R629" s="192">
        <v>3.0999999046325684</v>
      </c>
      <c r="S629" s="192">
        <f>VLOOKUP($H629,'RBSA Weights'!$A$2:$C$1406,3,FALSE)</f>
        <v>4956.4930000000004</v>
      </c>
    </row>
    <row r="630" spans="1:19">
      <c r="A630" s="192" t="s">
        <v>928</v>
      </c>
      <c r="B630" s="192">
        <v>1</v>
      </c>
      <c r="C630" s="192">
        <v>0</v>
      </c>
      <c r="D630" s="192" t="s">
        <v>65</v>
      </c>
      <c r="E630" s="192">
        <v>1</v>
      </c>
      <c r="F630" s="192">
        <v>1</v>
      </c>
      <c r="G630" s="192">
        <v>179020</v>
      </c>
      <c r="H630" s="192">
        <v>22225</v>
      </c>
      <c r="I630" s="192">
        <v>1</v>
      </c>
      <c r="J630" s="192">
        <v>1100</v>
      </c>
      <c r="K630" s="192" t="s">
        <v>918</v>
      </c>
      <c r="L630" s="192" t="s">
        <v>65</v>
      </c>
      <c r="M630" s="192" t="s">
        <v>919</v>
      </c>
      <c r="N630" s="192" t="s">
        <v>65</v>
      </c>
      <c r="O630" s="192" t="s">
        <v>65</v>
      </c>
      <c r="P630" s="192" t="s">
        <v>65</v>
      </c>
      <c r="Q630" s="192">
        <v>4.5000001788139343E-2</v>
      </c>
      <c r="R630" s="192">
        <v>4.5</v>
      </c>
      <c r="S630" s="192">
        <f>VLOOKUP($H630,'RBSA Weights'!$A$2:$C$1406,3,FALSE)</f>
        <v>1925.059</v>
      </c>
    </row>
    <row r="631" spans="1:19">
      <c r="A631" s="192" t="s">
        <v>928</v>
      </c>
      <c r="B631" s="192">
        <v>1</v>
      </c>
      <c r="C631" s="192">
        <v>0</v>
      </c>
      <c r="D631" s="192" t="s">
        <v>65</v>
      </c>
      <c r="E631" s="192">
        <v>1</v>
      </c>
      <c r="F631" s="192">
        <v>0</v>
      </c>
      <c r="G631" s="192">
        <v>65229</v>
      </c>
      <c r="H631" s="192">
        <v>24816</v>
      </c>
      <c r="I631" s="192">
        <v>1</v>
      </c>
      <c r="J631" s="192">
        <v>1750</v>
      </c>
      <c r="K631" s="192" t="s">
        <v>925</v>
      </c>
      <c r="L631" s="192" t="s">
        <v>737</v>
      </c>
      <c r="M631" s="192" t="s">
        <v>919</v>
      </c>
      <c r="N631" s="192" t="s">
        <v>65</v>
      </c>
      <c r="O631" s="192" t="s">
        <v>65</v>
      </c>
      <c r="P631" s="192" t="s">
        <v>926</v>
      </c>
      <c r="Q631" s="192">
        <v>4.5000001788139343E-2</v>
      </c>
      <c r="R631" s="192">
        <v>3.0999999046325684</v>
      </c>
      <c r="S631" s="192">
        <f>VLOOKUP($H631,'RBSA Weights'!$A$2:$C$1406,3,FALSE)</f>
        <v>2079.9929999999999</v>
      </c>
    </row>
    <row r="632" spans="1:19">
      <c r="A632" s="192" t="s">
        <v>928</v>
      </c>
      <c r="B632" s="192">
        <v>1</v>
      </c>
      <c r="C632" s="192">
        <v>0</v>
      </c>
      <c r="D632" s="192" t="s">
        <v>65</v>
      </c>
      <c r="E632" s="192">
        <v>1</v>
      </c>
      <c r="F632" s="192">
        <v>0</v>
      </c>
      <c r="G632" s="192">
        <v>174422</v>
      </c>
      <c r="H632" s="192">
        <v>11154</v>
      </c>
      <c r="I632" s="192">
        <v>1</v>
      </c>
      <c r="J632" s="192">
        <v>760</v>
      </c>
      <c r="K632" s="192" t="s">
        <v>918</v>
      </c>
      <c r="L632" s="192" t="s">
        <v>65</v>
      </c>
      <c r="M632" s="192" t="s">
        <v>923</v>
      </c>
      <c r="N632" s="192" t="s">
        <v>65</v>
      </c>
      <c r="O632" s="192" t="s">
        <v>65</v>
      </c>
      <c r="P632" s="192" t="s">
        <v>65</v>
      </c>
      <c r="Q632" s="192">
        <v>4.5000001788139343E-2</v>
      </c>
      <c r="R632" s="192">
        <v>3.0999999046325684</v>
      </c>
      <c r="S632" s="192">
        <f>VLOOKUP($H632,'RBSA Weights'!$A$2:$C$1406,3,FALSE)</f>
        <v>6932.7380000000003</v>
      </c>
    </row>
    <row r="633" spans="1:19">
      <c r="A633" s="192" t="s">
        <v>928</v>
      </c>
      <c r="B633" s="192">
        <v>1</v>
      </c>
      <c r="C633" s="192">
        <v>0</v>
      </c>
      <c r="D633" s="192" t="s">
        <v>65</v>
      </c>
      <c r="E633" s="192">
        <v>1</v>
      </c>
      <c r="F633" s="192">
        <v>1</v>
      </c>
      <c r="G633" s="192">
        <v>218974</v>
      </c>
      <c r="H633" s="192">
        <v>20894</v>
      </c>
      <c r="I633" s="192">
        <v>1</v>
      </c>
      <c r="J633" s="192">
        <v>675</v>
      </c>
      <c r="K633" s="192" t="s">
        <v>925</v>
      </c>
      <c r="L633" s="192" t="s">
        <v>737</v>
      </c>
      <c r="M633" s="192" t="s">
        <v>919</v>
      </c>
      <c r="N633" s="192" t="s">
        <v>65</v>
      </c>
      <c r="O633" s="192" t="s">
        <v>65</v>
      </c>
      <c r="P633" s="192" t="s">
        <v>65</v>
      </c>
      <c r="Q633" s="192">
        <v>4.5000001788139343E-2</v>
      </c>
      <c r="R633" s="192">
        <v>4.5</v>
      </c>
      <c r="S633" s="192">
        <f>VLOOKUP($H633,'RBSA Weights'!$A$2:$C$1406,3,FALSE)</f>
        <v>2079.9929999999999</v>
      </c>
    </row>
    <row r="634" spans="1:19">
      <c r="A634" s="192" t="s">
        <v>928</v>
      </c>
      <c r="B634" s="192">
        <v>1</v>
      </c>
      <c r="C634" s="192">
        <v>0</v>
      </c>
      <c r="D634" s="192" t="s">
        <v>65</v>
      </c>
      <c r="E634" s="192">
        <v>1</v>
      </c>
      <c r="F634" s="192">
        <v>0</v>
      </c>
      <c r="G634" s="192">
        <v>114571</v>
      </c>
      <c r="H634" s="192">
        <v>24689</v>
      </c>
      <c r="I634" s="192">
        <v>1</v>
      </c>
      <c r="J634" s="192">
        <v>1308</v>
      </c>
      <c r="K634" s="192" t="s">
        <v>925</v>
      </c>
      <c r="L634" s="192" t="s">
        <v>737</v>
      </c>
      <c r="M634" s="192" t="s">
        <v>919</v>
      </c>
      <c r="N634" s="192" t="s">
        <v>65</v>
      </c>
      <c r="O634" s="192" t="s">
        <v>65</v>
      </c>
      <c r="P634" s="192" t="s">
        <v>926</v>
      </c>
      <c r="Q634" s="192">
        <v>4.5000001788139343E-2</v>
      </c>
      <c r="R634" s="192">
        <v>3.0999999046325684</v>
      </c>
      <c r="S634" s="192">
        <f>VLOOKUP($H634,'RBSA Weights'!$A$2:$C$1406,3,FALSE)</f>
        <v>1904.288</v>
      </c>
    </row>
    <row r="635" spans="1:19">
      <c r="A635" s="192" t="s">
        <v>928</v>
      </c>
      <c r="B635" s="192">
        <v>1</v>
      </c>
      <c r="C635" s="192">
        <v>0</v>
      </c>
      <c r="D635" s="192" t="s">
        <v>65</v>
      </c>
      <c r="E635" s="192">
        <v>1</v>
      </c>
      <c r="F635" s="192">
        <v>1</v>
      </c>
      <c r="G635" s="192">
        <v>732586</v>
      </c>
      <c r="H635" s="192">
        <v>24808</v>
      </c>
      <c r="I635" s="192">
        <v>1</v>
      </c>
      <c r="J635" s="192">
        <v>138</v>
      </c>
      <c r="K635" s="192" t="s">
        <v>918</v>
      </c>
      <c r="L635" s="192" t="s">
        <v>65</v>
      </c>
      <c r="M635" s="192" t="s">
        <v>919</v>
      </c>
      <c r="N635" s="192" t="s">
        <v>65</v>
      </c>
      <c r="O635" s="192" t="s">
        <v>65</v>
      </c>
      <c r="P635" s="192" t="s">
        <v>65</v>
      </c>
      <c r="Q635" s="192">
        <v>4.5000001788139343E-2</v>
      </c>
      <c r="R635" s="192">
        <v>4.5</v>
      </c>
      <c r="S635" s="192">
        <f>VLOOKUP($H635,'RBSA Weights'!$A$2:$C$1406,3,FALSE)</f>
        <v>3785.7640000000001</v>
      </c>
    </row>
    <row r="636" spans="1:19">
      <c r="A636" s="192" t="s">
        <v>928</v>
      </c>
      <c r="B636" s="192">
        <v>1</v>
      </c>
      <c r="C636" s="192">
        <v>0</v>
      </c>
      <c r="D636" s="192" t="s">
        <v>65</v>
      </c>
      <c r="E636" s="192">
        <v>1</v>
      </c>
      <c r="F636" s="192">
        <v>0</v>
      </c>
      <c r="G636" s="192">
        <v>141640</v>
      </c>
      <c r="H636" s="192">
        <v>23449</v>
      </c>
      <c r="I636" s="192">
        <v>1</v>
      </c>
      <c r="J636" s="192">
        <v>1444</v>
      </c>
      <c r="K636" s="192" t="s">
        <v>918</v>
      </c>
      <c r="L636" s="192" t="s">
        <v>922</v>
      </c>
      <c r="M636" s="192" t="s">
        <v>919</v>
      </c>
      <c r="N636" s="192" t="s">
        <v>65</v>
      </c>
      <c r="O636" s="192" t="s">
        <v>65</v>
      </c>
      <c r="P636" s="192" t="s">
        <v>65</v>
      </c>
      <c r="Q636" s="192">
        <v>4.5000001788139343E-2</v>
      </c>
      <c r="R636" s="192">
        <v>3.0999999046325684</v>
      </c>
      <c r="S636" s="192">
        <f>VLOOKUP($H636,'RBSA Weights'!$A$2:$C$1406,3,FALSE)</f>
        <v>8264.9449999999997</v>
      </c>
    </row>
    <row r="637" spans="1:19">
      <c r="A637" s="192" t="s">
        <v>928</v>
      </c>
      <c r="B637" s="192">
        <v>1</v>
      </c>
      <c r="C637" s="192">
        <v>0</v>
      </c>
      <c r="D637" s="192" t="s">
        <v>65</v>
      </c>
      <c r="E637" s="192">
        <v>1</v>
      </c>
      <c r="F637" s="192">
        <v>0</v>
      </c>
      <c r="G637" s="192">
        <v>89366</v>
      </c>
      <c r="H637" s="192">
        <v>11520</v>
      </c>
      <c r="I637" s="192">
        <v>1</v>
      </c>
      <c r="J637" s="192">
        <v>1456</v>
      </c>
      <c r="K637" s="192" t="s">
        <v>918</v>
      </c>
      <c r="L637" s="192" t="s">
        <v>737</v>
      </c>
      <c r="M637" s="192" t="s">
        <v>923</v>
      </c>
      <c r="N637" s="192" t="s">
        <v>65</v>
      </c>
      <c r="O637" s="192" t="s">
        <v>65</v>
      </c>
      <c r="P637" s="192" t="s">
        <v>924</v>
      </c>
      <c r="Q637" s="192">
        <v>4.5000001788139343E-2</v>
      </c>
      <c r="R637" s="192">
        <v>3.0999999046325684</v>
      </c>
      <c r="S637" s="192">
        <f>VLOOKUP($H637,'RBSA Weights'!$A$2:$C$1406,3,FALSE)</f>
        <v>2003.7159999999999</v>
      </c>
    </row>
    <row r="638" spans="1:19">
      <c r="A638" s="192" t="s">
        <v>928</v>
      </c>
      <c r="B638" s="192">
        <v>1</v>
      </c>
      <c r="C638" s="192">
        <v>0</v>
      </c>
      <c r="D638" s="192" t="s">
        <v>65</v>
      </c>
      <c r="E638" s="192">
        <v>1</v>
      </c>
      <c r="F638" s="192">
        <v>0</v>
      </c>
      <c r="G638" s="192">
        <v>92399</v>
      </c>
      <c r="H638" s="192">
        <v>12630</v>
      </c>
      <c r="I638" s="192">
        <v>1</v>
      </c>
      <c r="J638" s="192">
        <v>782</v>
      </c>
      <c r="K638" s="192" t="s">
        <v>918</v>
      </c>
      <c r="L638" s="192" t="s">
        <v>922</v>
      </c>
      <c r="M638" s="192" t="s">
        <v>919</v>
      </c>
      <c r="N638" s="192" t="s">
        <v>65</v>
      </c>
      <c r="O638" s="192" t="s">
        <v>65</v>
      </c>
      <c r="P638" s="192" t="s">
        <v>926</v>
      </c>
      <c r="Q638" s="192">
        <v>4.5000001788139343E-2</v>
      </c>
      <c r="R638" s="192">
        <v>3.0999999046325684</v>
      </c>
      <c r="S638" s="192">
        <f>VLOOKUP($H638,'RBSA Weights'!$A$2:$C$1406,3,FALSE)</f>
        <v>2003.7159999999999</v>
      </c>
    </row>
    <row r="639" spans="1:19">
      <c r="A639" s="192" t="s">
        <v>928</v>
      </c>
      <c r="B639" s="192">
        <v>1</v>
      </c>
      <c r="C639" s="192">
        <v>0</v>
      </c>
      <c r="D639" s="192" t="s">
        <v>65</v>
      </c>
      <c r="E639" s="192">
        <v>1</v>
      </c>
      <c r="F639" s="192">
        <v>0</v>
      </c>
      <c r="G639" s="192">
        <v>91139</v>
      </c>
      <c r="H639" s="192">
        <v>13141</v>
      </c>
      <c r="I639" s="192">
        <v>1</v>
      </c>
      <c r="J639" s="192">
        <v>1296</v>
      </c>
      <c r="K639" s="192" t="s">
        <v>925</v>
      </c>
      <c r="L639" s="192" t="s">
        <v>737</v>
      </c>
      <c r="M639" s="192" t="s">
        <v>919</v>
      </c>
      <c r="N639" s="192" t="s">
        <v>65</v>
      </c>
      <c r="O639" s="192" t="s">
        <v>65</v>
      </c>
      <c r="P639" s="192" t="s">
        <v>926</v>
      </c>
      <c r="Q639" s="192">
        <v>4.5000001788139343E-2</v>
      </c>
      <c r="R639" s="192">
        <v>3.0999999046325684</v>
      </c>
      <c r="S639" s="192">
        <f>VLOOKUP($H639,'RBSA Weights'!$A$2:$C$1406,3,FALSE)</f>
        <v>4956.4930000000004</v>
      </c>
    </row>
    <row r="640" spans="1:19">
      <c r="A640" s="192" t="s">
        <v>928</v>
      </c>
      <c r="B640" s="192">
        <v>1</v>
      </c>
      <c r="C640" s="192">
        <v>0</v>
      </c>
      <c r="D640" s="192" t="s">
        <v>65</v>
      </c>
      <c r="E640" s="192">
        <v>1</v>
      </c>
      <c r="F640" s="192">
        <v>0</v>
      </c>
      <c r="G640" s="192">
        <v>85736</v>
      </c>
      <c r="H640" s="192">
        <v>11993</v>
      </c>
      <c r="I640" s="192">
        <v>1</v>
      </c>
      <c r="J640" s="192">
        <v>875</v>
      </c>
      <c r="K640" s="192" t="s">
        <v>918</v>
      </c>
      <c r="L640" s="192" t="s">
        <v>737</v>
      </c>
      <c r="M640" s="192" t="s">
        <v>919</v>
      </c>
      <c r="N640" s="192" t="s">
        <v>65</v>
      </c>
      <c r="O640" s="192" t="s">
        <v>65</v>
      </c>
      <c r="P640" s="192" t="s">
        <v>926</v>
      </c>
      <c r="Q640" s="192">
        <v>4.5000001788139343E-2</v>
      </c>
      <c r="R640" s="192">
        <v>3.0999999046325684</v>
      </c>
      <c r="S640" s="192">
        <f>VLOOKUP($H640,'RBSA Weights'!$A$2:$C$1406,3,FALSE)</f>
        <v>2003.7159999999999</v>
      </c>
    </row>
    <row r="641" spans="1:19">
      <c r="A641" s="192" t="s">
        <v>928</v>
      </c>
      <c r="B641" s="192">
        <v>1</v>
      </c>
      <c r="C641" s="192">
        <v>0</v>
      </c>
      <c r="D641" s="192" t="s">
        <v>65</v>
      </c>
      <c r="E641" s="192">
        <v>1</v>
      </c>
      <c r="F641" s="192">
        <v>0</v>
      </c>
      <c r="G641" s="192">
        <v>96234</v>
      </c>
      <c r="H641" s="192">
        <v>10174</v>
      </c>
      <c r="I641" s="192">
        <v>1</v>
      </c>
      <c r="J641" s="192">
        <v>1513</v>
      </c>
      <c r="K641" s="192" t="s">
        <v>925</v>
      </c>
      <c r="L641" s="192" t="s">
        <v>927</v>
      </c>
      <c r="M641" s="192" t="s">
        <v>923</v>
      </c>
      <c r="N641" s="192" t="s">
        <v>65</v>
      </c>
      <c r="O641" s="192" t="s">
        <v>65</v>
      </c>
      <c r="P641" s="192" t="s">
        <v>926</v>
      </c>
      <c r="Q641" s="192">
        <v>4.5000001788139343E-2</v>
      </c>
      <c r="R641" s="192">
        <v>3.0999999046325684</v>
      </c>
      <c r="S641" s="192">
        <f>VLOOKUP($H641,'RBSA Weights'!$A$2:$C$1406,3,FALSE)</f>
        <v>4956.4930000000004</v>
      </c>
    </row>
    <row r="642" spans="1:19">
      <c r="A642" s="192" t="s">
        <v>928</v>
      </c>
      <c r="B642" s="192">
        <v>1</v>
      </c>
      <c r="C642" s="192">
        <v>1</v>
      </c>
      <c r="D642" s="192" t="s">
        <v>933</v>
      </c>
      <c r="E642" s="192">
        <v>1</v>
      </c>
      <c r="F642" s="192">
        <v>1</v>
      </c>
      <c r="G642" s="192">
        <v>176112</v>
      </c>
      <c r="H642" s="192">
        <v>23387</v>
      </c>
      <c r="I642" s="192">
        <v>1</v>
      </c>
      <c r="J642" s="192">
        <v>1960</v>
      </c>
      <c r="K642" s="192" t="s">
        <v>925</v>
      </c>
      <c r="L642" s="192" t="s">
        <v>927</v>
      </c>
      <c r="M642" s="192" t="s">
        <v>923</v>
      </c>
      <c r="N642" s="192" t="s">
        <v>65</v>
      </c>
      <c r="O642" s="192" t="s">
        <v>65</v>
      </c>
      <c r="P642" s="192" t="s">
        <v>65</v>
      </c>
      <c r="Q642" s="192">
        <v>4.5000001788139343E-2</v>
      </c>
      <c r="R642" s="192">
        <v>8.8000001907348633</v>
      </c>
      <c r="S642" s="192">
        <f>VLOOKUP($H642,'RBSA Weights'!$A$2:$C$1406,3,FALSE)</f>
        <v>1144.6790000000001</v>
      </c>
    </row>
    <row r="643" spans="1:19">
      <c r="A643" s="192" t="s">
        <v>928</v>
      </c>
      <c r="B643" s="192">
        <v>1</v>
      </c>
      <c r="C643" s="192">
        <v>0</v>
      </c>
      <c r="D643" s="192" t="s">
        <v>65</v>
      </c>
      <c r="E643" s="192">
        <v>1</v>
      </c>
      <c r="F643" s="192">
        <v>0</v>
      </c>
      <c r="G643" s="192">
        <v>41982</v>
      </c>
      <c r="H643" s="192">
        <v>11872</v>
      </c>
      <c r="I643" s="192">
        <v>1</v>
      </c>
      <c r="J643" s="192">
        <v>894</v>
      </c>
      <c r="K643" s="192" t="s">
        <v>925</v>
      </c>
      <c r="L643" s="192" t="s">
        <v>737</v>
      </c>
      <c r="M643" s="192" t="s">
        <v>923</v>
      </c>
      <c r="N643" s="192" t="s">
        <v>65</v>
      </c>
      <c r="O643" s="192" t="s">
        <v>975</v>
      </c>
      <c r="P643" s="192" t="s">
        <v>926</v>
      </c>
      <c r="Q643" s="192">
        <v>4.5000001788139343E-2</v>
      </c>
      <c r="R643" s="192">
        <v>3.0999999046325684</v>
      </c>
      <c r="S643" s="192">
        <f>VLOOKUP($H643,'RBSA Weights'!$A$2:$C$1406,3,FALSE)</f>
        <v>1524.7619999999999</v>
      </c>
    </row>
    <row r="644" spans="1:19">
      <c r="A644" s="192" t="s">
        <v>928</v>
      </c>
      <c r="B644" s="192">
        <v>1</v>
      </c>
      <c r="C644" s="192">
        <v>0</v>
      </c>
      <c r="D644" s="192" t="s">
        <v>65</v>
      </c>
      <c r="E644" s="192">
        <v>1</v>
      </c>
      <c r="F644" s="192">
        <v>0</v>
      </c>
      <c r="G644" s="192">
        <v>97430</v>
      </c>
      <c r="H644" s="192">
        <v>10630</v>
      </c>
      <c r="I644" s="192">
        <v>2</v>
      </c>
      <c r="J644" s="192">
        <v>66</v>
      </c>
      <c r="K644" s="192" t="s">
        <v>925</v>
      </c>
      <c r="L644" s="192" t="s">
        <v>922</v>
      </c>
      <c r="M644" s="192" t="s">
        <v>919</v>
      </c>
      <c r="N644" s="192" t="s">
        <v>65</v>
      </c>
      <c r="O644" s="192" t="s">
        <v>976</v>
      </c>
      <c r="P644" s="192" t="s">
        <v>65</v>
      </c>
      <c r="Q644" s="192">
        <v>4.5000001788139343E-2</v>
      </c>
      <c r="R644" s="192">
        <v>3.0999999046325684</v>
      </c>
      <c r="S644" s="192">
        <f>VLOOKUP($H644,'RBSA Weights'!$A$2:$C$1406,3,FALSE)</f>
        <v>4956.4930000000004</v>
      </c>
    </row>
    <row r="645" spans="1:19">
      <c r="A645" s="192" t="s">
        <v>928</v>
      </c>
      <c r="B645" s="192">
        <v>1</v>
      </c>
      <c r="C645" s="192">
        <v>0</v>
      </c>
      <c r="D645" s="192" t="s">
        <v>65</v>
      </c>
      <c r="E645" s="192">
        <v>0</v>
      </c>
      <c r="F645" s="192">
        <v>0</v>
      </c>
      <c r="G645" s="192">
        <v>27800</v>
      </c>
      <c r="H645" s="192">
        <v>14078</v>
      </c>
      <c r="I645" s="192">
        <v>1</v>
      </c>
      <c r="J645" s="192">
        <v>700</v>
      </c>
      <c r="K645" s="192" t="s">
        <v>925</v>
      </c>
      <c r="L645" s="192" t="s">
        <v>737</v>
      </c>
      <c r="M645" s="192" t="s">
        <v>919</v>
      </c>
      <c r="N645" s="192" t="s">
        <v>65</v>
      </c>
      <c r="O645" s="192" t="s">
        <v>65</v>
      </c>
      <c r="P645" s="192" t="s">
        <v>924</v>
      </c>
      <c r="Q645" s="192">
        <v>4.5000001788139343E-2</v>
      </c>
      <c r="R645" s="192">
        <v>5</v>
      </c>
      <c r="S645" s="192">
        <f>VLOOKUP($H645,'RBSA Weights'!$A$2:$C$1406,3,FALSE)</f>
        <v>1150.8789999999999</v>
      </c>
    </row>
    <row r="646" spans="1:19">
      <c r="A646" s="192" t="s">
        <v>928</v>
      </c>
      <c r="B646" s="192">
        <v>1</v>
      </c>
      <c r="C646" s="192">
        <v>1</v>
      </c>
      <c r="D646" s="192" t="s">
        <v>921</v>
      </c>
      <c r="E646" s="192">
        <v>1</v>
      </c>
      <c r="F646" s="192">
        <v>0</v>
      </c>
      <c r="G646" s="192">
        <v>42854</v>
      </c>
      <c r="H646" s="192">
        <v>11375</v>
      </c>
      <c r="I646" s="192">
        <v>1</v>
      </c>
      <c r="J646" s="192">
        <v>384</v>
      </c>
      <c r="K646" s="192" t="s">
        <v>925</v>
      </c>
      <c r="L646" s="192" t="s">
        <v>737</v>
      </c>
      <c r="M646" s="192" t="s">
        <v>919</v>
      </c>
      <c r="N646" s="192" t="s">
        <v>924</v>
      </c>
      <c r="O646" s="192" t="s">
        <v>65</v>
      </c>
      <c r="P646" s="192" t="s">
        <v>924</v>
      </c>
      <c r="Q646" s="192">
        <v>4.5000001788139343E-2</v>
      </c>
      <c r="R646" s="192">
        <v>4.5</v>
      </c>
      <c r="S646" s="192">
        <f>VLOOKUP($H646,'RBSA Weights'!$A$2:$C$1406,3,FALSE)</f>
        <v>1524.7619999999999</v>
      </c>
    </row>
    <row r="647" spans="1:19">
      <c r="A647" s="192" t="s">
        <v>928</v>
      </c>
      <c r="B647" s="192">
        <v>1</v>
      </c>
      <c r="C647" s="192">
        <v>0</v>
      </c>
      <c r="D647" s="192" t="s">
        <v>65</v>
      </c>
      <c r="E647" s="192">
        <v>1</v>
      </c>
      <c r="F647" s="192">
        <v>0</v>
      </c>
      <c r="G647" s="192">
        <v>783086</v>
      </c>
      <c r="H647" s="192">
        <v>21684</v>
      </c>
      <c r="I647" s="192">
        <v>1</v>
      </c>
      <c r="J647" s="192">
        <v>2211</v>
      </c>
      <c r="K647" s="192" t="s">
        <v>925</v>
      </c>
      <c r="L647" s="192" t="s">
        <v>737</v>
      </c>
      <c r="M647" s="192" t="s">
        <v>919</v>
      </c>
      <c r="N647" s="192" t="s">
        <v>65</v>
      </c>
      <c r="O647" s="192" t="s">
        <v>65</v>
      </c>
      <c r="P647" s="192" t="s">
        <v>65</v>
      </c>
      <c r="Q647" s="192">
        <v>4.5000001788139343E-2</v>
      </c>
      <c r="R647" s="192">
        <v>3.0999999046325684</v>
      </c>
      <c r="S647" s="192">
        <f>VLOOKUP($H647,'RBSA Weights'!$A$2:$C$1406,3,FALSE)</f>
        <v>8264.9449999999997</v>
      </c>
    </row>
    <row r="648" spans="1:19">
      <c r="A648" s="192" t="s">
        <v>928</v>
      </c>
      <c r="B648" s="192">
        <v>1</v>
      </c>
      <c r="C648" s="192">
        <v>0</v>
      </c>
      <c r="D648" s="192" t="s">
        <v>65</v>
      </c>
      <c r="E648" s="192">
        <v>1</v>
      </c>
      <c r="F648" s="192">
        <v>0</v>
      </c>
      <c r="G648" s="192">
        <v>233537</v>
      </c>
      <c r="H648" s="192">
        <v>20685</v>
      </c>
      <c r="I648" s="192">
        <v>1</v>
      </c>
      <c r="J648" s="192">
        <v>1631</v>
      </c>
      <c r="K648" s="192" t="s">
        <v>918</v>
      </c>
      <c r="L648" s="192" t="s">
        <v>65</v>
      </c>
      <c r="M648" s="192" t="s">
        <v>923</v>
      </c>
      <c r="N648" s="192" t="s">
        <v>65</v>
      </c>
      <c r="O648" s="192" t="s">
        <v>65</v>
      </c>
      <c r="P648" s="192" t="s">
        <v>65</v>
      </c>
      <c r="Q648" s="192">
        <v>4.5000001788139343E-2</v>
      </c>
      <c r="R648" s="192">
        <v>3.0999999046325684</v>
      </c>
      <c r="S648" s="192">
        <f>VLOOKUP($H648,'RBSA Weights'!$A$2:$C$1406,3,FALSE)</f>
        <v>3785.7640000000001</v>
      </c>
    </row>
    <row r="649" spans="1:19">
      <c r="A649" s="192" t="s">
        <v>928</v>
      </c>
      <c r="B649" s="192">
        <v>1</v>
      </c>
      <c r="C649" s="192">
        <v>0</v>
      </c>
      <c r="D649" s="192" t="s">
        <v>65</v>
      </c>
      <c r="E649" s="192">
        <v>1</v>
      </c>
      <c r="F649" s="192">
        <v>0</v>
      </c>
      <c r="G649" s="192">
        <v>803121</v>
      </c>
      <c r="H649" s="192">
        <v>14143</v>
      </c>
      <c r="I649" s="192">
        <v>1</v>
      </c>
      <c r="J649" s="192">
        <v>1152</v>
      </c>
      <c r="K649" s="192" t="s">
        <v>925</v>
      </c>
      <c r="L649" s="192" t="s">
        <v>922</v>
      </c>
      <c r="M649" s="192" t="s">
        <v>919</v>
      </c>
      <c r="N649" s="192" t="s">
        <v>65</v>
      </c>
      <c r="O649" s="192" t="s">
        <v>65</v>
      </c>
      <c r="P649" s="192" t="s">
        <v>65</v>
      </c>
      <c r="Q649" s="192">
        <v>4.5000001788139343E-2</v>
      </c>
      <c r="R649" s="192">
        <v>3.0999999046325684</v>
      </c>
      <c r="S649" s="192">
        <f>VLOOKUP($H649,'RBSA Weights'!$A$2:$C$1406,3,FALSE)</f>
        <v>1464.694</v>
      </c>
    </row>
    <row r="650" spans="1:19">
      <c r="A650" s="192" t="s">
        <v>928</v>
      </c>
      <c r="B650" s="192">
        <v>1</v>
      </c>
      <c r="C650" s="192">
        <v>0</v>
      </c>
      <c r="D650" s="192" t="s">
        <v>65</v>
      </c>
      <c r="E650" s="192">
        <v>1</v>
      </c>
      <c r="F650" s="192">
        <v>0</v>
      </c>
      <c r="G650" s="192">
        <v>199742</v>
      </c>
      <c r="H650" s="192">
        <v>12213</v>
      </c>
      <c r="I650" s="192">
        <v>1</v>
      </c>
      <c r="J650" s="192">
        <v>736</v>
      </c>
      <c r="K650" s="192" t="s">
        <v>918</v>
      </c>
      <c r="L650" s="192" t="s">
        <v>65</v>
      </c>
      <c r="M650" s="192" t="s">
        <v>919</v>
      </c>
      <c r="N650" s="192" t="s">
        <v>65</v>
      </c>
      <c r="O650" s="192" t="s">
        <v>65</v>
      </c>
      <c r="P650" s="192" t="s">
        <v>65</v>
      </c>
      <c r="Q650" s="192">
        <v>4.5000001788139343E-2</v>
      </c>
      <c r="R650" s="192">
        <v>3.0999999046325684</v>
      </c>
      <c r="S650" s="192">
        <f>VLOOKUP($H650,'RBSA Weights'!$A$2:$C$1406,3,FALSE)</f>
        <v>1464.694</v>
      </c>
    </row>
    <row r="651" spans="1:19">
      <c r="A651" s="192" t="s">
        <v>928</v>
      </c>
      <c r="B651" s="192">
        <v>1</v>
      </c>
      <c r="C651" s="192">
        <v>0</v>
      </c>
      <c r="D651" s="192" t="s">
        <v>65</v>
      </c>
      <c r="E651" s="192">
        <v>0</v>
      </c>
      <c r="F651" s="192">
        <v>0</v>
      </c>
      <c r="G651" s="192">
        <v>107634</v>
      </c>
      <c r="H651" s="192">
        <v>24033</v>
      </c>
      <c r="I651" s="192">
        <v>1</v>
      </c>
      <c r="J651" s="192">
        <v>700</v>
      </c>
      <c r="K651" s="192" t="s">
        <v>925</v>
      </c>
      <c r="L651" s="192" t="s">
        <v>737</v>
      </c>
      <c r="M651" s="192" t="s">
        <v>919</v>
      </c>
      <c r="N651" s="192" t="s">
        <v>65</v>
      </c>
      <c r="O651" s="192" t="s">
        <v>65</v>
      </c>
      <c r="P651" s="192" t="s">
        <v>926</v>
      </c>
      <c r="Q651" s="192">
        <v>4.5000001788139343E-2</v>
      </c>
      <c r="R651" s="192">
        <v>5</v>
      </c>
      <c r="S651" s="192">
        <f>VLOOKUP($H651,'RBSA Weights'!$A$2:$C$1406,3,FALSE)</f>
        <v>2079.9929999999999</v>
      </c>
    </row>
    <row r="652" spans="1:19">
      <c r="A652" s="192" t="s">
        <v>928</v>
      </c>
      <c r="B652" s="192">
        <v>1</v>
      </c>
      <c r="C652" s="192">
        <v>0</v>
      </c>
      <c r="D652" s="192" t="s">
        <v>65</v>
      </c>
      <c r="E652" s="192">
        <v>1</v>
      </c>
      <c r="F652" s="192">
        <v>0</v>
      </c>
      <c r="G652" s="192">
        <v>199078</v>
      </c>
      <c r="H652" s="192">
        <v>21914</v>
      </c>
      <c r="I652" s="192">
        <v>1</v>
      </c>
      <c r="J652" s="192">
        <v>4190</v>
      </c>
      <c r="K652" s="192" t="s">
        <v>925</v>
      </c>
      <c r="L652" s="192" t="s">
        <v>930</v>
      </c>
      <c r="M652" s="192" t="s">
        <v>923</v>
      </c>
      <c r="N652" s="192" t="s">
        <v>65</v>
      </c>
      <c r="O652" s="192" t="s">
        <v>65</v>
      </c>
      <c r="P652" s="192" t="s">
        <v>65</v>
      </c>
      <c r="Q652" s="192">
        <v>4.5000001788139343E-2</v>
      </c>
      <c r="R652" s="192">
        <v>3.0999999046325684</v>
      </c>
      <c r="S652" s="192">
        <f>VLOOKUP($H652,'RBSA Weights'!$A$2:$C$1406,3,FALSE)</f>
        <v>1612.692</v>
      </c>
    </row>
    <row r="653" spans="1:19">
      <c r="A653" s="192" t="s">
        <v>928</v>
      </c>
      <c r="B653" s="192">
        <v>1</v>
      </c>
      <c r="C653" s="192">
        <v>0</v>
      </c>
      <c r="D653" s="192" t="s">
        <v>65</v>
      </c>
      <c r="E653" s="192">
        <v>1</v>
      </c>
      <c r="F653" s="192">
        <v>0</v>
      </c>
      <c r="G653" s="192">
        <v>115949</v>
      </c>
      <c r="H653" s="192">
        <v>13505</v>
      </c>
      <c r="I653" s="192">
        <v>1</v>
      </c>
      <c r="J653" s="192">
        <v>790</v>
      </c>
      <c r="K653" s="192" t="s">
        <v>925</v>
      </c>
      <c r="L653" s="192" t="s">
        <v>737</v>
      </c>
      <c r="M653" s="192" t="s">
        <v>919</v>
      </c>
      <c r="N653" s="192" t="s">
        <v>65</v>
      </c>
      <c r="O653" s="192" t="s">
        <v>65</v>
      </c>
      <c r="P653" s="192" t="s">
        <v>926</v>
      </c>
      <c r="Q653" s="192">
        <v>4.5000001788139343E-2</v>
      </c>
      <c r="R653" s="192">
        <v>3.0999999046325684</v>
      </c>
      <c r="S653" s="192">
        <f>VLOOKUP($H653,'RBSA Weights'!$A$2:$C$1406,3,FALSE)</f>
        <v>1464.694</v>
      </c>
    </row>
    <row r="654" spans="1:19">
      <c r="A654" s="192" t="s">
        <v>928</v>
      </c>
      <c r="B654" s="192">
        <v>1</v>
      </c>
      <c r="C654" s="192">
        <v>0</v>
      </c>
      <c r="D654" s="192" t="s">
        <v>65</v>
      </c>
      <c r="E654" s="192">
        <v>1</v>
      </c>
      <c r="F654" s="192">
        <v>1</v>
      </c>
      <c r="G654" s="192">
        <v>42236</v>
      </c>
      <c r="H654" s="192">
        <v>20166</v>
      </c>
      <c r="I654" s="192">
        <v>1</v>
      </c>
      <c r="J654" s="192">
        <v>1843</v>
      </c>
      <c r="K654" s="192" t="s">
        <v>925</v>
      </c>
      <c r="L654" s="192" t="s">
        <v>922</v>
      </c>
      <c r="M654" s="192" t="s">
        <v>919</v>
      </c>
      <c r="N654" s="192" t="s">
        <v>65</v>
      </c>
      <c r="O654" s="192" t="s">
        <v>65</v>
      </c>
      <c r="P654" s="192" t="s">
        <v>926</v>
      </c>
      <c r="Q654" s="192">
        <v>4.5000001788139343E-2</v>
      </c>
      <c r="R654" s="192">
        <v>4.5</v>
      </c>
      <c r="S654" s="192">
        <f>VLOOKUP($H654,'RBSA Weights'!$A$2:$C$1406,3,FALSE)</f>
        <v>2079.9929999999999</v>
      </c>
    </row>
    <row r="655" spans="1:19">
      <c r="A655" s="192" t="s">
        <v>928</v>
      </c>
      <c r="B655" s="192">
        <v>1</v>
      </c>
      <c r="C655" s="192">
        <v>1</v>
      </c>
      <c r="D655" s="192" t="s">
        <v>941</v>
      </c>
      <c r="E655" s="192">
        <v>1</v>
      </c>
      <c r="F655" s="192">
        <v>0</v>
      </c>
      <c r="G655" s="192">
        <v>72110</v>
      </c>
      <c r="H655" s="192">
        <v>20430</v>
      </c>
      <c r="I655" s="192">
        <v>1</v>
      </c>
      <c r="J655" s="192">
        <v>1404</v>
      </c>
      <c r="K655" s="192" t="s">
        <v>918</v>
      </c>
      <c r="L655" s="192" t="s">
        <v>737</v>
      </c>
      <c r="M655" s="192" t="s">
        <v>923</v>
      </c>
      <c r="N655" s="192" t="s">
        <v>926</v>
      </c>
      <c r="O655" s="192" t="s">
        <v>65</v>
      </c>
      <c r="P655" s="192" t="s">
        <v>926</v>
      </c>
      <c r="Q655" s="192">
        <v>4.5000001788139343E-2</v>
      </c>
      <c r="R655" s="192">
        <v>3.9000000953674316</v>
      </c>
      <c r="S655" s="192">
        <f>VLOOKUP($H655,'RBSA Weights'!$A$2:$C$1406,3,FALSE)</f>
        <v>2079.9929999999999</v>
      </c>
    </row>
    <row r="656" spans="1:19">
      <c r="A656" s="192" t="s">
        <v>928</v>
      </c>
      <c r="B656" s="192">
        <v>1</v>
      </c>
      <c r="C656" s="192">
        <v>0</v>
      </c>
      <c r="D656" s="192" t="s">
        <v>65</v>
      </c>
      <c r="E656" s="192">
        <v>1</v>
      </c>
      <c r="F656" s="192">
        <v>0</v>
      </c>
      <c r="G656" s="192">
        <v>67925</v>
      </c>
      <c r="H656" s="192">
        <v>21720</v>
      </c>
      <c r="I656" s="192">
        <v>1</v>
      </c>
      <c r="J656" s="192">
        <v>1450</v>
      </c>
      <c r="K656" s="192" t="s">
        <v>918</v>
      </c>
      <c r="L656" s="192" t="s">
        <v>922</v>
      </c>
      <c r="M656" s="192" t="s">
        <v>919</v>
      </c>
      <c r="N656" s="192" t="s">
        <v>65</v>
      </c>
      <c r="O656" s="192" t="s">
        <v>65</v>
      </c>
      <c r="P656" s="192" t="s">
        <v>926</v>
      </c>
      <c r="Q656" s="192">
        <v>4.5000001788139343E-2</v>
      </c>
      <c r="R656" s="192">
        <v>3.0999999046325684</v>
      </c>
      <c r="S656" s="192">
        <f>VLOOKUP($H656,'RBSA Weights'!$A$2:$C$1406,3,FALSE)</f>
        <v>3785.7640000000001</v>
      </c>
    </row>
    <row r="657" spans="1:19">
      <c r="A657" s="192" t="s">
        <v>928</v>
      </c>
      <c r="B657" s="192">
        <v>1</v>
      </c>
      <c r="C657" s="192">
        <v>0</v>
      </c>
      <c r="D657" s="192" t="s">
        <v>65</v>
      </c>
      <c r="E657" s="192">
        <v>1</v>
      </c>
      <c r="F657" s="192">
        <v>0</v>
      </c>
      <c r="G657" s="192">
        <v>217174</v>
      </c>
      <c r="H657" s="192">
        <v>12183</v>
      </c>
      <c r="I657" s="192">
        <v>1</v>
      </c>
      <c r="J657" s="192">
        <v>634</v>
      </c>
      <c r="K657" s="192" t="s">
        <v>925</v>
      </c>
      <c r="L657" s="192" t="s">
        <v>927</v>
      </c>
      <c r="M657" s="192" t="s">
        <v>923</v>
      </c>
      <c r="N657" s="192" t="s">
        <v>65</v>
      </c>
      <c r="O657" s="192" t="s">
        <v>65</v>
      </c>
      <c r="P657" s="192" t="s">
        <v>65</v>
      </c>
      <c r="Q657" s="192">
        <v>4.5000001788139343E-2</v>
      </c>
      <c r="R657" s="192">
        <v>3.0999999046325684</v>
      </c>
      <c r="S657" s="192">
        <f>VLOOKUP($H657,'RBSA Weights'!$A$2:$C$1406,3,FALSE)</f>
        <v>4956.4930000000004</v>
      </c>
    </row>
    <row r="658" spans="1:19">
      <c r="A658" s="192" t="s">
        <v>928</v>
      </c>
      <c r="B658" s="192">
        <v>1</v>
      </c>
      <c r="C658" s="192">
        <v>0</v>
      </c>
      <c r="D658" s="192" t="s">
        <v>65</v>
      </c>
      <c r="E658" s="192">
        <v>1</v>
      </c>
      <c r="F658" s="192">
        <v>0</v>
      </c>
      <c r="G658" s="192">
        <v>186470</v>
      </c>
      <c r="H658" s="192">
        <v>12643</v>
      </c>
      <c r="I658" s="192">
        <v>1</v>
      </c>
      <c r="J658" s="192">
        <v>135</v>
      </c>
      <c r="K658" s="192" t="s">
        <v>925</v>
      </c>
      <c r="L658" s="192" t="s">
        <v>737</v>
      </c>
      <c r="M658" s="192" t="s">
        <v>919</v>
      </c>
      <c r="N658" s="192" t="s">
        <v>65</v>
      </c>
      <c r="O658" s="192" t="s">
        <v>65</v>
      </c>
      <c r="P658" s="192" t="s">
        <v>65</v>
      </c>
      <c r="Q658" s="192">
        <v>4.5000001788139343E-2</v>
      </c>
      <c r="R658" s="192">
        <v>3.0999999046325684</v>
      </c>
      <c r="S658" s="192">
        <f>VLOOKUP($H658,'RBSA Weights'!$A$2:$C$1406,3,FALSE)</f>
        <v>6932.7380000000003</v>
      </c>
    </row>
    <row r="659" spans="1:19">
      <c r="A659" s="192" t="s">
        <v>928</v>
      </c>
      <c r="B659" s="192">
        <v>1</v>
      </c>
      <c r="C659" s="192">
        <v>0</v>
      </c>
      <c r="D659" s="192" t="s">
        <v>65</v>
      </c>
      <c r="E659" s="192">
        <v>1</v>
      </c>
      <c r="F659" s="192">
        <v>0</v>
      </c>
      <c r="G659" s="192">
        <v>72606</v>
      </c>
      <c r="H659" s="192">
        <v>11119</v>
      </c>
      <c r="I659" s="192">
        <v>1</v>
      </c>
      <c r="J659" s="192">
        <v>1580</v>
      </c>
      <c r="K659" s="192" t="s">
        <v>925</v>
      </c>
      <c r="L659" s="192" t="s">
        <v>922</v>
      </c>
      <c r="M659" s="192" t="s">
        <v>919</v>
      </c>
      <c r="N659" s="192" t="s">
        <v>65</v>
      </c>
      <c r="O659" s="192" t="s">
        <v>65</v>
      </c>
      <c r="P659" s="192" t="s">
        <v>926</v>
      </c>
      <c r="Q659" s="192">
        <v>4.5000001788139343E-2</v>
      </c>
      <c r="R659" s="192">
        <v>3.0999999046325684</v>
      </c>
      <c r="S659" s="192">
        <f>VLOOKUP($H659,'RBSA Weights'!$A$2:$C$1406,3,FALSE)</f>
        <v>2003.7159999999999</v>
      </c>
    </row>
    <row r="660" spans="1:19">
      <c r="A660" s="192" t="s">
        <v>928</v>
      </c>
      <c r="B660" s="192">
        <v>1</v>
      </c>
      <c r="C660" s="192">
        <v>0</v>
      </c>
      <c r="D660" s="192" t="s">
        <v>65</v>
      </c>
      <c r="E660" s="192">
        <v>1</v>
      </c>
      <c r="F660" s="192">
        <v>0</v>
      </c>
      <c r="G660" s="192">
        <v>135842</v>
      </c>
      <c r="H660" s="192">
        <v>10699</v>
      </c>
      <c r="I660" s="192">
        <v>1</v>
      </c>
      <c r="J660" s="192">
        <v>1134</v>
      </c>
      <c r="K660" s="192" t="s">
        <v>918</v>
      </c>
      <c r="L660" s="192" t="s">
        <v>65</v>
      </c>
      <c r="M660" s="192" t="s">
        <v>923</v>
      </c>
      <c r="N660" s="192" t="s">
        <v>65</v>
      </c>
      <c r="O660" s="192" t="s">
        <v>65</v>
      </c>
      <c r="P660" s="192" t="s">
        <v>65</v>
      </c>
      <c r="Q660" s="192">
        <v>4.5000001788139343E-2</v>
      </c>
      <c r="R660" s="192">
        <v>3.0999999046325684</v>
      </c>
      <c r="S660" s="192">
        <f>VLOOKUP($H660,'RBSA Weights'!$A$2:$C$1406,3,FALSE)</f>
        <v>6932.7380000000003</v>
      </c>
    </row>
    <row r="661" spans="1:19">
      <c r="A661" s="192" t="s">
        <v>928</v>
      </c>
      <c r="B661" s="192">
        <v>1</v>
      </c>
      <c r="C661" s="192">
        <v>0</v>
      </c>
      <c r="D661" s="192" t="s">
        <v>65</v>
      </c>
      <c r="E661" s="192">
        <v>1</v>
      </c>
      <c r="F661" s="192">
        <v>1</v>
      </c>
      <c r="G661" s="192">
        <v>226274</v>
      </c>
      <c r="H661" s="192">
        <v>22052</v>
      </c>
      <c r="I661" s="192">
        <v>1</v>
      </c>
      <c r="J661" s="192">
        <v>1495</v>
      </c>
      <c r="K661" s="192" t="s">
        <v>925</v>
      </c>
      <c r="L661" s="192" t="s">
        <v>927</v>
      </c>
      <c r="M661" s="192" t="s">
        <v>923</v>
      </c>
      <c r="N661" s="192" t="s">
        <v>65</v>
      </c>
      <c r="O661" s="192" t="s">
        <v>65</v>
      </c>
      <c r="P661" s="192" t="s">
        <v>65</v>
      </c>
      <c r="Q661" s="192">
        <v>4.5000001788139343E-2</v>
      </c>
      <c r="R661" s="192">
        <v>4.5</v>
      </c>
      <c r="S661" s="192">
        <f>VLOOKUP($H661,'RBSA Weights'!$A$2:$C$1406,3,FALSE)</f>
        <v>1904.288</v>
      </c>
    </row>
    <row r="662" spans="1:19">
      <c r="A662" s="192" t="s">
        <v>928</v>
      </c>
      <c r="B662" s="192">
        <v>1</v>
      </c>
      <c r="C662" s="192">
        <v>1</v>
      </c>
      <c r="D662" s="192" t="s">
        <v>933</v>
      </c>
      <c r="E662" s="192">
        <v>1</v>
      </c>
      <c r="F662" s="192">
        <v>0</v>
      </c>
      <c r="G662" s="192">
        <v>98820</v>
      </c>
      <c r="H662" s="192">
        <v>11194</v>
      </c>
      <c r="I662" s="192">
        <v>1</v>
      </c>
      <c r="J662" s="192">
        <v>1664</v>
      </c>
      <c r="K662" s="192" t="s">
        <v>918</v>
      </c>
      <c r="L662" s="192" t="s">
        <v>737</v>
      </c>
      <c r="M662" s="192" t="s">
        <v>919</v>
      </c>
      <c r="N662" s="192" t="s">
        <v>943</v>
      </c>
      <c r="O662" s="192" t="s">
        <v>65</v>
      </c>
      <c r="P662" s="192" t="s">
        <v>926</v>
      </c>
      <c r="Q662" s="192">
        <v>4.5000001788139343E-2</v>
      </c>
      <c r="R662" s="192">
        <v>4.5999999046325684</v>
      </c>
      <c r="S662" s="192">
        <f>VLOOKUP($H662,'RBSA Weights'!$A$2:$C$1406,3,FALSE)</f>
        <v>4956.4930000000004</v>
      </c>
    </row>
    <row r="663" spans="1:19">
      <c r="A663" s="192" t="s">
        <v>928</v>
      </c>
      <c r="B663" s="192">
        <v>1</v>
      </c>
      <c r="C663" s="192">
        <v>0</v>
      </c>
      <c r="D663" s="192" t="s">
        <v>65</v>
      </c>
      <c r="E663" s="192">
        <v>1</v>
      </c>
      <c r="F663" s="192">
        <v>0</v>
      </c>
      <c r="G663" s="192">
        <v>84885</v>
      </c>
      <c r="H663" s="192">
        <v>12621</v>
      </c>
      <c r="I663" s="192">
        <v>1</v>
      </c>
      <c r="J663" s="192">
        <v>1700</v>
      </c>
      <c r="K663" s="192" t="s">
        <v>925</v>
      </c>
      <c r="L663" s="192" t="s">
        <v>737</v>
      </c>
      <c r="M663" s="192" t="s">
        <v>919</v>
      </c>
      <c r="N663" s="192" t="s">
        <v>65</v>
      </c>
      <c r="O663" s="192" t="s">
        <v>65</v>
      </c>
      <c r="P663" s="192" t="s">
        <v>926</v>
      </c>
      <c r="Q663" s="192">
        <v>4.5000001788139343E-2</v>
      </c>
      <c r="R663" s="192">
        <v>3.0999999046325684</v>
      </c>
      <c r="S663" s="192">
        <f>VLOOKUP($H663,'RBSA Weights'!$A$2:$C$1406,3,FALSE)</f>
        <v>2003.7159999999999</v>
      </c>
    </row>
    <row r="664" spans="1:19">
      <c r="A664" s="192" t="s">
        <v>928</v>
      </c>
      <c r="B664" s="192">
        <v>1</v>
      </c>
      <c r="C664" s="192">
        <v>0</v>
      </c>
      <c r="D664" s="192" t="s">
        <v>65</v>
      </c>
      <c r="E664" s="192">
        <v>1</v>
      </c>
      <c r="F664" s="192">
        <v>0</v>
      </c>
      <c r="G664" s="192">
        <v>204713</v>
      </c>
      <c r="H664" s="192">
        <v>10911</v>
      </c>
      <c r="I664" s="192">
        <v>1</v>
      </c>
      <c r="J664" s="192">
        <v>843</v>
      </c>
      <c r="K664" s="192" t="s">
        <v>925</v>
      </c>
      <c r="L664" s="192" t="s">
        <v>922</v>
      </c>
      <c r="M664" s="192" t="s">
        <v>919</v>
      </c>
      <c r="N664" s="192" t="s">
        <v>65</v>
      </c>
      <c r="O664" s="192" t="s">
        <v>65</v>
      </c>
      <c r="P664" s="192" t="s">
        <v>65</v>
      </c>
      <c r="Q664" s="192">
        <v>4.5000001788139343E-2</v>
      </c>
      <c r="R664" s="192">
        <v>3.0999999046325684</v>
      </c>
      <c r="S664" s="192">
        <f>VLOOKUP($H664,'RBSA Weights'!$A$2:$C$1406,3,FALSE)</f>
        <v>1464.694</v>
      </c>
    </row>
    <row r="665" spans="1:19">
      <c r="A665" s="192" t="s">
        <v>928</v>
      </c>
      <c r="B665" s="192">
        <v>1</v>
      </c>
      <c r="C665" s="192">
        <v>0</v>
      </c>
      <c r="D665" s="192" t="s">
        <v>65</v>
      </c>
      <c r="E665" s="192">
        <v>1</v>
      </c>
      <c r="F665" s="192">
        <v>0</v>
      </c>
      <c r="G665" s="192">
        <v>223381</v>
      </c>
      <c r="H665" s="192">
        <v>13867</v>
      </c>
      <c r="I665" s="192">
        <v>1</v>
      </c>
      <c r="J665" s="192">
        <v>2619</v>
      </c>
      <c r="K665" s="192" t="s">
        <v>918</v>
      </c>
      <c r="L665" s="192" t="s">
        <v>65</v>
      </c>
      <c r="M665" s="192" t="s">
        <v>923</v>
      </c>
      <c r="N665" s="192" t="s">
        <v>65</v>
      </c>
      <c r="O665" s="192" t="s">
        <v>65</v>
      </c>
      <c r="P665" s="192" t="s">
        <v>65</v>
      </c>
      <c r="Q665" s="192">
        <v>4.5000001788139343E-2</v>
      </c>
      <c r="R665" s="192">
        <v>3.0999999046325684</v>
      </c>
      <c r="S665" s="192">
        <f>VLOOKUP($H665,'RBSA Weights'!$A$2:$C$1406,3,FALSE)</f>
        <v>1464.694</v>
      </c>
    </row>
    <row r="666" spans="1:19">
      <c r="A666" s="192" t="s">
        <v>928</v>
      </c>
      <c r="B666" s="192">
        <v>1</v>
      </c>
      <c r="C666" s="192">
        <v>0</v>
      </c>
      <c r="D666" s="192" t="s">
        <v>65</v>
      </c>
      <c r="E666" s="192">
        <v>1</v>
      </c>
      <c r="F666" s="192">
        <v>0</v>
      </c>
      <c r="G666" s="192">
        <v>213866</v>
      </c>
      <c r="H666" s="192">
        <v>12675</v>
      </c>
      <c r="I666" s="192">
        <v>1</v>
      </c>
      <c r="J666" s="192">
        <v>920</v>
      </c>
      <c r="K666" s="192" t="s">
        <v>925</v>
      </c>
      <c r="L666" s="192" t="s">
        <v>922</v>
      </c>
      <c r="M666" s="192" t="s">
        <v>919</v>
      </c>
      <c r="N666" s="192" t="s">
        <v>65</v>
      </c>
      <c r="O666" s="192" t="s">
        <v>65</v>
      </c>
      <c r="P666" s="192" t="s">
        <v>65</v>
      </c>
      <c r="Q666" s="192">
        <v>4.5000001788139343E-2</v>
      </c>
      <c r="R666" s="192">
        <v>3.0999999046325684</v>
      </c>
      <c r="S666" s="192">
        <f>VLOOKUP($H666,'RBSA Weights'!$A$2:$C$1406,3,FALSE)</f>
        <v>1464.694</v>
      </c>
    </row>
    <row r="667" spans="1:19">
      <c r="A667" s="192" t="s">
        <v>928</v>
      </c>
      <c r="B667" s="192">
        <v>1</v>
      </c>
      <c r="C667" s="192">
        <v>0</v>
      </c>
      <c r="D667" s="192" t="s">
        <v>65</v>
      </c>
      <c r="E667" s="192">
        <v>0</v>
      </c>
      <c r="G667" s="192">
        <v>193919</v>
      </c>
      <c r="H667" s="192">
        <v>21419</v>
      </c>
      <c r="I667" s="192">
        <v>1</v>
      </c>
      <c r="J667" s="192">
        <v>1008</v>
      </c>
      <c r="K667" s="192" t="s">
        <v>925</v>
      </c>
      <c r="L667" s="192" t="s">
        <v>737</v>
      </c>
      <c r="M667" s="192" t="s">
        <v>919</v>
      </c>
      <c r="N667" s="192" t="s">
        <v>65</v>
      </c>
      <c r="O667" s="192" t="s">
        <v>65</v>
      </c>
      <c r="P667" s="192" t="s">
        <v>65</v>
      </c>
      <c r="Q667" s="192">
        <v>4.5000001788139343E-2</v>
      </c>
      <c r="R667" s="192">
        <v>5</v>
      </c>
      <c r="S667" s="192">
        <f>VLOOKUP($H667,'RBSA Weights'!$A$2:$C$1406,3,FALSE)</f>
        <v>2130.886</v>
      </c>
    </row>
    <row r="668" spans="1:19">
      <c r="A668" s="192" t="s">
        <v>928</v>
      </c>
      <c r="B668" s="192">
        <v>1</v>
      </c>
      <c r="C668" s="192">
        <v>0</v>
      </c>
      <c r="D668" s="192" t="s">
        <v>65</v>
      </c>
      <c r="E668" s="192">
        <v>1</v>
      </c>
      <c r="F668" s="192">
        <v>1</v>
      </c>
      <c r="G668" s="192">
        <v>80261</v>
      </c>
      <c r="H668" s="192">
        <v>24151</v>
      </c>
      <c r="I668" s="192">
        <v>1</v>
      </c>
      <c r="J668" s="192">
        <v>814</v>
      </c>
      <c r="K668" s="192" t="s">
        <v>918</v>
      </c>
      <c r="L668" s="192" t="s">
        <v>737</v>
      </c>
      <c r="M668" s="192" t="s">
        <v>923</v>
      </c>
      <c r="N668" s="192" t="s">
        <v>65</v>
      </c>
      <c r="O668" s="192" t="s">
        <v>65</v>
      </c>
      <c r="P668" s="192" t="s">
        <v>924</v>
      </c>
      <c r="Q668" s="192">
        <v>4.5000001788139343E-2</v>
      </c>
      <c r="R668" s="192">
        <v>4.5</v>
      </c>
      <c r="S668" s="192">
        <f>VLOOKUP($H668,'RBSA Weights'!$A$2:$C$1406,3,FALSE)</f>
        <v>1925.059</v>
      </c>
    </row>
    <row r="669" spans="1:19">
      <c r="A669" s="192" t="s">
        <v>928</v>
      </c>
      <c r="B669" s="192">
        <v>1</v>
      </c>
      <c r="C669" s="192">
        <v>0</v>
      </c>
      <c r="D669" s="192" t="s">
        <v>65</v>
      </c>
      <c r="E669" s="192">
        <v>0</v>
      </c>
      <c r="G669" s="192">
        <v>206960</v>
      </c>
      <c r="H669" s="192">
        <v>11774</v>
      </c>
      <c r="I669" s="192">
        <v>1</v>
      </c>
      <c r="J669" s="192">
        <v>684</v>
      </c>
      <c r="K669" s="192" t="s">
        <v>925</v>
      </c>
      <c r="L669" s="192" t="s">
        <v>737</v>
      </c>
      <c r="M669" s="192" t="s">
        <v>919</v>
      </c>
      <c r="N669" s="192" t="s">
        <v>65</v>
      </c>
      <c r="O669" s="192" t="s">
        <v>65</v>
      </c>
      <c r="P669" s="192" t="s">
        <v>65</v>
      </c>
      <c r="Q669" s="192">
        <v>4.5000001788139343E-2</v>
      </c>
      <c r="R669" s="192">
        <v>5</v>
      </c>
      <c r="S669" s="192">
        <f>VLOOKUP($H669,'RBSA Weights'!$A$2:$C$1406,3,FALSE)</f>
        <v>6932.7380000000003</v>
      </c>
    </row>
    <row r="670" spans="1:19">
      <c r="A670" s="192" t="s">
        <v>928</v>
      </c>
      <c r="B670" s="192">
        <v>1</v>
      </c>
      <c r="C670" s="192">
        <v>0</v>
      </c>
      <c r="D670" s="192" t="s">
        <v>65</v>
      </c>
      <c r="E670" s="192">
        <v>1</v>
      </c>
      <c r="F670" s="192">
        <v>0</v>
      </c>
      <c r="G670" s="192">
        <v>81481</v>
      </c>
      <c r="H670" s="192">
        <v>20414</v>
      </c>
      <c r="I670" s="192">
        <v>1</v>
      </c>
      <c r="J670" s="192">
        <v>900</v>
      </c>
      <c r="K670" s="192" t="s">
        <v>925</v>
      </c>
      <c r="L670" s="192" t="s">
        <v>737</v>
      </c>
      <c r="M670" s="192" t="s">
        <v>919</v>
      </c>
      <c r="N670" s="192" t="s">
        <v>65</v>
      </c>
      <c r="O670" s="192" t="s">
        <v>65</v>
      </c>
      <c r="P670" s="192" t="s">
        <v>926</v>
      </c>
      <c r="Q670" s="192">
        <v>4.5000001788139343E-2</v>
      </c>
      <c r="R670" s="192">
        <v>3.0999999046325684</v>
      </c>
      <c r="S670" s="192">
        <f>VLOOKUP($H670,'RBSA Weights'!$A$2:$C$1406,3,FALSE)</f>
        <v>2079.9929999999999</v>
      </c>
    </row>
    <row r="671" spans="1:19">
      <c r="A671" s="192" t="s">
        <v>928</v>
      </c>
      <c r="B671" s="192">
        <v>1</v>
      </c>
      <c r="C671" s="192">
        <v>1</v>
      </c>
      <c r="D671" s="192" t="s">
        <v>933</v>
      </c>
      <c r="E671" s="192">
        <v>0</v>
      </c>
      <c r="F671" s="192">
        <v>0</v>
      </c>
      <c r="G671" s="192">
        <v>36761</v>
      </c>
      <c r="H671" s="192">
        <v>22445</v>
      </c>
      <c r="I671" s="192">
        <v>1</v>
      </c>
      <c r="J671" s="192">
        <v>1800</v>
      </c>
      <c r="K671" s="192" t="s">
        <v>918</v>
      </c>
      <c r="L671" s="192" t="s">
        <v>737</v>
      </c>
      <c r="M671" s="192" t="s">
        <v>919</v>
      </c>
      <c r="N671" s="192" t="s">
        <v>948</v>
      </c>
      <c r="O671" s="192" t="s">
        <v>65</v>
      </c>
      <c r="P671" s="192" t="s">
        <v>926</v>
      </c>
      <c r="Q671" s="192">
        <v>4.5000001788139343E-2</v>
      </c>
      <c r="R671" s="192">
        <v>10.699999809265137</v>
      </c>
      <c r="S671" s="192">
        <f>VLOOKUP($H671,'RBSA Weights'!$A$2:$C$1406,3,FALSE)</f>
        <v>12271.31</v>
      </c>
    </row>
    <row r="672" spans="1:19">
      <c r="A672" s="192" t="s">
        <v>928</v>
      </c>
      <c r="B672" s="192">
        <v>1</v>
      </c>
      <c r="C672" s="192">
        <v>0</v>
      </c>
      <c r="D672" s="192" t="s">
        <v>65</v>
      </c>
      <c r="E672" s="192">
        <v>1</v>
      </c>
      <c r="F672" s="192">
        <v>0</v>
      </c>
      <c r="G672" s="192">
        <v>39983</v>
      </c>
      <c r="H672" s="192">
        <v>13293</v>
      </c>
      <c r="I672" s="192">
        <v>1</v>
      </c>
      <c r="J672" s="192">
        <v>1582</v>
      </c>
      <c r="K672" s="192" t="s">
        <v>925</v>
      </c>
      <c r="L672" s="192" t="s">
        <v>737</v>
      </c>
      <c r="M672" s="192" t="s">
        <v>919</v>
      </c>
      <c r="N672" s="192" t="s">
        <v>65</v>
      </c>
      <c r="O672" s="192" t="s">
        <v>65</v>
      </c>
      <c r="P672" s="192" t="s">
        <v>924</v>
      </c>
      <c r="Q672" s="192">
        <v>4.5000001788139343E-2</v>
      </c>
      <c r="R672" s="192">
        <v>3.0999999046325684</v>
      </c>
      <c r="S672" s="192">
        <f>VLOOKUP($H672,'RBSA Weights'!$A$2:$C$1406,3,FALSE)</f>
        <v>1188.027</v>
      </c>
    </row>
    <row r="673" spans="1:19">
      <c r="A673" s="192" t="s">
        <v>928</v>
      </c>
      <c r="B673" s="192">
        <v>1</v>
      </c>
      <c r="C673" s="192">
        <v>0</v>
      </c>
      <c r="D673" s="192" t="s">
        <v>65</v>
      </c>
      <c r="E673" s="192">
        <v>0</v>
      </c>
      <c r="F673" s="192">
        <v>0</v>
      </c>
      <c r="G673" s="192">
        <v>110254</v>
      </c>
      <c r="H673" s="192">
        <v>21703</v>
      </c>
      <c r="I673" s="192">
        <v>1</v>
      </c>
      <c r="J673" s="192">
        <v>1308</v>
      </c>
      <c r="K673" s="192" t="s">
        <v>925</v>
      </c>
      <c r="L673" s="192" t="s">
        <v>737</v>
      </c>
      <c r="M673" s="192" t="s">
        <v>919</v>
      </c>
      <c r="N673" s="192" t="s">
        <v>65</v>
      </c>
      <c r="O673" s="192" t="s">
        <v>65</v>
      </c>
      <c r="P673" s="192" t="s">
        <v>926</v>
      </c>
      <c r="Q673" s="192">
        <v>4.5000001788139343E-2</v>
      </c>
      <c r="R673" s="192">
        <v>5</v>
      </c>
      <c r="S673" s="192">
        <f>VLOOKUP($H673,'RBSA Weights'!$A$2:$C$1406,3,FALSE)</f>
        <v>1904.288</v>
      </c>
    </row>
    <row r="674" spans="1:19">
      <c r="A674" s="192" t="s">
        <v>928</v>
      </c>
      <c r="B674" s="192">
        <v>1</v>
      </c>
      <c r="C674" s="192">
        <v>0</v>
      </c>
      <c r="D674" s="192" t="s">
        <v>65</v>
      </c>
      <c r="E674" s="192">
        <v>1</v>
      </c>
      <c r="F674" s="192">
        <v>0</v>
      </c>
      <c r="G674" s="192">
        <v>240012</v>
      </c>
      <c r="H674" s="192">
        <v>22576</v>
      </c>
      <c r="I674" s="192">
        <v>1</v>
      </c>
      <c r="J674" s="192">
        <v>1319</v>
      </c>
      <c r="K674" s="192" t="s">
        <v>925</v>
      </c>
      <c r="L674" s="192" t="s">
        <v>927</v>
      </c>
      <c r="M674" s="192" t="s">
        <v>919</v>
      </c>
      <c r="N674" s="192" t="s">
        <v>65</v>
      </c>
      <c r="O674" s="192" t="s">
        <v>65</v>
      </c>
      <c r="P674" s="192" t="s">
        <v>65</v>
      </c>
      <c r="Q674" s="192">
        <v>4.5000001788139343E-2</v>
      </c>
      <c r="R674" s="192">
        <v>3.0999999046325684</v>
      </c>
      <c r="S674" s="192">
        <f>VLOOKUP($H674,'RBSA Weights'!$A$2:$C$1406,3,FALSE)</f>
        <v>2079.9929999999999</v>
      </c>
    </row>
    <row r="675" spans="1:19">
      <c r="A675" s="192" t="s">
        <v>928</v>
      </c>
      <c r="B675" s="192">
        <v>1</v>
      </c>
      <c r="C675" s="192">
        <v>0</v>
      </c>
      <c r="D675" s="192" t="s">
        <v>65</v>
      </c>
      <c r="E675" s="192">
        <v>1</v>
      </c>
      <c r="F675" s="192">
        <v>0</v>
      </c>
      <c r="G675" s="192">
        <v>691695</v>
      </c>
      <c r="H675" s="192">
        <v>22413</v>
      </c>
      <c r="I675" s="192">
        <v>1</v>
      </c>
      <c r="J675" s="192">
        <v>497</v>
      </c>
      <c r="K675" s="192" t="s">
        <v>925</v>
      </c>
      <c r="L675" s="192" t="s">
        <v>927</v>
      </c>
      <c r="M675" s="192" t="s">
        <v>923</v>
      </c>
      <c r="N675" s="192" t="s">
        <v>65</v>
      </c>
      <c r="O675" s="192" t="s">
        <v>65</v>
      </c>
      <c r="P675" s="192" t="s">
        <v>65</v>
      </c>
      <c r="Q675" s="192">
        <v>4.5000001788139343E-2</v>
      </c>
      <c r="R675" s="192">
        <v>3.0999999046325684</v>
      </c>
      <c r="S675" s="192">
        <f>VLOOKUP($H675,'RBSA Weights'!$A$2:$C$1406,3,FALSE)</f>
        <v>3785.7640000000001</v>
      </c>
    </row>
    <row r="676" spans="1:19">
      <c r="A676" s="192" t="s">
        <v>928</v>
      </c>
      <c r="B676" s="192">
        <v>1</v>
      </c>
      <c r="C676" s="192">
        <v>0</v>
      </c>
      <c r="D676" s="192" t="s">
        <v>65</v>
      </c>
      <c r="E676" s="192">
        <v>1</v>
      </c>
      <c r="F676" s="192">
        <v>0</v>
      </c>
      <c r="G676" s="192">
        <v>99347</v>
      </c>
      <c r="H676" s="192">
        <v>11933</v>
      </c>
      <c r="I676" s="192">
        <v>1</v>
      </c>
      <c r="J676" s="192">
        <v>580</v>
      </c>
      <c r="K676" s="192" t="s">
        <v>925</v>
      </c>
      <c r="L676" s="192" t="s">
        <v>737</v>
      </c>
      <c r="M676" s="192" t="s">
        <v>919</v>
      </c>
      <c r="N676" s="192" t="s">
        <v>65</v>
      </c>
      <c r="O676" s="192" t="s">
        <v>65</v>
      </c>
      <c r="P676" s="192" t="s">
        <v>926</v>
      </c>
      <c r="Q676" s="192">
        <v>4.5000001788139343E-2</v>
      </c>
      <c r="R676" s="192">
        <v>3.0999999046325684</v>
      </c>
      <c r="S676" s="192">
        <f>VLOOKUP($H676,'RBSA Weights'!$A$2:$C$1406,3,FALSE)</f>
        <v>2003.7159999999999</v>
      </c>
    </row>
    <row r="677" spans="1:19">
      <c r="A677" s="192" t="s">
        <v>928</v>
      </c>
      <c r="B677" s="192">
        <v>1</v>
      </c>
      <c r="C677" s="192">
        <v>0</v>
      </c>
      <c r="D677" s="192" t="s">
        <v>65</v>
      </c>
      <c r="E677" s="192">
        <v>0</v>
      </c>
      <c r="G677" s="192">
        <v>38948</v>
      </c>
      <c r="H677" s="192">
        <v>10413</v>
      </c>
      <c r="I677" s="192">
        <v>1</v>
      </c>
      <c r="J677" s="192">
        <v>795</v>
      </c>
      <c r="K677" s="192" t="s">
        <v>925</v>
      </c>
      <c r="L677" s="192" t="s">
        <v>927</v>
      </c>
      <c r="M677" s="192" t="s">
        <v>923</v>
      </c>
      <c r="N677" s="192" t="s">
        <v>65</v>
      </c>
      <c r="O677" s="192" t="s">
        <v>65</v>
      </c>
      <c r="P677" s="192" t="s">
        <v>926</v>
      </c>
      <c r="Q677" s="192">
        <v>4.5000001788139343E-2</v>
      </c>
      <c r="R677" s="192">
        <v>5</v>
      </c>
      <c r="S677" s="192">
        <f>VLOOKUP($H677,'RBSA Weights'!$A$2:$C$1406,3,FALSE)</f>
        <v>1524.7619999999999</v>
      </c>
    </row>
    <row r="678" spans="1:19">
      <c r="A678" s="192" t="s">
        <v>928</v>
      </c>
      <c r="B678" s="192">
        <v>1</v>
      </c>
      <c r="C678" s="192">
        <v>0</v>
      </c>
      <c r="D678" s="192" t="s">
        <v>65</v>
      </c>
      <c r="E678" s="192">
        <v>0</v>
      </c>
      <c r="F678" s="192">
        <v>0</v>
      </c>
      <c r="G678" s="192">
        <v>125182</v>
      </c>
      <c r="H678" s="192">
        <v>20457</v>
      </c>
      <c r="I678" s="192">
        <v>1</v>
      </c>
      <c r="J678" s="192">
        <v>2200</v>
      </c>
      <c r="K678" s="192" t="s">
        <v>918</v>
      </c>
      <c r="L678" s="192" t="s">
        <v>737</v>
      </c>
      <c r="M678" s="192" t="s">
        <v>919</v>
      </c>
      <c r="N678" s="192" t="s">
        <v>65</v>
      </c>
      <c r="O678" s="192" t="s">
        <v>65</v>
      </c>
      <c r="P678" s="192" t="s">
        <v>926</v>
      </c>
      <c r="Q678" s="192">
        <v>4.5000001788139343E-2</v>
      </c>
      <c r="R678" s="192">
        <v>5</v>
      </c>
      <c r="S678" s="192">
        <f>VLOOKUP($H678,'RBSA Weights'!$A$2:$C$1406,3,FALSE)</f>
        <v>1612.692</v>
      </c>
    </row>
    <row r="679" spans="1:19">
      <c r="A679" s="192" t="s">
        <v>928</v>
      </c>
      <c r="B679" s="192">
        <v>1</v>
      </c>
      <c r="C679" s="192">
        <v>0</v>
      </c>
      <c r="D679" s="192" t="s">
        <v>65</v>
      </c>
      <c r="E679" s="192">
        <v>1</v>
      </c>
      <c r="F679" s="192">
        <v>0</v>
      </c>
      <c r="G679" s="192">
        <v>29163</v>
      </c>
      <c r="H679" s="192">
        <v>13871</v>
      </c>
      <c r="I679" s="192">
        <v>1</v>
      </c>
      <c r="J679" s="192">
        <v>2222</v>
      </c>
      <c r="K679" s="192" t="s">
        <v>918</v>
      </c>
      <c r="L679" s="192" t="s">
        <v>922</v>
      </c>
      <c r="M679" s="192" t="s">
        <v>919</v>
      </c>
      <c r="N679" s="192" t="s">
        <v>65</v>
      </c>
      <c r="O679" s="192" t="s">
        <v>65</v>
      </c>
      <c r="P679" s="192" t="s">
        <v>926</v>
      </c>
      <c r="Q679" s="192">
        <v>4.5000001788139343E-2</v>
      </c>
      <c r="R679" s="192">
        <v>3.0999999046325684</v>
      </c>
      <c r="S679" s="192">
        <f>VLOOKUP($H679,'RBSA Weights'!$A$2:$C$1406,3,FALSE)</f>
        <v>1150.8789999999999</v>
      </c>
    </row>
    <row r="680" spans="1:19">
      <c r="A680" s="192" t="s">
        <v>928</v>
      </c>
      <c r="B680" s="192">
        <v>1</v>
      </c>
      <c r="C680" s="192">
        <v>0</v>
      </c>
      <c r="D680" s="192" t="s">
        <v>65</v>
      </c>
      <c r="E680" s="192">
        <v>1</v>
      </c>
      <c r="F680" s="192">
        <v>0</v>
      </c>
      <c r="G680" s="192">
        <v>666815</v>
      </c>
      <c r="H680" s="192">
        <v>14331</v>
      </c>
      <c r="I680" s="192">
        <v>1</v>
      </c>
      <c r="J680" s="192">
        <v>1408</v>
      </c>
      <c r="K680" s="192" t="s">
        <v>918</v>
      </c>
      <c r="L680" s="192" t="s">
        <v>65</v>
      </c>
      <c r="M680" s="192" t="s">
        <v>919</v>
      </c>
      <c r="N680" s="192" t="s">
        <v>65</v>
      </c>
      <c r="O680" s="192" t="s">
        <v>65</v>
      </c>
      <c r="P680" s="192" t="s">
        <v>65</v>
      </c>
      <c r="Q680" s="192">
        <v>4.5000001788139343E-2</v>
      </c>
      <c r="R680" s="192">
        <v>3.0999999046325684</v>
      </c>
      <c r="S680" s="192">
        <f>VLOOKUP($H680,'RBSA Weights'!$A$2:$C$1406,3,FALSE)</f>
        <v>6932.7380000000003</v>
      </c>
    </row>
    <row r="681" spans="1:19">
      <c r="A681" s="192" t="s">
        <v>928</v>
      </c>
      <c r="B681" s="192">
        <v>1</v>
      </c>
      <c r="C681" s="192">
        <v>0</v>
      </c>
      <c r="D681" s="192" t="s">
        <v>65</v>
      </c>
      <c r="E681" s="192">
        <v>1</v>
      </c>
      <c r="F681" s="192">
        <v>0</v>
      </c>
      <c r="G681" s="192">
        <v>137646</v>
      </c>
      <c r="H681" s="192">
        <v>12773</v>
      </c>
      <c r="I681" s="192">
        <v>1</v>
      </c>
      <c r="J681" s="192">
        <v>1150</v>
      </c>
      <c r="K681" s="192" t="s">
        <v>925</v>
      </c>
      <c r="L681" s="192" t="s">
        <v>922</v>
      </c>
      <c r="M681" s="192" t="s">
        <v>919</v>
      </c>
      <c r="N681" s="192" t="s">
        <v>65</v>
      </c>
      <c r="O681" s="192" t="s">
        <v>65</v>
      </c>
      <c r="P681" s="192" t="s">
        <v>65</v>
      </c>
      <c r="Q681" s="192">
        <v>4.5000001788139343E-2</v>
      </c>
      <c r="R681" s="192">
        <v>3.0999999046325684</v>
      </c>
      <c r="S681" s="192">
        <f>VLOOKUP($H681,'RBSA Weights'!$A$2:$C$1406,3,FALSE)</f>
        <v>4956.4930000000004</v>
      </c>
    </row>
    <row r="682" spans="1:19">
      <c r="A682" s="192" t="s">
        <v>928</v>
      </c>
      <c r="B682" s="192">
        <v>1</v>
      </c>
      <c r="C682" s="192">
        <v>0</v>
      </c>
      <c r="D682" s="192" t="s">
        <v>65</v>
      </c>
      <c r="E682" s="192">
        <v>1</v>
      </c>
      <c r="F682" s="192">
        <v>0</v>
      </c>
      <c r="G682" s="192">
        <v>62277</v>
      </c>
      <c r="H682" s="192">
        <v>11416</v>
      </c>
      <c r="I682" s="192">
        <v>1</v>
      </c>
      <c r="J682" s="192">
        <v>1140</v>
      </c>
      <c r="K682" s="192" t="s">
        <v>925</v>
      </c>
      <c r="L682" s="192" t="s">
        <v>927</v>
      </c>
      <c r="M682" s="192" t="s">
        <v>919</v>
      </c>
      <c r="N682" s="192" t="s">
        <v>65</v>
      </c>
      <c r="O682" s="192" t="s">
        <v>65</v>
      </c>
      <c r="P682" s="192" t="s">
        <v>926</v>
      </c>
      <c r="Q682" s="192">
        <v>4.5000001788139343E-2</v>
      </c>
      <c r="R682" s="192">
        <v>3.0999999046325684</v>
      </c>
      <c r="S682" s="192">
        <f>VLOOKUP($H682,'RBSA Weights'!$A$2:$C$1406,3,FALSE)</f>
        <v>2003.7159999999999</v>
      </c>
    </row>
    <row r="683" spans="1:19">
      <c r="A683" s="192" t="s">
        <v>928</v>
      </c>
      <c r="B683" s="192">
        <v>1</v>
      </c>
      <c r="C683" s="192">
        <v>0</v>
      </c>
      <c r="D683" s="192" t="s">
        <v>65</v>
      </c>
      <c r="E683" s="192">
        <v>1</v>
      </c>
      <c r="F683" s="192">
        <v>0</v>
      </c>
      <c r="G683" s="192">
        <v>142538</v>
      </c>
      <c r="H683" s="192">
        <v>20184</v>
      </c>
      <c r="I683" s="192">
        <v>1</v>
      </c>
      <c r="J683" s="192">
        <v>725</v>
      </c>
      <c r="K683" s="192" t="s">
        <v>925</v>
      </c>
      <c r="L683" s="192" t="s">
        <v>922</v>
      </c>
      <c r="M683" s="192" t="s">
        <v>919</v>
      </c>
      <c r="N683" s="192" t="s">
        <v>65</v>
      </c>
      <c r="O683" s="192" t="s">
        <v>65</v>
      </c>
      <c r="P683" s="192" t="s">
        <v>65</v>
      </c>
      <c r="Q683" s="192">
        <v>4.5000001788139343E-2</v>
      </c>
      <c r="R683" s="192">
        <v>3.0999999046325684</v>
      </c>
      <c r="S683" s="192">
        <f>VLOOKUP($H683,'RBSA Weights'!$A$2:$C$1406,3,FALSE)</f>
        <v>1612.692</v>
      </c>
    </row>
    <row r="684" spans="1:19">
      <c r="A684" s="192" t="s">
        <v>928</v>
      </c>
      <c r="B684" s="192">
        <v>1</v>
      </c>
      <c r="C684" s="192">
        <v>0</v>
      </c>
      <c r="D684" s="192" t="s">
        <v>65</v>
      </c>
      <c r="E684" s="192">
        <v>1</v>
      </c>
      <c r="F684" s="192">
        <v>0</v>
      </c>
      <c r="G684" s="192">
        <v>129691</v>
      </c>
      <c r="H684" s="192">
        <v>12745</v>
      </c>
      <c r="I684" s="192">
        <v>1</v>
      </c>
      <c r="J684" s="192">
        <v>900</v>
      </c>
      <c r="K684" s="192" t="s">
        <v>925</v>
      </c>
      <c r="L684" s="192" t="s">
        <v>737</v>
      </c>
      <c r="M684" s="192" t="s">
        <v>919</v>
      </c>
      <c r="N684" s="192" t="s">
        <v>65</v>
      </c>
      <c r="O684" s="192" t="s">
        <v>65</v>
      </c>
      <c r="P684" s="192" t="s">
        <v>65</v>
      </c>
      <c r="Q684" s="192">
        <v>4.5000001788139343E-2</v>
      </c>
      <c r="R684" s="192">
        <v>3.0999999046325684</v>
      </c>
      <c r="S684" s="192">
        <f>VLOOKUP($H684,'RBSA Weights'!$A$2:$C$1406,3,FALSE)</f>
        <v>1524.7619999999999</v>
      </c>
    </row>
    <row r="685" spans="1:19">
      <c r="A685" s="192" t="s">
        <v>928</v>
      </c>
      <c r="B685" s="192">
        <v>1</v>
      </c>
      <c r="C685" s="192">
        <v>0</v>
      </c>
      <c r="D685" s="192" t="s">
        <v>65</v>
      </c>
      <c r="E685" s="192">
        <v>0</v>
      </c>
      <c r="G685" s="192">
        <v>239692</v>
      </c>
      <c r="H685" s="192">
        <v>23879</v>
      </c>
      <c r="I685" s="192">
        <v>1</v>
      </c>
      <c r="J685" s="192">
        <v>952</v>
      </c>
      <c r="K685" s="192" t="s">
        <v>925</v>
      </c>
      <c r="L685" s="192" t="s">
        <v>927</v>
      </c>
      <c r="M685" s="192" t="s">
        <v>919</v>
      </c>
      <c r="N685" s="192" t="s">
        <v>65</v>
      </c>
      <c r="O685" s="192" t="s">
        <v>65</v>
      </c>
      <c r="P685" s="192" t="s">
        <v>65</v>
      </c>
      <c r="Q685" s="192">
        <v>4.5000001788139343E-2</v>
      </c>
      <c r="R685" s="192">
        <v>5</v>
      </c>
      <c r="S685" s="192">
        <f>VLOOKUP($H685,'RBSA Weights'!$A$2:$C$1406,3,FALSE)</f>
        <v>2079.9929999999999</v>
      </c>
    </row>
    <row r="686" spans="1:19">
      <c r="A686" s="192" t="s">
        <v>928</v>
      </c>
      <c r="B686" s="192">
        <v>1</v>
      </c>
      <c r="C686" s="192">
        <v>0</v>
      </c>
      <c r="D686" s="192" t="s">
        <v>65</v>
      </c>
      <c r="E686" s="192">
        <v>0</v>
      </c>
      <c r="G686" s="192">
        <v>193038</v>
      </c>
      <c r="H686" s="192">
        <v>20632</v>
      </c>
      <c r="I686" s="192">
        <v>1</v>
      </c>
      <c r="J686" s="192">
        <v>2400</v>
      </c>
      <c r="K686" s="192" t="s">
        <v>918</v>
      </c>
      <c r="L686" s="192" t="s">
        <v>65</v>
      </c>
      <c r="M686" s="192" t="s">
        <v>919</v>
      </c>
      <c r="N686" s="192" t="s">
        <v>65</v>
      </c>
      <c r="O686" s="192" t="s">
        <v>65</v>
      </c>
      <c r="P686" s="192" t="s">
        <v>65</v>
      </c>
      <c r="Q686" s="192">
        <v>4.5000001788139343E-2</v>
      </c>
      <c r="R686" s="192">
        <v>5</v>
      </c>
      <c r="S686" s="192">
        <f>VLOOKUP($H686,'RBSA Weights'!$A$2:$C$1406,3,FALSE)</f>
        <v>1192.4649999999999</v>
      </c>
    </row>
    <row r="687" spans="1:19">
      <c r="A687" s="192" t="s">
        <v>928</v>
      </c>
      <c r="B687" s="192">
        <v>1</v>
      </c>
      <c r="C687" s="192">
        <v>0</v>
      </c>
      <c r="D687" s="192" t="s">
        <v>65</v>
      </c>
      <c r="E687" s="192">
        <v>1</v>
      </c>
      <c r="F687" s="192">
        <v>1</v>
      </c>
      <c r="G687" s="192">
        <v>690509</v>
      </c>
      <c r="H687" s="192">
        <v>20433</v>
      </c>
      <c r="I687" s="192">
        <v>1</v>
      </c>
      <c r="J687" s="192">
        <v>1553</v>
      </c>
      <c r="K687" s="192" t="s">
        <v>918</v>
      </c>
      <c r="L687" s="192" t="s">
        <v>65</v>
      </c>
      <c r="M687" s="192" t="s">
        <v>919</v>
      </c>
      <c r="N687" s="192" t="s">
        <v>65</v>
      </c>
      <c r="O687" s="192" t="s">
        <v>65</v>
      </c>
      <c r="P687" s="192" t="s">
        <v>65</v>
      </c>
      <c r="Q687" s="192">
        <v>4.5000001788139343E-2</v>
      </c>
      <c r="R687" s="192">
        <v>4.5</v>
      </c>
      <c r="S687" s="192">
        <f>VLOOKUP($H687,'RBSA Weights'!$A$2:$C$1406,3,FALSE)</f>
        <v>1612.692</v>
      </c>
    </row>
    <row r="688" spans="1:19">
      <c r="A688" s="192" t="s">
        <v>928</v>
      </c>
      <c r="B688" s="192">
        <v>1</v>
      </c>
      <c r="C688" s="192">
        <v>0</v>
      </c>
      <c r="D688" s="192" t="s">
        <v>65</v>
      </c>
      <c r="E688" s="192">
        <v>1</v>
      </c>
      <c r="F688" s="192">
        <v>0</v>
      </c>
      <c r="G688" s="192">
        <v>231292</v>
      </c>
      <c r="H688" s="192">
        <v>12146</v>
      </c>
      <c r="I688" s="192">
        <v>1</v>
      </c>
      <c r="J688" s="192">
        <v>1496</v>
      </c>
      <c r="K688" s="192" t="s">
        <v>925</v>
      </c>
      <c r="L688" s="192" t="s">
        <v>927</v>
      </c>
      <c r="M688" s="192" t="s">
        <v>919</v>
      </c>
      <c r="N688" s="192" t="s">
        <v>65</v>
      </c>
      <c r="O688" s="192" t="s">
        <v>65</v>
      </c>
      <c r="P688" s="192" t="s">
        <v>65</v>
      </c>
      <c r="Q688" s="192">
        <v>4.5000001788139343E-2</v>
      </c>
      <c r="R688" s="192">
        <v>3.0999999046325684</v>
      </c>
      <c r="S688" s="192">
        <f>VLOOKUP($H688,'RBSA Weights'!$A$2:$C$1406,3,FALSE)</f>
        <v>1464.694</v>
      </c>
    </row>
    <row r="689" spans="1:19">
      <c r="A689" s="192" t="s">
        <v>928</v>
      </c>
      <c r="B689" s="192">
        <v>1</v>
      </c>
      <c r="C689" s="192">
        <v>0</v>
      </c>
      <c r="D689" s="192" t="s">
        <v>65</v>
      </c>
      <c r="E689" s="192">
        <v>0</v>
      </c>
      <c r="G689" s="192">
        <v>169821</v>
      </c>
      <c r="H689" s="192">
        <v>23788</v>
      </c>
      <c r="I689" s="192">
        <v>1</v>
      </c>
      <c r="J689" s="192">
        <v>1004</v>
      </c>
      <c r="K689" s="192" t="s">
        <v>925</v>
      </c>
      <c r="L689" s="192" t="s">
        <v>922</v>
      </c>
      <c r="M689" s="192" t="s">
        <v>919</v>
      </c>
      <c r="N689" s="192" t="s">
        <v>65</v>
      </c>
      <c r="O689" s="192" t="s">
        <v>65</v>
      </c>
      <c r="P689" s="192" t="s">
        <v>65</v>
      </c>
      <c r="Q689" s="192">
        <v>4.5000001788139343E-2</v>
      </c>
      <c r="R689" s="192">
        <v>5</v>
      </c>
      <c r="S689" s="192">
        <f>VLOOKUP($H689,'RBSA Weights'!$A$2:$C$1406,3,FALSE)</f>
        <v>1192.4649999999999</v>
      </c>
    </row>
    <row r="690" spans="1:19">
      <c r="A690" s="192" t="s">
        <v>928</v>
      </c>
      <c r="B690" s="192">
        <v>1</v>
      </c>
      <c r="C690" s="192">
        <v>0</v>
      </c>
      <c r="D690" s="192" t="s">
        <v>65</v>
      </c>
      <c r="E690" s="192">
        <v>1</v>
      </c>
      <c r="F690" s="192">
        <v>0</v>
      </c>
      <c r="G690" s="192">
        <v>77646</v>
      </c>
      <c r="H690" s="192">
        <v>10319</v>
      </c>
      <c r="I690" s="192">
        <v>1</v>
      </c>
      <c r="J690" s="192">
        <v>350</v>
      </c>
      <c r="K690" s="192" t="s">
        <v>925</v>
      </c>
      <c r="L690" s="192" t="s">
        <v>922</v>
      </c>
      <c r="M690" s="192" t="s">
        <v>919</v>
      </c>
      <c r="N690" s="192" t="s">
        <v>65</v>
      </c>
      <c r="O690" s="192" t="s">
        <v>65</v>
      </c>
      <c r="P690" s="192" t="s">
        <v>926</v>
      </c>
      <c r="Q690" s="192">
        <v>4.5000001788139343E-2</v>
      </c>
      <c r="R690" s="192">
        <v>3.0999999046325684</v>
      </c>
      <c r="S690" s="192">
        <f>VLOOKUP($H690,'RBSA Weights'!$A$2:$C$1406,3,FALSE)</f>
        <v>2003.7159999999999</v>
      </c>
    </row>
    <row r="691" spans="1:19">
      <c r="A691" s="192" t="s">
        <v>928</v>
      </c>
      <c r="B691" s="192">
        <v>1</v>
      </c>
      <c r="C691" s="192">
        <v>0</v>
      </c>
      <c r="D691" s="192" t="s">
        <v>65</v>
      </c>
      <c r="E691" s="192">
        <v>1</v>
      </c>
      <c r="F691" s="192">
        <v>0</v>
      </c>
      <c r="G691" s="192">
        <v>239393</v>
      </c>
      <c r="H691" s="192">
        <v>23368</v>
      </c>
      <c r="I691" s="192">
        <v>1</v>
      </c>
      <c r="J691" s="192">
        <v>1243</v>
      </c>
      <c r="K691" s="192" t="s">
        <v>925</v>
      </c>
      <c r="L691" s="192" t="s">
        <v>737</v>
      </c>
      <c r="M691" s="192" t="s">
        <v>919</v>
      </c>
      <c r="N691" s="192" t="s">
        <v>65</v>
      </c>
      <c r="O691" s="192" t="s">
        <v>65</v>
      </c>
      <c r="P691" s="192" t="s">
        <v>65</v>
      </c>
      <c r="Q691" s="192">
        <v>4.5000001788139343E-2</v>
      </c>
      <c r="R691" s="192">
        <v>3.0999999046325684</v>
      </c>
      <c r="S691" s="192">
        <f>VLOOKUP($H691,'RBSA Weights'!$A$2:$C$1406,3,FALSE)</f>
        <v>1612.692</v>
      </c>
    </row>
    <row r="692" spans="1:19">
      <c r="A692" s="192" t="s">
        <v>928</v>
      </c>
      <c r="B692" s="192">
        <v>1</v>
      </c>
      <c r="C692" s="192">
        <v>0</v>
      </c>
      <c r="D692" s="192" t="s">
        <v>65</v>
      </c>
      <c r="E692" s="192">
        <v>1</v>
      </c>
      <c r="F692" s="192">
        <v>0</v>
      </c>
      <c r="G692" s="192">
        <v>65814</v>
      </c>
      <c r="H692" s="192">
        <v>12108</v>
      </c>
      <c r="I692" s="192">
        <v>1</v>
      </c>
      <c r="J692" s="192">
        <v>1200</v>
      </c>
      <c r="K692" s="192" t="s">
        <v>925</v>
      </c>
      <c r="L692" s="192" t="s">
        <v>737</v>
      </c>
      <c r="M692" s="192" t="s">
        <v>919</v>
      </c>
      <c r="N692" s="192" t="s">
        <v>65</v>
      </c>
      <c r="O692" s="192" t="s">
        <v>65</v>
      </c>
      <c r="P692" s="192" t="s">
        <v>926</v>
      </c>
      <c r="Q692" s="192">
        <v>4.5000001788139343E-2</v>
      </c>
      <c r="R692" s="192">
        <v>3.0999999046325684</v>
      </c>
      <c r="S692" s="192">
        <f>VLOOKUP($H692,'RBSA Weights'!$A$2:$C$1406,3,FALSE)</f>
        <v>1524.7619999999999</v>
      </c>
    </row>
    <row r="693" spans="1:19">
      <c r="A693" s="192" t="s">
        <v>928</v>
      </c>
      <c r="B693" s="192">
        <v>1</v>
      </c>
      <c r="C693" s="192">
        <v>0</v>
      </c>
      <c r="D693" s="192" t="s">
        <v>65</v>
      </c>
      <c r="E693" s="192">
        <v>1</v>
      </c>
      <c r="F693" s="192">
        <v>0</v>
      </c>
      <c r="G693" s="192">
        <v>133427</v>
      </c>
      <c r="H693" s="192">
        <v>20245</v>
      </c>
      <c r="I693" s="192">
        <v>1</v>
      </c>
      <c r="J693" s="192">
        <v>380</v>
      </c>
      <c r="K693" s="192" t="s">
        <v>925</v>
      </c>
      <c r="L693" s="192" t="s">
        <v>737</v>
      </c>
      <c r="M693" s="192" t="s">
        <v>919</v>
      </c>
      <c r="N693" s="192" t="s">
        <v>65</v>
      </c>
      <c r="O693" s="192" t="s">
        <v>65</v>
      </c>
      <c r="P693" s="192" t="s">
        <v>948</v>
      </c>
      <c r="Q693" s="192">
        <v>4.5000001788139343E-2</v>
      </c>
      <c r="R693" s="192">
        <v>3.0999999046325684</v>
      </c>
      <c r="S693" s="192">
        <f>VLOOKUP($H693,'RBSA Weights'!$A$2:$C$1406,3,FALSE)</f>
        <v>2079.9929999999999</v>
      </c>
    </row>
    <row r="694" spans="1:19">
      <c r="A694" s="192" t="s">
        <v>928</v>
      </c>
      <c r="B694" s="192">
        <v>1</v>
      </c>
      <c r="C694" s="192">
        <v>1</v>
      </c>
      <c r="D694" s="192" t="s">
        <v>921</v>
      </c>
      <c r="E694" s="192">
        <v>1</v>
      </c>
      <c r="F694" s="192">
        <v>0</v>
      </c>
      <c r="G694" s="192">
        <v>106293</v>
      </c>
      <c r="H694" s="192">
        <v>20688</v>
      </c>
      <c r="I694" s="192">
        <v>1</v>
      </c>
      <c r="J694" s="192">
        <v>1360</v>
      </c>
      <c r="K694" s="192" t="s">
        <v>925</v>
      </c>
      <c r="L694" s="192" t="s">
        <v>927</v>
      </c>
      <c r="M694" s="192" t="s">
        <v>919</v>
      </c>
      <c r="N694" s="192" t="s">
        <v>926</v>
      </c>
      <c r="O694" s="192" t="s">
        <v>65</v>
      </c>
      <c r="P694" s="192" t="s">
        <v>926</v>
      </c>
      <c r="Q694" s="192">
        <v>4.5000001788139343E-2</v>
      </c>
      <c r="R694" s="192">
        <v>4.5</v>
      </c>
      <c r="S694" s="192">
        <f>VLOOKUP($H694,'RBSA Weights'!$A$2:$C$1406,3,FALSE)</f>
        <v>3785.7640000000001</v>
      </c>
    </row>
    <row r="695" spans="1:19">
      <c r="A695" s="192" t="s">
        <v>928</v>
      </c>
      <c r="B695" s="192">
        <v>1</v>
      </c>
      <c r="C695" s="192">
        <v>0</v>
      </c>
      <c r="D695" s="192" t="s">
        <v>65</v>
      </c>
      <c r="E695" s="192">
        <v>1</v>
      </c>
      <c r="F695" s="192">
        <v>0</v>
      </c>
      <c r="G695" s="192">
        <v>227000</v>
      </c>
      <c r="H695" s="192">
        <v>11925</v>
      </c>
      <c r="I695" s="192">
        <v>1</v>
      </c>
      <c r="J695" s="192">
        <v>1994</v>
      </c>
      <c r="K695" s="192" t="s">
        <v>925</v>
      </c>
      <c r="L695" s="192" t="s">
        <v>737</v>
      </c>
      <c r="M695" s="192" t="s">
        <v>919</v>
      </c>
      <c r="N695" s="192" t="s">
        <v>65</v>
      </c>
      <c r="O695" s="192" t="s">
        <v>65</v>
      </c>
      <c r="P695" s="192" t="s">
        <v>65</v>
      </c>
      <c r="Q695" s="192">
        <v>4.5000001788139343E-2</v>
      </c>
      <c r="R695" s="192">
        <v>3.0999999046325684</v>
      </c>
      <c r="S695" s="192">
        <f>VLOOKUP($H695,'RBSA Weights'!$A$2:$C$1406,3,FALSE)</f>
        <v>4956.4930000000004</v>
      </c>
    </row>
    <row r="696" spans="1:19">
      <c r="A696" s="192" t="s">
        <v>928</v>
      </c>
      <c r="B696" s="192">
        <v>1</v>
      </c>
      <c r="C696" s="192">
        <v>0</v>
      </c>
      <c r="D696" s="192" t="s">
        <v>65</v>
      </c>
      <c r="E696" s="192">
        <v>1</v>
      </c>
      <c r="F696" s="192">
        <v>0</v>
      </c>
      <c r="G696" s="192">
        <v>153592</v>
      </c>
      <c r="H696" s="192">
        <v>24221</v>
      </c>
      <c r="I696" s="192">
        <v>1</v>
      </c>
      <c r="J696" s="192">
        <v>2060</v>
      </c>
      <c r="K696" s="192" t="s">
        <v>925</v>
      </c>
      <c r="L696" s="192" t="s">
        <v>737</v>
      </c>
      <c r="M696" s="192" t="s">
        <v>919</v>
      </c>
      <c r="N696" s="192" t="s">
        <v>65</v>
      </c>
      <c r="O696" s="192" t="s">
        <v>65</v>
      </c>
      <c r="P696" s="192" t="s">
        <v>65</v>
      </c>
      <c r="Q696" s="192">
        <v>4.5000001788139343E-2</v>
      </c>
      <c r="R696" s="192">
        <v>3.0999999046325684</v>
      </c>
      <c r="S696" s="192">
        <f>VLOOKUP($H696,'RBSA Weights'!$A$2:$C$1406,3,FALSE)</f>
        <v>1192.4649999999999</v>
      </c>
    </row>
    <row r="697" spans="1:19">
      <c r="A697" s="192" t="s">
        <v>928</v>
      </c>
      <c r="B697" s="192">
        <v>1</v>
      </c>
      <c r="C697" s="192">
        <v>0</v>
      </c>
      <c r="D697" s="192" t="s">
        <v>65</v>
      </c>
      <c r="E697" s="192">
        <v>1</v>
      </c>
      <c r="F697" s="192">
        <v>1</v>
      </c>
      <c r="G697" s="192">
        <v>199232</v>
      </c>
      <c r="H697" s="192">
        <v>11349</v>
      </c>
      <c r="I697" s="192">
        <v>1</v>
      </c>
      <c r="J697" s="192">
        <v>784</v>
      </c>
      <c r="K697" s="192" t="s">
        <v>925</v>
      </c>
      <c r="L697" s="192" t="s">
        <v>737</v>
      </c>
      <c r="M697" s="192" t="s">
        <v>919</v>
      </c>
      <c r="N697" s="192" t="s">
        <v>65</v>
      </c>
      <c r="O697" s="192" t="s">
        <v>65</v>
      </c>
      <c r="P697" s="192" t="s">
        <v>65</v>
      </c>
      <c r="Q697" s="192">
        <v>4.5000001788139343E-2</v>
      </c>
      <c r="R697" s="192">
        <v>4.5</v>
      </c>
      <c r="S697" s="192">
        <f>VLOOKUP($H697,'RBSA Weights'!$A$2:$C$1406,3,FALSE)</f>
        <v>4956.4930000000004</v>
      </c>
    </row>
    <row r="698" spans="1:19">
      <c r="A698" s="192" t="s">
        <v>928</v>
      </c>
      <c r="B698" s="192">
        <v>1</v>
      </c>
      <c r="C698" s="192">
        <v>1</v>
      </c>
      <c r="D698" s="192" t="s">
        <v>921</v>
      </c>
      <c r="E698" s="192">
        <v>1</v>
      </c>
      <c r="F698" s="192">
        <v>0</v>
      </c>
      <c r="G698" s="192">
        <v>33436</v>
      </c>
      <c r="H698" s="192">
        <v>20058</v>
      </c>
      <c r="I698" s="192">
        <v>1</v>
      </c>
      <c r="J698" s="192">
        <v>1080</v>
      </c>
      <c r="K698" s="192" t="s">
        <v>925</v>
      </c>
      <c r="L698" s="192" t="s">
        <v>927</v>
      </c>
      <c r="M698" s="192" t="s">
        <v>923</v>
      </c>
      <c r="N698" s="192" t="s">
        <v>948</v>
      </c>
      <c r="O698" s="192" t="s">
        <v>65</v>
      </c>
      <c r="P698" s="192" t="s">
        <v>924</v>
      </c>
      <c r="Q698" s="192">
        <v>4.5000001788139343E-2</v>
      </c>
      <c r="R698" s="192">
        <v>4.5</v>
      </c>
      <c r="S698" s="192">
        <f>VLOOKUP($H698,'RBSA Weights'!$A$2:$C$1406,3,FALSE)</f>
        <v>3785.7640000000001</v>
      </c>
    </row>
    <row r="699" spans="1:19">
      <c r="A699" s="192" t="s">
        <v>928</v>
      </c>
      <c r="B699" s="192">
        <v>1</v>
      </c>
      <c r="C699" s="192">
        <v>0</v>
      </c>
      <c r="D699" s="192" t="s">
        <v>65</v>
      </c>
      <c r="E699" s="192">
        <v>1</v>
      </c>
      <c r="F699" s="192">
        <v>0</v>
      </c>
      <c r="G699" s="192">
        <v>676222</v>
      </c>
      <c r="H699" s="192">
        <v>10055</v>
      </c>
      <c r="I699" s="192">
        <v>1</v>
      </c>
      <c r="J699" s="192">
        <v>2043</v>
      </c>
      <c r="K699" s="192" t="s">
        <v>925</v>
      </c>
      <c r="L699" s="192" t="s">
        <v>922</v>
      </c>
      <c r="M699" s="192" t="s">
        <v>919</v>
      </c>
      <c r="N699" s="192" t="s">
        <v>65</v>
      </c>
      <c r="O699" s="192" t="s">
        <v>65</v>
      </c>
      <c r="P699" s="192" t="s">
        <v>65</v>
      </c>
      <c r="Q699" s="192">
        <v>4.5000001788139343E-2</v>
      </c>
      <c r="R699" s="192">
        <v>3.0999999046325684</v>
      </c>
      <c r="S699" s="192">
        <f>VLOOKUP($H699,'RBSA Weights'!$A$2:$C$1406,3,FALSE)</f>
        <v>4956.4930000000004</v>
      </c>
    </row>
    <row r="700" spans="1:19">
      <c r="A700" s="192" t="s">
        <v>928</v>
      </c>
      <c r="B700" s="192">
        <v>1</v>
      </c>
      <c r="C700" s="192">
        <v>0</v>
      </c>
      <c r="D700" s="192" t="s">
        <v>65</v>
      </c>
      <c r="E700" s="192">
        <v>1</v>
      </c>
      <c r="F700" s="192">
        <v>0</v>
      </c>
      <c r="G700" s="192">
        <v>215680</v>
      </c>
      <c r="H700" s="192">
        <v>22982</v>
      </c>
      <c r="I700" s="192">
        <v>1</v>
      </c>
      <c r="J700" s="192">
        <v>1220</v>
      </c>
      <c r="K700" s="192" t="s">
        <v>918</v>
      </c>
      <c r="L700" s="192" t="s">
        <v>65</v>
      </c>
      <c r="M700" s="192" t="s">
        <v>923</v>
      </c>
      <c r="N700" s="192" t="s">
        <v>65</v>
      </c>
      <c r="O700" s="192" t="s">
        <v>65</v>
      </c>
      <c r="P700" s="192" t="s">
        <v>65</v>
      </c>
      <c r="Q700" s="192">
        <v>4.5000001788139343E-2</v>
      </c>
      <c r="R700" s="192">
        <v>3.0999999046325684</v>
      </c>
      <c r="S700" s="192">
        <f>VLOOKUP($H700,'RBSA Weights'!$A$2:$C$1406,3,FALSE)</f>
        <v>2079.9929999999999</v>
      </c>
    </row>
    <row r="701" spans="1:19">
      <c r="A701" s="192" t="s">
        <v>928</v>
      </c>
      <c r="B701" s="192">
        <v>1</v>
      </c>
      <c r="C701" s="192">
        <v>0</v>
      </c>
      <c r="D701" s="192" t="s">
        <v>65</v>
      </c>
      <c r="E701" s="192">
        <v>1</v>
      </c>
      <c r="F701" s="192">
        <v>0</v>
      </c>
      <c r="G701" s="192">
        <v>60853</v>
      </c>
      <c r="H701" s="192">
        <v>20287</v>
      </c>
      <c r="I701" s="192">
        <v>1</v>
      </c>
      <c r="J701" s="192">
        <v>2077</v>
      </c>
      <c r="K701" s="192" t="s">
        <v>918</v>
      </c>
      <c r="L701" s="192" t="s">
        <v>737</v>
      </c>
      <c r="M701" s="192" t="s">
        <v>923</v>
      </c>
      <c r="N701" s="192" t="s">
        <v>65</v>
      </c>
      <c r="O701" s="192" t="s">
        <v>65</v>
      </c>
      <c r="P701" s="192" t="s">
        <v>924</v>
      </c>
      <c r="Q701" s="192">
        <v>4.5000001788139343E-2</v>
      </c>
      <c r="R701" s="192">
        <v>3.0999999046325684</v>
      </c>
      <c r="S701" s="192">
        <f>VLOOKUP($H701,'RBSA Weights'!$A$2:$C$1406,3,FALSE)</f>
        <v>2079.9929999999999</v>
      </c>
    </row>
    <row r="702" spans="1:19">
      <c r="A702" s="192" t="s">
        <v>928</v>
      </c>
      <c r="B702" s="192">
        <v>1</v>
      </c>
      <c r="C702" s="192">
        <v>0</v>
      </c>
      <c r="D702" s="192" t="s">
        <v>65</v>
      </c>
      <c r="E702" s="192">
        <v>1</v>
      </c>
      <c r="F702" s="192">
        <v>0</v>
      </c>
      <c r="G702" s="192">
        <v>43987</v>
      </c>
      <c r="H702" s="192">
        <v>10096</v>
      </c>
      <c r="I702" s="192">
        <v>1</v>
      </c>
      <c r="J702" s="192">
        <v>1664</v>
      </c>
      <c r="K702" s="192" t="s">
        <v>925</v>
      </c>
      <c r="L702" s="192" t="s">
        <v>922</v>
      </c>
      <c r="M702" s="192" t="s">
        <v>919</v>
      </c>
      <c r="N702" s="192" t="s">
        <v>65</v>
      </c>
      <c r="O702" s="192" t="s">
        <v>65</v>
      </c>
      <c r="P702" s="192" t="s">
        <v>926</v>
      </c>
      <c r="Q702" s="192">
        <v>4.5000001788139343E-2</v>
      </c>
      <c r="R702" s="192">
        <v>3.0999999046325684</v>
      </c>
      <c r="S702" s="192">
        <f>VLOOKUP($H702,'RBSA Weights'!$A$2:$C$1406,3,FALSE)</f>
        <v>1188.027</v>
      </c>
    </row>
    <row r="703" spans="1:19">
      <c r="A703" s="192" t="s">
        <v>928</v>
      </c>
      <c r="B703" s="192">
        <v>1</v>
      </c>
      <c r="C703" s="192">
        <v>0</v>
      </c>
      <c r="D703" s="192" t="s">
        <v>65</v>
      </c>
      <c r="E703" s="192">
        <v>1</v>
      </c>
      <c r="F703" s="192">
        <v>0</v>
      </c>
      <c r="G703" s="192">
        <v>154476</v>
      </c>
      <c r="H703" s="192">
        <v>22985</v>
      </c>
      <c r="I703" s="192">
        <v>1</v>
      </c>
      <c r="J703" s="192">
        <v>2400</v>
      </c>
      <c r="K703" s="192" t="s">
        <v>918</v>
      </c>
      <c r="L703" s="192" t="s">
        <v>65</v>
      </c>
      <c r="M703" s="192" t="s">
        <v>919</v>
      </c>
      <c r="N703" s="192" t="s">
        <v>65</v>
      </c>
      <c r="O703" s="192" t="s">
        <v>65</v>
      </c>
      <c r="P703" s="192" t="s">
        <v>65</v>
      </c>
      <c r="Q703" s="192">
        <v>4.5000001788139343E-2</v>
      </c>
      <c r="R703" s="192">
        <v>3.0999999046325684</v>
      </c>
      <c r="S703" s="192">
        <f>VLOOKUP($H703,'RBSA Weights'!$A$2:$C$1406,3,FALSE)</f>
        <v>6932.7380000000003</v>
      </c>
    </row>
    <row r="704" spans="1:19">
      <c r="A704" s="192" t="s">
        <v>929</v>
      </c>
      <c r="B704" s="192">
        <v>0.75</v>
      </c>
      <c r="C704" s="192">
        <v>0</v>
      </c>
      <c r="D704" s="192" t="s">
        <v>65</v>
      </c>
      <c r="E704" s="192">
        <v>0</v>
      </c>
      <c r="G704" s="192">
        <v>212301</v>
      </c>
      <c r="H704" s="192">
        <v>20516</v>
      </c>
      <c r="I704" s="192">
        <v>1</v>
      </c>
      <c r="J704" s="192">
        <v>1300</v>
      </c>
      <c r="K704" s="192" t="s">
        <v>918</v>
      </c>
      <c r="L704" s="192" t="s">
        <v>927</v>
      </c>
      <c r="M704" s="192" t="s">
        <v>919</v>
      </c>
      <c r="N704" s="192" t="s">
        <v>65</v>
      </c>
      <c r="O704" s="192" t="s">
        <v>65</v>
      </c>
      <c r="P704" s="192" t="s">
        <v>65</v>
      </c>
      <c r="Q704" s="192">
        <v>8.5000000894069672E-2</v>
      </c>
      <c r="R704" s="192">
        <v>5</v>
      </c>
      <c r="S704" s="192">
        <f>VLOOKUP($H704,'RBSA Weights'!$A$2:$C$1406,3,FALSE)</f>
        <v>2079.9929999999999</v>
      </c>
    </row>
    <row r="705" spans="1:19">
      <c r="A705" s="192" t="s">
        <v>929</v>
      </c>
      <c r="B705" s="192">
        <v>0.75</v>
      </c>
      <c r="C705" s="192">
        <v>1</v>
      </c>
      <c r="D705" s="192" t="s">
        <v>941</v>
      </c>
      <c r="E705" s="192">
        <v>1</v>
      </c>
      <c r="F705" s="192">
        <v>1</v>
      </c>
      <c r="G705" s="192">
        <v>96480</v>
      </c>
      <c r="H705" s="192">
        <v>22233</v>
      </c>
      <c r="I705" s="192">
        <v>1</v>
      </c>
      <c r="J705" s="192">
        <v>1728</v>
      </c>
      <c r="K705" s="192" t="s">
        <v>925</v>
      </c>
      <c r="L705" s="192" t="s">
        <v>922</v>
      </c>
      <c r="M705" s="192" t="s">
        <v>919</v>
      </c>
      <c r="N705" s="192" t="s">
        <v>926</v>
      </c>
      <c r="O705" s="192" t="s">
        <v>65</v>
      </c>
      <c r="P705" s="192" t="s">
        <v>926</v>
      </c>
      <c r="Q705" s="192">
        <v>8.5000000894069672E-2</v>
      </c>
      <c r="R705" s="192">
        <v>7.5999999046325684</v>
      </c>
      <c r="S705" s="192">
        <f>VLOOKUP($H705,'RBSA Weights'!$A$2:$C$1406,3,FALSE)</f>
        <v>1925.059</v>
      </c>
    </row>
    <row r="706" spans="1:19">
      <c r="A706" s="192" t="s">
        <v>929</v>
      </c>
      <c r="B706" s="192">
        <v>0.75</v>
      </c>
      <c r="C706" s="192">
        <v>0</v>
      </c>
      <c r="D706" s="192" t="s">
        <v>65</v>
      </c>
      <c r="E706" s="192">
        <v>1</v>
      </c>
      <c r="F706" s="192">
        <v>0</v>
      </c>
      <c r="G706" s="192">
        <v>121288</v>
      </c>
      <c r="H706" s="192">
        <v>24790</v>
      </c>
      <c r="I706" s="192">
        <v>1</v>
      </c>
      <c r="J706" s="192">
        <v>1435</v>
      </c>
      <c r="K706" s="192" t="s">
        <v>918</v>
      </c>
      <c r="L706" s="192" t="s">
        <v>737</v>
      </c>
      <c r="M706" s="192" t="s">
        <v>923</v>
      </c>
      <c r="N706" s="192" t="s">
        <v>65</v>
      </c>
      <c r="O706" s="192" t="s">
        <v>65</v>
      </c>
      <c r="P706" s="192" t="s">
        <v>924</v>
      </c>
      <c r="Q706" s="192">
        <v>8.5000000894069672E-2</v>
      </c>
      <c r="R706" s="192">
        <v>3.0999999046325684</v>
      </c>
      <c r="S706" s="192">
        <f>VLOOKUP($H706,'RBSA Weights'!$A$2:$C$1406,3,FALSE)</f>
        <v>2079.9929999999999</v>
      </c>
    </row>
    <row r="707" spans="1:19">
      <c r="A707" s="192" t="s">
        <v>929</v>
      </c>
      <c r="B707" s="192">
        <v>0.75</v>
      </c>
      <c r="C707" s="192">
        <v>0</v>
      </c>
      <c r="D707" s="192" t="s">
        <v>65</v>
      </c>
      <c r="E707" s="192">
        <v>1</v>
      </c>
      <c r="F707" s="192">
        <v>0</v>
      </c>
      <c r="G707" s="192">
        <v>43538</v>
      </c>
      <c r="H707" s="192">
        <v>13746</v>
      </c>
      <c r="I707" s="192">
        <v>1</v>
      </c>
      <c r="J707" s="192">
        <v>600</v>
      </c>
      <c r="K707" s="192" t="s">
        <v>925</v>
      </c>
      <c r="L707" s="192" t="s">
        <v>737</v>
      </c>
      <c r="M707" s="192" t="s">
        <v>919</v>
      </c>
      <c r="N707" s="192" t="s">
        <v>65</v>
      </c>
      <c r="O707" s="192" t="s">
        <v>65</v>
      </c>
      <c r="P707" s="192" t="s">
        <v>926</v>
      </c>
      <c r="Q707" s="192">
        <v>8.5000000894069672E-2</v>
      </c>
      <c r="R707" s="192">
        <v>3.0999999046325684</v>
      </c>
      <c r="S707" s="192">
        <f>VLOOKUP($H707,'RBSA Weights'!$A$2:$C$1406,3,FALSE)</f>
        <v>1188.027</v>
      </c>
    </row>
    <row r="708" spans="1:19">
      <c r="A708" s="192" t="s">
        <v>929</v>
      </c>
      <c r="B708" s="192">
        <v>0.75</v>
      </c>
      <c r="C708" s="192">
        <v>0</v>
      </c>
      <c r="D708" s="192" t="s">
        <v>65</v>
      </c>
      <c r="E708" s="192">
        <v>1</v>
      </c>
      <c r="F708" s="192">
        <v>0</v>
      </c>
      <c r="G708" s="192">
        <v>96677</v>
      </c>
      <c r="H708" s="192">
        <v>12266</v>
      </c>
      <c r="I708" s="192">
        <v>1</v>
      </c>
      <c r="J708" s="192">
        <v>977</v>
      </c>
      <c r="K708" s="192" t="s">
        <v>925</v>
      </c>
      <c r="L708" s="192" t="s">
        <v>737</v>
      </c>
      <c r="M708" s="192" t="s">
        <v>923</v>
      </c>
      <c r="N708" s="192" t="s">
        <v>65</v>
      </c>
      <c r="O708" s="192" t="s">
        <v>65</v>
      </c>
      <c r="P708" s="192" t="s">
        <v>926</v>
      </c>
      <c r="Q708" s="192">
        <v>8.5000000894069672E-2</v>
      </c>
      <c r="R708" s="192">
        <v>3.0999999046325684</v>
      </c>
      <c r="S708" s="192">
        <f>VLOOKUP($H708,'RBSA Weights'!$A$2:$C$1406,3,FALSE)</f>
        <v>4956.4930000000004</v>
      </c>
    </row>
    <row r="709" spans="1:19">
      <c r="A709" s="192" t="s">
        <v>929</v>
      </c>
      <c r="B709" s="192">
        <v>0.75</v>
      </c>
      <c r="C709" s="192">
        <v>0</v>
      </c>
      <c r="D709" s="192" t="s">
        <v>65</v>
      </c>
      <c r="E709" s="192">
        <v>1</v>
      </c>
      <c r="F709" s="192">
        <v>0</v>
      </c>
      <c r="G709" s="192">
        <v>202228</v>
      </c>
      <c r="H709" s="192">
        <v>20156</v>
      </c>
      <c r="I709" s="192">
        <v>1</v>
      </c>
      <c r="J709" s="192">
        <v>691</v>
      </c>
      <c r="K709" s="192" t="s">
        <v>925</v>
      </c>
      <c r="L709" s="192" t="s">
        <v>737</v>
      </c>
      <c r="M709" s="192" t="s">
        <v>919</v>
      </c>
      <c r="N709" s="192" t="s">
        <v>65</v>
      </c>
      <c r="O709" s="192" t="s">
        <v>65</v>
      </c>
      <c r="P709" s="192" t="s">
        <v>65</v>
      </c>
      <c r="Q709" s="192">
        <v>8.5000000894069672E-2</v>
      </c>
      <c r="R709" s="192">
        <v>3.0999999046325684</v>
      </c>
      <c r="S709" s="192">
        <f>VLOOKUP($H709,'RBSA Weights'!$A$2:$C$1406,3,FALSE)</f>
        <v>1612.692</v>
      </c>
    </row>
    <row r="710" spans="1:19">
      <c r="A710" s="192" t="s">
        <v>929</v>
      </c>
      <c r="B710" s="192">
        <v>0.75</v>
      </c>
      <c r="C710" s="192">
        <v>0</v>
      </c>
      <c r="D710" s="192" t="s">
        <v>65</v>
      </c>
      <c r="E710" s="192">
        <v>1</v>
      </c>
      <c r="F710" s="192">
        <v>0</v>
      </c>
      <c r="G710" s="192">
        <v>66530</v>
      </c>
      <c r="H710" s="192">
        <v>12724</v>
      </c>
      <c r="I710" s="192">
        <v>1</v>
      </c>
      <c r="J710" s="192">
        <v>2807</v>
      </c>
      <c r="K710" s="192" t="s">
        <v>918</v>
      </c>
      <c r="L710" s="192" t="s">
        <v>927</v>
      </c>
      <c r="M710" s="192" t="s">
        <v>923</v>
      </c>
      <c r="N710" s="192" t="s">
        <v>65</v>
      </c>
      <c r="O710" s="192" t="s">
        <v>65</v>
      </c>
      <c r="P710" s="192" t="s">
        <v>924</v>
      </c>
      <c r="Q710" s="192">
        <v>8.5000000894069672E-2</v>
      </c>
      <c r="R710" s="192">
        <v>3.0999999046325684</v>
      </c>
      <c r="S710" s="192">
        <f>VLOOKUP($H710,'RBSA Weights'!$A$2:$C$1406,3,FALSE)</f>
        <v>2003.7159999999999</v>
      </c>
    </row>
    <row r="711" spans="1:19">
      <c r="A711" s="192" t="s">
        <v>929</v>
      </c>
      <c r="B711" s="192">
        <v>0.75</v>
      </c>
      <c r="C711" s="192">
        <v>0</v>
      </c>
      <c r="D711" s="192" t="s">
        <v>65</v>
      </c>
      <c r="E711" s="192">
        <v>1</v>
      </c>
      <c r="F711" s="192">
        <v>0</v>
      </c>
      <c r="G711" s="192">
        <v>45107</v>
      </c>
      <c r="H711" s="192">
        <v>14129</v>
      </c>
      <c r="I711" s="192">
        <v>1</v>
      </c>
      <c r="J711" s="192">
        <v>780</v>
      </c>
      <c r="K711" s="192" t="s">
        <v>925</v>
      </c>
      <c r="L711" s="192" t="s">
        <v>927</v>
      </c>
      <c r="M711" s="192" t="s">
        <v>923</v>
      </c>
      <c r="N711" s="192" t="s">
        <v>65</v>
      </c>
      <c r="O711" s="192" t="s">
        <v>65</v>
      </c>
      <c r="P711" s="192" t="s">
        <v>926</v>
      </c>
      <c r="Q711" s="192">
        <v>8.5000000894069672E-2</v>
      </c>
      <c r="R711" s="192">
        <v>3.0999999046325684</v>
      </c>
      <c r="S711" s="192">
        <f>VLOOKUP($H711,'RBSA Weights'!$A$2:$C$1406,3,FALSE)</f>
        <v>1188.027</v>
      </c>
    </row>
    <row r="712" spans="1:19">
      <c r="A712" s="192" t="s">
        <v>929</v>
      </c>
      <c r="B712" s="192">
        <v>0.75</v>
      </c>
      <c r="C712" s="192">
        <v>0</v>
      </c>
      <c r="D712" s="192" t="s">
        <v>65</v>
      </c>
      <c r="E712" s="192">
        <v>1</v>
      </c>
      <c r="F712" s="192">
        <v>0</v>
      </c>
      <c r="G712" s="192">
        <v>36873</v>
      </c>
      <c r="H712" s="192">
        <v>12376</v>
      </c>
      <c r="I712" s="192">
        <v>1</v>
      </c>
      <c r="J712" s="192">
        <v>1000</v>
      </c>
      <c r="K712" s="192" t="s">
        <v>925</v>
      </c>
      <c r="L712" s="192" t="s">
        <v>927</v>
      </c>
      <c r="M712" s="192" t="s">
        <v>919</v>
      </c>
      <c r="N712" s="192" t="s">
        <v>924</v>
      </c>
      <c r="O712" s="192" t="s">
        <v>65</v>
      </c>
      <c r="P712" s="192" t="s">
        <v>924</v>
      </c>
      <c r="Q712" s="192">
        <v>8.5000000894069672E-2</v>
      </c>
      <c r="R712" s="192">
        <v>3.0999999046325684</v>
      </c>
      <c r="S712" s="192">
        <f>VLOOKUP($H712,'RBSA Weights'!$A$2:$C$1406,3,FALSE)</f>
        <v>1188.027</v>
      </c>
    </row>
    <row r="713" spans="1:19">
      <c r="A713" s="192" t="s">
        <v>929</v>
      </c>
      <c r="B713" s="192">
        <v>0.9</v>
      </c>
      <c r="C713" s="192">
        <v>0</v>
      </c>
      <c r="D713" s="192" t="s">
        <v>65</v>
      </c>
      <c r="E713" s="192">
        <v>1</v>
      </c>
      <c r="F713" s="192">
        <v>0</v>
      </c>
      <c r="G713" s="192">
        <v>136353</v>
      </c>
      <c r="H713" s="192">
        <v>20274</v>
      </c>
      <c r="I713" s="192">
        <v>1</v>
      </c>
      <c r="J713" s="192">
        <v>1680</v>
      </c>
      <c r="K713" s="192" t="s">
        <v>918</v>
      </c>
      <c r="L713" s="192" t="s">
        <v>65</v>
      </c>
      <c r="M713" s="192" t="s">
        <v>923</v>
      </c>
      <c r="N713" s="192" t="s">
        <v>65</v>
      </c>
      <c r="O713" s="192" t="s">
        <v>65</v>
      </c>
      <c r="P713" s="192" t="s">
        <v>65</v>
      </c>
      <c r="Q713" s="192">
        <v>5.9999998658895493E-2</v>
      </c>
      <c r="R713" s="192">
        <v>3.0999999046325684</v>
      </c>
      <c r="S713" s="192">
        <f>VLOOKUP($H713,'RBSA Weights'!$A$2:$C$1406,3,FALSE)</f>
        <v>1612.692</v>
      </c>
    </row>
    <row r="714" spans="1:19">
      <c r="A714" s="192" t="s">
        <v>929</v>
      </c>
      <c r="B714" s="192">
        <v>0.9</v>
      </c>
      <c r="C714" s="192">
        <v>0</v>
      </c>
      <c r="D714" s="192" t="s">
        <v>65</v>
      </c>
      <c r="E714" s="192">
        <v>1</v>
      </c>
      <c r="F714" s="192">
        <v>0</v>
      </c>
      <c r="G714" s="192">
        <v>179983</v>
      </c>
      <c r="H714" s="192">
        <v>22671</v>
      </c>
      <c r="I714" s="192">
        <v>1</v>
      </c>
      <c r="J714" s="192">
        <v>1267</v>
      </c>
      <c r="K714" s="192" t="s">
        <v>918</v>
      </c>
      <c r="L714" s="192" t="s">
        <v>65</v>
      </c>
      <c r="M714" s="192" t="s">
        <v>919</v>
      </c>
      <c r="N714" s="192" t="s">
        <v>65</v>
      </c>
      <c r="O714" s="192" t="s">
        <v>65</v>
      </c>
      <c r="P714" s="192" t="s">
        <v>65</v>
      </c>
      <c r="Q714" s="192">
        <v>5.9999998658895493E-2</v>
      </c>
      <c r="R714" s="192">
        <v>3.0999999046325684</v>
      </c>
      <c r="S714" s="192">
        <f>VLOOKUP($H714,'RBSA Weights'!$A$2:$C$1406,3,FALSE)</f>
        <v>1612.692</v>
      </c>
    </row>
    <row r="715" spans="1:19">
      <c r="A715" s="192" t="s">
        <v>929</v>
      </c>
      <c r="B715" s="192">
        <v>0.9</v>
      </c>
      <c r="C715" s="192">
        <v>0</v>
      </c>
      <c r="D715" s="192" t="s">
        <v>65</v>
      </c>
      <c r="E715" s="192">
        <v>1</v>
      </c>
      <c r="F715" s="192">
        <v>0</v>
      </c>
      <c r="G715" s="192">
        <v>209484</v>
      </c>
      <c r="H715" s="192">
        <v>10244</v>
      </c>
      <c r="I715" s="192">
        <v>1</v>
      </c>
      <c r="J715" s="192">
        <v>494</v>
      </c>
      <c r="K715" s="192" t="s">
        <v>918</v>
      </c>
      <c r="L715" s="192" t="s">
        <v>65</v>
      </c>
      <c r="M715" s="192" t="s">
        <v>919</v>
      </c>
      <c r="N715" s="192" t="s">
        <v>65</v>
      </c>
      <c r="O715" s="192" t="s">
        <v>65</v>
      </c>
      <c r="P715" s="192" t="s">
        <v>65</v>
      </c>
      <c r="Q715" s="192">
        <v>5.9999998658895493E-2</v>
      </c>
      <c r="R715" s="192">
        <v>3.0999999046325684</v>
      </c>
      <c r="S715" s="192">
        <f>VLOOKUP($H715,'RBSA Weights'!$A$2:$C$1406,3,FALSE)</f>
        <v>6932.7380000000003</v>
      </c>
    </row>
    <row r="716" spans="1:19">
      <c r="A716" s="192" t="s">
        <v>929</v>
      </c>
      <c r="B716" s="192">
        <v>0.9</v>
      </c>
      <c r="C716" s="192">
        <v>0</v>
      </c>
      <c r="D716" s="192" t="s">
        <v>65</v>
      </c>
      <c r="E716" s="192">
        <v>1</v>
      </c>
      <c r="F716" s="192">
        <v>0</v>
      </c>
      <c r="G716" s="192">
        <v>110795</v>
      </c>
      <c r="H716" s="192">
        <v>21578</v>
      </c>
      <c r="I716" s="192">
        <v>1</v>
      </c>
      <c r="J716" s="192">
        <v>1600</v>
      </c>
      <c r="K716" s="192" t="s">
        <v>925</v>
      </c>
      <c r="L716" s="192" t="s">
        <v>927</v>
      </c>
      <c r="M716" s="192" t="s">
        <v>919</v>
      </c>
      <c r="N716" s="192" t="s">
        <v>65</v>
      </c>
      <c r="O716" s="192" t="s">
        <v>65</v>
      </c>
      <c r="P716" s="192" t="s">
        <v>926</v>
      </c>
      <c r="Q716" s="192">
        <v>5.9999998658895493E-2</v>
      </c>
      <c r="R716" s="192">
        <v>3.0999999046325684</v>
      </c>
      <c r="S716" s="192">
        <f>VLOOKUP($H716,'RBSA Weights'!$A$2:$C$1406,3,FALSE)</f>
        <v>2079.9929999999999</v>
      </c>
    </row>
    <row r="717" spans="1:19">
      <c r="A717" s="192" t="s">
        <v>929</v>
      </c>
      <c r="B717" s="192">
        <v>0.9</v>
      </c>
      <c r="C717" s="192">
        <v>0</v>
      </c>
      <c r="D717" s="192" t="s">
        <v>65</v>
      </c>
      <c r="E717" s="192">
        <v>1</v>
      </c>
      <c r="F717" s="192">
        <v>0</v>
      </c>
      <c r="G717" s="192">
        <v>108061</v>
      </c>
      <c r="H717" s="192">
        <v>10338</v>
      </c>
      <c r="I717" s="192">
        <v>1</v>
      </c>
      <c r="J717" s="192">
        <v>1212</v>
      </c>
      <c r="K717" s="192" t="s">
        <v>925</v>
      </c>
      <c r="L717" s="192" t="s">
        <v>922</v>
      </c>
      <c r="M717" s="192" t="s">
        <v>919</v>
      </c>
      <c r="N717" s="192" t="s">
        <v>65</v>
      </c>
      <c r="O717" s="192" t="s">
        <v>65</v>
      </c>
      <c r="P717" s="192" t="s">
        <v>926</v>
      </c>
      <c r="Q717" s="192">
        <v>5.9999998658895493E-2</v>
      </c>
      <c r="R717" s="192">
        <v>3.0999999046325684</v>
      </c>
      <c r="S717" s="192">
        <f>VLOOKUP($H717,'RBSA Weights'!$A$2:$C$1406,3,FALSE)</f>
        <v>4956.4930000000004</v>
      </c>
    </row>
    <row r="718" spans="1:19">
      <c r="A718" s="192" t="s">
        <v>929</v>
      </c>
      <c r="B718" s="192">
        <v>0.9</v>
      </c>
      <c r="C718" s="192">
        <v>0</v>
      </c>
      <c r="D718" s="192" t="s">
        <v>65</v>
      </c>
      <c r="E718" s="192">
        <v>1</v>
      </c>
      <c r="F718" s="192">
        <v>0</v>
      </c>
      <c r="G718" s="192">
        <v>83706</v>
      </c>
      <c r="H718" s="192">
        <v>13023</v>
      </c>
      <c r="I718" s="192">
        <v>1</v>
      </c>
      <c r="J718" s="192">
        <v>420</v>
      </c>
      <c r="K718" s="192" t="s">
        <v>918</v>
      </c>
      <c r="L718" s="192" t="s">
        <v>922</v>
      </c>
      <c r="M718" s="192" t="s">
        <v>923</v>
      </c>
      <c r="N718" s="192" t="s">
        <v>65</v>
      </c>
      <c r="O718" s="192" t="s">
        <v>65</v>
      </c>
      <c r="P718" s="192" t="s">
        <v>926</v>
      </c>
      <c r="Q718" s="192">
        <v>5.9999998658895493E-2</v>
      </c>
      <c r="R718" s="192">
        <v>3.0999999046325684</v>
      </c>
      <c r="S718" s="192">
        <f>VLOOKUP($H718,'RBSA Weights'!$A$2:$C$1406,3,FALSE)</f>
        <v>2003.7159999999999</v>
      </c>
    </row>
    <row r="719" spans="1:19">
      <c r="A719" s="192" t="s">
        <v>929</v>
      </c>
      <c r="B719" s="192">
        <v>0.9</v>
      </c>
      <c r="C719" s="192">
        <v>0</v>
      </c>
      <c r="D719" s="192" t="s">
        <v>65</v>
      </c>
      <c r="E719" s="192">
        <v>1</v>
      </c>
      <c r="F719" s="192">
        <v>0</v>
      </c>
      <c r="G719" s="192">
        <v>108898</v>
      </c>
      <c r="H719" s="192">
        <v>11633</v>
      </c>
      <c r="I719" s="192">
        <v>1</v>
      </c>
      <c r="J719" s="192">
        <v>1276</v>
      </c>
      <c r="K719" s="192" t="s">
        <v>918</v>
      </c>
      <c r="L719" s="192" t="s">
        <v>737</v>
      </c>
      <c r="M719" s="192" t="s">
        <v>923</v>
      </c>
      <c r="N719" s="192" t="s">
        <v>65</v>
      </c>
      <c r="O719" s="192" t="s">
        <v>65</v>
      </c>
      <c r="P719" s="192" t="s">
        <v>926</v>
      </c>
      <c r="Q719" s="192">
        <v>5.9999998658895493E-2</v>
      </c>
      <c r="R719" s="192">
        <v>3.0999999046325684</v>
      </c>
      <c r="S719" s="192">
        <f>VLOOKUP($H719,'RBSA Weights'!$A$2:$C$1406,3,FALSE)</f>
        <v>4956.4930000000004</v>
      </c>
    </row>
    <row r="720" spans="1:19">
      <c r="A720" s="192" t="s">
        <v>929</v>
      </c>
      <c r="B720" s="192">
        <v>0.9</v>
      </c>
      <c r="C720" s="192">
        <v>0</v>
      </c>
      <c r="D720" s="192" t="s">
        <v>65</v>
      </c>
      <c r="E720" s="192">
        <v>1</v>
      </c>
      <c r="F720" s="192">
        <v>0</v>
      </c>
      <c r="G720" s="192">
        <v>140764</v>
      </c>
      <c r="H720" s="192">
        <v>23504</v>
      </c>
      <c r="I720" s="192">
        <v>1</v>
      </c>
      <c r="J720" s="192">
        <v>1176</v>
      </c>
      <c r="K720" s="192" t="s">
        <v>65</v>
      </c>
      <c r="L720" s="192" t="s">
        <v>737</v>
      </c>
      <c r="M720" s="192" t="s">
        <v>919</v>
      </c>
      <c r="N720" s="192" t="s">
        <v>65</v>
      </c>
      <c r="O720" s="192" t="s">
        <v>65</v>
      </c>
      <c r="P720" s="192" t="s">
        <v>65</v>
      </c>
      <c r="Q720" s="192">
        <v>5.9999998658895493E-2</v>
      </c>
      <c r="R720" s="192">
        <v>3.0999999046325684</v>
      </c>
      <c r="S720" s="192">
        <f>VLOOKUP($H720,'RBSA Weights'!$A$2:$C$1406,3,FALSE)</f>
        <v>1612.692</v>
      </c>
    </row>
    <row r="721" spans="1:19">
      <c r="A721" s="192" t="s">
        <v>929</v>
      </c>
      <c r="B721" s="192">
        <v>0.9</v>
      </c>
      <c r="C721" s="192">
        <v>0</v>
      </c>
      <c r="D721" s="192" t="s">
        <v>65</v>
      </c>
      <c r="E721" s="192">
        <v>1</v>
      </c>
      <c r="F721" s="192">
        <v>0</v>
      </c>
      <c r="G721" s="192">
        <v>122842</v>
      </c>
      <c r="H721" s="192">
        <v>23439</v>
      </c>
      <c r="I721" s="192">
        <v>1</v>
      </c>
      <c r="J721" s="192">
        <v>390</v>
      </c>
      <c r="K721" s="192" t="s">
        <v>925</v>
      </c>
      <c r="L721" s="192" t="s">
        <v>737</v>
      </c>
      <c r="M721" s="192" t="s">
        <v>919</v>
      </c>
      <c r="N721" s="192" t="s">
        <v>65</v>
      </c>
      <c r="O721" s="192" t="s">
        <v>65</v>
      </c>
      <c r="P721" s="192" t="s">
        <v>926</v>
      </c>
      <c r="Q721" s="192">
        <v>5.9999998658895493E-2</v>
      </c>
      <c r="R721" s="192">
        <v>3.0999999046325684</v>
      </c>
      <c r="S721" s="192">
        <f>VLOOKUP($H721,'RBSA Weights'!$A$2:$C$1406,3,FALSE)</f>
        <v>1925.059</v>
      </c>
    </row>
    <row r="722" spans="1:19">
      <c r="A722" s="192" t="s">
        <v>929</v>
      </c>
      <c r="B722" s="192">
        <v>0.9</v>
      </c>
      <c r="C722" s="192">
        <v>0</v>
      </c>
      <c r="D722" s="192" t="s">
        <v>65</v>
      </c>
      <c r="E722" s="192">
        <v>1</v>
      </c>
      <c r="F722" s="192">
        <v>0</v>
      </c>
      <c r="G722" s="192">
        <v>113483</v>
      </c>
      <c r="H722" s="192">
        <v>23946</v>
      </c>
      <c r="I722" s="192">
        <v>1</v>
      </c>
      <c r="J722" s="192">
        <v>768</v>
      </c>
      <c r="K722" s="192" t="s">
        <v>925</v>
      </c>
      <c r="L722" s="192" t="s">
        <v>737</v>
      </c>
      <c r="M722" s="192" t="s">
        <v>919</v>
      </c>
      <c r="N722" s="192" t="s">
        <v>65</v>
      </c>
      <c r="O722" s="192" t="s">
        <v>65</v>
      </c>
      <c r="P722" s="192" t="s">
        <v>924</v>
      </c>
      <c r="Q722" s="192">
        <v>5.9999998658895493E-2</v>
      </c>
      <c r="R722" s="192">
        <v>3.0999999046325684</v>
      </c>
      <c r="S722" s="192">
        <f>VLOOKUP($H722,'RBSA Weights'!$A$2:$C$1406,3,FALSE)</f>
        <v>2079.9929999999999</v>
      </c>
    </row>
    <row r="723" spans="1:19">
      <c r="A723" s="192" t="s">
        <v>929</v>
      </c>
      <c r="B723" s="192">
        <v>0.9</v>
      </c>
      <c r="C723" s="192">
        <v>0</v>
      </c>
      <c r="D723" s="192" t="s">
        <v>65</v>
      </c>
      <c r="E723" s="192">
        <v>1</v>
      </c>
      <c r="F723" s="192">
        <v>0</v>
      </c>
      <c r="G723" s="192">
        <v>669340</v>
      </c>
      <c r="H723" s="192">
        <v>21143</v>
      </c>
      <c r="I723" s="192">
        <v>1</v>
      </c>
      <c r="J723" s="192">
        <v>1366</v>
      </c>
      <c r="K723" s="192" t="s">
        <v>925</v>
      </c>
      <c r="L723" s="192" t="s">
        <v>927</v>
      </c>
      <c r="M723" s="192" t="s">
        <v>923</v>
      </c>
      <c r="N723" s="192" t="s">
        <v>65</v>
      </c>
      <c r="O723" s="192" t="s">
        <v>65</v>
      </c>
      <c r="P723" s="192" t="s">
        <v>65</v>
      </c>
      <c r="Q723" s="192">
        <v>5.9999998658895493E-2</v>
      </c>
      <c r="R723" s="192">
        <v>3.0999999046325684</v>
      </c>
      <c r="S723" s="192">
        <f>VLOOKUP($H723,'RBSA Weights'!$A$2:$C$1406,3,FALSE)</f>
        <v>1612.692</v>
      </c>
    </row>
    <row r="724" spans="1:19">
      <c r="A724" s="192" t="s">
        <v>929</v>
      </c>
      <c r="B724" s="192">
        <v>0.9</v>
      </c>
      <c r="C724" s="192">
        <v>0</v>
      </c>
      <c r="D724" s="192" t="s">
        <v>65</v>
      </c>
      <c r="E724" s="192">
        <v>1</v>
      </c>
      <c r="F724" s="192">
        <v>0</v>
      </c>
      <c r="G724" s="192">
        <v>659853</v>
      </c>
      <c r="H724" s="192">
        <v>11762</v>
      </c>
      <c r="I724" s="192">
        <v>1</v>
      </c>
      <c r="J724" s="192">
        <v>864</v>
      </c>
      <c r="K724" s="192" t="s">
        <v>925</v>
      </c>
      <c r="L724" s="192" t="s">
        <v>737</v>
      </c>
      <c r="M724" s="192" t="s">
        <v>923</v>
      </c>
      <c r="N724" s="192" t="s">
        <v>65</v>
      </c>
      <c r="O724" s="192" t="s">
        <v>977</v>
      </c>
      <c r="P724" s="192" t="s">
        <v>65</v>
      </c>
      <c r="Q724" s="192">
        <v>5.9999998658895493E-2</v>
      </c>
      <c r="R724" s="192">
        <v>3.0999999046325684</v>
      </c>
      <c r="S724" s="192">
        <f>VLOOKUP($H724,'RBSA Weights'!$A$2:$C$1406,3,FALSE)</f>
        <v>1464.694</v>
      </c>
    </row>
    <row r="725" spans="1:19">
      <c r="A725" s="192" t="s">
        <v>929</v>
      </c>
      <c r="B725" s="192">
        <v>0.9</v>
      </c>
      <c r="C725" s="192">
        <v>0</v>
      </c>
      <c r="D725" s="192" t="s">
        <v>65</v>
      </c>
      <c r="E725" s="192">
        <v>1</v>
      </c>
      <c r="F725" s="192">
        <v>0</v>
      </c>
      <c r="G725" s="192">
        <v>120325</v>
      </c>
      <c r="H725" s="192">
        <v>10510</v>
      </c>
      <c r="I725" s="192">
        <v>1</v>
      </c>
      <c r="J725" s="192">
        <v>1064</v>
      </c>
      <c r="K725" s="192" t="s">
        <v>918</v>
      </c>
      <c r="L725" s="192" t="s">
        <v>927</v>
      </c>
      <c r="M725" s="192" t="s">
        <v>919</v>
      </c>
      <c r="N725" s="192" t="s">
        <v>65</v>
      </c>
      <c r="O725" s="192" t="s">
        <v>65</v>
      </c>
      <c r="P725" s="192" t="s">
        <v>926</v>
      </c>
      <c r="Q725" s="192">
        <v>5.9999998658895493E-2</v>
      </c>
      <c r="R725" s="192">
        <v>3.0999999046325684</v>
      </c>
      <c r="S725" s="192">
        <f>VLOOKUP($H725,'RBSA Weights'!$A$2:$C$1406,3,FALSE)</f>
        <v>1464.694</v>
      </c>
    </row>
    <row r="726" spans="1:19">
      <c r="A726" s="192" t="s">
        <v>929</v>
      </c>
      <c r="B726" s="192">
        <v>0.9</v>
      </c>
      <c r="C726" s="192">
        <v>0</v>
      </c>
      <c r="D726" s="192" t="s">
        <v>65</v>
      </c>
      <c r="E726" s="192">
        <v>1</v>
      </c>
      <c r="F726" s="192">
        <v>0</v>
      </c>
      <c r="G726" s="192">
        <v>198577</v>
      </c>
      <c r="H726" s="192">
        <v>12777</v>
      </c>
      <c r="I726" s="192">
        <v>1</v>
      </c>
      <c r="J726" s="192">
        <v>1692</v>
      </c>
      <c r="K726" s="192" t="s">
        <v>925</v>
      </c>
      <c r="L726" s="192" t="s">
        <v>737</v>
      </c>
      <c r="M726" s="192" t="s">
        <v>919</v>
      </c>
      <c r="N726" s="192" t="s">
        <v>65</v>
      </c>
      <c r="O726" s="192" t="s">
        <v>65</v>
      </c>
      <c r="P726" s="192" t="s">
        <v>65</v>
      </c>
      <c r="Q726" s="192">
        <v>5.9999998658895493E-2</v>
      </c>
      <c r="R726" s="192">
        <v>3.0999999046325684</v>
      </c>
      <c r="S726" s="192">
        <f>VLOOKUP($H726,'RBSA Weights'!$A$2:$C$1406,3,FALSE)</f>
        <v>1188.027</v>
      </c>
    </row>
    <row r="727" spans="1:19">
      <c r="A727" s="192" t="s">
        <v>929</v>
      </c>
      <c r="B727" s="192">
        <v>0.9</v>
      </c>
      <c r="C727" s="192">
        <v>0</v>
      </c>
      <c r="D727" s="192" t="s">
        <v>65</v>
      </c>
      <c r="E727" s="192">
        <v>1</v>
      </c>
      <c r="F727" s="192">
        <v>0</v>
      </c>
      <c r="G727" s="192">
        <v>803333</v>
      </c>
      <c r="H727" s="192">
        <v>22187</v>
      </c>
      <c r="I727" s="192">
        <v>1</v>
      </c>
      <c r="J727" s="192">
        <v>1574</v>
      </c>
      <c r="K727" s="192" t="s">
        <v>918</v>
      </c>
      <c r="L727" s="192" t="s">
        <v>65</v>
      </c>
      <c r="M727" s="192" t="s">
        <v>919</v>
      </c>
      <c r="N727" s="192" t="s">
        <v>65</v>
      </c>
      <c r="O727" s="192" t="s">
        <v>65</v>
      </c>
      <c r="P727" s="192" t="s">
        <v>65</v>
      </c>
      <c r="Q727" s="192">
        <v>5.9999998658895493E-2</v>
      </c>
      <c r="R727" s="192">
        <v>3.0999999046325684</v>
      </c>
      <c r="S727" s="192">
        <f>VLOOKUP($H727,'RBSA Weights'!$A$2:$C$1406,3,FALSE)</f>
        <v>1612.692</v>
      </c>
    </row>
    <row r="728" spans="1:19">
      <c r="A728" s="192" t="s">
        <v>929</v>
      </c>
      <c r="B728" s="192">
        <v>0.9</v>
      </c>
      <c r="C728" s="192">
        <v>0</v>
      </c>
      <c r="D728" s="192" t="s">
        <v>65</v>
      </c>
      <c r="E728" s="192">
        <v>1</v>
      </c>
      <c r="F728" s="192">
        <v>0</v>
      </c>
      <c r="G728" s="192">
        <v>201387</v>
      </c>
      <c r="H728" s="192">
        <v>12295</v>
      </c>
      <c r="I728" s="192">
        <v>1</v>
      </c>
      <c r="J728" s="192">
        <v>1157</v>
      </c>
      <c r="K728" s="192" t="s">
        <v>918</v>
      </c>
      <c r="L728" s="192" t="s">
        <v>65</v>
      </c>
      <c r="M728" s="192" t="s">
        <v>919</v>
      </c>
      <c r="N728" s="192" t="s">
        <v>65</v>
      </c>
      <c r="O728" s="192" t="s">
        <v>65</v>
      </c>
      <c r="P728" s="192" t="s">
        <v>65</v>
      </c>
      <c r="Q728" s="192">
        <v>5.9999998658895493E-2</v>
      </c>
      <c r="R728" s="192">
        <v>3.0999999046325684</v>
      </c>
      <c r="S728" s="192">
        <f>VLOOKUP($H728,'RBSA Weights'!$A$2:$C$1406,3,FALSE)</f>
        <v>6932.7380000000003</v>
      </c>
    </row>
    <row r="729" spans="1:19">
      <c r="A729" s="192" t="s">
        <v>929</v>
      </c>
      <c r="B729" s="192">
        <v>0.9</v>
      </c>
      <c r="C729" s="192">
        <v>0</v>
      </c>
      <c r="D729" s="192" t="s">
        <v>65</v>
      </c>
      <c r="E729" s="192">
        <v>1</v>
      </c>
      <c r="F729" s="192">
        <v>0</v>
      </c>
      <c r="G729" s="192">
        <v>46915</v>
      </c>
      <c r="H729" s="192">
        <v>24550</v>
      </c>
      <c r="I729" s="192">
        <v>1</v>
      </c>
      <c r="J729" s="192">
        <v>1300</v>
      </c>
      <c r="K729" s="192" t="s">
        <v>925</v>
      </c>
      <c r="L729" s="192" t="s">
        <v>737</v>
      </c>
      <c r="M729" s="192" t="s">
        <v>919</v>
      </c>
      <c r="N729" s="192" t="s">
        <v>65</v>
      </c>
      <c r="O729" s="192" t="s">
        <v>65</v>
      </c>
      <c r="P729" s="192" t="s">
        <v>926</v>
      </c>
      <c r="Q729" s="192">
        <v>5.9999998658895493E-2</v>
      </c>
      <c r="R729" s="192">
        <v>3.0999999046325684</v>
      </c>
      <c r="S729" s="192">
        <f>VLOOKUP($H729,'RBSA Weights'!$A$2:$C$1406,3,FALSE)</f>
        <v>8264.9449999999997</v>
      </c>
    </row>
    <row r="730" spans="1:19">
      <c r="A730" s="192" t="s">
        <v>929</v>
      </c>
      <c r="B730" s="192">
        <v>0.9</v>
      </c>
      <c r="C730" s="192">
        <v>0</v>
      </c>
      <c r="D730" s="192" t="s">
        <v>65</v>
      </c>
      <c r="E730" s="192">
        <v>1</v>
      </c>
      <c r="F730" s="192">
        <v>0</v>
      </c>
      <c r="G730" s="192">
        <v>110702</v>
      </c>
      <c r="H730" s="192">
        <v>10322</v>
      </c>
      <c r="I730" s="192">
        <v>1</v>
      </c>
      <c r="J730" s="192">
        <v>1400</v>
      </c>
      <c r="K730" s="192" t="s">
        <v>918</v>
      </c>
      <c r="L730" s="192" t="s">
        <v>930</v>
      </c>
      <c r="M730" s="192" t="s">
        <v>919</v>
      </c>
      <c r="N730" s="192" t="s">
        <v>65</v>
      </c>
      <c r="O730" s="192" t="s">
        <v>65</v>
      </c>
      <c r="P730" s="192" t="s">
        <v>926</v>
      </c>
      <c r="Q730" s="192">
        <v>5.9999998658895493E-2</v>
      </c>
      <c r="R730" s="192">
        <v>3.0999999046325684</v>
      </c>
      <c r="S730" s="192">
        <f>VLOOKUP($H730,'RBSA Weights'!$A$2:$C$1406,3,FALSE)</f>
        <v>4956.4930000000004</v>
      </c>
    </row>
    <row r="731" spans="1:19">
      <c r="A731" s="192" t="s">
        <v>929</v>
      </c>
      <c r="B731" s="192">
        <v>0.9</v>
      </c>
      <c r="C731" s="192">
        <v>0</v>
      </c>
      <c r="D731" s="192" t="s">
        <v>940</v>
      </c>
      <c r="E731" s="192">
        <v>1</v>
      </c>
      <c r="F731" s="192">
        <v>0</v>
      </c>
      <c r="G731" s="192">
        <v>115005</v>
      </c>
      <c r="H731" s="192">
        <v>13273</v>
      </c>
      <c r="I731" s="192">
        <v>1</v>
      </c>
      <c r="J731" s="192">
        <v>672</v>
      </c>
      <c r="K731" s="192" t="s">
        <v>918</v>
      </c>
      <c r="L731" s="192" t="s">
        <v>737</v>
      </c>
      <c r="M731" s="192" t="s">
        <v>919</v>
      </c>
      <c r="N731" s="192" t="s">
        <v>65</v>
      </c>
      <c r="O731" s="192" t="s">
        <v>65</v>
      </c>
      <c r="P731" s="192" t="s">
        <v>924</v>
      </c>
      <c r="Q731" s="192">
        <v>5.9999998658895493E-2</v>
      </c>
      <c r="R731" s="192">
        <v>3.0999999046325684</v>
      </c>
      <c r="S731" s="192">
        <f>VLOOKUP($H731,'RBSA Weights'!$A$2:$C$1406,3,FALSE)</f>
        <v>4956.4930000000004</v>
      </c>
    </row>
    <row r="732" spans="1:19">
      <c r="A732" s="192" t="s">
        <v>929</v>
      </c>
      <c r="B732" s="192">
        <v>0.9</v>
      </c>
      <c r="C732" s="192">
        <v>0</v>
      </c>
      <c r="D732" s="192" t="s">
        <v>65</v>
      </c>
      <c r="E732" s="192">
        <v>1</v>
      </c>
      <c r="F732" s="192">
        <v>0</v>
      </c>
      <c r="G732" s="192">
        <v>56572</v>
      </c>
      <c r="H732" s="192">
        <v>11110</v>
      </c>
      <c r="I732" s="192">
        <v>1</v>
      </c>
      <c r="J732" s="192">
        <v>1320</v>
      </c>
      <c r="K732" s="192" t="s">
        <v>918</v>
      </c>
      <c r="L732" s="192" t="s">
        <v>737</v>
      </c>
      <c r="M732" s="192" t="s">
        <v>919</v>
      </c>
      <c r="N732" s="192" t="s">
        <v>65</v>
      </c>
      <c r="O732" s="192" t="s">
        <v>65</v>
      </c>
      <c r="P732" s="192" t="s">
        <v>926</v>
      </c>
      <c r="Q732" s="192">
        <v>5.9999998658895493E-2</v>
      </c>
      <c r="R732" s="192">
        <v>3.0999999046325684</v>
      </c>
      <c r="S732" s="192">
        <f>VLOOKUP($H732,'RBSA Weights'!$A$2:$C$1406,3,FALSE)</f>
        <v>1188.027</v>
      </c>
    </row>
    <row r="733" spans="1:19">
      <c r="A733" s="192" t="s">
        <v>929</v>
      </c>
      <c r="B733" s="192">
        <v>0.9</v>
      </c>
      <c r="C733" s="192">
        <v>0</v>
      </c>
      <c r="D733" s="192" t="s">
        <v>65</v>
      </c>
      <c r="E733" s="192">
        <v>1</v>
      </c>
      <c r="F733" s="192">
        <v>0</v>
      </c>
      <c r="G733" s="192">
        <v>193508</v>
      </c>
      <c r="H733" s="192">
        <v>20472</v>
      </c>
      <c r="I733" s="192">
        <v>2</v>
      </c>
      <c r="J733" s="192">
        <v>720</v>
      </c>
      <c r="K733" s="192" t="s">
        <v>65</v>
      </c>
      <c r="L733" s="192" t="s">
        <v>65</v>
      </c>
      <c r="M733" s="192" t="s">
        <v>919</v>
      </c>
      <c r="N733" s="192" t="s">
        <v>65</v>
      </c>
      <c r="O733" s="192" t="s">
        <v>65</v>
      </c>
      <c r="P733" s="192" t="s">
        <v>65</v>
      </c>
      <c r="Q733" s="192">
        <v>5.9999998658895493E-2</v>
      </c>
      <c r="R733" s="192">
        <v>3.0999999046325684</v>
      </c>
      <c r="S733" s="192">
        <f>VLOOKUP($H733,'RBSA Weights'!$A$2:$C$1406,3,FALSE)</f>
        <v>1612.692</v>
      </c>
    </row>
    <row r="734" spans="1:19">
      <c r="A734" s="192" t="s">
        <v>929</v>
      </c>
      <c r="B734" s="192">
        <v>0.9</v>
      </c>
      <c r="C734" s="192">
        <v>0</v>
      </c>
      <c r="D734" s="192" t="s">
        <v>65</v>
      </c>
      <c r="E734" s="192">
        <v>1</v>
      </c>
      <c r="F734" s="192">
        <v>0</v>
      </c>
      <c r="G734" s="192">
        <v>109834</v>
      </c>
      <c r="H734" s="192">
        <v>11788</v>
      </c>
      <c r="I734" s="192">
        <v>1</v>
      </c>
      <c r="J734" s="192">
        <v>1107</v>
      </c>
      <c r="K734" s="192" t="s">
        <v>918</v>
      </c>
      <c r="L734" s="192" t="s">
        <v>737</v>
      </c>
      <c r="M734" s="192" t="s">
        <v>919</v>
      </c>
      <c r="N734" s="192" t="s">
        <v>65</v>
      </c>
      <c r="O734" s="192" t="s">
        <v>65</v>
      </c>
      <c r="P734" s="192" t="s">
        <v>926</v>
      </c>
      <c r="Q734" s="192">
        <v>5.9999998658895493E-2</v>
      </c>
      <c r="R734" s="192">
        <v>3.0999999046325684</v>
      </c>
      <c r="S734" s="192">
        <f>VLOOKUP($H734,'RBSA Weights'!$A$2:$C$1406,3,FALSE)</f>
        <v>4956.4930000000004</v>
      </c>
    </row>
    <row r="735" spans="1:19">
      <c r="A735" s="192" t="s">
        <v>929</v>
      </c>
      <c r="B735" s="192">
        <v>0.9</v>
      </c>
      <c r="C735" s="192">
        <v>0</v>
      </c>
      <c r="D735" s="192" t="s">
        <v>65</v>
      </c>
      <c r="E735" s="192">
        <v>1</v>
      </c>
      <c r="F735" s="192">
        <v>0</v>
      </c>
      <c r="G735" s="192">
        <v>216191</v>
      </c>
      <c r="H735" s="192">
        <v>10713</v>
      </c>
      <c r="I735" s="192">
        <v>1</v>
      </c>
      <c r="J735" s="192">
        <v>2222</v>
      </c>
      <c r="K735" s="192" t="s">
        <v>918</v>
      </c>
      <c r="L735" s="192" t="s">
        <v>65</v>
      </c>
      <c r="M735" s="192" t="s">
        <v>919</v>
      </c>
      <c r="N735" s="192" t="s">
        <v>65</v>
      </c>
      <c r="O735" s="192" t="s">
        <v>65</v>
      </c>
      <c r="P735" s="192" t="s">
        <v>65</v>
      </c>
      <c r="Q735" s="192">
        <v>5.9999998658895493E-2</v>
      </c>
      <c r="R735" s="192">
        <v>3.0999999046325684</v>
      </c>
      <c r="S735" s="192">
        <f>VLOOKUP($H735,'RBSA Weights'!$A$2:$C$1406,3,FALSE)</f>
        <v>6932.7380000000003</v>
      </c>
    </row>
    <row r="736" spans="1:19">
      <c r="A736" s="192" t="s">
        <v>929</v>
      </c>
      <c r="B736" s="192">
        <v>0.9</v>
      </c>
      <c r="C736" s="192">
        <v>0</v>
      </c>
      <c r="D736" s="192" t="s">
        <v>65</v>
      </c>
      <c r="E736" s="192">
        <v>1</v>
      </c>
      <c r="F736" s="192">
        <v>0</v>
      </c>
      <c r="G736" s="192">
        <v>178597</v>
      </c>
      <c r="H736" s="192">
        <v>23283</v>
      </c>
      <c r="I736" s="192">
        <v>1</v>
      </c>
      <c r="J736" s="192">
        <v>1262</v>
      </c>
      <c r="K736" s="192" t="s">
        <v>925</v>
      </c>
      <c r="L736" s="192" t="s">
        <v>737</v>
      </c>
      <c r="M736" s="192" t="s">
        <v>919</v>
      </c>
      <c r="N736" s="192" t="s">
        <v>65</v>
      </c>
      <c r="O736" s="192" t="s">
        <v>65</v>
      </c>
      <c r="P736" s="192" t="s">
        <v>65</v>
      </c>
      <c r="Q736" s="192">
        <v>5.9999998658895493E-2</v>
      </c>
      <c r="R736" s="192">
        <v>3.0999999046325684</v>
      </c>
      <c r="S736" s="192">
        <f>VLOOKUP($H736,'RBSA Weights'!$A$2:$C$1406,3,FALSE)</f>
        <v>1925.059</v>
      </c>
    </row>
    <row r="737" spans="1:19">
      <c r="A737" s="192" t="s">
        <v>929</v>
      </c>
      <c r="B737" s="192">
        <v>0.9</v>
      </c>
      <c r="C737" s="192">
        <v>0</v>
      </c>
      <c r="D737" s="192" t="s">
        <v>65</v>
      </c>
      <c r="E737" s="192">
        <v>1</v>
      </c>
      <c r="F737" s="192">
        <v>0</v>
      </c>
      <c r="G737" s="192">
        <v>172715</v>
      </c>
      <c r="H737" s="192">
        <v>11675</v>
      </c>
      <c r="I737" s="192">
        <v>1</v>
      </c>
      <c r="J737" s="192">
        <v>1622</v>
      </c>
      <c r="K737" s="192" t="s">
        <v>918</v>
      </c>
      <c r="L737" s="192" t="s">
        <v>65</v>
      </c>
      <c r="M737" s="192" t="s">
        <v>923</v>
      </c>
      <c r="N737" s="192" t="s">
        <v>65</v>
      </c>
      <c r="O737" s="192" t="s">
        <v>65</v>
      </c>
      <c r="P737" s="192" t="s">
        <v>65</v>
      </c>
      <c r="Q737" s="192">
        <v>5.9999998658895493E-2</v>
      </c>
      <c r="R737" s="192">
        <v>3.0999999046325684</v>
      </c>
      <c r="S737" s="192">
        <f>VLOOKUP($H737,'RBSA Weights'!$A$2:$C$1406,3,FALSE)</f>
        <v>6932.7380000000003</v>
      </c>
    </row>
    <row r="738" spans="1:19">
      <c r="A738" s="192" t="s">
        <v>929</v>
      </c>
      <c r="B738" s="192">
        <v>0.9</v>
      </c>
      <c r="C738" s="192">
        <v>0</v>
      </c>
      <c r="D738" s="192" t="s">
        <v>65</v>
      </c>
      <c r="E738" s="192">
        <v>1</v>
      </c>
      <c r="F738" s="192">
        <v>0</v>
      </c>
      <c r="G738" s="192">
        <v>724792</v>
      </c>
      <c r="H738" s="192">
        <v>11021</v>
      </c>
      <c r="I738" s="192">
        <v>1</v>
      </c>
      <c r="J738" s="192">
        <v>204</v>
      </c>
      <c r="K738" s="192" t="s">
        <v>925</v>
      </c>
      <c r="L738" s="192" t="s">
        <v>737</v>
      </c>
      <c r="M738" s="192" t="s">
        <v>923</v>
      </c>
      <c r="N738" s="192" t="s">
        <v>65</v>
      </c>
      <c r="O738" s="192" t="s">
        <v>65</v>
      </c>
      <c r="P738" s="192" t="s">
        <v>65</v>
      </c>
      <c r="Q738" s="192">
        <v>5.9999998658895493E-2</v>
      </c>
      <c r="R738" s="192">
        <v>3.0999999046325684</v>
      </c>
      <c r="S738" s="192">
        <f>VLOOKUP($H738,'RBSA Weights'!$A$2:$C$1406,3,FALSE)</f>
        <v>1464.694</v>
      </c>
    </row>
    <row r="739" spans="1:19">
      <c r="A739" s="192" t="s">
        <v>929</v>
      </c>
      <c r="B739" s="192">
        <v>0.9</v>
      </c>
      <c r="C739" s="192">
        <v>0</v>
      </c>
      <c r="D739" s="192" t="s">
        <v>65</v>
      </c>
      <c r="E739" s="192">
        <v>1</v>
      </c>
      <c r="F739" s="192">
        <v>0</v>
      </c>
      <c r="G739" s="192">
        <v>156022</v>
      </c>
      <c r="H739" s="192">
        <v>20408</v>
      </c>
      <c r="I739" s="192">
        <v>1</v>
      </c>
      <c r="J739" s="192">
        <v>1075</v>
      </c>
      <c r="K739" s="192" t="s">
        <v>918</v>
      </c>
      <c r="L739" s="192" t="s">
        <v>65</v>
      </c>
      <c r="M739" s="192" t="s">
        <v>919</v>
      </c>
      <c r="N739" s="192" t="s">
        <v>65</v>
      </c>
      <c r="O739" s="192" t="s">
        <v>65</v>
      </c>
      <c r="P739" s="192" t="s">
        <v>65</v>
      </c>
      <c r="Q739" s="192">
        <v>5.9999998658895493E-2</v>
      </c>
      <c r="R739" s="192">
        <v>3.0999999046325684</v>
      </c>
      <c r="S739" s="192">
        <f>VLOOKUP($H739,'RBSA Weights'!$A$2:$C$1406,3,FALSE)</f>
        <v>2079.9929999999999</v>
      </c>
    </row>
    <row r="740" spans="1:19">
      <c r="A740" s="192" t="s">
        <v>929</v>
      </c>
      <c r="B740" s="192">
        <v>0.9</v>
      </c>
      <c r="C740" s="192">
        <v>0</v>
      </c>
      <c r="D740" s="192" t="s">
        <v>65</v>
      </c>
      <c r="E740" s="192">
        <v>1</v>
      </c>
      <c r="F740" s="192">
        <v>0</v>
      </c>
      <c r="G740" s="192">
        <v>57683</v>
      </c>
      <c r="H740" s="192">
        <v>24171</v>
      </c>
      <c r="I740" s="192">
        <v>1</v>
      </c>
      <c r="J740" s="192">
        <v>1560</v>
      </c>
      <c r="K740" s="192" t="s">
        <v>925</v>
      </c>
      <c r="L740" s="192" t="s">
        <v>737</v>
      </c>
      <c r="M740" s="192" t="s">
        <v>923</v>
      </c>
      <c r="N740" s="192" t="s">
        <v>65</v>
      </c>
      <c r="O740" s="192" t="s">
        <v>65</v>
      </c>
      <c r="P740" s="192" t="s">
        <v>926</v>
      </c>
      <c r="Q740" s="192">
        <v>5.9999998658895493E-2</v>
      </c>
      <c r="R740" s="192">
        <v>3.0999999046325684</v>
      </c>
      <c r="S740" s="192">
        <f>VLOOKUP($H740,'RBSA Weights'!$A$2:$C$1406,3,FALSE)</f>
        <v>2079.9929999999999</v>
      </c>
    </row>
    <row r="741" spans="1:19">
      <c r="A741" s="192" t="s">
        <v>929</v>
      </c>
      <c r="B741" s="192">
        <v>0.9</v>
      </c>
      <c r="C741" s="192">
        <v>0</v>
      </c>
      <c r="D741" s="192" t="s">
        <v>65</v>
      </c>
      <c r="E741" s="192">
        <v>1</v>
      </c>
      <c r="F741" s="192">
        <v>0</v>
      </c>
      <c r="G741" s="192">
        <v>229356</v>
      </c>
      <c r="H741" s="192">
        <v>13359</v>
      </c>
      <c r="I741" s="192">
        <v>1</v>
      </c>
      <c r="J741" s="192">
        <v>1040</v>
      </c>
      <c r="K741" s="192" t="s">
        <v>918</v>
      </c>
      <c r="L741" s="192" t="s">
        <v>65</v>
      </c>
      <c r="M741" s="192" t="s">
        <v>919</v>
      </c>
      <c r="N741" s="192" t="s">
        <v>65</v>
      </c>
      <c r="O741" s="192" t="s">
        <v>65</v>
      </c>
      <c r="P741" s="192" t="s">
        <v>65</v>
      </c>
      <c r="Q741" s="192">
        <v>5.9999998658895493E-2</v>
      </c>
      <c r="R741" s="192">
        <v>3.0999999046325684</v>
      </c>
      <c r="S741" s="192">
        <f>VLOOKUP($H741,'RBSA Weights'!$A$2:$C$1406,3,FALSE)</f>
        <v>1150.8789999999999</v>
      </c>
    </row>
    <row r="742" spans="1:19">
      <c r="A742" s="192" t="s">
        <v>929</v>
      </c>
      <c r="B742" s="192">
        <v>0.9</v>
      </c>
      <c r="C742" s="192">
        <v>0</v>
      </c>
      <c r="D742" s="192" t="s">
        <v>65</v>
      </c>
      <c r="E742" s="192">
        <v>1</v>
      </c>
      <c r="F742" s="192">
        <v>0</v>
      </c>
      <c r="G742" s="192">
        <v>201800</v>
      </c>
      <c r="H742" s="192">
        <v>22904</v>
      </c>
      <c r="I742" s="192">
        <v>1</v>
      </c>
      <c r="J742" s="192">
        <v>1886</v>
      </c>
      <c r="K742" s="192" t="s">
        <v>925</v>
      </c>
      <c r="L742" s="192" t="s">
        <v>737</v>
      </c>
      <c r="M742" s="192" t="s">
        <v>919</v>
      </c>
      <c r="N742" s="192" t="s">
        <v>65</v>
      </c>
      <c r="O742" s="192" t="s">
        <v>65</v>
      </c>
      <c r="P742" s="192" t="s">
        <v>65</v>
      </c>
      <c r="Q742" s="192">
        <v>5.9999998658895493E-2</v>
      </c>
      <c r="R742" s="192">
        <v>3.0999999046325684</v>
      </c>
      <c r="S742" s="192">
        <f>VLOOKUP($H742,'RBSA Weights'!$A$2:$C$1406,3,FALSE)</f>
        <v>1612.692</v>
      </c>
    </row>
    <row r="743" spans="1:19">
      <c r="A743" s="192" t="s">
        <v>929</v>
      </c>
      <c r="B743" s="192">
        <v>0.9</v>
      </c>
      <c r="C743" s="192">
        <v>0</v>
      </c>
      <c r="D743" s="192" t="s">
        <v>65</v>
      </c>
      <c r="E743" s="192">
        <v>1</v>
      </c>
      <c r="F743" s="192">
        <v>1</v>
      </c>
      <c r="G743" s="192">
        <v>36473</v>
      </c>
      <c r="H743" s="192">
        <v>13817</v>
      </c>
      <c r="I743" s="192">
        <v>1</v>
      </c>
      <c r="J743" s="192">
        <v>1763</v>
      </c>
      <c r="K743" s="192" t="s">
        <v>918</v>
      </c>
      <c r="L743" s="192" t="s">
        <v>737</v>
      </c>
      <c r="M743" s="192" t="s">
        <v>919</v>
      </c>
      <c r="N743" s="192" t="s">
        <v>65</v>
      </c>
      <c r="O743" s="192" t="s">
        <v>65</v>
      </c>
      <c r="P743" s="192" t="s">
        <v>924</v>
      </c>
      <c r="Q743" s="192">
        <v>5.9999998658895493E-2</v>
      </c>
      <c r="R743" s="192">
        <v>4.5</v>
      </c>
      <c r="S743" s="192">
        <f>VLOOKUP($H743,'RBSA Weights'!$A$2:$C$1406,3,FALSE)</f>
        <v>1188.027</v>
      </c>
    </row>
    <row r="744" spans="1:19">
      <c r="A744" s="192" t="s">
        <v>929</v>
      </c>
      <c r="B744" s="192">
        <v>0.9</v>
      </c>
      <c r="C744" s="192">
        <v>0</v>
      </c>
      <c r="D744" s="192" t="s">
        <v>65</v>
      </c>
      <c r="E744" s="192">
        <v>0</v>
      </c>
      <c r="F744" s="192">
        <v>0</v>
      </c>
      <c r="G744" s="192">
        <v>44967</v>
      </c>
      <c r="H744" s="192">
        <v>14052</v>
      </c>
      <c r="I744" s="192">
        <v>1</v>
      </c>
      <c r="J744" s="192">
        <v>1472</v>
      </c>
      <c r="K744" s="192" t="s">
        <v>918</v>
      </c>
      <c r="L744" s="192" t="s">
        <v>737</v>
      </c>
      <c r="M744" s="192" t="s">
        <v>919</v>
      </c>
      <c r="N744" s="192" t="s">
        <v>65</v>
      </c>
      <c r="O744" s="192" t="s">
        <v>65</v>
      </c>
      <c r="P744" s="192" t="s">
        <v>926</v>
      </c>
      <c r="Q744" s="192">
        <v>5.9999998658895493E-2</v>
      </c>
      <c r="R744" s="192">
        <v>5</v>
      </c>
      <c r="S744" s="192">
        <f>VLOOKUP($H744,'RBSA Weights'!$A$2:$C$1406,3,FALSE)</f>
        <v>1188.027</v>
      </c>
    </row>
    <row r="745" spans="1:19">
      <c r="A745" s="192" t="s">
        <v>929</v>
      </c>
      <c r="B745" s="192">
        <v>1</v>
      </c>
      <c r="C745" s="192">
        <v>0</v>
      </c>
      <c r="D745" s="192" t="s">
        <v>65</v>
      </c>
      <c r="E745" s="192">
        <v>0</v>
      </c>
      <c r="G745" s="192">
        <v>241580</v>
      </c>
      <c r="H745" s="192">
        <v>21405</v>
      </c>
      <c r="I745" s="192">
        <v>1</v>
      </c>
      <c r="J745" s="192">
        <v>1356</v>
      </c>
      <c r="K745" s="192" t="s">
        <v>925</v>
      </c>
      <c r="L745" s="192" t="s">
        <v>737</v>
      </c>
      <c r="M745" s="192" t="s">
        <v>919</v>
      </c>
      <c r="N745" s="192" t="s">
        <v>65</v>
      </c>
      <c r="O745" s="192" t="s">
        <v>65</v>
      </c>
      <c r="P745" s="192" t="s">
        <v>65</v>
      </c>
      <c r="Q745" s="192">
        <v>3.5000000149011612E-2</v>
      </c>
      <c r="R745" s="192">
        <v>5</v>
      </c>
      <c r="S745" s="192">
        <f>VLOOKUP($H745,'RBSA Weights'!$A$2:$C$1406,3,FALSE)</f>
        <v>12271.31</v>
      </c>
    </row>
    <row r="746" spans="1:19">
      <c r="A746" s="192" t="s">
        <v>929</v>
      </c>
      <c r="B746" s="192">
        <v>1</v>
      </c>
      <c r="C746" s="192">
        <v>0</v>
      </c>
      <c r="D746" s="192" t="s">
        <v>65</v>
      </c>
      <c r="E746" s="192">
        <v>0</v>
      </c>
      <c r="G746" s="192">
        <v>722484</v>
      </c>
      <c r="H746" s="192">
        <v>22177</v>
      </c>
      <c r="I746" s="192">
        <v>1</v>
      </c>
      <c r="J746" s="192">
        <v>525</v>
      </c>
      <c r="K746" s="192" t="s">
        <v>925</v>
      </c>
      <c r="L746" s="192" t="s">
        <v>737</v>
      </c>
      <c r="M746" s="192" t="s">
        <v>923</v>
      </c>
      <c r="N746" s="192" t="s">
        <v>65</v>
      </c>
      <c r="O746" s="192" t="s">
        <v>65</v>
      </c>
      <c r="P746" s="192" t="s">
        <v>65</v>
      </c>
      <c r="Q746" s="192">
        <v>3.5000000149011612E-2</v>
      </c>
      <c r="R746" s="192">
        <v>5</v>
      </c>
      <c r="S746" s="192">
        <f>VLOOKUP($H746,'RBSA Weights'!$A$2:$C$1406,3,FALSE)</f>
        <v>1612.692</v>
      </c>
    </row>
    <row r="747" spans="1:19">
      <c r="A747" s="192" t="s">
        <v>929</v>
      </c>
      <c r="B747" s="192">
        <v>1</v>
      </c>
      <c r="C747" s="192">
        <v>0</v>
      </c>
      <c r="D747" s="192" t="s">
        <v>65</v>
      </c>
      <c r="E747" s="192">
        <v>0</v>
      </c>
      <c r="G747" s="192">
        <v>194875</v>
      </c>
      <c r="H747" s="192">
        <v>22191</v>
      </c>
      <c r="I747" s="192">
        <v>1</v>
      </c>
      <c r="J747" s="192">
        <v>884</v>
      </c>
      <c r="K747" s="192" t="s">
        <v>918</v>
      </c>
      <c r="L747" s="192" t="s">
        <v>65</v>
      </c>
      <c r="M747" s="192" t="s">
        <v>919</v>
      </c>
      <c r="N747" s="192" t="s">
        <v>65</v>
      </c>
      <c r="O747" s="192" t="s">
        <v>65</v>
      </c>
      <c r="P747" s="192" t="s">
        <v>65</v>
      </c>
      <c r="Q747" s="192">
        <v>3.5000000149011612E-2</v>
      </c>
      <c r="R747" s="192">
        <v>5</v>
      </c>
      <c r="S747" s="192">
        <f>VLOOKUP($H747,'RBSA Weights'!$A$2:$C$1406,3,FALSE)</f>
        <v>8559.1039999999994</v>
      </c>
    </row>
    <row r="748" spans="1:19">
      <c r="A748" s="192" t="s">
        <v>929</v>
      </c>
      <c r="B748" s="192">
        <v>1</v>
      </c>
      <c r="C748" s="192">
        <v>0</v>
      </c>
      <c r="D748" s="192" t="s">
        <v>65</v>
      </c>
      <c r="E748" s="192">
        <v>1</v>
      </c>
      <c r="F748" s="192">
        <v>0</v>
      </c>
      <c r="G748" s="192">
        <v>131493</v>
      </c>
      <c r="H748" s="192">
        <v>23391</v>
      </c>
      <c r="I748" s="192">
        <v>1</v>
      </c>
      <c r="J748" s="192">
        <v>696</v>
      </c>
      <c r="K748" s="192" t="s">
        <v>925</v>
      </c>
      <c r="L748" s="192" t="s">
        <v>737</v>
      </c>
      <c r="M748" s="192" t="s">
        <v>919</v>
      </c>
      <c r="N748" s="192" t="s">
        <v>65</v>
      </c>
      <c r="O748" s="192" t="s">
        <v>65</v>
      </c>
      <c r="P748" s="192" t="s">
        <v>65</v>
      </c>
      <c r="Q748" s="192">
        <v>3.5000000149011612E-2</v>
      </c>
      <c r="R748" s="192">
        <v>3.0999999046325684</v>
      </c>
      <c r="S748" s="192">
        <f>VLOOKUP($H748,'RBSA Weights'!$A$2:$C$1406,3,FALSE)</f>
        <v>1612.692</v>
      </c>
    </row>
    <row r="749" spans="1:19">
      <c r="A749" s="192" t="s">
        <v>929</v>
      </c>
      <c r="B749" s="192">
        <v>1</v>
      </c>
      <c r="C749" s="192">
        <v>0</v>
      </c>
      <c r="D749" s="192" t="s">
        <v>65</v>
      </c>
      <c r="E749" s="192">
        <v>1</v>
      </c>
      <c r="F749" s="192">
        <v>0</v>
      </c>
      <c r="G749" s="192">
        <v>200837</v>
      </c>
      <c r="H749" s="192">
        <v>23287</v>
      </c>
      <c r="I749" s="192">
        <v>1</v>
      </c>
      <c r="J749" s="192">
        <v>996</v>
      </c>
      <c r="K749" s="192" t="s">
        <v>925</v>
      </c>
      <c r="L749" s="192" t="s">
        <v>927</v>
      </c>
      <c r="M749" s="192" t="s">
        <v>923</v>
      </c>
      <c r="N749" s="192" t="s">
        <v>65</v>
      </c>
      <c r="O749" s="192" t="s">
        <v>65</v>
      </c>
      <c r="P749" s="192" t="s">
        <v>65</v>
      </c>
      <c r="Q749" s="192">
        <v>3.5000000149011612E-2</v>
      </c>
      <c r="R749" s="192">
        <v>3.0999999046325684</v>
      </c>
      <c r="S749" s="192">
        <f>VLOOKUP($H749,'RBSA Weights'!$A$2:$C$1406,3,FALSE)</f>
        <v>1612.692</v>
      </c>
    </row>
    <row r="750" spans="1:19">
      <c r="A750" s="192" t="s">
        <v>929</v>
      </c>
      <c r="B750" s="192">
        <v>1</v>
      </c>
      <c r="C750" s="192">
        <v>0</v>
      </c>
      <c r="D750" s="192" t="s">
        <v>65</v>
      </c>
      <c r="E750" s="192">
        <v>1</v>
      </c>
      <c r="F750" s="192">
        <v>0</v>
      </c>
      <c r="G750" s="192">
        <v>85324</v>
      </c>
      <c r="H750" s="192">
        <v>12678</v>
      </c>
      <c r="I750" s="192">
        <v>1</v>
      </c>
      <c r="J750" s="192">
        <v>1962</v>
      </c>
      <c r="K750" s="192" t="s">
        <v>918</v>
      </c>
      <c r="L750" s="192" t="s">
        <v>922</v>
      </c>
      <c r="M750" s="192" t="s">
        <v>923</v>
      </c>
      <c r="N750" s="192" t="s">
        <v>65</v>
      </c>
      <c r="O750" s="192" t="s">
        <v>65</v>
      </c>
      <c r="P750" s="192" t="s">
        <v>924</v>
      </c>
      <c r="Q750" s="192">
        <v>3.5000000149011612E-2</v>
      </c>
      <c r="R750" s="192">
        <v>3.0999999046325684</v>
      </c>
      <c r="S750" s="192">
        <f>VLOOKUP($H750,'RBSA Weights'!$A$2:$C$1406,3,FALSE)</f>
        <v>2003.7159999999999</v>
      </c>
    </row>
    <row r="751" spans="1:19">
      <c r="A751" s="192" t="s">
        <v>929</v>
      </c>
      <c r="B751" s="192">
        <v>1</v>
      </c>
      <c r="C751" s="192">
        <v>0</v>
      </c>
      <c r="D751" s="192" t="s">
        <v>65</v>
      </c>
      <c r="E751" s="192">
        <v>1</v>
      </c>
      <c r="F751" s="192">
        <v>0</v>
      </c>
      <c r="G751" s="192">
        <v>128551</v>
      </c>
      <c r="H751" s="192">
        <v>24347</v>
      </c>
      <c r="I751" s="192">
        <v>1</v>
      </c>
      <c r="J751" s="192">
        <v>1498</v>
      </c>
      <c r="K751" s="192" t="s">
        <v>925</v>
      </c>
      <c r="L751" s="192" t="s">
        <v>927</v>
      </c>
      <c r="M751" s="192" t="s">
        <v>923</v>
      </c>
      <c r="N751" s="192" t="s">
        <v>65</v>
      </c>
      <c r="O751" s="192" t="s">
        <v>65</v>
      </c>
      <c r="P751" s="192" t="s">
        <v>65</v>
      </c>
      <c r="Q751" s="192">
        <v>3.5000000149011612E-2</v>
      </c>
      <c r="R751" s="192">
        <v>3.0999999046325684</v>
      </c>
      <c r="S751" s="192">
        <f>VLOOKUP($H751,'RBSA Weights'!$A$2:$C$1406,3,FALSE)</f>
        <v>1904.288</v>
      </c>
    </row>
    <row r="752" spans="1:19">
      <c r="A752" s="192" t="s">
        <v>929</v>
      </c>
      <c r="B752" s="192">
        <v>1</v>
      </c>
      <c r="C752" s="192">
        <v>0</v>
      </c>
      <c r="D752" s="192" t="s">
        <v>65</v>
      </c>
      <c r="E752" s="192">
        <v>0</v>
      </c>
      <c r="F752" s="192">
        <v>1</v>
      </c>
      <c r="G752" s="192">
        <v>225615</v>
      </c>
      <c r="H752" s="192">
        <v>21122</v>
      </c>
      <c r="I752" s="192">
        <v>1</v>
      </c>
      <c r="J752" s="192">
        <v>1144</v>
      </c>
      <c r="K752" s="192" t="s">
        <v>918</v>
      </c>
      <c r="L752" s="192" t="s">
        <v>65</v>
      </c>
      <c r="M752" s="192" t="s">
        <v>919</v>
      </c>
      <c r="N752" s="192" t="s">
        <v>65</v>
      </c>
      <c r="O752" s="192" t="s">
        <v>65</v>
      </c>
      <c r="P752" s="192" t="s">
        <v>65</v>
      </c>
      <c r="Q752" s="192">
        <v>3.5000000149011612E-2</v>
      </c>
      <c r="R752" s="192">
        <v>5</v>
      </c>
      <c r="S752" s="192">
        <f>VLOOKUP($H752,'RBSA Weights'!$A$2:$C$1406,3,FALSE)</f>
        <v>1904.288</v>
      </c>
    </row>
    <row r="753" spans="1:19">
      <c r="A753" s="192" t="s">
        <v>929</v>
      </c>
      <c r="B753" s="192">
        <v>1</v>
      </c>
      <c r="C753" s="192">
        <v>0</v>
      </c>
      <c r="D753" s="192" t="s">
        <v>65</v>
      </c>
      <c r="E753" s="192">
        <v>0</v>
      </c>
      <c r="G753" s="192">
        <v>168283</v>
      </c>
      <c r="H753" s="192">
        <v>23724</v>
      </c>
      <c r="I753" s="192">
        <v>1</v>
      </c>
      <c r="J753" s="192">
        <v>1000</v>
      </c>
      <c r="K753" s="192" t="s">
        <v>918</v>
      </c>
      <c r="L753" s="192" t="s">
        <v>65</v>
      </c>
      <c r="M753" s="192" t="s">
        <v>919</v>
      </c>
      <c r="N753" s="192" t="s">
        <v>65</v>
      </c>
      <c r="O753" s="192" t="s">
        <v>65</v>
      </c>
      <c r="P753" s="192" t="s">
        <v>65</v>
      </c>
      <c r="Q753" s="192">
        <v>3.5000000149011612E-2</v>
      </c>
      <c r="R753" s="192">
        <v>5</v>
      </c>
      <c r="S753" s="192">
        <f>VLOOKUP($H753,'RBSA Weights'!$A$2:$C$1406,3,FALSE)</f>
        <v>1612.692</v>
      </c>
    </row>
    <row r="754" spans="1:19">
      <c r="A754" s="192" t="s">
        <v>929</v>
      </c>
      <c r="B754" s="192">
        <v>1</v>
      </c>
      <c r="C754" s="192">
        <v>0</v>
      </c>
      <c r="D754" s="192" t="s">
        <v>65</v>
      </c>
      <c r="E754" s="192">
        <v>1</v>
      </c>
      <c r="F754" s="192">
        <v>0</v>
      </c>
      <c r="G754" s="192">
        <v>210339</v>
      </c>
      <c r="H754" s="192">
        <v>21132</v>
      </c>
      <c r="I754" s="192">
        <v>1</v>
      </c>
      <c r="J754" s="192">
        <v>1157</v>
      </c>
      <c r="K754" s="192" t="s">
        <v>925</v>
      </c>
      <c r="L754" s="192" t="s">
        <v>737</v>
      </c>
      <c r="M754" s="192" t="s">
        <v>919</v>
      </c>
      <c r="N754" s="192" t="s">
        <v>65</v>
      </c>
      <c r="O754" s="192" t="s">
        <v>65</v>
      </c>
      <c r="P754" s="192" t="s">
        <v>65</v>
      </c>
      <c r="Q754" s="192">
        <v>3.5000000149011612E-2</v>
      </c>
      <c r="R754" s="192">
        <v>3.0999999046325684</v>
      </c>
      <c r="S754" s="192">
        <f>VLOOKUP($H754,'RBSA Weights'!$A$2:$C$1406,3,FALSE)</f>
        <v>2079.9929999999999</v>
      </c>
    </row>
    <row r="755" spans="1:19">
      <c r="A755" s="192" t="s">
        <v>929</v>
      </c>
      <c r="B755" s="192">
        <v>1</v>
      </c>
      <c r="C755" s="192">
        <v>0</v>
      </c>
      <c r="D755" s="192" t="s">
        <v>65</v>
      </c>
      <c r="E755" s="192">
        <v>1</v>
      </c>
      <c r="F755" s="192">
        <v>0</v>
      </c>
      <c r="G755" s="192">
        <v>29031</v>
      </c>
      <c r="H755" s="192">
        <v>11047</v>
      </c>
      <c r="I755" s="192">
        <v>1</v>
      </c>
      <c r="J755" s="192">
        <v>696</v>
      </c>
      <c r="K755" s="192" t="s">
        <v>925</v>
      </c>
      <c r="L755" s="192" t="s">
        <v>737</v>
      </c>
      <c r="M755" s="192" t="s">
        <v>919</v>
      </c>
      <c r="N755" s="192" t="s">
        <v>65</v>
      </c>
      <c r="O755" s="192" t="s">
        <v>65</v>
      </c>
      <c r="P755" s="192" t="s">
        <v>926</v>
      </c>
      <c r="Q755" s="192">
        <v>3.5000000149011612E-2</v>
      </c>
      <c r="R755" s="192">
        <v>3.0999999046325684</v>
      </c>
      <c r="S755" s="192">
        <f>VLOOKUP($H755,'RBSA Weights'!$A$2:$C$1406,3,FALSE)</f>
        <v>1524.7619999999999</v>
      </c>
    </row>
    <row r="756" spans="1:19">
      <c r="A756" s="192" t="s">
        <v>929</v>
      </c>
      <c r="B756" s="192">
        <v>1</v>
      </c>
      <c r="C756" s="192">
        <v>1</v>
      </c>
      <c r="D756" s="192" t="s">
        <v>941</v>
      </c>
      <c r="E756" s="192">
        <v>1</v>
      </c>
      <c r="F756" s="192">
        <v>1</v>
      </c>
      <c r="G756" s="192">
        <v>169969</v>
      </c>
      <c r="H756" s="192">
        <v>23886</v>
      </c>
      <c r="I756" s="192">
        <v>1</v>
      </c>
      <c r="J756" s="192">
        <v>340</v>
      </c>
      <c r="K756" s="192" t="s">
        <v>925</v>
      </c>
      <c r="L756" s="192" t="s">
        <v>927</v>
      </c>
      <c r="M756" s="192" t="s">
        <v>919</v>
      </c>
      <c r="N756" s="192" t="s">
        <v>65</v>
      </c>
      <c r="O756" s="192" t="s">
        <v>65</v>
      </c>
      <c r="P756" s="192" t="s">
        <v>65</v>
      </c>
      <c r="Q756" s="192">
        <v>3.5000000149011612E-2</v>
      </c>
      <c r="R756" s="192">
        <v>7.5999999046325684</v>
      </c>
      <c r="S756" s="192">
        <f>VLOOKUP($H756,'RBSA Weights'!$A$2:$C$1406,3,FALSE)</f>
        <v>1192.4649999999999</v>
      </c>
    </row>
    <row r="757" spans="1:19">
      <c r="A757" s="192" t="s">
        <v>929</v>
      </c>
      <c r="B757" s="192">
        <v>1</v>
      </c>
      <c r="C757" s="192">
        <v>0</v>
      </c>
      <c r="D757" s="192" t="s">
        <v>65</v>
      </c>
      <c r="E757" s="192">
        <v>1</v>
      </c>
      <c r="F757" s="192">
        <v>0</v>
      </c>
      <c r="G757" s="192">
        <v>102521</v>
      </c>
      <c r="H757" s="192">
        <v>11496</v>
      </c>
      <c r="I757" s="192">
        <v>1</v>
      </c>
      <c r="J757" s="192">
        <v>980</v>
      </c>
      <c r="K757" s="192" t="s">
        <v>925</v>
      </c>
      <c r="L757" s="192" t="s">
        <v>737</v>
      </c>
      <c r="M757" s="192" t="s">
        <v>919</v>
      </c>
      <c r="N757" s="192" t="s">
        <v>65</v>
      </c>
      <c r="O757" s="192" t="s">
        <v>65</v>
      </c>
      <c r="P757" s="192" t="s">
        <v>926</v>
      </c>
      <c r="Q757" s="192">
        <v>3.5000000149011612E-2</v>
      </c>
      <c r="R757" s="192">
        <v>3.0999999046325684</v>
      </c>
      <c r="S757" s="192">
        <f>VLOOKUP($H757,'RBSA Weights'!$A$2:$C$1406,3,FALSE)</f>
        <v>4956.4930000000004</v>
      </c>
    </row>
    <row r="758" spans="1:19">
      <c r="A758" s="192" t="s">
        <v>929</v>
      </c>
      <c r="B758" s="192">
        <v>1</v>
      </c>
      <c r="C758" s="192">
        <v>0</v>
      </c>
      <c r="D758" s="192" t="s">
        <v>65</v>
      </c>
      <c r="E758" s="192">
        <v>1</v>
      </c>
      <c r="F758" s="192">
        <v>0</v>
      </c>
      <c r="G758" s="192">
        <v>724792</v>
      </c>
      <c r="H758" s="192">
        <v>11021</v>
      </c>
      <c r="I758" s="192">
        <v>2</v>
      </c>
      <c r="J758" s="192">
        <v>353</v>
      </c>
      <c r="K758" s="192" t="s">
        <v>925</v>
      </c>
      <c r="L758" s="192" t="s">
        <v>737</v>
      </c>
      <c r="M758" s="192" t="s">
        <v>923</v>
      </c>
      <c r="N758" s="192" t="s">
        <v>65</v>
      </c>
      <c r="O758" s="192" t="s">
        <v>65</v>
      </c>
      <c r="P758" s="192" t="s">
        <v>65</v>
      </c>
      <c r="Q758" s="192">
        <v>3.5000000149011612E-2</v>
      </c>
      <c r="R758" s="192">
        <v>3.0999999046325684</v>
      </c>
      <c r="S758" s="192">
        <f>VLOOKUP($H758,'RBSA Weights'!$A$2:$C$1406,3,FALSE)</f>
        <v>1464.694</v>
      </c>
    </row>
    <row r="759" spans="1:19">
      <c r="A759" s="192" t="s">
        <v>929</v>
      </c>
      <c r="B759" s="192">
        <v>1</v>
      </c>
      <c r="C759" s="192">
        <v>0</v>
      </c>
      <c r="D759" s="192" t="s">
        <v>65</v>
      </c>
      <c r="E759" s="192">
        <v>1</v>
      </c>
      <c r="F759" s="192">
        <v>1</v>
      </c>
      <c r="G759" s="192">
        <v>195624</v>
      </c>
      <c r="H759" s="192">
        <v>13400</v>
      </c>
      <c r="I759" s="192">
        <v>1</v>
      </c>
      <c r="J759" s="192">
        <v>2200</v>
      </c>
      <c r="K759" s="192" t="s">
        <v>918</v>
      </c>
      <c r="L759" s="192" t="s">
        <v>65</v>
      </c>
      <c r="M759" s="192" t="s">
        <v>919</v>
      </c>
      <c r="N759" s="192" t="s">
        <v>65</v>
      </c>
      <c r="O759" s="192" t="s">
        <v>65</v>
      </c>
      <c r="P759" s="192" t="s">
        <v>65</v>
      </c>
      <c r="Q759" s="192">
        <v>3.5000000149011612E-2</v>
      </c>
      <c r="R759" s="192">
        <v>4.5</v>
      </c>
      <c r="S759" s="192">
        <f>VLOOKUP($H759,'RBSA Weights'!$A$2:$C$1406,3,FALSE)</f>
        <v>6932.7380000000003</v>
      </c>
    </row>
    <row r="760" spans="1:19">
      <c r="A760" s="192" t="s">
        <v>929</v>
      </c>
      <c r="B760" s="192">
        <v>1</v>
      </c>
      <c r="C760" s="192">
        <v>0</v>
      </c>
      <c r="D760" s="192" t="s">
        <v>65</v>
      </c>
      <c r="E760" s="192">
        <v>1</v>
      </c>
      <c r="F760" s="192">
        <v>1</v>
      </c>
      <c r="G760" s="192">
        <v>180545</v>
      </c>
      <c r="H760" s="192">
        <v>23465</v>
      </c>
      <c r="I760" s="192">
        <v>1</v>
      </c>
      <c r="J760" s="192">
        <v>987</v>
      </c>
      <c r="K760" s="192" t="s">
        <v>925</v>
      </c>
      <c r="L760" s="192" t="s">
        <v>737</v>
      </c>
      <c r="M760" s="192" t="s">
        <v>919</v>
      </c>
      <c r="N760" s="192" t="s">
        <v>65</v>
      </c>
      <c r="O760" s="192" t="s">
        <v>65</v>
      </c>
      <c r="P760" s="192" t="s">
        <v>65</v>
      </c>
      <c r="Q760" s="192">
        <v>3.5000000149011612E-2</v>
      </c>
      <c r="R760" s="192">
        <v>4.5</v>
      </c>
      <c r="S760" s="192">
        <f>VLOOKUP($H760,'RBSA Weights'!$A$2:$C$1406,3,FALSE)</f>
        <v>1925.059</v>
      </c>
    </row>
    <row r="761" spans="1:19">
      <c r="A761" s="192" t="s">
        <v>929</v>
      </c>
      <c r="B761" s="192">
        <v>1</v>
      </c>
      <c r="C761" s="192">
        <v>0</v>
      </c>
      <c r="D761" s="192" t="s">
        <v>65</v>
      </c>
      <c r="E761" s="192">
        <v>0</v>
      </c>
      <c r="G761" s="192">
        <v>234471</v>
      </c>
      <c r="H761" s="192">
        <v>23618</v>
      </c>
      <c r="I761" s="192">
        <v>1</v>
      </c>
      <c r="J761" s="192">
        <v>1196</v>
      </c>
      <c r="K761" s="192" t="s">
        <v>925</v>
      </c>
      <c r="L761" s="192" t="s">
        <v>737</v>
      </c>
      <c r="M761" s="192" t="s">
        <v>919</v>
      </c>
      <c r="N761" s="192" t="s">
        <v>65</v>
      </c>
      <c r="O761" s="192" t="s">
        <v>65</v>
      </c>
      <c r="P761" s="192" t="s">
        <v>65</v>
      </c>
      <c r="Q761" s="192">
        <v>3.5000000149011612E-2</v>
      </c>
      <c r="R761" s="192">
        <v>5</v>
      </c>
      <c r="S761" s="192">
        <f>VLOOKUP($H761,'RBSA Weights'!$A$2:$C$1406,3,FALSE)</f>
        <v>3785.7640000000001</v>
      </c>
    </row>
    <row r="762" spans="1:19">
      <c r="A762" s="192" t="s">
        <v>929</v>
      </c>
      <c r="B762" s="192">
        <v>1</v>
      </c>
      <c r="C762" s="192">
        <v>1</v>
      </c>
      <c r="D762" s="192" t="s">
        <v>933</v>
      </c>
      <c r="E762" s="192">
        <v>0</v>
      </c>
      <c r="F762" s="192">
        <v>0</v>
      </c>
      <c r="G762" s="192">
        <v>103188</v>
      </c>
      <c r="H762" s="192">
        <v>10305</v>
      </c>
      <c r="I762" s="192">
        <v>1</v>
      </c>
      <c r="J762" s="192">
        <v>1650</v>
      </c>
      <c r="K762" s="192" t="s">
        <v>925</v>
      </c>
      <c r="L762" s="192" t="s">
        <v>65</v>
      </c>
      <c r="M762" s="192" t="s">
        <v>919</v>
      </c>
      <c r="N762" s="192" t="s">
        <v>948</v>
      </c>
      <c r="O762" s="192" t="s">
        <v>65</v>
      </c>
      <c r="P762" s="192" t="s">
        <v>948</v>
      </c>
      <c r="Q762" s="192">
        <v>3.5000000149011612E-2</v>
      </c>
      <c r="R762" s="192">
        <v>10.699999809265137</v>
      </c>
      <c r="S762" s="192">
        <f>VLOOKUP($H762,'RBSA Weights'!$A$2:$C$1406,3,FALSE)</f>
        <v>2003.7159999999999</v>
      </c>
    </row>
    <row r="763" spans="1:19">
      <c r="A763" s="192" t="s">
        <v>929</v>
      </c>
      <c r="B763" s="192">
        <v>1</v>
      </c>
      <c r="C763" s="192">
        <v>1</v>
      </c>
      <c r="D763" s="192" t="s">
        <v>933</v>
      </c>
      <c r="E763" s="192">
        <v>1</v>
      </c>
      <c r="F763" s="192">
        <v>0</v>
      </c>
      <c r="G763" s="192">
        <v>37353</v>
      </c>
      <c r="H763" s="192">
        <v>23151</v>
      </c>
      <c r="I763" s="192">
        <v>1</v>
      </c>
      <c r="J763" s="192">
        <v>1386</v>
      </c>
      <c r="K763" s="192" t="s">
        <v>925</v>
      </c>
      <c r="L763" s="192" t="s">
        <v>737</v>
      </c>
      <c r="M763" s="192" t="s">
        <v>919</v>
      </c>
      <c r="N763" s="192" t="s">
        <v>948</v>
      </c>
      <c r="O763" s="192" t="s">
        <v>65</v>
      </c>
      <c r="P763" s="192" t="s">
        <v>926</v>
      </c>
      <c r="Q763" s="192">
        <v>3.5000000149011612E-2</v>
      </c>
      <c r="R763" s="192">
        <v>4.5999999046325684</v>
      </c>
      <c r="S763" s="192">
        <f>VLOOKUP($H763,'RBSA Weights'!$A$2:$C$1406,3,FALSE)</f>
        <v>12271.31</v>
      </c>
    </row>
    <row r="764" spans="1:19">
      <c r="A764" s="192" t="s">
        <v>929</v>
      </c>
      <c r="B764" s="192">
        <v>1</v>
      </c>
      <c r="C764" s="192">
        <v>0</v>
      </c>
      <c r="D764" s="192" t="s">
        <v>65</v>
      </c>
      <c r="E764" s="192">
        <v>1</v>
      </c>
      <c r="F764" s="192">
        <v>0</v>
      </c>
      <c r="G764" s="192">
        <v>139258</v>
      </c>
      <c r="H764" s="192">
        <v>20565</v>
      </c>
      <c r="I764" s="192">
        <v>1</v>
      </c>
      <c r="J764" s="192">
        <v>1131</v>
      </c>
      <c r="K764" s="192" t="s">
        <v>925</v>
      </c>
      <c r="L764" s="192" t="s">
        <v>927</v>
      </c>
      <c r="M764" s="192" t="s">
        <v>923</v>
      </c>
      <c r="N764" s="192" t="s">
        <v>65</v>
      </c>
      <c r="O764" s="192" t="s">
        <v>65</v>
      </c>
      <c r="P764" s="192" t="s">
        <v>65</v>
      </c>
      <c r="Q764" s="192">
        <v>3.5000000149011612E-2</v>
      </c>
      <c r="R764" s="192">
        <v>3.0999999046325684</v>
      </c>
      <c r="S764" s="192">
        <f>VLOOKUP($H764,'RBSA Weights'!$A$2:$C$1406,3,FALSE)</f>
        <v>1192.4649999999999</v>
      </c>
    </row>
    <row r="765" spans="1:19">
      <c r="A765" s="192" t="s">
        <v>929</v>
      </c>
      <c r="B765" s="192">
        <v>1</v>
      </c>
      <c r="C765" s="192">
        <v>1</v>
      </c>
      <c r="D765" s="192" t="s">
        <v>941</v>
      </c>
      <c r="E765" s="192">
        <v>1</v>
      </c>
      <c r="F765" s="192">
        <v>0</v>
      </c>
      <c r="G765" s="192">
        <v>103331</v>
      </c>
      <c r="H765" s="192">
        <v>20325</v>
      </c>
      <c r="I765" s="192">
        <v>1</v>
      </c>
      <c r="J765" s="192">
        <v>1403</v>
      </c>
      <c r="K765" s="192" t="s">
        <v>918</v>
      </c>
      <c r="L765" s="192" t="s">
        <v>737</v>
      </c>
      <c r="M765" s="192" t="s">
        <v>923</v>
      </c>
      <c r="N765" s="192" t="s">
        <v>948</v>
      </c>
      <c r="O765" s="192" t="s">
        <v>65</v>
      </c>
      <c r="P765" s="192" t="s">
        <v>924</v>
      </c>
      <c r="Q765" s="192">
        <v>3.5000000149011612E-2</v>
      </c>
      <c r="R765" s="192">
        <v>3.9000000953674316</v>
      </c>
      <c r="S765" s="192">
        <f>VLOOKUP($H765,'RBSA Weights'!$A$2:$C$1406,3,FALSE)</f>
        <v>1925.059</v>
      </c>
    </row>
    <row r="766" spans="1:19">
      <c r="A766" s="192" t="s">
        <v>929</v>
      </c>
      <c r="B766" s="192">
        <v>1</v>
      </c>
      <c r="C766" s="192">
        <v>0</v>
      </c>
      <c r="D766" s="192" t="s">
        <v>65</v>
      </c>
      <c r="E766" s="192">
        <v>1</v>
      </c>
      <c r="F766" s="192">
        <v>1</v>
      </c>
      <c r="G766" s="192">
        <v>672094</v>
      </c>
      <c r="H766" s="192">
        <v>22703</v>
      </c>
      <c r="I766" s="192">
        <v>1</v>
      </c>
      <c r="J766" s="192">
        <v>1316</v>
      </c>
      <c r="K766" s="192" t="s">
        <v>918</v>
      </c>
      <c r="L766" s="192" t="s">
        <v>65</v>
      </c>
      <c r="M766" s="192" t="s">
        <v>919</v>
      </c>
      <c r="N766" s="192" t="s">
        <v>65</v>
      </c>
      <c r="O766" s="192" t="s">
        <v>65</v>
      </c>
      <c r="P766" s="192" t="s">
        <v>65</v>
      </c>
      <c r="Q766" s="192">
        <v>3.5000000149011612E-2</v>
      </c>
      <c r="R766" s="192">
        <v>4.5</v>
      </c>
      <c r="S766" s="192">
        <f>VLOOKUP($H766,'RBSA Weights'!$A$2:$C$1406,3,FALSE)</f>
        <v>2079.9929999999999</v>
      </c>
    </row>
    <row r="767" spans="1:19">
      <c r="A767" s="192" t="s">
        <v>929</v>
      </c>
      <c r="B767" s="192">
        <v>1</v>
      </c>
      <c r="C767" s="192">
        <v>0</v>
      </c>
      <c r="D767" s="192" t="s">
        <v>65</v>
      </c>
      <c r="E767" s="192">
        <v>1</v>
      </c>
      <c r="F767" s="192">
        <v>0</v>
      </c>
      <c r="G767" s="192">
        <v>77960</v>
      </c>
      <c r="H767" s="192">
        <v>10235</v>
      </c>
      <c r="I767" s="192">
        <v>1</v>
      </c>
      <c r="J767" s="192">
        <v>1465</v>
      </c>
      <c r="K767" s="192" t="s">
        <v>925</v>
      </c>
      <c r="L767" s="192" t="s">
        <v>737</v>
      </c>
      <c r="M767" s="192" t="s">
        <v>919</v>
      </c>
      <c r="N767" s="192" t="s">
        <v>65</v>
      </c>
      <c r="O767" s="192" t="s">
        <v>65</v>
      </c>
      <c r="P767" s="192" t="s">
        <v>926</v>
      </c>
      <c r="Q767" s="192">
        <v>3.5000000149011612E-2</v>
      </c>
      <c r="R767" s="192">
        <v>3.0999999046325684</v>
      </c>
      <c r="S767" s="192">
        <f>VLOOKUP($H767,'RBSA Weights'!$A$2:$C$1406,3,FALSE)</f>
        <v>2003.7159999999999</v>
      </c>
    </row>
    <row r="768" spans="1:19">
      <c r="A768" s="192" t="s">
        <v>929</v>
      </c>
      <c r="B768" s="192">
        <v>1</v>
      </c>
      <c r="C768" s="192">
        <v>0</v>
      </c>
      <c r="D768" s="192" t="s">
        <v>65</v>
      </c>
      <c r="E768" s="192">
        <v>1</v>
      </c>
      <c r="F768" s="192">
        <v>1</v>
      </c>
      <c r="G768" s="192">
        <v>42103</v>
      </c>
      <c r="H768" s="192">
        <v>24436</v>
      </c>
      <c r="I768" s="192">
        <v>1</v>
      </c>
      <c r="J768" s="192">
        <v>1700</v>
      </c>
      <c r="K768" s="192" t="s">
        <v>925</v>
      </c>
      <c r="L768" s="192" t="s">
        <v>927</v>
      </c>
      <c r="M768" s="192" t="s">
        <v>923</v>
      </c>
      <c r="N768" s="192" t="s">
        <v>65</v>
      </c>
      <c r="O768" s="192" t="s">
        <v>65</v>
      </c>
      <c r="P768" s="192" t="s">
        <v>926</v>
      </c>
      <c r="Q768" s="192">
        <v>3.5000000149011612E-2</v>
      </c>
      <c r="R768" s="192">
        <v>4.5</v>
      </c>
      <c r="S768" s="192">
        <f>VLOOKUP($H768,'RBSA Weights'!$A$2:$C$1406,3,FALSE)</f>
        <v>2079.9929999999999</v>
      </c>
    </row>
    <row r="769" spans="1:19">
      <c r="A769" s="192" t="s">
        <v>929</v>
      </c>
      <c r="B769" s="192">
        <v>1</v>
      </c>
      <c r="C769" s="192">
        <v>0</v>
      </c>
      <c r="D769" s="192" t="s">
        <v>65</v>
      </c>
      <c r="E769" s="192">
        <v>1</v>
      </c>
      <c r="F769" s="192">
        <v>0</v>
      </c>
      <c r="G769" s="192">
        <v>69692</v>
      </c>
      <c r="H769" s="192">
        <v>11908</v>
      </c>
      <c r="I769" s="192">
        <v>1</v>
      </c>
      <c r="J769" s="192">
        <v>1200</v>
      </c>
      <c r="K769" s="192" t="s">
        <v>925</v>
      </c>
      <c r="L769" s="192" t="s">
        <v>737</v>
      </c>
      <c r="M769" s="192" t="s">
        <v>919</v>
      </c>
      <c r="N769" s="192" t="s">
        <v>65</v>
      </c>
      <c r="O769" s="192" t="s">
        <v>65</v>
      </c>
      <c r="P769" s="192" t="s">
        <v>926</v>
      </c>
      <c r="Q769" s="192">
        <v>3.5000000149011612E-2</v>
      </c>
      <c r="R769" s="192">
        <v>3.0999999046325684</v>
      </c>
      <c r="S769" s="192">
        <f>VLOOKUP($H769,'RBSA Weights'!$A$2:$C$1406,3,FALSE)</f>
        <v>2003.7159999999999</v>
      </c>
    </row>
    <row r="770" spans="1:19">
      <c r="A770" s="192" t="s">
        <v>929</v>
      </c>
      <c r="B770" s="192">
        <v>1</v>
      </c>
      <c r="C770" s="192">
        <v>0</v>
      </c>
      <c r="D770" s="192" t="s">
        <v>65</v>
      </c>
      <c r="E770" s="192">
        <v>1</v>
      </c>
      <c r="F770" s="192">
        <v>0</v>
      </c>
      <c r="G770" s="192">
        <v>784415</v>
      </c>
      <c r="H770" s="192">
        <v>21899</v>
      </c>
      <c r="I770" s="192">
        <v>1</v>
      </c>
      <c r="J770" s="192">
        <v>2288</v>
      </c>
      <c r="K770" s="192" t="s">
        <v>925</v>
      </c>
      <c r="L770" s="192" t="s">
        <v>737</v>
      </c>
      <c r="M770" s="192" t="s">
        <v>919</v>
      </c>
      <c r="N770" s="192" t="s">
        <v>65</v>
      </c>
      <c r="O770" s="192" t="s">
        <v>65</v>
      </c>
      <c r="P770" s="192" t="s">
        <v>65</v>
      </c>
      <c r="Q770" s="192">
        <v>3.5000000149011612E-2</v>
      </c>
      <c r="R770" s="192">
        <v>3.0999999046325684</v>
      </c>
      <c r="S770" s="192">
        <f>VLOOKUP($H770,'RBSA Weights'!$A$2:$C$1406,3,FALSE)</f>
        <v>8264.9449999999997</v>
      </c>
    </row>
    <row r="771" spans="1:19">
      <c r="A771" s="192" t="s">
        <v>929</v>
      </c>
      <c r="B771" s="192">
        <v>1</v>
      </c>
      <c r="C771" s="192">
        <v>0</v>
      </c>
      <c r="D771" s="192" t="s">
        <v>65</v>
      </c>
      <c r="E771" s="192">
        <v>1</v>
      </c>
      <c r="F771" s="192">
        <v>0</v>
      </c>
      <c r="G771" s="192">
        <v>147905</v>
      </c>
      <c r="H771" s="192">
        <v>11317</v>
      </c>
      <c r="I771" s="192">
        <v>1</v>
      </c>
      <c r="J771" s="192">
        <v>996</v>
      </c>
      <c r="K771" s="192" t="s">
        <v>918</v>
      </c>
      <c r="L771" s="192" t="s">
        <v>65</v>
      </c>
      <c r="M771" s="192" t="s">
        <v>919</v>
      </c>
      <c r="N771" s="192" t="s">
        <v>65</v>
      </c>
      <c r="O771" s="192" t="s">
        <v>65</v>
      </c>
      <c r="P771" s="192" t="s">
        <v>65</v>
      </c>
      <c r="Q771" s="192">
        <v>3.5000000149011612E-2</v>
      </c>
      <c r="R771" s="192">
        <v>3.0999999046325684</v>
      </c>
      <c r="S771" s="192">
        <f>VLOOKUP($H771,'RBSA Weights'!$A$2:$C$1406,3,FALSE)</f>
        <v>6932.7380000000003</v>
      </c>
    </row>
    <row r="772" spans="1:19">
      <c r="A772" s="192" t="s">
        <v>929</v>
      </c>
      <c r="B772" s="192">
        <v>1</v>
      </c>
      <c r="C772" s="192">
        <v>0</v>
      </c>
      <c r="D772" s="192" t="s">
        <v>65</v>
      </c>
      <c r="E772" s="192">
        <v>1</v>
      </c>
      <c r="F772" s="192">
        <v>0</v>
      </c>
      <c r="G772" s="192">
        <v>94411</v>
      </c>
      <c r="H772" s="192">
        <v>20477</v>
      </c>
      <c r="I772" s="192">
        <v>1</v>
      </c>
      <c r="J772" s="192">
        <v>1341</v>
      </c>
      <c r="K772" s="192" t="s">
        <v>925</v>
      </c>
      <c r="L772" s="192" t="s">
        <v>737</v>
      </c>
      <c r="M772" s="192" t="s">
        <v>919</v>
      </c>
      <c r="N772" s="192" t="s">
        <v>65</v>
      </c>
      <c r="O772" s="192" t="s">
        <v>65</v>
      </c>
      <c r="P772" s="192" t="s">
        <v>926</v>
      </c>
      <c r="Q772" s="192">
        <v>3.5000000149011612E-2</v>
      </c>
      <c r="R772" s="192">
        <v>3.0999999046325684</v>
      </c>
      <c r="S772" s="192">
        <f>VLOOKUP($H772,'RBSA Weights'!$A$2:$C$1406,3,FALSE)</f>
        <v>1904.288</v>
      </c>
    </row>
    <row r="773" spans="1:19">
      <c r="A773" s="192" t="s">
        <v>929</v>
      </c>
      <c r="B773" s="192">
        <v>1</v>
      </c>
      <c r="C773" s="192">
        <v>0</v>
      </c>
      <c r="D773" s="192" t="s">
        <v>65</v>
      </c>
      <c r="E773" s="192">
        <v>1</v>
      </c>
      <c r="F773" s="192">
        <v>0</v>
      </c>
      <c r="G773" s="192">
        <v>216905</v>
      </c>
      <c r="H773" s="192">
        <v>10728</v>
      </c>
      <c r="I773" s="192">
        <v>1</v>
      </c>
      <c r="J773" s="192">
        <v>1342</v>
      </c>
      <c r="K773" s="192" t="s">
        <v>925</v>
      </c>
      <c r="L773" s="192" t="s">
        <v>737</v>
      </c>
      <c r="M773" s="192" t="s">
        <v>919</v>
      </c>
      <c r="N773" s="192" t="s">
        <v>65</v>
      </c>
      <c r="O773" s="192" t="s">
        <v>65</v>
      </c>
      <c r="P773" s="192" t="s">
        <v>65</v>
      </c>
      <c r="Q773" s="192">
        <v>3.5000000149011612E-2</v>
      </c>
      <c r="R773" s="192">
        <v>3.0999999046325684</v>
      </c>
      <c r="S773" s="192">
        <f>VLOOKUP($H773,'RBSA Weights'!$A$2:$C$1406,3,FALSE)</f>
        <v>2003.7159999999999</v>
      </c>
    </row>
    <row r="774" spans="1:19">
      <c r="A774" s="192" t="s">
        <v>929</v>
      </c>
      <c r="B774" s="192">
        <v>1</v>
      </c>
      <c r="C774" s="192">
        <v>0</v>
      </c>
      <c r="D774" s="192" t="s">
        <v>65</v>
      </c>
      <c r="E774" s="192">
        <v>1</v>
      </c>
      <c r="F774" s="192">
        <v>0</v>
      </c>
      <c r="G774" s="192">
        <v>100323</v>
      </c>
      <c r="H774" s="192">
        <v>13453</v>
      </c>
      <c r="I774" s="192">
        <v>1</v>
      </c>
      <c r="J774" s="192">
        <v>1070</v>
      </c>
      <c r="K774" s="192" t="s">
        <v>925</v>
      </c>
      <c r="L774" s="192" t="s">
        <v>737</v>
      </c>
      <c r="M774" s="192" t="s">
        <v>919</v>
      </c>
      <c r="N774" s="192" t="s">
        <v>65</v>
      </c>
      <c r="O774" s="192" t="s">
        <v>65</v>
      </c>
      <c r="P774" s="192" t="s">
        <v>926</v>
      </c>
      <c r="Q774" s="192">
        <v>3.5000000149011612E-2</v>
      </c>
      <c r="R774" s="192">
        <v>3.0999999046325684</v>
      </c>
      <c r="S774" s="192">
        <f>VLOOKUP($H774,'RBSA Weights'!$A$2:$C$1406,3,FALSE)</f>
        <v>4956.4930000000004</v>
      </c>
    </row>
    <row r="775" spans="1:19">
      <c r="A775" s="192" t="s">
        <v>929</v>
      </c>
      <c r="B775" s="192">
        <v>1</v>
      </c>
      <c r="C775" s="192">
        <v>0</v>
      </c>
      <c r="D775" s="192" t="s">
        <v>65</v>
      </c>
      <c r="E775" s="192">
        <v>1</v>
      </c>
      <c r="F775" s="192">
        <v>1</v>
      </c>
      <c r="G775" s="192">
        <v>672193</v>
      </c>
      <c r="H775" s="192">
        <v>10313</v>
      </c>
      <c r="I775" s="192">
        <v>1</v>
      </c>
      <c r="J775" s="192">
        <v>576</v>
      </c>
      <c r="K775" s="192" t="s">
        <v>925</v>
      </c>
      <c r="L775" s="192" t="s">
        <v>737</v>
      </c>
      <c r="M775" s="192" t="s">
        <v>919</v>
      </c>
      <c r="N775" s="192" t="s">
        <v>65</v>
      </c>
      <c r="O775" s="192" t="s">
        <v>65</v>
      </c>
      <c r="P775" s="192" t="s">
        <v>65</v>
      </c>
      <c r="Q775" s="192">
        <v>3.5000000149011612E-2</v>
      </c>
      <c r="R775" s="192">
        <v>4.5</v>
      </c>
      <c r="S775" s="192">
        <f>VLOOKUP($H775,'RBSA Weights'!$A$2:$C$1406,3,FALSE)</f>
        <v>1188.027</v>
      </c>
    </row>
    <row r="776" spans="1:19">
      <c r="A776" s="192" t="s">
        <v>929</v>
      </c>
      <c r="B776" s="192">
        <v>1</v>
      </c>
      <c r="C776" s="192">
        <v>1</v>
      </c>
      <c r="D776" s="192" t="s">
        <v>941</v>
      </c>
      <c r="E776" s="192">
        <v>1</v>
      </c>
      <c r="F776" s="192">
        <v>0</v>
      </c>
      <c r="G776" s="192">
        <v>135622</v>
      </c>
      <c r="H776" s="192">
        <v>22375</v>
      </c>
      <c r="I776" s="192">
        <v>1</v>
      </c>
      <c r="J776" s="192">
        <v>2030</v>
      </c>
      <c r="K776" s="192" t="s">
        <v>925</v>
      </c>
      <c r="L776" s="192" t="s">
        <v>930</v>
      </c>
      <c r="M776" s="192" t="s">
        <v>923</v>
      </c>
      <c r="N776" s="192" t="s">
        <v>65</v>
      </c>
      <c r="O776" s="192" t="s">
        <v>65</v>
      </c>
      <c r="P776" s="192" t="s">
        <v>65</v>
      </c>
      <c r="Q776" s="192">
        <v>3.5000000149011612E-2</v>
      </c>
      <c r="R776" s="192">
        <v>3.9000000953674316</v>
      </c>
      <c r="S776" s="192">
        <f>VLOOKUP($H776,'RBSA Weights'!$A$2:$C$1406,3,FALSE)</f>
        <v>1612.692</v>
      </c>
    </row>
    <row r="777" spans="1:19">
      <c r="A777" s="192" t="s">
        <v>929</v>
      </c>
      <c r="B777" s="192">
        <v>1</v>
      </c>
      <c r="C777" s="192">
        <v>0</v>
      </c>
      <c r="D777" s="192" t="s">
        <v>65</v>
      </c>
      <c r="E777" s="192">
        <v>0</v>
      </c>
      <c r="G777" s="192">
        <v>191828</v>
      </c>
      <c r="H777" s="192">
        <v>20215</v>
      </c>
      <c r="I777" s="192">
        <v>1</v>
      </c>
      <c r="J777" s="192">
        <v>396</v>
      </c>
      <c r="K777" s="192" t="s">
        <v>925</v>
      </c>
      <c r="L777" s="192" t="s">
        <v>737</v>
      </c>
      <c r="M777" s="192" t="s">
        <v>919</v>
      </c>
      <c r="N777" s="192" t="s">
        <v>65</v>
      </c>
      <c r="O777" s="192" t="s">
        <v>65</v>
      </c>
      <c r="P777" s="192" t="s">
        <v>65</v>
      </c>
      <c r="Q777" s="192">
        <v>3.5000000149011612E-2</v>
      </c>
      <c r="R777" s="192">
        <v>5</v>
      </c>
      <c r="S777" s="192">
        <f>VLOOKUP($H777,'RBSA Weights'!$A$2:$C$1406,3,FALSE)</f>
        <v>1612.692</v>
      </c>
    </row>
    <row r="778" spans="1:19">
      <c r="A778" s="192" t="s">
        <v>929</v>
      </c>
      <c r="B778" s="192">
        <v>1</v>
      </c>
      <c r="C778" s="192">
        <v>0</v>
      </c>
      <c r="D778" s="192" t="s">
        <v>65</v>
      </c>
      <c r="E778" s="192">
        <v>1</v>
      </c>
      <c r="F778" s="192">
        <v>0</v>
      </c>
      <c r="G778" s="192">
        <v>191734</v>
      </c>
      <c r="H778" s="192">
        <v>14545</v>
      </c>
      <c r="I778" s="192">
        <v>1</v>
      </c>
      <c r="J778" s="192">
        <v>1300</v>
      </c>
      <c r="K778" s="192" t="s">
        <v>925</v>
      </c>
      <c r="L778" s="192" t="s">
        <v>737</v>
      </c>
      <c r="M778" s="192" t="s">
        <v>919</v>
      </c>
      <c r="N778" s="192" t="s">
        <v>65</v>
      </c>
      <c r="O778" s="192" t="s">
        <v>65</v>
      </c>
      <c r="P778" s="192" t="s">
        <v>65</v>
      </c>
      <c r="Q778" s="192">
        <v>3.5000000149011612E-2</v>
      </c>
      <c r="R778" s="192">
        <v>3.0999999046325684</v>
      </c>
      <c r="S778" s="192">
        <f>VLOOKUP($H778,'RBSA Weights'!$A$2:$C$1406,3,FALSE)</f>
        <v>1188.027</v>
      </c>
    </row>
    <row r="779" spans="1:19">
      <c r="A779" s="192" t="s">
        <v>929</v>
      </c>
      <c r="B779" s="192">
        <v>1</v>
      </c>
      <c r="C779" s="192">
        <v>0</v>
      </c>
      <c r="D779" s="192" t="s">
        <v>65</v>
      </c>
      <c r="E779" s="192">
        <v>1</v>
      </c>
      <c r="F779" s="192">
        <v>0</v>
      </c>
      <c r="G779" s="192">
        <v>74624</v>
      </c>
      <c r="H779" s="192">
        <v>20200</v>
      </c>
      <c r="I779" s="192">
        <v>1</v>
      </c>
      <c r="J779" s="192">
        <v>1300</v>
      </c>
      <c r="K779" s="192" t="s">
        <v>918</v>
      </c>
      <c r="L779" s="192" t="s">
        <v>737</v>
      </c>
      <c r="M779" s="192" t="s">
        <v>919</v>
      </c>
      <c r="N779" s="192" t="s">
        <v>65</v>
      </c>
      <c r="O779" s="192" t="s">
        <v>65</v>
      </c>
      <c r="P779" s="192" t="s">
        <v>926</v>
      </c>
      <c r="Q779" s="192">
        <v>3.5000000149011612E-2</v>
      </c>
      <c r="R779" s="192">
        <v>3.0999999046325684</v>
      </c>
      <c r="S779" s="192">
        <f>VLOOKUP($H779,'RBSA Weights'!$A$2:$C$1406,3,FALSE)</f>
        <v>1925.059</v>
      </c>
    </row>
    <row r="780" spans="1:19">
      <c r="A780" s="192" t="s">
        <v>929</v>
      </c>
      <c r="B780" s="192">
        <v>1</v>
      </c>
      <c r="C780" s="192">
        <v>0</v>
      </c>
      <c r="D780" s="192" t="s">
        <v>65</v>
      </c>
      <c r="E780" s="192">
        <v>1</v>
      </c>
      <c r="F780" s="192">
        <v>0</v>
      </c>
      <c r="G780" s="192">
        <v>87797</v>
      </c>
      <c r="H780" s="192">
        <v>22533</v>
      </c>
      <c r="I780" s="192">
        <v>1</v>
      </c>
      <c r="J780" s="192">
        <v>627</v>
      </c>
      <c r="K780" s="192" t="s">
        <v>925</v>
      </c>
      <c r="L780" s="192" t="s">
        <v>927</v>
      </c>
      <c r="M780" s="192" t="s">
        <v>923</v>
      </c>
      <c r="N780" s="192" t="s">
        <v>65</v>
      </c>
      <c r="O780" s="192" t="s">
        <v>65</v>
      </c>
      <c r="P780" s="192" t="s">
        <v>926</v>
      </c>
      <c r="Q780" s="192">
        <v>3.5000000149011612E-2</v>
      </c>
      <c r="R780" s="192">
        <v>3.0999999046325684</v>
      </c>
      <c r="S780" s="192">
        <f>VLOOKUP($H780,'RBSA Weights'!$A$2:$C$1406,3,FALSE)</f>
        <v>1144.6790000000001</v>
      </c>
    </row>
    <row r="781" spans="1:19">
      <c r="A781" s="192" t="s">
        <v>929</v>
      </c>
      <c r="B781" s="192">
        <v>1</v>
      </c>
      <c r="C781" s="192">
        <v>0</v>
      </c>
      <c r="D781" s="192" t="s">
        <v>65</v>
      </c>
      <c r="E781" s="192">
        <v>1</v>
      </c>
      <c r="F781" s="192">
        <v>1</v>
      </c>
      <c r="G781" s="192">
        <v>211461</v>
      </c>
      <c r="H781" s="192">
        <v>21070</v>
      </c>
      <c r="I781" s="192">
        <v>1</v>
      </c>
      <c r="J781" s="192">
        <v>980</v>
      </c>
      <c r="K781" s="192" t="s">
        <v>918</v>
      </c>
      <c r="L781" s="192" t="s">
        <v>65</v>
      </c>
      <c r="M781" s="192" t="s">
        <v>919</v>
      </c>
      <c r="N781" s="192" t="s">
        <v>65</v>
      </c>
      <c r="O781" s="192" t="s">
        <v>65</v>
      </c>
      <c r="P781" s="192" t="s">
        <v>65</v>
      </c>
      <c r="Q781" s="192">
        <v>3.5000000149011612E-2</v>
      </c>
      <c r="R781" s="192">
        <v>4.5</v>
      </c>
      <c r="S781" s="192">
        <f>VLOOKUP($H781,'RBSA Weights'!$A$2:$C$1406,3,FALSE)</f>
        <v>1904.288</v>
      </c>
    </row>
    <row r="782" spans="1:19">
      <c r="A782" s="192" t="s">
        <v>929</v>
      </c>
      <c r="B782" s="192">
        <v>1</v>
      </c>
      <c r="C782" s="192">
        <v>0</v>
      </c>
      <c r="D782" s="192" t="s">
        <v>65</v>
      </c>
      <c r="E782" s="192">
        <v>1</v>
      </c>
      <c r="F782" s="192">
        <v>0</v>
      </c>
      <c r="G782" s="192">
        <v>133954</v>
      </c>
      <c r="H782" s="192">
        <v>12499</v>
      </c>
      <c r="I782" s="192">
        <v>1</v>
      </c>
      <c r="J782" s="192">
        <v>1770</v>
      </c>
      <c r="K782" s="192" t="s">
        <v>918</v>
      </c>
      <c r="L782" s="192" t="s">
        <v>65</v>
      </c>
      <c r="M782" s="192" t="s">
        <v>919</v>
      </c>
      <c r="N782" s="192" t="s">
        <v>65</v>
      </c>
      <c r="O782" s="192" t="s">
        <v>65</v>
      </c>
      <c r="P782" s="192" t="s">
        <v>65</v>
      </c>
      <c r="Q782" s="192">
        <v>3.5000000149011612E-2</v>
      </c>
      <c r="R782" s="192">
        <v>3.0999999046325684</v>
      </c>
      <c r="S782" s="192">
        <f>VLOOKUP($H782,'RBSA Weights'!$A$2:$C$1406,3,FALSE)</f>
        <v>6932.7380000000003</v>
      </c>
    </row>
    <row r="783" spans="1:19">
      <c r="A783" s="192" t="s">
        <v>929</v>
      </c>
      <c r="B783" s="192">
        <v>1</v>
      </c>
      <c r="C783" s="192">
        <v>0</v>
      </c>
      <c r="D783" s="192" t="s">
        <v>65</v>
      </c>
      <c r="E783" s="192">
        <v>1</v>
      </c>
      <c r="F783" s="192">
        <v>0</v>
      </c>
      <c r="G783" s="192">
        <v>148669</v>
      </c>
      <c r="H783" s="192">
        <v>23556</v>
      </c>
      <c r="I783" s="192">
        <v>1</v>
      </c>
      <c r="J783" s="192">
        <v>1377</v>
      </c>
      <c r="K783" s="192" t="s">
        <v>918</v>
      </c>
      <c r="L783" s="192" t="s">
        <v>737</v>
      </c>
      <c r="M783" s="192" t="s">
        <v>919</v>
      </c>
      <c r="N783" s="192" t="s">
        <v>65</v>
      </c>
      <c r="O783" s="192" t="s">
        <v>65</v>
      </c>
      <c r="P783" s="192" t="s">
        <v>65</v>
      </c>
      <c r="Q783" s="192">
        <v>3.5000000149011612E-2</v>
      </c>
      <c r="R783" s="192">
        <v>3.0999999046325684</v>
      </c>
      <c r="S783" s="192">
        <f>VLOOKUP($H783,'RBSA Weights'!$A$2:$C$1406,3,FALSE)</f>
        <v>8264.9449999999997</v>
      </c>
    </row>
    <row r="784" spans="1:19">
      <c r="A784" s="192" t="s">
        <v>929</v>
      </c>
      <c r="B784" s="192">
        <v>1</v>
      </c>
      <c r="C784" s="192">
        <v>0</v>
      </c>
      <c r="D784" s="192" t="s">
        <v>65</v>
      </c>
      <c r="E784" s="192">
        <v>1</v>
      </c>
      <c r="F784" s="192">
        <v>0</v>
      </c>
      <c r="G784" s="192">
        <v>123249</v>
      </c>
      <c r="H784" s="192">
        <v>21372</v>
      </c>
      <c r="I784" s="192">
        <v>1</v>
      </c>
      <c r="J784" s="192">
        <v>2424</v>
      </c>
      <c r="K784" s="192" t="s">
        <v>918</v>
      </c>
      <c r="L784" s="192" t="s">
        <v>927</v>
      </c>
      <c r="M784" s="192" t="s">
        <v>923</v>
      </c>
      <c r="N784" s="192" t="s">
        <v>65</v>
      </c>
      <c r="O784" s="192" t="s">
        <v>65</v>
      </c>
      <c r="P784" s="192" t="s">
        <v>926</v>
      </c>
      <c r="Q784" s="192">
        <v>3.5000000149011612E-2</v>
      </c>
      <c r="R784" s="192">
        <v>3.0999999046325684</v>
      </c>
      <c r="S784" s="192">
        <f>VLOOKUP($H784,'RBSA Weights'!$A$2:$C$1406,3,FALSE)</f>
        <v>1612.692</v>
      </c>
    </row>
    <row r="785" spans="1:19">
      <c r="A785" s="192" t="s">
        <v>929</v>
      </c>
      <c r="B785" s="192">
        <v>1</v>
      </c>
      <c r="C785" s="192">
        <v>0</v>
      </c>
      <c r="D785" s="192" t="s">
        <v>65</v>
      </c>
      <c r="E785" s="192">
        <v>1</v>
      </c>
      <c r="F785" s="192">
        <v>0</v>
      </c>
      <c r="G785" s="192">
        <v>140487</v>
      </c>
      <c r="H785" s="192">
        <v>22200</v>
      </c>
      <c r="I785" s="192">
        <v>1</v>
      </c>
      <c r="J785" s="192">
        <v>936</v>
      </c>
      <c r="K785" s="192" t="s">
        <v>925</v>
      </c>
      <c r="L785" s="192" t="s">
        <v>737</v>
      </c>
      <c r="M785" s="192" t="s">
        <v>919</v>
      </c>
      <c r="N785" s="192" t="s">
        <v>65</v>
      </c>
      <c r="O785" s="192" t="s">
        <v>65</v>
      </c>
      <c r="P785" s="192" t="s">
        <v>65</v>
      </c>
      <c r="Q785" s="192">
        <v>3.5000000149011612E-2</v>
      </c>
      <c r="R785" s="192">
        <v>3.0999999046325684</v>
      </c>
      <c r="S785" s="192">
        <f>VLOOKUP($H785,'RBSA Weights'!$A$2:$C$1406,3,FALSE)</f>
        <v>1192.4649999999999</v>
      </c>
    </row>
    <row r="786" spans="1:19">
      <c r="A786" s="192" t="s">
        <v>929</v>
      </c>
      <c r="B786" s="192">
        <v>1</v>
      </c>
      <c r="C786" s="192">
        <v>0</v>
      </c>
      <c r="D786" s="192" t="s">
        <v>65</v>
      </c>
      <c r="E786" s="192">
        <v>1</v>
      </c>
      <c r="F786" s="192">
        <v>1</v>
      </c>
      <c r="G786" s="192">
        <v>188082</v>
      </c>
      <c r="H786" s="192">
        <v>21155</v>
      </c>
      <c r="I786" s="192">
        <v>1</v>
      </c>
      <c r="J786" s="192">
        <v>140</v>
      </c>
      <c r="K786" s="192" t="s">
        <v>925</v>
      </c>
      <c r="L786" s="192" t="s">
        <v>927</v>
      </c>
      <c r="M786" s="192" t="s">
        <v>919</v>
      </c>
      <c r="N786" s="192" t="s">
        <v>65</v>
      </c>
      <c r="O786" s="192" t="s">
        <v>65</v>
      </c>
      <c r="P786" s="192" t="s">
        <v>65</v>
      </c>
      <c r="Q786" s="192">
        <v>3.5000000149011612E-2</v>
      </c>
      <c r="R786" s="192">
        <v>4.5</v>
      </c>
      <c r="S786" s="192">
        <f>VLOOKUP($H786,'RBSA Weights'!$A$2:$C$1406,3,FALSE)</f>
        <v>1192.4649999999999</v>
      </c>
    </row>
    <row r="787" spans="1:19">
      <c r="A787" s="192" t="s">
        <v>929</v>
      </c>
      <c r="B787" s="192">
        <v>1</v>
      </c>
      <c r="C787" s="192">
        <v>0</v>
      </c>
      <c r="D787" s="192" t="s">
        <v>65</v>
      </c>
      <c r="E787" s="192">
        <v>1</v>
      </c>
      <c r="F787" s="192">
        <v>0</v>
      </c>
      <c r="G787" s="192">
        <v>114240</v>
      </c>
      <c r="H787" s="192">
        <v>22108</v>
      </c>
      <c r="I787" s="192">
        <v>1</v>
      </c>
      <c r="J787" s="192">
        <v>2051</v>
      </c>
      <c r="K787" s="192" t="s">
        <v>925</v>
      </c>
      <c r="L787" s="192" t="s">
        <v>737</v>
      </c>
      <c r="M787" s="192" t="s">
        <v>919</v>
      </c>
      <c r="N787" s="192" t="s">
        <v>65</v>
      </c>
      <c r="O787" s="192" t="s">
        <v>65</v>
      </c>
      <c r="P787" s="192" t="s">
        <v>926</v>
      </c>
      <c r="Q787" s="192">
        <v>3.5000000149011612E-2</v>
      </c>
      <c r="R787" s="192">
        <v>3.0999999046325684</v>
      </c>
      <c r="S787" s="192">
        <f>VLOOKUP($H787,'RBSA Weights'!$A$2:$C$1406,3,FALSE)</f>
        <v>1612.692</v>
      </c>
    </row>
    <row r="788" spans="1:19">
      <c r="A788" s="192" t="s">
        <v>929</v>
      </c>
      <c r="B788" s="192">
        <v>1</v>
      </c>
      <c r="C788" s="192">
        <v>0</v>
      </c>
      <c r="D788" s="192" t="s">
        <v>65</v>
      </c>
      <c r="E788" s="192">
        <v>1</v>
      </c>
      <c r="F788" s="192">
        <v>0</v>
      </c>
      <c r="G788" s="192">
        <v>207110</v>
      </c>
      <c r="H788" s="192">
        <v>12572</v>
      </c>
      <c r="I788" s="192">
        <v>1</v>
      </c>
      <c r="J788" s="192">
        <v>725</v>
      </c>
      <c r="K788" s="192" t="s">
        <v>918</v>
      </c>
      <c r="L788" s="192" t="s">
        <v>65</v>
      </c>
      <c r="M788" s="192" t="s">
        <v>919</v>
      </c>
      <c r="N788" s="192" t="s">
        <v>65</v>
      </c>
      <c r="O788" s="192" t="s">
        <v>65</v>
      </c>
      <c r="P788" s="192" t="s">
        <v>65</v>
      </c>
      <c r="Q788" s="192">
        <v>3.5000000149011612E-2</v>
      </c>
      <c r="R788" s="192">
        <v>3.0999999046325684</v>
      </c>
      <c r="S788" s="192">
        <f>VLOOKUP($H788,'RBSA Weights'!$A$2:$C$1406,3,FALSE)</f>
        <v>6932.7380000000003</v>
      </c>
    </row>
    <row r="789" spans="1:19">
      <c r="A789" s="192" t="s">
        <v>929</v>
      </c>
      <c r="B789" s="192">
        <v>1</v>
      </c>
      <c r="C789" s="192">
        <v>0</v>
      </c>
      <c r="D789" s="192" t="s">
        <v>65</v>
      </c>
      <c r="E789" s="192">
        <v>1</v>
      </c>
      <c r="F789" s="192">
        <v>0</v>
      </c>
      <c r="G789" s="192">
        <v>57950</v>
      </c>
      <c r="H789" s="192">
        <v>23241</v>
      </c>
      <c r="I789" s="192">
        <v>1</v>
      </c>
      <c r="J789" s="192">
        <v>1800</v>
      </c>
      <c r="K789" s="192" t="s">
        <v>925</v>
      </c>
      <c r="L789" s="192" t="s">
        <v>927</v>
      </c>
      <c r="M789" s="192" t="s">
        <v>919</v>
      </c>
      <c r="N789" s="192" t="s">
        <v>65</v>
      </c>
      <c r="O789" s="192" t="s">
        <v>65</v>
      </c>
      <c r="P789" s="192" t="s">
        <v>926</v>
      </c>
      <c r="Q789" s="192">
        <v>3.5000000149011612E-2</v>
      </c>
      <c r="R789" s="192">
        <v>3.0999999046325684</v>
      </c>
      <c r="S789" s="192">
        <f>VLOOKUP($H789,'RBSA Weights'!$A$2:$C$1406,3,FALSE)</f>
        <v>2079.9929999999999</v>
      </c>
    </row>
    <row r="790" spans="1:19">
      <c r="A790" s="192" t="s">
        <v>929</v>
      </c>
      <c r="B790" s="192">
        <v>1</v>
      </c>
      <c r="C790" s="192">
        <v>0</v>
      </c>
      <c r="D790" s="192" t="s">
        <v>65</v>
      </c>
      <c r="E790" s="192">
        <v>1</v>
      </c>
      <c r="F790" s="192">
        <v>0</v>
      </c>
      <c r="G790" s="192">
        <v>170528</v>
      </c>
      <c r="H790" s="192">
        <v>21089</v>
      </c>
      <c r="I790" s="192">
        <v>1</v>
      </c>
      <c r="J790" s="192">
        <v>1198</v>
      </c>
      <c r="K790" s="192" t="s">
        <v>925</v>
      </c>
      <c r="L790" s="192" t="s">
        <v>927</v>
      </c>
      <c r="M790" s="192" t="s">
        <v>923</v>
      </c>
      <c r="N790" s="192" t="s">
        <v>65</v>
      </c>
      <c r="O790" s="192" t="s">
        <v>65</v>
      </c>
      <c r="P790" s="192" t="s">
        <v>65</v>
      </c>
      <c r="Q790" s="192">
        <v>3.5000000149011612E-2</v>
      </c>
      <c r="R790" s="192">
        <v>3.0999999046325684</v>
      </c>
      <c r="S790" s="192">
        <f>VLOOKUP($H790,'RBSA Weights'!$A$2:$C$1406,3,FALSE)</f>
        <v>3785.7640000000001</v>
      </c>
    </row>
    <row r="791" spans="1:19">
      <c r="A791" s="192" t="s">
        <v>929</v>
      </c>
      <c r="B791" s="192">
        <v>1</v>
      </c>
      <c r="C791" s="192">
        <v>0</v>
      </c>
      <c r="D791" s="192" t="s">
        <v>65</v>
      </c>
      <c r="E791" s="192">
        <v>0</v>
      </c>
      <c r="G791" s="192">
        <v>162696</v>
      </c>
      <c r="H791" s="192">
        <v>24672</v>
      </c>
      <c r="I791" s="192">
        <v>1</v>
      </c>
      <c r="J791" s="192">
        <v>70</v>
      </c>
      <c r="K791" s="192" t="s">
        <v>925</v>
      </c>
      <c r="L791" s="192" t="s">
        <v>930</v>
      </c>
      <c r="M791" s="192" t="s">
        <v>923</v>
      </c>
      <c r="N791" s="192" t="s">
        <v>65</v>
      </c>
      <c r="O791" s="192" t="s">
        <v>65</v>
      </c>
      <c r="P791" s="192" t="s">
        <v>65</v>
      </c>
      <c r="Q791" s="192">
        <v>3.5000000149011612E-2</v>
      </c>
      <c r="R791" s="192">
        <v>5</v>
      </c>
      <c r="S791" s="192">
        <f>VLOOKUP($H791,'RBSA Weights'!$A$2:$C$1406,3,FALSE)</f>
        <v>3785.7640000000001</v>
      </c>
    </row>
    <row r="792" spans="1:19">
      <c r="A792" s="192" t="s">
        <v>929</v>
      </c>
      <c r="B792" s="192">
        <v>1</v>
      </c>
      <c r="C792" s="192">
        <v>0</v>
      </c>
      <c r="D792" s="192" t="s">
        <v>65</v>
      </c>
      <c r="E792" s="192">
        <v>1</v>
      </c>
      <c r="F792" s="192">
        <v>0</v>
      </c>
      <c r="G792" s="192">
        <v>27365</v>
      </c>
      <c r="H792" s="192">
        <v>10459</v>
      </c>
      <c r="I792" s="192">
        <v>1</v>
      </c>
      <c r="J792" s="192">
        <v>200</v>
      </c>
      <c r="K792" s="192" t="s">
        <v>925</v>
      </c>
      <c r="L792" s="192" t="s">
        <v>737</v>
      </c>
      <c r="M792" s="192" t="s">
        <v>919</v>
      </c>
      <c r="N792" s="192" t="s">
        <v>65</v>
      </c>
      <c r="O792" s="192" t="s">
        <v>65</v>
      </c>
      <c r="P792" s="192" t="s">
        <v>924</v>
      </c>
      <c r="Q792" s="192">
        <v>3.5000000149011612E-2</v>
      </c>
      <c r="R792" s="192">
        <v>3.0999999046325684</v>
      </c>
      <c r="S792" s="192">
        <f>VLOOKUP($H792,'RBSA Weights'!$A$2:$C$1406,3,FALSE)</f>
        <v>1524.7619999999999</v>
      </c>
    </row>
    <row r="793" spans="1:19">
      <c r="A793" s="192" t="s">
        <v>929</v>
      </c>
      <c r="B793" s="192">
        <v>1</v>
      </c>
      <c r="C793" s="192">
        <v>0</v>
      </c>
      <c r="D793" s="192" t="s">
        <v>65</v>
      </c>
      <c r="E793" s="192">
        <v>1</v>
      </c>
      <c r="F793" s="192">
        <v>0</v>
      </c>
      <c r="G793" s="192">
        <v>131678</v>
      </c>
      <c r="H793" s="192">
        <v>23667</v>
      </c>
      <c r="I793" s="192">
        <v>1</v>
      </c>
      <c r="J793" s="192">
        <v>724</v>
      </c>
      <c r="K793" s="192" t="s">
        <v>925</v>
      </c>
      <c r="L793" s="192" t="s">
        <v>737</v>
      </c>
      <c r="M793" s="192" t="s">
        <v>919</v>
      </c>
      <c r="N793" s="192" t="s">
        <v>65</v>
      </c>
      <c r="O793" s="192" t="s">
        <v>65</v>
      </c>
      <c r="P793" s="192" t="s">
        <v>65</v>
      </c>
      <c r="Q793" s="192">
        <v>3.5000000149011612E-2</v>
      </c>
      <c r="R793" s="192">
        <v>3.0999999046325684</v>
      </c>
      <c r="S793" s="192">
        <f>VLOOKUP($H793,'RBSA Weights'!$A$2:$C$1406,3,FALSE)</f>
        <v>8264.9449999999997</v>
      </c>
    </row>
    <row r="794" spans="1:19">
      <c r="A794" s="192" t="s">
        <v>929</v>
      </c>
      <c r="B794" s="192">
        <v>1</v>
      </c>
      <c r="C794" s="192">
        <v>0</v>
      </c>
      <c r="D794" s="192" t="s">
        <v>65</v>
      </c>
      <c r="E794" s="192">
        <v>1</v>
      </c>
      <c r="F794" s="192">
        <v>1</v>
      </c>
      <c r="G794" s="192">
        <v>180878</v>
      </c>
      <c r="H794" s="192">
        <v>23392</v>
      </c>
      <c r="I794" s="192">
        <v>1</v>
      </c>
      <c r="J794" s="192">
        <v>1145</v>
      </c>
      <c r="K794" s="192" t="s">
        <v>925</v>
      </c>
      <c r="L794" s="192" t="s">
        <v>927</v>
      </c>
      <c r="M794" s="192" t="s">
        <v>923</v>
      </c>
      <c r="N794" s="192" t="s">
        <v>65</v>
      </c>
      <c r="O794" s="192" t="s">
        <v>65</v>
      </c>
      <c r="P794" s="192" t="s">
        <v>65</v>
      </c>
      <c r="Q794" s="192">
        <v>3.5000000149011612E-2</v>
      </c>
      <c r="R794" s="192">
        <v>4.5</v>
      </c>
      <c r="S794" s="192">
        <f>VLOOKUP($H794,'RBSA Weights'!$A$2:$C$1406,3,FALSE)</f>
        <v>1925.059</v>
      </c>
    </row>
    <row r="795" spans="1:19">
      <c r="A795" s="192" t="s">
        <v>929</v>
      </c>
      <c r="B795" s="192">
        <v>1</v>
      </c>
      <c r="C795" s="192">
        <v>0</v>
      </c>
      <c r="D795" s="192" t="s">
        <v>65</v>
      </c>
      <c r="E795" s="192">
        <v>1</v>
      </c>
      <c r="F795" s="192">
        <v>0</v>
      </c>
      <c r="G795" s="192">
        <v>101280</v>
      </c>
      <c r="H795" s="192">
        <v>23345</v>
      </c>
      <c r="I795" s="192">
        <v>1</v>
      </c>
      <c r="J795" s="192">
        <v>1500</v>
      </c>
      <c r="K795" s="192" t="s">
        <v>918</v>
      </c>
      <c r="L795" s="192" t="s">
        <v>927</v>
      </c>
      <c r="M795" s="192" t="s">
        <v>919</v>
      </c>
      <c r="N795" s="192" t="s">
        <v>65</v>
      </c>
      <c r="O795" s="192" t="s">
        <v>65</v>
      </c>
      <c r="P795" s="192" t="s">
        <v>948</v>
      </c>
      <c r="Q795" s="192">
        <v>3.5000000149011612E-2</v>
      </c>
      <c r="R795" s="192">
        <v>3.0999999046325684</v>
      </c>
      <c r="S795" s="192">
        <f>VLOOKUP($H795,'RBSA Weights'!$A$2:$C$1406,3,FALSE)</f>
        <v>2079.9929999999999</v>
      </c>
    </row>
    <row r="796" spans="1:19">
      <c r="A796" s="192" t="s">
        <v>929</v>
      </c>
      <c r="B796" s="192">
        <v>1</v>
      </c>
      <c r="C796" s="192">
        <v>0</v>
      </c>
      <c r="D796" s="192" t="s">
        <v>65</v>
      </c>
      <c r="E796" s="192">
        <v>1</v>
      </c>
      <c r="F796" s="192">
        <v>0</v>
      </c>
      <c r="G796" s="192">
        <v>675687</v>
      </c>
      <c r="H796" s="192">
        <v>22514</v>
      </c>
      <c r="I796" s="192">
        <v>1</v>
      </c>
      <c r="J796" s="192">
        <v>793</v>
      </c>
      <c r="K796" s="192" t="s">
        <v>925</v>
      </c>
      <c r="L796" s="192" t="s">
        <v>737</v>
      </c>
      <c r="M796" s="192" t="s">
        <v>919</v>
      </c>
      <c r="N796" s="192" t="s">
        <v>65</v>
      </c>
      <c r="O796" s="192" t="s">
        <v>65</v>
      </c>
      <c r="P796" s="192" t="s">
        <v>65</v>
      </c>
      <c r="Q796" s="192">
        <v>3.5000000149011612E-2</v>
      </c>
      <c r="R796" s="192">
        <v>3.0999999046325684</v>
      </c>
      <c r="S796" s="192">
        <f>VLOOKUP($H796,'RBSA Weights'!$A$2:$C$1406,3,FALSE)</f>
        <v>3785.7640000000001</v>
      </c>
    </row>
    <row r="797" spans="1:19">
      <c r="A797" s="192" t="s">
        <v>929</v>
      </c>
      <c r="B797" s="192">
        <v>1</v>
      </c>
      <c r="C797" s="192">
        <v>0</v>
      </c>
      <c r="D797" s="192" t="s">
        <v>65</v>
      </c>
      <c r="E797" s="192">
        <v>1</v>
      </c>
      <c r="F797" s="192">
        <v>0</v>
      </c>
      <c r="G797" s="192">
        <v>186618</v>
      </c>
      <c r="H797" s="192">
        <v>20825</v>
      </c>
      <c r="I797" s="192">
        <v>1</v>
      </c>
      <c r="J797" s="192">
        <v>1419</v>
      </c>
      <c r="K797" s="192" t="s">
        <v>918</v>
      </c>
      <c r="L797" s="192" t="s">
        <v>65</v>
      </c>
      <c r="M797" s="192" t="s">
        <v>919</v>
      </c>
      <c r="N797" s="192" t="s">
        <v>65</v>
      </c>
      <c r="O797" s="192" t="s">
        <v>65</v>
      </c>
      <c r="P797" s="192" t="s">
        <v>65</v>
      </c>
      <c r="Q797" s="192">
        <v>3.5000000149011612E-2</v>
      </c>
      <c r="R797" s="192">
        <v>3.0999999046325684</v>
      </c>
      <c r="S797" s="192">
        <f>VLOOKUP($H797,'RBSA Weights'!$A$2:$C$1406,3,FALSE)</f>
        <v>2079.9929999999999</v>
      </c>
    </row>
    <row r="798" spans="1:19">
      <c r="A798" s="192" t="s">
        <v>929</v>
      </c>
      <c r="B798" s="192">
        <v>1</v>
      </c>
      <c r="C798" s="192">
        <v>0</v>
      </c>
      <c r="D798" s="192" t="s">
        <v>65</v>
      </c>
      <c r="E798" s="192">
        <v>1</v>
      </c>
      <c r="F798" s="192">
        <v>1</v>
      </c>
      <c r="G798" s="192">
        <v>211948</v>
      </c>
      <c r="H798" s="192">
        <v>11794</v>
      </c>
      <c r="I798" s="192">
        <v>1</v>
      </c>
      <c r="J798" s="192">
        <v>700</v>
      </c>
      <c r="K798" s="192" t="s">
        <v>925</v>
      </c>
      <c r="L798" s="192" t="s">
        <v>737</v>
      </c>
      <c r="M798" s="192" t="s">
        <v>919</v>
      </c>
      <c r="N798" s="192" t="s">
        <v>65</v>
      </c>
      <c r="O798" s="192" t="s">
        <v>65</v>
      </c>
      <c r="P798" s="192" t="s">
        <v>65</v>
      </c>
      <c r="Q798" s="192">
        <v>3.5000000149011612E-2</v>
      </c>
      <c r="R798" s="192">
        <v>4.5</v>
      </c>
      <c r="S798" s="192">
        <f>VLOOKUP($H798,'RBSA Weights'!$A$2:$C$1406,3,FALSE)</f>
        <v>1464.694</v>
      </c>
    </row>
    <row r="799" spans="1:19">
      <c r="A799" s="192" t="s">
        <v>929</v>
      </c>
      <c r="B799" s="192">
        <v>1</v>
      </c>
      <c r="C799" s="192">
        <v>0</v>
      </c>
      <c r="D799" s="192" t="s">
        <v>65</v>
      </c>
      <c r="E799" s="192">
        <v>1</v>
      </c>
      <c r="F799" s="192">
        <v>1</v>
      </c>
      <c r="G799" s="192">
        <v>690065</v>
      </c>
      <c r="H799" s="192">
        <v>24310</v>
      </c>
      <c r="I799" s="192">
        <v>1</v>
      </c>
      <c r="J799" s="192">
        <v>1442</v>
      </c>
      <c r="K799" s="192" t="s">
        <v>925</v>
      </c>
      <c r="L799" s="192" t="s">
        <v>737</v>
      </c>
      <c r="M799" s="192" t="s">
        <v>919</v>
      </c>
      <c r="N799" s="192" t="s">
        <v>65</v>
      </c>
      <c r="O799" s="192" t="s">
        <v>65</v>
      </c>
      <c r="P799" s="192" t="s">
        <v>65</v>
      </c>
      <c r="Q799" s="192">
        <v>3.5000000149011612E-2</v>
      </c>
      <c r="R799" s="192">
        <v>4.5</v>
      </c>
      <c r="S799" s="192">
        <f>VLOOKUP($H799,'RBSA Weights'!$A$2:$C$1406,3,FALSE)</f>
        <v>1904.288</v>
      </c>
    </row>
    <row r="800" spans="1:19">
      <c r="A800" s="192" t="s">
        <v>929</v>
      </c>
      <c r="B800" s="192">
        <v>1</v>
      </c>
      <c r="C800" s="192">
        <v>0</v>
      </c>
      <c r="D800" s="192" t="s">
        <v>65</v>
      </c>
      <c r="E800" s="192">
        <v>1</v>
      </c>
      <c r="F800" s="192">
        <v>0</v>
      </c>
      <c r="G800" s="192">
        <v>175355</v>
      </c>
      <c r="H800" s="192">
        <v>21295</v>
      </c>
      <c r="I800" s="192">
        <v>1</v>
      </c>
      <c r="J800" s="192">
        <v>392</v>
      </c>
      <c r="K800" s="192" t="s">
        <v>925</v>
      </c>
      <c r="L800" s="192" t="s">
        <v>737</v>
      </c>
      <c r="M800" s="192" t="s">
        <v>919</v>
      </c>
      <c r="N800" s="192" t="s">
        <v>65</v>
      </c>
      <c r="O800" s="192" t="s">
        <v>65</v>
      </c>
      <c r="P800" s="192" t="s">
        <v>65</v>
      </c>
      <c r="Q800" s="192">
        <v>3.5000000149011612E-2</v>
      </c>
      <c r="R800" s="192">
        <v>3.0999999046325684</v>
      </c>
      <c r="S800" s="192">
        <f>VLOOKUP($H800,'RBSA Weights'!$A$2:$C$1406,3,FALSE)</f>
        <v>1612.692</v>
      </c>
    </row>
    <row r="801" spans="1:19">
      <c r="A801" s="192" t="s">
        <v>929</v>
      </c>
      <c r="B801" s="192">
        <v>1</v>
      </c>
      <c r="C801" s="192">
        <v>0</v>
      </c>
      <c r="D801" s="192" t="s">
        <v>65</v>
      </c>
      <c r="E801" s="192">
        <v>1</v>
      </c>
      <c r="F801" s="192">
        <v>0</v>
      </c>
      <c r="G801" s="192">
        <v>100507</v>
      </c>
      <c r="H801" s="192">
        <v>13315</v>
      </c>
      <c r="I801" s="192">
        <v>1</v>
      </c>
      <c r="J801" s="192">
        <v>910</v>
      </c>
      <c r="K801" s="192" t="s">
        <v>925</v>
      </c>
      <c r="L801" s="192" t="s">
        <v>737</v>
      </c>
      <c r="M801" s="192" t="s">
        <v>923</v>
      </c>
      <c r="N801" s="192" t="s">
        <v>65</v>
      </c>
      <c r="O801" s="192" t="s">
        <v>65</v>
      </c>
      <c r="P801" s="192" t="s">
        <v>926</v>
      </c>
      <c r="Q801" s="192">
        <v>3.5000000149011612E-2</v>
      </c>
      <c r="R801" s="192">
        <v>3.0999999046325684</v>
      </c>
      <c r="S801" s="192">
        <f>VLOOKUP($H801,'RBSA Weights'!$A$2:$C$1406,3,FALSE)</f>
        <v>4956.4930000000004</v>
      </c>
    </row>
    <row r="802" spans="1:19">
      <c r="A802" s="192" t="s">
        <v>929</v>
      </c>
      <c r="B802" s="192">
        <v>1</v>
      </c>
      <c r="C802" s="192">
        <v>0</v>
      </c>
      <c r="D802" s="192" t="s">
        <v>65</v>
      </c>
      <c r="E802" s="192">
        <v>1</v>
      </c>
      <c r="F802" s="192">
        <v>1</v>
      </c>
      <c r="G802" s="192">
        <v>194945</v>
      </c>
      <c r="H802" s="192">
        <v>21532</v>
      </c>
      <c r="I802" s="192">
        <v>1</v>
      </c>
      <c r="J802" s="192">
        <v>2820</v>
      </c>
      <c r="K802" s="192" t="s">
        <v>925</v>
      </c>
      <c r="L802" s="192" t="s">
        <v>930</v>
      </c>
      <c r="M802" s="192" t="s">
        <v>923</v>
      </c>
      <c r="N802" s="192" t="s">
        <v>65</v>
      </c>
      <c r="O802" s="192" t="s">
        <v>65</v>
      </c>
      <c r="P802" s="192" t="s">
        <v>65</v>
      </c>
      <c r="Q802" s="192">
        <v>3.5000000149011612E-2</v>
      </c>
      <c r="R802" s="192">
        <v>4.5</v>
      </c>
      <c r="S802" s="192">
        <f>VLOOKUP($H802,'RBSA Weights'!$A$2:$C$1406,3,FALSE)</f>
        <v>1925.059</v>
      </c>
    </row>
    <row r="803" spans="1:19">
      <c r="A803" s="192" t="s">
        <v>929</v>
      </c>
      <c r="B803" s="192">
        <v>1</v>
      </c>
      <c r="C803" s="192">
        <v>0</v>
      </c>
      <c r="D803" s="192" t="s">
        <v>65</v>
      </c>
      <c r="E803" s="192">
        <v>1</v>
      </c>
      <c r="F803" s="192">
        <v>0</v>
      </c>
      <c r="G803" s="192">
        <v>29934</v>
      </c>
      <c r="H803" s="192">
        <v>14457</v>
      </c>
      <c r="I803" s="192">
        <v>1</v>
      </c>
      <c r="J803" s="192">
        <v>1600</v>
      </c>
      <c r="K803" s="192" t="s">
        <v>918</v>
      </c>
      <c r="L803" s="192" t="s">
        <v>922</v>
      </c>
      <c r="M803" s="192" t="s">
        <v>919</v>
      </c>
      <c r="N803" s="192" t="s">
        <v>65</v>
      </c>
      <c r="O803" s="192" t="s">
        <v>65</v>
      </c>
      <c r="P803" s="192" t="s">
        <v>924</v>
      </c>
      <c r="Q803" s="192">
        <v>3.5000000149011612E-2</v>
      </c>
      <c r="R803" s="192">
        <v>3.0999999046325684</v>
      </c>
      <c r="S803" s="192">
        <f>VLOOKUP($H803,'RBSA Weights'!$A$2:$C$1406,3,FALSE)</f>
        <v>1150.8789999999999</v>
      </c>
    </row>
    <row r="804" spans="1:19">
      <c r="A804" s="192" t="s">
        <v>929</v>
      </c>
      <c r="B804" s="192">
        <v>1</v>
      </c>
      <c r="C804" s="192">
        <v>0</v>
      </c>
      <c r="D804" s="192" t="s">
        <v>65</v>
      </c>
      <c r="E804" s="192">
        <v>1</v>
      </c>
      <c r="F804" s="192">
        <v>0</v>
      </c>
      <c r="G804" s="192">
        <v>88875</v>
      </c>
      <c r="H804" s="192">
        <v>11753</v>
      </c>
      <c r="I804" s="192">
        <v>1</v>
      </c>
      <c r="J804" s="192">
        <v>1420</v>
      </c>
      <c r="K804" s="192" t="s">
        <v>925</v>
      </c>
      <c r="L804" s="192" t="s">
        <v>737</v>
      </c>
      <c r="M804" s="192" t="s">
        <v>919</v>
      </c>
      <c r="N804" s="192" t="s">
        <v>65</v>
      </c>
      <c r="O804" s="192" t="s">
        <v>65</v>
      </c>
      <c r="P804" s="192" t="s">
        <v>926</v>
      </c>
      <c r="Q804" s="192">
        <v>3.5000000149011612E-2</v>
      </c>
      <c r="R804" s="192">
        <v>3.0999999046325684</v>
      </c>
      <c r="S804" s="192">
        <f>VLOOKUP($H804,'RBSA Weights'!$A$2:$C$1406,3,FALSE)</f>
        <v>2003.7159999999999</v>
      </c>
    </row>
    <row r="805" spans="1:19">
      <c r="A805" s="192" t="s">
        <v>929</v>
      </c>
      <c r="B805" s="192">
        <v>1</v>
      </c>
      <c r="C805" s="192">
        <v>0</v>
      </c>
      <c r="D805" s="192" t="s">
        <v>65</v>
      </c>
      <c r="E805" s="192">
        <v>1</v>
      </c>
      <c r="F805" s="192">
        <v>0</v>
      </c>
      <c r="G805" s="192">
        <v>189677</v>
      </c>
      <c r="H805" s="192">
        <v>20968</v>
      </c>
      <c r="I805" s="192">
        <v>1</v>
      </c>
      <c r="J805" s="192">
        <v>1900</v>
      </c>
      <c r="K805" s="192" t="s">
        <v>925</v>
      </c>
      <c r="L805" s="192" t="s">
        <v>930</v>
      </c>
      <c r="M805" s="192" t="s">
        <v>923</v>
      </c>
      <c r="N805" s="192" t="s">
        <v>65</v>
      </c>
      <c r="O805" s="192" t="s">
        <v>65</v>
      </c>
      <c r="P805" s="192" t="s">
        <v>65</v>
      </c>
      <c r="Q805" s="192">
        <v>3.5000000149011612E-2</v>
      </c>
      <c r="R805" s="192">
        <v>3.0999999046325684</v>
      </c>
      <c r="S805" s="192">
        <f>VLOOKUP($H805,'RBSA Weights'!$A$2:$C$1406,3,FALSE)</f>
        <v>1612.692</v>
      </c>
    </row>
    <row r="806" spans="1:19">
      <c r="A806" s="192" t="s">
        <v>929</v>
      </c>
      <c r="B806" s="192">
        <v>1</v>
      </c>
      <c r="C806" s="192">
        <v>0</v>
      </c>
      <c r="D806" s="192" t="s">
        <v>65</v>
      </c>
      <c r="E806" s="192">
        <v>1</v>
      </c>
      <c r="F806" s="192">
        <v>0</v>
      </c>
      <c r="G806" s="192">
        <v>657944</v>
      </c>
      <c r="H806" s="192">
        <v>11780</v>
      </c>
      <c r="I806" s="192">
        <v>1</v>
      </c>
      <c r="J806" s="192">
        <v>1600</v>
      </c>
      <c r="K806" s="192" t="s">
        <v>925</v>
      </c>
      <c r="L806" s="192" t="s">
        <v>737</v>
      </c>
      <c r="M806" s="192" t="s">
        <v>919</v>
      </c>
      <c r="N806" s="192" t="s">
        <v>65</v>
      </c>
      <c r="O806" s="192" t="s">
        <v>65</v>
      </c>
      <c r="P806" s="192" t="s">
        <v>65</v>
      </c>
      <c r="Q806" s="192">
        <v>3.5000000149011612E-2</v>
      </c>
      <c r="R806" s="192">
        <v>3.0999999046325684</v>
      </c>
      <c r="S806" s="192">
        <f>VLOOKUP($H806,'RBSA Weights'!$A$2:$C$1406,3,FALSE)</f>
        <v>1150.8789999999999</v>
      </c>
    </row>
    <row r="807" spans="1:19">
      <c r="A807" s="192" t="s">
        <v>929</v>
      </c>
      <c r="B807" s="192">
        <v>1</v>
      </c>
      <c r="C807" s="192">
        <v>0</v>
      </c>
      <c r="D807" s="192" t="s">
        <v>65</v>
      </c>
      <c r="E807" s="192">
        <v>1</v>
      </c>
      <c r="F807" s="192">
        <v>0</v>
      </c>
      <c r="G807" s="192">
        <v>685699</v>
      </c>
      <c r="H807" s="192">
        <v>14560</v>
      </c>
      <c r="I807" s="192">
        <v>1</v>
      </c>
      <c r="J807" s="192">
        <v>971</v>
      </c>
      <c r="K807" s="192" t="s">
        <v>918</v>
      </c>
      <c r="L807" s="192" t="s">
        <v>65</v>
      </c>
      <c r="M807" s="192" t="s">
        <v>919</v>
      </c>
      <c r="N807" s="192" t="s">
        <v>65</v>
      </c>
      <c r="O807" s="192" t="s">
        <v>65</v>
      </c>
      <c r="P807" s="192" t="s">
        <v>65</v>
      </c>
      <c r="Q807" s="192">
        <v>3.5000000149011612E-2</v>
      </c>
      <c r="R807" s="192">
        <v>3.0999999046325684</v>
      </c>
      <c r="S807" s="192">
        <f>VLOOKUP($H807,'RBSA Weights'!$A$2:$C$1406,3,FALSE)</f>
        <v>6932.7380000000003</v>
      </c>
    </row>
    <row r="808" spans="1:19">
      <c r="A808" s="192" t="s">
        <v>929</v>
      </c>
      <c r="B808" s="192">
        <v>1</v>
      </c>
      <c r="C808" s="192">
        <v>0</v>
      </c>
      <c r="D808" s="192" t="s">
        <v>65</v>
      </c>
      <c r="E808" s="192">
        <v>1</v>
      </c>
      <c r="F808" s="192">
        <v>0</v>
      </c>
      <c r="G808" s="192">
        <v>76847</v>
      </c>
      <c r="H808" s="192">
        <v>22493</v>
      </c>
      <c r="I808" s="192">
        <v>1</v>
      </c>
      <c r="J808" s="192">
        <v>624</v>
      </c>
      <c r="K808" s="192" t="s">
        <v>918</v>
      </c>
      <c r="L808" s="192" t="s">
        <v>737</v>
      </c>
      <c r="M808" s="192" t="s">
        <v>919</v>
      </c>
      <c r="N808" s="192" t="s">
        <v>65</v>
      </c>
      <c r="O808" s="192" t="s">
        <v>65</v>
      </c>
      <c r="P808" s="192" t="s">
        <v>943</v>
      </c>
      <c r="Q808" s="192">
        <v>3.5000000149011612E-2</v>
      </c>
      <c r="R808" s="192">
        <v>3.0999999046325684</v>
      </c>
      <c r="S808" s="192">
        <f>VLOOKUP($H808,'RBSA Weights'!$A$2:$C$1406,3,FALSE)</f>
        <v>1925.059</v>
      </c>
    </row>
    <row r="809" spans="1:19">
      <c r="A809" s="192" t="s">
        <v>929</v>
      </c>
      <c r="B809" s="192">
        <v>1</v>
      </c>
      <c r="C809" s="192">
        <v>0</v>
      </c>
      <c r="D809" s="192" t="s">
        <v>65</v>
      </c>
      <c r="E809" s="192">
        <v>1</v>
      </c>
      <c r="F809" s="192">
        <v>0</v>
      </c>
      <c r="G809" s="192">
        <v>46575</v>
      </c>
      <c r="H809" s="192">
        <v>20920</v>
      </c>
      <c r="I809" s="192">
        <v>1</v>
      </c>
      <c r="J809" s="192">
        <v>1410</v>
      </c>
      <c r="K809" s="192" t="s">
        <v>925</v>
      </c>
      <c r="L809" s="192" t="s">
        <v>737</v>
      </c>
      <c r="M809" s="192" t="s">
        <v>919</v>
      </c>
      <c r="N809" s="192" t="s">
        <v>65</v>
      </c>
      <c r="O809" s="192" t="s">
        <v>65</v>
      </c>
      <c r="P809" s="192" t="s">
        <v>926</v>
      </c>
      <c r="Q809" s="192">
        <v>3.5000000149011612E-2</v>
      </c>
      <c r="R809" s="192">
        <v>3.0999999046325684</v>
      </c>
      <c r="S809" s="192">
        <f>VLOOKUP($H809,'RBSA Weights'!$A$2:$C$1406,3,FALSE)</f>
        <v>2079.9929999999999</v>
      </c>
    </row>
    <row r="810" spans="1:19">
      <c r="A810" s="192" t="s">
        <v>929</v>
      </c>
      <c r="B810" s="192">
        <v>1</v>
      </c>
      <c r="C810" s="192">
        <v>0</v>
      </c>
      <c r="D810" s="192" t="s">
        <v>65</v>
      </c>
      <c r="E810" s="192">
        <v>1</v>
      </c>
      <c r="F810" s="192">
        <v>0</v>
      </c>
      <c r="G810" s="192">
        <v>142715</v>
      </c>
      <c r="H810" s="192">
        <v>20168</v>
      </c>
      <c r="I810" s="192">
        <v>1</v>
      </c>
      <c r="J810" s="192">
        <v>1715</v>
      </c>
      <c r="K810" s="192" t="s">
        <v>925</v>
      </c>
      <c r="L810" s="192" t="s">
        <v>737</v>
      </c>
      <c r="M810" s="192" t="s">
        <v>923</v>
      </c>
      <c r="N810" s="192" t="s">
        <v>65</v>
      </c>
      <c r="O810" s="192" t="s">
        <v>65</v>
      </c>
      <c r="P810" s="192" t="s">
        <v>65</v>
      </c>
      <c r="Q810" s="192">
        <v>3.5000000149011612E-2</v>
      </c>
      <c r="R810" s="192">
        <v>3.0999999046325684</v>
      </c>
      <c r="S810" s="192">
        <f>VLOOKUP($H810,'RBSA Weights'!$A$2:$C$1406,3,FALSE)</f>
        <v>1612.692</v>
      </c>
    </row>
    <row r="811" spans="1:19">
      <c r="A811" s="192" t="s">
        <v>929</v>
      </c>
      <c r="B811" s="192">
        <v>1</v>
      </c>
      <c r="C811" s="192">
        <v>0</v>
      </c>
      <c r="D811" s="192" t="s">
        <v>65</v>
      </c>
      <c r="E811" s="192">
        <v>1</v>
      </c>
      <c r="F811" s="192">
        <v>0</v>
      </c>
      <c r="G811" s="192">
        <v>57812</v>
      </c>
      <c r="H811" s="192">
        <v>24488</v>
      </c>
      <c r="I811" s="192">
        <v>1</v>
      </c>
      <c r="J811" s="192">
        <v>2035</v>
      </c>
      <c r="K811" s="192" t="s">
        <v>925</v>
      </c>
      <c r="L811" s="192" t="s">
        <v>927</v>
      </c>
      <c r="M811" s="192" t="s">
        <v>919</v>
      </c>
      <c r="N811" s="192" t="s">
        <v>65</v>
      </c>
      <c r="O811" s="192" t="s">
        <v>65</v>
      </c>
      <c r="P811" s="192" t="s">
        <v>926</v>
      </c>
      <c r="Q811" s="192">
        <v>3.5000000149011612E-2</v>
      </c>
      <c r="R811" s="192">
        <v>3.0999999046325684</v>
      </c>
      <c r="S811" s="192">
        <f>VLOOKUP($H811,'RBSA Weights'!$A$2:$C$1406,3,FALSE)</f>
        <v>2079.9929999999999</v>
      </c>
    </row>
    <row r="812" spans="1:19">
      <c r="A812" s="192" t="s">
        <v>929</v>
      </c>
      <c r="B812" s="192">
        <v>1</v>
      </c>
      <c r="C812" s="192">
        <v>0</v>
      </c>
      <c r="D812" s="192" t="s">
        <v>65</v>
      </c>
      <c r="E812" s="192">
        <v>1</v>
      </c>
      <c r="F812" s="192">
        <v>0</v>
      </c>
      <c r="G812" s="192">
        <v>98078</v>
      </c>
      <c r="H812" s="192">
        <v>22890</v>
      </c>
      <c r="I812" s="192">
        <v>1</v>
      </c>
      <c r="J812" s="192">
        <v>440</v>
      </c>
      <c r="K812" s="192" t="s">
        <v>925</v>
      </c>
      <c r="L812" s="192" t="s">
        <v>737</v>
      </c>
      <c r="M812" s="192" t="s">
        <v>919</v>
      </c>
      <c r="N812" s="192" t="s">
        <v>65</v>
      </c>
      <c r="O812" s="192" t="s">
        <v>65</v>
      </c>
      <c r="P812" s="192" t="s">
        <v>926</v>
      </c>
      <c r="Q812" s="192">
        <v>3.5000000149011612E-2</v>
      </c>
      <c r="R812" s="192">
        <v>3.0999999046325684</v>
      </c>
      <c r="S812" s="192">
        <f>VLOOKUP($H812,'RBSA Weights'!$A$2:$C$1406,3,FALSE)</f>
        <v>1904.288</v>
      </c>
    </row>
    <row r="813" spans="1:19">
      <c r="A813" s="192" t="s">
        <v>929</v>
      </c>
      <c r="B813" s="192">
        <v>1</v>
      </c>
      <c r="C813" s="192">
        <v>0</v>
      </c>
      <c r="D813" s="192" t="s">
        <v>65</v>
      </c>
      <c r="E813" s="192">
        <v>1</v>
      </c>
      <c r="F813" s="192">
        <v>0</v>
      </c>
      <c r="G813" s="192">
        <v>38124</v>
      </c>
      <c r="H813" s="192">
        <v>11802</v>
      </c>
      <c r="I813" s="192">
        <v>1</v>
      </c>
      <c r="J813" s="192">
        <v>1020</v>
      </c>
      <c r="K813" s="192" t="s">
        <v>918</v>
      </c>
      <c r="L813" s="192" t="s">
        <v>737</v>
      </c>
      <c r="M813" s="192" t="s">
        <v>919</v>
      </c>
      <c r="N813" s="192" t="s">
        <v>65</v>
      </c>
      <c r="O813" s="192" t="s">
        <v>65</v>
      </c>
      <c r="P813" s="192" t="s">
        <v>926</v>
      </c>
      <c r="Q813" s="192">
        <v>3.5000000149011612E-2</v>
      </c>
      <c r="R813" s="192">
        <v>3.0999999046325684</v>
      </c>
      <c r="S813" s="192">
        <f>VLOOKUP($H813,'RBSA Weights'!$A$2:$C$1406,3,FALSE)</f>
        <v>1188.027</v>
      </c>
    </row>
    <row r="814" spans="1:19">
      <c r="A814" s="192" t="s">
        <v>929</v>
      </c>
      <c r="B814" s="192">
        <v>1</v>
      </c>
      <c r="C814" s="192">
        <v>0</v>
      </c>
      <c r="D814" s="192" t="s">
        <v>65</v>
      </c>
      <c r="E814" s="192">
        <v>1</v>
      </c>
      <c r="F814" s="192">
        <v>1</v>
      </c>
      <c r="G814" s="192">
        <v>38470</v>
      </c>
      <c r="H814" s="192">
        <v>10352</v>
      </c>
      <c r="I814" s="192">
        <v>1</v>
      </c>
      <c r="J814" s="192">
        <v>1500</v>
      </c>
      <c r="K814" s="192" t="s">
        <v>918</v>
      </c>
      <c r="L814" s="192" t="s">
        <v>737</v>
      </c>
      <c r="M814" s="192" t="s">
        <v>919</v>
      </c>
      <c r="N814" s="192" t="s">
        <v>65</v>
      </c>
      <c r="O814" s="192" t="s">
        <v>65</v>
      </c>
      <c r="P814" s="192" t="s">
        <v>926</v>
      </c>
      <c r="Q814" s="192">
        <v>3.5000000149011612E-2</v>
      </c>
      <c r="R814" s="192">
        <v>4.5</v>
      </c>
      <c r="S814" s="192">
        <f>VLOOKUP($H814,'RBSA Weights'!$A$2:$C$1406,3,FALSE)</f>
        <v>1188.027</v>
      </c>
    </row>
    <row r="815" spans="1:19">
      <c r="A815" s="192" t="s">
        <v>929</v>
      </c>
      <c r="B815" s="192">
        <v>1</v>
      </c>
      <c r="C815" s="192">
        <v>0</v>
      </c>
      <c r="D815" s="192" t="s">
        <v>65</v>
      </c>
      <c r="E815" s="192">
        <v>1</v>
      </c>
      <c r="F815" s="192">
        <v>0</v>
      </c>
      <c r="G815" s="192">
        <v>76221</v>
      </c>
      <c r="H815" s="192">
        <v>21294</v>
      </c>
      <c r="I815" s="192">
        <v>1</v>
      </c>
      <c r="J815" s="192">
        <v>2600</v>
      </c>
      <c r="K815" s="192" t="s">
        <v>925</v>
      </c>
      <c r="L815" s="192" t="s">
        <v>737</v>
      </c>
      <c r="M815" s="192" t="s">
        <v>919</v>
      </c>
      <c r="N815" s="192" t="s">
        <v>65</v>
      </c>
      <c r="O815" s="192" t="s">
        <v>65</v>
      </c>
      <c r="P815" s="192" t="s">
        <v>926</v>
      </c>
      <c r="Q815" s="192">
        <v>3.5000000149011612E-2</v>
      </c>
      <c r="R815" s="192">
        <v>3.0999999046325684</v>
      </c>
      <c r="S815" s="192">
        <f>VLOOKUP($H815,'RBSA Weights'!$A$2:$C$1406,3,FALSE)</f>
        <v>2079.9929999999999</v>
      </c>
    </row>
    <row r="816" spans="1:19">
      <c r="A816" s="192" t="s">
        <v>929</v>
      </c>
      <c r="B816" s="192">
        <v>1</v>
      </c>
      <c r="C816" s="192">
        <v>1</v>
      </c>
      <c r="D816" s="192" t="s">
        <v>941</v>
      </c>
      <c r="E816" s="192">
        <v>1</v>
      </c>
      <c r="F816" s="192">
        <v>0</v>
      </c>
      <c r="G816" s="192">
        <v>91819</v>
      </c>
      <c r="H816" s="192">
        <v>23192</v>
      </c>
      <c r="I816" s="192">
        <v>1</v>
      </c>
      <c r="J816" s="192">
        <v>1348</v>
      </c>
      <c r="K816" s="192" t="s">
        <v>925</v>
      </c>
      <c r="L816" s="192" t="s">
        <v>737</v>
      </c>
      <c r="M816" s="192" t="s">
        <v>919</v>
      </c>
      <c r="N816" s="192" t="s">
        <v>948</v>
      </c>
      <c r="O816" s="192" t="s">
        <v>65</v>
      </c>
      <c r="P816" s="192" t="s">
        <v>926</v>
      </c>
      <c r="Q816" s="192">
        <v>3.5000000149011612E-2</v>
      </c>
      <c r="R816" s="192">
        <v>3.9000000953674316</v>
      </c>
      <c r="S816" s="192">
        <f>VLOOKUP($H816,'RBSA Weights'!$A$2:$C$1406,3,FALSE)</f>
        <v>1904.288</v>
      </c>
    </row>
    <row r="817" spans="1:19">
      <c r="A817" s="192" t="s">
        <v>929</v>
      </c>
      <c r="B817" s="192">
        <v>1</v>
      </c>
      <c r="C817" s="192">
        <v>0</v>
      </c>
      <c r="D817" s="192" t="s">
        <v>65</v>
      </c>
      <c r="E817" s="192">
        <v>1</v>
      </c>
      <c r="F817" s="192">
        <v>1</v>
      </c>
      <c r="G817" s="192">
        <v>681879</v>
      </c>
      <c r="H817" s="192">
        <v>20311</v>
      </c>
      <c r="I817" s="192">
        <v>1</v>
      </c>
      <c r="J817" s="192">
        <v>1279</v>
      </c>
      <c r="K817" s="192" t="s">
        <v>925</v>
      </c>
      <c r="L817" s="192" t="s">
        <v>737</v>
      </c>
      <c r="M817" s="192" t="s">
        <v>919</v>
      </c>
      <c r="N817" s="192" t="s">
        <v>65</v>
      </c>
      <c r="O817" s="192" t="s">
        <v>65</v>
      </c>
      <c r="P817" s="192" t="s">
        <v>65</v>
      </c>
      <c r="Q817" s="192">
        <v>3.5000000149011612E-2</v>
      </c>
      <c r="R817" s="192">
        <v>4.5</v>
      </c>
      <c r="S817" s="192">
        <f>VLOOKUP($H817,'RBSA Weights'!$A$2:$C$1406,3,FALSE)</f>
        <v>1612.692</v>
      </c>
    </row>
    <row r="818" spans="1:19">
      <c r="A818" s="192" t="s">
        <v>929</v>
      </c>
      <c r="B818" s="192">
        <v>1</v>
      </c>
      <c r="C818" s="192">
        <v>0</v>
      </c>
      <c r="D818" s="192" t="s">
        <v>65</v>
      </c>
      <c r="E818" s="192">
        <v>1</v>
      </c>
      <c r="F818" s="192">
        <v>0</v>
      </c>
      <c r="G818" s="192">
        <v>123072</v>
      </c>
      <c r="H818" s="192">
        <v>12656</v>
      </c>
      <c r="I818" s="192">
        <v>1</v>
      </c>
      <c r="J818" s="192">
        <v>864</v>
      </c>
      <c r="K818" s="192" t="s">
        <v>925</v>
      </c>
      <c r="L818" s="192" t="s">
        <v>737</v>
      </c>
      <c r="M818" s="192" t="s">
        <v>919</v>
      </c>
      <c r="N818" s="192" t="s">
        <v>65</v>
      </c>
      <c r="O818" s="192" t="s">
        <v>65</v>
      </c>
      <c r="P818" s="192" t="s">
        <v>926</v>
      </c>
      <c r="Q818" s="192">
        <v>3.5000000149011612E-2</v>
      </c>
      <c r="R818" s="192">
        <v>3.0999999046325684</v>
      </c>
      <c r="S818" s="192">
        <f>VLOOKUP($H818,'RBSA Weights'!$A$2:$C$1406,3,FALSE)</f>
        <v>2003.7159999999999</v>
      </c>
    </row>
    <row r="819" spans="1:19">
      <c r="A819" s="192" t="s">
        <v>929</v>
      </c>
      <c r="B819" s="192">
        <v>1</v>
      </c>
      <c r="C819" s="192">
        <v>1</v>
      </c>
      <c r="D819" s="192" t="s">
        <v>941</v>
      </c>
      <c r="E819" s="192">
        <v>0</v>
      </c>
      <c r="G819" s="192">
        <v>204457</v>
      </c>
      <c r="H819" s="192">
        <v>14329</v>
      </c>
      <c r="I819" s="192">
        <v>1</v>
      </c>
      <c r="J819" s="192">
        <v>1953</v>
      </c>
      <c r="K819" s="192" t="s">
        <v>918</v>
      </c>
      <c r="L819" s="192" t="s">
        <v>65</v>
      </c>
      <c r="M819" s="192" t="s">
        <v>919</v>
      </c>
      <c r="N819" s="192" t="s">
        <v>65</v>
      </c>
      <c r="O819" s="192" t="s">
        <v>65</v>
      </c>
      <c r="P819" s="192" t="s">
        <v>65</v>
      </c>
      <c r="Q819" s="192">
        <v>3.5000000149011612E-2</v>
      </c>
      <c r="R819" s="192">
        <v>9.1000003814697266</v>
      </c>
      <c r="S819" s="192">
        <f>VLOOKUP($H819,'RBSA Weights'!$A$2:$C$1406,3,FALSE)</f>
        <v>6932.7380000000003</v>
      </c>
    </row>
    <row r="820" spans="1:19">
      <c r="A820" s="192" t="s">
        <v>929</v>
      </c>
      <c r="B820" s="192">
        <v>1</v>
      </c>
      <c r="C820" s="192">
        <v>0</v>
      </c>
      <c r="D820" s="192" t="s">
        <v>65</v>
      </c>
      <c r="E820" s="192">
        <v>0</v>
      </c>
      <c r="F820" s="192">
        <v>0</v>
      </c>
      <c r="G820" s="192">
        <v>84545</v>
      </c>
      <c r="H820" s="192">
        <v>13752</v>
      </c>
      <c r="I820" s="192">
        <v>1</v>
      </c>
      <c r="J820" s="192">
        <v>980</v>
      </c>
      <c r="K820" s="192" t="s">
        <v>925</v>
      </c>
      <c r="L820" s="192" t="s">
        <v>737</v>
      </c>
      <c r="M820" s="192" t="s">
        <v>919</v>
      </c>
      <c r="N820" s="192" t="s">
        <v>65</v>
      </c>
      <c r="O820" s="192" t="s">
        <v>65</v>
      </c>
      <c r="P820" s="192" t="s">
        <v>926</v>
      </c>
      <c r="Q820" s="192">
        <v>3.5000000149011612E-2</v>
      </c>
      <c r="R820" s="192">
        <v>5</v>
      </c>
      <c r="S820" s="192">
        <f>VLOOKUP($H820,'RBSA Weights'!$A$2:$C$1406,3,FALSE)</f>
        <v>2003.7159999999999</v>
      </c>
    </row>
    <row r="821" spans="1:19">
      <c r="A821" s="192" t="s">
        <v>929</v>
      </c>
      <c r="B821" s="192">
        <v>1</v>
      </c>
      <c r="C821" s="192">
        <v>0</v>
      </c>
      <c r="D821" s="192" t="s">
        <v>65</v>
      </c>
      <c r="E821" s="192">
        <v>1</v>
      </c>
      <c r="F821" s="192">
        <v>0</v>
      </c>
      <c r="G821" s="192">
        <v>104754</v>
      </c>
      <c r="H821" s="192">
        <v>12992</v>
      </c>
      <c r="I821" s="192">
        <v>1</v>
      </c>
      <c r="J821" s="192">
        <v>765</v>
      </c>
      <c r="K821" s="192" t="s">
        <v>925</v>
      </c>
      <c r="L821" s="192" t="s">
        <v>927</v>
      </c>
      <c r="M821" s="192" t="s">
        <v>919</v>
      </c>
      <c r="N821" s="192" t="s">
        <v>65</v>
      </c>
      <c r="O821" s="192" t="s">
        <v>65</v>
      </c>
      <c r="P821" s="192" t="s">
        <v>926</v>
      </c>
      <c r="Q821" s="192">
        <v>3.5000000149011612E-2</v>
      </c>
      <c r="R821" s="192">
        <v>3.0999999046325684</v>
      </c>
      <c r="S821" s="192">
        <f>VLOOKUP($H821,'RBSA Weights'!$A$2:$C$1406,3,FALSE)</f>
        <v>4956.4930000000004</v>
      </c>
    </row>
    <row r="822" spans="1:19">
      <c r="A822" s="192" t="s">
        <v>929</v>
      </c>
      <c r="B822" s="192">
        <v>1</v>
      </c>
      <c r="C822" s="192">
        <v>0</v>
      </c>
      <c r="D822" s="192" t="s">
        <v>65</v>
      </c>
      <c r="E822" s="192">
        <v>1</v>
      </c>
      <c r="F822" s="192">
        <v>1</v>
      </c>
      <c r="G822" s="192">
        <v>194766</v>
      </c>
      <c r="H822" s="192">
        <v>21219</v>
      </c>
      <c r="I822" s="192">
        <v>1</v>
      </c>
      <c r="J822" s="192">
        <v>624</v>
      </c>
      <c r="K822" s="192" t="s">
        <v>918</v>
      </c>
      <c r="L822" s="192" t="s">
        <v>65</v>
      </c>
      <c r="M822" s="192" t="s">
        <v>919</v>
      </c>
      <c r="N822" s="192" t="s">
        <v>65</v>
      </c>
      <c r="O822" s="192" t="s">
        <v>65</v>
      </c>
      <c r="P822" s="192" t="s">
        <v>65</v>
      </c>
      <c r="Q822" s="192">
        <v>3.5000000149011612E-2</v>
      </c>
      <c r="R822" s="192">
        <v>4.5</v>
      </c>
      <c r="S822" s="192">
        <f>VLOOKUP($H822,'RBSA Weights'!$A$2:$C$1406,3,FALSE)</f>
        <v>8559.1039999999994</v>
      </c>
    </row>
    <row r="823" spans="1:19">
      <c r="A823" s="192" t="s">
        <v>929</v>
      </c>
      <c r="B823" s="192">
        <v>1</v>
      </c>
      <c r="C823" s="192">
        <v>0</v>
      </c>
      <c r="D823" s="192" t="s">
        <v>65</v>
      </c>
      <c r="E823" s="192">
        <v>1</v>
      </c>
      <c r="F823" s="192">
        <v>0</v>
      </c>
      <c r="G823" s="192">
        <v>102910</v>
      </c>
      <c r="H823" s="192">
        <v>21320</v>
      </c>
      <c r="I823" s="192">
        <v>1</v>
      </c>
      <c r="J823" s="192">
        <v>1449</v>
      </c>
      <c r="K823" s="192" t="s">
        <v>925</v>
      </c>
      <c r="L823" s="192" t="s">
        <v>737</v>
      </c>
      <c r="M823" s="192" t="s">
        <v>923</v>
      </c>
      <c r="N823" s="192" t="s">
        <v>65</v>
      </c>
      <c r="O823" s="192" t="s">
        <v>65</v>
      </c>
      <c r="P823" s="192" t="s">
        <v>926</v>
      </c>
      <c r="Q823" s="192">
        <v>3.5000000149011612E-2</v>
      </c>
      <c r="R823" s="192">
        <v>3.0999999046325684</v>
      </c>
      <c r="S823" s="192">
        <f>VLOOKUP($H823,'RBSA Weights'!$A$2:$C$1406,3,FALSE)</f>
        <v>2079.9929999999999</v>
      </c>
    </row>
    <row r="824" spans="1:19">
      <c r="A824" s="192" t="s">
        <v>929</v>
      </c>
      <c r="B824" s="192">
        <v>1</v>
      </c>
      <c r="C824" s="192">
        <v>0</v>
      </c>
      <c r="D824" s="192" t="s">
        <v>65</v>
      </c>
      <c r="E824" s="192">
        <v>1</v>
      </c>
      <c r="F824" s="192">
        <v>0</v>
      </c>
      <c r="G824" s="192">
        <v>150144</v>
      </c>
      <c r="H824" s="192">
        <v>21486</v>
      </c>
      <c r="I824" s="192">
        <v>1</v>
      </c>
      <c r="J824" s="192">
        <v>1225</v>
      </c>
      <c r="K824" s="192" t="s">
        <v>918</v>
      </c>
      <c r="L824" s="192" t="s">
        <v>65</v>
      </c>
      <c r="M824" s="192" t="s">
        <v>919</v>
      </c>
      <c r="N824" s="192" t="s">
        <v>65</v>
      </c>
      <c r="O824" s="192" t="s">
        <v>65</v>
      </c>
      <c r="P824" s="192" t="s">
        <v>65</v>
      </c>
      <c r="Q824" s="192">
        <v>3.5000000149011612E-2</v>
      </c>
      <c r="R824" s="192">
        <v>3.0999999046325684</v>
      </c>
      <c r="S824" s="192">
        <f>VLOOKUP($H824,'RBSA Weights'!$A$2:$C$1406,3,FALSE)</f>
        <v>1612.692</v>
      </c>
    </row>
    <row r="825" spans="1:19">
      <c r="A825" s="192" t="s">
        <v>929</v>
      </c>
      <c r="B825" s="192">
        <v>1</v>
      </c>
      <c r="C825" s="192">
        <v>0</v>
      </c>
      <c r="D825" s="192" t="s">
        <v>65</v>
      </c>
      <c r="E825" s="192">
        <v>1</v>
      </c>
      <c r="F825" s="192">
        <v>0</v>
      </c>
      <c r="G825" s="192">
        <v>211273</v>
      </c>
      <c r="H825" s="192">
        <v>21483</v>
      </c>
      <c r="I825" s="192">
        <v>1</v>
      </c>
      <c r="J825" s="192">
        <v>1836</v>
      </c>
      <c r="K825" s="192" t="s">
        <v>918</v>
      </c>
      <c r="L825" s="192" t="s">
        <v>65</v>
      </c>
      <c r="M825" s="192" t="s">
        <v>919</v>
      </c>
      <c r="N825" s="192" t="s">
        <v>65</v>
      </c>
      <c r="O825" s="192" t="s">
        <v>65</v>
      </c>
      <c r="P825" s="192" t="s">
        <v>65</v>
      </c>
      <c r="Q825" s="192">
        <v>3.5000000149011612E-2</v>
      </c>
      <c r="R825" s="192">
        <v>3.0999999046325684</v>
      </c>
      <c r="S825" s="192">
        <f>VLOOKUP($H825,'RBSA Weights'!$A$2:$C$1406,3,FALSE)</f>
        <v>1904.288</v>
      </c>
    </row>
    <row r="826" spans="1:19">
      <c r="A826" s="192" t="s">
        <v>929</v>
      </c>
      <c r="B826" s="192">
        <v>1</v>
      </c>
      <c r="C826" s="192">
        <v>0</v>
      </c>
      <c r="D826" s="192" t="s">
        <v>65</v>
      </c>
      <c r="E826" s="192">
        <v>1</v>
      </c>
      <c r="F826" s="192">
        <v>0</v>
      </c>
      <c r="G826" s="192">
        <v>189487</v>
      </c>
      <c r="H826" s="192">
        <v>22880</v>
      </c>
      <c r="I826" s="192">
        <v>1</v>
      </c>
      <c r="J826" s="192">
        <v>596</v>
      </c>
      <c r="K826" s="192" t="s">
        <v>918</v>
      </c>
      <c r="L826" s="192" t="s">
        <v>65</v>
      </c>
      <c r="M826" s="192" t="s">
        <v>923</v>
      </c>
      <c r="N826" s="192" t="s">
        <v>65</v>
      </c>
      <c r="O826" s="192" t="s">
        <v>65</v>
      </c>
      <c r="P826" s="192" t="s">
        <v>65</v>
      </c>
      <c r="Q826" s="192">
        <v>3.5000000149011612E-2</v>
      </c>
      <c r="R826" s="192">
        <v>3.0999999046325684</v>
      </c>
      <c r="S826" s="192">
        <f>VLOOKUP($H826,'RBSA Weights'!$A$2:$C$1406,3,FALSE)</f>
        <v>1612.692</v>
      </c>
    </row>
    <row r="827" spans="1:19">
      <c r="A827" s="192" t="s">
        <v>929</v>
      </c>
      <c r="B827" s="192">
        <v>1</v>
      </c>
      <c r="C827" s="192">
        <v>0</v>
      </c>
      <c r="D827" s="192" t="s">
        <v>65</v>
      </c>
      <c r="E827" s="192">
        <v>1</v>
      </c>
      <c r="F827" s="192">
        <v>0</v>
      </c>
      <c r="G827" s="192">
        <v>680487</v>
      </c>
      <c r="H827" s="192">
        <v>13248</v>
      </c>
      <c r="I827" s="192">
        <v>1</v>
      </c>
      <c r="J827" s="192">
        <v>1112</v>
      </c>
      <c r="K827" s="192" t="s">
        <v>925</v>
      </c>
      <c r="L827" s="192" t="s">
        <v>737</v>
      </c>
      <c r="M827" s="192" t="s">
        <v>923</v>
      </c>
      <c r="N827" s="192" t="s">
        <v>65</v>
      </c>
      <c r="O827" s="192" t="s">
        <v>65</v>
      </c>
      <c r="P827" s="192" t="s">
        <v>65</v>
      </c>
      <c r="Q827" s="192">
        <v>3.5000000149011612E-2</v>
      </c>
      <c r="R827" s="192">
        <v>3.0999999046325684</v>
      </c>
      <c r="S827" s="192">
        <f>VLOOKUP($H827,'RBSA Weights'!$A$2:$C$1406,3,FALSE)</f>
        <v>1464.694</v>
      </c>
    </row>
    <row r="828" spans="1:19">
      <c r="A828" s="192" t="s">
        <v>929</v>
      </c>
      <c r="B828" s="192">
        <v>1</v>
      </c>
      <c r="C828" s="192">
        <v>0</v>
      </c>
      <c r="D828" s="192" t="s">
        <v>65</v>
      </c>
      <c r="E828" s="192">
        <v>1</v>
      </c>
      <c r="F828" s="192">
        <v>0</v>
      </c>
      <c r="G828" s="192">
        <v>211125</v>
      </c>
      <c r="H828" s="192">
        <v>22109</v>
      </c>
      <c r="I828" s="192">
        <v>1</v>
      </c>
      <c r="J828" s="192">
        <v>1971</v>
      </c>
      <c r="K828" s="192" t="s">
        <v>918</v>
      </c>
      <c r="L828" s="192" t="s">
        <v>65</v>
      </c>
      <c r="M828" s="192" t="s">
        <v>919</v>
      </c>
      <c r="N828" s="192" t="s">
        <v>65</v>
      </c>
      <c r="O828" s="192" t="s">
        <v>65</v>
      </c>
      <c r="P828" s="192" t="s">
        <v>65</v>
      </c>
      <c r="Q828" s="192">
        <v>3.5000000149011612E-2</v>
      </c>
      <c r="R828" s="192">
        <v>3.0999999046325684</v>
      </c>
      <c r="S828" s="192">
        <f>VLOOKUP($H828,'RBSA Weights'!$A$2:$C$1406,3,FALSE)</f>
        <v>1904.288</v>
      </c>
    </row>
    <row r="829" spans="1:19">
      <c r="A829" s="192" t="s">
        <v>929</v>
      </c>
      <c r="B829" s="192">
        <v>1</v>
      </c>
      <c r="C829" s="192">
        <v>0</v>
      </c>
      <c r="D829" s="192" t="s">
        <v>65</v>
      </c>
      <c r="E829" s="192">
        <v>1</v>
      </c>
      <c r="F829" s="192">
        <v>0</v>
      </c>
      <c r="G829" s="192">
        <v>92520</v>
      </c>
      <c r="H829" s="192">
        <v>12199</v>
      </c>
      <c r="I829" s="192">
        <v>1</v>
      </c>
      <c r="J829" s="192">
        <v>1172</v>
      </c>
      <c r="K829" s="192" t="s">
        <v>918</v>
      </c>
      <c r="L829" s="192" t="s">
        <v>737</v>
      </c>
      <c r="M829" s="192" t="s">
        <v>923</v>
      </c>
      <c r="N829" s="192" t="s">
        <v>65</v>
      </c>
      <c r="O829" s="192" t="s">
        <v>65</v>
      </c>
      <c r="P829" s="192" t="s">
        <v>926</v>
      </c>
      <c r="Q829" s="192">
        <v>3.5000000149011612E-2</v>
      </c>
      <c r="R829" s="192">
        <v>3.0999999046325684</v>
      </c>
      <c r="S829" s="192">
        <f>VLOOKUP($H829,'RBSA Weights'!$A$2:$C$1406,3,FALSE)</f>
        <v>2003.7159999999999</v>
      </c>
    </row>
    <row r="830" spans="1:19">
      <c r="A830" s="192" t="s">
        <v>929</v>
      </c>
      <c r="B830" s="192">
        <v>1</v>
      </c>
      <c r="C830" s="192">
        <v>0</v>
      </c>
      <c r="D830" s="192" t="s">
        <v>65</v>
      </c>
      <c r="E830" s="192">
        <v>1</v>
      </c>
      <c r="F830" s="192">
        <v>0</v>
      </c>
      <c r="G830" s="192">
        <v>84317</v>
      </c>
      <c r="H830" s="192">
        <v>21264</v>
      </c>
      <c r="I830" s="192">
        <v>1</v>
      </c>
      <c r="J830" s="192">
        <v>603</v>
      </c>
      <c r="K830" s="192" t="s">
        <v>925</v>
      </c>
      <c r="L830" s="192" t="s">
        <v>737</v>
      </c>
      <c r="M830" s="192" t="s">
        <v>919</v>
      </c>
      <c r="N830" s="192" t="s">
        <v>65</v>
      </c>
      <c r="O830" s="192" t="s">
        <v>65</v>
      </c>
      <c r="P830" s="192" t="s">
        <v>926</v>
      </c>
      <c r="Q830" s="192">
        <v>3.5000000149011612E-2</v>
      </c>
      <c r="R830" s="192">
        <v>3.0999999046325684</v>
      </c>
      <c r="S830" s="192">
        <f>VLOOKUP($H830,'RBSA Weights'!$A$2:$C$1406,3,FALSE)</f>
        <v>1904.288</v>
      </c>
    </row>
    <row r="831" spans="1:19">
      <c r="A831" s="192" t="s">
        <v>929</v>
      </c>
      <c r="B831" s="192">
        <v>1</v>
      </c>
      <c r="C831" s="192">
        <v>0</v>
      </c>
      <c r="D831" s="192" t="s">
        <v>65</v>
      </c>
      <c r="E831" s="192">
        <v>1</v>
      </c>
      <c r="F831" s="192">
        <v>0</v>
      </c>
      <c r="G831" s="192">
        <v>229217</v>
      </c>
      <c r="H831" s="192">
        <v>23619</v>
      </c>
      <c r="I831" s="192">
        <v>1</v>
      </c>
      <c r="J831" s="192">
        <v>1055</v>
      </c>
      <c r="K831" s="192" t="s">
        <v>918</v>
      </c>
      <c r="L831" s="192" t="s">
        <v>65</v>
      </c>
      <c r="M831" s="192" t="s">
        <v>919</v>
      </c>
      <c r="N831" s="192" t="s">
        <v>65</v>
      </c>
      <c r="O831" s="192" t="s">
        <v>65</v>
      </c>
      <c r="P831" s="192" t="s">
        <v>65</v>
      </c>
      <c r="Q831" s="192">
        <v>3.5000000149011612E-2</v>
      </c>
      <c r="R831" s="192">
        <v>3.0999999046325684</v>
      </c>
      <c r="S831" s="192">
        <f>VLOOKUP($H831,'RBSA Weights'!$A$2:$C$1406,3,FALSE)</f>
        <v>2079.9929999999999</v>
      </c>
    </row>
    <row r="832" spans="1:19">
      <c r="A832" s="192" t="s">
        <v>929</v>
      </c>
      <c r="B832" s="192">
        <v>1</v>
      </c>
      <c r="C832" s="192">
        <v>0</v>
      </c>
      <c r="D832" s="192" t="s">
        <v>65</v>
      </c>
      <c r="E832" s="192">
        <v>1</v>
      </c>
      <c r="F832" s="192">
        <v>1</v>
      </c>
      <c r="G832" s="192">
        <v>687327</v>
      </c>
      <c r="H832" s="192">
        <v>11418</v>
      </c>
      <c r="I832" s="192">
        <v>1</v>
      </c>
      <c r="J832" s="192">
        <v>1326</v>
      </c>
      <c r="K832" s="192" t="s">
        <v>925</v>
      </c>
      <c r="L832" s="192" t="s">
        <v>737</v>
      </c>
      <c r="M832" s="192" t="s">
        <v>919</v>
      </c>
      <c r="N832" s="192" t="s">
        <v>65</v>
      </c>
      <c r="O832" s="192" t="s">
        <v>65</v>
      </c>
      <c r="P832" s="192" t="s">
        <v>65</v>
      </c>
      <c r="Q832" s="192">
        <v>3.5000000149011612E-2</v>
      </c>
      <c r="R832" s="192">
        <v>4.5</v>
      </c>
      <c r="S832" s="192">
        <f>VLOOKUP($H832,'RBSA Weights'!$A$2:$C$1406,3,FALSE)</f>
        <v>6932.7380000000003</v>
      </c>
    </row>
    <row r="833" spans="1:19">
      <c r="A833" s="192" t="s">
        <v>929</v>
      </c>
      <c r="B833" s="192">
        <v>1</v>
      </c>
      <c r="C833" s="192">
        <v>0</v>
      </c>
      <c r="D833" s="192" t="s">
        <v>65</v>
      </c>
      <c r="E833" s="192">
        <v>1</v>
      </c>
      <c r="F833" s="192">
        <v>1</v>
      </c>
      <c r="G833" s="192">
        <v>681686</v>
      </c>
      <c r="H833" s="192">
        <v>20028</v>
      </c>
      <c r="I833" s="192">
        <v>1</v>
      </c>
      <c r="J833" s="192">
        <v>693</v>
      </c>
      <c r="K833" s="192" t="s">
        <v>925</v>
      </c>
      <c r="L833" s="192" t="s">
        <v>737</v>
      </c>
      <c r="M833" s="192" t="s">
        <v>919</v>
      </c>
      <c r="N833" s="192" t="s">
        <v>65</v>
      </c>
      <c r="O833" s="192" t="s">
        <v>65</v>
      </c>
      <c r="P833" s="192" t="s">
        <v>65</v>
      </c>
      <c r="Q833" s="192">
        <v>3.5000000149011612E-2</v>
      </c>
      <c r="R833" s="192">
        <v>4.5</v>
      </c>
      <c r="S833" s="192">
        <f>VLOOKUP($H833,'RBSA Weights'!$A$2:$C$1406,3,FALSE)</f>
        <v>6932.7380000000003</v>
      </c>
    </row>
    <row r="834" spans="1:19">
      <c r="A834" s="192" t="s">
        <v>929</v>
      </c>
      <c r="B834" s="192">
        <v>1</v>
      </c>
      <c r="C834" s="192">
        <v>0</v>
      </c>
      <c r="D834" s="192" t="s">
        <v>65</v>
      </c>
      <c r="E834" s="192">
        <v>1</v>
      </c>
      <c r="F834" s="192">
        <v>0</v>
      </c>
      <c r="G834" s="192">
        <v>212191</v>
      </c>
      <c r="H834" s="192">
        <v>10016</v>
      </c>
      <c r="I834" s="192">
        <v>1</v>
      </c>
      <c r="J834" s="192">
        <v>1625</v>
      </c>
      <c r="K834" s="192" t="s">
        <v>925</v>
      </c>
      <c r="L834" s="192" t="s">
        <v>737</v>
      </c>
      <c r="M834" s="192" t="s">
        <v>919</v>
      </c>
      <c r="N834" s="192" t="s">
        <v>65</v>
      </c>
      <c r="O834" s="192" t="s">
        <v>65</v>
      </c>
      <c r="P834" s="192" t="s">
        <v>65</v>
      </c>
      <c r="Q834" s="192">
        <v>3.5000000149011612E-2</v>
      </c>
      <c r="R834" s="192">
        <v>3.0999999046325684</v>
      </c>
      <c r="S834" s="192">
        <f>VLOOKUP($H834,'RBSA Weights'!$A$2:$C$1406,3,FALSE)</f>
        <v>6932.7380000000003</v>
      </c>
    </row>
    <row r="835" spans="1:19">
      <c r="A835" s="192" t="s">
        <v>931</v>
      </c>
      <c r="B835" s="192">
        <v>0.75</v>
      </c>
      <c r="C835" s="192">
        <v>0</v>
      </c>
      <c r="D835" s="192" t="s">
        <v>65</v>
      </c>
      <c r="E835" s="192">
        <v>0</v>
      </c>
      <c r="G835" s="192">
        <v>168197</v>
      </c>
      <c r="H835" s="192">
        <v>21791</v>
      </c>
      <c r="I835" s="192">
        <v>1</v>
      </c>
      <c r="J835" s="192">
        <v>1300</v>
      </c>
      <c r="K835" s="192" t="s">
        <v>925</v>
      </c>
      <c r="L835" s="192" t="s">
        <v>922</v>
      </c>
      <c r="M835" s="192" t="s">
        <v>919</v>
      </c>
      <c r="N835" s="192" t="s">
        <v>65</v>
      </c>
      <c r="O835" s="192" t="s">
        <v>65</v>
      </c>
      <c r="P835" s="192" t="s">
        <v>65</v>
      </c>
      <c r="Q835" s="192">
        <v>7.9999998211860657E-2</v>
      </c>
      <c r="R835" s="192">
        <v>5</v>
      </c>
      <c r="S835" s="192">
        <f>VLOOKUP($H835,'RBSA Weights'!$A$2:$C$1406,3,FALSE)</f>
        <v>1612.692</v>
      </c>
    </row>
    <row r="836" spans="1:19">
      <c r="A836" s="192" t="s">
        <v>931</v>
      </c>
      <c r="B836" s="192">
        <v>0.75</v>
      </c>
      <c r="C836" s="192">
        <v>0</v>
      </c>
      <c r="D836" s="192" t="s">
        <v>65</v>
      </c>
      <c r="E836" s="192">
        <v>1</v>
      </c>
      <c r="F836" s="192">
        <v>0</v>
      </c>
      <c r="G836" s="192">
        <v>221673</v>
      </c>
      <c r="H836" s="192">
        <v>13974</v>
      </c>
      <c r="I836" s="192">
        <v>1</v>
      </c>
      <c r="J836" s="192">
        <v>1240</v>
      </c>
      <c r="K836" s="192" t="s">
        <v>925</v>
      </c>
      <c r="L836" s="192" t="s">
        <v>930</v>
      </c>
      <c r="M836" s="192" t="s">
        <v>923</v>
      </c>
      <c r="N836" s="192" t="s">
        <v>65</v>
      </c>
      <c r="O836" s="192" t="s">
        <v>65</v>
      </c>
      <c r="P836" s="192" t="s">
        <v>65</v>
      </c>
      <c r="Q836" s="192">
        <v>7.9999998211860657E-2</v>
      </c>
      <c r="R836" s="192">
        <v>3.0999999046325684</v>
      </c>
      <c r="S836" s="192">
        <f>VLOOKUP($H836,'RBSA Weights'!$A$2:$C$1406,3,FALSE)</f>
        <v>2003.7159999999999</v>
      </c>
    </row>
    <row r="837" spans="1:19">
      <c r="A837" s="192" t="s">
        <v>931</v>
      </c>
      <c r="B837" s="192">
        <v>0.75</v>
      </c>
      <c r="C837" s="192">
        <v>0</v>
      </c>
      <c r="D837" s="192" t="s">
        <v>65</v>
      </c>
      <c r="E837" s="192">
        <v>1</v>
      </c>
      <c r="F837" s="192">
        <v>0</v>
      </c>
      <c r="G837" s="192">
        <v>196600</v>
      </c>
      <c r="H837" s="192">
        <v>22577</v>
      </c>
      <c r="I837" s="192">
        <v>1</v>
      </c>
      <c r="J837" s="192">
        <v>1056</v>
      </c>
      <c r="K837" s="192" t="s">
        <v>918</v>
      </c>
      <c r="L837" s="192" t="s">
        <v>65</v>
      </c>
      <c r="M837" s="192" t="s">
        <v>923</v>
      </c>
      <c r="N837" s="192" t="s">
        <v>65</v>
      </c>
      <c r="O837" s="192" t="s">
        <v>65</v>
      </c>
      <c r="P837" s="192" t="s">
        <v>65</v>
      </c>
      <c r="Q837" s="192">
        <v>7.9999998211860657E-2</v>
      </c>
      <c r="R837" s="192">
        <v>3.0999999046325684</v>
      </c>
      <c r="S837" s="192">
        <f>VLOOKUP($H837,'RBSA Weights'!$A$2:$C$1406,3,FALSE)</f>
        <v>1925.059</v>
      </c>
    </row>
    <row r="838" spans="1:19">
      <c r="A838" s="192" t="s">
        <v>931</v>
      </c>
      <c r="B838" s="192">
        <v>0.9</v>
      </c>
      <c r="C838" s="192">
        <v>0</v>
      </c>
      <c r="D838" s="192" t="s">
        <v>65</v>
      </c>
      <c r="E838" s="192">
        <v>0</v>
      </c>
      <c r="F838" s="192">
        <v>0</v>
      </c>
      <c r="G838" s="192">
        <v>78580</v>
      </c>
      <c r="H838" s="192">
        <v>12215</v>
      </c>
      <c r="I838" s="192">
        <v>1</v>
      </c>
      <c r="J838" s="192">
        <v>1098</v>
      </c>
      <c r="K838" s="192" t="s">
        <v>918</v>
      </c>
      <c r="L838" s="192" t="s">
        <v>930</v>
      </c>
      <c r="M838" s="192" t="s">
        <v>919</v>
      </c>
      <c r="N838" s="192" t="s">
        <v>65</v>
      </c>
      <c r="O838" s="192" t="s">
        <v>65</v>
      </c>
      <c r="P838" s="192" t="s">
        <v>926</v>
      </c>
      <c r="Q838" s="192">
        <v>5.4999999701976776E-2</v>
      </c>
      <c r="R838" s="192">
        <v>5</v>
      </c>
      <c r="S838" s="192">
        <f>VLOOKUP($H838,'RBSA Weights'!$A$2:$C$1406,3,FALSE)</f>
        <v>2003.7159999999999</v>
      </c>
    </row>
    <row r="839" spans="1:19">
      <c r="A839" s="192" t="s">
        <v>931</v>
      </c>
      <c r="B839" s="192">
        <v>0.9</v>
      </c>
      <c r="C839" s="192">
        <v>0</v>
      </c>
      <c r="D839" s="192" t="s">
        <v>65</v>
      </c>
      <c r="E839" s="192">
        <v>1</v>
      </c>
      <c r="F839" s="192">
        <v>0</v>
      </c>
      <c r="G839" s="192">
        <v>218042</v>
      </c>
      <c r="H839" s="192">
        <v>14285</v>
      </c>
      <c r="I839" s="192">
        <v>1</v>
      </c>
      <c r="J839" s="192">
        <v>672</v>
      </c>
      <c r="K839" s="192" t="s">
        <v>925</v>
      </c>
      <c r="L839" s="192" t="s">
        <v>737</v>
      </c>
      <c r="M839" s="192" t="s">
        <v>923</v>
      </c>
      <c r="N839" s="192" t="s">
        <v>65</v>
      </c>
      <c r="O839" s="192" t="s">
        <v>65</v>
      </c>
      <c r="P839" s="192" t="s">
        <v>65</v>
      </c>
      <c r="Q839" s="192">
        <v>5.4999999701976776E-2</v>
      </c>
      <c r="R839" s="192">
        <v>3.0999999046325684</v>
      </c>
      <c r="S839" s="192">
        <f>VLOOKUP($H839,'RBSA Weights'!$A$2:$C$1406,3,FALSE)</f>
        <v>1524.7619999999999</v>
      </c>
    </row>
    <row r="840" spans="1:19">
      <c r="A840" s="192" t="s">
        <v>931</v>
      </c>
      <c r="B840" s="192">
        <v>0.9</v>
      </c>
      <c r="C840" s="192">
        <v>0</v>
      </c>
      <c r="D840" s="192" t="s">
        <v>65</v>
      </c>
      <c r="E840" s="192">
        <v>1</v>
      </c>
      <c r="F840" s="192">
        <v>0</v>
      </c>
      <c r="G840" s="192">
        <v>173630</v>
      </c>
      <c r="H840" s="192">
        <v>20338</v>
      </c>
      <c r="I840" s="192">
        <v>1</v>
      </c>
      <c r="J840" s="192">
        <v>1395</v>
      </c>
      <c r="K840" s="192" t="s">
        <v>925</v>
      </c>
      <c r="L840" s="192" t="s">
        <v>927</v>
      </c>
      <c r="M840" s="192" t="s">
        <v>923</v>
      </c>
      <c r="N840" s="192" t="s">
        <v>65</v>
      </c>
      <c r="O840" s="192" t="s">
        <v>65</v>
      </c>
      <c r="P840" s="192" t="s">
        <v>65</v>
      </c>
      <c r="Q840" s="192">
        <v>5.4999999701976776E-2</v>
      </c>
      <c r="R840" s="192">
        <v>3.0999999046325684</v>
      </c>
      <c r="S840" s="192">
        <f>VLOOKUP($H840,'RBSA Weights'!$A$2:$C$1406,3,FALSE)</f>
        <v>1192.4649999999999</v>
      </c>
    </row>
    <row r="841" spans="1:19">
      <c r="A841" s="192" t="s">
        <v>931</v>
      </c>
      <c r="B841" s="192">
        <v>0.9</v>
      </c>
      <c r="C841" s="192">
        <v>0</v>
      </c>
      <c r="D841" s="192" t="s">
        <v>65</v>
      </c>
      <c r="E841" s="192">
        <v>1</v>
      </c>
      <c r="F841" s="192">
        <v>0</v>
      </c>
      <c r="G841" s="192">
        <v>234827</v>
      </c>
      <c r="H841" s="192">
        <v>22288</v>
      </c>
      <c r="I841" s="192">
        <v>1</v>
      </c>
      <c r="J841" s="192">
        <v>2294</v>
      </c>
      <c r="K841" s="192" t="s">
        <v>925</v>
      </c>
      <c r="L841" s="192" t="s">
        <v>930</v>
      </c>
      <c r="M841" s="192" t="s">
        <v>923</v>
      </c>
      <c r="N841" s="192" t="s">
        <v>65</v>
      </c>
      <c r="O841" s="192" t="s">
        <v>978</v>
      </c>
      <c r="P841" s="192" t="s">
        <v>65</v>
      </c>
      <c r="Q841" s="192">
        <v>5.4999999701976776E-2</v>
      </c>
      <c r="R841" s="192">
        <v>3.0999999046325684</v>
      </c>
      <c r="S841" s="192">
        <f>VLOOKUP($H841,'RBSA Weights'!$A$2:$C$1406,3,FALSE)</f>
        <v>2079.9929999999999</v>
      </c>
    </row>
    <row r="842" spans="1:19">
      <c r="A842" s="192" t="s">
        <v>931</v>
      </c>
      <c r="B842" s="192">
        <v>0.9</v>
      </c>
      <c r="C842" s="192">
        <v>0</v>
      </c>
      <c r="D842" s="192" t="s">
        <v>65</v>
      </c>
      <c r="E842" s="192">
        <v>1</v>
      </c>
      <c r="F842" s="192">
        <v>0</v>
      </c>
      <c r="G842" s="192">
        <v>156333</v>
      </c>
      <c r="H842" s="192">
        <v>13427</v>
      </c>
      <c r="I842" s="192">
        <v>1</v>
      </c>
      <c r="J842" s="192">
        <v>610</v>
      </c>
      <c r="K842" s="192" t="s">
        <v>925</v>
      </c>
      <c r="L842" s="192" t="s">
        <v>927</v>
      </c>
      <c r="M842" s="192" t="s">
        <v>923</v>
      </c>
      <c r="N842" s="192" t="s">
        <v>65</v>
      </c>
      <c r="O842" s="192" t="s">
        <v>65</v>
      </c>
      <c r="P842" s="192" t="s">
        <v>65</v>
      </c>
      <c r="Q842" s="192">
        <v>5.4999999701976776E-2</v>
      </c>
      <c r="R842" s="192">
        <v>3.0999999046325684</v>
      </c>
      <c r="S842" s="192">
        <f>VLOOKUP($H842,'RBSA Weights'!$A$2:$C$1406,3,FALSE)</f>
        <v>4956.4930000000004</v>
      </c>
    </row>
    <row r="843" spans="1:19">
      <c r="A843" s="192" t="s">
        <v>931</v>
      </c>
      <c r="B843" s="192">
        <v>0.9</v>
      </c>
      <c r="C843" s="192">
        <v>0</v>
      </c>
      <c r="D843" s="192" t="s">
        <v>65</v>
      </c>
      <c r="E843" s="192">
        <v>0</v>
      </c>
      <c r="G843" s="192">
        <v>231957</v>
      </c>
      <c r="H843" s="192">
        <v>24040</v>
      </c>
      <c r="I843" s="192">
        <v>1</v>
      </c>
      <c r="J843" s="192">
        <v>1125</v>
      </c>
      <c r="K843" s="192" t="s">
        <v>65</v>
      </c>
      <c r="L843" s="192" t="s">
        <v>65</v>
      </c>
      <c r="M843" s="192" t="s">
        <v>919</v>
      </c>
      <c r="N843" s="192" t="s">
        <v>65</v>
      </c>
      <c r="O843" s="192" t="s">
        <v>979</v>
      </c>
      <c r="P843" s="192" t="s">
        <v>65</v>
      </c>
      <c r="Q843" s="192">
        <v>5.4999999701976776E-2</v>
      </c>
      <c r="R843" s="192">
        <v>5</v>
      </c>
      <c r="S843" s="192">
        <f>VLOOKUP($H843,'RBSA Weights'!$A$2:$C$1406,3,FALSE)</f>
        <v>2079.9929999999999</v>
      </c>
    </row>
    <row r="844" spans="1:19">
      <c r="A844" s="192" t="s">
        <v>931</v>
      </c>
      <c r="B844" s="192">
        <v>0.9</v>
      </c>
      <c r="C844" s="192">
        <v>0</v>
      </c>
      <c r="D844" s="192" t="s">
        <v>65</v>
      </c>
      <c r="E844" s="192">
        <v>1</v>
      </c>
      <c r="F844" s="192">
        <v>0</v>
      </c>
      <c r="G844" s="192">
        <v>221475</v>
      </c>
      <c r="H844" s="192">
        <v>13956</v>
      </c>
      <c r="I844" s="192">
        <v>1</v>
      </c>
      <c r="J844" s="192">
        <v>228</v>
      </c>
      <c r="K844" s="192" t="s">
        <v>925</v>
      </c>
      <c r="L844" s="192" t="s">
        <v>737</v>
      </c>
      <c r="M844" s="192" t="s">
        <v>923</v>
      </c>
      <c r="N844" s="192" t="s">
        <v>65</v>
      </c>
      <c r="O844" s="192" t="s">
        <v>65</v>
      </c>
      <c r="P844" s="192" t="s">
        <v>65</v>
      </c>
      <c r="Q844" s="192">
        <v>5.4999999701976776E-2</v>
      </c>
      <c r="R844" s="192">
        <v>3.0999999046325684</v>
      </c>
      <c r="S844" s="192">
        <f>VLOOKUP($H844,'RBSA Weights'!$A$2:$C$1406,3,FALSE)</f>
        <v>1524.7619999999999</v>
      </c>
    </row>
    <row r="845" spans="1:19">
      <c r="A845" s="192" t="s">
        <v>931</v>
      </c>
      <c r="B845" s="192">
        <v>0.9</v>
      </c>
      <c r="C845" s="192">
        <v>0</v>
      </c>
      <c r="D845" s="192" t="s">
        <v>65</v>
      </c>
      <c r="E845" s="192">
        <v>1</v>
      </c>
      <c r="F845" s="192">
        <v>0</v>
      </c>
      <c r="G845" s="192">
        <v>219427</v>
      </c>
      <c r="H845" s="192">
        <v>14423</v>
      </c>
      <c r="I845" s="192">
        <v>1</v>
      </c>
      <c r="J845" s="192">
        <v>519</v>
      </c>
      <c r="K845" s="192" t="s">
        <v>925</v>
      </c>
      <c r="L845" s="192" t="s">
        <v>930</v>
      </c>
      <c r="M845" s="192" t="s">
        <v>923</v>
      </c>
      <c r="N845" s="192" t="s">
        <v>65</v>
      </c>
      <c r="O845" s="192" t="s">
        <v>65</v>
      </c>
      <c r="P845" s="192" t="s">
        <v>65</v>
      </c>
      <c r="Q845" s="192">
        <v>5.4999999701976776E-2</v>
      </c>
      <c r="R845" s="192">
        <v>3.0999999046325684</v>
      </c>
      <c r="S845" s="192">
        <f>VLOOKUP($H845,'RBSA Weights'!$A$2:$C$1406,3,FALSE)</f>
        <v>4956.4930000000004</v>
      </c>
    </row>
    <row r="846" spans="1:19">
      <c r="A846" s="192" t="s">
        <v>931</v>
      </c>
      <c r="B846" s="192">
        <v>0.9</v>
      </c>
      <c r="C846" s="192">
        <v>0</v>
      </c>
      <c r="D846" s="192" t="s">
        <v>65</v>
      </c>
      <c r="E846" s="192">
        <v>0</v>
      </c>
      <c r="G846" s="192">
        <v>173799</v>
      </c>
      <c r="H846" s="192">
        <v>23966</v>
      </c>
      <c r="I846" s="192">
        <v>1</v>
      </c>
      <c r="J846" s="192">
        <v>901</v>
      </c>
      <c r="K846" s="192" t="s">
        <v>925</v>
      </c>
      <c r="L846" s="192" t="s">
        <v>930</v>
      </c>
      <c r="M846" s="192" t="s">
        <v>923</v>
      </c>
      <c r="N846" s="192" t="s">
        <v>65</v>
      </c>
      <c r="O846" s="192" t="s">
        <v>65</v>
      </c>
      <c r="P846" s="192" t="s">
        <v>65</v>
      </c>
      <c r="Q846" s="192">
        <v>5.4999999701976776E-2</v>
      </c>
      <c r="R846" s="192">
        <v>5</v>
      </c>
      <c r="S846" s="192">
        <f>VLOOKUP($H846,'RBSA Weights'!$A$2:$C$1406,3,FALSE)</f>
        <v>3785.7640000000001</v>
      </c>
    </row>
    <row r="847" spans="1:19">
      <c r="A847" s="192" t="s">
        <v>931</v>
      </c>
      <c r="B847" s="192">
        <v>0.9</v>
      </c>
      <c r="C847" s="192">
        <v>1</v>
      </c>
      <c r="D847" s="192" t="s">
        <v>941</v>
      </c>
      <c r="E847" s="192">
        <v>1</v>
      </c>
      <c r="F847" s="192">
        <v>0</v>
      </c>
      <c r="G847" s="192">
        <v>32175</v>
      </c>
      <c r="H847" s="192">
        <v>20363</v>
      </c>
      <c r="I847" s="192">
        <v>1</v>
      </c>
      <c r="J847" s="192">
        <v>585</v>
      </c>
      <c r="K847" s="192" t="s">
        <v>925</v>
      </c>
      <c r="L847" s="192" t="s">
        <v>930</v>
      </c>
      <c r="M847" s="192" t="s">
        <v>919</v>
      </c>
      <c r="N847" s="192" t="s">
        <v>948</v>
      </c>
      <c r="O847" s="192" t="s">
        <v>65</v>
      </c>
      <c r="P847" s="192" t="s">
        <v>926</v>
      </c>
      <c r="Q847" s="192">
        <v>5.4999999701976776E-2</v>
      </c>
      <c r="R847" s="192">
        <v>3.9000000953674316</v>
      </c>
      <c r="S847" s="192">
        <f>VLOOKUP($H847,'RBSA Weights'!$A$2:$C$1406,3,FALSE)</f>
        <v>2130.886</v>
      </c>
    </row>
    <row r="848" spans="1:19">
      <c r="A848" s="192" t="s">
        <v>931</v>
      </c>
      <c r="B848" s="192">
        <v>0.9</v>
      </c>
      <c r="C848" s="192">
        <v>0</v>
      </c>
      <c r="D848" s="192" t="s">
        <v>65</v>
      </c>
      <c r="E848" s="192">
        <v>1</v>
      </c>
      <c r="F848" s="192">
        <v>0</v>
      </c>
      <c r="G848" s="192">
        <v>124132</v>
      </c>
      <c r="H848" s="192">
        <v>10325</v>
      </c>
      <c r="I848" s="192">
        <v>1</v>
      </c>
      <c r="J848" s="192">
        <v>736</v>
      </c>
      <c r="K848" s="192" t="s">
        <v>918</v>
      </c>
      <c r="L848" s="192" t="s">
        <v>927</v>
      </c>
      <c r="M848" s="192" t="s">
        <v>923</v>
      </c>
      <c r="N848" s="192" t="s">
        <v>65</v>
      </c>
      <c r="O848" s="192" t="s">
        <v>65</v>
      </c>
      <c r="P848" s="192" t="s">
        <v>924</v>
      </c>
      <c r="Q848" s="192">
        <v>5.4999999701976776E-2</v>
      </c>
      <c r="R848" s="192">
        <v>3.0999999046325684</v>
      </c>
      <c r="S848" s="192">
        <f>VLOOKUP($H848,'RBSA Weights'!$A$2:$C$1406,3,FALSE)</f>
        <v>4956.4930000000004</v>
      </c>
    </row>
    <row r="849" spans="1:19">
      <c r="A849" s="192" t="s">
        <v>931</v>
      </c>
      <c r="B849" s="192">
        <v>0.9</v>
      </c>
      <c r="C849" s="192">
        <v>0</v>
      </c>
      <c r="D849" s="192" t="s">
        <v>65</v>
      </c>
      <c r="E849" s="192">
        <v>1</v>
      </c>
      <c r="F849" s="192">
        <v>0</v>
      </c>
      <c r="G849" s="192">
        <v>198385</v>
      </c>
      <c r="H849" s="192">
        <v>13948</v>
      </c>
      <c r="I849" s="192">
        <v>1</v>
      </c>
      <c r="J849" s="192">
        <v>751</v>
      </c>
      <c r="K849" s="192" t="s">
        <v>925</v>
      </c>
      <c r="L849" s="192" t="s">
        <v>922</v>
      </c>
      <c r="M849" s="192" t="s">
        <v>919</v>
      </c>
      <c r="N849" s="192" t="s">
        <v>65</v>
      </c>
      <c r="O849" s="192" t="s">
        <v>65</v>
      </c>
      <c r="P849" s="192" t="s">
        <v>65</v>
      </c>
      <c r="Q849" s="192">
        <v>5.4999999701976776E-2</v>
      </c>
      <c r="R849" s="192">
        <v>3.0999999046325684</v>
      </c>
      <c r="S849" s="192">
        <f>VLOOKUP($H849,'RBSA Weights'!$A$2:$C$1406,3,FALSE)</f>
        <v>1524.7619999999999</v>
      </c>
    </row>
    <row r="850" spans="1:19">
      <c r="A850" s="192" t="s">
        <v>931</v>
      </c>
      <c r="B850" s="192">
        <v>0.9</v>
      </c>
      <c r="C850" s="192">
        <v>0</v>
      </c>
      <c r="D850" s="192" t="s">
        <v>65</v>
      </c>
      <c r="E850" s="192">
        <v>1</v>
      </c>
      <c r="F850" s="192">
        <v>0</v>
      </c>
      <c r="G850" s="192">
        <v>48493</v>
      </c>
      <c r="H850" s="192">
        <v>11284</v>
      </c>
      <c r="I850" s="192">
        <v>1</v>
      </c>
      <c r="J850" s="192">
        <v>965</v>
      </c>
      <c r="K850" s="192" t="s">
        <v>925</v>
      </c>
      <c r="L850" s="192" t="s">
        <v>737</v>
      </c>
      <c r="M850" s="192" t="s">
        <v>923</v>
      </c>
      <c r="N850" s="192" t="s">
        <v>65</v>
      </c>
      <c r="O850" s="192" t="s">
        <v>980</v>
      </c>
      <c r="P850" s="192" t="s">
        <v>926</v>
      </c>
      <c r="Q850" s="192">
        <v>5.4999999701976776E-2</v>
      </c>
      <c r="R850" s="192">
        <v>3.0999999046325684</v>
      </c>
      <c r="S850" s="192">
        <f>VLOOKUP($H850,'RBSA Weights'!$A$2:$C$1406,3,FALSE)</f>
        <v>1524.7619999999999</v>
      </c>
    </row>
    <row r="851" spans="1:19">
      <c r="A851" s="192" t="s">
        <v>931</v>
      </c>
      <c r="B851" s="192">
        <v>0.9</v>
      </c>
      <c r="C851" s="192">
        <v>0</v>
      </c>
      <c r="D851" s="192" t="s">
        <v>65</v>
      </c>
      <c r="E851" s="192">
        <v>1</v>
      </c>
      <c r="F851" s="192">
        <v>0</v>
      </c>
      <c r="G851" s="192">
        <v>55136</v>
      </c>
      <c r="H851" s="192">
        <v>23501</v>
      </c>
      <c r="I851" s="192">
        <v>2</v>
      </c>
      <c r="J851" s="192">
        <v>936</v>
      </c>
      <c r="K851" s="192" t="s">
        <v>918</v>
      </c>
      <c r="L851" s="192" t="s">
        <v>737</v>
      </c>
      <c r="M851" s="192" t="s">
        <v>923</v>
      </c>
      <c r="N851" s="192" t="s">
        <v>65</v>
      </c>
      <c r="O851" s="192" t="s">
        <v>981</v>
      </c>
      <c r="P851" s="192" t="s">
        <v>926</v>
      </c>
      <c r="Q851" s="192">
        <v>5.4999999701976776E-2</v>
      </c>
      <c r="R851" s="192">
        <v>3.0999999046325684</v>
      </c>
      <c r="S851" s="192">
        <f>VLOOKUP($H851,'RBSA Weights'!$A$2:$C$1406,3,FALSE)</f>
        <v>2079.9929999999999</v>
      </c>
    </row>
    <row r="852" spans="1:19">
      <c r="A852" s="192" t="s">
        <v>931</v>
      </c>
      <c r="B852" s="192">
        <v>0.9</v>
      </c>
      <c r="C852" s="192">
        <v>0</v>
      </c>
      <c r="D852" s="192" t="s">
        <v>65</v>
      </c>
      <c r="E852" s="192">
        <v>1</v>
      </c>
      <c r="F852" s="192">
        <v>1</v>
      </c>
      <c r="G852" s="192">
        <v>219815</v>
      </c>
      <c r="H852" s="192">
        <v>21710</v>
      </c>
      <c r="I852" s="192">
        <v>1</v>
      </c>
      <c r="J852" s="192">
        <v>1426</v>
      </c>
      <c r="K852" s="192" t="s">
        <v>918</v>
      </c>
      <c r="L852" s="192" t="s">
        <v>65</v>
      </c>
      <c r="M852" s="192" t="s">
        <v>923</v>
      </c>
      <c r="N852" s="192" t="s">
        <v>65</v>
      </c>
      <c r="O852" s="192" t="s">
        <v>65</v>
      </c>
      <c r="P852" s="192" t="s">
        <v>65</v>
      </c>
      <c r="Q852" s="192">
        <v>5.4999999701976776E-2</v>
      </c>
      <c r="R852" s="192">
        <v>4.5</v>
      </c>
      <c r="S852" s="192">
        <f>VLOOKUP($H852,'RBSA Weights'!$A$2:$C$1406,3,FALSE)</f>
        <v>2079.9929999999999</v>
      </c>
    </row>
    <row r="853" spans="1:19">
      <c r="A853" s="192" t="s">
        <v>931</v>
      </c>
      <c r="B853" s="192">
        <v>0.9</v>
      </c>
      <c r="C853" s="192">
        <v>0</v>
      </c>
      <c r="D853" s="192" t="s">
        <v>65</v>
      </c>
      <c r="E853" s="192">
        <v>1</v>
      </c>
      <c r="F853" s="192">
        <v>0</v>
      </c>
      <c r="G853" s="192">
        <v>802435</v>
      </c>
      <c r="H853" s="192">
        <v>22124</v>
      </c>
      <c r="I853" s="192">
        <v>1</v>
      </c>
      <c r="J853" s="192">
        <v>1451</v>
      </c>
      <c r="K853" s="192" t="s">
        <v>925</v>
      </c>
      <c r="L853" s="192" t="s">
        <v>737</v>
      </c>
      <c r="M853" s="192" t="s">
        <v>923</v>
      </c>
      <c r="N853" s="192" t="s">
        <v>65</v>
      </c>
      <c r="O853" s="192" t="s">
        <v>65</v>
      </c>
      <c r="P853" s="192" t="s">
        <v>65</v>
      </c>
      <c r="Q853" s="192">
        <v>5.4999999701976776E-2</v>
      </c>
      <c r="R853" s="192">
        <v>3.0999999046325684</v>
      </c>
      <c r="S853" s="192">
        <f>VLOOKUP($H853,'RBSA Weights'!$A$2:$C$1406,3,FALSE)</f>
        <v>4360.1880000000001</v>
      </c>
    </row>
    <row r="854" spans="1:19">
      <c r="A854" s="192" t="s">
        <v>931</v>
      </c>
      <c r="B854" s="192">
        <v>0.9</v>
      </c>
      <c r="C854" s="192">
        <v>0</v>
      </c>
      <c r="D854" s="192" t="s">
        <v>65</v>
      </c>
      <c r="E854" s="192">
        <v>1</v>
      </c>
      <c r="F854" s="192">
        <v>0</v>
      </c>
      <c r="G854" s="192">
        <v>204915</v>
      </c>
      <c r="H854" s="192">
        <v>22869</v>
      </c>
      <c r="I854" s="192">
        <v>1</v>
      </c>
      <c r="J854" s="192">
        <v>938</v>
      </c>
      <c r="K854" s="192" t="s">
        <v>925</v>
      </c>
      <c r="L854" s="192" t="s">
        <v>927</v>
      </c>
      <c r="M854" s="192" t="s">
        <v>923</v>
      </c>
      <c r="N854" s="192" t="s">
        <v>65</v>
      </c>
      <c r="O854" s="192" t="s">
        <v>65</v>
      </c>
      <c r="P854" s="192" t="s">
        <v>65</v>
      </c>
      <c r="Q854" s="192">
        <v>5.4999999701976776E-2</v>
      </c>
      <c r="R854" s="192">
        <v>3.0999999046325684</v>
      </c>
      <c r="S854" s="192">
        <f>VLOOKUP($H854,'RBSA Weights'!$A$2:$C$1406,3,FALSE)</f>
        <v>2079.9929999999999</v>
      </c>
    </row>
    <row r="855" spans="1:19">
      <c r="A855" s="192" t="s">
        <v>931</v>
      </c>
      <c r="B855" s="192">
        <v>0.9</v>
      </c>
      <c r="C855" s="192">
        <v>1</v>
      </c>
      <c r="D855" s="192" t="s">
        <v>941</v>
      </c>
      <c r="E855" s="192">
        <v>1</v>
      </c>
      <c r="F855" s="192">
        <v>0</v>
      </c>
      <c r="G855" s="192">
        <v>172366</v>
      </c>
      <c r="H855" s="192">
        <v>20485</v>
      </c>
      <c r="I855" s="192">
        <v>1</v>
      </c>
      <c r="J855" s="192">
        <v>1424</v>
      </c>
      <c r="K855" s="192" t="s">
        <v>925</v>
      </c>
      <c r="L855" s="192" t="s">
        <v>927</v>
      </c>
      <c r="M855" s="192" t="s">
        <v>919</v>
      </c>
      <c r="N855" s="192" t="s">
        <v>65</v>
      </c>
      <c r="O855" s="192" t="s">
        <v>65</v>
      </c>
      <c r="P855" s="192" t="s">
        <v>65</v>
      </c>
      <c r="Q855" s="192">
        <v>5.4999999701976776E-2</v>
      </c>
      <c r="R855" s="192">
        <v>3.9000000953674316</v>
      </c>
      <c r="S855" s="192">
        <f>VLOOKUP($H855,'RBSA Weights'!$A$2:$C$1406,3,FALSE)</f>
        <v>3785.7640000000001</v>
      </c>
    </row>
    <row r="856" spans="1:19">
      <c r="A856" s="192" t="s">
        <v>931</v>
      </c>
      <c r="B856" s="192">
        <v>0.9</v>
      </c>
      <c r="C856" s="192">
        <v>0</v>
      </c>
      <c r="D856" s="192" t="s">
        <v>65</v>
      </c>
      <c r="E856" s="192">
        <v>1</v>
      </c>
      <c r="F856" s="192">
        <v>0</v>
      </c>
      <c r="G856" s="192">
        <v>49417</v>
      </c>
      <c r="H856" s="192">
        <v>21203</v>
      </c>
      <c r="I856" s="192">
        <v>1</v>
      </c>
      <c r="J856" s="192">
        <v>1290</v>
      </c>
      <c r="K856" s="192" t="s">
        <v>918</v>
      </c>
      <c r="L856" s="192" t="s">
        <v>737</v>
      </c>
      <c r="M856" s="192" t="s">
        <v>923</v>
      </c>
      <c r="N856" s="192" t="s">
        <v>65</v>
      </c>
      <c r="O856" s="192" t="s">
        <v>65</v>
      </c>
      <c r="P856" s="192" t="s">
        <v>926</v>
      </c>
      <c r="Q856" s="192">
        <v>5.4999999701976776E-2</v>
      </c>
      <c r="R856" s="192">
        <v>3.0999999046325684</v>
      </c>
      <c r="S856" s="192">
        <f>VLOOKUP($H856,'RBSA Weights'!$A$2:$C$1406,3,FALSE)</f>
        <v>2079.9929999999999</v>
      </c>
    </row>
    <row r="857" spans="1:19">
      <c r="A857" s="192" t="s">
        <v>931</v>
      </c>
      <c r="B857" s="192">
        <v>1</v>
      </c>
      <c r="C857" s="192">
        <v>0</v>
      </c>
      <c r="D857" s="192" t="s">
        <v>65</v>
      </c>
      <c r="E857" s="192">
        <v>1</v>
      </c>
      <c r="F857" s="192">
        <v>0</v>
      </c>
      <c r="G857" s="192">
        <v>91016</v>
      </c>
      <c r="H857" s="192">
        <v>10585</v>
      </c>
      <c r="I857" s="192">
        <v>1</v>
      </c>
      <c r="J857" s="192">
        <v>1577</v>
      </c>
      <c r="K857" s="192" t="s">
        <v>918</v>
      </c>
      <c r="L857" s="192" t="s">
        <v>737</v>
      </c>
      <c r="M857" s="192" t="s">
        <v>919</v>
      </c>
      <c r="N857" s="192" t="s">
        <v>65</v>
      </c>
      <c r="O857" s="192" t="s">
        <v>65</v>
      </c>
      <c r="P857" s="192" t="s">
        <v>926</v>
      </c>
      <c r="Q857" s="192">
        <v>2.9999999329447746E-2</v>
      </c>
      <c r="R857" s="192">
        <v>3.0999999046325684</v>
      </c>
      <c r="S857" s="192">
        <f>VLOOKUP($H857,'RBSA Weights'!$A$2:$C$1406,3,FALSE)</f>
        <v>2003.7159999999999</v>
      </c>
    </row>
    <row r="858" spans="1:19">
      <c r="A858" s="192" t="s">
        <v>931</v>
      </c>
      <c r="B858" s="192">
        <v>1</v>
      </c>
      <c r="C858" s="192">
        <v>0</v>
      </c>
      <c r="D858" s="192" t="s">
        <v>65</v>
      </c>
      <c r="E858" s="192">
        <v>1</v>
      </c>
      <c r="F858" s="192">
        <v>0</v>
      </c>
      <c r="G858" s="192">
        <v>112196</v>
      </c>
      <c r="H858" s="192">
        <v>24341</v>
      </c>
      <c r="I858" s="192">
        <v>1</v>
      </c>
      <c r="J858" s="192">
        <v>1703</v>
      </c>
      <c r="K858" s="192" t="s">
        <v>925</v>
      </c>
      <c r="L858" s="192" t="s">
        <v>927</v>
      </c>
      <c r="M858" s="192" t="s">
        <v>923</v>
      </c>
      <c r="N858" s="192" t="s">
        <v>65</v>
      </c>
      <c r="O858" s="192" t="s">
        <v>65</v>
      </c>
      <c r="P858" s="192" t="s">
        <v>926</v>
      </c>
      <c r="Q858" s="192">
        <v>2.9999999329447746E-2</v>
      </c>
      <c r="R858" s="192">
        <v>3.0999999046325684</v>
      </c>
      <c r="S858" s="192">
        <f>VLOOKUP($H858,'RBSA Weights'!$A$2:$C$1406,3,FALSE)</f>
        <v>1904.288</v>
      </c>
    </row>
    <row r="859" spans="1:19">
      <c r="A859" s="192" t="s">
        <v>931</v>
      </c>
      <c r="B859" s="192">
        <v>1</v>
      </c>
      <c r="C859" s="192">
        <v>1</v>
      </c>
      <c r="D859" s="192" t="s">
        <v>941</v>
      </c>
      <c r="E859" s="192">
        <v>1</v>
      </c>
      <c r="F859" s="192">
        <v>0</v>
      </c>
      <c r="G859" s="192">
        <v>106836</v>
      </c>
      <c r="H859" s="192">
        <v>22903</v>
      </c>
      <c r="I859" s="192">
        <v>1</v>
      </c>
      <c r="J859" s="192">
        <v>2378</v>
      </c>
      <c r="K859" s="192" t="s">
        <v>925</v>
      </c>
      <c r="L859" s="192" t="s">
        <v>927</v>
      </c>
      <c r="M859" s="192" t="s">
        <v>923</v>
      </c>
      <c r="N859" s="192" t="s">
        <v>948</v>
      </c>
      <c r="O859" s="192" t="s">
        <v>65</v>
      </c>
      <c r="P859" s="192" t="s">
        <v>926</v>
      </c>
      <c r="Q859" s="192">
        <v>2.9999999329447746E-2</v>
      </c>
      <c r="R859" s="192">
        <v>3.9000000953674316</v>
      </c>
      <c r="S859" s="192">
        <f>VLOOKUP($H859,'RBSA Weights'!$A$2:$C$1406,3,FALSE)</f>
        <v>1904.288</v>
      </c>
    </row>
    <row r="860" spans="1:19">
      <c r="A860" s="192" t="s">
        <v>931</v>
      </c>
      <c r="B860" s="192">
        <v>1</v>
      </c>
      <c r="C860" s="192">
        <v>0</v>
      </c>
      <c r="D860" s="192" t="s">
        <v>65</v>
      </c>
      <c r="E860" s="192">
        <v>0</v>
      </c>
      <c r="G860" s="192">
        <v>241895</v>
      </c>
      <c r="H860" s="192">
        <v>22280</v>
      </c>
      <c r="I860" s="192">
        <v>1</v>
      </c>
      <c r="J860" s="192">
        <v>720</v>
      </c>
      <c r="K860" s="192" t="s">
        <v>925</v>
      </c>
      <c r="L860" s="192" t="s">
        <v>927</v>
      </c>
      <c r="M860" s="192" t="s">
        <v>919</v>
      </c>
      <c r="N860" s="192" t="s">
        <v>65</v>
      </c>
      <c r="O860" s="192" t="s">
        <v>65</v>
      </c>
      <c r="P860" s="192" t="s">
        <v>65</v>
      </c>
      <c r="Q860" s="192">
        <v>2.9999999329447746E-2</v>
      </c>
      <c r="R860" s="192">
        <v>5</v>
      </c>
      <c r="S860" s="192">
        <f>VLOOKUP($H860,'RBSA Weights'!$A$2:$C$1406,3,FALSE)</f>
        <v>12271.31</v>
      </c>
    </row>
    <row r="861" spans="1:19">
      <c r="A861" s="192" t="s">
        <v>931</v>
      </c>
      <c r="B861" s="192">
        <v>1</v>
      </c>
      <c r="C861" s="192">
        <v>0</v>
      </c>
      <c r="D861" s="192" t="s">
        <v>65</v>
      </c>
      <c r="E861" s="192">
        <v>1</v>
      </c>
      <c r="F861" s="192">
        <v>0</v>
      </c>
      <c r="G861" s="192">
        <v>126323</v>
      </c>
      <c r="H861" s="192">
        <v>23554</v>
      </c>
      <c r="I861" s="192">
        <v>1</v>
      </c>
      <c r="J861" s="192">
        <v>2156</v>
      </c>
      <c r="K861" s="192" t="s">
        <v>925</v>
      </c>
      <c r="L861" s="192" t="s">
        <v>927</v>
      </c>
      <c r="M861" s="192" t="s">
        <v>923</v>
      </c>
      <c r="N861" s="192" t="s">
        <v>65</v>
      </c>
      <c r="O861" s="192" t="s">
        <v>65</v>
      </c>
      <c r="P861" s="192" t="s">
        <v>926</v>
      </c>
      <c r="Q861" s="192">
        <v>2.9999999329447746E-2</v>
      </c>
      <c r="R861" s="192">
        <v>3.0999999046325684</v>
      </c>
      <c r="S861" s="192">
        <f>VLOOKUP($H861,'RBSA Weights'!$A$2:$C$1406,3,FALSE)</f>
        <v>1192.4649999999999</v>
      </c>
    </row>
    <row r="862" spans="1:19">
      <c r="A862" s="192" t="s">
        <v>931</v>
      </c>
      <c r="B862" s="192">
        <v>1</v>
      </c>
      <c r="C862" s="192">
        <v>1</v>
      </c>
      <c r="D862" s="192" t="s">
        <v>921</v>
      </c>
      <c r="E862" s="192">
        <v>1</v>
      </c>
      <c r="F862" s="192">
        <v>0</v>
      </c>
      <c r="G862" s="192">
        <v>121726</v>
      </c>
      <c r="H862" s="192">
        <v>20626</v>
      </c>
      <c r="I862" s="192">
        <v>1</v>
      </c>
      <c r="J862" s="192">
        <v>350</v>
      </c>
      <c r="K862" s="192" t="s">
        <v>925</v>
      </c>
      <c r="L862" s="192" t="s">
        <v>927</v>
      </c>
      <c r="M862" s="192" t="s">
        <v>923</v>
      </c>
      <c r="N862" s="192" t="s">
        <v>948</v>
      </c>
      <c r="O862" s="192" t="s">
        <v>65</v>
      </c>
      <c r="P862" s="192" t="s">
        <v>926</v>
      </c>
      <c r="Q862" s="192">
        <v>2.9999999329447746E-2</v>
      </c>
      <c r="R862" s="192">
        <v>4.5</v>
      </c>
      <c r="S862" s="192">
        <f>VLOOKUP($H862,'RBSA Weights'!$A$2:$C$1406,3,FALSE)</f>
        <v>1904.288</v>
      </c>
    </row>
    <row r="863" spans="1:19">
      <c r="A863" s="192" t="s">
        <v>931</v>
      </c>
      <c r="B863" s="192">
        <v>1</v>
      </c>
      <c r="C863" s="192">
        <v>0</v>
      </c>
      <c r="D863" s="192" t="s">
        <v>65</v>
      </c>
      <c r="E863" s="192">
        <v>1</v>
      </c>
      <c r="F863" s="192">
        <v>0</v>
      </c>
      <c r="G863" s="192">
        <v>802994</v>
      </c>
      <c r="H863" s="192">
        <v>12111</v>
      </c>
      <c r="I863" s="192">
        <v>1</v>
      </c>
      <c r="J863" s="192">
        <v>343</v>
      </c>
      <c r="K863" s="192" t="s">
        <v>925</v>
      </c>
      <c r="L863" s="192" t="s">
        <v>737</v>
      </c>
      <c r="M863" s="192" t="s">
        <v>923</v>
      </c>
      <c r="N863" s="192" t="s">
        <v>65</v>
      </c>
      <c r="O863" s="192" t="s">
        <v>65</v>
      </c>
      <c r="P863" s="192" t="s">
        <v>65</v>
      </c>
      <c r="Q863" s="192">
        <v>2.9999999329447746E-2</v>
      </c>
      <c r="R863" s="192">
        <v>3.0999999046325684</v>
      </c>
      <c r="S863" s="192">
        <f>VLOOKUP($H863,'RBSA Weights'!$A$2:$C$1406,3,FALSE)</f>
        <v>1464.694</v>
      </c>
    </row>
    <row r="864" spans="1:19">
      <c r="A864" s="192" t="s">
        <v>931</v>
      </c>
      <c r="B864" s="192">
        <v>1</v>
      </c>
      <c r="C864" s="192">
        <v>0</v>
      </c>
      <c r="D864" s="192" t="s">
        <v>65</v>
      </c>
      <c r="E864" s="192">
        <v>1</v>
      </c>
      <c r="F864" s="192">
        <v>0</v>
      </c>
      <c r="G864" s="192">
        <v>823799</v>
      </c>
      <c r="H864" s="192">
        <v>12661</v>
      </c>
      <c r="I864" s="192">
        <v>1</v>
      </c>
      <c r="J864" s="192">
        <v>1216</v>
      </c>
      <c r="K864" s="192" t="s">
        <v>925</v>
      </c>
      <c r="L864" s="192" t="s">
        <v>737</v>
      </c>
      <c r="M864" s="192" t="s">
        <v>923</v>
      </c>
      <c r="N864" s="192" t="s">
        <v>65</v>
      </c>
      <c r="O864" s="192" t="s">
        <v>65</v>
      </c>
      <c r="P864" s="192" t="s">
        <v>65</v>
      </c>
      <c r="Q864" s="192">
        <v>2.9999999329447746E-2</v>
      </c>
      <c r="R864" s="192">
        <v>3.0999999046325684</v>
      </c>
      <c r="S864" s="192">
        <f>VLOOKUP($H864,'RBSA Weights'!$A$2:$C$1406,3,FALSE)</f>
        <v>2003.7159999999999</v>
      </c>
    </row>
    <row r="865" spans="1:19">
      <c r="A865" s="192" t="s">
        <v>931</v>
      </c>
      <c r="B865" s="192">
        <v>1</v>
      </c>
      <c r="C865" s="192">
        <v>0</v>
      </c>
      <c r="D865" s="192" t="s">
        <v>940</v>
      </c>
      <c r="E865" s="192">
        <v>1</v>
      </c>
      <c r="F865" s="192">
        <v>1</v>
      </c>
      <c r="G865" s="192">
        <v>99464</v>
      </c>
      <c r="H865" s="192">
        <v>22432</v>
      </c>
      <c r="I865" s="192">
        <v>1</v>
      </c>
      <c r="J865" s="192">
        <v>1022</v>
      </c>
      <c r="K865" s="192" t="s">
        <v>925</v>
      </c>
      <c r="L865" s="192" t="s">
        <v>927</v>
      </c>
      <c r="M865" s="192" t="s">
        <v>923</v>
      </c>
      <c r="N865" s="192" t="s">
        <v>924</v>
      </c>
      <c r="O865" s="192" t="s">
        <v>65</v>
      </c>
      <c r="P865" s="192" t="s">
        <v>924</v>
      </c>
      <c r="Q865" s="192">
        <v>2.9999999329447746E-2</v>
      </c>
      <c r="R865" s="192">
        <v>4.5</v>
      </c>
      <c r="S865" s="192">
        <f>VLOOKUP($H865,'RBSA Weights'!$A$2:$C$1406,3,FALSE)</f>
        <v>1925.059</v>
      </c>
    </row>
    <row r="866" spans="1:19">
      <c r="A866" s="192" t="s">
        <v>931</v>
      </c>
      <c r="B866" s="192">
        <v>1</v>
      </c>
      <c r="C866" s="192">
        <v>0</v>
      </c>
      <c r="D866" s="192" t="s">
        <v>65</v>
      </c>
      <c r="E866" s="192">
        <v>1</v>
      </c>
      <c r="F866" s="192">
        <v>0</v>
      </c>
      <c r="G866" s="192">
        <v>67601</v>
      </c>
      <c r="H866" s="192">
        <v>20076</v>
      </c>
      <c r="I866" s="192">
        <v>1</v>
      </c>
      <c r="J866" s="192">
        <v>1416</v>
      </c>
      <c r="K866" s="192" t="s">
        <v>918</v>
      </c>
      <c r="L866" s="192" t="s">
        <v>737</v>
      </c>
      <c r="M866" s="192" t="s">
        <v>919</v>
      </c>
      <c r="N866" s="192" t="s">
        <v>65</v>
      </c>
      <c r="O866" s="192" t="s">
        <v>65</v>
      </c>
      <c r="P866" s="192" t="s">
        <v>926</v>
      </c>
      <c r="Q866" s="192">
        <v>2.9999999329447746E-2</v>
      </c>
      <c r="R866" s="192">
        <v>3.0999999046325684</v>
      </c>
      <c r="S866" s="192">
        <f>VLOOKUP($H866,'RBSA Weights'!$A$2:$C$1406,3,FALSE)</f>
        <v>3785.7640000000001</v>
      </c>
    </row>
    <row r="867" spans="1:19">
      <c r="A867" s="192" t="s">
        <v>931</v>
      </c>
      <c r="B867" s="192">
        <v>1</v>
      </c>
      <c r="C867" s="192">
        <v>0</v>
      </c>
      <c r="D867" s="192" t="s">
        <v>65</v>
      </c>
      <c r="E867" s="192">
        <v>1</v>
      </c>
      <c r="F867" s="192">
        <v>0</v>
      </c>
      <c r="G867" s="192">
        <v>149056</v>
      </c>
      <c r="H867" s="192">
        <v>12743</v>
      </c>
      <c r="I867" s="192">
        <v>1</v>
      </c>
      <c r="J867" s="192">
        <v>875</v>
      </c>
      <c r="K867" s="192" t="s">
        <v>925</v>
      </c>
      <c r="L867" s="192" t="s">
        <v>737</v>
      </c>
      <c r="M867" s="192" t="s">
        <v>923</v>
      </c>
      <c r="N867" s="192" t="s">
        <v>65</v>
      </c>
      <c r="O867" s="192" t="s">
        <v>65</v>
      </c>
      <c r="P867" s="192" t="s">
        <v>65</v>
      </c>
      <c r="Q867" s="192">
        <v>2.9999999329447746E-2</v>
      </c>
      <c r="R867" s="192">
        <v>3.0999999046325684</v>
      </c>
      <c r="S867" s="192">
        <f>VLOOKUP($H867,'RBSA Weights'!$A$2:$C$1406,3,FALSE)</f>
        <v>4956.4930000000004</v>
      </c>
    </row>
    <row r="868" spans="1:19">
      <c r="A868" s="192" t="s">
        <v>931</v>
      </c>
      <c r="B868" s="192">
        <v>1</v>
      </c>
      <c r="C868" s="192">
        <v>0</v>
      </c>
      <c r="D868" s="192" t="s">
        <v>65</v>
      </c>
      <c r="E868" s="192">
        <v>1</v>
      </c>
      <c r="F868" s="192">
        <v>0</v>
      </c>
      <c r="G868" s="192">
        <v>198810</v>
      </c>
      <c r="H868" s="192">
        <v>11967</v>
      </c>
      <c r="I868" s="192">
        <v>1</v>
      </c>
      <c r="J868" s="192">
        <v>1624</v>
      </c>
      <c r="K868" s="192" t="s">
        <v>918</v>
      </c>
      <c r="L868" s="192" t="s">
        <v>65</v>
      </c>
      <c r="M868" s="192" t="s">
        <v>923</v>
      </c>
      <c r="N868" s="192" t="s">
        <v>65</v>
      </c>
      <c r="O868" s="192" t="s">
        <v>65</v>
      </c>
      <c r="P868" s="192" t="s">
        <v>65</v>
      </c>
      <c r="Q868" s="192">
        <v>2.9999999329447746E-2</v>
      </c>
      <c r="R868" s="192">
        <v>3.0999999046325684</v>
      </c>
      <c r="S868" s="192">
        <f>VLOOKUP($H868,'RBSA Weights'!$A$2:$C$1406,3,FALSE)</f>
        <v>6932.7380000000003</v>
      </c>
    </row>
    <row r="869" spans="1:19">
      <c r="A869" s="192" t="s">
        <v>931</v>
      </c>
      <c r="B869" s="192">
        <v>1</v>
      </c>
      <c r="C869" s="192">
        <v>0</v>
      </c>
      <c r="D869" s="192" t="s">
        <v>65</v>
      </c>
      <c r="E869" s="192">
        <v>1</v>
      </c>
      <c r="F869" s="192">
        <v>0</v>
      </c>
      <c r="G869" s="192">
        <v>230280</v>
      </c>
      <c r="H869" s="192">
        <v>21003</v>
      </c>
      <c r="I869" s="192">
        <v>1</v>
      </c>
      <c r="J869" s="192">
        <v>2033</v>
      </c>
      <c r="K869" s="192" t="s">
        <v>918</v>
      </c>
      <c r="L869" s="192" t="s">
        <v>65</v>
      </c>
      <c r="M869" s="192" t="s">
        <v>923</v>
      </c>
      <c r="N869" s="192" t="s">
        <v>65</v>
      </c>
      <c r="O869" s="192" t="s">
        <v>65</v>
      </c>
      <c r="P869" s="192" t="s">
        <v>65</v>
      </c>
      <c r="Q869" s="192">
        <v>2.9999999329447746E-2</v>
      </c>
      <c r="R869" s="192">
        <v>3.0999999046325684</v>
      </c>
      <c r="S869" s="192">
        <f>VLOOKUP($H869,'RBSA Weights'!$A$2:$C$1406,3,FALSE)</f>
        <v>2079.9929999999999</v>
      </c>
    </row>
    <row r="870" spans="1:19">
      <c r="A870" s="192" t="s">
        <v>931</v>
      </c>
      <c r="B870" s="192">
        <v>1</v>
      </c>
      <c r="C870" s="192">
        <v>0</v>
      </c>
      <c r="D870" s="192" t="s">
        <v>65</v>
      </c>
      <c r="E870" s="192">
        <v>1</v>
      </c>
      <c r="F870" s="192">
        <v>0</v>
      </c>
      <c r="G870" s="192">
        <v>73499</v>
      </c>
      <c r="H870" s="192">
        <v>24781</v>
      </c>
      <c r="I870" s="192">
        <v>1</v>
      </c>
      <c r="J870" s="192">
        <v>1800</v>
      </c>
      <c r="K870" s="192" t="s">
        <v>925</v>
      </c>
      <c r="L870" s="192" t="s">
        <v>927</v>
      </c>
      <c r="M870" s="192" t="s">
        <v>923</v>
      </c>
      <c r="N870" s="192" t="s">
        <v>65</v>
      </c>
      <c r="O870" s="192" t="s">
        <v>65</v>
      </c>
      <c r="P870" s="192" t="s">
        <v>924</v>
      </c>
      <c r="Q870" s="192">
        <v>2.9999999329447746E-2</v>
      </c>
      <c r="R870" s="192">
        <v>3.0999999046325684</v>
      </c>
      <c r="S870" s="192">
        <f>VLOOKUP($H870,'RBSA Weights'!$A$2:$C$1406,3,FALSE)</f>
        <v>2079.9929999999999</v>
      </c>
    </row>
    <row r="871" spans="1:19">
      <c r="A871" s="192" t="s">
        <v>931</v>
      </c>
      <c r="B871" s="192">
        <v>1</v>
      </c>
      <c r="C871" s="192">
        <v>0</v>
      </c>
      <c r="D871" s="192" t="s">
        <v>65</v>
      </c>
      <c r="E871" s="192">
        <v>1</v>
      </c>
      <c r="F871" s="192">
        <v>0</v>
      </c>
      <c r="G871" s="192">
        <v>660178</v>
      </c>
      <c r="H871" s="192">
        <v>12063</v>
      </c>
      <c r="I871" s="192">
        <v>1</v>
      </c>
      <c r="J871" s="192">
        <v>1395</v>
      </c>
      <c r="K871" s="192" t="s">
        <v>925</v>
      </c>
      <c r="L871" s="192" t="s">
        <v>927</v>
      </c>
      <c r="M871" s="192" t="s">
        <v>923</v>
      </c>
      <c r="N871" s="192" t="s">
        <v>65</v>
      </c>
      <c r="O871" s="192" t="s">
        <v>65</v>
      </c>
      <c r="P871" s="192" t="s">
        <v>65</v>
      </c>
      <c r="Q871" s="192">
        <v>2.9999999329447746E-2</v>
      </c>
      <c r="R871" s="192">
        <v>3.0999999046325684</v>
      </c>
      <c r="S871" s="192">
        <f>VLOOKUP($H871,'RBSA Weights'!$A$2:$C$1406,3,FALSE)</f>
        <v>1464.694</v>
      </c>
    </row>
    <row r="872" spans="1:19">
      <c r="A872" s="192" t="s">
        <v>931</v>
      </c>
      <c r="B872" s="192">
        <v>1</v>
      </c>
      <c r="C872" s="192">
        <v>0</v>
      </c>
      <c r="D872" s="192" t="s">
        <v>65</v>
      </c>
      <c r="E872" s="192">
        <v>1</v>
      </c>
      <c r="F872" s="192">
        <v>0</v>
      </c>
      <c r="G872" s="192">
        <v>107401</v>
      </c>
      <c r="H872" s="192">
        <v>23913</v>
      </c>
      <c r="I872" s="192">
        <v>1</v>
      </c>
      <c r="J872" s="192">
        <v>576</v>
      </c>
      <c r="K872" s="192" t="s">
        <v>925</v>
      </c>
      <c r="L872" s="192" t="s">
        <v>927</v>
      </c>
      <c r="M872" s="192" t="s">
        <v>919</v>
      </c>
      <c r="N872" s="192" t="s">
        <v>65</v>
      </c>
      <c r="O872" s="192" t="s">
        <v>65</v>
      </c>
      <c r="P872" s="192" t="s">
        <v>926</v>
      </c>
      <c r="Q872" s="192">
        <v>2.9999999329447746E-2</v>
      </c>
      <c r="R872" s="192">
        <v>3.0999999046325684</v>
      </c>
      <c r="S872" s="192">
        <f>VLOOKUP($H872,'RBSA Weights'!$A$2:$C$1406,3,FALSE)</f>
        <v>2079.9929999999999</v>
      </c>
    </row>
    <row r="873" spans="1:19">
      <c r="A873" s="192" t="s">
        <v>931</v>
      </c>
      <c r="B873" s="192">
        <v>1</v>
      </c>
      <c r="C873" s="192">
        <v>0</v>
      </c>
      <c r="D873" s="192" t="s">
        <v>65</v>
      </c>
      <c r="E873" s="192">
        <v>1</v>
      </c>
      <c r="F873" s="192">
        <v>0</v>
      </c>
      <c r="G873" s="192">
        <v>681001</v>
      </c>
      <c r="H873" s="192">
        <v>13445</v>
      </c>
      <c r="I873" s="192">
        <v>1</v>
      </c>
      <c r="J873" s="192">
        <v>1524</v>
      </c>
      <c r="K873" s="192" t="s">
        <v>925</v>
      </c>
      <c r="L873" s="192" t="s">
        <v>930</v>
      </c>
      <c r="M873" s="192" t="s">
        <v>923</v>
      </c>
      <c r="N873" s="192" t="s">
        <v>65</v>
      </c>
      <c r="O873" s="192" t="s">
        <v>65</v>
      </c>
      <c r="P873" s="192" t="s">
        <v>65</v>
      </c>
      <c r="Q873" s="192">
        <v>2.9999999329447746E-2</v>
      </c>
      <c r="R873" s="192">
        <v>3.0999999046325684</v>
      </c>
      <c r="S873" s="192">
        <f>VLOOKUP($H873,'RBSA Weights'!$A$2:$C$1406,3,FALSE)</f>
        <v>4956.4930000000004</v>
      </c>
    </row>
    <row r="874" spans="1:19">
      <c r="A874" s="192" t="s">
        <v>931</v>
      </c>
      <c r="B874" s="192">
        <v>1</v>
      </c>
      <c r="C874" s="192">
        <v>0</v>
      </c>
      <c r="D874" s="192" t="s">
        <v>65</v>
      </c>
      <c r="E874" s="192">
        <v>1</v>
      </c>
      <c r="F874" s="192">
        <v>0</v>
      </c>
      <c r="G874" s="192">
        <v>206204</v>
      </c>
      <c r="H874" s="192">
        <v>10627</v>
      </c>
      <c r="I874" s="192">
        <v>1</v>
      </c>
      <c r="J874" s="192">
        <v>1378</v>
      </c>
      <c r="K874" s="192" t="s">
        <v>918</v>
      </c>
      <c r="L874" s="192" t="s">
        <v>65</v>
      </c>
      <c r="M874" s="192" t="s">
        <v>919</v>
      </c>
      <c r="N874" s="192" t="s">
        <v>65</v>
      </c>
      <c r="O874" s="192" t="s">
        <v>65</v>
      </c>
      <c r="P874" s="192" t="s">
        <v>65</v>
      </c>
      <c r="Q874" s="192">
        <v>2.9999999329447746E-2</v>
      </c>
      <c r="R874" s="192">
        <v>3.0999999046325684</v>
      </c>
      <c r="S874" s="192">
        <f>VLOOKUP($H874,'RBSA Weights'!$A$2:$C$1406,3,FALSE)</f>
        <v>6932.7380000000003</v>
      </c>
    </row>
    <row r="875" spans="1:19">
      <c r="A875" s="192" t="s">
        <v>931</v>
      </c>
      <c r="B875" s="192">
        <v>1</v>
      </c>
      <c r="C875" s="192">
        <v>0</v>
      </c>
      <c r="D875" s="192" t="s">
        <v>65</v>
      </c>
      <c r="E875" s="192">
        <v>1</v>
      </c>
      <c r="F875" s="192">
        <v>0</v>
      </c>
      <c r="G875" s="192">
        <v>65936</v>
      </c>
      <c r="H875" s="192">
        <v>21350</v>
      </c>
      <c r="I875" s="192">
        <v>1</v>
      </c>
      <c r="J875" s="192">
        <v>1200</v>
      </c>
      <c r="K875" s="192" t="s">
        <v>925</v>
      </c>
      <c r="L875" s="192" t="s">
        <v>737</v>
      </c>
      <c r="M875" s="192" t="s">
        <v>919</v>
      </c>
      <c r="N875" s="192" t="s">
        <v>65</v>
      </c>
      <c r="O875" s="192" t="s">
        <v>65</v>
      </c>
      <c r="P875" s="192" t="s">
        <v>926</v>
      </c>
      <c r="Q875" s="192">
        <v>2.9999999329447746E-2</v>
      </c>
      <c r="R875" s="192">
        <v>3.0999999046325684</v>
      </c>
      <c r="S875" s="192">
        <f>VLOOKUP($H875,'RBSA Weights'!$A$2:$C$1406,3,FALSE)</f>
        <v>8264.9449999999997</v>
      </c>
    </row>
    <row r="876" spans="1:19">
      <c r="A876" s="192" t="s">
        <v>931</v>
      </c>
      <c r="B876" s="192">
        <v>1</v>
      </c>
      <c r="C876" s="192">
        <v>0</v>
      </c>
      <c r="D876" s="192" t="s">
        <v>65</v>
      </c>
      <c r="E876" s="192">
        <v>1</v>
      </c>
      <c r="F876" s="192">
        <v>1</v>
      </c>
      <c r="G876" s="192">
        <v>235477</v>
      </c>
      <c r="H876" s="192">
        <v>24203</v>
      </c>
      <c r="I876" s="192">
        <v>1</v>
      </c>
      <c r="J876" s="192">
        <v>1008</v>
      </c>
      <c r="K876" s="192" t="s">
        <v>925</v>
      </c>
      <c r="L876" s="192" t="s">
        <v>930</v>
      </c>
      <c r="M876" s="192" t="s">
        <v>923</v>
      </c>
      <c r="N876" s="192" t="s">
        <v>65</v>
      </c>
      <c r="O876" s="192" t="s">
        <v>65</v>
      </c>
      <c r="P876" s="192" t="s">
        <v>65</v>
      </c>
      <c r="Q876" s="192">
        <v>2.9999999329447746E-2</v>
      </c>
      <c r="R876" s="192">
        <v>4.5</v>
      </c>
      <c r="S876" s="192">
        <f>VLOOKUP($H876,'RBSA Weights'!$A$2:$C$1406,3,FALSE)</f>
        <v>1904.288</v>
      </c>
    </row>
    <row r="877" spans="1:19">
      <c r="A877" s="192" t="s">
        <v>931</v>
      </c>
      <c r="B877" s="192">
        <v>1</v>
      </c>
      <c r="C877" s="192">
        <v>0</v>
      </c>
      <c r="D877" s="192" t="s">
        <v>65</v>
      </c>
      <c r="E877" s="192">
        <v>1</v>
      </c>
      <c r="F877" s="192">
        <v>0</v>
      </c>
      <c r="G877" s="192">
        <v>189276</v>
      </c>
      <c r="H877" s="192">
        <v>22965</v>
      </c>
      <c r="I877" s="192">
        <v>1</v>
      </c>
      <c r="J877" s="192">
        <v>1120</v>
      </c>
      <c r="K877" s="192" t="s">
        <v>918</v>
      </c>
      <c r="L877" s="192" t="s">
        <v>65</v>
      </c>
      <c r="M877" s="192" t="s">
        <v>923</v>
      </c>
      <c r="N877" s="192" t="s">
        <v>65</v>
      </c>
      <c r="O877" s="192" t="s">
        <v>65</v>
      </c>
      <c r="P877" s="192" t="s">
        <v>65</v>
      </c>
      <c r="Q877" s="192">
        <v>2.9999999329447746E-2</v>
      </c>
      <c r="R877" s="192">
        <v>3.0999999046325684</v>
      </c>
      <c r="S877" s="192">
        <f>VLOOKUP($H877,'RBSA Weights'!$A$2:$C$1406,3,FALSE)</f>
        <v>1612.692</v>
      </c>
    </row>
    <row r="878" spans="1:19">
      <c r="A878" s="192" t="s">
        <v>931</v>
      </c>
      <c r="B878" s="192">
        <v>1</v>
      </c>
      <c r="C878" s="192">
        <v>0</v>
      </c>
      <c r="D878" s="192" t="s">
        <v>65</v>
      </c>
      <c r="E878" s="192">
        <v>1</v>
      </c>
      <c r="F878" s="192">
        <v>0</v>
      </c>
      <c r="G878" s="192">
        <v>208510</v>
      </c>
      <c r="H878" s="192">
        <v>12264</v>
      </c>
      <c r="I878" s="192">
        <v>2</v>
      </c>
      <c r="J878" s="192">
        <v>525</v>
      </c>
      <c r="K878" s="192" t="s">
        <v>925</v>
      </c>
      <c r="L878" s="192" t="s">
        <v>737</v>
      </c>
      <c r="M878" s="192" t="s">
        <v>923</v>
      </c>
      <c r="N878" s="192" t="s">
        <v>65</v>
      </c>
      <c r="O878" s="192" t="s">
        <v>65</v>
      </c>
      <c r="P878" s="192" t="s">
        <v>65</v>
      </c>
      <c r="Q878" s="192">
        <v>2.9999999329447746E-2</v>
      </c>
      <c r="R878" s="192">
        <v>3.0999999046325684</v>
      </c>
      <c r="S878" s="192">
        <f>VLOOKUP($H878,'RBSA Weights'!$A$2:$C$1406,3,FALSE)</f>
        <v>1464.694</v>
      </c>
    </row>
    <row r="879" spans="1:19">
      <c r="A879" s="192" t="s">
        <v>931</v>
      </c>
      <c r="B879" s="192">
        <v>1</v>
      </c>
      <c r="C879" s="192">
        <v>0</v>
      </c>
      <c r="D879" s="192" t="s">
        <v>65</v>
      </c>
      <c r="E879" s="192">
        <v>1</v>
      </c>
      <c r="F879" s="192">
        <v>0</v>
      </c>
      <c r="G879" s="192">
        <v>189582</v>
      </c>
      <c r="H879" s="192">
        <v>22994</v>
      </c>
      <c r="I879" s="192">
        <v>1</v>
      </c>
      <c r="J879" s="192">
        <v>1144</v>
      </c>
      <c r="K879" s="192" t="s">
        <v>925</v>
      </c>
      <c r="L879" s="192" t="s">
        <v>930</v>
      </c>
      <c r="M879" s="192" t="s">
        <v>923</v>
      </c>
      <c r="N879" s="192" t="s">
        <v>65</v>
      </c>
      <c r="O879" s="192" t="s">
        <v>65</v>
      </c>
      <c r="P879" s="192" t="s">
        <v>65</v>
      </c>
      <c r="Q879" s="192">
        <v>2.9999999329447746E-2</v>
      </c>
      <c r="R879" s="192">
        <v>3.0999999046325684</v>
      </c>
      <c r="S879" s="192">
        <f>VLOOKUP($H879,'RBSA Weights'!$A$2:$C$1406,3,FALSE)</f>
        <v>1612.692</v>
      </c>
    </row>
    <row r="880" spans="1:19">
      <c r="A880" s="192" t="s">
        <v>931</v>
      </c>
      <c r="B880" s="192">
        <v>1</v>
      </c>
      <c r="C880" s="192">
        <v>0</v>
      </c>
      <c r="D880" s="192" t="s">
        <v>65</v>
      </c>
      <c r="E880" s="192">
        <v>1</v>
      </c>
      <c r="F880" s="192">
        <v>1</v>
      </c>
      <c r="G880" s="192">
        <v>209263</v>
      </c>
      <c r="H880" s="192">
        <v>23294</v>
      </c>
      <c r="I880" s="192">
        <v>1</v>
      </c>
      <c r="J880" s="192">
        <v>240</v>
      </c>
      <c r="K880" s="192" t="s">
        <v>925</v>
      </c>
      <c r="L880" s="192" t="s">
        <v>930</v>
      </c>
      <c r="M880" s="192" t="s">
        <v>923</v>
      </c>
      <c r="N880" s="192" t="s">
        <v>65</v>
      </c>
      <c r="O880" s="192" t="s">
        <v>65</v>
      </c>
      <c r="P880" s="192" t="s">
        <v>65</v>
      </c>
      <c r="Q880" s="192">
        <v>2.9999999329447746E-2</v>
      </c>
      <c r="R880" s="192">
        <v>4.5</v>
      </c>
      <c r="S880" s="192">
        <f>VLOOKUP($H880,'RBSA Weights'!$A$2:$C$1406,3,FALSE)</f>
        <v>1904.288</v>
      </c>
    </row>
    <row r="881" spans="1:19">
      <c r="A881" s="192" t="s">
        <v>931</v>
      </c>
      <c r="B881" s="192">
        <v>1</v>
      </c>
      <c r="C881" s="192">
        <v>0</v>
      </c>
      <c r="D881" s="192" t="s">
        <v>65</v>
      </c>
      <c r="E881" s="192">
        <v>1</v>
      </c>
      <c r="F881" s="192">
        <v>0</v>
      </c>
      <c r="G881" s="192">
        <v>240611</v>
      </c>
      <c r="H881" s="192">
        <v>14012</v>
      </c>
      <c r="I881" s="192">
        <v>1</v>
      </c>
      <c r="J881" s="192">
        <v>1090</v>
      </c>
      <c r="K881" s="192" t="s">
        <v>925</v>
      </c>
      <c r="L881" s="192" t="s">
        <v>930</v>
      </c>
      <c r="M881" s="192" t="s">
        <v>923</v>
      </c>
      <c r="N881" s="192" t="s">
        <v>65</v>
      </c>
      <c r="O881" s="192" t="s">
        <v>65</v>
      </c>
      <c r="P881" s="192" t="s">
        <v>65</v>
      </c>
      <c r="Q881" s="192">
        <v>2.9999999329447746E-2</v>
      </c>
      <c r="R881" s="192">
        <v>3.0999999046325684</v>
      </c>
      <c r="S881" s="192">
        <f>VLOOKUP($H881,'RBSA Weights'!$A$2:$C$1406,3,FALSE)</f>
        <v>2003.7159999999999</v>
      </c>
    </row>
    <row r="882" spans="1:19">
      <c r="A882" s="192" t="s">
        <v>931</v>
      </c>
      <c r="B882" s="192">
        <v>1</v>
      </c>
      <c r="C882" s="192">
        <v>0</v>
      </c>
      <c r="D882" s="192" t="s">
        <v>65</v>
      </c>
      <c r="E882" s="192">
        <v>1</v>
      </c>
      <c r="F882" s="192">
        <v>0</v>
      </c>
      <c r="G882" s="192">
        <v>197879</v>
      </c>
      <c r="H882" s="192">
        <v>13554</v>
      </c>
      <c r="I882" s="192">
        <v>1</v>
      </c>
      <c r="J882" s="192">
        <v>1281</v>
      </c>
      <c r="K882" s="192" t="s">
        <v>918</v>
      </c>
      <c r="L882" s="192" t="s">
        <v>65</v>
      </c>
      <c r="M882" s="192" t="s">
        <v>923</v>
      </c>
      <c r="N882" s="192" t="s">
        <v>65</v>
      </c>
      <c r="O882" s="192" t="s">
        <v>65</v>
      </c>
      <c r="P882" s="192" t="s">
        <v>65</v>
      </c>
      <c r="Q882" s="192">
        <v>2.9999999329447746E-2</v>
      </c>
      <c r="R882" s="192">
        <v>3.0999999046325684</v>
      </c>
      <c r="S882" s="192">
        <f>VLOOKUP($H882,'RBSA Weights'!$A$2:$C$1406,3,FALSE)</f>
        <v>4956.4930000000004</v>
      </c>
    </row>
    <row r="883" spans="1:19">
      <c r="A883" s="192" t="s">
        <v>931</v>
      </c>
      <c r="B883" s="192">
        <v>1</v>
      </c>
      <c r="C883" s="192">
        <v>0</v>
      </c>
      <c r="D883" s="192" t="s">
        <v>65</v>
      </c>
      <c r="E883" s="192">
        <v>1</v>
      </c>
      <c r="F883" s="192">
        <v>0</v>
      </c>
      <c r="G883" s="192">
        <v>198229</v>
      </c>
      <c r="H883" s="192">
        <v>14102</v>
      </c>
      <c r="I883" s="192">
        <v>1</v>
      </c>
      <c r="J883" s="192">
        <v>2215</v>
      </c>
      <c r="K883" s="192" t="s">
        <v>925</v>
      </c>
      <c r="L883" s="192" t="s">
        <v>927</v>
      </c>
      <c r="M883" s="192" t="s">
        <v>923</v>
      </c>
      <c r="N883" s="192" t="s">
        <v>65</v>
      </c>
      <c r="O883" s="192" t="s">
        <v>65</v>
      </c>
      <c r="P883" s="192" t="s">
        <v>65</v>
      </c>
      <c r="Q883" s="192">
        <v>2.9999999329447746E-2</v>
      </c>
      <c r="R883" s="192">
        <v>3.0999999046325684</v>
      </c>
      <c r="S883" s="192">
        <f>VLOOKUP($H883,'RBSA Weights'!$A$2:$C$1406,3,FALSE)</f>
        <v>4956.4930000000004</v>
      </c>
    </row>
    <row r="884" spans="1:19">
      <c r="A884" s="192" t="s">
        <v>931</v>
      </c>
      <c r="B884" s="192">
        <v>1</v>
      </c>
      <c r="C884" s="192">
        <v>0</v>
      </c>
      <c r="D884" s="192" t="s">
        <v>65</v>
      </c>
      <c r="E884" s="192">
        <v>1</v>
      </c>
      <c r="F884" s="192">
        <v>0</v>
      </c>
      <c r="G884" s="192">
        <v>726301</v>
      </c>
      <c r="H884" s="192">
        <v>12482</v>
      </c>
      <c r="I884" s="192">
        <v>1</v>
      </c>
      <c r="J884" s="192">
        <v>1648</v>
      </c>
      <c r="K884" s="192" t="s">
        <v>925</v>
      </c>
      <c r="L884" s="192" t="s">
        <v>927</v>
      </c>
      <c r="M884" s="192" t="s">
        <v>923</v>
      </c>
      <c r="N884" s="192" t="s">
        <v>65</v>
      </c>
      <c r="O884" s="192" t="s">
        <v>65</v>
      </c>
      <c r="P884" s="192" t="s">
        <v>65</v>
      </c>
      <c r="Q884" s="192">
        <v>2.9999999329447746E-2</v>
      </c>
      <c r="R884" s="192">
        <v>3.0999999046325684</v>
      </c>
      <c r="S884" s="192">
        <f>VLOOKUP($H884,'RBSA Weights'!$A$2:$C$1406,3,FALSE)</f>
        <v>4956.4930000000004</v>
      </c>
    </row>
    <row r="885" spans="1:19">
      <c r="A885" s="192" t="s">
        <v>931</v>
      </c>
      <c r="B885" s="192">
        <v>1</v>
      </c>
      <c r="C885" s="192">
        <v>0</v>
      </c>
      <c r="D885" s="192" t="s">
        <v>65</v>
      </c>
      <c r="E885" s="192">
        <v>1</v>
      </c>
      <c r="F885" s="192">
        <v>0</v>
      </c>
      <c r="G885" s="192">
        <v>81661</v>
      </c>
      <c r="H885" s="192">
        <v>22977</v>
      </c>
      <c r="I885" s="192">
        <v>1</v>
      </c>
      <c r="J885" s="192">
        <v>780</v>
      </c>
      <c r="K885" s="192" t="s">
        <v>918</v>
      </c>
      <c r="L885" s="192" t="s">
        <v>927</v>
      </c>
      <c r="M885" s="192" t="s">
        <v>923</v>
      </c>
      <c r="N885" s="192" t="s">
        <v>65</v>
      </c>
      <c r="O885" s="192" t="s">
        <v>65</v>
      </c>
      <c r="P885" s="192" t="s">
        <v>926</v>
      </c>
      <c r="Q885" s="192">
        <v>2.9999999329447746E-2</v>
      </c>
      <c r="R885" s="192">
        <v>3.0999999046325684</v>
      </c>
      <c r="S885" s="192">
        <f>VLOOKUP($H885,'RBSA Weights'!$A$2:$C$1406,3,FALSE)</f>
        <v>1925.059</v>
      </c>
    </row>
    <row r="886" spans="1:19">
      <c r="A886" s="192" t="s">
        <v>931</v>
      </c>
      <c r="B886" s="192">
        <v>1</v>
      </c>
      <c r="C886" s="192">
        <v>0</v>
      </c>
      <c r="D886" s="192" t="s">
        <v>65</v>
      </c>
      <c r="E886" s="192">
        <v>1</v>
      </c>
      <c r="F886" s="192">
        <v>1</v>
      </c>
      <c r="G886" s="192">
        <v>216452</v>
      </c>
      <c r="H886" s="192">
        <v>10516</v>
      </c>
      <c r="I886" s="192">
        <v>1</v>
      </c>
      <c r="J886" s="192">
        <v>840</v>
      </c>
      <c r="K886" s="192" t="s">
        <v>925</v>
      </c>
      <c r="L886" s="192" t="s">
        <v>927</v>
      </c>
      <c r="M886" s="192" t="s">
        <v>919</v>
      </c>
      <c r="N886" s="192" t="s">
        <v>65</v>
      </c>
      <c r="O886" s="192" t="s">
        <v>65</v>
      </c>
      <c r="P886" s="192" t="s">
        <v>65</v>
      </c>
      <c r="Q886" s="192">
        <v>2.9999999329447746E-2</v>
      </c>
      <c r="R886" s="192">
        <v>4.5</v>
      </c>
      <c r="S886" s="192">
        <f>VLOOKUP($H886,'RBSA Weights'!$A$2:$C$1406,3,FALSE)</f>
        <v>6932.7380000000003</v>
      </c>
    </row>
    <row r="887" spans="1:19">
      <c r="A887" s="192" t="s">
        <v>931</v>
      </c>
      <c r="B887" s="192">
        <v>1</v>
      </c>
      <c r="C887" s="192">
        <v>0</v>
      </c>
      <c r="D887" s="192" t="s">
        <v>65</v>
      </c>
      <c r="E887" s="192">
        <v>1</v>
      </c>
      <c r="F887" s="192">
        <v>0</v>
      </c>
      <c r="G887" s="192">
        <v>83238</v>
      </c>
      <c r="H887" s="192">
        <v>12278</v>
      </c>
      <c r="I887" s="192">
        <v>1</v>
      </c>
      <c r="J887" s="192">
        <v>590</v>
      </c>
      <c r="K887" s="192" t="s">
        <v>918</v>
      </c>
      <c r="L887" s="192" t="s">
        <v>927</v>
      </c>
      <c r="M887" s="192" t="s">
        <v>923</v>
      </c>
      <c r="N887" s="192" t="s">
        <v>65</v>
      </c>
      <c r="O887" s="192" t="s">
        <v>65</v>
      </c>
      <c r="P887" s="192" t="s">
        <v>926</v>
      </c>
      <c r="Q887" s="192">
        <v>2.9999999329447746E-2</v>
      </c>
      <c r="R887" s="192">
        <v>3.0999999046325684</v>
      </c>
      <c r="S887" s="192">
        <f>VLOOKUP($H887,'RBSA Weights'!$A$2:$C$1406,3,FALSE)</f>
        <v>2003.7159999999999</v>
      </c>
    </row>
    <row r="888" spans="1:19">
      <c r="A888" s="192" t="s">
        <v>931</v>
      </c>
      <c r="B888" s="192">
        <v>1</v>
      </c>
      <c r="C888" s="192">
        <v>0</v>
      </c>
      <c r="D888" s="192" t="s">
        <v>65</v>
      </c>
      <c r="E888" s="192">
        <v>1</v>
      </c>
      <c r="F888" s="192">
        <v>0</v>
      </c>
      <c r="G888" s="192">
        <v>40530</v>
      </c>
      <c r="H888" s="192">
        <v>10807</v>
      </c>
      <c r="I888" s="192">
        <v>2</v>
      </c>
      <c r="J888" s="192">
        <v>406</v>
      </c>
      <c r="K888" s="192" t="s">
        <v>925</v>
      </c>
      <c r="L888" s="192" t="s">
        <v>737</v>
      </c>
      <c r="M888" s="192" t="s">
        <v>919</v>
      </c>
      <c r="N888" s="192" t="s">
        <v>65</v>
      </c>
      <c r="O888" s="192" t="s">
        <v>65</v>
      </c>
      <c r="P888" s="192" t="s">
        <v>961</v>
      </c>
      <c r="Q888" s="192">
        <v>2.9999999329447746E-2</v>
      </c>
      <c r="R888" s="192">
        <v>3.0999999046325684</v>
      </c>
      <c r="S888" s="192">
        <f>VLOOKUP($H888,'RBSA Weights'!$A$2:$C$1406,3,FALSE)</f>
        <v>1524.7619999999999</v>
      </c>
    </row>
    <row r="889" spans="1:19">
      <c r="A889" s="192" t="s">
        <v>931</v>
      </c>
      <c r="B889" s="192">
        <v>1</v>
      </c>
      <c r="C889" s="192">
        <v>0</v>
      </c>
      <c r="D889" s="192" t="s">
        <v>65</v>
      </c>
      <c r="E889" s="192">
        <v>1</v>
      </c>
      <c r="F889" s="192">
        <v>0</v>
      </c>
      <c r="G889" s="192">
        <v>183615</v>
      </c>
      <c r="H889" s="192">
        <v>23889</v>
      </c>
      <c r="I889" s="192">
        <v>1</v>
      </c>
      <c r="J889" s="192">
        <v>994</v>
      </c>
      <c r="K889" s="192" t="s">
        <v>918</v>
      </c>
      <c r="L889" s="192" t="s">
        <v>65</v>
      </c>
      <c r="M889" s="192" t="s">
        <v>923</v>
      </c>
      <c r="N889" s="192" t="s">
        <v>65</v>
      </c>
      <c r="O889" s="192" t="s">
        <v>65</v>
      </c>
      <c r="P889" s="192" t="s">
        <v>65</v>
      </c>
      <c r="Q889" s="192">
        <v>2.9999999329447746E-2</v>
      </c>
      <c r="R889" s="192">
        <v>3.0999999046325684</v>
      </c>
      <c r="S889" s="192">
        <f>VLOOKUP($H889,'RBSA Weights'!$A$2:$C$1406,3,FALSE)</f>
        <v>1612.692</v>
      </c>
    </row>
    <row r="890" spans="1:19">
      <c r="A890" s="192" t="s">
        <v>931</v>
      </c>
      <c r="B890" s="192">
        <v>1</v>
      </c>
      <c r="C890" s="192">
        <v>0</v>
      </c>
      <c r="D890" s="192" t="s">
        <v>65</v>
      </c>
      <c r="E890" s="192">
        <v>1</v>
      </c>
      <c r="F890" s="192">
        <v>0</v>
      </c>
      <c r="G890" s="192">
        <v>85502</v>
      </c>
      <c r="H890" s="192">
        <v>23860</v>
      </c>
      <c r="I890" s="192">
        <v>1</v>
      </c>
      <c r="J890" s="192">
        <v>1857</v>
      </c>
      <c r="K890" s="192" t="s">
        <v>918</v>
      </c>
      <c r="L890" s="192" t="s">
        <v>930</v>
      </c>
      <c r="M890" s="192" t="s">
        <v>923</v>
      </c>
      <c r="N890" s="192" t="s">
        <v>65</v>
      </c>
      <c r="O890" s="192" t="s">
        <v>65</v>
      </c>
      <c r="P890" s="192" t="s">
        <v>926</v>
      </c>
      <c r="Q890" s="192">
        <v>2.9999999329447746E-2</v>
      </c>
      <c r="R890" s="192">
        <v>3.0999999046325684</v>
      </c>
      <c r="S890" s="192">
        <f>VLOOKUP($H890,'RBSA Weights'!$A$2:$C$1406,3,FALSE)</f>
        <v>1925.059</v>
      </c>
    </row>
    <row r="891" spans="1:19">
      <c r="A891" s="192" t="s">
        <v>931</v>
      </c>
      <c r="B891" s="192">
        <v>1</v>
      </c>
      <c r="C891" s="192">
        <v>0</v>
      </c>
      <c r="D891" s="192" t="s">
        <v>65</v>
      </c>
      <c r="E891" s="192">
        <v>1</v>
      </c>
      <c r="F891" s="192">
        <v>0</v>
      </c>
      <c r="G891" s="192">
        <v>40223</v>
      </c>
      <c r="H891" s="192">
        <v>10462</v>
      </c>
      <c r="I891" s="192">
        <v>1</v>
      </c>
      <c r="J891" s="192">
        <v>1060</v>
      </c>
      <c r="K891" s="192" t="s">
        <v>925</v>
      </c>
      <c r="L891" s="192" t="s">
        <v>927</v>
      </c>
      <c r="M891" s="192" t="s">
        <v>923</v>
      </c>
      <c r="N891" s="192" t="s">
        <v>65</v>
      </c>
      <c r="O891" s="192" t="s">
        <v>65</v>
      </c>
      <c r="P891" s="192" t="s">
        <v>926</v>
      </c>
      <c r="Q891" s="192">
        <v>2.9999999329447746E-2</v>
      </c>
      <c r="R891" s="192">
        <v>3.0999999046325684</v>
      </c>
      <c r="S891" s="192">
        <f>VLOOKUP($H891,'RBSA Weights'!$A$2:$C$1406,3,FALSE)</f>
        <v>1524.7619999999999</v>
      </c>
    </row>
    <row r="892" spans="1:19">
      <c r="A892" s="192" t="s">
        <v>931</v>
      </c>
      <c r="B892" s="192">
        <v>1</v>
      </c>
      <c r="C892" s="192">
        <v>0</v>
      </c>
      <c r="D892" s="192" t="s">
        <v>65</v>
      </c>
      <c r="E892" s="192">
        <v>1</v>
      </c>
      <c r="F892" s="192">
        <v>0</v>
      </c>
      <c r="G892" s="192">
        <v>46204</v>
      </c>
      <c r="H892" s="192">
        <v>12739</v>
      </c>
      <c r="I892" s="192">
        <v>1</v>
      </c>
      <c r="J892" s="192">
        <v>640</v>
      </c>
      <c r="K892" s="192" t="s">
        <v>925</v>
      </c>
      <c r="L892" s="192" t="s">
        <v>922</v>
      </c>
      <c r="M892" s="192" t="s">
        <v>919</v>
      </c>
      <c r="N892" s="192" t="s">
        <v>65</v>
      </c>
      <c r="O892" s="192" t="s">
        <v>65</v>
      </c>
      <c r="P892" s="192" t="s">
        <v>926</v>
      </c>
      <c r="Q892" s="192">
        <v>2.9999999329447746E-2</v>
      </c>
      <c r="R892" s="192">
        <v>3.0999999046325684</v>
      </c>
      <c r="S892" s="192">
        <f>VLOOKUP($H892,'RBSA Weights'!$A$2:$C$1406,3,FALSE)</f>
        <v>1188.027</v>
      </c>
    </row>
    <row r="893" spans="1:19">
      <c r="A893" s="192" t="s">
        <v>931</v>
      </c>
      <c r="B893" s="192">
        <v>1</v>
      </c>
      <c r="C893" s="192">
        <v>0</v>
      </c>
      <c r="D893" s="192" t="s">
        <v>65</v>
      </c>
      <c r="E893" s="192">
        <v>1</v>
      </c>
      <c r="F893" s="192">
        <v>0</v>
      </c>
      <c r="G893" s="192">
        <v>189921</v>
      </c>
      <c r="H893" s="192">
        <v>21981</v>
      </c>
      <c r="I893" s="192">
        <v>1</v>
      </c>
      <c r="J893" s="192">
        <v>990</v>
      </c>
      <c r="K893" s="192" t="s">
        <v>918</v>
      </c>
      <c r="L893" s="192" t="s">
        <v>65</v>
      </c>
      <c r="M893" s="192" t="s">
        <v>923</v>
      </c>
      <c r="N893" s="192" t="s">
        <v>65</v>
      </c>
      <c r="O893" s="192" t="s">
        <v>65</v>
      </c>
      <c r="P893" s="192" t="s">
        <v>65</v>
      </c>
      <c r="Q893" s="192">
        <v>2.9999999329447746E-2</v>
      </c>
      <c r="R893" s="192">
        <v>3.0999999046325684</v>
      </c>
      <c r="S893" s="192">
        <f>VLOOKUP($H893,'RBSA Weights'!$A$2:$C$1406,3,FALSE)</f>
        <v>2079.9929999999999</v>
      </c>
    </row>
    <row r="894" spans="1:19">
      <c r="A894" s="192" t="s">
        <v>931</v>
      </c>
      <c r="B894" s="192">
        <v>1</v>
      </c>
      <c r="C894" s="192">
        <v>0</v>
      </c>
      <c r="D894" s="192" t="s">
        <v>65</v>
      </c>
      <c r="E894" s="192">
        <v>0</v>
      </c>
      <c r="G894" s="192">
        <v>163547</v>
      </c>
      <c r="H894" s="192">
        <v>10809</v>
      </c>
      <c r="I894" s="192">
        <v>1</v>
      </c>
      <c r="J894" s="192">
        <v>766</v>
      </c>
      <c r="K894" s="192" t="s">
        <v>918</v>
      </c>
      <c r="L894" s="192" t="s">
        <v>65</v>
      </c>
      <c r="M894" s="192" t="s">
        <v>919</v>
      </c>
      <c r="N894" s="192" t="s">
        <v>65</v>
      </c>
      <c r="O894" s="192" t="s">
        <v>65</v>
      </c>
      <c r="P894" s="192" t="s">
        <v>65</v>
      </c>
      <c r="Q894" s="192">
        <v>2.9999999329447746E-2</v>
      </c>
      <c r="R894" s="192">
        <v>5</v>
      </c>
      <c r="S894" s="192">
        <f>VLOOKUP($H894,'RBSA Weights'!$A$2:$C$1406,3,FALSE)</f>
        <v>4956.4930000000004</v>
      </c>
    </row>
    <row r="895" spans="1:19">
      <c r="A895" s="192" t="s">
        <v>931</v>
      </c>
      <c r="B895" s="192">
        <v>1</v>
      </c>
      <c r="C895" s="192">
        <v>0</v>
      </c>
      <c r="D895" s="192" t="s">
        <v>65</v>
      </c>
      <c r="E895" s="192">
        <v>1</v>
      </c>
      <c r="F895" s="192">
        <v>0</v>
      </c>
      <c r="G895" s="192">
        <v>726805</v>
      </c>
      <c r="H895" s="192">
        <v>20612</v>
      </c>
      <c r="I895" s="192">
        <v>1</v>
      </c>
      <c r="J895" s="192">
        <v>1140</v>
      </c>
      <c r="K895" s="192" t="s">
        <v>925</v>
      </c>
      <c r="L895" s="192" t="s">
        <v>927</v>
      </c>
      <c r="M895" s="192" t="s">
        <v>923</v>
      </c>
      <c r="N895" s="192" t="s">
        <v>65</v>
      </c>
      <c r="O895" s="192" t="s">
        <v>65</v>
      </c>
      <c r="P895" s="192" t="s">
        <v>65</v>
      </c>
      <c r="Q895" s="192">
        <v>2.9999999329447746E-2</v>
      </c>
      <c r="R895" s="192">
        <v>3.0999999046325684</v>
      </c>
      <c r="S895" s="192">
        <f>VLOOKUP($H895,'RBSA Weights'!$A$2:$C$1406,3,FALSE)</f>
        <v>2079.9929999999999</v>
      </c>
    </row>
    <row r="896" spans="1:19">
      <c r="A896" s="192" t="s">
        <v>931</v>
      </c>
      <c r="B896" s="192">
        <v>1</v>
      </c>
      <c r="C896" s="192">
        <v>0</v>
      </c>
      <c r="D896" s="192" t="s">
        <v>65</v>
      </c>
      <c r="E896" s="192">
        <v>1</v>
      </c>
      <c r="F896" s="192">
        <v>0</v>
      </c>
      <c r="G896" s="192">
        <v>723059</v>
      </c>
      <c r="H896" s="192">
        <v>21355</v>
      </c>
      <c r="I896" s="192">
        <v>1</v>
      </c>
      <c r="J896" s="192">
        <v>1040</v>
      </c>
      <c r="K896" s="192" t="s">
        <v>925</v>
      </c>
      <c r="L896" s="192" t="s">
        <v>737</v>
      </c>
      <c r="M896" s="192" t="s">
        <v>923</v>
      </c>
      <c r="N896" s="192" t="s">
        <v>65</v>
      </c>
      <c r="O896" s="192" t="s">
        <v>65</v>
      </c>
      <c r="P896" s="192" t="s">
        <v>65</v>
      </c>
      <c r="Q896" s="192">
        <v>2.9999999329447746E-2</v>
      </c>
      <c r="R896" s="192">
        <v>3.0999999046325684</v>
      </c>
      <c r="S896" s="192">
        <f>VLOOKUP($H896,'RBSA Weights'!$A$2:$C$1406,3,FALSE)</f>
        <v>8264.9449999999997</v>
      </c>
    </row>
    <row r="897" spans="1:19">
      <c r="A897" s="192" t="s">
        <v>931</v>
      </c>
      <c r="B897" s="192">
        <v>1</v>
      </c>
      <c r="C897" s="192">
        <v>1</v>
      </c>
      <c r="D897" s="192" t="s">
        <v>941</v>
      </c>
      <c r="E897" s="192">
        <v>1</v>
      </c>
      <c r="F897" s="192">
        <v>0</v>
      </c>
      <c r="G897" s="192">
        <v>95608</v>
      </c>
      <c r="H897" s="192">
        <v>21883</v>
      </c>
      <c r="I897" s="192">
        <v>1</v>
      </c>
      <c r="J897" s="192">
        <v>546</v>
      </c>
      <c r="K897" s="192" t="s">
        <v>918</v>
      </c>
      <c r="L897" s="192" t="s">
        <v>927</v>
      </c>
      <c r="M897" s="192" t="s">
        <v>923</v>
      </c>
      <c r="N897" s="192" t="s">
        <v>924</v>
      </c>
      <c r="O897" s="192" t="s">
        <v>65</v>
      </c>
      <c r="P897" s="192" t="s">
        <v>924</v>
      </c>
      <c r="Q897" s="192">
        <v>2.9999999329447746E-2</v>
      </c>
      <c r="R897" s="192">
        <v>3.9000000953674316</v>
      </c>
      <c r="S897" s="192">
        <f>VLOOKUP($H897,'RBSA Weights'!$A$2:$C$1406,3,FALSE)</f>
        <v>1144.6790000000001</v>
      </c>
    </row>
    <row r="898" spans="1:19">
      <c r="A898" s="192" t="s">
        <v>931</v>
      </c>
      <c r="B898" s="192">
        <v>1</v>
      </c>
      <c r="C898" s="192">
        <v>0</v>
      </c>
      <c r="D898" s="192" t="s">
        <v>65</v>
      </c>
      <c r="E898" s="192">
        <v>1</v>
      </c>
      <c r="F898" s="192">
        <v>0</v>
      </c>
      <c r="G898" s="192">
        <v>46087</v>
      </c>
      <c r="H898" s="192">
        <v>11536</v>
      </c>
      <c r="I898" s="192">
        <v>1</v>
      </c>
      <c r="J898" s="192">
        <v>1104</v>
      </c>
      <c r="K898" s="192" t="s">
        <v>925</v>
      </c>
      <c r="L898" s="192" t="s">
        <v>737</v>
      </c>
      <c r="M898" s="192" t="s">
        <v>919</v>
      </c>
      <c r="N898" s="192" t="s">
        <v>65</v>
      </c>
      <c r="O898" s="192" t="s">
        <v>65</v>
      </c>
      <c r="P898" s="192" t="s">
        <v>65</v>
      </c>
      <c r="Q898" s="192">
        <v>2.9999999329447746E-2</v>
      </c>
      <c r="R898" s="192">
        <v>3.0999999046325684</v>
      </c>
      <c r="S898" s="192">
        <f>VLOOKUP($H898,'RBSA Weights'!$A$2:$C$1406,3,FALSE)</f>
        <v>1188.027</v>
      </c>
    </row>
    <row r="899" spans="1:19">
      <c r="A899" s="192" t="s">
        <v>931</v>
      </c>
      <c r="B899" s="192">
        <v>1</v>
      </c>
      <c r="C899" s="192">
        <v>0</v>
      </c>
      <c r="D899" s="192" t="s">
        <v>65</v>
      </c>
      <c r="E899" s="192">
        <v>1</v>
      </c>
      <c r="F899" s="192">
        <v>0</v>
      </c>
      <c r="G899" s="192">
        <v>66384</v>
      </c>
      <c r="H899" s="192">
        <v>20859</v>
      </c>
      <c r="I899" s="192">
        <v>1</v>
      </c>
      <c r="J899" s="192">
        <v>950</v>
      </c>
      <c r="K899" s="192" t="s">
        <v>925</v>
      </c>
      <c r="L899" s="192" t="s">
        <v>930</v>
      </c>
      <c r="M899" s="192" t="s">
        <v>919</v>
      </c>
      <c r="N899" s="192" t="s">
        <v>65</v>
      </c>
      <c r="O899" s="192" t="s">
        <v>65</v>
      </c>
      <c r="P899" s="192" t="s">
        <v>926</v>
      </c>
      <c r="Q899" s="192">
        <v>2.9999999329447746E-2</v>
      </c>
      <c r="R899" s="192">
        <v>3.0999999046325684</v>
      </c>
      <c r="S899" s="192">
        <f>VLOOKUP($H899,'RBSA Weights'!$A$2:$C$1406,3,FALSE)</f>
        <v>2079.9929999999999</v>
      </c>
    </row>
    <row r="900" spans="1:19">
      <c r="A900" s="192" t="s">
        <v>931</v>
      </c>
      <c r="B900" s="192">
        <v>1</v>
      </c>
      <c r="C900" s="192">
        <v>0</v>
      </c>
      <c r="D900" s="192" t="s">
        <v>65</v>
      </c>
      <c r="E900" s="192">
        <v>1</v>
      </c>
      <c r="F900" s="192">
        <v>0</v>
      </c>
      <c r="G900" s="192">
        <v>118131</v>
      </c>
      <c r="H900" s="192">
        <v>12556</v>
      </c>
      <c r="I900" s="192">
        <v>1</v>
      </c>
      <c r="J900" s="192">
        <v>2360</v>
      </c>
      <c r="K900" s="192" t="s">
        <v>925</v>
      </c>
      <c r="L900" s="192" t="s">
        <v>927</v>
      </c>
      <c r="M900" s="192" t="s">
        <v>919</v>
      </c>
      <c r="N900" s="192" t="s">
        <v>65</v>
      </c>
      <c r="O900" s="192" t="s">
        <v>65</v>
      </c>
      <c r="P900" s="192" t="s">
        <v>926</v>
      </c>
      <c r="Q900" s="192">
        <v>2.9999999329447746E-2</v>
      </c>
      <c r="R900" s="192">
        <v>3.0999999046325684</v>
      </c>
      <c r="S900" s="192">
        <f>VLOOKUP($H900,'RBSA Weights'!$A$2:$C$1406,3,FALSE)</f>
        <v>4956.4930000000004</v>
      </c>
    </row>
    <row r="901" spans="1:19">
      <c r="A901" s="192" t="s">
        <v>931</v>
      </c>
      <c r="B901" s="192">
        <v>1</v>
      </c>
      <c r="C901" s="192">
        <v>1</v>
      </c>
      <c r="D901" s="192" t="s">
        <v>941</v>
      </c>
      <c r="E901" s="192">
        <v>1</v>
      </c>
      <c r="F901" s="192">
        <v>0</v>
      </c>
      <c r="G901" s="192">
        <v>169888</v>
      </c>
      <c r="H901" s="192">
        <v>23926</v>
      </c>
      <c r="I901" s="192">
        <v>1</v>
      </c>
      <c r="J901" s="192">
        <v>1044</v>
      </c>
      <c r="K901" s="192" t="s">
        <v>925</v>
      </c>
      <c r="L901" s="192" t="s">
        <v>930</v>
      </c>
      <c r="M901" s="192" t="s">
        <v>923</v>
      </c>
      <c r="N901" s="192" t="s">
        <v>65</v>
      </c>
      <c r="O901" s="192" t="s">
        <v>65</v>
      </c>
      <c r="P901" s="192" t="s">
        <v>65</v>
      </c>
      <c r="Q901" s="192">
        <v>2.9999999329447746E-2</v>
      </c>
      <c r="R901" s="192">
        <v>3.9000000953674316</v>
      </c>
      <c r="S901" s="192">
        <f>VLOOKUP($H901,'RBSA Weights'!$A$2:$C$1406,3,FALSE)</f>
        <v>3785.7640000000001</v>
      </c>
    </row>
    <row r="902" spans="1:19">
      <c r="A902" s="192" t="s">
        <v>931</v>
      </c>
      <c r="B902" s="192">
        <v>1</v>
      </c>
      <c r="C902" s="192">
        <v>0</v>
      </c>
      <c r="D902" s="192" t="s">
        <v>65</v>
      </c>
      <c r="E902" s="192">
        <v>1</v>
      </c>
      <c r="F902" s="192">
        <v>0</v>
      </c>
      <c r="G902" s="192">
        <v>62395</v>
      </c>
      <c r="H902" s="192">
        <v>10866</v>
      </c>
      <c r="I902" s="192">
        <v>1</v>
      </c>
      <c r="J902" s="192">
        <v>2256</v>
      </c>
      <c r="K902" s="192" t="s">
        <v>925</v>
      </c>
      <c r="L902" s="192" t="s">
        <v>737</v>
      </c>
      <c r="M902" s="192" t="s">
        <v>919</v>
      </c>
      <c r="N902" s="192" t="s">
        <v>65</v>
      </c>
      <c r="O902" s="192" t="s">
        <v>65</v>
      </c>
      <c r="P902" s="192" t="s">
        <v>926</v>
      </c>
      <c r="Q902" s="192">
        <v>2.9999999329447746E-2</v>
      </c>
      <c r="R902" s="192">
        <v>3.0999999046325684</v>
      </c>
      <c r="S902" s="192">
        <f>VLOOKUP($H902,'RBSA Weights'!$A$2:$C$1406,3,FALSE)</f>
        <v>2003.7159999999999</v>
      </c>
    </row>
    <row r="903" spans="1:19">
      <c r="A903" s="192" t="s">
        <v>931</v>
      </c>
      <c r="B903" s="192">
        <v>1</v>
      </c>
      <c r="C903" s="192">
        <v>1</v>
      </c>
      <c r="D903" s="192" t="s">
        <v>941</v>
      </c>
      <c r="E903" s="192">
        <v>1</v>
      </c>
      <c r="F903" s="192">
        <v>0</v>
      </c>
      <c r="G903" s="192">
        <v>111426</v>
      </c>
      <c r="H903" s="192">
        <v>21967</v>
      </c>
      <c r="I903" s="192">
        <v>1</v>
      </c>
      <c r="J903" s="192">
        <v>1960</v>
      </c>
      <c r="K903" s="192" t="s">
        <v>925</v>
      </c>
      <c r="L903" s="192" t="s">
        <v>927</v>
      </c>
      <c r="M903" s="192" t="s">
        <v>923</v>
      </c>
      <c r="N903" s="192" t="s">
        <v>948</v>
      </c>
      <c r="O903" s="192" t="s">
        <v>65</v>
      </c>
      <c r="P903" s="192" t="s">
        <v>926</v>
      </c>
      <c r="Q903" s="192">
        <v>2.9999999329447746E-2</v>
      </c>
      <c r="R903" s="192">
        <v>3.9000000953674316</v>
      </c>
      <c r="S903" s="192">
        <f>VLOOKUP($H903,'RBSA Weights'!$A$2:$C$1406,3,FALSE)</f>
        <v>1904.288</v>
      </c>
    </row>
    <row r="904" spans="1:19">
      <c r="A904" s="192" t="s">
        <v>931</v>
      </c>
      <c r="B904" s="192">
        <v>1</v>
      </c>
      <c r="C904" s="192">
        <v>1</v>
      </c>
      <c r="D904" s="192" t="s">
        <v>941</v>
      </c>
      <c r="E904" s="192">
        <v>1</v>
      </c>
      <c r="F904" s="192">
        <v>0</v>
      </c>
      <c r="G904" s="192">
        <v>88677</v>
      </c>
      <c r="H904" s="192">
        <v>22203</v>
      </c>
      <c r="I904" s="192">
        <v>1</v>
      </c>
      <c r="J904" s="192">
        <v>1090</v>
      </c>
      <c r="K904" s="192" t="s">
        <v>925</v>
      </c>
      <c r="L904" s="192" t="s">
        <v>927</v>
      </c>
      <c r="M904" s="192" t="s">
        <v>923</v>
      </c>
      <c r="N904" s="192" t="s">
        <v>948</v>
      </c>
      <c r="O904" s="192" t="s">
        <v>65</v>
      </c>
      <c r="P904" s="192" t="s">
        <v>926</v>
      </c>
      <c r="Q904" s="192">
        <v>2.9999999329447746E-2</v>
      </c>
      <c r="R904" s="192">
        <v>3.9000000953674316</v>
      </c>
      <c r="S904" s="192">
        <f>VLOOKUP($H904,'RBSA Weights'!$A$2:$C$1406,3,FALSE)</f>
        <v>1925.059</v>
      </c>
    </row>
    <row r="905" spans="1:19">
      <c r="A905" s="192" t="s">
        <v>931</v>
      </c>
      <c r="B905" s="192">
        <v>1</v>
      </c>
      <c r="C905" s="192">
        <v>0</v>
      </c>
      <c r="D905" s="192" t="s">
        <v>65</v>
      </c>
      <c r="E905" s="192">
        <v>1</v>
      </c>
      <c r="F905" s="192">
        <v>0</v>
      </c>
      <c r="G905" s="192">
        <v>173996</v>
      </c>
      <c r="H905" s="192">
        <v>21180</v>
      </c>
      <c r="I905" s="192">
        <v>1</v>
      </c>
      <c r="J905" s="192">
        <v>1575</v>
      </c>
      <c r="K905" s="192" t="s">
        <v>918</v>
      </c>
      <c r="L905" s="192" t="s">
        <v>65</v>
      </c>
      <c r="M905" s="192" t="s">
        <v>923</v>
      </c>
      <c r="N905" s="192" t="s">
        <v>65</v>
      </c>
      <c r="O905" s="192" t="s">
        <v>65</v>
      </c>
      <c r="P905" s="192" t="s">
        <v>65</v>
      </c>
      <c r="Q905" s="192">
        <v>2.9999999329447746E-2</v>
      </c>
      <c r="R905" s="192">
        <v>3.0999999046325684</v>
      </c>
      <c r="S905" s="192">
        <f>VLOOKUP($H905,'RBSA Weights'!$A$2:$C$1406,3,FALSE)</f>
        <v>2079.9929999999999</v>
      </c>
    </row>
    <row r="906" spans="1:19">
      <c r="A906" s="192" t="s">
        <v>931</v>
      </c>
      <c r="B906" s="192">
        <v>1</v>
      </c>
      <c r="C906" s="192">
        <v>1</v>
      </c>
      <c r="D906" s="192" t="s">
        <v>941</v>
      </c>
      <c r="E906" s="192">
        <v>1</v>
      </c>
      <c r="F906" s="192">
        <v>0</v>
      </c>
      <c r="G906" s="192">
        <v>39714</v>
      </c>
      <c r="H906" s="192">
        <v>12321</v>
      </c>
      <c r="I906" s="192">
        <v>2</v>
      </c>
      <c r="J906" s="192">
        <v>642</v>
      </c>
      <c r="K906" s="192" t="s">
        <v>925</v>
      </c>
      <c r="L906" s="192" t="s">
        <v>927</v>
      </c>
      <c r="M906" s="192" t="s">
        <v>923</v>
      </c>
      <c r="N906" s="192" t="s">
        <v>65</v>
      </c>
      <c r="O906" s="192" t="s">
        <v>982</v>
      </c>
      <c r="P906" s="192" t="s">
        <v>65</v>
      </c>
      <c r="Q906" s="192">
        <v>2.9999999329447746E-2</v>
      </c>
      <c r="R906" s="192">
        <v>3.9000000953674316</v>
      </c>
      <c r="S906" s="192">
        <f>VLOOKUP($H906,'RBSA Weights'!$A$2:$C$1406,3,FALSE)</f>
        <v>1524.7619999999999</v>
      </c>
    </row>
    <row r="907" spans="1:19">
      <c r="A907" s="192" t="s">
        <v>931</v>
      </c>
      <c r="B907" s="192">
        <v>1</v>
      </c>
      <c r="C907" s="192">
        <v>0</v>
      </c>
      <c r="D907" s="192" t="s">
        <v>65</v>
      </c>
      <c r="E907" s="192">
        <v>1</v>
      </c>
      <c r="F907" s="192">
        <v>0</v>
      </c>
      <c r="G907" s="192">
        <v>82219</v>
      </c>
      <c r="H907" s="192">
        <v>12510</v>
      </c>
      <c r="I907" s="192">
        <v>1</v>
      </c>
      <c r="J907" s="192">
        <v>2152</v>
      </c>
      <c r="K907" s="192" t="s">
        <v>925</v>
      </c>
      <c r="L907" s="192" t="s">
        <v>927</v>
      </c>
      <c r="M907" s="192" t="s">
        <v>919</v>
      </c>
      <c r="N907" s="192" t="s">
        <v>65</v>
      </c>
      <c r="O907" s="192" t="s">
        <v>65</v>
      </c>
      <c r="P907" s="192" t="s">
        <v>926</v>
      </c>
      <c r="Q907" s="192">
        <v>2.9999999329447746E-2</v>
      </c>
      <c r="R907" s="192">
        <v>3.0999999046325684</v>
      </c>
      <c r="S907" s="192">
        <f>VLOOKUP($H907,'RBSA Weights'!$A$2:$C$1406,3,FALSE)</f>
        <v>2003.7159999999999</v>
      </c>
    </row>
    <row r="908" spans="1:19">
      <c r="A908" s="192" t="s">
        <v>931</v>
      </c>
      <c r="B908" s="192">
        <v>1</v>
      </c>
      <c r="C908" s="192">
        <v>0</v>
      </c>
      <c r="D908" s="192" t="s">
        <v>65</v>
      </c>
      <c r="E908" s="192">
        <v>1</v>
      </c>
      <c r="F908" s="192">
        <v>0</v>
      </c>
      <c r="G908" s="192">
        <v>66218</v>
      </c>
      <c r="H908" s="192">
        <v>10681</v>
      </c>
      <c r="I908" s="192">
        <v>1</v>
      </c>
      <c r="J908" s="192">
        <v>290</v>
      </c>
      <c r="K908" s="192" t="s">
        <v>925</v>
      </c>
      <c r="L908" s="192" t="s">
        <v>927</v>
      </c>
      <c r="M908" s="192" t="s">
        <v>923</v>
      </c>
      <c r="N908" s="192" t="s">
        <v>65</v>
      </c>
      <c r="O908" s="192" t="s">
        <v>65</v>
      </c>
      <c r="P908" s="192" t="s">
        <v>65</v>
      </c>
      <c r="Q908" s="192">
        <v>2.9999999329447746E-2</v>
      </c>
      <c r="R908" s="192">
        <v>3.0999999046325684</v>
      </c>
      <c r="S908" s="192">
        <f>VLOOKUP($H908,'RBSA Weights'!$A$2:$C$1406,3,FALSE)</f>
        <v>2003.7159999999999</v>
      </c>
    </row>
    <row r="909" spans="1:19">
      <c r="A909" s="192" t="s">
        <v>931</v>
      </c>
      <c r="B909" s="192">
        <v>1</v>
      </c>
      <c r="C909" s="192">
        <v>1</v>
      </c>
      <c r="D909" s="192" t="s">
        <v>933</v>
      </c>
      <c r="E909" s="192">
        <v>0</v>
      </c>
      <c r="F909" s="192">
        <v>0</v>
      </c>
      <c r="G909" s="192">
        <v>86942</v>
      </c>
      <c r="H909" s="192">
        <v>23113</v>
      </c>
      <c r="I909" s="192">
        <v>1</v>
      </c>
      <c r="J909" s="192">
        <v>972</v>
      </c>
      <c r="K909" s="192" t="s">
        <v>925</v>
      </c>
      <c r="L909" s="192" t="s">
        <v>930</v>
      </c>
      <c r="M909" s="192" t="s">
        <v>919</v>
      </c>
      <c r="N909" s="192" t="s">
        <v>924</v>
      </c>
      <c r="O909" s="192" t="s">
        <v>65</v>
      </c>
      <c r="P909" s="192" t="s">
        <v>924</v>
      </c>
      <c r="Q909" s="192">
        <v>2.9999999329447746E-2</v>
      </c>
      <c r="R909" s="192">
        <v>10.699999809265137</v>
      </c>
      <c r="S909" s="192">
        <f>VLOOKUP($H909,'RBSA Weights'!$A$2:$C$1406,3,FALSE)</f>
        <v>1144.6790000000001</v>
      </c>
    </row>
    <row r="910" spans="1:19">
      <c r="A910" s="192" t="s">
        <v>931</v>
      </c>
      <c r="B910" s="192">
        <v>1</v>
      </c>
      <c r="C910" s="192">
        <v>1</v>
      </c>
      <c r="D910" s="192" t="s">
        <v>941</v>
      </c>
      <c r="E910" s="192">
        <v>1</v>
      </c>
      <c r="F910" s="192">
        <v>0</v>
      </c>
      <c r="G910" s="192">
        <v>52012</v>
      </c>
      <c r="H910" s="192">
        <v>24332</v>
      </c>
      <c r="I910" s="192">
        <v>1</v>
      </c>
      <c r="J910" s="192">
        <v>840</v>
      </c>
      <c r="K910" s="192" t="s">
        <v>925</v>
      </c>
      <c r="L910" s="192" t="s">
        <v>927</v>
      </c>
      <c r="M910" s="192" t="s">
        <v>919</v>
      </c>
      <c r="N910" s="192" t="s">
        <v>948</v>
      </c>
      <c r="O910" s="192" t="s">
        <v>65</v>
      </c>
      <c r="P910" s="192" t="s">
        <v>926</v>
      </c>
      <c r="Q910" s="192">
        <v>2.9999999329447746E-2</v>
      </c>
      <c r="R910" s="192">
        <v>3.9000000953674316</v>
      </c>
      <c r="S910" s="192">
        <f>VLOOKUP($H910,'RBSA Weights'!$A$2:$C$1406,3,FALSE)</f>
        <v>2130.886</v>
      </c>
    </row>
    <row r="911" spans="1:19">
      <c r="A911" s="192" t="s">
        <v>931</v>
      </c>
      <c r="B911" s="192">
        <v>1</v>
      </c>
      <c r="C911" s="192">
        <v>0</v>
      </c>
      <c r="D911" s="192" t="s">
        <v>65</v>
      </c>
      <c r="E911" s="192">
        <v>1</v>
      </c>
      <c r="F911" s="192">
        <v>0</v>
      </c>
      <c r="G911" s="192">
        <v>163346</v>
      </c>
      <c r="H911" s="192">
        <v>23602</v>
      </c>
      <c r="I911" s="192">
        <v>1</v>
      </c>
      <c r="J911" s="192">
        <v>1728</v>
      </c>
      <c r="K911" s="192" t="s">
        <v>925</v>
      </c>
      <c r="L911" s="192" t="s">
        <v>930</v>
      </c>
      <c r="M911" s="192" t="s">
        <v>923</v>
      </c>
      <c r="N911" s="192" t="s">
        <v>65</v>
      </c>
      <c r="O911" s="192" t="s">
        <v>65</v>
      </c>
      <c r="P911" s="192" t="s">
        <v>65</v>
      </c>
      <c r="Q911" s="192">
        <v>2.9999999329447746E-2</v>
      </c>
      <c r="R911" s="192">
        <v>3.0999999046325684</v>
      </c>
      <c r="S911" s="192">
        <f>VLOOKUP($H911,'RBSA Weights'!$A$2:$C$1406,3,FALSE)</f>
        <v>1192.4649999999999</v>
      </c>
    </row>
    <row r="912" spans="1:19">
      <c r="A912" s="192" t="s">
        <v>931</v>
      </c>
      <c r="B912" s="192">
        <v>1</v>
      </c>
      <c r="C912" s="192">
        <v>0</v>
      </c>
      <c r="D912" s="192" t="s">
        <v>65</v>
      </c>
      <c r="E912" s="192">
        <v>1</v>
      </c>
      <c r="F912" s="192">
        <v>0</v>
      </c>
      <c r="G912" s="192">
        <v>170847</v>
      </c>
      <c r="H912" s="192">
        <v>20180</v>
      </c>
      <c r="I912" s="192">
        <v>1</v>
      </c>
      <c r="J912" s="192">
        <v>754</v>
      </c>
      <c r="K912" s="192" t="s">
        <v>925</v>
      </c>
      <c r="L912" s="192" t="s">
        <v>930</v>
      </c>
      <c r="M912" s="192" t="s">
        <v>923</v>
      </c>
      <c r="N912" s="192" t="s">
        <v>65</v>
      </c>
      <c r="O912" s="192" t="s">
        <v>65</v>
      </c>
      <c r="P912" s="192" t="s">
        <v>65</v>
      </c>
      <c r="Q912" s="192">
        <v>2.9999999329447746E-2</v>
      </c>
      <c r="R912" s="192">
        <v>3.0999999046325684</v>
      </c>
      <c r="S912" s="192">
        <f>VLOOKUP($H912,'RBSA Weights'!$A$2:$C$1406,3,FALSE)</f>
        <v>1612.692</v>
      </c>
    </row>
    <row r="913" spans="1:19">
      <c r="A913" s="192" t="s">
        <v>931</v>
      </c>
      <c r="B913" s="192">
        <v>1</v>
      </c>
      <c r="C913" s="192">
        <v>0</v>
      </c>
      <c r="D913" s="192" t="s">
        <v>65</v>
      </c>
      <c r="E913" s="192">
        <v>1</v>
      </c>
      <c r="F913" s="192">
        <v>0</v>
      </c>
      <c r="G913" s="192">
        <v>142235</v>
      </c>
      <c r="H913" s="192">
        <v>21417</v>
      </c>
      <c r="I913" s="192">
        <v>1</v>
      </c>
      <c r="J913" s="192">
        <v>1853</v>
      </c>
      <c r="K913" s="192" t="s">
        <v>925</v>
      </c>
      <c r="L913" s="192" t="s">
        <v>930</v>
      </c>
      <c r="M913" s="192" t="s">
        <v>923</v>
      </c>
      <c r="N913" s="192" t="s">
        <v>65</v>
      </c>
      <c r="O913" s="192" t="s">
        <v>65</v>
      </c>
      <c r="P913" s="192" t="s">
        <v>65</v>
      </c>
      <c r="Q913" s="192">
        <v>2.9999999329447746E-2</v>
      </c>
      <c r="R913" s="192">
        <v>3.0999999046325684</v>
      </c>
      <c r="S913" s="192">
        <f>VLOOKUP($H913,'RBSA Weights'!$A$2:$C$1406,3,FALSE)</f>
        <v>1192.4649999999999</v>
      </c>
    </row>
    <row r="914" spans="1:19">
      <c r="A914" s="192" t="s">
        <v>931</v>
      </c>
      <c r="B914" s="192">
        <v>1</v>
      </c>
      <c r="C914" s="192">
        <v>0</v>
      </c>
      <c r="D914" s="192" t="s">
        <v>65</v>
      </c>
      <c r="E914" s="192">
        <v>1</v>
      </c>
      <c r="F914" s="192">
        <v>0</v>
      </c>
      <c r="G914" s="192">
        <v>93415</v>
      </c>
      <c r="H914" s="192">
        <v>12690</v>
      </c>
      <c r="I914" s="192">
        <v>1</v>
      </c>
      <c r="J914" s="192">
        <v>1260</v>
      </c>
      <c r="K914" s="192" t="s">
        <v>925</v>
      </c>
      <c r="L914" s="192" t="s">
        <v>927</v>
      </c>
      <c r="M914" s="192" t="s">
        <v>923</v>
      </c>
      <c r="N914" s="192" t="s">
        <v>65</v>
      </c>
      <c r="O914" s="192" t="s">
        <v>65</v>
      </c>
      <c r="P914" s="192" t="s">
        <v>926</v>
      </c>
      <c r="Q914" s="192">
        <v>2.9999999329447746E-2</v>
      </c>
      <c r="R914" s="192">
        <v>3.0999999046325684</v>
      </c>
      <c r="S914" s="192">
        <f>VLOOKUP($H914,'RBSA Weights'!$A$2:$C$1406,3,FALSE)</f>
        <v>4956.4930000000004</v>
      </c>
    </row>
    <row r="915" spans="1:19">
      <c r="A915" s="192" t="s">
        <v>931</v>
      </c>
      <c r="B915" s="192">
        <v>1</v>
      </c>
      <c r="C915" s="192">
        <v>0</v>
      </c>
      <c r="D915" s="192" t="s">
        <v>65</v>
      </c>
      <c r="E915" s="192">
        <v>1</v>
      </c>
      <c r="F915" s="192">
        <v>1</v>
      </c>
      <c r="G915" s="192">
        <v>171642</v>
      </c>
      <c r="H915" s="192">
        <v>22322</v>
      </c>
      <c r="I915" s="192">
        <v>1</v>
      </c>
      <c r="J915" s="192">
        <v>2473</v>
      </c>
      <c r="K915" s="192" t="s">
        <v>925</v>
      </c>
      <c r="L915" s="192" t="s">
        <v>927</v>
      </c>
      <c r="M915" s="192" t="s">
        <v>919</v>
      </c>
      <c r="N915" s="192" t="s">
        <v>65</v>
      </c>
      <c r="O915" s="192" t="s">
        <v>65</v>
      </c>
      <c r="P915" s="192" t="s">
        <v>65</v>
      </c>
      <c r="Q915" s="192">
        <v>2.9999999329447746E-2</v>
      </c>
      <c r="R915" s="192">
        <v>4.5</v>
      </c>
      <c r="S915" s="192">
        <f>VLOOKUP($H915,'RBSA Weights'!$A$2:$C$1406,3,FALSE)</f>
        <v>1612.692</v>
      </c>
    </row>
    <row r="916" spans="1:19">
      <c r="A916" s="192" t="s">
        <v>931</v>
      </c>
      <c r="B916" s="192">
        <v>1</v>
      </c>
      <c r="C916" s="192">
        <v>0</v>
      </c>
      <c r="D916" s="192" t="s">
        <v>65</v>
      </c>
      <c r="E916" s="192">
        <v>0</v>
      </c>
      <c r="G916" s="192">
        <v>183336</v>
      </c>
      <c r="H916" s="192">
        <v>23489</v>
      </c>
      <c r="I916" s="192">
        <v>1</v>
      </c>
      <c r="J916" s="192">
        <v>1404</v>
      </c>
      <c r="K916" s="192" t="s">
        <v>925</v>
      </c>
      <c r="L916" s="192" t="s">
        <v>927</v>
      </c>
      <c r="M916" s="192" t="s">
        <v>923</v>
      </c>
      <c r="N916" s="192" t="s">
        <v>65</v>
      </c>
      <c r="O916" s="192" t="s">
        <v>65</v>
      </c>
      <c r="P916" s="192" t="s">
        <v>65</v>
      </c>
      <c r="Q916" s="192">
        <v>2.9999999329447746E-2</v>
      </c>
      <c r="R916" s="192">
        <v>5</v>
      </c>
      <c r="S916" s="192">
        <f>VLOOKUP($H916,'RBSA Weights'!$A$2:$C$1406,3,FALSE)</f>
        <v>3785.7640000000001</v>
      </c>
    </row>
    <row r="917" spans="1:19">
      <c r="A917" s="192" t="s">
        <v>931</v>
      </c>
      <c r="B917" s="192">
        <v>1</v>
      </c>
      <c r="C917" s="192">
        <v>0</v>
      </c>
      <c r="D917" s="192" t="s">
        <v>65</v>
      </c>
      <c r="E917" s="192">
        <v>1</v>
      </c>
      <c r="F917" s="192">
        <v>1</v>
      </c>
      <c r="G917" s="192">
        <v>683112</v>
      </c>
      <c r="H917" s="192">
        <v>21615</v>
      </c>
      <c r="I917" s="192">
        <v>1</v>
      </c>
      <c r="J917" s="192">
        <v>1605</v>
      </c>
      <c r="K917" s="192" t="s">
        <v>925</v>
      </c>
      <c r="L917" s="192" t="s">
        <v>930</v>
      </c>
      <c r="M917" s="192" t="s">
        <v>923</v>
      </c>
      <c r="N917" s="192" t="s">
        <v>65</v>
      </c>
      <c r="O917" s="192" t="s">
        <v>65</v>
      </c>
      <c r="P917" s="192" t="s">
        <v>65</v>
      </c>
      <c r="Q917" s="192">
        <v>2.9999999329447746E-2</v>
      </c>
      <c r="R917" s="192">
        <v>4.5</v>
      </c>
      <c r="S917" s="192">
        <f>VLOOKUP($H917,'RBSA Weights'!$A$2:$C$1406,3,FALSE)</f>
        <v>12271.31</v>
      </c>
    </row>
    <row r="918" spans="1:19">
      <c r="A918" s="192" t="s">
        <v>931</v>
      </c>
      <c r="B918" s="192">
        <v>1</v>
      </c>
      <c r="C918" s="192">
        <v>1</v>
      </c>
      <c r="D918" s="192" t="s">
        <v>941</v>
      </c>
      <c r="E918" s="192">
        <v>1</v>
      </c>
      <c r="F918" s="192">
        <v>0</v>
      </c>
      <c r="G918" s="192">
        <v>74872</v>
      </c>
      <c r="H918" s="192">
        <v>22059</v>
      </c>
      <c r="I918" s="192">
        <v>1</v>
      </c>
      <c r="J918" s="192">
        <v>1208</v>
      </c>
      <c r="K918" s="192" t="s">
        <v>925</v>
      </c>
      <c r="L918" s="192" t="s">
        <v>930</v>
      </c>
      <c r="M918" s="192" t="s">
        <v>919</v>
      </c>
      <c r="N918" s="192" t="s">
        <v>948</v>
      </c>
      <c r="O918" s="192" t="s">
        <v>65</v>
      </c>
      <c r="P918" s="192" t="s">
        <v>926</v>
      </c>
      <c r="Q918" s="192">
        <v>2.9999999329447746E-2</v>
      </c>
      <c r="R918" s="192">
        <v>3.9000000953674316</v>
      </c>
      <c r="S918" s="192">
        <f>VLOOKUP($H918,'RBSA Weights'!$A$2:$C$1406,3,FALSE)</f>
        <v>1904.288</v>
      </c>
    </row>
    <row r="919" spans="1:19">
      <c r="A919" s="192" t="s">
        <v>931</v>
      </c>
      <c r="B919" s="192">
        <v>1</v>
      </c>
      <c r="C919" s="192">
        <v>0</v>
      </c>
      <c r="D919" s="192" t="s">
        <v>65</v>
      </c>
      <c r="E919" s="192">
        <v>1</v>
      </c>
      <c r="F919" s="192">
        <v>1</v>
      </c>
      <c r="G919" s="192">
        <v>216353</v>
      </c>
      <c r="H919" s="192">
        <v>23444</v>
      </c>
      <c r="I919" s="192">
        <v>1</v>
      </c>
      <c r="J919" s="192">
        <v>1509</v>
      </c>
      <c r="K919" s="192" t="s">
        <v>918</v>
      </c>
      <c r="L919" s="192" t="s">
        <v>65</v>
      </c>
      <c r="M919" s="192" t="s">
        <v>919</v>
      </c>
      <c r="N919" s="192" t="s">
        <v>65</v>
      </c>
      <c r="O919" s="192" t="s">
        <v>65</v>
      </c>
      <c r="P919" s="192" t="s">
        <v>65</v>
      </c>
      <c r="Q919" s="192">
        <v>2.9999999329447746E-2</v>
      </c>
      <c r="R919" s="192">
        <v>4.5</v>
      </c>
      <c r="S919" s="192">
        <f>VLOOKUP($H919,'RBSA Weights'!$A$2:$C$1406,3,FALSE)</f>
        <v>2079.9929999999999</v>
      </c>
    </row>
    <row r="920" spans="1:19">
      <c r="A920" s="192" t="s">
        <v>931</v>
      </c>
      <c r="B920" s="192">
        <v>1</v>
      </c>
      <c r="C920" s="192">
        <v>0</v>
      </c>
      <c r="D920" s="192" t="s">
        <v>65</v>
      </c>
      <c r="E920" s="192">
        <v>1</v>
      </c>
      <c r="F920" s="192">
        <v>0</v>
      </c>
      <c r="G920" s="192">
        <v>151314</v>
      </c>
      <c r="H920" s="192">
        <v>20448</v>
      </c>
      <c r="I920" s="192">
        <v>1</v>
      </c>
      <c r="J920" s="192">
        <v>1921</v>
      </c>
      <c r="K920" s="192" t="s">
        <v>925</v>
      </c>
      <c r="L920" s="192" t="s">
        <v>927</v>
      </c>
      <c r="M920" s="192" t="s">
        <v>923</v>
      </c>
      <c r="N920" s="192" t="s">
        <v>65</v>
      </c>
      <c r="O920" s="192" t="s">
        <v>65</v>
      </c>
      <c r="P920" s="192" t="s">
        <v>65</v>
      </c>
      <c r="Q920" s="192">
        <v>2.9999999329447746E-2</v>
      </c>
      <c r="R920" s="192">
        <v>3.0999999046325684</v>
      </c>
      <c r="S920" s="192">
        <f>VLOOKUP($H920,'RBSA Weights'!$A$2:$C$1406,3,FALSE)</f>
        <v>1612.692</v>
      </c>
    </row>
    <row r="921" spans="1:19">
      <c r="A921" s="192" t="s">
        <v>931</v>
      </c>
      <c r="B921" s="192">
        <v>1</v>
      </c>
      <c r="C921" s="192">
        <v>0</v>
      </c>
      <c r="D921" s="192" t="s">
        <v>65</v>
      </c>
      <c r="E921" s="192">
        <v>1</v>
      </c>
      <c r="F921" s="192">
        <v>0</v>
      </c>
      <c r="G921" s="192">
        <v>204326</v>
      </c>
      <c r="H921" s="192">
        <v>22969</v>
      </c>
      <c r="I921" s="192">
        <v>1</v>
      </c>
      <c r="J921" s="192">
        <v>1424</v>
      </c>
      <c r="K921" s="192" t="s">
        <v>918</v>
      </c>
      <c r="L921" s="192" t="s">
        <v>65</v>
      </c>
      <c r="M921" s="192" t="s">
        <v>923</v>
      </c>
      <c r="N921" s="192" t="s">
        <v>65</v>
      </c>
      <c r="O921" s="192" t="s">
        <v>65</v>
      </c>
      <c r="P921" s="192" t="s">
        <v>65</v>
      </c>
      <c r="Q921" s="192">
        <v>2.9999999329447746E-2</v>
      </c>
      <c r="R921" s="192">
        <v>3.0999999046325684</v>
      </c>
      <c r="S921" s="192">
        <f>VLOOKUP($H921,'RBSA Weights'!$A$2:$C$1406,3,FALSE)</f>
        <v>2079.9929999999999</v>
      </c>
    </row>
    <row r="922" spans="1:19">
      <c r="A922" s="192" t="s">
        <v>931</v>
      </c>
      <c r="B922" s="192">
        <v>1</v>
      </c>
      <c r="C922" s="192">
        <v>0</v>
      </c>
      <c r="D922" s="192" t="s">
        <v>65</v>
      </c>
      <c r="E922" s="192">
        <v>1</v>
      </c>
      <c r="F922" s="192">
        <v>0</v>
      </c>
      <c r="G922" s="192">
        <v>189397</v>
      </c>
      <c r="H922" s="192">
        <v>11439</v>
      </c>
      <c r="I922" s="192">
        <v>1</v>
      </c>
      <c r="J922" s="192">
        <v>1257</v>
      </c>
      <c r="K922" s="192" t="s">
        <v>918</v>
      </c>
      <c r="L922" s="192" t="s">
        <v>65</v>
      </c>
      <c r="M922" s="192" t="s">
        <v>923</v>
      </c>
      <c r="N922" s="192" t="s">
        <v>65</v>
      </c>
      <c r="O922" s="192" t="s">
        <v>65</v>
      </c>
      <c r="P922" s="192" t="s">
        <v>65</v>
      </c>
      <c r="Q922" s="192">
        <v>2.9999999329447746E-2</v>
      </c>
      <c r="R922" s="192">
        <v>3.0999999046325684</v>
      </c>
      <c r="S922" s="192">
        <f>VLOOKUP($H922,'RBSA Weights'!$A$2:$C$1406,3,FALSE)</f>
        <v>6932.7380000000003</v>
      </c>
    </row>
    <row r="923" spans="1:19">
      <c r="A923" s="192" t="s">
        <v>931</v>
      </c>
      <c r="B923" s="192">
        <v>1</v>
      </c>
      <c r="C923" s="192">
        <v>0</v>
      </c>
      <c r="D923" s="192" t="s">
        <v>65</v>
      </c>
      <c r="E923" s="192">
        <v>1</v>
      </c>
      <c r="F923" s="192">
        <v>0</v>
      </c>
      <c r="G923" s="192">
        <v>63855</v>
      </c>
      <c r="H923" s="192">
        <v>20392</v>
      </c>
      <c r="I923" s="192">
        <v>1</v>
      </c>
      <c r="J923" s="192">
        <v>2689</v>
      </c>
      <c r="K923" s="192" t="s">
        <v>925</v>
      </c>
      <c r="L923" s="192" t="s">
        <v>930</v>
      </c>
      <c r="M923" s="192" t="s">
        <v>923</v>
      </c>
      <c r="N923" s="192" t="s">
        <v>65</v>
      </c>
      <c r="O923" s="192" t="s">
        <v>65</v>
      </c>
      <c r="P923" s="192" t="s">
        <v>926</v>
      </c>
      <c r="Q923" s="192">
        <v>2.9999999329447746E-2</v>
      </c>
      <c r="R923" s="192">
        <v>3.0999999046325684</v>
      </c>
      <c r="S923" s="192">
        <f>VLOOKUP($H923,'RBSA Weights'!$A$2:$C$1406,3,FALSE)</f>
        <v>1904.288</v>
      </c>
    </row>
    <row r="924" spans="1:19">
      <c r="A924" s="192" t="s">
        <v>931</v>
      </c>
      <c r="B924" s="192">
        <v>1</v>
      </c>
      <c r="C924" s="192">
        <v>0</v>
      </c>
      <c r="D924" s="192" t="s">
        <v>65</v>
      </c>
      <c r="E924" s="192">
        <v>0</v>
      </c>
      <c r="G924" s="192">
        <v>181870</v>
      </c>
      <c r="H924" s="192">
        <v>13880</v>
      </c>
      <c r="I924" s="192">
        <v>1</v>
      </c>
      <c r="J924" s="192">
        <v>1192</v>
      </c>
      <c r="K924" s="192" t="s">
        <v>925</v>
      </c>
      <c r="L924" s="192" t="s">
        <v>930</v>
      </c>
      <c r="M924" s="192" t="s">
        <v>923</v>
      </c>
      <c r="N924" s="192" t="s">
        <v>65</v>
      </c>
      <c r="O924" s="192" t="s">
        <v>65</v>
      </c>
      <c r="P924" s="192" t="s">
        <v>65</v>
      </c>
      <c r="Q924" s="192">
        <v>2.9999999329447746E-2</v>
      </c>
      <c r="R924" s="192">
        <v>5</v>
      </c>
      <c r="S924" s="192">
        <f>VLOOKUP($H924,'RBSA Weights'!$A$2:$C$1406,3,FALSE)</f>
        <v>4956.4930000000004</v>
      </c>
    </row>
    <row r="925" spans="1:19">
      <c r="A925" s="192" t="s">
        <v>931</v>
      </c>
      <c r="B925" s="192">
        <v>1</v>
      </c>
      <c r="C925" s="192">
        <v>0</v>
      </c>
      <c r="D925" s="192" t="s">
        <v>65</v>
      </c>
      <c r="E925" s="192">
        <v>1</v>
      </c>
      <c r="F925" s="192">
        <v>1</v>
      </c>
      <c r="G925" s="192">
        <v>88783</v>
      </c>
      <c r="H925" s="192">
        <v>24671</v>
      </c>
      <c r="I925" s="192">
        <v>1</v>
      </c>
      <c r="J925" s="192">
        <v>1314</v>
      </c>
      <c r="K925" s="192" t="s">
        <v>918</v>
      </c>
      <c r="L925" s="192" t="s">
        <v>737</v>
      </c>
      <c r="M925" s="192" t="s">
        <v>919</v>
      </c>
      <c r="N925" s="192" t="s">
        <v>65</v>
      </c>
      <c r="O925" s="192" t="s">
        <v>65</v>
      </c>
      <c r="P925" s="192" t="s">
        <v>926</v>
      </c>
      <c r="Q925" s="192">
        <v>2.9999999329447746E-2</v>
      </c>
      <c r="R925" s="192">
        <v>4.5</v>
      </c>
      <c r="S925" s="192">
        <f>VLOOKUP($H925,'RBSA Weights'!$A$2:$C$1406,3,FALSE)</f>
        <v>1925.059</v>
      </c>
    </row>
    <row r="926" spans="1:19">
      <c r="A926" s="192" t="s">
        <v>931</v>
      </c>
      <c r="B926" s="192">
        <v>1</v>
      </c>
      <c r="C926" s="192">
        <v>0</v>
      </c>
      <c r="D926" s="192" t="s">
        <v>65</v>
      </c>
      <c r="E926" s="192">
        <v>1</v>
      </c>
      <c r="F926" s="192">
        <v>0</v>
      </c>
      <c r="G926" s="192">
        <v>51475</v>
      </c>
      <c r="H926" s="192">
        <v>12033</v>
      </c>
      <c r="I926" s="192">
        <v>1</v>
      </c>
      <c r="J926" s="192">
        <v>979</v>
      </c>
      <c r="K926" s="192" t="s">
        <v>925</v>
      </c>
      <c r="L926" s="192" t="s">
        <v>927</v>
      </c>
      <c r="M926" s="192" t="s">
        <v>919</v>
      </c>
      <c r="N926" s="192" t="s">
        <v>65</v>
      </c>
      <c r="O926" s="192" t="s">
        <v>65</v>
      </c>
      <c r="P926" s="192" t="s">
        <v>924</v>
      </c>
      <c r="Q926" s="192">
        <v>2.9999999329447746E-2</v>
      </c>
      <c r="R926" s="192">
        <v>3.0999999046325684</v>
      </c>
      <c r="S926" s="192">
        <f>VLOOKUP($H926,'RBSA Weights'!$A$2:$C$1406,3,FALSE)</f>
        <v>1188.027</v>
      </c>
    </row>
    <row r="927" spans="1:19">
      <c r="A927" s="192" t="s">
        <v>931</v>
      </c>
      <c r="B927" s="192">
        <v>1</v>
      </c>
      <c r="C927" s="192">
        <v>0</v>
      </c>
      <c r="D927" s="192" t="s">
        <v>65</v>
      </c>
      <c r="E927" s="192">
        <v>1</v>
      </c>
      <c r="F927" s="192">
        <v>0</v>
      </c>
      <c r="G927" s="192">
        <v>86342</v>
      </c>
      <c r="H927" s="192">
        <v>12620</v>
      </c>
      <c r="I927" s="192">
        <v>1</v>
      </c>
      <c r="J927" s="192">
        <v>330</v>
      </c>
      <c r="K927" s="192" t="s">
        <v>918</v>
      </c>
      <c r="L927" s="192" t="s">
        <v>737</v>
      </c>
      <c r="M927" s="192" t="s">
        <v>923</v>
      </c>
      <c r="N927" s="192" t="s">
        <v>65</v>
      </c>
      <c r="O927" s="192" t="s">
        <v>65</v>
      </c>
      <c r="P927" s="192" t="s">
        <v>926</v>
      </c>
      <c r="Q927" s="192">
        <v>2.9999999329447746E-2</v>
      </c>
      <c r="R927" s="192">
        <v>3.0999999046325684</v>
      </c>
      <c r="S927" s="192">
        <f>VLOOKUP($H927,'RBSA Weights'!$A$2:$C$1406,3,FALSE)</f>
        <v>2003.7159999999999</v>
      </c>
    </row>
    <row r="928" spans="1:19">
      <c r="A928" s="192" t="s">
        <v>931</v>
      </c>
      <c r="B928" s="192">
        <v>1</v>
      </c>
      <c r="C928" s="192">
        <v>0</v>
      </c>
      <c r="D928" s="192" t="s">
        <v>65</v>
      </c>
      <c r="E928" s="192">
        <v>1</v>
      </c>
      <c r="F928" s="192">
        <v>0</v>
      </c>
      <c r="G928" s="192">
        <v>118260</v>
      </c>
      <c r="H928" s="192">
        <v>10525</v>
      </c>
      <c r="I928" s="192">
        <v>1</v>
      </c>
      <c r="J928" s="192">
        <v>636</v>
      </c>
      <c r="K928" s="192" t="s">
        <v>918</v>
      </c>
      <c r="L928" s="192" t="s">
        <v>927</v>
      </c>
      <c r="M928" s="192" t="s">
        <v>923</v>
      </c>
      <c r="N928" s="192" t="s">
        <v>65</v>
      </c>
      <c r="O928" s="192" t="s">
        <v>65</v>
      </c>
      <c r="P928" s="192" t="s">
        <v>926</v>
      </c>
      <c r="Q928" s="192">
        <v>2.9999999329447746E-2</v>
      </c>
      <c r="R928" s="192">
        <v>3.0999999046325684</v>
      </c>
      <c r="S928" s="192">
        <f>VLOOKUP($H928,'RBSA Weights'!$A$2:$C$1406,3,FALSE)</f>
        <v>1464.694</v>
      </c>
    </row>
    <row r="929" spans="1:19">
      <c r="A929" s="192" t="s">
        <v>931</v>
      </c>
      <c r="B929" s="192">
        <v>1</v>
      </c>
      <c r="C929" s="192">
        <v>0</v>
      </c>
      <c r="D929" s="192" t="s">
        <v>65</v>
      </c>
      <c r="E929" s="192">
        <v>1</v>
      </c>
      <c r="F929" s="192">
        <v>0</v>
      </c>
      <c r="G929" s="192">
        <v>214075</v>
      </c>
      <c r="H929" s="192">
        <v>12086</v>
      </c>
      <c r="I929" s="192">
        <v>1</v>
      </c>
      <c r="J929" s="192">
        <v>1250</v>
      </c>
      <c r="K929" s="192" t="s">
        <v>925</v>
      </c>
      <c r="L929" s="192" t="s">
        <v>922</v>
      </c>
      <c r="M929" s="192" t="s">
        <v>919</v>
      </c>
      <c r="N929" s="192" t="s">
        <v>65</v>
      </c>
      <c r="O929" s="192" t="s">
        <v>65</v>
      </c>
      <c r="P929" s="192" t="s">
        <v>65</v>
      </c>
      <c r="Q929" s="192">
        <v>2.9999999329447746E-2</v>
      </c>
      <c r="R929" s="192">
        <v>3.0999999046325684</v>
      </c>
      <c r="S929" s="192">
        <f>VLOOKUP($H929,'RBSA Weights'!$A$2:$C$1406,3,FALSE)</f>
        <v>1464.694</v>
      </c>
    </row>
    <row r="930" spans="1:19">
      <c r="A930" s="192" t="s">
        <v>931</v>
      </c>
      <c r="B930" s="192">
        <v>1</v>
      </c>
      <c r="C930" s="192">
        <v>0</v>
      </c>
      <c r="D930" s="192" t="s">
        <v>65</v>
      </c>
      <c r="E930" s="192">
        <v>1</v>
      </c>
      <c r="F930" s="192">
        <v>0</v>
      </c>
      <c r="G930" s="192">
        <v>28230</v>
      </c>
      <c r="H930" s="192">
        <v>12407</v>
      </c>
      <c r="I930" s="192">
        <v>1</v>
      </c>
      <c r="J930" s="192">
        <v>1787</v>
      </c>
      <c r="K930" s="192" t="s">
        <v>918</v>
      </c>
      <c r="L930" s="192" t="s">
        <v>930</v>
      </c>
      <c r="M930" s="192" t="s">
        <v>919</v>
      </c>
      <c r="N930" s="192" t="s">
        <v>65</v>
      </c>
      <c r="O930" s="192" t="s">
        <v>65</v>
      </c>
      <c r="P930" s="192" t="s">
        <v>926</v>
      </c>
      <c r="Q930" s="192">
        <v>2.9999999329447746E-2</v>
      </c>
      <c r="R930" s="192">
        <v>3.0999999046325684</v>
      </c>
      <c r="S930" s="192">
        <f>VLOOKUP($H930,'RBSA Weights'!$A$2:$C$1406,3,FALSE)</f>
        <v>1150.8789999999999</v>
      </c>
    </row>
    <row r="931" spans="1:19">
      <c r="A931" s="192" t="s">
        <v>931</v>
      </c>
      <c r="B931" s="192">
        <v>1</v>
      </c>
      <c r="C931" s="192">
        <v>0</v>
      </c>
      <c r="D931" s="192" t="s">
        <v>65</v>
      </c>
      <c r="E931" s="192">
        <v>1</v>
      </c>
      <c r="F931" s="192">
        <v>0</v>
      </c>
      <c r="G931" s="192">
        <v>138278</v>
      </c>
      <c r="H931" s="192">
        <v>22131</v>
      </c>
      <c r="I931" s="192">
        <v>1</v>
      </c>
      <c r="J931" s="192">
        <v>1004</v>
      </c>
      <c r="K931" s="192" t="s">
        <v>918</v>
      </c>
      <c r="L931" s="192" t="s">
        <v>737</v>
      </c>
      <c r="M931" s="192" t="s">
        <v>919</v>
      </c>
      <c r="N931" s="192" t="s">
        <v>65</v>
      </c>
      <c r="O931" s="192" t="s">
        <v>65</v>
      </c>
      <c r="P931" s="192" t="s">
        <v>65</v>
      </c>
      <c r="Q931" s="192">
        <v>2.9999999329447746E-2</v>
      </c>
      <c r="R931" s="192">
        <v>3.0999999046325684</v>
      </c>
      <c r="S931" s="192">
        <f>VLOOKUP($H931,'RBSA Weights'!$A$2:$C$1406,3,FALSE)</f>
        <v>8264.9449999999997</v>
      </c>
    </row>
    <row r="932" spans="1:19">
      <c r="A932" s="192" t="s">
        <v>931</v>
      </c>
      <c r="B932" s="192">
        <v>1</v>
      </c>
      <c r="C932" s="192">
        <v>0</v>
      </c>
      <c r="D932" s="192" t="s">
        <v>65</v>
      </c>
      <c r="E932" s="192">
        <v>1</v>
      </c>
      <c r="F932" s="192">
        <v>0</v>
      </c>
      <c r="G932" s="192">
        <v>106959</v>
      </c>
      <c r="H932" s="192">
        <v>22186</v>
      </c>
      <c r="I932" s="192">
        <v>1</v>
      </c>
      <c r="J932" s="192">
        <v>1400</v>
      </c>
      <c r="K932" s="192" t="s">
        <v>925</v>
      </c>
      <c r="L932" s="192" t="s">
        <v>927</v>
      </c>
      <c r="M932" s="192" t="s">
        <v>923</v>
      </c>
      <c r="N932" s="192" t="s">
        <v>65</v>
      </c>
      <c r="O932" s="192" t="s">
        <v>65</v>
      </c>
      <c r="P932" s="192" t="s">
        <v>926</v>
      </c>
      <c r="Q932" s="192">
        <v>2.9999999329447746E-2</v>
      </c>
      <c r="R932" s="192">
        <v>3.0999999046325684</v>
      </c>
      <c r="S932" s="192">
        <f>VLOOKUP($H932,'RBSA Weights'!$A$2:$C$1406,3,FALSE)</f>
        <v>3785.7640000000001</v>
      </c>
    </row>
    <row r="933" spans="1:19">
      <c r="A933" s="192" t="s">
        <v>931</v>
      </c>
      <c r="B933" s="192">
        <v>1</v>
      </c>
      <c r="C933" s="192">
        <v>0</v>
      </c>
      <c r="D933" s="192" t="s">
        <v>65</v>
      </c>
      <c r="E933" s="192">
        <v>1</v>
      </c>
      <c r="F933" s="192">
        <v>0</v>
      </c>
      <c r="G933" s="192">
        <v>91552</v>
      </c>
      <c r="H933" s="192">
        <v>11236</v>
      </c>
      <c r="I933" s="192">
        <v>1</v>
      </c>
      <c r="J933" s="192">
        <v>2114</v>
      </c>
      <c r="K933" s="192" t="s">
        <v>925</v>
      </c>
      <c r="L933" s="192" t="s">
        <v>927</v>
      </c>
      <c r="M933" s="192" t="s">
        <v>919</v>
      </c>
      <c r="N933" s="192" t="s">
        <v>65</v>
      </c>
      <c r="O933" s="192" t="s">
        <v>65</v>
      </c>
      <c r="P933" s="192" t="s">
        <v>926</v>
      </c>
      <c r="Q933" s="192">
        <v>2.9999999329447746E-2</v>
      </c>
      <c r="R933" s="192">
        <v>3.0999999046325684</v>
      </c>
      <c r="S933" s="192">
        <f>VLOOKUP($H933,'RBSA Weights'!$A$2:$C$1406,3,FALSE)</f>
        <v>4956.4930000000004</v>
      </c>
    </row>
    <row r="934" spans="1:19">
      <c r="A934" s="192" t="s">
        <v>931</v>
      </c>
      <c r="B934" s="192">
        <v>1</v>
      </c>
      <c r="C934" s="192">
        <v>0</v>
      </c>
      <c r="D934" s="192" t="s">
        <v>65</v>
      </c>
      <c r="E934" s="192">
        <v>1</v>
      </c>
      <c r="F934" s="192">
        <v>0</v>
      </c>
      <c r="G934" s="192">
        <v>227560</v>
      </c>
      <c r="H934" s="192">
        <v>10705</v>
      </c>
      <c r="I934" s="192">
        <v>1</v>
      </c>
      <c r="J934" s="192">
        <v>1550</v>
      </c>
      <c r="K934" s="192" t="s">
        <v>925</v>
      </c>
      <c r="L934" s="192" t="s">
        <v>927</v>
      </c>
      <c r="M934" s="192" t="s">
        <v>923</v>
      </c>
      <c r="N934" s="192" t="s">
        <v>65</v>
      </c>
      <c r="O934" s="192" t="s">
        <v>983</v>
      </c>
      <c r="P934" s="192" t="s">
        <v>65</v>
      </c>
      <c r="Q934" s="192">
        <v>2.9999999329447746E-2</v>
      </c>
      <c r="R934" s="192">
        <v>3.0999999046325684</v>
      </c>
      <c r="S934" s="192">
        <f>VLOOKUP($H934,'RBSA Weights'!$A$2:$C$1406,3,FALSE)</f>
        <v>1464.694</v>
      </c>
    </row>
    <row r="935" spans="1:19">
      <c r="A935" s="192" t="s">
        <v>931</v>
      </c>
      <c r="B935" s="192">
        <v>1</v>
      </c>
      <c r="C935" s="192">
        <v>0</v>
      </c>
      <c r="D935" s="192" t="s">
        <v>65</v>
      </c>
      <c r="E935" s="192">
        <v>1</v>
      </c>
      <c r="F935" s="192">
        <v>1</v>
      </c>
      <c r="G935" s="192">
        <v>230043</v>
      </c>
      <c r="H935" s="192">
        <v>20020</v>
      </c>
      <c r="I935" s="192">
        <v>1</v>
      </c>
      <c r="J935" s="192">
        <v>2026</v>
      </c>
      <c r="K935" s="192" t="s">
        <v>925</v>
      </c>
      <c r="L935" s="192" t="s">
        <v>927</v>
      </c>
      <c r="M935" s="192" t="s">
        <v>923</v>
      </c>
      <c r="N935" s="192" t="s">
        <v>65</v>
      </c>
      <c r="O935" s="192" t="s">
        <v>65</v>
      </c>
      <c r="P935" s="192" t="s">
        <v>65</v>
      </c>
      <c r="Q935" s="192">
        <v>2.9999999329447746E-2</v>
      </c>
      <c r="R935" s="192">
        <v>4.5</v>
      </c>
      <c r="S935" s="192">
        <f>VLOOKUP($H935,'RBSA Weights'!$A$2:$C$1406,3,FALSE)</f>
        <v>1904.288</v>
      </c>
    </row>
    <row r="936" spans="1:19">
      <c r="A936" s="192" t="s">
        <v>932</v>
      </c>
      <c r="B936" s="192">
        <v>0.9</v>
      </c>
      <c r="C936" s="192">
        <v>0</v>
      </c>
      <c r="D936" s="192" t="s">
        <v>65</v>
      </c>
      <c r="E936" s="192">
        <v>1</v>
      </c>
      <c r="F936" s="192">
        <v>0</v>
      </c>
      <c r="G936" s="192">
        <v>39324</v>
      </c>
      <c r="H936" s="192">
        <v>11549</v>
      </c>
      <c r="I936" s="192">
        <v>1</v>
      </c>
      <c r="J936" s="192">
        <v>880</v>
      </c>
      <c r="K936" s="192" t="s">
        <v>925</v>
      </c>
      <c r="L936" s="192" t="s">
        <v>922</v>
      </c>
      <c r="M936" s="192" t="s">
        <v>919</v>
      </c>
      <c r="N936" s="192" t="s">
        <v>943</v>
      </c>
      <c r="O936" s="192" t="s">
        <v>65</v>
      </c>
      <c r="P936" s="192" t="s">
        <v>943</v>
      </c>
      <c r="Q936" s="192">
        <v>5.000000074505806E-2</v>
      </c>
      <c r="R936" s="192">
        <v>3.0999999046325684</v>
      </c>
      <c r="S936" s="192">
        <f>VLOOKUP($H936,'RBSA Weights'!$A$2:$C$1406,3,FALSE)</f>
        <v>1524.7619999999999</v>
      </c>
    </row>
    <row r="937" spans="1:19">
      <c r="A937" s="192" t="s">
        <v>932</v>
      </c>
      <c r="B937" s="192">
        <v>1</v>
      </c>
      <c r="C937" s="192">
        <v>1</v>
      </c>
      <c r="D937" s="192" t="s">
        <v>944</v>
      </c>
      <c r="E937" s="192">
        <v>1</v>
      </c>
      <c r="F937" s="192">
        <v>0</v>
      </c>
      <c r="G937" s="192">
        <v>36214</v>
      </c>
      <c r="H937" s="192">
        <v>10637</v>
      </c>
      <c r="I937" s="192">
        <v>1</v>
      </c>
      <c r="J937" s="192">
        <v>1805</v>
      </c>
      <c r="K937" s="192" t="s">
        <v>925</v>
      </c>
      <c r="L937" s="192" t="s">
        <v>737</v>
      </c>
      <c r="M937" s="192" t="s">
        <v>919</v>
      </c>
      <c r="N937" s="192" t="s">
        <v>943</v>
      </c>
      <c r="O937" s="192" t="s">
        <v>65</v>
      </c>
      <c r="P937" s="192" t="s">
        <v>943</v>
      </c>
      <c r="Q937" s="192">
        <v>2.9999999329447746E-2</v>
      </c>
      <c r="R937" s="192">
        <v>4.5999999046325684</v>
      </c>
      <c r="S937" s="192">
        <f>VLOOKUP($H937,'RBSA Weights'!$A$2:$C$1406,3,FALSE)</f>
        <v>1188.027</v>
      </c>
    </row>
    <row r="938" spans="1:19">
      <c r="A938" s="192" t="s">
        <v>932</v>
      </c>
      <c r="B938" s="192">
        <v>1</v>
      </c>
      <c r="C938" s="192">
        <v>0</v>
      </c>
      <c r="D938" s="192" t="s">
        <v>65</v>
      </c>
      <c r="E938" s="192">
        <v>1</v>
      </c>
      <c r="F938" s="192">
        <v>1</v>
      </c>
      <c r="G938" s="192">
        <v>159356</v>
      </c>
      <c r="H938" s="192">
        <v>10540</v>
      </c>
      <c r="I938" s="192">
        <v>1</v>
      </c>
      <c r="J938" s="192">
        <v>200</v>
      </c>
      <c r="K938" s="192" t="s">
        <v>925</v>
      </c>
      <c r="L938" s="192" t="s">
        <v>930</v>
      </c>
      <c r="M938" s="192" t="s">
        <v>919</v>
      </c>
      <c r="N938" s="192" t="s">
        <v>65</v>
      </c>
      <c r="O938" s="192" t="s">
        <v>65</v>
      </c>
      <c r="P938" s="192" t="s">
        <v>65</v>
      </c>
      <c r="Q938" s="192">
        <v>2.9999999329447746E-2</v>
      </c>
      <c r="R938" s="192">
        <v>4.5</v>
      </c>
      <c r="S938" s="192">
        <f>VLOOKUP($H938,'RBSA Weights'!$A$2:$C$1406,3,FALSE)</f>
        <v>6932.7380000000003</v>
      </c>
    </row>
    <row r="939" spans="1:19">
      <c r="A939" s="192" t="s">
        <v>932</v>
      </c>
      <c r="B939" s="192">
        <v>1</v>
      </c>
      <c r="C939" s="192">
        <v>0</v>
      </c>
      <c r="D939" s="192" t="s">
        <v>65</v>
      </c>
      <c r="E939" s="192">
        <v>0</v>
      </c>
      <c r="G939" s="192">
        <v>722484</v>
      </c>
      <c r="H939" s="192">
        <v>22177</v>
      </c>
      <c r="I939" s="192">
        <v>2</v>
      </c>
      <c r="J939" s="192">
        <v>84</v>
      </c>
      <c r="K939" s="192" t="s">
        <v>925</v>
      </c>
      <c r="L939" s="192" t="s">
        <v>930</v>
      </c>
      <c r="M939" s="192" t="s">
        <v>923</v>
      </c>
      <c r="N939" s="192" t="s">
        <v>65</v>
      </c>
      <c r="O939" s="192" t="s">
        <v>65</v>
      </c>
      <c r="P939" s="192" t="s">
        <v>65</v>
      </c>
      <c r="Q939" s="192">
        <v>2.9999999329447746E-2</v>
      </c>
      <c r="R939" s="192">
        <v>5</v>
      </c>
      <c r="S939" s="192">
        <f>VLOOKUP($H939,'RBSA Weights'!$A$2:$C$1406,3,FALSE)</f>
        <v>1612.692</v>
      </c>
    </row>
    <row r="940" spans="1:19">
      <c r="A940" s="192" t="s">
        <v>932</v>
      </c>
      <c r="B940" s="192">
        <v>1</v>
      </c>
      <c r="C940" s="192">
        <v>0</v>
      </c>
      <c r="D940" s="192" t="s">
        <v>65</v>
      </c>
      <c r="E940" s="192">
        <v>0</v>
      </c>
      <c r="F940" s="192">
        <v>0</v>
      </c>
      <c r="G940" s="192">
        <v>90005</v>
      </c>
      <c r="H940" s="192">
        <v>13275</v>
      </c>
      <c r="I940" s="192">
        <v>1</v>
      </c>
      <c r="J940" s="192">
        <v>572</v>
      </c>
      <c r="K940" s="192" t="s">
        <v>918</v>
      </c>
      <c r="L940" s="192" t="s">
        <v>927</v>
      </c>
      <c r="M940" s="192" t="s">
        <v>919</v>
      </c>
      <c r="N940" s="192" t="s">
        <v>65</v>
      </c>
      <c r="O940" s="192" t="s">
        <v>65</v>
      </c>
      <c r="P940" s="192" t="s">
        <v>926</v>
      </c>
      <c r="Q940" s="192">
        <v>2.9999999329447746E-2</v>
      </c>
      <c r="R940" s="192">
        <v>5</v>
      </c>
      <c r="S940" s="192">
        <f>VLOOKUP($H940,'RBSA Weights'!$A$2:$C$1406,3,FALSE)</f>
        <v>2003.7159999999999</v>
      </c>
    </row>
    <row r="941" spans="1:19">
      <c r="A941" s="192" t="s">
        <v>932</v>
      </c>
      <c r="B941" s="192">
        <v>1</v>
      </c>
      <c r="C941" s="192">
        <v>0</v>
      </c>
      <c r="D941" s="192" t="s">
        <v>65</v>
      </c>
      <c r="E941" s="192">
        <v>1</v>
      </c>
      <c r="F941" s="192">
        <v>0</v>
      </c>
      <c r="G941" s="192">
        <v>79218</v>
      </c>
      <c r="H941" s="192">
        <v>12320</v>
      </c>
      <c r="I941" s="192">
        <v>1</v>
      </c>
      <c r="J941" s="192">
        <v>1214</v>
      </c>
      <c r="K941" s="192" t="s">
        <v>918</v>
      </c>
      <c r="L941" s="192" t="s">
        <v>930</v>
      </c>
      <c r="M941" s="192" t="s">
        <v>923</v>
      </c>
      <c r="N941" s="192" t="s">
        <v>65</v>
      </c>
      <c r="O941" s="192" t="s">
        <v>65</v>
      </c>
      <c r="P941" s="192" t="s">
        <v>926</v>
      </c>
      <c r="Q941" s="192">
        <v>2.9999999329447746E-2</v>
      </c>
      <c r="R941" s="192">
        <v>3.0999999046325684</v>
      </c>
      <c r="S941" s="192">
        <f>VLOOKUP($H941,'RBSA Weights'!$A$2:$C$1406,3,FALSE)</f>
        <v>2003.7159999999999</v>
      </c>
    </row>
    <row r="942" spans="1:19">
      <c r="A942" s="192" t="s">
        <v>932</v>
      </c>
      <c r="B942" s="192">
        <v>1</v>
      </c>
      <c r="C942" s="192">
        <v>0</v>
      </c>
      <c r="D942" s="192" t="s">
        <v>65</v>
      </c>
      <c r="E942" s="192">
        <v>1</v>
      </c>
      <c r="F942" s="192">
        <v>0</v>
      </c>
      <c r="G942" s="192">
        <v>96780</v>
      </c>
      <c r="H942" s="192">
        <v>12414</v>
      </c>
      <c r="I942" s="192">
        <v>1</v>
      </c>
      <c r="J942" s="192">
        <v>972</v>
      </c>
      <c r="K942" s="192" t="s">
        <v>925</v>
      </c>
      <c r="L942" s="192" t="s">
        <v>922</v>
      </c>
      <c r="M942" s="192" t="s">
        <v>919</v>
      </c>
      <c r="N942" s="192" t="s">
        <v>65</v>
      </c>
      <c r="O942" s="192" t="s">
        <v>65</v>
      </c>
      <c r="P942" s="192" t="s">
        <v>926</v>
      </c>
      <c r="Q942" s="192">
        <v>2.9999999329447746E-2</v>
      </c>
      <c r="R942" s="192">
        <v>3.0999999046325684</v>
      </c>
      <c r="S942" s="192">
        <f>VLOOKUP($H942,'RBSA Weights'!$A$2:$C$1406,3,FALSE)</f>
        <v>1524.7619999999999</v>
      </c>
    </row>
    <row r="943" spans="1:19">
      <c r="A943" s="192" t="s">
        <v>932</v>
      </c>
      <c r="B943" s="192">
        <v>1</v>
      </c>
      <c r="C943" s="192">
        <v>0</v>
      </c>
      <c r="D943" s="192" t="s">
        <v>65</v>
      </c>
      <c r="E943" s="192">
        <v>1</v>
      </c>
      <c r="F943" s="192">
        <v>0</v>
      </c>
      <c r="G943" s="192">
        <v>103645</v>
      </c>
      <c r="H943" s="192">
        <v>24259</v>
      </c>
      <c r="I943" s="192">
        <v>1</v>
      </c>
      <c r="J943" s="192">
        <v>252</v>
      </c>
      <c r="K943" s="192" t="s">
        <v>925</v>
      </c>
      <c r="L943" s="192" t="s">
        <v>927</v>
      </c>
      <c r="M943" s="192" t="s">
        <v>919</v>
      </c>
      <c r="N943" s="192" t="s">
        <v>65</v>
      </c>
      <c r="O943" s="192" t="s">
        <v>65</v>
      </c>
      <c r="P943" s="192" t="s">
        <v>924</v>
      </c>
      <c r="Q943" s="192">
        <v>2.9999999329447746E-2</v>
      </c>
      <c r="R943" s="192">
        <v>3.0999999046325684</v>
      </c>
      <c r="S943" s="192">
        <f>VLOOKUP($H943,'RBSA Weights'!$A$2:$C$1406,3,FALSE)</f>
        <v>1144.6790000000001</v>
      </c>
    </row>
    <row r="944" spans="1:19">
      <c r="A944" s="192" t="s">
        <v>934</v>
      </c>
      <c r="B944" s="192">
        <v>0.25</v>
      </c>
      <c r="C944" s="192">
        <v>0</v>
      </c>
      <c r="D944" s="192" t="s">
        <v>65</v>
      </c>
      <c r="E944" s="192">
        <v>0</v>
      </c>
      <c r="F944" s="192">
        <v>0</v>
      </c>
      <c r="G944" s="192">
        <v>122978</v>
      </c>
      <c r="H944" s="192">
        <v>24027</v>
      </c>
      <c r="I944" s="192">
        <v>1</v>
      </c>
      <c r="J944" s="192">
        <v>484</v>
      </c>
      <c r="K944" s="192" t="s">
        <v>925</v>
      </c>
      <c r="L944" s="192" t="s">
        <v>737</v>
      </c>
      <c r="M944" s="192" t="s">
        <v>919</v>
      </c>
      <c r="N944" s="192" t="s">
        <v>65</v>
      </c>
      <c r="O944" s="192" t="s">
        <v>65</v>
      </c>
      <c r="P944" s="192" t="s">
        <v>926</v>
      </c>
      <c r="Q944" s="192">
        <v>0.19499999284744263</v>
      </c>
      <c r="R944" s="192">
        <v>5</v>
      </c>
      <c r="S944" s="192">
        <f>VLOOKUP($H944,'RBSA Weights'!$A$2:$C$1406,3,FALSE)</f>
        <v>1925.059</v>
      </c>
    </row>
    <row r="945" spans="1:19">
      <c r="A945" s="192" t="s">
        <v>934</v>
      </c>
      <c r="B945" s="192">
        <v>0.25</v>
      </c>
      <c r="C945" s="192">
        <v>0</v>
      </c>
      <c r="D945" s="192" t="s">
        <v>65</v>
      </c>
      <c r="E945" s="192">
        <v>1</v>
      </c>
      <c r="F945" s="192">
        <v>0</v>
      </c>
      <c r="G945" s="192">
        <v>123952</v>
      </c>
      <c r="H945" s="192">
        <v>24522</v>
      </c>
      <c r="I945" s="192">
        <v>1</v>
      </c>
      <c r="J945" s="192">
        <v>1697</v>
      </c>
      <c r="K945" s="192" t="s">
        <v>918</v>
      </c>
      <c r="L945" s="192" t="s">
        <v>930</v>
      </c>
      <c r="M945" s="192" t="s">
        <v>923</v>
      </c>
      <c r="N945" s="192" t="s">
        <v>65</v>
      </c>
      <c r="O945" s="192" t="s">
        <v>65</v>
      </c>
      <c r="P945" s="192" t="s">
        <v>924</v>
      </c>
      <c r="Q945" s="192">
        <v>0.19499999284744263</v>
      </c>
      <c r="R945" s="192">
        <v>3.0999999046325684</v>
      </c>
      <c r="S945" s="192">
        <f>VLOOKUP($H945,'RBSA Weights'!$A$2:$C$1406,3,FALSE)</f>
        <v>2079.9929999999999</v>
      </c>
    </row>
    <row r="946" spans="1:19">
      <c r="A946" s="192" t="s">
        <v>934</v>
      </c>
      <c r="B946" s="192">
        <v>0.25</v>
      </c>
      <c r="C946" s="192">
        <v>0</v>
      </c>
      <c r="D946" s="192" t="s">
        <v>65</v>
      </c>
      <c r="E946" s="192">
        <v>1</v>
      </c>
      <c r="F946" s="192">
        <v>0</v>
      </c>
      <c r="G946" s="192">
        <v>107943</v>
      </c>
      <c r="H946" s="192">
        <v>10951</v>
      </c>
      <c r="I946" s="192">
        <v>1</v>
      </c>
      <c r="J946" s="192">
        <v>1675</v>
      </c>
      <c r="K946" s="192" t="s">
        <v>918</v>
      </c>
      <c r="L946" s="192" t="s">
        <v>737</v>
      </c>
      <c r="M946" s="192" t="s">
        <v>923</v>
      </c>
      <c r="N946" s="192" t="s">
        <v>65</v>
      </c>
      <c r="O946" s="192" t="s">
        <v>65</v>
      </c>
      <c r="P946" s="192" t="s">
        <v>924</v>
      </c>
      <c r="Q946" s="192">
        <v>0.19499999284744263</v>
      </c>
      <c r="R946" s="192">
        <v>3.0999999046325684</v>
      </c>
      <c r="S946" s="192">
        <f>VLOOKUP($H946,'RBSA Weights'!$A$2:$C$1406,3,FALSE)</f>
        <v>4956.4930000000004</v>
      </c>
    </row>
    <row r="947" spans="1:19">
      <c r="A947" s="192" t="s">
        <v>934</v>
      </c>
      <c r="B947" s="192">
        <v>0.5</v>
      </c>
      <c r="C947" s="192">
        <v>0</v>
      </c>
      <c r="D947" s="192" t="s">
        <v>65</v>
      </c>
      <c r="E947" s="192">
        <v>1</v>
      </c>
      <c r="F947" s="192">
        <v>0</v>
      </c>
      <c r="G947" s="192">
        <v>141132</v>
      </c>
      <c r="H947" s="192">
        <v>12856</v>
      </c>
      <c r="I947" s="192">
        <v>1</v>
      </c>
      <c r="J947" s="192">
        <v>840</v>
      </c>
      <c r="K947" s="192" t="s">
        <v>925</v>
      </c>
      <c r="L947" s="192" t="s">
        <v>922</v>
      </c>
      <c r="M947" s="192" t="s">
        <v>919</v>
      </c>
      <c r="N947" s="192" t="s">
        <v>65</v>
      </c>
      <c r="O947" s="192" t="s">
        <v>65</v>
      </c>
      <c r="P947" s="192" t="s">
        <v>65</v>
      </c>
      <c r="Q947" s="192">
        <v>0.15999999642372131</v>
      </c>
      <c r="R947" s="192">
        <v>3.0999999046325684</v>
      </c>
      <c r="S947" s="192">
        <f>VLOOKUP($H947,'RBSA Weights'!$A$2:$C$1406,3,FALSE)</f>
        <v>4956.4930000000004</v>
      </c>
    </row>
    <row r="948" spans="1:19">
      <c r="A948" s="192" t="s">
        <v>934</v>
      </c>
      <c r="B948" s="192">
        <v>0.75</v>
      </c>
      <c r="C948" s="192">
        <v>0</v>
      </c>
      <c r="D948" s="192" t="s">
        <v>65</v>
      </c>
      <c r="E948" s="192">
        <v>0</v>
      </c>
      <c r="F948" s="192">
        <v>0</v>
      </c>
      <c r="G948" s="192">
        <v>65331</v>
      </c>
      <c r="H948" s="192">
        <v>10786</v>
      </c>
      <c r="I948" s="192">
        <v>1</v>
      </c>
      <c r="J948" s="192">
        <v>930</v>
      </c>
      <c r="K948" s="192" t="s">
        <v>925</v>
      </c>
      <c r="L948" s="192" t="s">
        <v>927</v>
      </c>
      <c r="M948" s="192" t="s">
        <v>923</v>
      </c>
      <c r="N948" s="192" t="s">
        <v>65</v>
      </c>
      <c r="O948" s="192" t="s">
        <v>65</v>
      </c>
      <c r="P948" s="192" t="s">
        <v>926</v>
      </c>
      <c r="Q948" s="192">
        <v>0.11999999731779099</v>
      </c>
      <c r="R948" s="192">
        <v>5</v>
      </c>
      <c r="S948" s="192">
        <f>VLOOKUP($H948,'RBSA Weights'!$A$2:$C$1406,3,FALSE)</f>
        <v>2003.7159999999999</v>
      </c>
    </row>
    <row r="949" spans="1:19">
      <c r="A949" s="192" t="s">
        <v>934</v>
      </c>
      <c r="B949" s="192">
        <v>0.75</v>
      </c>
      <c r="C949" s="192">
        <v>0</v>
      </c>
      <c r="D949" s="192" t="s">
        <v>65</v>
      </c>
      <c r="E949" s="192">
        <v>1</v>
      </c>
      <c r="F949" s="192">
        <v>0</v>
      </c>
      <c r="G949" s="192">
        <v>41666</v>
      </c>
      <c r="H949" s="192">
        <v>11187</v>
      </c>
      <c r="I949" s="192">
        <v>1</v>
      </c>
      <c r="J949" s="192">
        <v>1350</v>
      </c>
      <c r="K949" s="192" t="s">
        <v>925</v>
      </c>
      <c r="L949" s="192" t="s">
        <v>922</v>
      </c>
      <c r="M949" s="192" t="s">
        <v>919</v>
      </c>
      <c r="N949" s="192" t="s">
        <v>65</v>
      </c>
      <c r="O949" s="192" t="s">
        <v>65</v>
      </c>
      <c r="P949" s="192" t="s">
        <v>924</v>
      </c>
      <c r="Q949" s="192">
        <v>0.11999999731779099</v>
      </c>
      <c r="R949" s="192">
        <v>3.0999999046325684</v>
      </c>
      <c r="S949" s="192">
        <f>VLOOKUP($H949,'RBSA Weights'!$A$2:$C$1406,3,FALSE)</f>
        <v>1524.7619999999999</v>
      </c>
    </row>
    <row r="950" spans="1:19">
      <c r="A950" s="192" t="s">
        <v>934</v>
      </c>
      <c r="B950" s="192">
        <v>0.75</v>
      </c>
      <c r="C950" s="192">
        <v>0</v>
      </c>
      <c r="D950" s="192" t="s">
        <v>65</v>
      </c>
      <c r="E950" s="192">
        <v>0</v>
      </c>
      <c r="F950" s="192">
        <v>0</v>
      </c>
      <c r="G950" s="192">
        <v>32984</v>
      </c>
      <c r="H950" s="192">
        <v>20458</v>
      </c>
      <c r="I950" s="192">
        <v>1</v>
      </c>
      <c r="J950" s="192">
        <v>923</v>
      </c>
      <c r="K950" s="192" t="s">
        <v>925</v>
      </c>
      <c r="L950" s="192" t="s">
        <v>922</v>
      </c>
      <c r="M950" s="192" t="s">
        <v>919</v>
      </c>
      <c r="N950" s="192" t="s">
        <v>65</v>
      </c>
      <c r="O950" s="192" t="s">
        <v>65</v>
      </c>
      <c r="P950" s="192" t="s">
        <v>924</v>
      </c>
      <c r="Q950" s="192">
        <v>0.11999999731779099</v>
      </c>
      <c r="R950" s="192">
        <v>5</v>
      </c>
      <c r="S950" s="192">
        <f>VLOOKUP($H950,'RBSA Weights'!$A$2:$C$1406,3,FALSE)</f>
        <v>3785.7640000000001</v>
      </c>
    </row>
    <row r="951" spans="1:19">
      <c r="A951" s="192" t="s">
        <v>934</v>
      </c>
      <c r="B951" s="192">
        <v>0.75</v>
      </c>
      <c r="C951" s="192">
        <v>0</v>
      </c>
      <c r="D951" s="192" t="s">
        <v>65</v>
      </c>
      <c r="E951" s="192">
        <v>1</v>
      </c>
      <c r="F951" s="192">
        <v>0</v>
      </c>
      <c r="G951" s="192">
        <v>32735</v>
      </c>
      <c r="H951" s="192">
        <v>12229</v>
      </c>
      <c r="I951" s="192">
        <v>1</v>
      </c>
      <c r="J951" s="192">
        <v>1400</v>
      </c>
      <c r="K951" s="192" t="s">
        <v>925</v>
      </c>
      <c r="L951" s="192" t="s">
        <v>737</v>
      </c>
      <c r="M951" s="192" t="s">
        <v>923</v>
      </c>
      <c r="N951" s="192" t="s">
        <v>65</v>
      </c>
      <c r="O951" s="192" t="s">
        <v>65</v>
      </c>
      <c r="P951" s="192" t="s">
        <v>926</v>
      </c>
      <c r="Q951" s="192">
        <v>0.11999999731779099</v>
      </c>
      <c r="R951" s="192">
        <v>3.0999999046325684</v>
      </c>
      <c r="S951" s="192">
        <f>VLOOKUP($H951,'RBSA Weights'!$A$2:$C$1406,3,FALSE)</f>
        <v>1524.7619999999999</v>
      </c>
    </row>
    <row r="952" spans="1:19">
      <c r="A952" s="192" t="s">
        <v>934</v>
      </c>
      <c r="B952" s="192">
        <v>0.9</v>
      </c>
      <c r="C952" s="192">
        <v>0</v>
      </c>
      <c r="D952" s="192" t="s">
        <v>65</v>
      </c>
      <c r="E952" s="192">
        <v>1</v>
      </c>
      <c r="F952" s="192">
        <v>0</v>
      </c>
      <c r="G952" s="192">
        <v>31829</v>
      </c>
      <c r="H952" s="192">
        <v>11032</v>
      </c>
      <c r="I952" s="192">
        <v>1</v>
      </c>
      <c r="J952" s="192">
        <v>436</v>
      </c>
      <c r="K952" s="192" t="s">
        <v>925</v>
      </c>
      <c r="L952" s="192" t="s">
        <v>737</v>
      </c>
      <c r="M952" s="192" t="s">
        <v>919</v>
      </c>
      <c r="N952" s="192" t="s">
        <v>65</v>
      </c>
      <c r="O952" s="192" t="s">
        <v>65</v>
      </c>
      <c r="P952" s="192" t="s">
        <v>924</v>
      </c>
      <c r="Q952" s="192">
        <v>0.10000000149011612</v>
      </c>
      <c r="R952" s="192">
        <v>3.0999999046325684</v>
      </c>
      <c r="S952" s="192">
        <f>VLOOKUP($H952,'RBSA Weights'!$A$2:$C$1406,3,FALSE)</f>
        <v>1188.027</v>
      </c>
    </row>
    <row r="953" spans="1:19">
      <c r="A953" s="192" t="s">
        <v>934</v>
      </c>
      <c r="B953" s="192">
        <v>0.9</v>
      </c>
      <c r="C953" s="192">
        <v>0</v>
      </c>
      <c r="D953" s="192" t="s">
        <v>65</v>
      </c>
      <c r="E953" s="192">
        <v>1</v>
      </c>
      <c r="F953" s="192">
        <v>0</v>
      </c>
      <c r="G953" s="192">
        <v>213953</v>
      </c>
      <c r="H953" s="192">
        <v>23952</v>
      </c>
      <c r="I953" s="192">
        <v>1</v>
      </c>
      <c r="J953" s="192">
        <v>1640</v>
      </c>
      <c r="K953" s="192" t="s">
        <v>925</v>
      </c>
      <c r="L953" s="192" t="s">
        <v>737</v>
      </c>
      <c r="M953" s="192" t="s">
        <v>919</v>
      </c>
      <c r="N953" s="192" t="s">
        <v>65</v>
      </c>
      <c r="O953" s="192" t="s">
        <v>65</v>
      </c>
      <c r="P953" s="192" t="s">
        <v>65</v>
      </c>
      <c r="Q953" s="192">
        <v>0.10000000149011612</v>
      </c>
      <c r="R953" s="192">
        <v>3.0999999046325684</v>
      </c>
      <c r="S953" s="192">
        <f>VLOOKUP($H953,'RBSA Weights'!$A$2:$C$1406,3,FALSE)</f>
        <v>1612.692</v>
      </c>
    </row>
    <row r="954" spans="1:19">
      <c r="A954" s="192" t="s">
        <v>934</v>
      </c>
      <c r="B954" s="192">
        <v>0.9</v>
      </c>
      <c r="C954" s="192">
        <v>0</v>
      </c>
      <c r="D954" s="192" t="s">
        <v>65</v>
      </c>
      <c r="E954" s="192">
        <v>1</v>
      </c>
      <c r="F954" s="192">
        <v>1</v>
      </c>
      <c r="G954" s="192">
        <v>32891</v>
      </c>
      <c r="H954" s="192">
        <v>10852</v>
      </c>
      <c r="I954" s="192">
        <v>1</v>
      </c>
      <c r="J954" s="192">
        <v>800</v>
      </c>
      <c r="K954" s="192" t="s">
        <v>925</v>
      </c>
      <c r="L954" s="192" t="s">
        <v>922</v>
      </c>
      <c r="M954" s="192" t="s">
        <v>919</v>
      </c>
      <c r="N954" s="192" t="s">
        <v>65</v>
      </c>
      <c r="O954" s="192" t="s">
        <v>65</v>
      </c>
      <c r="P954" s="192" t="s">
        <v>926</v>
      </c>
      <c r="Q954" s="192">
        <v>0.10000000149011612</v>
      </c>
      <c r="R954" s="192">
        <v>4.5</v>
      </c>
      <c r="S954" s="192">
        <f>VLOOKUP($H954,'RBSA Weights'!$A$2:$C$1406,3,FALSE)</f>
        <v>1188.027</v>
      </c>
    </row>
    <row r="955" spans="1:19">
      <c r="A955" s="192" t="s">
        <v>934</v>
      </c>
      <c r="B955" s="192">
        <v>0.9</v>
      </c>
      <c r="C955" s="192">
        <v>0</v>
      </c>
      <c r="D955" s="192" t="s">
        <v>65</v>
      </c>
      <c r="E955" s="192">
        <v>1</v>
      </c>
      <c r="F955" s="192">
        <v>0</v>
      </c>
      <c r="G955" s="192">
        <v>677187</v>
      </c>
      <c r="H955" s="192">
        <v>12274</v>
      </c>
      <c r="I955" s="192">
        <v>1</v>
      </c>
      <c r="J955" s="192">
        <v>1182</v>
      </c>
      <c r="K955" s="192" t="s">
        <v>925</v>
      </c>
      <c r="L955" s="192" t="s">
        <v>922</v>
      </c>
      <c r="M955" s="192" t="s">
        <v>919</v>
      </c>
      <c r="N955" s="192" t="s">
        <v>65</v>
      </c>
      <c r="O955" s="192" t="s">
        <v>65</v>
      </c>
      <c r="P955" s="192" t="s">
        <v>65</v>
      </c>
      <c r="Q955" s="192">
        <v>0.10000000149011612</v>
      </c>
      <c r="R955" s="192">
        <v>3.0999999046325684</v>
      </c>
      <c r="S955" s="192">
        <f>VLOOKUP($H955,'RBSA Weights'!$A$2:$C$1406,3,FALSE)</f>
        <v>4956.4930000000004</v>
      </c>
    </row>
    <row r="956" spans="1:19">
      <c r="A956" s="192" t="s">
        <v>934</v>
      </c>
      <c r="B956" s="192">
        <v>0.9</v>
      </c>
      <c r="C956" s="192">
        <v>0</v>
      </c>
      <c r="D956" s="192" t="s">
        <v>65</v>
      </c>
      <c r="E956" s="192">
        <v>1</v>
      </c>
      <c r="F956" s="192">
        <v>0</v>
      </c>
      <c r="G956" s="192">
        <v>135745</v>
      </c>
      <c r="H956" s="192">
        <v>10612</v>
      </c>
      <c r="I956" s="192">
        <v>1</v>
      </c>
      <c r="J956" s="192">
        <v>1748</v>
      </c>
      <c r="K956" s="192" t="s">
        <v>918</v>
      </c>
      <c r="L956" s="192" t="s">
        <v>65</v>
      </c>
      <c r="M956" s="192" t="s">
        <v>923</v>
      </c>
      <c r="N956" s="192" t="s">
        <v>65</v>
      </c>
      <c r="O956" s="192" t="s">
        <v>65</v>
      </c>
      <c r="P956" s="192" t="s">
        <v>65</v>
      </c>
      <c r="Q956" s="192">
        <v>0.10000000149011612</v>
      </c>
      <c r="R956" s="192">
        <v>3.0999999046325684</v>
      </c>
      <c r="S956" s="192">
        <f>VLOOKUP($H956,'RBSA Weights'!$A$2:$C$1406,3,FALSE)</f>
        <v>6932.7380000000003</v>
      </c>
    </row>
    <row r="957" spans="1:19">
      <c r="A957" s="192" t="s">
        <v>934</v>
      </c>
      <c r="B957" s="192">
        <v>0.9</v>
      </c>
      <c r="C957" s="192">
        <v>0</v>
      </c>
      <c r="D957" s="192" t="s">
        <v>65</v>
      </c>
      <c r="E957" s="192">
        <v>1</v>
      </c>
      <c r="F957" s="192">
        <v>0</v>
      </c>
      <c r="G957" s="192">
        <v>119716</v>
      </c>
      <c r="H957" s="192">
        <v>10658</v>
      </c>
      <c r="I957" s="192">
        <v>1</v>
      </c>
      <c r="J957" s="192">
        <v>750</v>
      </c>
      <c r="K957" s="192" t="s">
        <v>918</v>
      </c>
      <c r="L957" s="192" t="s">
        <v>737</v>
      </c>
      <c r="M957" s="192" t="s">
        <v>919</v>
      </c>
      <c r="N957" s="192" t="s">
        <v>65</v>
      </c>
      <c r="O957" s="192" t="s">
        <v>65</v>
      </c>
      <c r="P957" s="192" t="s">
        <v>926</v>
      </c>
      <c r="Q957" s="192">
        <v>0.10000000149011612</v>
      </c>
      <c r="R957" s="192">
        <v>3.0999999046325684</v>
      </c>
      <c r="S957" s="192">
        <f>VLOOKUP($H957,'RBSA Weights'!$A$2:$C$1406,3,FALSE)</f>
        <v>1464.694</v>
      </c>
    </row>
    <row r="958" spans="1:19">
      <c r="A958" s="192" t="s">
        <v>934</v>
      </c>
      <c r="B958" s="192">
        <v>0.9</v>
      </c>
      <c r="C958" s="192">
        <v>0</v>
      </c>
      <c r="D958" s="192" t="s">
        <v>65</v>
      </c>
      <c r="E958" s="192">
        <v>0</v>
      </c>
      <c r="G958" s="192">
        <v>237819</v>
      </c>
      <c r="H958" s="192">
        <v>11775</v>
      </c>
      <c r="I958" s="192">
        <v>1</v>
      </c>
      <c r="J958" s="192">
        <v>1318</v>
      </c>
      <c r="K958" s="192" t="s">
        <v>918</v>
      </c>
      <c r="L958" s="192" t="s">
        <v>65</v>
      </c>
      <c r="M958" s="192" t="s">
        <v>919</v>
      </c>
      <c r="N958" s="192" t="s">
        <v>65</v>
      </c>
      <c r="O958" s="192" t="s">
        <v>984</v>
      </c>
      <c r="P958" s="192" t="s">
        <v>65</v>
      </c>
      <c r="Q958" s="192">
        <v>0.10000000149011612</v>
      </c>
      <c r="R958" s="192">
        <v>5</v>
      </c>
      <c r="S958" s="192">
        <f>VLOOKUP($H958,'RBSA Weights'!$A$2:$C$1406,3,FALSE)</f>
        <v>4956.4930000000004</v>
      </c>
    </row>
    <row r="959" spans="1:19">
      <c r="A959" s="192" t="s">
        <v>934</v>
      </c>
      <c r="B959" s="192">
        <v>0.9</v>
      </c>
      <c r="C959" s="192">
        <v>0</v>
      </c>
      <c r="D959" s="192" t="s">
        <v>65</v>
      </c>
      <c r="E959" s="192">
        <v>0</v>
      </c>
      <c r="F959" s="192">
        <v>0</v>
      </c>
      <c r="G959" s="192">
        <v>678196</v>
      </c>
      <c r="H959" s="192">
        <v>10887</v>
      </c>
      <c r="I959" s="192">
        <v>3</v>
      </c>
      <c r="J959" s="192">
        <v>176</v>
      </c>
      <c r="K959" s="192" t="s">
        <v>925</v>
      </c>
      <c r="L959" s="192" t="s">
        <v>922</v>
      </c>
      <c r="M959" s="192" t="s">
        <v>919</v>
      </c>
      <c r="N959" s="192" t="s">
        <v>65</v>
      </c>
      <c r="O959" s="192" t="s">
        <v>65</v>
      </c>
      <c r="P959" s="192" t="s">
        <v>65</v>
      </c>
      <c r="Q959" s="192">
        <v>0.10000000149011612</v>
      </c>
      <c r="R959" s="192">
        <v>5</v>
      </c>
      <c r="S959" s="192">
        <f>VLOOKUP($H959,'RBSA Weights'!$A$2:$C$1406,3,FALSE)</f>
        <v>1464.694</v>
      </c>
    </row>
    <row r="960" spans="1:19">
      <c r="A960" s="192" t="s">
        <v>934</v>
      </c>
      <c r="B960" s="192">
        <v>0.9</v>
      </c>
      <c r="C960" s="192">
        <v>0</v>
      </c>
      <c r="D960" s="192" t="s">
        <v>65</v>
      </c>
      <c r="E960" s="192">
        <v>1</v>
      </c>
      <c r="F960" s="192">
        <v>0</v>
      </c>
      <c r="G960" s="192">
        <v>30036</v>
      </c>
      <c r="H960" s="192">
        <v>10978</v>
      </c>
      <c r="I960" s="192">
        <v>1</v>
      </c>
      <c r="J960" s="192">
        <v>1000</v>
      </c>
      <c r="K960" s="192" t="s">
        <v>918</v>
      </c>
      <c r="L960" s="192" t="s">
        <v>927</v>
      </c>
      <c r="M960" s="192" t="s">
        <v>923</v>
      </c>
      <c r="N960" s="192" t="s">
        <v>65</v>
      </c>
      <c r="O960" s="192" t="s">
        <v>65</v>
      </c>
      <c r="P960" s="192" t="s">
        <v>924</v>
      </c>
      <c r="Q960" s="192">
        <v>0.10000000149011612</v>
      </c>
      <c r="R960" s="192">
        <v>3.0999999046325684</v>
      </c>
      <c r="S960" s="192">
        <f>VLOOKUP($H960,'RBSA Weights'!$A$2:$C$1406,3,FALSE)</f>
        <v>1524.7619999999999</v>
      </c>
    </row>
    <row r="961" spans="1:19">
      <c r="A961" s="192" t="s">
        <v>934</v>
      </c>
      <c r="B961" s="192">
        <v>1</v>
      </c>
      <c r="C961" s="192">
        <v>0</v>
      </c>
      <c r="D961" s="192" t="s">
        <v>65</v>
      </c>
      <c r="E961" s="192">
        <v>1</v>
      </c>
      <c r="F961" s="192">
        <v>0</v>
      </c>
      <c r="G961" s="192">
        <v>91407</v>
      </c>
      <c r="H961" s="192">
        <v>13455</v>
      </c>
      <c r="I961" s="192">
        <v>1</v>
      </c>
      <c r="J961" s="192">
        <v>2469</v>
      </c>
      <c r="K961" s="192" t="s">
        <v>918</v>
      </c>
      <c r="L961" s="192" t="s">
        <v>65</v>
      </c>
      <c r="M961" s="192" t="s">
        <v>919</v>
      </c>
      <c r="N961" s="192" t="s">
        <v>65</v>
      </c>
      <c r="O961" s="192" t="s">
        <v>65</v>
      </c>
      <c r="P961" s="192" t="s">
        <v>926</v>
      </c>
      <c r="Q961" s="192">
        <v>9.0000003576278687E-2</v>
      </c>
      <c r="R961" s="192">
        <v>3.0999999046325684</v>
      </c>
      <c r="S961" s="192">
        <f>VLOOKUP($H961,'RBSA Weights'!$A$2:$C$1406,3,FALSE)</f>
        <v>2003.7159999999999</v>
      </c>
    </row>
    <row r="962" spans="1:19">
      <c r="A962" s="192" t="s">
        <v>934</v>
      </c>
      <c r="B962" s="192">
        <v>1</v>
      </c>
      <c r="C962" s="192">
        <v>0</v>
      </c>
      <c r="D962" s="192" t="s">
        <v>65</v>
      </c>
      <c r="E962" s="192">
        <v>0</v>
      </c>
      <c r="F962" s="192">
        <v>0</v>
      </c>
      <c r="G962" s="192">
        <v>35973</v>
      </c>
      <c r="H962" s="192">
        <v>12307</v>
      </c>
      <c r="I962" s="192">
        <v>1</v>
      </c>
      <c r="J962" s="192">
        <v>356</v>
      </c>
      <c r="K962" s="192" t="s">
        <v>925</v>
      </c>
      <c r="L962" s="192" t="s">
        <v>930</v>
      </c>
      <c r="M962" s="192" t="s">
        <v>923</v>
      </c>
      <c r="N962" s="192" t="s">
        <v>65</v>
      </c>
      <c r="O962" s="192" t="s">
        <v>985</v>
      </c>
      <c r="P962" s="192" t="s">
        <v>924</v>
      </c>
      <c r="Q962" s="192">
        <v>9.0000003576278687E-2</v>
      </c>
      <c r="R962" s="192">
        <v>5</v>
      </c>
      <c r="S962" s="192">
        <f>VLOOKUP($H962,'RBSA Weights'!$A$2:$C$1406,3,FALSE)</f>
        <v>1524.7619999999999</v>
      </c>
    </row>
  </sheetData>
  <autoFilter ref="A2:S962"/>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Y450"/>
  <sheetViews>
    <sheetView topLeftCell="E1" workbookViewId="0">
      <selection activeCell="Y6" sqref="Y6"/>
    </sheetView>
  </sheetViews>
  <sheetFormatPr defaultRowHeight="12.75"/>
  <cols>
    <col min="1" max="16384" width="9.140625" style="216"/>
  </cols>
  <sheetData>
    <row r="1" spans="1:25">
      <c r="A1" s="216" t="s">
        <v>315</v>
      </c>
      <c r="B1" s="216" t="s">
        <v>997</v>
      </c>
      <c r="C1" s="216" t="s">
        <v>998</v>
      </c>
      <c r="D1" s="216" t="s">
        <v>999</v>
      </c>
      <c r="E1" s="216" t="s">
        <v>1000</v>
      </c>
      <c r="F1" s="216" t="s">
        <v>1001</v>
      </c>
      <c r="G1" s="216" t="s">
        <v>1002</v>
      </c>
      <c r="H1" s="216" t="s">
        <v>1003</v>
      </c>
      <c r="I1" s="216" t="s">
        <v>1004</v>
      </c>
      <c r="J1" s="216" t="s">
        <v>1117</v>
      </c>
      <c r="K1" s="216" t="s">
        <v>1118</v>
      </c>
      <c r="L1" s="216" t="s">
        <v>1005</v>
      </c>
      <c r="M1" s="216" t="s">
        <v>1006</v>
      </c>
      <c r="N1" s="216" t="s">
        <v>1007</v>
      </c>
      <c r="O1" s="216" t="s">
        <v>1008</v>
      </c>
      <c r="P1" s="216" t="s">
        <v>1009</v>
      </c>
      <c r="Q1" s="216" t="s">
        <v>1010</v>
      </c>
      <c r="R1" s="216" t="s">
        <v>1116</v>
      </c>
      <c r="S1" s="216" t="s">
        <v>1134</v>
      </c>
      <c r="T1" s="216" t="s">
        <v>1132</v>
      </c>
      <c r="U1" s="216" t="s">
        <v>1133</v>
      </c>
      <c r="X1" s="216" t="s">
        <v>1617</v>
      </c>
      <c r="Y1" s="216" t="s">
        <v>1618</v>
      </c>
    </row>
    <row r="2" spans="1:25">
      <c r="A2" s="216">
        <v>10016</v>
      </c>
      <c r="B2" s="216">
        <v>1460</v>
      </c>
      <c r="C2" s="216">
        <v>24.299999237060501</v>
      </c>
      <c r="D2" s="216">
        <v>2450</v>
      </c>
      <c r="E2" s="216">
        <v>51.400001525878899</v>
      </c>
      <c r="F2" s="216">
        <v>0.69097429513931297</v>
      </c>
      <c r="G2" s="216">
        <v>161.040283203125</v>
      </c>
      <c r="H2" s="216">
        <v>2403.69360351563</v>
      </c>
      <c r="I2" s="216">
        <v>195.26509094238301</v>
      </c>
      <c r="J2" s="216">
        <v>10.345883369445801</v>
      </c>
      <c r="K2" s="216">
        <v>0.52625375986099199</v>
      </c>
      <c r="L2" s="216">
        <v>122.26628875732401</v>
      </c>
      <c r="M2" s="216">
        <v>1700</v>
      </c>
      <c r="N2" s="216">
        <v>13940</v>
      </c>
      <c r="O2" s="216">
        <v>16.399999618530298</v>
      </c>
      <c r="Q2" s="216">
        <v>0.5</v>
      </c>
      <c r="R2" s="192">
        <f>VLOOKUP($A2,'RBSA Weights'!$A$2:$C$1406,3,FALSE)</f>
        <v>6932.7380000000003</v>
      </c>
      <c r="S2" s="216">
        <f>IF(J2&lt;7,0,1)</f>
        <v>1</v>
      </c>
      <c r="T2" s="216">
        <f>S2*R2</f>
        <v>6932.7380000000003</v>
      </c>
      <c r="U2" s="217">
        <f>SUM(T2:T450)/SUM(R2:R450)</f>
        <v>0.6978388705872236</v>
      </c>
    </row>
    <row r="3" spans="1:25">
      <c r="A3" s="216">
        <v>10062</v>
      </c>
      <c r="B3" s="216">
        <v>2921</v>
      </c>
      <c r="C3" s="216">
        <v>25</v>
      </c>
      <c r="D3" s="216">
        <v>4385</v>
      </c>
      <c r="E3" s="216">
        <v>50</v>
      </c>
      <c r="F3" s="216">
        <v>0.58611446619033802</v>
      </c>
      <c r="G3" s="216">
        <v>442.77053833007801</v>
      </c>
      <c r="H3" s="216">
        <v>4385</v>
      </c>
      <c r="I3" s="216">
        <v>464.23394775390602</v>
      </c>
      <c r="J3" s="216">
        <v>11.533201217651399</v>
      </c>
      <c r="K3" s="216">
        <v>0.74924761056900002</v>
      </c>
      <c r="L3" s="216">
        <v>284.86892700195301</v>
      </c>
      <c r="M3" s="216">
        <v>2782</v>
      </c>
      <c r="N3" s="216">
        <v>22812.400390625</v>
      </c>
      <c r="O3" s="216">
        <v>16.399999618530298</v>
      </c>
      <c r="Q3" s="216">
        <v>0.490000009536743</v>
      </c>
      <c r="R3" s="192">
        <f>VLOOKUP($A3,'RBSA Weights'!$A$2:$C$1406,3,FALSE)</f>
        <v>4956.4930000000004</v>
      </c>
      <c r="S3" s="216">
        <f t="shared" ref="S3:S66" si="0">IF(J3&lt;7,0,1)</f>
        <v>1</v>
      </c>
      <c r="T3" s="216">
        <f t="shared" ref="T3:T66" si="1">S3*R3</f>
        <v>4956.4930000000004</v>
      </c>
    </row>
    <row r="4" spans="1:25">
      <c r="A4" s="216">
        <v>10083</v>
      </c>
      <c r="B4" s="216">
        <v>3492</v>
      </c>
      <c r="C4" s="216">
        <v>25.100000381469702</v>
      </c>
      <c r="D4" s="216">
        <v>5268</v>
      </c>
      <c r="E4" s="216">
        <v>50</v>
      </c>
      <c r="F4" s="216">
        <v>0.596638023853302</v>
      </c>
      <c r="G4" s="216">
        <v>510.47637939453102</v>
      </c>
      <c r="H4" s="216">
        <v>5268</v>
      </c>
      <c r="I4" s="216">
        <v>543.08728027343795</v>
      </c>
      <c r="J4" s="216">
        <v>18.2511081695557</v>
      </c>
      <c r="K4" s="216">
        <v>0.91071695089340199</v>
      </c>
      <c r="L4" s="216">
        <v>262.86935424804699</v>
      </c>
      <c r="M4" s="216">
        <v>2112</v>
      </c>
      <c r="N4" s="216">
        <v>17318.400390625</v>
      </c>
      <c r="O4" s="216">
        <v>8.1999998092651403</v>
      </c>
      <c r="P4" s="216" t="s">
        <v>1011</v>
      </c>
      <c r="Q4" s="216">
        <v>0.50999999046325695</v>
      </c>
      <c r="R4" s="192">
        <f>VLOOKUP($A4,'RBSA Weights'!$A$2:$C$1406,3,FALSE)</f>
        <v>4956.4930000000004</v>
      </c>
      <c r="S4" s="216">
        <f t="shared" si="0"/>
        <v>1</v>
      </c>
      <c r="T4" s="216">
        <f t="shared" si="1"/>
        <v>4956.4930000000004</v>
      </c>
    </row>
    <row r="5" spans="1:25">
      <c r="A5" s="216">
        <v>10178</v>
      </c>
      <c r="B5" s="216">
        <v>1595</v>
      </c>
      <c r="C5" s="216">
        <v>25.299999237060501</v>
      </c>
      <c r="D5" s="216">
        <v>2530</v>
      </c>
      <c r="E5" s="216">
        <v>49.700000762939503</v>
      </c>
      <c r="F5" s="216">
        <v>0.683271884918213</v>
      </c>
      <c r="G5" s="216">
        <v>175.40739440918</v>
      </c>
      <c r="H5" s="216">
        <v>2540.4248046875</v>
      </c>
      <c r="I5" s="216">
        <v>210.42662048339801</v>
      </c>
      <c r="J5" s="216">
        <v>18.331829071044901</v>
      </c>
      <c r="K5" s="216">
        <v>0.79261618852615401</v>
      </c>
      <c r="L5" s="216">
        <v>109.840744018555</v>
      </c>
      <c r="M5" s="216">
        <v>1014</v>
      </c>
      <c r="N5" s="216">
        <v>8314.7998046875</v>
      </c>
      <c r="O5" s="216">
        <v>8.1999998092651403</v>
      </c>
      <c r="Q5" s="216">
        <v>0.55000001192092896</v>
      </c>
      <c r="R5" s="192">
        <f>VLOOKUP($A5,'RBSA Weights'!$A$2:$C$1406,3,FALSE)</f>
        <v>6932.7380000000003</v>
      </c>
      <c r="S5" s="216">
        <f t="shared" si="0"/>
        <v>1</v>
      </c>
      <c r="T5" s="216">
        <f t="shared" si="1"/>
        <v>6932.7380000000003</v>
      </c>
    </row>
    <row r="6" spans="1:25">
      <c r="A6" s="216">
        <v>10211</v>
      </c>
      <c r="B6" s="216">
        <v>1570</v>
      </c>
      <c r="C6" s="216">
        <v>25.100000381469702</v>
      </c>
      <c r="D6" s="216">
        <v>2625</v>
      </c>
      <c r="E6" s="216">
        <v>50.200000762939503</v>
      </c>
      <c r="F6" s="216">
        <v>0.74155288934707597</v>
      </c>
      <c r="G6" s="216">
        <v>143.86911010742199</v>
      </c>
      <c r="H6" s="216">
        <v>2617.24072265625</v>
      </c>
      <c r="I6" s="216">
        <v>187.11517333984401</v>
      </c>
      <c r="J6" s="216">
        <v>19.969282150268601</v>
      </c>
      <c r="K6" s="216">
        <v>0.66393262147903398</v>
      </c>
      <c r="L6" s="216">
        <v>87.017219543457003</v>
      </c>
      <c r="M6" s="216">
        <v>959</v>
      </c>
      <c r="N6" s="216">
        <v>7863.7998046875</v>
      </c>
      <c r="O6" s="216">
        <v>8.1999998092651403</v>
      </c>
      <c r="Q6" s="216">
        <v>0.490000009536743</v>
      </c>
      <c r="R6" s="192">
        <f>VLOOKUP($A6,'RBSA Weights'!$A$2:$C$1406,3,FALSE)</f>
        <v>1524.7619999999999</v>
      </c>
      <c r="S6" s="216">
        <f t="shared" si="0"/>
        <v>1</v>
      </c>
      <c r="T6" s="216">
        <f t="shared" si="1"/>
        <v>1524.7619999999999</v>
      </c>
    </row>
    <row r="7" spans="1:25">
      <c r="A7" s="216">
        <v>10244</v>
      </c>
      <c r="B7" s="216">
        <v>1483</v>
      </c>
      <c r="C7" s="216">
        <v>25</v>
      </c>
      <c r="D7" s="216">
        <v>2488</v>
      </c>
      <c r="E7" s="216">
        <v>50</v>
      </c>
      <c r="F7" s="216">
        <v>0.74646788835525502</v>
      </c>
      <c r="G7" s="216">
        <v>134.160232543945</v>
      </c>
      <c r="H7" s="216">
        <v>2487.99975585938</v>
      </c>
      <c r="I7" s="216">
        <v>175.68083190918</v>
      </c>
      <c r="J7" s="216">
        <v>15.1707305908203</v>
      </c>
      <c r="K7" s="216">
        <v>0.69758307933807395</v>
      </c>
      <c r="L7" s="216">
        <v>114.40362548828099</v>
      </c>
      <c r="M7" s="216">
        <v>1200</v>
      </c>
      <c r="N7" s="216">
        <v>9840</v>
      </c>
      <c r="O7" s="216">
        <v>16.399999618530298</v>
      </c>
      <c r="Q7" s="216">
        <v>0.519999980926514</v>
      </c>
      <c r="R7" s="192">
        <f>VLOOKUP($A7,'RBSA Weights'!$A$2:$C$1406,3,FALSE)</f>
        <v>6932.7380000000003</v>
      </c>
      <c r="S7" s="216">
        <f t="shared" si="0"/>
        <v>1</v>
      </c>
      <c r="T7" s="216">
        <f t="shared" si="1"/>
        <v>6932.7380000000003</v>
      </c>
    </row>
    <row r="8" spans="1:25">
      <c r="A8" s="216">
        <v>10245</v>
      </c>
      <c r="B8" s="216">
        <v>2791</v>
      </c>
      <c r="C8" s="216">
        <v>16</v>
      </c>
      <c r="D8" s="216">
        <v>5849</v>
      </c>
      <c r="E8" s="216">
        <v>40</v>
      </c>
      <c r="F8" s="216">
        <v>0.80746287107467696</v>
      </c>
      <c r="G8" s="216">
        <v>297.49362182617199</v>
      </c>
      <c r="H8" s="216">
        <v>7003.78564453125</v>
      </c>
      <c r="I8" s="216">
        <v>423.93655395507801</v>
      </c>
      <c r="J8" s="216">
        <v>20.498884201049801</v>
      </c>
      <c r="K8" s="216">
        <v>0.79246574640274003</v>
      </c>
      <c r="L8" s="216">
        <v>270.75912475585898</v>
      </c>
      <c r="M8" s="216">
        <v>2500</v>
      </c>
      <c r="N8" s="216">
        <v>20500</v>
      </c>
      <c r="O8" s="216">
        <v>16.399999618530298</v>
      </c>
      <c r="P8" s="216" t="s">
        <v>1012</v>
      </c>
      <c r="Q8" s="216">
        <v>0.50999999046325695</v>
      </c>
      <c r="R8" s="192">
        <f>VLOOKUP($A8,'RBSA Weights'!$A$2:$C$1406,3,FALSE)</f>
        <v>6932.7380000000003</v>
      </c>
      <c r="S8" s="216">
        <f t="shared" si="0"/>
        <v>1</v>
      </c>
      <c r="T8" s="216">
        <f t="shared" si="1"/>
        <v>6932.7380000000003</v>
      </c>
    </row>
    <row r="9" spans="1:25">
      <c r="A9" s="216">
        <v>10292</v>
      </c>
      <c r="B9" s="216">
        <v>2854</v>
      </c>
      <c r="C9" s="216">
        <v>25</v>
      </c>
      <c r="D9" s="216">
        <v>3608</v>
      </c>
      <c r="E9" s="216">
        <v>50</v>
      </c>
      <c r="F9" s="216">
        <v>0.33821401000022899</v>
      </c>
      <c r="G9" s="216">
        <v>960.83996582031295</v>
      </c>
      <c r="H9" s="216">
        <v>3608</v>
      </c>
      <c r="I9" s="216">
        <v>714.427734375</v>
      </c>
      <c r="J9" s="216">
        <v>11.712511062622101</v>
      </c>
      <c r="K9" s="216">
        <v>1.4812353849411</v>
      </c>
      <c r="L9" s="216">
        <v>456.28964233398398</v>
      </c>
      <c r="M9" s="216">
        <v>2254</v>
      </c>
      <c r="N9" s="216">
        <v>18482.80078125</v>
      </c>
      <c r="O9" s="216">
        <v>16.400001525878899</v>
      </c>
      <c r="Q9" s="216">
        <v>0.50999999046325695</v>
      </c>
      <c r="R9" s="192">
        <f>VLOOKUP($A9,'RBSA Weights'!$A$2:$C$1406,3,FALSE)</f>
        <v>4956.4930000000004</v>
      </c>
      <c r="S9" s="216">
        <f t="shared" si="0"/>
        <v>1</v>
      </c>
      <c r="T9" s="216">
        <f t="shared" si="1"/>
        <v>4956.4930000000004</v>
      </c>
    </row>
    <row r="10" spans="1:25">
      <c r="A10" s="216">
        <v>10306</v>
      </c>
      <c r="B10" s="216">
        <v>2258</v>
      </c>
      <c r="C10" s="216">
        <v>24.799999237060501</v>
      </c>
      <c r="D10" s="216">
        <v>3687</v>
      </c>
      <c r="E10" s="216">
        <v>49.299999237060497</v>
      </c>
      <c r="F10" s="216">
        <v>0.713648080825806</v>
      </c>
      <c r="G10" s="216">
        <v>228.33694458007801</v>
      </c>
      <c r="H10" s="216">
        <v>3724.28466796875</v>
      </c>
      <c r="I10" s="216">
        <v>285.70462036132801</v>
      </c>
      <c r="J10" s="216">
        <v>9.0234651565551793</v>
      </c>
      <c r="K10" s="216">
        <v>0.442109644412994</v>
      </c>
      <c r="L10" s="216">
        <v>182.473388671875</v>
      </c>
      <c r="M10" s="216">
        <v>3020</v>
      </c>
      <c r="N10" s="216">
        <v>24764</v>
      </c>
      <c r="O10" s="216">
        <v>16.399999618530298</v>
      </c>
      <c r="Q10" s="216">
        <v>0.50999999046325695</v>
      </c>
      <c r="R10" s="192">
        <f>VLOOKUP($A10,'RBSA Weights'!$A$2:$C$1406,3,FALSE)</f>
        <v>4956.4930000000004</v>
      </c>
      <c r="S10" s="216">
        <f t="shared" si="0"/>
        <v>1</v>
      </c>
      <c r="T10" s="216">
        <f t="shared" si="1"/>
        <v>4956.4930000000004</v>
      </c>
    </row>
    <row r="11" spans="1:25">
      <c r="A11" s="216">
        <v>10352</v>
      </c>
      <c r="B11" s="216">
        <v>3027</v>
      </c>
      <c r="C11" s="216">
        <v>25</v>
      </c>
      <c r="D11" s="216">
        <v>4750</v>
      </c>
      <c r="E11" s="216">
        <v>50</v>
      </c>
      <c r="F11" s="216">
        <v>0.65003883838653598</v>
      </c>
      <c r="G11" s="216">
        <v>373.505615234375</v>
      </c>
      <c r="H11" s="216">
        <v>4750</v>
      </c>
      <c r="I11" s="216">
        <v>427.89935302734398</v>
      </c>
      <c r="J11" s="216">
        <v>17.660619735717798</v>
      </c>
      <c r="K11" s="216">
        <v>1.11571705341339</v>
      </c>
      <c r="L11" s="216">
        <v>300.083251953125</v>
      </c>
      <c r="M11" s="216">
        <v>1968</v>
      </c>
      <c r="N11" s="216">
        <v>16137.599609375</v>
      </c>
      <c r="O11" s="216">
        <v>16.399999618530298</v>
      </c>
      <c r="Q11" s="216">
        <v>0.56000000238418601</v>
      </c>
      <c r="R11" s="192">
        <f>VLOOKUP($A11,'RBSA Weights'!$A$2:$C$1406,3,FALSE)</f>
        <v>1188.027</v>
      </c>
      <c r="S11" s="216">
        <f t="shared" si="0"/>
        <v>1</v>
      </c>
      <c r="T11" s="216">
        <f t="shared" si="1"/>
        <v>1188.027</v>
      </c>
    </row>
    <row r="12" spans="1:25">
      <c r="A12" s="216">
        <v>10388</v>
      </c>
      <c r="B12" s="216">
        <v>821</v>
      </c>
      <c r="C12" s="216">
        <v>24.299999237060501</v>
      </c>
      <c r="D12" s="216">
        <v>1361</v>
      </c>
      <c r="E12" s="216">
        <v>50.299999237060497</v>
      </c>
      <c r="F12" s="216">
        <v>0.69475179910659801</v>
      </c>
      <c r="G12" s="216">
        <v>89.472732543945298</v>
      </c>
      <c r="H12" s="216">
        <v>1355.35534667969</v>
      </c>
      <c r="I12" s="216">
        <v>109.05738067627</v>
      </c>
      <c r="J12" s="216">
        <v>10.516685485839799</v>
      </c>
      <c r="K12" s="216">
        <v>0.57225108146667503</v>
      </c>
      <c r="L12" s="216">
        <v>73.749816894531307</v>
      </c>
      <c r="M12" s="216">
        <v>943</v>
      </c>
      <c r="N12" s="216">
        <v>7732.60009765625</v>
      </c>
      <c r="O12" s="216">
        <v>16.399999618530298</v>
      </c>
      <c r="Q12" s="216">
        <v>0.54000002145767201</v>
      </c>
      <c r="R12" s="192">
        <f>VLOOKUP($A12,'RBSA Weights'!$A$2:$C$1406,3,FALSE)</f>
        <v>1464.694</v>
      </c>
      <c r="S12" s="216">
        <f t="shared" si="0"/>
        <v>1</v>
      </c>
      <c r="T12" s="216">
        <f t="shared" si="1"/>
        <v>1464.694</v>
      </c>
    </row>
    <row r="13" spans="1:25">
      <c r="A13" s="216">
        <v>10398</v>
      </c>
      <c r="B13" s="216">
        <v>3775</v>
      </c>
      <c r="C13" s="216">
        <v>24.799999237060501</v>
      </c>
      <c r="D13" s="216">
        <v>5730</v>
      </c>
      <c r="E13" s="216">
        <v>48.900001525878899</v>
      </c>
      <c r="F13" s="216">
        <v>0.61466246843338002</v>
      </c>
      <c r="G13" s="216">
        <v>524.565673828125</v>
      </c>
      <c r="H13" s="216">
        <v>5808.8876953125</v>
      </c>
      <c r="I13" s="216">
        <v>572.19714355468795</v>
      </c>
      <c r="J13" s="216">
        <v>15.9191217422485</v>
      </c>
      <c r="K13" s="216">
        <v>0.98186981678009</v>
      </c>
      <c r="L13" s="216">
        <v>358.28430175781301</v>
      </c>
      <c r="M13" s="216">
        <v>2670</v>
      </c>
      <c r="N13" s="216">
        <v>21894</v>
      </c>
      <c r="O13" s="216">
        <v>16.399999618530298</v>
      </c>
      <c r="Q13" s="216">
        <v>0.5</v>
      </c>
      <c r="R13" s="192">
        <f>VLOOKUP($A13,'RBSA Weights'!$A$2:$C$1406,3,FALSE)</f>
        <v>6932.7380000000003</v>
      </c>
      <c r="S13" s="216">
        <f t="shared" si="0"/>
        <v>1</v>
      </c>
      <c r="T13" s="216">
        <f t="shared" si="1"/>
        <v>6932.7380000000003</v>
      </c>
    </row>
    <row r="14" spans="1:25">
      <c r="A14" s="216">
        <v>10408</v>
      </c>
      <c r="B14" s="216">
        <v>953</v>
      </c>
      <c r="C14" s="216">
        <v>25</v>
      </c>
      <c r="D14" s="216">
        <v>1493</v>
      </c>
      <c r="E14" s="216">
        <v>50</v>
      </c>
      <c r="F14" s="216">
        <v>0.64766603708267201</v>
      </c>
      <c r="G14" s="216">
        <v>118.493530273438</v>
      </c>
      <c r="H14" s="216">
        <v>1493</v>
      </c>
      <c r="I14" s="216">
        <v>135.30398559570301</v>
      </c>
      <c r="J14" s="216">
        <v>5.5090217590331996</v>
      </c>
      <c r="K14" s="216">
        <v>0.25586986541748002</v>
      </c>
      <c r="L14" s="216">
        <v>69.343292236328097</v>
      </c>
      <c r="M14" s="216">
        <v>1983</v>
      </c>
      <c r="N14" s="216">
        <v>16260.599609375</v>
      </c>
      <c r="O14" s="216">
        <v>8.1999998092651403</v>
      </c>
      <c r="P14" s="216" t="s">
        <v>940</v>
      </c>
      <c r="Q14" s="216">
        <v>0.54000002145767201</v>
      </c>
      <c r="R14" s="192">
        <f>VLOOKUP($A14,'RBSA Weights'!$A$2:$C$1406,3,FALSE)</f>
        <v>4956.4930000000004</v>
      </c>
      <c r="S14" s="216">
        <f t="shared" si="0"/>
        <v>0</v>
      </c>
      <c r="T14" s="216">
        <f t="shared" si="1"/>
        <v>0</v>
      </c>
    </row>
    <row r="15" spans="1:25">
      <c r="A15" s="216">
        <v>10486</v>
      </c>
      <c r="B15" s="216">
        <v>2039</v>
      </c>
      <c r="C15" s="216">
        <v>25</v>
      </c>
      <c r="D15" s="216">
        <v>3464</v>
      </c>
      <c r="E15" s="216">
        <v>50</v>
      </c>
      <c r="F15" s="216">
        <v>0.76457715034484897</v>
      </c>
      <c r="G15" s="216">
        <v>174.01402282714801</v>
      </c>
      <c r="H15" s="216">
        <v>3464</v>
      </c>
      <c r="I15" s="216">
        <v>233.66177368164099</v>
      </c>
      <c r="J15" s="216">
        <v>21.121952056884801</v>
      </c>
      <c r="K15" s="216">
        <v>0.68962675333023105</v>
      </c>
      <c r="L15" s="216">
        <v>113.09878540039099</v>
      </c>
      <c r="M15" s="216">
        <v>1200</v>
      </c>
      <c r="N15" s="216">
        <v>9840</v>
      </c>
      <c r="O15" s="216">
        <v>8.1999998092651403</v>
      </c>
      <c r="Q15" s="216">
        <v>0.50999999046325695</v>
      </c>
      <c r="R15" s="192">
        <f>VLOOKUP($A15,'RBSA Weights'!$A$2:$C$1406,3,FALSE)</f>
        <v>6932.7380000000003</v>
      </c>
      <c r="S15" s="216">
        <f t="shared" si="0"/>
        <v>1</v>
      </c>
      <c r="T15" s="216">
        <f t="shared" si="1"/>
        <v>6932.7380000000003</v>
      </c>
    </row>
    <row r="16" spans="1:25">
      <c r="A16" s="216">
        <v>10516</v>
      </c>
      <c r="B16" s="216">
        <v>940</v>
      </c>
      <c r="C16" s="216">
        <v>25.700000762939499</v>
      </c>
      <c r="D16" s="216">
        <v>1413</v>
      </c>
      <c r="E16" s="216">
        <v>49.400001525878899</v>
      </c>
      <c r="F16" s="216">
        <v>0.62374264001846302</v>
      </c>
      <c r="G16" s="216">
        <v>124.07733154296901</v>
      </c>
      <c r="H16" s="216">
        <v>1423.68029785156</v>
      </c>
      <c r="I16" s="216">
        <v>137.05821228027301</v>
      </c>
      <c r="J16" s="216">
        <v>9.6455307006835902</v>
      </c>
      <c r="K16" s="216">
        <v>0.42301917076110801</v>
      </c>
      <c r="L16" s="216">
        <v>62.437629699707003</v>
      </c>
      <c r="M16" s="216">
        <v>1080</v>
      </c>
      <c r="N16" s="216">
        <v>8856</v>
      </c>
      <c r="O16" s="216">
        <v>8.1999998092651403</v>
      </c>
      <c r="Q16" s="216">
        <v>0.479999989271164</v>
      </c>
      <c r="R16" s="192">
        <f>VLOOKUP($A16,'RBSA Weights'!$A$2:$C$1406,3,FALSE)</f>
        <v>6932.7380000000003</v>
      </c>
      <c r="S16" s="216">
        <f t="shared" si="0"/>
        <v>1</v>
      </c>
      <c r="T16" s="216">
        <f t="shared" si="1"/>
        <v>6932.7380000000003</v>
      </c>
    </row>
    <row r="17" spans="1:20">
      <c r="A17" s="216">
        <v>10518</v>
      </c>
      <c r="B17" s="216">
        <v>1711</v>
      </c>
      <c r="C17" s="216">
        <v>24.299999237060501</v>
      </c>
      <c r="D17" s="216">
        <v>2590</v>
      </c>
      <c r="E17" s="216">
        <v>48.900001525878899</v>
      </c>
      <c r="F17" s="216">
        <v>0.59284889698028598</v>
      </c>
      <c r="G17" s="216">
        <v>258.10406494140602</v>
      </c>
      <c r="H17" s="216">
        <v>2624.3837890625</v>
      </c>
      <c r="I17" s="216">
        <v>273.15399169921898</v>
      </c>
      <c r="J17" s="216">
        <v>7.1652269363403303</v>
      </c>
      <c r="K17" s="216">
        <v>0.396367758512497</v>
      </c>
      <c r="L17" s="216">
        <v>145.17630004882801</v>
      </c>
      <c r="M17" s="216">
        <v>2680</v>
      </c>
      <c r="N17" s="216">
        <v>21976</v>
      </c>
      <c r="O17" s="216">
        <v>8.1999998092651403</v>
      </c>
      <c r="Q17" s="216">
        <v>0.56000000238418601</v>
      </c>
      <c r="R17" s="192">
        <f>VLOOKUP($A17,'RBSA Weights'!$A$2:$C$1406,3,FALSE)</f>
        <v>4956.4930000000004</v>
      </c>
      <c r="S17" s="216">
        <f t="shared" si="0"/>
        <v>1</v>
      </c>
      <c r="T17" s="216">
        <f t="shared" si="1"/>
        <v>4956.4930000000004</v>
      </c>
    </row>
    <row r="18" spans="1:20">
      <c r="A18" s="216">
        <v>10540</v>
      </c>
      <c r="B18" s="216">
        <v>796</v>
      </c>
      <c r="C18" s="216">
        <v>25</v>
      </c>
      <c r="D18" s="216">
        <v>1374</v>
      </c>
      <c r="E18" s="216">
        <v>50</v>
      </c>
      <c r="F18" s="216">
        <v>0.78754168748855602</v>
      </c>
      <c r="G18" s="216">
        <v>63.092395782470703</v>
      </c>
      <c r="H18" s="216">
        <v>1374</v>
      </c>
      <c r="I18" s="216">
        <v>87.459396362304702</v>
      </c>
      <c r="J18" s="216">
        <v>4.7874565124511701</v>
      </c>
      <c r="K18" s="216">
        <v>0.24685156345367401</v>
      </c>
      <c r="L18" s="216">
        <v>70.846397399902301</v>
      </c>
      <c r="M18" s="216">
        <v>2100</v>
      </c>
      <c r="N18" s="216">
        <v>17220</v>
      </c>
      <c r="O18" s="216">
        <v>24.599998474121101</v>
      </c>
      <c r="P18" s="216" t="s">
        <v>1013</v>
      </c>
      <c r="Q18" s="216">
        <v>0.55000001192092896</v>
      </c>
      <c r="R18" s="192">
        <f>VLOOKUP($A18,'RBSA Weights'!$A$2:$C$1406,3,FALSE)</f>
        <v>6932.7380000000003</v>
      </c>
      <c r="S18" s="216">
        <f t="shared" si="0"/>
        <v>0</v>
      </c>
      <c r="T18" s="216">
        <f t="shared" si="1"/>
        <v>0</v>
      </c>
    </row>
    <row r="19" spans="1:20">
      <c r="A19" s="216">
        <v>10552</v>
      </c>
      <c r="B19" s="216">
        <v>1928</v>
      </c>
      <c r="C19" s="216">
        <v>25.200000762939499</v>
      </c>
      <c r="D19" s="216">
        <v>3147</v>
      </c>
      <c r="E19" s="216">
        <v>50.099998474121101</v>
      </c>
      <c r="F19" s="216">
        <v>0.71301347017288197</v>
      </c>
      <c r="G19" s="216">
        <v>193.147705078125</v>
      </c>
      <c r="H19" s="216">
        <v>3142.52001953125</v>
      </c>
      <c r="I19" s="216">
        <v>241.46186828613301</v>
      </c>
      <c r="J19" s="216">
        <v>8.0822668075561506</v>
      </c>
      <c r="K19" s="216">
        <v>0.41218444705009499</v>
      </c>
      <c r="L19" s="216">
        <v>160.26419067382801</v>
      </c>
      <c r="M19" s="216">
        <v>2845</v>
      </c>
      <c r="N19" s="216">
        <v>23329</v>
      </c>
      <c r="O19" s="216">
        <v>16.399999618530298</v>
      </c>
      <c r="Q19" s="216">
        <v>0.52999997138977095</v>
      </c>
      <c r="R19" s="192">
        <f>VLOOKUP($A19,'RBSA Weights'!$A$2:$C$1406,3,FALSE)</f>
        <v>1464.694</v>
      </c>
      <c r="S19" s="216">
        <f t="shared" si="0"/>
        <v>1</v>
      </c>
      <c r="T19" s="216">
        <f t="shared" si="1"/>
        <v>1464.694</v>
      </c>
    </row>
    <row r="20" spans="1:20">
      <c r="A20" s="216">
        <v>10561</v>
      </c>
      <c r="B20" s="216">
        <v>794</v>
      </c>
      <c r="C20" s="216">
        <v>25.100000381469702</v>
      </c>
      <c r="D20" s="216">
        <v>1277</v>
      </c>
      <c r="E20" s="216">
        <v>50</v>
      </c>
      <c r="F20" s="216">
        <v>0.68951874971389804</v>
      </c>
      <c r="G20" s="216">
        <v>86.043731689453097</v>
      </c>
      <c r="H20" s="216">
        <v>1277</v>
      </c>
      <c r="I20" s="216">
        <v>104.11972045898401</v>
      </c>
      <c r="J20" s="216">
        <v>9.9403219223022496</v>
      </c>
      <c r="K20" s="216">
        <v>0.41537123918533297</v>
      </c>
      <c r="L20" s="216">
        <v>53.361358642578097</v>
      </c>
      <c r="M20" s="216">
        <v>940</v>
      </c>
      <c r="N20" s="216">
        <v>7708</v>
      </c>
      <c r="O20" s="216">
        <v>8.1999998092651403</v>
      </c>
      <c r="P20" s="216" t="s">
        <v>1119</v>
      </c>
      <c r="Q20" s="216">
        <v>0.54000002145767201</v>
      </c>
      <c r="R20" s="192">
        <f>VLOOKUP($A20,'RBSA Weights'!$A$2:$C$1406,3,FALSE)</f>
        <v>2003.7159999999999</v>
      </c>
      <c r="S20" s="216">
        <f t="shared" si="0"/>
        <v>1</v>
      </c>
      <c r="T20" s="216">
        <f t="shared" si="1"/>
        <v>2003.7159999999999</v>
      </c>
    </row>
    <row r="21" spans="1:20">
      <c r="A21" s="216">
        <v>10567</v>
      </c>
      <c r="B21" s="216">
        <v>715</v>
      </c>
      <c r="C21" s="216">
        <v>25</v>
      </c>
      <c r="D21" s="216">
        <v>1178</v>
      </c>
      <c r="E21" s="216">
        <v>50</v>
      </c>
      <c r="F21" s="216">
        <v>0.72032439708709695</v>
      </c>
      <c r="G21" s="216">
        <v>70.361602783203097</v>
      </c>
      <c r="H21" s="216">
        <v>1177.99987792969</v>
      </c>
      <c r="I21" s="216">
        <v>88.857963562011705</v>
      </c>
      <c r="J21" s="216">
        <v>4.2356319427490199</v>
      </c>
      <c r="K21" s="216">
        <v>0.21606042981147799</v>
      </c>
      <c r="L21" s="216">
        <v>60.090003967285199</v>
      </c>
      <c r="M21" s="216">
        <v>2035</v>
      </c>
      <c r="N21" s="216">
        <v>16687</v>
      </c>
      <c r="O21" s="216">
        <v>16.399999618530298</v>
      </c>
      <c r="Q21" s="216">
        <v>0.54000002145767201</v>
      </c>
      <c r="R21" s="192">
        <f>VLOOKUP($A21,'RBSA Weights'!$A$2:$C$1406,3,FALSE)</f>
        <v>2003.7159999999999</v>
      </c>
      <c r="S21" s="216">
        <f t="shared" si="0"/>
        <v>0</v>
      </c>
      <c r="T21" s="216">
        <f t="shared" si="1"/>
        <v>0</v>
      </c>
    </row>
    <row r="22" spans="1:20">
      <c r="A22" s="216">
        <v>10579</v>
      </c>
      <c r="B22" s="216">
        <v>1734</v>
      </c>
      <c r="C22" s="216">
        <v>25</v>
      </c>
      <c r="D22" s="216">
        <v>3077</v>
      </c>
      <c r="E22" s="216">
        <v>51</v>
      </c>
      <c r="F22" s="216">
        <v>0.80443841218948398</v>
      </c>
      <c r="G22" s="216">
        <v>130.164474487305</v>
      </c>
      <c r="H22" s="216">
        <v>3028.37182617188</v>
      </c>
      <c r="I22" s="216">
        <v>184.71185302734401</v>
      </c>
      <c r="J22" s="216">
        <v>13.849261283874499</v>
      </c>
      <c r="K22" s="216">
        <v>0.40085035562515298</v>
      </c>
      <c r="L22" s="216">
        <v>87.652610778808594</v>
      </c>
      <c r="M22" s="216">
        <v>1600</v>
      </c>
      <c r="N22" s="216">
        <v>13120</v>
      </c>
      <c r="O22" s="216">
        <v>8.1999998092651403</v>
      </c>
      <c r="P22" s="216" t="s">
        <v>1014</v>
      </c>
      <c r="Q22" s="216">
        <v>0.5</v>
      </c>
      <c r="R22" s="192">
        <f>VLOOKUP($A22,'RBSA Weights'!$A$2:$C$1406,3,FALSE)</f>
        <v>6932.7380000000003</v>
      </c>
      <c r="S22" s="216">
        <f t="shared" si="0"/>
        <v>1</v>
      </c>
      <c r="T22" s="216">
        <f t="shared" si="1"/>
        <v>6932.7380000000003</v>
      </c>
    </row>
    <row r="23" spans="1:20">
      <c r="A23" s="216">
        <v>10605</v>
      </c>
      <c r="B23" s="216">
        <v>2913</v>
      </c>
      <c r="C23" s="216">
        <v>25.100000381469702</v>
      </c>
      <c r="D23" s="216">
        <v>4304</v>
      </c>
      <c r="E23" s="216">
        <v>50.200000762939503</v>
      </c>
      <c r="F23" s="216">
        <v>0.56317239999771096</v>
      </c>
      <c r="G23" s="216">
        <v>474.33248901367199</v>
      </c>
      <c r="H23" s="216">
        <v>4294.33447265625</v>
      </c>
      <c r="I23" s="216">
        <v>481.75759887695301</v>
      </c>
      <c r="J23" s="216">
        <v>13.2862405776978</v>
      </c>
      <c r="K23" s="216">
        <v>0.76388627290725697</v>
      </c>
      <c r="L23" s="216">
        <v>246.90078735351599</v>
      </c>
      <c r="M23" s="216">
        <v>2365</v>
      </c>
      <c r="N23" s="216">
        <v>19393</v>
      </c>
      <c r="O23" s="216">
        <v>8.1999998092651403</v>
      </c>
      <c r="P23" s="216" t="s">
        <v>1015</v>
      </c>
      <c r="Q23" s="216">
        <v>0.54000002145767201</v>
      </c>
      <c r="R23" s="192">
        <f>VLOOKUP($A23,'RBSA Weights'!$A$2:$C$1406,3,FALSE)</f>
        <v>2003.7159999999999</v>
      </c>
      <c r="S23" s="216">
        <f t="shared" si="0"/>
        <v>1</v>
      </c>
      <c r="T23" s="216">
        <f t="shared" si="1"/>
        <v>2003.7159999999999</v>
      </c>
    </row>
    <row r="24" spans="1:20">
      <c r="A24" s="216">
        <v>10627</v>
      </c>
      <c r="B24" s="216">
        <v>3033</v>
      </c>
      <c r="C24" s="216">
        <v>24.899999618530298</v>
      </c>
      <c r="D24" s="216">
        <v>4715</v>
      </c>
      <c r="E24" s="216">
        <v>50</v>
      </c>
      <c r="F24" s="216">
        <v>0.63285285234451305</v>
      </c>
      <c r="G24" s="216">
        <v>396.53695678710898</v>
      </c>
      <c r="H24" s="216">
        <v>4715</v>
      </c>
      <c r="I24" s="216">
        <v>443.58941650390602</v>
      </c>
      <c r="J24" s="216">
        <v>12.4864282608032</v>
      </c>
      <c r="K24" s="216">
        <v>0.73556286096572898</v>
      </c>
      <c r="L24" s="216">
        <v>277.75588989257801</v>
      </c>
      <c r="M24" s="216">
        <v>2763</v>
      </c>
      <c r="N24" s="216">
        <v>22656.599609375</v>
      </c>
      <c r="O24" s="216">
        <v>16.399999618530298</v>
      </c>
      <c r="Q24" s="216">
        <v>0.5</v>
      </c>
      <c r="R24" s="192">
        <f>VLOOKUP($A24,'RBSA Weights'!$A$2:$C$1406,3,FALSE)</f>
        <v>6932.7380000000003</v>
      </c>
      <c r="S24" s="216">
        <f t="shared" si="0"/>
        <v>1</v>
      </c>
      <c r="T24" s="216">
        <f t="shared" si="1"/>
        <v>6932.7380000000003</v>
      </c>
    </row>
    <row r="25" spans="1:20">
      <c r="A25" s="216">
        <v>10629</v>
      </c>
      <c r="B25" s="216">
        <v>1278</v>
      </c>
      <c r="C25" s="216">
        <v>25</v>
      </c>
      <c r="D25" s="216">
        <v>2070</v>
      </c>
      <c r="E25" s="216">
        <v>50</v>
      </c>
      <c r="F25" s="216">
        <v>0.69574290513992298</v>
      </c>
      <c r="G25" s="216">
        <v>136.12065124511699</v>
      </c>
      <c r="H25" s="216">
        <v>2070</v>
      </c>
      <c r="I25" s="216">
        <v>166.14416503906301</v>
      </c>
      <c r="J25" s="216">
        <v>8.0139369964599592</v>
      </c>
      <c r="K25" s="216">
        <v>0.31133717298507702</v>
      </c>
      <c r="L25" s="216">
        <v>80.418388366699205</v>
      </c>
      <c r="M25" s="216">
        <v>1890</v>
      </c>
      <c r="N25" s="216">
        <v>15498</v>
      </c>
      <c r="O25" s="216">
        <v>8.1999998092651403</v>
      </c>
      <c r="Q25" s="216">
        <v>0.50999999046325695</v>
      </c>
      <c r="R25" s="192">
        <f>VLOOKUP($A25,'RBSA Weights'!$A$2:$C$1406,3,FALSE)</f>
        <v>4956.4930000000004</v>
      </c>
      <c r="S25" s="216">
        <f t="shared" si="0"/>
        <v>1</v>
      </c>
      <c r="T25" s="216">
        <f t="shared" si="1"/>
        <v>4956.4930000000004</v>
      </c>
    </row>
    <row r="26" spans="1:20">
      <c r="A26" s="216">
        <v>10649</v>
      </c>
      <c r="B26" s="216">
        <v>1105</v>
      </c>
      <c r="C26" s="216">
        <v>25</v>
      </c>
      <c r="D26" s="216">
        <v>1740</v>
      </c>
      <c r="E26" s="216">
        <v>50.099998474121101</v>
      </c>
      <c r="F26" s="216">
        <v>0.65315824747085605</v>
      </c>
      <c r="G26" s="216">
        <v>134.98522949218801</v>
      </c>
      <c r="H26" s="216">
        <v>1737.73083496094</v>
      </c>
      <c r="I26" s="216">
        <v>155.31335449218801</v>
      </c>
      <c r="J26" s="216">
        <v>10.3543195724487</v>
      </c>
      <c r="K26" s="216">
        <v>0.42158892750740101</v>
      </c>
      <c r="L26" s="216">
        <v>70.753860473632798</v>
      </c>
      <c r="M26" s="216">
        <v>1228</v>
      </c>
      <c r="N26" s="216">
        <v>10069.599609375</v>
      </c>
      <c r="O26" s="216">
        <v>8.1999998092651403</v>
      </c>
      <c r="Q26" s="216">
        <v>0.479999989271164</v>
      </c>
      <c r="R26" s="192">
        <f>VLOOKUP($A26,'RBSA Weights'!$A$2:$C$1406,3,FALSE)</f>
        <v>6932.7380000000003</v>
      </c>
      <c r="S26" s="216">
        <f t="shared" si="0"/>
        <v>1</v>
      </c>
      <c r="T26" s="216">
        <f t="shared" si="1"/>
        <v>6932.7380000000003</v>
      </c>
    </row>
    <row r="27" spans="1:20">
      <c r="A27" s="216">
        <v>10661</v>
      </c>
      <c r="B27" s="216">
        <v>3079</v>
      </c>
      <c r="C27" s="216">
        <v>25.200000762939499</v>
      </c>
      <c r="D27" s="216">
        <v>4639</v>
      </c>
      <c r="E27" s="216">
        <v>50.5</v>
      </c>
      <c r="F27" s="216">
        <v>0.58966577053070102</v>
      </c>
      <c r="G27" s="216">
        <v>459.25274658203102</v>
      </c>
      <c r="H27" s="216">
        <v>4611.861328125</v>
      </c>
      <c r="I27" s="216">
        <v>483.89154052734398</v>
      </c>
      <c r="J27" s="216">
        <v>25.4681720733643</v>
      </c>
      <c r="K27" s="216">
        <v>1.6397503614425699</v>
      </c>
      <c r="L27" s="216">
        <v>296.93145751953102</v>
      </c>
      <c r="M27" s="216">
        <v>1325</v>
      </c>
      <c r="N27" s="216">
        <v>10865</v>
      </c>
      <c r="O27" s="216">
        <v>16.399999618530298</v>
      </c>
      <c r="P27" s="216" t="s">
        <v>1120</v>
      </c>
      <c r="Q27" s="216">
        <v>0.490000009536743</v>
      </c>
      <c r="R27" s="192">
        <f>VLOOKUP($A27,'RBSA Weights'!$A$2:$C$1406,3,FALSE)</f>
        <v>1524.7619999999999</v>
      </c>
      <c r="S27" s="216">
        <f t="shared" si="0"/>
        <v>1</v>
      </c>
      <c r="T27" s="216">
        <f t="shared" si="1"/>
        <v>1524.7619999999999</v>
      </c>
    </row>
    <row r="28" spans="1:20">
      <c r="A28" s="216">
        <v>10664</v>
      </c>
      <c r="B28" s="216">
        <v>2735</v>
      </c>
      <c r="C28" s="216">
        <v>25.100000381469702</v>
      </c>
      <c r="D28" s="216">
        <v>4064</v>
      </c>
      <c r="E28" s="216">
        <v>50.299999237060497</v>
      </c>
      <c r="F28" s="216">
        <v>0.56972390413284302</v>
      </c>
      <c r="G28" s="216">
        <v>436.04342651367199</v>
      </c>
      <c r="H28" s="216">
        <v>4050.1728515625</v>
      </c>
      <c r="I28" s="216">
        <v>446.90975952148398</v>
      </c>
      <c r="J28" s="216">
        <v>12.868177413940399</v>
      </c>
      <c r="K28" s="216">
        <v>0.92465287446975697</v>
      </c>
      <c r="L28" s="216">
        <v>291.0283203125</v>
      </c>
      <c r="M28" s="216">
        <v>2303</v>
      </c>
      <c r="N28" s="216">
        <v>18884.599609375</v>
      </c>
      <c r="O28" s="216">
        <v>16.399999618530298</v>
      </c>
      <c r="Q28" s="216">
        <v>0.519999980926514</v>
      </c>
      <c r="R28" s="192">
        <f>VLOOKUP($A28,'RBSA Weights'!$A$2:$C$1406,3,FALSE)</f>
        <v>8264.9449999999997</v>
      </c>
      <c r="S28" s="216">
        <f t="shared" si="0"/>
        <v>1</v>
      </c>
      <c r="T28" s="216">
        <f t="shared" si="1"/>
        <v>8264.9449999999997</v>
      </c>
    </row>
    <row r="29" spans="1:20">
      <c r="A29" s="216">
        <v>10690</v>
      </c>
      <c r="B29" s="216">
        <v>3645</v>
      </c>
      <c r="C29" s="216">
        <v>24</v>
      </c>
      <c r="D29" s="216">
        <v>5682</v>
      </c>
      <c r="E29" s="216">
        <v>50</v>
      </c>
      <c r="F29" s="216">
        <v>0.60485774278640703</v>
      </c>
      <c r="G29" s="216">
        <v>533.17047119140602</v>
      </c>
      <c r="H29" s="216">
        <v>5682.00048828125</v>
      </c>
      <c r="I29" s="216">
        <v>573.731689453125</v>
      </c>
      <c r="J29" s="216">
        <v>20.182336807251001</v>
      </c>
      <c r="K29" s="216">
        <v>1.00573241710663</v>
      </c>
      <c r="L29" s="216">
        <v>283.14718627929699</v>
      </c>
      <c r="M29" s="216">
        <v>2060</v>
      </c>
      <c r="N29" s="216">
        <v>16892</v>
      </c>
      <c r="O29" s="216">
        <v>8.1999998092651403</v>
      </c>
      <c r="Q29" s="216">
        <v>0.519999980926514</v>
      </c>
      <c r="R29" s="192">
        <f>VLOOKUP($A29,'RBSA Weights'!$A$2:$C$1406,3,FALSE)</f>
        <v>1150.8789999999999</v>
      </c>
      <c r="S29" s="216">
        <f t="shared" si="0"/>
        <v>1</v>
      </c>
      <c r="T29" s="216">
        <f t="shared" si="1"/>
        <v>1150.8789999999999</v>
      </c>
    </row>
    <row r="30" spans="1:20">
      <c r="A30" s="216">
        <v>10709</v>
      </c>
      <c r="B30" s="216">
        <v>3236</v>
      </c>
      <c r="C30" s="216">
        <v>24.899999618530298</v>
      </c>
      <c r="D30" s="216">
        <v>4841</v>
      </c>
      <c r="E30" s="216">
        <v>49.900001525878899</v>
      </c>
      <c r="F30" s="216">
        <v>0.57941657304763805</v>
      </c>
      <c r="G30" s="216">
        <v>502.37435913085898</v>
      </c>
      <c r="H30" s="216">
        <v>4846.61865234375</v>
      </c>
      <c r="I30" s="216">
        <v>521.85894775390602</v>
      </c>
      <c r="J30" s="216">
        <v>12.3996725082397</v>
      </c>
      <c r="K30" s="216">
        <v>0.93632072210311901</v>
      </c>
      <c r="L30" s="216">
        <v>365.9765625</v>
      </c>
      <c r="M30" s="216">
        <v>2860</v>
      </c>
      <c r="N30" s="216">
        <v>23452</v>
      </c>
      <c r="O30" s="216">
        <v>16.399999618530298</v>
      </c>
      <c r="P30" s="216" t="s">
        <v>1121</v>
      </c>
      <c r="Q30" s="216">
        <v>0.56000000238418601</v>
      </c>
      <c r="R30" s="192">
        <f>VLOOKUP($A30,'RBSA Weights'!$A$2:$C$1406,3,FALSE)</f>
        <v>1524.7619999999999</v>
      </c>
      <c r="S30" s="216">
        <f t="shared" si="0"/>
        <v>1</v>
      </c>
      <c r="T30" s="216">
        <f t="shared" si="1"/>
        <v>1524.7619999999999</v>
      </c>
    </row>
    <row r="31" spans="1:20">
      <c r="A31" s="216">
        <v>10710</v>
      </c>
      <c r="B31" s="216">
        <v>3107</v>
      </c>
      <c r="C31" s="216">
        <v>24.299999237060501</v>
      </c>
      <c r="D31" s="216">
        <v>5030</v>
      </c>
      <c r="E31" s="216">
        <v>48.799999237060497</v>
      </c>
      <c r="F31" s="216">
        <v>0.69094240665435802</v>
      </c>
      <c r="G31" s="216">
        <v>342.74185180664102</v>
      </c>
      <c r="H31" s="216">
        <v>5115.140625</v>
      </c>
      <c r="I31" s="216">
        <v>415.56411743164102</v>
      </c>
      <c r="J31" s="216">
        <v>10.6027927398682</v>
      </c>
      <c r="K31" s="216">
        <v>0.59330165386199996</v>
      </c>
      <c r="L31" s="216">
        <v>286.22848510742199</v>
      </c>
      <c r="M31" s="216">
        <v>3530</v>
      </c>
      <c r="N31" s="216">
        <v>28946</v>
      </c>
      <c r="O31" s="216">
        <v>16.399999618530298</v>
      </c>
      <c r="Q31" s="216">
        <v>0.55000001192092896</v>
      </c>
      <c r="R31" s="192">
        <f>VLOOKUP($A31,'RBSA Weights'!$A$2:$C$1406,3,FALSE)</f>
        <v>6932.7380000000003</v>
      </c>
      <c r="S31" s="216">
        <f t="shared" si="0"/>
        <v>1</v>
      </c>
      <c r="T31" s="216">
        <f t="shared" si="1"/>
        <v>6932.7380000000003</v>
      </c>
    </row>
    <row r="32" spans="1:20">
      <c r="A32" s="216">
        <v>10713</v>
      </c>
      <c r="B32" s="216">
        <v>4745</v>
      </c>
      <c r="C32" s="216">
        <v>24.700000762939499</v>
      </c>
      <c r="D32" s="216">
        <v>5765</v>
      </c>
      <c r="E32" s="216">
        <v>33</v>
      </c>
      <c r="F32" s="216">
        <v>0.67211198806762695</v>
      </c>
      <c r="G32" s="216">
        <v>549.77868652343795</v>
      </c>
      <c r="H32" s="216">
        <v>7622.29931640625</v>
      </c>
      <c r="I32" s="216">
        <v>649.41412353515602</v>
      </c>
      <c r="J32" s="216">
        <v>13.083021163940399</v>
      </c>
      <c r="K32" s="216">
        <v>0.67003452777862504</v>
      </c>
      <c r="L32" s="216">
        <v>390.36883544921898</v>
      </c>
      <c r="M32" s="216">
        <v>4263</v>
      </c>
      <c r="N32" s="216">
        <v>34956.6015625</v>
      </c>
      <c r="O32" s="216">
        <v>16.400001525878899</v>
      </c>
      <c r="P32" s="216" t="s">
        <v>1016</v>
      </c>
      <c r="Q32" s="216">
        <v>0.479999989271164</v>
      </c>
      <c r="R32" s="192">
        <f>VLOOKUP($A32,'RBSA Weights'!$A$2:$C$1406,3,FALSE)</f>
        <v>6932.7380000000003</v>
      </c>
      <c r="S32" s="216">
        <f t="shared" si="0"/>
        <v>1</v>
      </c>
      <c r="T32" s="216">
        <f t="shared" si="1"/>
        <v>6932.7380000000003</v>
      </c>
    </row>
    <row r="33" spans="1:20">
      <c r="A33" s="216">
        <v>10752</v>
      </c>
      <c r="B33" s="216">
        <v>1424</v>
      </c>
      <c r="C33" s="216">
        <v>25.100000381469702</v>
      </c>
      <c r="D33" s="216">
        <v>2354</v>
      </c>
      <c r="E33" s="216">
        <v>50.200000762939503</v>
      </c>
      <c r="F33" s="216">
        <v>0.72516518831253096</v>
      </c>
      <c r="G33" s="216">
        <v>137.56733703613301</v>
      </c>
      <c r="H33" s="216">
        <v>2347.1953125</v>
      </c>
      <c r="I33" s="216">
        <v>174.90023803710901</v>
      </c>
      <c r="J33" s="216">
        <v>5.0752363204956099</v>
      </c>
      <c r="K33" s="216">
        <v>0.23206284642219499</v>
      </c>
      <c r="L33" s="216">
        <v>107.324432373047</v>
      </c>
      <c r="M33" s="216">
        <v>3384</v>
      </c>
      <c r="N33" s="216">
        <v>27748.80078125</v>
      </c>
      <c r="O33" s="216">
        <v>16.399999618530298</v>
      </c>
      <c r="P33" s="216" t="s">
        <v>1017</v>
      </c>
      <c r="Q33" s="216">
        <v>0.490000009536743</v>
      </c>
      <c r="R33" s="192">
        <f>VLOOKUP($A33,'RBSA Weights'!$A$2:$C$1406,3,FALSE)</f>
        <v>4956.4930000000004</v>
      </c>
      <c r="S33" s="216">
        <f t="shared" si="0"/>
        <v>0</v>
      </c>
      <c r="T33" s="216">
        <f t="shared" si="1"/>
        <v>0</v>
      </c>
    </row>
    <row r="34" spans="1:20">
      <c r="A34" s="216">
        <v>10801</v>
      </c>
      <c r="B34" s="216">
        <v>1040</v>
      </c>
      <c r="C34" s="216">
        <v>25.200000762939499</v>
      </c>
      <c r="D34" s="216">
        <v>1655</v>
      </c>
      <c r="E34" s="216">
        <v>50</v>
      </c>
      <c r="F34" s="216">
        <v>0.678042232990265</v>
      </c>
      <c r="G34" s="216">
        <v>116.633842468262</v>
      </c>
      <c r="H34" s="216">
        <v>1655</v>
      </c>
      <c r="I34" s="216">
        <v>138.90849304199199</v>
      </c>
      <c r="J34" s="216">
        <v>7.0201482772827104</v>
      </c>
      <c r="K34" s="216">
        <v>0.30197498202323902</v>
      </c>
      <c r="L34" s="216">
        <v>71.190605163574205</v>
      </c>
      <c r="M34" s="216">
        <v>1725</v>
      </c>
      <c r="N34" s="216">
        <v>14145</v>
      </c>
      <c r="O34" s="216">
        <v>8.1999998092651403</v>
      </c>
      <c r="P34" s="216" t="s">
        <v>1018</v>
      </c>
      <c r="Q34" s="216">
        <v>0.54000002145767201</v>
      </c>
      <c r="R34" s="192">
        <f>VLOOKUP($A34,'RBSA Weights'!$A$2:$C$1406,3,FALSE)</f>
        <v>4956.4930000000004</v>
      </c>
      <c r="S34" s="216">
        <f t="shared" si="0"/>
        <v>1</v>
      </c>
      <c r="T34" s="216">
        <f t="shared" si="1"/>
        <v>4956.4930000000004</v>
      </c>
    </row>
    <row r="35" spans="1:20">
      <c r="A35" s="216">
        <v>10809</v>
      </c>
      <c r="B35" s="216">
        <v>880</v>
      </c>
      <c r="C35" s="216">
        <v>25.299999237060501</v>
      </c>
      <c r="D35" s="216">
        <v>1395</v>
      </c>
      <c r="E35" s="216">
        <v>50.099998474121101</v>
      </c>
      <c r="F35" s="216">
        <v>0.67435097694396995</v>
      </c>
      <c r="G35" s="216">
        <v>99.606338500976605</v>
      </c>
      <c r="H35" s="216">
        <v>1393.12170410156</v>
      </c>
      <c r="I35" s="216">
        <v>118.02359008789099</v>
      </c>
      <c r="J35" s="216">
        <v>5.4394736289978001</v>
      </c>
      <c r="K35" s="216">
        <v>0.29431939125061002</v>
      </c>
      <c r="L35" s="216">
        <v>75.379119873046903</v>
      </c>
      <c r="M35" s="216">
        <v>1874</v>
      </c>
      <c r="N35" s="216">
        <v>15366.7998046875</v>
      </c>
      <c r="O35" s="216">
        <v>16.399999618530298</v>
      </c>
      <c r="Q35" s="216">
        <v>0.50999999046325695</v>
      </c>
      <c r="R35" s="192">
        <f>VLOOKUP($A35,'RBSA Weights'!$A$2:$C$1406,3,FALSE)</f>
        <v>4956.4930000000004</v>
      </c>
      <c r="S35" s="216">
        <f t="shared" si="0"/>
        <v>0</v>
      </c>
      <c r="T35" s="216">
        <f t="shared" si="1"/>
        <v>0</v>
      </c>
    </row>
    <row r="36" spans="1:20">
      <c r="A36" s="216">
        <v>10811</v>
      </c>
      <c r="B36" s="216">
        <v>2879</v>
      </c>
      <c r="C36" s="216">
        <v>25.100000381469702</v>
      </c>
      <c r="D36" s="216">
        <v>4276</v>
      </c>
      <c r="E36" s="216">
        <v>50.099998474121101</v>
      </c>
      <c r="F36" s="216">
        <v>0.572340607643127</v>
      </c>
      <c r="G36" s="216">
        <v>455.14685058593801</v>
      </c>
      <c r="H36" s="216">
        <v>4271.11328125</v>
      </c>
      <c r="I36" s="216">
        <v>468.18450927734398</v>
      </c>
      <c r="J36" s="216">
        <v>23.893003463745099</v>
      </c>
      <c r="K36" s="216">
        <v>1.3422720432281501</v>
      </c>
      <c r="L36" s="216">
        <v>239.94454956054699</v>
      </c>
      <c r="M36" s="216">
        <v>1308</v>
      </c>
      <c r="N36" s="216">
        <v>10725.599609375</v>
      </c>
      <c r="O36" s="216">
        <v>8.1999998092651403</v>
      </c>
      <c r="Q36" s="216">
        <v>0.54000002145767201</v>
      </c>
      <c r="R36" s="192">
        <f>VLOOKUP($A36,'RBSA Weights'!$A$2:$C$1406,3,FALSE)</f>
        <v>2003.7159999999999</v>
      </c>
      <c r="S36" s="216">
        <f t="shared" si="0"/>
        <v>1</v>
      </c>
      <c r="T36" s="216">
        <f t="shared" si="1"/>
        <v>2003.7159999999999</v>
      </c>
    </row>
    <row r="37" spans="1:20">
      <c r="A37" s="216">
        <v>10840</v>
      </c>
      <c r="B37" s="216">
        <v>1385</v>
      </c>
      <c r="C37" s="216">
        <v>25</v>
      </c>
      <c r="D37" s="216">
        <v>1973</v>
      </c>
      <c r="E37" s="216">
        <v>50</v>
      </c>
      <c r="F37" s="216">
        <v>0.51050496101379395</v>
      </c>
      <c r="G37" s="216">
        <v>267.79006958007801</v>
      </c>
      <c r="H37" s="216">
        <v>1973</v>
      </c>
      <c r="I37" s="216">
        <v>252.83151245117199</v>
      </c>
      <c r="J37" s="216">
        <v>6.8745646476745597</v>
      </c>
      <c r="K37" s="216">
        <v>0.40968069434165999</v>
      </c>
      <c r="L37" s="216">
        <v>117.57836151123</v>
      </c>
      <c r="M37" s="216">
        <v>2100</v>
      </c>
      <c r="N37" s="216">
        <v>17220</v>
      </c>
      <c r="O37" s="216">
        <v>8.1999998092651403</v>
      </c>
      <c r="Q37" s="216">
        <v>0.490000009536743</v>
      </c>
      <c r="R37" s="192">
        <f>VLOOKUP($A37,'RBSA Weights'!$A$2:$C$1406,3,FALSE)</f>
        <v>1524.7619999999999</v>
      </c>
      <c r="S37" s="216">
        <f t="shared" si="0"/>
        <v>0</v>
      </c>
      <c r="T37" s="216">
        <f t="shared" si="1"/>
        <v>0</v>
      </c>
    </row>
    <row r="38" spans="1:20">
      <c r="A38" s="216">
        <v>10866</v>
      </c>
      <c r="B38" s="216">
        <v>1131</v>
      </c>
      <c r="C38" s="216">
        <v>25.100000381469702</v>
      </c>
      <c r="D38" s="216">
        <v>1819</v>
      </c>
      <c r="E38" s="216">
        <v>50.299999237060497</v>
      </c>
      <c r="F38" s="216">
        <v>0.68358403444290206</v>
      </c>
      <c r="G38" s="216">
        <v>124.93035888671901</v>
      </c>
      <c r="H38" s="216">
        <v>1811.57678222656</v>
      </c>
      <c r="I38" s="216">
        <v>149.93696594238301</v>
      </c>
      <c r="J38" s="216">
        <v>5.8756384849548304</v>
      </c>
      <c r="K38" s="216">
        <v>0.32886138558387801</v>
      </c>
      <c r="L38" s="216">
        <v>101.394538879395</v>
      </c>
      <c r="M38" s="216">
        <v>2256</v>
      </c>
      <c r="N38" s="216">
        <v>18499.19921875</v>
      </c>
      <c r="O38" s="216">
        <v>16.399999618530298</v>
      </c>
      <c r="Q38" s="216">
        <v>0.54000002145767201</v>
      </c>
      <c r="R38" s="192">
        <f>VLOOKUP($A38,'RBSA Weights'!$A$2:$C$1406,3,FALSE)</f>
        <v>2003.7159999999999</v>
      </c>
      <c r="S38" s="216">
        <f t="shared" si="0"/>
        <v>0</v>
      </c>
      <c r="T38" s="216">
        <f t="shared" si="1"/>
        <v>0</v>
      </c>
    </row>
    <row r="39" spans="1:20">
      <c r="A39" s="216">
        <v>10887</v>
      </c>
      <c r="B39" s="216">
        <v>2737</v>
      </c>
      <c r="C39" s="216">
        <v>22.100000381469702</v>
      </c>
      <c r="D39" s="216">
        <v>4953</v>
      </c>
      <c r="E39" s="216">
        <v>50.299999237060497</v>
      </c>
      <c r="F39" s="216">
        <v>0.72119557857513406</v>
      </c>
      <c r="G39" s="216">
        <v>293.56552124023398</v>
      </c>
      <c r="H39" s="216">
        <v>4931.677734375</v>
      </c>
      <c r="I39" s="216">
        <v>371.18475341796898</v>
      </c>
      <c r="J39" s="216">
        <v>14.353796958923301</v>
      </c>
      <c r="K39" s="216">
        <v>0.73058062791824296</v>
      </c>
      <c r="L39" s="216">
        <v>251.01290893554699</v>
      </c>
      <c r="M39" s="216">
        <v>2514</v>
      </c>
      <c r="N39" s="216">
        <v>20614.80078125</v>
      </c>
      <c r="O39" s="216">
        <v>16.400001525878899</v>
      </c>
      <c r="Q39" s="216">
        <v>0.54000002145767201</v>
      </c>
      <c r="R39" s="192">
        <f>VLOOKUP($A39,'RBSA Weights'!$A$2:$C$1406,3,FALSE)</f>
        <v>1464.694</v>
      </c>
      <c r="S39" s="216">
        <f t="shared" si="0"/>
        <v>1</v>
      </c>
      <c r="T39" s="216">
        <f t="shared" si="1"/>
        <v>1464.694</v>
      </c>
    </row>
    <row r="40" spans="1:20">
      <c r="A40" s="216">
        <v>10965</v>
      </c>
      <c r="B40" s="216">
        <v>643</v>
      </c>
      <c r="C40" s="216">
        <v>24.200000762939499</v>
      </c>
      <c r="D40" s="216">
        <v>993</v>
      </c>
      <c r="E40" s="216">
        <v>48.099998474121101</v>
      </c>
      <c r="F40" s="216">
        <v>0.63265001773834195</v>
      </c>
      <c r="G40" s="216">
        <v>85.652519226074205</v>
      </c>
      <c r="H40" s="216">
        <v>1017.63854980469</v>
      </c>
      <c r="I40" s="216">
        <v>95.788970947265597</v>
      </c>
      <c r="J40" s="216">
        <v>12.949801445007299</v>
      </c>
      <c r="K40" s="216">
        <v>0.56686711311340299</v>
      </c>
      <c r="L40" s="216">
        <v>44.546310424804702</v>
      </c>
      <c r="M40" s="216">
        <v>575</v>
      </c>
      <c r="N40" s="216">
        <v>4715</v>
      </c>
      <c r="O40" s="216">
        <v>8.1999998092651403</v>
      </c>
      <c r="Q40" s="216">
        <v>0.490000009536743</v>
      </c>
      <c r="R40" s="192">
        <f>VLOOKUP($A40,'RBSA Weights'!$A$2:$C$1406,3,FALSE)</f>
        <v>4956.4930000000004</v>
      </c>
      <c r="S40" s="216">
        <f t="shared" si="0"/>
        <v>1</v>
      </c>
      <c r="T40" s="216">
        <f t="shared" si="1"/>
        <v>4956.4930000000004</v>
      </c>
    </row>
    <row r="41" spans="1:20">
      <c r="A41" s="216">
        <v>10990</v>
      </c>
      <c r="B41" s="216">
        <v>3240</v>
      </c>
      <c r="C41" s="216">
        <v>24.600000381469702</v>
      </c>
      <c r="D41" s="216">
        <v>4715</v>
      </c>
      <c r="E41" s="216">
        <v>49.299999237060497</v>
      </c>
      <c r="F41" s="216">
        <v>0.53968304395675704</v>
      </c>
      <c r="G41" s="216">
        <v>575.28216552734398</v>
      </c>
      <c r="H41" s="216">
        <v>4751.01318359375</v>
      </c>
      <c r="I41" s="216">
        <v>565.56768798828102</v>
      </c>
      <c r="J41" s="216">
        <v>22.900863647460898</v>
      </c>
      <c r="K41" s="216">
        <v>1.3971533775329601</v>
      </c>
      <c r="L41" s="216">
        <v>289.85342407226602</v>
      </c>
      <c r="M41" s="216">
        <v>1518</v>
      </c>
      <c r="N41" s="216">
        <v>12447.599609375</v>
      </c>
      <c r="O41" s="216">
        <v>8.1999998092651403</v>
      </c>
      <c r="Q41" s="216">
        <v>0.54000002145767201</v>
      </c>
      <c r="R41" s="192">
        <f>VLOOKUP($A41,'RBSA Weights'!$A$2:$C$1406,3,FALSE)</f>
        <v>2003.7159999999999</v>
      </c>
      <c r="S41" s="216">
        <f t="shared" si="0"/>
        <v>1</v>
      </c>
      <c r="T41" s="216">
        <f t="shared" si="1"/>
        <v>2003.7159999999999</v>
      </c>
    </row>
    <row r="42" spans="1:20">
      <c r="A42" s="216">
        <v>10995</v>
      </c>
      <c r="B42" s="216">
        <v>1254</v>
      </c>
      <c r="C42" s="216">
        <v>25</v>
      </c>
      <c r="D42" s="216">
        <v>1986</v>
      </c>
      <c r="E42" s="216">
        <v>50</v>
      </c>
      <c r="F42" s="216">
        <v>0.66332828998565696</v>
      </c>
      <c r="G42" s="216">
        <v>148.25329589843801</v>
      </c>
      <c r="H42" s="216">
        <v>1985.99987792969</v>
      </c>
      <c r="I42" s="216">
        <v>173.00149536132801</v>
      </c>
      <c r="J42" s="216">
        <v>7.4905705451965297</v>
      </c>
      <c r="K42" s="216">
        <v>0.45759963989257801</v>
      </c>
      <c r="L42" s="216">
        <v>121.324913024902</v>
      </c>
      <c r="M42" s="216">
        <v>1940</v>
      </c>
      <c r="N42" s="216">
        <v>15908</v>
      </c>
      <c r="O42" s="216">
        <v>16.399999618530298</v>
      </c>
      <c r="P42" s="216" t="s">
        <v>1017</v>
      </c>
      <c r="Q42" s="216">
        <v>0.56000000238418601</v>
      </c>
      <c r="R42" s="192">
        <f>VLOOKUP($A42,'RBSA Weights'!$A$2:$C$1406,3,FALSE)</f>
        <v>4956.4930000000004</v>
      </c>
      <c r="S42" s="216">
        <f t="shared" si="0"/>
        <v>1</v>
      </c>
      <c r="T42" s="216">
        <f t="shared" si="1"/>
        <v>4956.4930000000004</v>
      </c>
    </row>
    <row r="43" spans="1:20">
      <c r="A43" s="216">
        <v>11048</v>
      </c>
      <c r="B43" s="216">
        <v>1995</v>
      </c>
      <c r="C43" s="216">
        <v>25</v>
      </c>
      <c r="D43" s="216">
        <v>3270</v>
      </c>
      <c r="E43" s="216">
        <v>50.099998474121101</v>
      </c>
      <c r="F43" s="216">
        <v>0.71085286140441895</v>
      </c>
      <c r="G43" s="216">
        <v>202.40127563476599</v>
      </c>
      <c r="H43" s="216">
        <v>3265.35888671875</v>
      </c>
      <c r="I43" s="216">
        <v>252.27339172363301</v>
      </c>
      <c r="J43" s="216">
        <v>13.422960281372101</v>
      </c>
      <c r="K43" s="216">
        <v>0.70128524303436302</v>
      </c>
      <c r="L43" s="216">
        <v>170.59933471679699</v>
      </c>
      <c r="M43" s="216">
        <v>1780</v>
      </c>
      <c r="N43" s="216">
        <v>14596</v>
      </c>
      <c r="O43" s="216">
        <v>16.399999618530298</v>
      </c>
      <c r="Q43" s="216">
        <v>0.54000002145767201</v>
      </c>
      <c r="R43" s="192">
        <f>VLOOKUP($A43,'RBSA Weights'!$A$2:$C$1406,3,FALSE)</f>
        <v>1464.694</v>
      </c>
      <c r="S43" s="216">
        <f t="shared" si="0"/>
        <v>1</v>
      </c>
      <c r="T43" s="216">
        <f t="shared" si="1"/>
        <v>1464.694</v>
      </c>
    </row>
    <row r="44" spans="1:20">
      <c r="A44" s="216">
        <v>11051</v>
      </c>
      <c r="B44" s="216">
        <v>965</v>
      </c>
      <c r="C44" s="216">
        <v>24.299999237060501</v>
      </c>
      <c r="D44" s="216">
        <v>1465</v>
      </c>
      <c r="E44" s="216">
        <v>51</v>
      </c>
      <c r="F44" s="216">
        <v>0.56313860416412398</v>
      </c>
      <c r="G44" s="216">
        <v>160.04383850097699</v>
      </c>
      <c r="H44" s="216">
        <v>1448.75366210938</v>
      </c>
      <c r="I44" s="216">
        <v>162.54150390625</v>
      </c>
      <c r="J44" s="216">
        <v>10.5794773101807</v>
      </c>
      <c r="K44" s="216">
        <v>0.54072362184524503</v>
      </c>
      <c r="L44" s="216">
        <v>74.046691894531307</v>
      </c>
      <c r="M44" s="216">
        <v>1002</v>
      </c>
      <c r="N44" s="216">
        <v>8216.400390625</v>
      </c>
      <c r="O44" s="216">
        <v>8.2000007629394496</v>
      </c>
      <c r="Q44" s="216">
        <v>0.479999989271164</v>
      </c>
      <c r="R44" s="192">
        <f>VLOOKUP($A44,'RBSA Weights'!$A$2:$C$1406,3,FALSE)</f>
        <v>6932.7380000000003</v>
      </c>
      <c r="S44" s="216">
        <f t="shared" si="0"/>
        <v>1</v>
      </c>
      <c r="T44" s="216">
        <f t="shared" si="1"/>
        <v>6932.7380000000003</v>
      </c>
    </row>
    <row r="45" spans="1:20">
      <c r="A45" s="216">
        <v>11089</v>
      </c>
      <c r="B45" s="216">
        <v>3344</v>
      </c>
      <c r="C45" s="216">
        <v>25.100000381469702</v>
      </c>
      <c r="D45" s="216">
        <v>4982</v>
      </c>
      <c r="E45" s="216">
        <v>50.200000762939503</v>
      </c>
      <c r="F45" s="216">
        <v>0.57515019178390503</v>
      </c>
      <c r="G45" s="216">
        <v>523.894287109375</v>
      </c>
      <c r="H45" s="216">
        <v>4970.57470703125</v>
      </c>
      <c r="I45" s="216">
        <v>541.00427246093795</v>
      </c>
      <c r="J45" s="216">
        <v>10.551220893859901</v>
      </c>
      <c r="K45" s="216">
        <v>0.77660948038101196</v>
      </c>
      <c r="L45" s="216">
        <v>365.85296630859398</v>
      </c>
      <c r="M45" s="216">
        <v>3447</v>
      </c>
      <c r="N45" s="216">
        <v>28265.400390625</v>
      </c>
      <c r="O45" s="216">
        <v>16.399999618530298</v>
      </c>
      <c r="P45" s="216" t="s">
        <v>1122</v>
      </c>
      <c r="Q45" s="216">
        <v>0.54000002145767201</v>
      </c>
      <c r="R45" s="192">
        <f>VLOOKUP($A45,'RBSA Weights'!$A$2:$C$1406,3,FALSE)</f>
        <v>2003.7159999999999</v>
      </c>
      <c r="S45" s="216">
        <f t="shared" si="0"/>
        <v>1</v>
      </c>
      <c r="T45" s="216">
        <f t="shared" si="1"/>
        <v>2003.7159999999999</v>
      </c>
    </row>
    <row r="46" spans="1:20">
      <c r="A46" s="216">
        <v>11145</v>
      </c>
      <c r="B46" s="216">
        <v>924</v>
      </c>
      <c r="C46" s="216">
        <v>25.100000381469702</v>
      </c>
      <c r="D46" s="216">
        <v>1503</v>
      </c>
      <c r="E46" s="216">
        <v>50.099998474121101</v>
      </c>
      <c r="F46" s="216">
        <v>0.70390528440475497</v>
      </c>
      <c r="G46" s="216">
        <v>95.594795227050795</v>
      </c>
      <c r="H46" s="216">
        <v>1500.8876953125</v>
      </c>
      <c r="I46" s="216">
        <v>118.00749206543</v>
      </c>
      <c r="J46" s="216">
        <v>7.84436082839966</v>
      </c>
      <c r="K46" s="216">
        <v>0.31609150767326399</v>
      </c>
      <c r="L46" s="216">
        <v>60.478843688964801</v>
      </c>
      <c r="M46" s="216">
        <v>1400</v>
      </c>
      <c r="N46" s="216">
        <v>11480</v>
      </c>
      <c r="O46" s="216">
        <v>8.1999998092651403</v>
      </c>
      <c r="P46" s="216" t="s">
        <v>1019</v>
      </c>
      <c r="Q46" s="216">
        <v>0.54000002145767201</v>
      </c>
      <c r="R46" s="192">
        <f>VLOOKUP($A46,'RBSA Weights'!$A$2:$C$1406,3,FALSE)</f>
        <v>4956.4930000000004</v>
      </c>
      <c r="S46" s="216">
        <f t="shared" si="0"/>
        <v>1</v>
      </c>
      <c r="T46" s="216">
        <f t="shared" si="1"/>
        <v>4956.4930000000004</v>
      </c>
    </row>
    <row r="47" spans="1:20">
      <c r="A47" s="216">
        <v>11154</v>
      </c>
      <c r="B47" s="216">
        <v>2910</v>
      </c>
      <c r="C47" s="216">
        <v>24.799999237060501</v>
      </c>
      <c r="D47" s="216">
        <v>4390</v>
      </c>
      <c r="E47" s="216">
        <v>50.200000762939503</v>
      </c>
      <c r="F47" s="216">
        <v>0.58308678865432695</v>
      </c>
      <c r="G47" s="216">
        <v>447.51400756835898</v>
      </c>
      <c r="H47" s="216">
        <v>4379.79296875</v>
      </c>
      <c r="I47" s="216">
        <v>467.24212646484398</v>
      </c>
      <c r="J47" s="216">
        <v>13.259108543396</v>
      </c>
      <c r="K47" s="216">
        <v>0.99998289346694902</v>
      </c>
      <c r="L47" s="216">
        <v>330.31768798828102</v>
      </c>
      <c r="M47" s="216">
        <v>2417</v>
      </c>
      <c r="N47" s="216">
        <v>19819.400390625</v>
      </c>
      <c r="O47" s="216">
        <v>24.599998474121101</v>
      </c>
      <c r="Q47" s="216">
        <v>0.479999989271164</v>
      </c>
      <c r="R47" s="192">
        <f>VLOOKUP($A47,'RBSA Weights'!$A$2:$C$1406,3,FALSE)</f>
        <v>6932.7380000000003</v>
      </c>
      <c r="S47" s="216">
        <f t="shared" si="0"/>
        <v>1</v>
      </c>
      <c r="T47" s="216">
        <f t="shared" si="1"/>
        <v>6932.7380000000003</v>
      </c>
    </row>
    <row r="48" spans="1:20">
      <c r="A48" s="216">
        <v>11210</v>
      </c>
      <c r="B48" s="216">
        <v>3910</v>
      </c>
      <c r="C48" s="216">
        <v>23.799999237060501</v>
      </c>
      <c r="D48" s="216">
        <v>5746</v>
      </c>
      <c r="E48" s="216">
        <v>47.200000762939503</v>
      </c>
      <c r="F48" s="216">
        <v>0.56223440170288097</v>
      </c>
      <c r="G48" s="216">
        <v>657.98779296875</v>
      </c>
      <c r="H48" s="216">
        <v>5935.2255859375</v>
      </c>
      <c r="I48" s="216">
        <v>667.41937255859398</v>
      </c>
      <c r="J48" s="216">
        <v>18.324253082275401</v>
      </c>
      <c r="K48" s="216">
        <v>0.95826148986816395</v>
      </c>
      <c r="L48" s="216">
        <v>310.38088989257801</v>
      </c>
      <c r="M48" s="216">
        <v>2370</v>
      </c>
      <c r="N48" s="216">
        <v>19434</v>
      </c>
      <c r="O48" s="216">
        <v>8.1999998092651403</v>
      </c>
      <c r="Q48" s="216">
        <v>0.490000009536743</v>
      </c>
      <c r="R48" s="192">
        <f>VLOOKUP($A48,'RBSA Weights'!$A$2:$C$1406,3,FALSE)</f>
        <v>1524.7619999999999</v>
      </c>
      <c r="S48" s="216">
        <f t="shared" si="0"/>
        <v>1</v>
      </c>
      <c r="T48" s="216">
        <f t="shared" si="1"/>
        <v>1524.7619999999999</v>
      </c>
    </row>
    <row r="49" spans="1:20">
      <c r="A49" s="216">
        <v>11233</v>
      </c>
      <c r="B49" s="216">
        <v>1048</v>
      </c>
      <c r="C49" s="216">
        <v>25</v>
      </c>
      <c r="D49" s="216">
        <v>1652</v>
      </c>
      <c r="E49" s="216">
        <v>50.099998474121101</v>
      </c>
      <c r="F49" s="216">
        <v>0.65468788146972701</v>
      </c>
      <c r="G49" s="216">
        <v>127.39338684082</v>
      </c>
      <c r="H49" s="216">
        <v>1649.84045410156</v>
      </c>
      <c r="I49" s="216">
        <v>146.88937377929699</v>
      </c>
      <c r="J49" s="216">
        <v>6.3873033523559597</v>
      </c>
      <c r="K49" s="216">
        <v>0.38456687331199602</v>
      </c>
      <c r="L49" s="216">
        <v>99.3336181640625</v>
      </c>
      <c r="M49" s="216">
        <v>1890</v>
      </c>
      <c r="N49" s="216">
        <v>15498</v>
      </c>
      <c r="O49" s="216">
        <v>16.399999618530298</v>
      </c>
      <c r="Q49" s="216">
        <v>0.54000002145767201</v>
      </c>
      <c r="R49" s="192">
        <f>VLOOKUP($A49,'RBSA Weights'!$A$2:$C$1406,3,FALSE)</f>
        <v>4956.4930000000004</v>
      </c>
      <c r="S49" s="216">
        <f t="shared" si="0"/>
        <v>0</v>
      </c>
      <c r="T49" s="216">
        <f t="shared" si="1"/>
        <v>0</v>
      </c>
    </row>
    <row r="50" spans="1:20">
      <c r="A50" s="216">
        <v>11273</v>
      </c>
      <c r="B50" s="216">
        <v>4419</v>
      </c>
      <c r="C50" s="216">
        <v>25.399999618530298</v>
      </c>
      <c r="D50" s="216">
        <v>6377</v>
      </c>
      <c r="E50" s="216">
        <v>41.299999237060497</v>
      </c>
      <c r="F50" s="216">
        <v>0.75452435016632102</v>
      </c>
      <c r="G50" s="216">
        <v>384.89544677734398</v>
      </c>
      <c r="H50" s="216">
        <v>7366.42919921875</v>
      </c>
      <c r="I50" s="216">
        <v>509.67556762695301</v>
      </c>
      <c r="J50" s="216">
        <v>19.860242843627901</v>
      </c>
      <c r="K50" s="216">
        <v>0.84319806098937999</v>
      </c>
      <c r="L50" s="216">
        <v>312.75341796875</v>
      </c>
      <c r="M50" s="216">
        <v>2714</v>
      </c>
      <c r="N50" s="216">
        <v>22254.80078125</v>
      </c>
      <c r="O50" s="216">
        <v>16.400001525878899</v>
      </c>
      <c r="P50" s="216" t="s">
        <v>1020</v>
      </c>
      <c r="Q50" s="216">
        <v>0.490000009536743</v>
      </c>
      <c r="R50" s="192">
        <f>VLOOKUP($A50,'RBSA Weights'!$A$2:$C$1406,3,FALSE)</f>
        <v>1524.7619999999999</v>
      </c>
      <c r="S50" s="216">
        <f t="shared" si="0"/>
        <v>1</v>
      </c>
      <c r="T50" s="216">
        <f t="shared" si="1"/>
        <v>1524.7619999999999</v>
      </c>
    </row>
    <row r="51" spans="1:20">
      <c r="A51" s="216">
        <v>11282</v>
      </c>
      <c r="B51" s="216">
        <v>3704</v>
      </c>
      <c r="C51" s="216">
        <v>25.200000762939499</v>
      </c>
      <c r="D51" s="216">
        <v>5233</v>
      </c>
      <c r="E51" s="216">
        <v>46.700000762939503</v>
      </c>
      <c r="F51" s="216">
        <v>0.56017398834228505</v>
      </c>
      <c r="G51" s="216">
        <v>607.63507080078102</v>
      </c>
      <c r="H51" s="216">
        <v>5437.02880859375</v>
      </c>
      <c r="I51" s="216">
        <v>614.58685302734398</v>
      </c>
      <c r="J51" s="216">
        <v>8.8015794754028303</v>
      </c>
      <c r="K51" s="216">
        <v>0.48156234622001598</v>
      </c>
      <c r="L51" s="216">
        <v>297.47711181640602</v>
      </c>
      <c r="M51" s="216">
        <v>4520</v>
      </c>
      <c r="N51" s="216">
        <v>37064</v>
      </c>
      <c r="O51" s="216">
        <v>8.1999998092651403</v>
      </c>
      <c r="P51" s="216" t="s">
        <v>1021</v>
      </c>
      <c r="Q51" s="216">
        <v>0.50999999046325695</v>
      </c>
      <c r="R51" s="192">
        <f>VLOOKUP($A51,'RBSA Weights'!$A$2:$C$1406,3,FALSE)</f>
        <v>6932.7380000000003</v>
      </c>
      <c r="S51" s="216">
        <f t="shared" si="0"/>
        <v>1</v>
      </c>
      <c r="T51" s="216">
        <f t="shared" si="1"/>
        <v>6932.7380000000003</v>
      </c>
    </row>
    <row r="52" spans="1:20">
      <c r="A52" s="216">
        <v>11283</v>
      </c>
      <c r="B52" s="216">
        <v>4450</v>
      </c>
      <c r="C52" s="216">
        <v>24.5</v>
      </c>
      <c r="D52" s="216">
        <v>6050</v>
      </c>
      <c r="E52" s="216">
        <v>40</v>
      </c>
      <c r="F52" s="216">
        <v>0.626581430435181</v>
      </c>
      <c r="G52" s="216">
        <v>599.70037841796898</v>
      </c>
      <c r="H52" s="216">
        <v>6957.88720703125</v>
      </c>
      <c r="I52" s="216">
        <v>665.052734375</v>
      </c>
      <c r="J52" s="216">
        <v>19.581296920776399</v>
      </c>
      <c r="K52" s="216">
        <v>1.2188087701797501</v>
      </c>
      <c r="L52" s="216">
        <v>433.08337402343801</v>
      </c>
      <c r="M52" s="216">
        <v>2600</v>
      </c>
      <c r="N52" s="216">
        <v>21320</v>
      </c>
      <c r="O52" s="216">
        <v>16.399999618530298</v>
      </c>
      <c r="Q52" s="216">
        <v>0.519999980926514</v>
      </c>
      <c r="R52" s="192">
        <f>VLOOKUP($A52,'RBSA Weights'!$A$2:$C$1406,3,FALSE)</f>
        <v>6932.7380000000003</v>
      </c>
      <c r="S52" s="216">
        <f t="shared" si="0"/>
        <v>1</v>
      </c>
      <c r="T52" s="216">
        <f t="shared" si="1"/>
        <v>6932.7380000000003</v>
      </c>
    </row>
    <row r="53" spans="1:20">
      <c r="A53" s="216">
        <v>11332</v>
      </c>
      <c r="B53" s="216">
        <v>1051</v>
      </c>
      <c r="C53" s="216">
        <v>25.100000381469702</v>
      </c>
      <c r="D53" s="216">
        <v>1617</v>
      </c>
      <c r="E53" s="216">
        <v>50.099998474121101</v>
      </c>
      <c r="F53" s="216">
        <v>0.62335026264190696</v>
      </c>
      <c r="G53" s="216">
        <v>140.96644592285199</v>
      </c>
      <c r="H53" s="216">
        <v>1614.98742675781</v>
      </c>
      <c r="I53" s="216">
        <v>155.62957763671901</v>
      </c>
      <c r="J53" s="216">
        <v>8.9117507934570295</v>
      </c>
      <c r="K53" s="216">
        <v>0.47273102402687101</v>
      </c>
      <c r="L53" s="216">
        <v>85.668319702148395</v>
      </c>
      <c r="M53" s="216">
        <v>1326</v>
      </c>
      <c r="N53" s="216">
        <v>10873.2001953125</v>
      </c>
      <c r="O53" s="216">
        <v>8.1999998092651403</v>
      </c>
      <c r="P53" s="216" t="s">
        <v>1017</v>
      </c>
      <c r="Q53" s="216">
        <v>0.57999998331069902</v>
      </c>
      <c r="R53" s="192">
        <f>VLOOKUP($A53,'RBSA Weights'!$A$2:$C$1406,3,FALSE)</f>
        <v>4956.4930000000004</v>
      </c>
      <c r="S53" s="216">
        <f t="shared" si="0"/>
        <v>1</v>
      </c>
      <c r="T53" s="216">
        <f t="shared" si="1"/>
        <v>4956.4930000000004</v>
      </c>
    </row>
    <row r="54" spans="1:20">
      <c r="A54" s="216">
        <v>11346</v>
      </c>
      <c r="B54" s="216">
        <v>1100</v>
      </c>
      <c r="C54" s="216">
        <v>25</v>
      </c>
      <c r="D54" s="216">
        <v>1818</v>
      </c>
      <c r="E54" s="216">
        <v>50.599998474121101</v>
      </c>
      <c r="F54" s="216">
        <v>0.71258562803268399</v>
      </c>
      <c r="G54" s="216">
        <v>110.97898101806599</v>
      </c>
      <c r="H54" s="216">
        <v>1802.6123046875</v>
      </c>
      <c r="I54" s="216">
        <v>138.65710449218801</v>
      </c>
      <c r="J54" s="216">
        <v>8.1418800354003906</v>
      </c>
      <c r="K54" s="216">
        <v>0.309077918529511</v>
      </c>
      <c r="L54" s="216">
        <v>68.429847717285199</v>
      </c>
      <c r="M54" s="216">
        <v>1620</v>
      </c>
      <c r="N54" s="216">
        <v>13284</v>
      </c>
      <c r="O54" s="216">
        <v>8.1999998092651403</v>
      </c>
      <c r="Q54" s="216">
        <v>0.519999980926514</v>
      </c>
      <c r="R54" s="192">
        <f>VLOOKUP($A54,'RBSA Weights'!$A$2:$C$1406,3,FALSE)</f>
        <v>4956.4930000000004</v>
      </c>
      <c r="S54" s="216">
        <f t="shared" si="0"/>
        <v>1</v>
      </c>
      <c r="T54" s="216">
        <f t="shared" si="1"/>
        <v>4956.4930000000004</v>
      </c>
    </row>
    <row r="55" spans="1:20">
      <c r="A55" s="216">
        <v>11349</v>
      </c>
      <c r="B55" s="216">
        <v>884</v>
      </c>
      <c r="C55" s="216">
        <v>25</v>
      </c>
      <c r="D55" s="216">
        <v>1329</v>
      </c>
      <c r="E55" s="216">
        <v>50</v>
      </c>
      <c r="F55" s="216">
        <v>0.58822280168533303</v>
      </c>
      <c r="G55" s="216">
        <v>133.092041015625</v>
      </c>
      <c r="H55" s="216">
        <v>1329</v>
      </c>
      <c r="I55" s="216">
        <v>139.95216369628901</v>
      </c>
      <c r="J55" s="216">
        <v>6.0027098655700701</v>
      </c>
      <c r="K55" s="216">
        <v>0.427472203969955</v>
      </c>
      <c r="L55" s="216">
        <v>94.642349243164105</v>
      </c>
      <c r="M55" s="216">
        <v>1620</v>
      </c>
      <c r="N55" s="216">
        <v>13284</v>
      </c>
      <c r="O55" s="216">
        <v>16.399999618530298</v>
      </c>
      <c r="P55" s="216" t="s">
        <v>1022</v>
      </c>
      <c r="Q55" s="216">
        <v>0.54000002145767201</v>
      </c>
      <c r="R55" s="192">
        <f>VLOOKUP($A55,'RBSA Weights'!$A$2:$C$1406,3,FALSE)</f>
        <v>4956.4930000000004</v>
      </c>
      <c r="S55" s="216">
        <f t="shared" si="0"/>
        <v>0</v>
      </c>
      <c r="T55" s="216">
        <f t="shared" si="1"/>
        <v>0</v>
      </c>
    </row>
    <row r="56" spans="1:20">
      <c r="A56" s="216">
        <v>11352</v>
      </c>
      <c r="B56" s="216">
        <v>1741</v>
      </c>
      <c r="C56" s="216">
        <v>25</v>
      </c>
      <c r="D56" s="216">
        <v>2869</v>
      </c>
      <c r="E56" s="216">
        <v>48.299999237060497</v>
      </c>
      <c r="F56" s="216">
        <v>0.758483827114105</v>
      </c>
      <c r="G56" s="216">
        <v>151.52485656738301</v>
      </c>
      <c r="H56" s="216">
        <v>2945.27026367188</v>
      </c>
      <c r="I56" s="216">
        <v>201.75242614746099</v>
      </c>
      <c r="J56" s="216">
        <v>14.5810279846191</v>
      </c>
      <c r="K56" s="216">
        <v>0.49292993545532199</v>
      </c>
      <c r="L56" s="216">
        <v>99.568557739257798</v>
      </c>
      <c r="M56" s="216">
        <v>1478</v>
      </c>
      <c r="N56" s="216">
        <v>12119.599609375</v>
      </c>
      <c r="O56" s="216">
        <v>8.1999998092651403</v>
      </c>
      <c r="P56" s="216" t="s">
        <v>1123</v>
      </c>
      <c r="Q56" s="216">
        <v>0.519999980926514</v>
      </c>
      <c r="R56" s="192">
        <f>VLOOKUP($A56,'RBSA Weights'!$A$2:$C$1406,3,FALSE)</f>
        <v>6932.7380000000003</v>
      </c>
      <c r="S56" s="216">
        <f t="shared" si="0"/>
        <v>1</v>
      </c>
      <c r="T56" s="216">
        <f t="shared" si="1"/>
        <v>6932.7380000000003</v>
      </c>
    </row>
    <row r="57" spans="1:20">
      <c r="A57" s="216">
        <v>11375</v>
      </c>
      <c r="B57" s="216">
        <v>1942</v>
      </c>
      <c r="C57" s="216">
        <v>25</v>
      </c>
      <c r="D57" s="216">
        <v>2650</v>
      </c>
      <c r="E57" s="216">
        <v>41</v>
      </c>
      <c r="F57" s="216">
        <v>0.62834775447845503</v>
      </c>
      <c r="G57" s="216">
        <v>256.95480346679699</v>
      </c>
      <c r="H57" s="216">
        <v>3001.93115234375</v>
      </c>
      <c r="I57" s="216">
        <v>285.655029296875</v>
      </c>
      <c r="J57" s="216">
        <v>9.2020730972290004</v>
      </c>
      <c r="K57" s="216">
        <v>0.63193374872207597</v>
      </c>
      <c r="L57" s="216">
        <v>206.15153503418</v>
      </c>
      <c r="M57" s="216">
        <v>2387</v>
      </c>
      <c r="N57" s="216">
        <v>19573.400390625</v>
      </c>
      <c r="O57" s="216">
        <v>24.599998474121101</v>
      </c>
      <c r="P57" s="216" t="s">
        <v>1023</v>
      </c>
      <c r="Q57" s="216">
        <v>0.490000009536743</v>
      </c>
      <c r="R57" s="192">
        <f>VLOOKUP($A57,'RBSA Weights'!$A$2:$C$1406,3,FALSE)</f>
        <v>1524.7619999999999</v>
      </c>
      <c r="S57" s="216">
        <f t="shared" si="0"/>
        <v>1</v>
      </c>
      <c r="T57" s="216">
        <f t="shared" si="1"/>
        <v>1524.7619999999999</v>
      </c>
    </row>
    <row r="58" spans="1:20">
      <c r="A58" s="216">
        <v>11414</v>
      </c>
      <c r="B58" s="216">
        <v>4003</v>
      </c>
      <c r="C58" s="216">
        <v>25.100000381469702</v>
      </c>
      <c r="D58" s="216">
        <v>6517</v>
      </c>
      <c r="E58" s="216">
        <v>50</v>
      </c>
      <c r="F58" s="216">
        <v>0.70719933509826705</v>
      </c>
      <c r="G58" s="216">
        <v>409.76727294921898</v>
      </c>
      <c r="H58" s="216">
        <v>6517</v>
      </c>
      <c r="I58" s="216">
        <v>508.154541015625</v>
      </c>
      <c r="J58" s="216">
        <v>22.980899810791001</v>
      </c>
      <c r="K58" s="216">
        <v>1.3015331029892001</v>
      </c>
      <c r="L58" s="216">
        <v>369.09307861328102</v>
      </c>
      <c r="M58" s="216">
        <v>2075</v>
      </c>
      <c r="N58" s="216">
        <v>17015</v>
      </c>
      <c r="O58" s="216">
        <v>16.399999618530298</v>
      </c>
      <c r="P58" s="216" t="s">
        <v>1024</v>
      </c>
      <c r="Q58" s="216">
        <v>0.57999998331069902</v>
      </c>
      <c r="R58" s="192">
        <f>VLOOKUP($A58,'RBSA Weights'!$A$2:$C$1406,3,FALSE)</f>
        <v>4956.4930000000004</v>
      </c>
      <c r="S58" s="216">
        <f t="shared" si="0"/>
        <v>1</v>
      </c>
      <c r="T58" s="216">
        <f t="shared" si="1"/>
        <v>4956.4930000000004</v>
      </c>
    </row>
    <row r="59" spans="1:20">
      <c r="A59" s="216">
        <v>11418</v>
      </c>
      <c r="B59" s="216">
        <v>918</v>
      </c>
      <c r="C59" s="216">
        <v>25</v>
      </c>
      <c r="D59" s="216">
        <v>1469</v>
      </c>
      <c r="E59" s="216">
        <v>50</v>
      </c>
      <c r="F59" s="216">
        <v>0.67826831340789795</v>
      </c>
      <c r="G59" s="216">
        <v>103.43422698974599</v>
      </c>
      <c r="H59" s="216">
        <v>1469</v>
      </c>
      <c r="I59" s="216">
        <v>123.226638793945</v>
      </c>
      <c r="J59" s="216">
        <v>8.1061687469482404</v>
      </c>
      <c r="K59" s="216">
        <v>0.32267743349075301</v>
      </c>
      <c r="L59" s="216">
        <v>58.4756050109863</v>
      </c>
      <c r="M59" s="216">
        <v>1326</v>
      </c>
      <c r="N59" s="216">
        <v>10873.2001953125</v>
      </c>
      <c r="O59" s="216">
        <v>8.1999998092651403</v>
      </c>
      <c r="Q59" s="216">
        <v>0.5</v>
      </c>
      <c r="R59" s="192">
        <f>VLOOKUP($A59,'RBSA Weights'!$A$2:$C$1406,3,FALSE)</f>
        <v>6932.7380000000003</v>
      </c>
      <c r="S59" s="216">
        <f t="shared" si="0"/>
        <v>1</v>
      </c>
      <c r="T59" s="216">
        <f t="shared" si="1"/>
        <v>6932.7380000000003</v>
      </c>
    </row>
    <row r="60" spans="1:20">
      <c r="A60" s="216">
        <v>11439</v>
      </c>
      <c r="B60" s="216">
        <v>1050</v>
      </c>
      <c r="C60" s="216">
        <v>24.5</v>
      </c>
      <c r="D60" s="216">
        <v>1785</v>
      </c>
      <c r="E60" s="216">
        <v>49.799999237060497</v>
      </c>
      <c r="F60" s="216">
        <v>0.74805718660354603</v>
      </c>
      <c r="G60" s="216">
        <v>95.943069458007798</v>
      </c>
      <c r="H60" s="216">
        <v>1790.35986328125</v>
      </c>
      <c r="I60" s="216">
        <v>125.913131713867</v>
      </c>
      <c r="J60" s="216">
        <v>10.4217929840088</v>
      </c>
      <c r="K60" s="216">
        <v>0.33389851450920099</v>
      </c>
      <c r="L60" s="216">
        <v>57.360427856445298</v>
      </c>
      <c r="M60" s="216">
        <v>1257</v>
      </c>
      <c r="N60" s="216">
        <v>10307.400390625</v>
      </c>
      <c r="O60" s="216">
        <v>8.2000007629394496</v>
      </c>
      <c r="Q60" s="216">
        <v>0.479999989271164</v>
      </c>
      <c r="R60" s="192">
        <f>VLOOKUP($A60,'RBSA Weights'!$A$2:$C$1406,3,FALSE)</f>
        <v>6932.7380000000003</v>
      </c>
      <c r="S60" s="216">
        <f t="shared" si="0"/>
        <v>1</v>
      </c>
      <c r="T60" s="216">
        <f t="shared" si="1"/>
        <v>6932.7380000000003</v>
      </c>
    </row>
    <row r="61" spans="1:20">
      <c r="A61" s="216">
        <v>11452</v>
      </c>
      <c r="B61" s="216">
        <v>3105</v>
      </c>
      <c r="C61" s="216">
        <v>25</v>
      </c>
      <c r="D61" s="216">
        <v>4693</v>
      </c>
      <c r="E61" s="216">
        <v>49</v>
      </c>
      <c r="F61" s="216">
        <v>0.61380743980407704</v>
      </c>
      <c r="G61" s="216">
        <v>430.52227783203102</v>
      </c>
      <c r="H61" s="216">
        <v>4751.55810546875</v>
      </c>
      <c r="I61" s="216">
        <v>469.05810546875</v>
      </c>
      <c r="J61" s="216">
        <v>8.7355527877807599</v>
      </c>
      <c r="K61" s="216">
        <v>0.56156033277511597</v>
      </c>
      <c r="L61" s="216">
        <v>305.45138549804699</v>
      </c>
      <c r="M61" s="216">
        <v>3980</v>
      </c>
      <c r="N61" s="216">
        <v>32636</v>
      </c>
      <c r="O61" s="216">
        <v>16.399999618530298</v>
      </c>
      <c r="Q61" s="216">
        <v>0.519999980926514</v>
      </c>
      <c r="R61" s="192">
        <f>VLOOKUP($A61,'RBSA Weights'!$A$2:$C$1406,3,FALSE)</f>
        <v>6932.7380000000003</v>
      </c>
      <c r="S61" s="216">
        <f t="shared" si="0"/>
        <v>1</v>
      </c>
      <c r="T61" s="216">
        <f t="shared" si="1"/>
        <v>6932.7380000000003</v>
      </c>
    </row>
    <row r="62" spans="1:20">
      <c r="A62" s="216">
        <v>11475</v>
      </c>
      <c r="B62" s="216">
        <v>1794</v>
      </c>
      <c r="C62" s="216">
        <v>24.899999618530298</v>
      </c>
      <c r="D62" s="216">
        <v>2847</v>
      </c>
      <c r="E62" s="216">
        <v>49.5</v>
      </c>
      <c r="F62" s="216">
        <v>0.67212164402008101</v>
      </c>
      <c r="G62" s="216">
        <v>206.73149108886699</v>
      </c>
      <c r="H62" s="216">
        <v>2866.29663085938</v>
      </c>
      <c r="I62" s="216">
        <v>244.20036315918</v>
      </c>
      <c r="J62" s="216">
        <v>8.1258821487426793</v>
      </c>
      <c r="K62" s="216">
        <v>0.328523010015488</v>
      </c>
      <c r="L62" s="216">
        <v>115.882110595703</v>
      </c>
      <c r="M62" s="216">
        <v>2581</v>
      </c>
      <c r="N62" s="216">
        <v>21164.19921875</v>
      </c>
      <c r="O62" s="216">
        <v>8.1999998092651403</v>
      </c>
      <c r="Q62" s="216">
        <v>0.5</v>
      </c>
      <c r="R62" s="192">
        <f>VLOOKUP($A62,'RBSA Weights'!$A$2:$C$1406,3,FALSE)</f>
        <v>6932.7380000000003</v>
      </c>
      <c r="S62" s="216">
        <f t="shared" si="0"/>
        <v>1</v>
      </c>
      <c r="T62" s="216">
        <f t="shared" si="1"/>
        <v>6932.7380000000003</v>
      </c>
    </row>
    <row r="63" spans="1:20">
      <c r="A63" s="216">
        <v>11504</v>
      </c>
      <c r="B63" s="216">
        <v>1526</v>
      </c>
      <c r="C63" s="216">
        <v>24.899999618530298</v>
      </c>
      <c r="D63" s="216">
        <v>2406</v>
      </c>
      <c r="E63" s="216">
        <v>50</v>
      </c>
      <c r="F63" s="216">
        <v>0.65310519933700595</v>
      </c>
      <c r="G63" s="216">
        <v>186.93450927734401</v>
      </c>
      <c r="H63" s="216">
        <v>2406</v>
      </c>
      <c r="I63" s="216">
        <v>215.07012939453099</v>
      </c>
      <c r="J63" s="216">
        <v>8.8913526535034197</v>
      </c>
      <c r="K63" s="216">
        <v>0.49766191840171797</v>
      </c>
      <c r="L63" s="216">
        <v>134.66731262207</v>
      </c>
      <c r="M63" s="216">
        <v>1980</v>
      </c>
      <c r="N63" s="216">
        <v>16236</v>
      </c>
      <c r="O63" s="216">
        <v>16.399999618530298</v>
      </c>
      <c r="Q63" s="216">
        <v>0.5</v>
      </c>
      <c r="R63" s="192">
        <f>VLOOKUP($A63,'RBSA Weights'!$A$2:$C$1406,3,FALSE)</f>
        <v>6932.7380000000003</v>
      </c>
      <c r="S63" s="216">
        <f t="shared" si="0"/>
        <v>1</v>
      </c>
      <c r="T63" s="216">
        <f t="shared" si="1"/>
        <v>6932.7380000000003</v>
      </c>
    </row>
    <row r="64" spans="1:20">
      <c r="A64" s="216">
        <v>11531</v>
      </c>
      <c r="B64" s="216">
        <v>642</v>
      </c>
      <c r="C64" s="216">
        <v>25</v>
      </c>
      <c r="D64" s="216">
        <v>1020</v>
      </c>
      <c r="E64" s="216">
        <v>50</v>
      </c>
      <c r="F64" s="216">
        <v>0.66792392730712902</v>
      </c>
      <c r="G64" s="216">
        <v>74.785507202148395</v>
      </c>
      <c r="H64" s="216">
        <v>1020</v>
      </c>
      <c r="I64" s="216">
        <v>87.827362060546903</v>
      </c>
      <c r="J64" s="216">
        <v>7.26013135910034</v>
      </c>
      <c r="K64" s="216">
        <v>0.30258288979530301</v>
      </c>
      <c r="L64" s="216">
        <v>42.510879516601598</v>
      </c>
      <c r="M64" s="216">
        <v>1028</v>
      </c>
      <c r="N64" s="216">
        <v>8429.599609375</v>
      </c>
      <c r="O64" s="216">
        <v>8.1999998092651403</v>
      </c>
      <c r="Q64" s="216">
        <v>0.50999999046325695</v>
      </c>
      <c r="R64" s="192">
        <f>VLOOKUP($A64,'RBSA Weights'!$A$2:$C$1406,3,FALSE)</f>
        <v>4956.4930000000004</v>
      </c>
      <c r="S64" s="216">
        <f t="shared" si="0"/>
        <v>1</v>
      </c>
      <c r="T64" s="216">
        <f t="shared" si="1"/>
        <v>4956.4930000000004</v>
      </c>
    </row>
    <row r="65" spans="1:20">
      <c r="A65" s="216">
        <v>11552</v>
      </c>
      <c r="B65" s="216">
        <v>1608</v>
      </c>
      <c r="C65" s="216">
        <v>25.100000381469702</v>
      </c>
      <c r="D65" s="216">
        <v>2510</v>
      </c>
      <c r="E65" s="216">
        <v>50.099998474121101</v>
      </c>
      <c r="F65" s="216">
        <v>0.64427340030670199</v>
      </c>
      <c r="G65" s="216">
        <v>201.61065673828099</v>
      </c>
      <c r="H65" s="216">
        <v>2506.77099609375</v>
      </c>
      <c r="I65" s="216">
        <v>229.132568359375</v>
      </c>
      <c r="J65" s="216">
        <v>13.2914686203003</v>
      </c>
      <c r="K65" s="216">
        <v>0.62264287471771196</v>
      </c>
      <c r="L65" s="216">
        <v>117.43044281005901</v>
      </c>
      <c r="M65" s="216">
        <v>1380</v>
      </c>
      <c r="N65" s="216">
        <v>11316</v>
      </c>
      <c r="O65" s="216">
        <v>8.1999998092651403</v>
      </c>
      <c r="P65" s="216" t="s">
        <v>1017</v>
      </c>
      <c r="Q65" s="216">
        <v>0.54000002145767201</v>
      </c>
      <c r="R65" s="192">
        <f>VLOOKUP($A65,'RBSA Weights'!$A$2:$C$1406,3,FALSE)</f>
        <v>1464.694</v>
      </c>
      <c r="S65" s="216">
        <f t="shared" si="0"/>
        <v>1</v>
      </c>
      <c r="T65" s="216">
        <f t="shared" si="1"/>
        <v>1464.694</v>
      </c>
    </row>
    <row r="66" spans="1:20">
      <c r="A66" s="216">
        <v>11653</v>
      </c>
      <c r="B66" s="216">
        <v>1164</v>
      </c>
      <c r="C66" s="216">
        <v>25.100000381469702</v>
      </c>
      <c r="D66" s="216">
        <v>1847</v>
      </c>
      <c r="E66" s="216">
        <v>50.099998474121101</v>
      </c>
      <c r="F66" s="216">
        <v>0.66801458597183205</v>
      </c>
      <c r="G66" s="216">
        <v>135.19184875488301</v>
      </c>
      <c r="H66" s="216">
        <v>1844.53649902344</v>
      </c>
      <c r="I66" s="216">
        <v>158.78791809082</v>
      </c>
      <c r="J66" s="216">
        <v>4.8030633926391602</v>
      </c>
      <c r="K66" s="216">
        <v>0.29839617013931302</v>
      </c>
      <c r="L66" s="216">
        <v>114.594078063965</v>
      </c>
      <c r="M66" s="216">
        <v>2810</v>
      </c>
      <c r="N66" s="216">
        <v>23042</v>
      </c>
      <c r="O66" s="216">
        <v>24.599998474121101</v>
      </c>
      <c r="Q66" s="216">
        <v>0.490000009536743</v>
      </c>
      <c r="R66" s="192">
        <f>VLOOKUP($A66,'RBSA Weights'!$A$2:$C$1406,3,FALSE)</f>
        <v>1524.7619999999999</v>
      </c>
      <c r="S66" s="216">
        <f t="shared" si="0"/>
        <v>0</v>
      </c>
      <c r="T66" s="216">
        <f t="shared" si="1"/>
        <v>0</v>
      </c>
    </row>
    <row r="67" spans="1:20">
      <c r="A67" s="216">
        <v>11679</v>
      </c>
      <c r="B67" s="216">
        <v>3010</v>
      </c>
      <c r="C67" s="216">
        <v>25.299999237060501</v>
      </c>
      <c r="D67" s="216">
        <v>4780</v>
      </c>
      <c r="E67" s="216">
        <v>50</v>
      </c>
      <c r="F67" s="216">
        <v>0.67893099784851096</v>
      </c>
      <c r="G67" s="216">
        <v>335.69470214843801</v>
      </c>
      <c r="H67" s="216">
        <v>4780</v>
      </c>
      <c r="I67" s="216">
        <v>400.29833984375</v>
      </c>
      <c r="J67" s="216">
        <v>10.8687419891357</v>
      </c>
      <c r="K67" s="216">
        <v>0.43192192912101701</v>
      </c>
      <c r="L67" s="216">
        <v>189.95637512207</v>
      </c>
      <c r="M67" s="216">
        <v>3218</v>
      </c>
      <c r="N67" s="216">
        <v>26387.599609375</v>
      </c>
      <c r="O67" s="216">
        <v>8.1999998092651403</v>
      </c>
      <c r="Q67" s="216">
        <v>0.5</v>
      </c>
      <c r="R67" s="192">
        <f>VLOOKUP($A67,'RBSA Weights'!$A$2:$C$1406,3,FALSE)</f>
        <v>6932.7380000000003</v>
      </c>
      <c r="S67" s="216">
        <f t="shared" ref="S67:S130" si="2">IF(J67&lt;7,0,1)</f>
        <v>1</v>
      </c>
      <c r="T67" s="216">
        <f t="shared" ref="T67:T130" si="3">S67*R67</f>
        <v>6932.7380000000003</v>
      </c>
    </row>
    <row r="68" spans="1:20">
      <c r="A68" s="216">
        <v>11713</v>
      </c>
      <c r="B68" s="216">
        <v>1624</v>
      </c>
      <c r="C68" s="216">
        <v>25</v>
      </c>
      <c r="D68" s="216">
        <v>2502</v>
      </c>
      <c r="E68" s="216">
        <v>50</v>
      </c>
      <c r="F68" s="216">
        <v>0.62353014945983898</v>
      </c>
      <c r="G68" s="216">
        <v>218.23695373535199</v>
      </c>
      <c r="H68" s="216">
        <v>2502</v>
      </c>
      <c r="I68" s="216">
        <v>240.99774169921901</v>
      </c>
      <c r="J68" s="216">
        <v>9.9550390243530291</v>
      </c>
      <c r="K68" s="216">
        <v>0.49143096804618802</v>
      </c>
      <c r="L68" s="216">
        <v>123.511344909668</v>
      </c>
      <c r="M68" s="216">
        <v>1839</v>
      </c>
      <c r="N68" s="216">
        <v>15079.7998046875</v>
      </c>
      <c r="O68" s="216">
        <v>8.1999998092651403</v>
      </c>
      <c r="P68" s="216" t="s">
        <v>1025</v>
      </c>
      <c r="Q68" s="216">
        <v>0.54000002145767201</v>
      </c>
      <c r="R68" s="192">
        <f>VLOOKUP($A68,'RBSA Weights'!$A$2:$C$1406,3,FALSE)</f>
        <v>2003.7159999999999</v>
      </c>
      <c r="S68" s="216">
        <f t="shared" si="2"/>
        <v>1</v>
      </c>
      <c r="T68" s="216">
        <f t="shared" si="3"/>
        <v>2003.7159999999999</v>
      </c>
    </row>
    <row r="69" spans="1:20">
      <c r="A69" s="216">
        <v>11732</v>
      </c>
      <c r="B69" s="216">
        <v>3121</v>
      </c>
      <c r="C69" s="216">
        <v>25</v>
      </c>
      <c r="D69" s="216">
        <v>4551</v>
      </c>
      <c r="E69" s="216">
        <v>50</v>
      </c>
      <c r="F69" s="216">
        <v>0.54417520761489901</v>
      </c>
      <c r="G69" s="216">
        <v>541.4638671875</v>
      </c>
      <c r="H69" s="216">
        <v>4551</v>
      </c>
      <c r="I69" s="216">
        <v>535.64581298828102</v>
      </c>
      <c r="J69" s="216">
        <v>11.978417396545399</v>
      </c>
      <c r="K69" s="216">
        <v>0.68240243196487405</v>
      </c>
      <c r="L69" s="216">
        <v>259.26742553710898</v>
      </c>
      <c r="M69" s="216">
        <v>2780</v>
      </c>
      <c r="N69" s="216">
        <v>22796</v>
      </c>
      <c r="O69" s="216">
        <v>8.1999998092651403</v>
      </c>
      <c r="P69" s="216" t="s">
        <v>1026</v>
      </c>
      <c r="Q69" s="216">
        <v>0.50999999046325695</v>
      </c>
      <c r="R69" s="192">
        <f>VLOOKUP($A69,'RBSA Weights'!$A$2:$C$1406,3,FALSE)</f>
        <v>4956.4930000000004</v>
      </c>
      <c r="S69" s="216">
        <f t="shared" si="2"/>
        <v>1</v>
      </c>
      <c r="T69" s="216">
        <f t="shared" si="3"/>
        <v>4956.4930000000004</v>
      </c>
    </row>
    <row r="70" spans="1:20">
      <c r="A70" s="216">
        <v>11766</v>
      </c>
      <c r="B70" s="216">
        <v>1557</v>
      </c>
      <c r="C70" s="216">
        <v>24.5</v>
      </c>
      <c r="D70" s="216">
        <v>2460</v>
      </c>
      <c r="E70" s="216">
        <v>50.400001525878899</v>
      </c>
      <c r="F70" s="216">
        <v>0.63411754369735696</v>
      </c>
      <c r="G70" s="216">
        <v>204.83021545410199</v>
      </c>
      <c r="H70" s="216">
        <v>2447.6015625</v>
      </c>
      <c r="I70" s="216">
        <v>229.53712463378901</v>
      </c>
      <c r="J70" s="216">
        <v>8.4958639144897496</v>
      </c>
      <c r="K70" s="216">
        <v>0.38564705848693798</v>
      </c>
      <c r="L70" s="216">
        <v>111.102340698242</v>
      </c>
      <c r="M70" s="216">
        <v>2108</v>
      </c>
      <c r="N70" s="216">
        <v>17285.599609375</v>
      </c>
      <c r="O70" s="216">
        <v>8.1999998092651403</v>
      </c>
      <c r="Q70" s="216">
        <v>0.50999999046325695</v>
      </c>
      <c r="R70" s="192">
        <f>VLOOKUP($A70,'RBSA Weights'!$A$2:$C$1406,3,FALSE)</f>
        <v>4956.4930000000004</v>
      </c>
      <c r="S70" s="216">
        <f t="shared" si="2"/>
        <v>1</v>
      </c>
      <c r="T70" s="216">
        <f t="shared" si="3"/>
        <v>4956.4930000000004</v>
      </c>
    </row>
    <row r="71" spans="1:20">
      <c r="A71" s="216">
        <v>11774</v>
      </c>
      <c r="B71" s="216">
        <v>1806</v>
      </c>
      <c r="C71" s="216">
        <v>24.899999618530298</v>
      </c>
      <c r="D71" s="216">
        <v>2928</v>
      </c>
      <c r="E71" s="216">
        <v>49.900001525878899</v>
      </c>
      <c r="F71" s="216">
        <v>0.69510591030120905</v>
      </c>
      <c r="G71" s="216">
        <v>193.29086303710901</v>
      </c>
      <c r="H71" s="216">
        <v>2932.07739257813</v>
      </c>
      <c r="I71" s="216">
        <v>235.71591186523401</v>
      </c>
      <c r="J71" s="216">
        <v>10.2162971496582</v>
      </c>
      <c r="K71" s="216">
        <v>0.39753672480583202</v>
      </c>
      <c r="L71" s="216">
        <v>114.09304046630901</v>
      </c>
      <c r="M71" s="216">
        <v>2100</v>
      </c>
      <c r="N71" s="216">
        <v>17220</v>
      </c>
      <c r="O71" s="216">
        <v>8.1999998092651403</v>
      </c>
      <c r="Q71" s="216">
        <v>0.50999999046325695</v>
      </c>
      <c r="R71" s="192">
        <f>VLOOKUP($A71,'RBSA Weights'!$A$2:$C$1406,3,FALSE)</f>
        <v>6932.7380000000003</v>
      </c>
      <c r="S71" s="216">
        <f t="shared" si="2"/>
        <v>1</v>
      </c>
      <c r="T71" s="216">
        <f t="shared" si="3"/>
        <v>6932.7380000000003</v>
      </c>
    </row>
    <row r="72" spans="1:20">
      <c r="A72" s="216">
        <v>11775</v>
      </c>
      <c r="B72" s="216">
        <v>1541</v>
      </c>
      <c r="C72" s="216">
        <v>25.299999237060501</v>
      </c>
      <c r="D72" s="216">
        <v>2440</v>
      </c>
      <c r="E72" s="216">
        <v>49.200000762939503</v>
      </c>
      <c r="F72" s="216">
        <v>0.690984666347504</v>
      </c>
      <c r="G72" s="216">
        <v>165.29811096191401</v>
      </c>
      <c r="H72" s="216">
        <v>2467.34643554688</v>
      </c>
      <c r="I72" s="216">
        <v>200.43069458007801</v>
      </c>
      <c r="J72" s="216">
        <v>13.6978416442871</v>
      </c>
      <c r="K72" s="216">
        <v>0.57026946544647195</v>
      </c>
      <c r="L72" s="216">
        <v>102.72072601318401</v>
      </c>
      <c r="M72" s="216">
        <v>1318</v>
      </c>
      <c r="N72" s="216">
        <v>10807.599609375</v>
      </c>
      <c r="O72" s="216">
        <v>8.1999998092651403</v>
      </c>
      <c r="Q72" s="216">
        <v>0.54000002145767201</v>
      </c>
      <c r="R72" s="192">
        <f>VLOOKUP($A72,'RBSA Weights'!$A$2:$C$1406,3,FALSE)</f>
        <v>4956.4930000000004</v>
      </c>
      <c r="S72" s="216">
        <f t="shared" si="2"/>
        <v>1</v>
      </c>
      <c r="T72" s="216">
        <f t="shared" si="3"/>
        <v>4956.4930000000004</v>
      </c>
    </row>
    <row r="73" spans="1:20">
      <c r="A73" s="216">
        <v>11802</v>
      </c>
      <c r="B73" s="216">
        <v>1330</v>
      </c>
      <c r="C73" s="216">
        <v>25</v>
      </c>
      <c r="D73" s="216">
        <v>2098</v>
      </c>
      <c r="E73" s="216">
        <v>50</v>
      </c>
      <c r="F73" s="216">
        <v>0.65758842229843095</v>
      </c>
      <c r="G73" s="216">
        <v>160.170486450195</v>
      </c>
      <c r="H73" s="216">
        <v>2098</v>
      </c>
      <c r="I73" s="216">
        <v>185.42671203613301</v>
      </c>
      <c r="J73" s="216">
        <v>10.810717582702599</v>
      </c>
      <c r="K73" s="216">
        <v>0.67007201910018899</v>
      </c>
      <c r="L73" s="216">
        <v>130.03863525390599</v>
      </c>
      <c r="M73" s="216">
        <v>1420</v>
      </c>
      <c r="N73" s="216">
        <v>11644</v>
      </c>
      <c r="O73" s="216">
        <v>16.399999618530298</v>
      </c>
      <c r="Q73" s="216">
        <v>0.56000000238418601</v>
      </c>
      <c r="R73" s="192">
        <f>VLOOKUP($A73,'RBSA Weights'!$A$2:$C$1406,3,FALSE)</f>
        <v>1188.027</v>
      </c>
      <c r="S73" s="216">
        <f t="shared" si="2"/>
        <v>1</v>
      </c>
      <c r="T73" s="216">
        <f t="shared" si="3"/>
        <v>1188.027</v>
      </c>
    </row>
    <row r="74" spans="1:20">
      <c r="A74" s="216">
        <v>11808</v>
      </c>
      <c r="B74" s="216">
        <v>3270</v>
      </c>
      <c r="C74" s="216">
        <v>25</v>
      </c>
      <c r="D74" s="216">
        <v>5237</v>
      </c>
      <c r="E74" s="216">
        <v>50</v>
      </c>
      <c r="F74" s="216">
        <v>0.67944997549056996</v>
      </c>
      <c r="G74" s="216">
        <v>367.04342651367199</v>
      </c>
      <c r="H74" s="216">
        <v>5237</v>
      </c>
      <c r="I74" s="216">
        <v>437.99505615234398</v>
      </c>
      <c r="J74" s="216">
        <v>18.8952236175537</v>
      </c>
      <c r="K74" s="216">
        <v>1.02909171581268</v>
      </c>
      <c r="L74" s="216">
        <v>285.22305297851602</v>
      </c>
      <c r="M74" s="216">
        <v>2028</v>
      </c>
      <c r="N74" s="216">
        <v>16629.599609375</v>
      </c>
      <c r="O74" s="216">
        <v>16.399999618530298</v>
      </c>
      <c r="P74" s="216" t="s">
        <v>1027</v>
      </c>
      <c r="Q74" s="216">
        <v>0.519999980926514</v>
      </c>
      <c r="R74" s="192">
        <f>VLOOKUP($A74,'RBSA Weights'!$A$2:$C$1406,3,FALSE)</f>
        <v>4956.4930000000004</v>
      </c>
      <c r="S74" s="216">
        <f t="shared" si="2"/>
        <v>1</v>
      </c>
      <c r="T74" s="216">
        <f t="shared" si="3"/>
        <v>4956.4930000000004</v>
      </c>
    </row>
    <row r="75" spans="1:20">
      <c r="A75" s="216">
        <v>11815</v>
      </c>
      <c r="B75" s="216">
        <v>1790</v>
      </c>
      <c r="C75" s="216">
        <v>25</v>
      </c>
      <c r="D75" s="216">
        <v>2755</v>
      </c>
      <c r="E75" s="216">
        <v>49.400001525878899</v>
      </c>
      <c r="F75" s="216">
        <v>0.63311976194381703</v>
      </c>
      <c r="G75" s="216">
        <v>233.23278808593801</v>
      </c>
      <c r="H75" s="216">
        <v>2776.13818359375</v>
      </c>
      <c r="I75" s="216">
        <v>261.00436401367199</v>
      </c>
      <c r="J75" s="216">
        <v>13.190393447876</v>
      </c>
      <c r="K75" s="216">
        <v>0.85416013002395597</v>
      </c>
      <c r="L75" s="216">
        <v>179.77223205566401</v>
      </c>
      <c r="M75" s="216">
        <v>1540</v>
      </c>
      <c r="N75" s="216">
        <v>12628</v>
      </c>
      <c r="O75" s="216">
        <v>16.399999618530298</v>
      </c>
      <c r="Q75" s="216">
        <v>0.55000001192092896</v>
      </c>
      <c r="R75" s="192">
        <f>VLOOKUP($A75,'RBSA Weights'!$A$2:$C$1406,3,FALSE)</f>
        <v>6932.7380000000003</v>
      </c>
      <c r="S75" s="216">
        <f t="shared" si="2"/>
        <v>1</v>
      </c>
      <c r="T75" s="216">
        <f t="shared" si="3"/>
        <v>6932.7380000000003</v>
      </c>
    </row>
    <row r="76" spans="1:20">
      <c r="A76" s="216">
        <v>11842</v>
      </c>
      <c r="B76" s="216">
        <v>1479</v>
      </c>
      <c r="C76" s="216">
        <v>24.899999618530298</v>
      </c>
      <c r="D76" s="216">
        <v>2390</v>
      </c>
      <c r="E76" s="216">
        <v>50.5</v>
      </c>
      <c r="F76" s="216">
        <v>0.67872071266174305</v>
      </c>
      <c r="G76" s="216">
        <v>166.85482788085901</v>
      </c>
      <c r="H76" s="216">
        <v>2373.91357421875</v>
      </c>
      <c r="I76" s="216">
        <v>198.907638549805</v>
      </c>
      <c r="J76" s="216">
        <v>10.6174201965332</v>
      </c>
      <c r="K76" s="216">
        <v>0.46437451243400601</v>
      </c>
      <c r="L76" s="216">
        <v>103.82794952392599</v>
      </c>
      <c r="M76" s="216">
        <v>1636</v>
      </c>
      <c r="N76" s="216">
        <v>13415.2001953125</v>
      </c>
      <c r="O76" s="216">
        <v>8.1999998092651403</v>
      </c>
      <c r="Q76" s="216">
        <v>0.55000001192092896</v>
      </c>
      <c r="R76" s="192">
        <f>VLOOKUP($A76,'RBSA Weights'!$A$2:$C$1406,3,FALSE)</f>
        <v>4956.4930000000004</v>
      </c>
      <c r="S76" s="216">
        <f t="shared" si="2"/>
        <v>1</v>
      </c>
      <c r="T76" s="216">
        <f t="shared" si="3"/>
        <v>4956.4930000000004</v>
      </c>
    </row>
    <row r="77" spans="1:20">
      <c r="A77" s="216">
        <v>11871</v>
      </c>
      <c r="B77" s="216">
        <v>865</v>
      </c>
      <c r="C77" s="216">
        <v>25</v>
      </c>
      <c r="D77" s="216">
        <v>1378</v>
      </c>
      <c r="E77" s="216">
        <v>50</v>
      </c>
      <c r="F77" s="216">
        <v>0.67180383205413796</v>
      </c>
      <c r="G77" s="216">
        <v>99.511817932128906</v>
      </c>
      <c r="H77" s="216">
        <v>1378</v>
      </c>
      <c r="I77" s="216">
        <v>117.495971679688</v>
      </c>
      <c r="J77" s="216">
        <v>7.1358294486999503</v>
      </c>
      <c r="K77" s="216">
        <v>0.42669579386711098</v>
      </c>
      <c r="L77" s="216">
        <v>82.399223327636705</v>
      </c>
      <c r="M77" s="216">
        <v>1413</v>
      </c>
      <c r="N77" s="216">
        <v>11586.599609375</v>
      </c>
      <c r="O77" s="216">
        <v>16.399999618530298</v>
      </c>
      <c r="P77" s="216" t="s">
        <v>1028</v>
      </c>
      <c r="Q77" s="216">
        <v>0.56000000238418601</v>
      </c>
      <c r="R77" s="192">
        <f>VLOOKUP($A77,'RBSA Weights'!$A$2:$C$1406,3,FALSE)</f>
        <v>4956.4930000000004</v>
      </c>
      <c r="S77" s="216">
        <f t="shared" si="2"/>
        <v>1</v>
      </c>
      <c r="T77" s="216">
        <f t="shared" si="3"/>
        <v>4956.4930000000004</v>
      </c>
    </row>
    <row r="78" spans="1:20">
      <c r="A78" s="216">
        <v>11900</v>
      </c>
      <c r="B78" s="216">
        <v>1714</v>
      </c>
      <c r="C78" s="216">
        <v>25.299999237060501</v>
      </c>
      <c r="D78" s="216">
        <v>2995</v>
      </c>
      <c r="E78" s="216">
        <v>50.099998474121101</v>
      </c>
      <c r="F78" s="216">
        <v>0.81689232587814298</v>
      </c>
      <c r="G78" s="216">
        <v>122.408744812012</v>
      </c>
      <c r="H78" s="216">
        <v>2990.11572265625</v>
      </c>
      <c r="I78" s="216">
        <v>176.73100280761699</v>
      </c>
      <c r="J78" s="216">
        <v>14.94460105896</v>
      </c>
      <c r="K78" s="216">
        <v>0.41077616810798601</v>
      </c>
      <c r="L78" s="216">
        <v>82.188095092773395</v>
      </c>
      <c r="M78" s="216">
        <v>1464</v>
      </c>
      <c r="N78" s="216">
        <v>12004.7998046875</v>
      </c>
      <c r="O78" s="216">
        <v>8.1999998092651403</v>
      </c>
      <c r="Q78" s="216">
        <v>0.490000009536743</v>
      </c>
      <c r="R78" s="192">
        <f>VLOOKUP($A78,'RBSA Weights'!$A$2:$C$1406,3,FALSE)</f>
        <v>1524.7619999999999</v>
      </c>
      <c r="S78" s="216">
        <f t="shared" si="2"/>
        <v>1</v>
      </c>
      <c r="T78" s="216">
        <f t="shared" si="3"/>
        <v>1524.7619999999999</v>
      </c>
    </row>
    <row r="79" spans="1:20">
      <c r="A79" s="216">
        <v>11914</v>
      </c>
      <c r="B79" s="216">
        <v>2887</v>
      </c>
      <c r="C79" s="216">
        <v>25</v>
      </c>
      <c r="D79" s="216">
        <v>4544</v>
      </c>
      <c r="E79" s="216">
        <v>50</v>
      </c>
      <c r="F79" s="216">
        <v>0.65439170598983798</v>
      </c>
      <c r="G79" s="216">
        <v>351.27435302734398</v>
      </c>
      <c r="H79" s="216">
        <v>4544</v>
      </c>
      <c r="I79" s="216">
        <v>404.86627197265602</v>
      </c>
      <c r="J79" s="216">
        <v>11.874564170837401</v>
      </c>
      <c r="K79" s="216">
        <v>0.67573004961013805</v>
      </c>
      <c r="L79" s="216">
        <v>258.57937622070301</v>
      </c>
      <c r="M79" s="216">
        <v>2800</v>
      </c>
      <c r="N79" s="216">
        <v>22960</v>
      </c>
      <c r="O79" s="216">
        <v>16.399999618530298</v>
      </c>
      <c r="Q79" s="216">
        <v>0.50999999046325695</v>
      </c>
      <c r="R79" s="192">
        <f>VLOOKUP($A79,'RBSA Weights'!$A$2:$C$1406,3,FALSE)</f>
        <v>6932.7380000000003</v>
      </c>
      <c r="S79" s="216">
        <f t="shared" si="2"/>
        <v>1</v>
      </c>
      <c r="T79" s="216">
        <f t="shared" si="3"/>
        <v>6932.7380000000003</v>
      </c>
    </row>
    <row r="80" spans="1:20">
      <c r="A80" s="216">
        <v>11925</v>
      </c>
      <c r="B80" s="216">
        <v>1237</v>
      </c>
      <c r="C80" s="216">
        <v>25</v>
      </c>
      <c r="D80" s="216">
        <v>2033</v>
      </c>
      <c r="E80" s="216">
        <v>50</v>
      </c>
      <c r="F80" s="216">
        <v>0.71676468849182096</v>
      </c>
      <c r="G80" s="216">
        <v>123.133346557617</v>
      </c>
      <c r="H80" s="216">
        <v>2033</v>
      </c>
      <c r="I80" s="216">
        <v>154.73663330078099</v>
      </c>
      <c r="J80" s="216">
        <v>7.4601855278015101</v>
      </c>
      <c r="K80" s="216">
        <v>0.280226230621338</v>
      </c>
      <c r="L80" s="216">
        <v>76.365386962890597</v>
      </c>
      <c r="M80" s="216">
        <v>1994</v>
      </c>
      <c r="N80" s="216">
        <v>16350.7998046875</v>
      </c>
      <c r="O80" s="216">
        <v>8.1999998092651403</v>
      </c>
      <c r="P80" s="216" t="s">
        <v>1029</v>
      </c>
      <c r="Q80" s="216">
        <v>0.519999980926514</v>
      </c>
      <c r="R80" s="192">
        <f>VLOOKUP($A80,'RBSA Weights'!$A$2:$C$1406,3,FALSE)</f>
        <v>4956.4930000000004</v>
      </c>
      <c r="S80" s="216">
        <f t="shared" si="2"/>
        <v>1</v>
      </c>
      <c r="T80" s="216">
        <f t="shared" si="3"/>
        <v>4956.4930000000004</v>
      </c>
    </row>
    <row r="81" spans="1:20">
      <c r="A81" s="216">
        <v>11943</v>
      </c>
      <c r="B81" s="216">
        <v>1457</v>
      </c>
      <c r="C81" s="216">
        <v>25.299999237060501</v>
      </c>
      <c r="D81" s="216">
        <v>2348</v>
      </c>
      <c r="E81" s="216">
        <v>49.799999237060497</v>
      </c>
      <c r="F81" s="216">
        <v>0.70463216304779097</v>
      </c>
      <c r="G81" s="216">
        <v>149.546310424805</v>
      </c>
      <c r="H81" s="216">
        <v>2354.640625</v>
      </c>
      <c r="I81" s="216">
        <v>184.79432678222699</v>
      </c>
      <c r="J81" s="216">
        <v>9.0299148559570295</v>
      </c>
      <c r="K81" s="216">
        <v>0.43486642837524397</v>
      </c>
      <c r="L81" s="216">
        <v>113.39576721191401</v>
      </c>
      <c r="M81" s="216">
        <v>1908</v>
      </c>
      <c r="N81" s="216">
        <v>15645.599609375</v>
      </c>
      <c r="O81" s="216">
        <v>16.399999618530298</v>
      </c>
      <c r="Q81" s="216">
        <v>0.490000009536743</v>
      </c>
      <c r="R81" s="192">
        <f>VLOOKUP($A81,'RBSA Weights'!$A$2:$C$1406,3,FALSE)</f>
        <v>4956.4930000000004</v>
      </c>
      <c r="S81" s="216">
        <f t="shared" si="2"/>
        <v>1</v>
      </c>
      <c r="T81" s="216">
        <f t="shared" si="3"/>
        <v>4956.4930000000004</v>
      </c>
    </row>
    <row r="82" spans="1:20">
      <c r="A82" s="216">
        <v>11958</v>
      </c>
      <c r="B82" s="216">
        <v>2084</v>
      </c>
      <c r="C82" s="216">
        <v>25.200000762939499</v>
      </c>
      <c r="D82" s="216">
        <v>3286</v>
      </c>
      <c r="E82" s="216">
        <v>50</v>
      </c>
      <c r="F82" s="216">
        <v>0.664617419242859</v>
      </c>
      <c r="G82" s="216">
        <v>244.06330871582</v>
      </c>
      <c r="H82" s="216">
        <v>3286</v>
      </c>
      <c r="I82" s="216">
        <v>285.31472778320301</v>
      </c>
      <c r="J82" s="216">
        <v>17.297771453857401</v>
      </c>
      <c r="K82" s="216">
        <v>0.74122530221939098</v>
      </c>
      <c r="L82" s="216">
        <v>140.80809020996099</v>
      </c>
      <c r="M82" s="216">
        <v>1390</v>
      </c>
      <c r="N82" s="216">
        <v>11398</v>
      </c>
      <c r="O82" s="216">
        <v>8.1999998092651403</v>
      </c>
      <c r="P82" s="216" t="s">
        <v>1030</v>
      </c>
      <c r="Q82" s="216">
        <v>0.519999980926514</v>
      </c>
      <c r="R82" s="192">
        <f>VLOOKUP($A82,'RBSA Weights'!$A$2:$C$1406,3,FALSE)</f>
        <v>6932.7380000000003</v>
      </c>
      <c r="S82" s="216">
        <f t="shared" si="2"/>
        <v>1</v>
      </c>
      <c r="T82" s="216">
        <f t="shared" si="3"/>
        <v>6932.7380000000003</v>
      </c>
    </row>
    <row r="83" spans="1:20">
      <c r="A83" s="216">
        <v>11967</v>
      </c>
      <c r="B83" s="216">
        <v>1395</v>
      </c>
      <c r="C83" s="216">
        <v>25.600000381469702</v>
      </c>
      <c r="D83" s="216">
        <v>2225</v>
      </c>
      <c r="E83" s="216">
        <v>50</v>
      </c>
      <c r="F83" s="216">
        <v>0.69740235805511497</v>
      </c>
      <c r="G83" s="216">
        <v>145.36650085449199</v>
      </c>
      <c r="H83" s="216">
        <v>2225</v>
      </c>
      <c r="I83" s="216">
        <v>177.83798217773401</v>
      </c>
      <c r="J83" s="216">
        <v>10.024930953979499</v>
      </c>
      <c r="K83" s="216">
        <v>0.38783425092697099</v>
      </c>
      <c r="L83" s="216">
        <v>86.078514099121094</v>
      </c>
      <c r="M83" s="216">
        <v>1624</v>
      </c>
      <c r="N83" s="216">
        <v>13316.7998046875</v>
      </c>
      <c r="O83" s="216">
        <v>8.1999998092651403</v>
      </c>
      <c r="Q83" s="216">
        <v>0.50999999046325695</v>
      </c>
      <c r="R83" s="192">
        <f>VLOOKUP($A83,'RBSA Weights'!$A$2:$C$1406,3,FALSE)</f>
        <v>6932.7380000000003</v>
      </c>
      <c r="S83" s="216">
        <f t="shared" si="2"/>
        <v>1</v>
      </c>
      <c r="T83" s="216">
        <f t="shared" si="3"/>
        <v>6932.7380000000003</v>
      </c>
    </row>
    <row r="84" spans="1:20">
      <c r="A84" s="216">
        <v>11992</v>
      </c>
      <c r="B84" s="216">
        <v>3554</v>
      </c>
      <c r="C84" s="216">
        <v>25</v>
      </c>
      <c r="D84" s="216">
        <v>5432</v>
      </c>
      <c r="E84" s="216">
        <v>50</v>
      </c>
      <c r="F84" s="216">
        <v>0.61203980445861805</v>
      </c>
      <c r="G84" s="216">
        <v>495.58996582031301</v>
      </c>
      <c r="H84" s="216">
        <v>5432</v>
      </c>
      <c r="I84" s="216">
        <v>538.62847900390602</v>
      </c>
      <c r="J84" s="216">
        <v>13.705635070800801</v>
      </c>
      <c r="K84" s="216">
        <v>0.98078405857086204</v>
      </c>
      <c r="L84" s="216">
        <v>388.71740722656301</v>
      </c>
      <c r="M84" s="216">
        <v>2900</v>
      </c>
      <c r="N84" s="216">
        <v>23780</v>
      </c>
      <c r="O84" s="216">
        <v>24.599998474121101</v>
      </c>
      <c r="P84" s="216" t="s">
        <v>1031</v>
      </c>
      <c r="Q84" s="216">
        <v>0.490000009536743</v>
      </c>
      <c r="R84" s="192">
        <f>VLOOKUP($A84,'RBSA Weights'!$A$2:$C$1406,3,FALSE)</f>
        <v>1524.7619999999999</v>
      </c>
      <c r="S84" s="216">
        <f t="shared" si="2"/>
        <v>1</v>
      </c>
      <c r="T84" s="216">
        <f t="shared" si="3"/>
        <v>1524.7619999999999</v>
      </c>
    </row>
    <row r="85" spans="1:20">
      <c r="A85" s="216">
        <v>12039</v>
      </c>
      <c r="B85" s="216">
        <v>1284</v>
      </c>
      <c r="C85" s="216">
        <v>25</v>
      </c>
      <c r="D85" s="216">
        <v>2072</v>
      </c>
      <c r="E85" s="216">
        <v>50.099998474121101</v>
      </c>
      <c r="F85" s="216">
        <v>0.68839454650878895</v>
      </c>
      <c r="G85" s="216">
        <v>140.03311157226599</v>
      </c>
      <c r="H85" s="216">
        <v>2069.15209960938</v>
      </c>
      <c r="I85" s="216">
        <v>169.187255859375</v>
      </c>
      <c r="J85" s="216">
        <v>8.3187570571899396</v>
      </c>
      <c r="K85" s="216">
        <v>0.33568897843360901</v>
      </c>
      <c r="L85" s="216">
        <v>83.497039794921903</v>
      </c>
      <c r="M85" s="216">
        <v>1820</v>
      </c>
      <c r="N85" s="216">
        <v>14924</v>
      </c>
      <c r="O85" s="216">
        <v>8.1999998092651403</v>
      </c>
      <c r="Q85" s="216">
        <v>0.519999980926514</v>
      </c>
      <c r="R85" s="192">
        <f>VLOOKUP($A85,'RBSA Weights'!$A$2:$C$1406,3,FALSE)</f>
        <v>4956.4930000000004</v>
      </c>
      <c r="S85" s="216">
        <f t="shared" si="2"/>
        <v>1</v>
      </c>
      <c r="T85" s="216">
        <f t="shared" si="3"/>
        <v>4956.4930000000004</v>
      </c>
    </row>
    <row r="86" spans="1:20">
      <c r="A86" s="216">
        <v>12054</v>
      </c>
      <c r="B86" s="216">
        <v>4038</v>
      </c>
      <c r="C86" s="216">
        <v>25.200000762939499</v>
      </c>
      <c r="D86" s="216">
        <v>5802</v>
      </c>
      <c r="E86" s="216">
        <v>47.099998474121101</v>
      </c>
      <c r="F86" s="216">
        <v>0.57952731847763095</v>
      </c>
      <c r="G86" s="216">
        <v>622.32379150390602</v>
      </c>
      <c r="H86" s="216">
        <v>6006.42333984375</v>
      </c>
      <c r="I86" s="216">
        <v>646.559814453125</v>
      </c>
      <c r="J86" s="216">
        <v>12.8619956970215</v>
      </c>
      <c r="K86" s="216">
        <v>0.99918478727340698</v>
      </c>
      <c r="L86" s="216">
        <v>466.60931396484398</v>
      </c>
      <c r="M86" s="216">
        <v>3417</v>
      </c>
      <c r="N86" s="216">
        <v>28019.400390625</v>
      </c>
      <c r="O86" s="216">
        <v>24.599998474121101</v>
      </c>
      <c r="Q86" s="216">
        <v>0.490000009536743</v>
      </c>
      <c r="R86" s="192">
        <f>VLOOKUP($A86,'RBSA Weights'!$A$2:$C$1406,3,FALSE)</f>
        <v>1524.7619999999999</v>
      </c>
      <c r="S86" s="216">
        <f t="shared" si="2"/>
        <v>1</v>
      </c>
      <c r="T86" s="216">
        <f t="shared" si="3"/>
        <v>1524.7619999999999</v>
      </c>
    </row>
    <row r="87" spans="1:20">
      <c r="A87" s="216">
        <v>12062</v>
      </c>
      <c r="B87" s="216">
        <v>1173</v>
      </c>
      <c r="C87" s="216">
        <v>25.299999237060501</v>
      </c>
      <c r="D87" s="216">
        <v>1918</v>
      </c>
      <c r="E87" s="216">
        <v>50</v>
      </c>
      <c r="F87" s="216">
        <v>0.72182172536849998</v>
      </c>
      <c r="G87" s="216">
        <v>113.892501831055</v>
      </c>
      <c r="H87" s="216">
        <v>1918</v>
      </c>
      <c r="I87" s="216">
        <v>144.13095092773401</v>
      </c>
      <c r="J87" s="216">
        <v>9.9041252136230504</v>
      </c>
      <c r="K87" s="216">
        <v>0.33905184268951399</v>
      </c>
      <c r="L87" s="216">
        <v>65.659652709960895</v>
      </c>
      <c r="M87" s="216">
        <v>1417</v>
      </c>
      <c r="N87" s="216">
        <v>11619.400390625</v>
      </c>
      <c r="O87" s="216">
        <v>8.1999998092651403</v>
      </c>
      <c r="Q87" s="216">
        <v>0.479999989271164</v>
      </c>
      <c r="R87" s="192">
        <f>VLOOKUP($A87,'RBSA Weights'!$A$2:$C$1406,3,FALSE)</f>
        <v>6932.7380000000003</v>
      </c>
      <c r="S87" s="216">
        <f t="shared" si="2"/>
        <v>1</v>
      </c>
      <c r="T87" s="216">
        <f t="shared" si="3"/>
        <v>6932.7380000000003</v>
      </c>
    </row>
    <row r="88" spans="1:20">
      <c r="A88" s="216">
        <v>12063</v>
      </c>
      <c r="B88" s="216">
        <v>1529</v>
      </c>
      <c r="C88" s="216">
        <v>25.399999618530298</v>
      </c>
      <c r="D88" s="216">
        <v>2407</v>
      </c>
      <c r="E88" s="216">
        <v>51.5</v>
      </c>
      <c r="F88" s="216">
        <v>0.64197266101837203</v>
      </c>
      <c r="G88" s="216">
        <v>191.66493225097699</v>
      </c>
      <c r="H88" s="216">
        <v>2361.75561523438</v>
      </c>
      <c r="I88" s="216">
        <v>217.135498046875</v>
      </c>
      <c r="J88" s="216">
        <v>12.3879127502441</v>
      </c>
      <c r="K88" s="216">
        <v>0.57288831472396895</v>
      </c>
      <c r="L88" s="216">
        <v>109.221160888672</v>
      </c>
      <c r="M88" s="216">
        <v>1395</v>
      </c>
      <c r="N88" s="216">
        <v>11439</v>
      </c>
      <c r="O88" s="216">
        <v>8.1999998092651403</v>
      </c>
      <c r="Q88" s="216">
        <v>0.52999997138977095</v>
      </c>
      <c r="R88" s="192">
        <f>VLOOKUP($A88,'RBSA Weights'!$A$2:$C$1406,3,FALSE)</f>
        <v>1464.694</v>
      </c>
      <c r="S88" s="216">
        <f t="shared" si="2"/>
        <v>1</v>
      </c>
      <c r="T88" s="216">
        <f t="shared" si="3"/>
        <v>1464.694</v>
      </c>
    </row>
    <row r="89" spans="1:20">
      <c r="A89" s="216">
        <v>12131</v>
      </c>
      <c r="B89" s="216">
        <v>2030</v>
      </c>
      <c r="C89" s="216">
        <v>25</v>
      </c>
      <c r="D89" s="216">
        <v>3230</v>
      </c>
      <c r="E89" s="216">
        <v>50.099998474121101</v>
      </c>
      <c r="F89" s="216">
        <v>0.66812860965728804</v>
      </c>
      <c r="G89" s="216">
        <v>236.31555175781301</v>
      </c>
      <c r="H89" s="216">
        <v>3225.69116210938</v>
      </c>
      <c r="I89" s="216">
        <v>277.60540771484398</v>
      </c>
      <c r="J89" s="216">
        <v>20.4174900054932</v>
      </c>
      <c r="K89" s="216">
        <v>0.81715351343154896</v>
      </c>
      <c r="L89" s="216">
        <v>129.099365234375</v>
      </c>
      <c r="M89" s="216">
        <v>1156</v>
      </c>
      <c r="N89" s="216">
        <v>9479.2001953125</v>
      </c>
      <c r="O89" s="216">
        <v>8.1999998092651403</v>
      </c>
      <c r="Q89" s="216">
        <v>0.490000009536743</v>
      </c>
      <c r="R89" s="192">
        <f>VLOOKUP($A89,'RBSA Weights'!$A$2:$C$1406,3,FALSE)</f>
        <v>4956.4930000000004</v>
      </c>
      <c r="S89" s="216">
        <f t="shared" si="2"/>
        <v>1</v>
      </c>
      <c r="T89" s="216">
        <f t="shared" si="3"/>
        <v>4956.4930000000004</v>
      </c>
    </row>
    <row r="90" spans="1:20">
      <c r="A90" s="216">
        <v>12144</v>
      </c>
      <c r="B90" s="216">
        <v>1681</v>
      </c>
      <c r="C90" s="216">
        <v>25</v>
      </c>
      <c r="D90" s="216">
        <v>2670</v>
      </c>
      <c r="E90" s="216">
        <v>49.299999237060497</v>
      </c>
      <c r="F90" s="216">
        <v>0.68137961626052901</v>
      </c>
      <c r="G90" s="216">
        <v>187.51666259765599</v>
      </c>
      <c r="H90" s="216">
        <v>2695.7734375</v>
      </c>
      <c r="I90" s="216">
        <v>224.36412048339801</v>
      </c>
      <c r="J90" s="216">
        <v>10.3816690444946</v>
      </c>
      <c r="K90" s="216">
        <v>0.42642301321029702</v>
      </c>
      <c r="L90" s="216">
        <v>110.72784423828099</v>
      </c>
      <c r="M90" s="216">
        <v>1900</v>
      </c>
      <c r="N90" s="216">
        <v>15580</v>
      </c>
      <c r="O90" s="216">
        <v>8.1999998092651403</v>
      </c>
      <c r="Q90" s="216">
        <v>0.519999980926514</v>
      </c>
      <c r="R90" s="192">
        <f>VLOOKUP($A90,'RBSA Weights'!$A$2:$C$1406,3,FALSE)</f>
        <v>6932.7380000000003</v>
      </c>
      <c r="S90" s="216">
        <f t="shared" si="2"/>
        <v>1</v>
      </c>
      <c r="T90" s="216">
        <f t="shared" si="3"/>
        <v>6932.7380000000003</v>
      </c>
    </row>
    <row r="91" spans="1:20">
      <c r="A91" s="216">
        <v>12146</v>
      </c>
      <c r="B91" s="216">
        <v>3807</v>
      </c>
      <c r="C91" s="216">
        <v>19.5</v>
      </c>
      <c r="D91" s="216">
        <v>5740</v>
      </c>
      <c r="E91" s="216">
        <v>40</v>
      </c>
      <c r="F91" s="216">
        <v>0.57152086496353105</v>
      </c>
      <c r="G91" s="216">
        <v>697.10980224609398</v>
      </c>
      <c r="H91" s="216">
        <v>6520.7568359375</v>
      </c>
      <c r="I91" s="216">
        <v>716.26403808593795</v>
      </c>
      <c r="J91" s="216">
        <v>12.9338178634644</v>
      </c>
      <c r="K91" s="216">
        <v>0.94295257329940796</v>
      </c>
      <c r="L91" s="216">
        <v>475.402099609375</v>
      </c>
      <c r="M91" s="216">
        <v>3689</v>
      </c>
      <c r="N91" s="216">
        <v>30249.80078125</v>
      </c>
      <c r="O91" s="216">
        <v>16.399999618530298</v>
      </c>
      <c r="P91" s="216" t="s">
        <v>1124</v>
      </c>
      <c r="Q91" s="216">
        <v>0.52999997138977095</v>
      </c>
      <c r="R91" s="192">
        <f>VLOOKUP($A91,'RBSA Weights'!$A$2:$C$1406,3,FALSE)</f>
        <v>1464.694</v>
      </c>
      <c r="S91" s="216">
        <f t="shared" si="2"/>
        <v>1</v>
      </c>
      <c r="T91" s="216">
        <f t="shared" si="3"/>
        <v>1464.694</v>
      </c>
    </row>
    <row r="92" spans="1:20">
      <c r="A92" s="216">
        <v>12148</v>
      </c>
      <c r="B92" s="216">
        <v>4810</v>
      </c>
      <c r="C92" s="216">
        <v>49.700000762939503</v>
      </c>
      <c r="D92" s="216">
        <v>2855</v>
      </c>
      <c r="E92" s="216">
        <v>24.799999237060501</v>
      </c>
      <c r="F92" s="216">
        <v>0.75036573410034202</v>
      </c>
      <c r="G92" s="216">
        <v>256.60043334960898</v>
      </c>
      <c r="H92" s="216">
        <v>4831.77001953125</v>
      </c>
      <c r="I92" s="216">
        <v>337.83505249023398</v>
      </c>
      <c r="J92" s="216">
        <v>14.1644296646118</v>
      </c>
      <c r="K92" s="216">
        <v>0.64493054151535001</v>
      </c>
      <c r="L92" s="216">
        <v>219.99868774414099</v>
      </c>
      <c r="M92" s="216">
        <v>2496</v>
      </c>
      <c r="N92" s="216">
        <v>20467.19921875</v>
      </c>
      <c r="O92" s="216">
        <v>16.399999618530298</v>
      </c>
      <c r="Q92" s="216">
        <v>0.519999980926514</v>
      </c>
      <c r="R92" s="192">
        <f>VLOOKUP($A92,'RBSA Weights'!$A$2:$C$1406,3,FALSE)</f>
        <v>6932.7380000000003</v>
      </c>
      <c r="S92" s="216">
        <f t="shared" si="2"/>
        <v>1</v>
      </c>
      <c r="T92" s="216">
        <f t="shared" si="3"/>
        <v>6932.7380000000003</v>
      </c>
    </row>
    <row r="93" spans="1:20">
      <c r="A93" s="216">
        <v>12186</v>
      </c>
      <c r="B93" s="216">
        <v>1775</v>
      </c>
      <c r="C93" s="216">
        <v>24.899999618530298</v>
      </c>
      <c r="D93" s="216">
        <v>2720</v>
      </c>
      <c r="E93" s="216">
        <v>50.200000762939503</v>
      </c>
      <c r="F93" s="216">
        <v>0.60876148939132702</v>
      </c>
      <c r="G93" s="216">
        <v>250.75289916992199</v>
      </c>
      <c r="H93" s="216">
        <v>2713.39794921875</v>
      </c>
      <c r="I93" s="216">
        <v>271.29327392578102</v>
      </c>
      <c r="J93" s="216">
        <v>11.2807559967041</v>
      </c>
      <c r="K93" s="216">
        <v>0.72035408020019498</v>
      </c>
      <c r="L93" s="216">
        <v>173.26916503906301</v>
      </c>
      <c r="M93" s="216">
        <v>1760</v>
      </c>
      <c r="N93" s="216">
        <v>14432</v>
      </c>
      <c r="O93" s="216">
        <v>16.399999618530298</v>
      </c>
      <c r="Q93" s="216">
        <v>0.50999999046325695</v>
      </c>
      <c r="R93" s="192">
        <f>VLOOKUP($A93,'RBSA Weights'!$A$2:$C$1406,3,FALSE)</f>
        <v>4956.4930000000004</v>
      </c>
      <c r="S93" s="216">
        <f t="shared" si="2"/>
        <v>1</v>
      </c>
      <c r="T93" s="216">
        <f t="shared" si="3"/>
        <v>4956.4930000000004</v>
      </c>
    </row>
    <row r="94" spans="1:20">
      <c r="A94" s="216">
        <v>12197</v>
      </c>
      <c r="B94" s="216">
        <v>1248</v>
      </c>
      <c r="C94" s="216">
        <v>25</v>
      </c>
      <c r="D94" s="216">
        <v>1883</v>
      </c>
      <c r="E94" s="216">
        <v>48.099998474121101</v>
      </c>
      <c r="F94" s="216">
        <v>0.62854522466659501</v>
      </c>
      <c r="G94" s="216">
        <v>165.02360534668</v>
      </c>
      <c r="H94" s="216">
        <v>1929.41455078125</v>
      </c>
      <c r="I94" s="216">
        <v>183.50595092773401</v>
      </c>
      <c r="J94" s="216">
        <v>8.2463006973266602</v>
      </c>
      <c r="K94" s="216">
        <v>0.36473712325096103</v>
      </c>
      <c r="L94" s="216">
        <v>85.338760375976605</v>
      </c>
      <c r="M94" s="216">
        <v>1712</v>
      </c>
      <c r="N94" s="216">
        <v>14038.400390625</v>
      </c>
      <c r="O94" s="216">
        <v>8.1999998092651403</v>
      </c>
      <c r="Q94" s="216">
        <v>0.490000009536743</v>
      </c>
      <c r="R94" s="192">
        <f>VLOOKUP($A94,'RBSA Weights'!$A$2:$C$1406,3,FALSE)</f>
        <v>1524.7619999999999</v>
      </c>
      <c r="S94" s="216">
        <f t="shared" si="2"/>
        <v>1</v>
      </c>
      <c r="T94" s="216">
        <f t="shared" si="3"/>
        <v>1524.7619999999999</v>
      </c>
    </row>
    <row r="95" spans="1:20">
      <c r="A95" s="216">
        <v>12207</v>
      </c>
      <c r="B95" s="216">
        <v>922</v>
      </c>
      <c r="C95" s="216">
        <v>25.100000381469702</v>
      </c>
      <c r="D95" s="216">
        <v>1488</v>
      </c>
      <c r="E95" s="216">
        <v>50</v>
      </c>
      <c r="F95" s="216">
        <v>0.69453591108322099</v>
      </c>
      <c r="G95" s="216">
        <v>98.312164306640597</v>
      </c>
      <c r="H95" s="216">
        <v>1488</v>
      </c>
      <c r="I95" s="216">
        <v>119.79581451416</v>
      </c>
      <c r="J95" s="216">
        <v>8.8518743515014595</v>
      </c>
      <c r="K95" s="216">
        <v>0.51762354373931896</v>
      </c>
      <c r="L95" s="216">
        <v>87.012512207031307</v>
      </c>
      <c r="M95" s="216">
        <v>1230</v>
      </c>
      <c r="N95" s="216">
        <v>10086</v>
      </c>
      <c r="O95" s="216">
        <v>16.399999618530298</v>
      </c>
      <c r="Q95" s="216">
        <v>0.57999998331069902</v>
      </c>
      <c r="R95" s="192">
        <f>VLOOKUP($A95,'RBSA Weights'!$A$2:$C$1406,3,FALSE)</f>
        <v>4956.4930000000004</v>
      </c>
      <c r="S95" s="216">
        <f t="shared" si="2"/>
        <v>1</v>
      </c>
      <c r="T95" s="216">
        <f t="shared" si="3"/>
        <v>4956.4930000000004</v>
      </c>
    </row>
    <row r="96" spans="1:20">
      <c r="A96" s="216">
        <v>12230</v>
      </c>
      <c r="B96" s="216">
        <v>1680</v>
      </c>
      <c r="C96" s="216">
        <v>24.899999618530298</v>
      </c>
      <c r="D96" s="216">
        <v>2700</v>
      </c>
      <c r="E96" s="216">
        <v>50.700000762939503</v>
      </c>
      <c r="F96" s="216">
        <v>0.66725623607635498</v>
      </c>
      <c r="G96" s="216">
        <v>196.64665222168</v>
      </c>
      <c r="H96" s="216">
        <v>2675.068359375</v>
      </c>
      <c r="I96" s="216">
        <v>230.72622680664099</v>
      </c>
      <c r="J96" s="216">
        <v>9.4104185104370099</v>
      </c>
      <c r="K96" s="216">
        <v>0.50822162628173795</v>
      </c>
      <c r="L96" s="216">
        <v>144.47047424316401</v>
      </c>
      <c r="M96" s="216">
        <v>2080</v>
      </c>
      <c r="N96" s="216">
        <v>17056</v>
      </c>
      <c r="O96" s="216">
        <v>16.399999618530298</v>
      </c>
      <c r="Q96" s="216">
        <v>0.5</v>
      </c>
      <c r="R96" s="192">
        <f>VLOOKUP($A96,'RBSA Weights'!$A$2:$C$1406,3,FALSE)</f>
        <v>6932.7380000000003</v>
      </c>
      <c r="S96" s="216">
        <f t="shared" si="2"/>
        <v>1</v>
      </c>
      <c r="T96" s="216">
        <f t="shared" si="3"/>
        <v>6932.7380000000003</v>
      </c>
    </row>
    <row r="97" spans="1:20">
      <c r="A97" s="216">
        <v>12274</v>
      </c>
      <c r="B97" s="216">
        <v>1328</v>
      </c>
      <c r="C97" s="216">
        <v>25.100000381469702</v>
      </c>
      <c r="D97" s="216">
        <v>2016</v>
      </c>
      <c r="E97" s="216">
        <v>50</v>
      </c>
      <c r="F97" s="216">
        <v>0.60572904348373402</v>
      </c>
      <c r="G97" s="216">
        <v>188.52764892578099</v>
      </c>
      <c r="H97" s="216">
        <v>2016</v>
      </c>
      <c r="I97" s="216">
        <v>203.11518859863301</v>
      </c>
      <c r="J97" s="216">
        <v>8.8755826950073207</v>
      </c>
      <c r="K97" s="216">
        <v>0.49223992228508001</v>
      </c>
      <c r="L97" s="216">
        <v>111.80738067627</v>
      </c>
      <c r="M97" s="216">
        <v>1662</v>
      </c>
      <c r="N97" s="216">
        <v>13628.400390625</v>
      </c>
      <c r="O97" s="216">
        <v>8.1999998092651403</v>
      </c>
      <c r="P97" s="216" t="s">
        <v>1125</v>
      </c>
      <c r="Q97" s="216">
        <v>0.57999998331069902</v>
      </c>
      <c r="R97" s="192">
        <f>VLOOKUP($A97,'RBSA Weights'!$A$2:$C$1406,3,FALSE)</f>
        <v>4956.4930000000004</v>
      </c>
      <c r="S97" s="216">
        <f t="shared" si="2"/>
        <v>1</v>
      </c>
      <c r="T97" s="216">
        <f t="shared" si="3"/>
        <v>4956.4930000000004</v>
      </c>
    </row>
    <row r="98" spans="1:20">
      <c r="A98" s="216">
        <v>12295</v>
      </c>
      <c r="B98" s="216">
        <v>1270</v>
      </c>
      <c r="C98" s="216">
        <v>24.899999618530298</v>
      </c>
      <c r="D98" s="216">
        <v>2097</v>
      </c>
      <c r="E98" s="216">
        <v>50.5</v>
      </c>
      <c r="F98" s="216">
        <v>0.70921641588211104</v>
      </c>
      <c r="G98" s="216">
        <v>129.89613342285199</v>
      </c>
      <c r="H98" s="216">
        <v>2082.25366210938</v>
      </c>
      <c r="I98" s="216">
        <v>161.53594970703099</v>
      </c>
      <c r="J98" s="216">
        <v>6.6243486404418901</v>
      </c>
      <c r="K98" s="216">
        <v>0.35395947098732</v>
      </c>
      <c r="L98" s="216">
        <v>111.261260986328</v>
      </c>
      <c r="M98" s="216">
        <v>2300</v>
      </c>
      <c r="N98" s="216">
        <v>18860</v>
      </c>
      <c r="O98" s="216">
        <v>16.399999618530298</v>
      </c>
      <c r="Q98" s="216">
        <v>0.55000001192092896</v>
      </c>
      <c r="R98" s="192">
        <f>VLOOKUP($A98,'RBSA Weights'!$A$2:$C$1406,3,FALSE)</f>
        <v>6932.7380000000003</v>
      </c>
      <c r="S98" s="216">
        <f t="shared" si="2"/>
        <v>0</v>
      </c>
      <c r="T98" s="216">
        <f t="shared" si="3"/>
        <v>0</v>
      </c>
    </row>
    <row r="99" spans="1:20">
      <c r="A99" s="216">
        <v>12320</v>
      </c>
      <c r="B99" s="216">
        <v>1208</v>
      </c>
      <c r="C99" s="216">
        <v>25.100000381469702</v>
      </c>
      <c r="D99" s="216">
        <v>1935</v>
      </c>
      <c r="E99" s="216">
        <v>50</v>
      </c>
      <c r="F99" s="216">
        <v>0.68365043401718095</v>
      </c>
      <c r="G99" s="216">
        <v>133.40724182128901</v>
      </c>
      <c r="H99" s="216">
        <v>1935.00012207031</v>
      </c>
      <c r="I99" s="216">
        <v>160.12535095214801</v>
      </c>
      <c r="J99" s="216">
        <v>4.1790251731872603</v>
      </c>
      <c r="K99" s="216">
        <v>0.23386217653751401</v>
      </c>
      <c r="L99" s="216">
        <v>108.284423828125</v>
      </c>
      <c r="M99" s="216">
        <v>3388</v>
      </c>
      <c r="N99" s="216">
        <v>27781.599609375</v>
      </c>
      <c r="O99" s="216">
        <v>16.399999618530298</v>
      </c>
      <c r="Q99" s="216">
        <v>0.54000002145767201</v>
      </c>
      <c r="R99" s="192">
        <f>VLOOKUP($A99,'RBSA Weights'!$A$2:$C$1406,3,FALSE)</f>
        <v>2003.7159999999999</v>
      </c>
      <c r="S99" s="216">
        <f t="shared" si="2"/>
        <v>0</v>
      </c>
      <c r="T99" s="216">
        <f t="shared" si="3"/>
        <v>0</v>
      </c>
    </row>
    <row r="100" spans="1:20">
      <c r="A100" s="216">
        <v>12370</v>
      </c>
      <c r="B100" s="216">
        <v>2292</v>
      </c>
      <c r="C100" s="216">
        <v>24.799999237060501</v>
      </c>
      <c r="D100" s="216">
        <v>3636</v>
      </c>
      <c r="E100" s="216">
        <v>49.799999237060497</v>
      </c>
      <c r="F100" s="216">
        <v>0.66190236806869496</v>
      </c>
      <c r="G100" s="216">
        <v>273.66784667968801</v>
      </c>
      <c r="H100" s="216">
        <v>3645.65893554688</v>
      </c>
      <c r="I100" s="216">
        <v>318.72109985351602</v>
      </c>
      <c r="J100" s="216">
        <v>8.1130027770996094</v>
      </c>
      <c r="K100" s="216">
        <v>0.32311546802520802</v>
      </c>
      <c r="L100" s="216">
        <v>145.19515991210901</v>
      </c>
      <c r="M100" s="216">
        <v>3288</v>
      </c>
      <c r="N100" s="216">
        <v>26961.599609375</v>
      </c>
      <c r="O100" s="216">
        <v>8.1999998092651403</v>
      </c>
      <c r="Q100" s="216">
        <v>0.479999989271164</v>
      </c>
      <c r="R100" s="192">
        <f>VLOOKUP($A100,'RBSA Weights'!$A$2:$C$1406,3,FALSE)</f>
        <v>6932.7380000000003</v>
      </c>
      <c r="S100" s="216">
        <f t="shared" si="2"/>
        <v>1</v>
      </c>
      <c r="T100" s="216">
        <f t="shared" si="3"/>
        <v>6932.7380000000003</v>
      </c>
    </row>
    <row r="101" spans="1:20">
      <c r="A101" s="216">
        <v>12376</v>
      </c>
      <c r="B101" s="216">
        <v>1850</v>
      </c>
      <c r="C101" s="216">
        <v>26</v>
      </c>
      <c r="D101" s="216">
        <v>2700</v>
      </c>
      <c r="E101" s="216">
        <v>51</v>
      </c>
      <c r="F101" s="216">
        <v>0.561154544353485</v>
      </c>
      <c r="G101" s="216">
        <v>297.27130126953102</v>
      </c>
      <c r="H101" s="216">
        <v>2670.16259765625</v>
      </c>
      <c r="I101" s="216">
        <v>301.08132934570301</v>
      </c>
      <c r="J101" s="216">
        <v>19.537775039672901</v>
      </c>
      <c r="K101" s="216">
        <v>1.17087185382843</v>
      </c>
      <c r="L101" s="216">
        <v>160.01914978027301</v>
      </c>
      <c r="M101" s="216">
        <v>1000</v>
      </c>
      <c r="N101" s="216">
        <v>8200</v>
      </c>
      <c r="O101" s="216">
        <v>8.1999998092651403</v>
      </c>
      <c r="Q101" s="216">
        <v>0.56000000238418601</v>
      </c>
      <c r="R101" s="192">
        <f>VLOOKUP($A101,'RBSA Weights'!$A$2:$C$1406,3,FALSE)</f>
        <v>1188.027</v>
      </c>
      <c r="S101" s="216">
        <f t="shared" si="2"/>
        <v>1</v>
      </c>
      <c r="T101" s="216">
        <f t="shared" si="3"/>
        <v>1188.027</v>
      </c>
    </row>
    <row r="102" spans="1:20">
      <c r="A102" s="216">
        <v>12377</v>
      </c>
      <c r="B102" s="216">
        <v>3470</v>
      </c>
      <c r="C102" s="216">
        <v>25</v>
      </c>
      <c r="D102" s="216">
        <v>5370</v>
      </c>
      <c r="E102" s="216">
        <v>50</v>
      </c>
      <c r="F102" s="216">
        <v>0.62998640537261996</v>
      </c>
      <c r="G102" s="216">
        <v>456.716064453125</v>
      </c>
      <c r="H102" s="216">
        <v>5370</v>
      </c>
      <c r="I102" s="216">
        <v>508.88308715820301</v>
      </c>
      <c r="J102" s="216">
        <v>17.860309600830099</v>
      </c>
      <c r="K102" s="216">
        <v>1.0597778558731099</v>
      </c>
      <c r="L102" s="216">
        <v>318.63986206054699</v>
      </c>
      <c r="M102" s="216">
        <v>2200</v>
      </c>
      <c r="N102" s="216">
        <v>18040</v>
      </c>
      <c r="O102" s="216">
        <v>16.399999618530298</v>
      </c>
      <c r="Q102" s="216">
        <v>0.5</v>
      </c>
      <c r="R102" s="192">
        <f>VLOOKUP($A102,'RBSA Weights'!$A$2:$C$1406,3,FALSE)</f>
        <v>6932.7380000000003</v>
      </c>
      <c r="S102" s="216">
        <f t="shared" si="2"/>
        <v>1</v>
      </c>
      <c r="T102" s="216">
        <f t="shared" si="3"/>
        <v>6932.7380000000003</v>
      </c>
    </row>
    <row r="103" spans="1:20">
      <c r="A103" s="216">
        <v>12398</v>
      </c>
      <c r="M103" s="216">
        <v>3240</v>
      </c>
      <c r="N103" s="216">
        <v>26568</v>
      </c>
      <c r="O103" s="216">
        <v>24.599998474121101</v>
      </c>
      <c r="P103" s="216" t="s">
        <v>1032</v>
      </c>
      <c r="Q103" s="216">
        <v>0.490000009536743</v>
      </c>
      <c r="R103" s="192">
        <f>VLOOKUP($A103,'RBSA Weights'!$A$2:$C$1406,3,FALSE)</f>
        <v>1524.7619999999999</v>
      </c>
      <c r="S103" s="216">
        <f t="shared" si="2"/>
        <v>0</v>
      </c>
      <c r="T103" s="216">
        <f t="shared" si="3"/>
        <v>0</v>
      </c>
    </row>
    <row r="104" spans="1:20">
      <c r="A104" s="216">
        <v>12399</v>
      </c>
      <c r="B104" s="216">
        <v>1966</v>
      </c>
      <c r="C104" s="216">
        <v>25</v>
      </c>
      <c r="D104" s="216">
        <v>3136</v>
      </c>
      <c r="E104" s="216">
        <v>50.200000762939503</v>
      </c>
      <c r="F104" s="216">
        <v>0.66980463266372703</v>
      </c>
      <c r="G104" s="216">
        <v>227.63383483886699</v>
      </c>
      <c r="H104" s="216">
        <v>3127.62573242188</v>
      </c>
      <c r="I104" s="216">
        <v>268.02883911132801</v>
      </c>
      <c r="J104" s="216">
        <v>13.228362083435099</v>
      </c>
      <c r="K104" s="216">
        <v>0.695634305477142</v>
      </c>
      <c r="L104" s="216">
        <v>164.47114562988301</v>
      </c>
      <c r="M104" s="216">
        <v>1730</v>
      </c>
      <c r="N104" s="216">
        <v>14186</v>
      </c>
      <c r="O104" s="216">
        <v>16.399999618530298</v>
      </c>
      <c r="Q104" s="216">
        <v>0.490000009536743</v>
      </c>
      <c r="R104" s="192">
        <f>VLOOKUP($A104,'RBSA Weights'!$A$2:$C$1406,3,FALSE)</f>
        <v>1524.7619999999999</v>
      </c>
      <c r="S104" s="216">
        <f t="shared" si="2"/>
        <v>1</v>
      </c>
      <c r="T104" s="216">
        <f t="shared" si="3"/>
        <v>1524.7619999999999</v>
      </c>
    </row>
    <row r="105" spans="1:20">
      <c r="A105" s="216">
        <v>12408</v>
      </c>
      <c r="B105" s="216">
        <v>2395</v>
      </c>
      <c r="C105" s="216">
        <v>25</v>
      </c>
      <c r="D105" s="216">
        <v>3739</v>
      </c>
      <c r="E105" s="216">
        <v>50</v>
      </c>
      <c r="F105" s="216">
        <v>0.64262682199478105</v>
      </c>
      <c r="G105" s="216">
        <v>302.65774536132801</v>
      </c>
      <c r="H105" s="216">
        <v>3739.00024414063</v>
      </c>
      <c r="I105" s="216">
        <v>343.18933105468801</v>
      </c>
      <c r="J105" s="216">
        <v>9.7639322280883807</v>
      </c>
      <c r="K105" s="216">
        <v>0.57238113880157504</v>
      </c>
      <c r="L105" s="216">
        <v>219.18763732910199</v>
      </c>
      <c r="M105" s="216">
        <v>2802</v>
      </c>
      <c r="N105" s="216">
        <v>22976.400390625</v>
      </c>
      <c r="O105" s="216">
        <v>16.399999618530298</v>
      </c>
      <c r="Q105" s="216">
        <v>0.50999999046325695</v>
      </c>
      <c r="R105" s="192">
        <f>VLOOKUP($A105,'RBSA Weights'!$A$2:$C$1406,3,FALSE)</f>
        <v>4956.4930000000004</v>
      </c>
      <c r="S105" s="216">
        <f t="shared" si="2"/>
        <v>1</v>
      </c>
      <c r="T105" s="216">
        <f t="shared" si="3"/>
        <v>4956.4930000000004</v>
      </c>
    </row>
    <row r="106" spans="1:20">
      <c r="A106" s="216">
        <v>12427</v>
      </c>
      <c r="B106" s="216">
        <v>1795</v>
      </c>
      <c r="C106" s="216">
        <v>25</v>
      </c>
      <c r="D106" s="216">
        <v>2872</v>
      </c>
      <c r="E106" s="216">
        <v>50</v>
      </c>
      <c r="F106" s="216">
        <v>0.67807191610336304</v>
      </c>
      <c r="G106" s="216">
        <v>202.37673950195301</v>
      </c>
      <c r="H106" s="216">
        <v>2872</v>
      </c>
      <c r="I106" s="216">
        <v>241.03643798828099</v>
      </c>
      <c r="J106" s="216">
        <v>8.0239152908325195</v>
      </c>
      <c r="K106" s="216">
        <v>0.41323089599609403</v>
      </c>
      <c r="L106" s="216">
        <v>147.90774536132801</v>
      </c>
      <c r="M106" s="216">
        <v>2619</v>
      </c>
      <c r="N106" s="216">
        <v>21475.80078125</v>
      </c>
      <c r="O106" s="216">
        <v>16.400001525878899</v>
      </c>
      <c r="Q106" s="216">
        <v>0.490000009536743</v>
      </c>
      <c r="R106" s="192">
        <f>VLOOKUP($A106,'RBSA Weights'!$A$2:$C$1406,3,FALSE)</f>
        <v>1524.7619999999999</v>
      </c>
      <c r="S106" s="216">
        <f t="shared" si="2"/>
        <v>1</v>
      </c>
      <c r="T106" s="216">
        <f t="shared" si="3"/>
        <v>1524.7619999999999</v>
      </c>
    </row>
    <row r="107" spans="1:20">
      <c r="A107" s="216">
        <v>12507</v>
      </c>
      <c r="B107" s="216">
        <v>875</v>
      </c>
      <c r="C107" s="216">
        <v>24.600000381469702</v>
      </c>
      <c r="D107" s="216">
        <v>1387</v>
      </c>
      <c r="E107" s="216">
        <v>50.700000762939503</v>
      </c>
      <c r="F107" s="216">
        <v>0.637012720108032</v>
      </c>
      <c r="G107" s="216">
        <v>113.75347900390599</v>
      </c>
      <c r="H107" s="216">
        <v>1374.7705078125</v>
      </c>
      <c r="I107" s="216">
        <v>127.98723602294901</v>
      </c>
      <c r="J107" s="216">
        <v>8.8084907531738299</v>
      </c>
      <c r="K107" s="216">
        <v>0.43583902716636702</v>
      </c>
      <c r="L107" s="216">
        <v>68.022850036621094</v>
      </c>
      <c r="M107" s="216">
        <v>1142</v>
      </c>
      <c r="N107" s="216">
        <v>9364.400390625</v>
      </c>
      <c r="O107" s="216">
        <v>8.2000007629394496</v>
      </c>
      <c r="Q107" s="216">
        <v>0.56000000238418601</v>
      </c>
      <c r="R107" s="192">
        <f>VLOOKUP($A107,'RBSA Weights'!$A$2:$C$1406,3,FALSE)</f>
        <v>1524.7619999999999</v>
      </c>
      <c r="S107" s="216">
        <f t="shared" si="2"/>
        <v>1</v>
      </c>
      <c r="T107" s="216">
        <f t="shared" si="3"/>
        <v>1524.7619999999999</v>
      </c>
    </row>
    <row r="108" spans="1:20">
      <c r="A108" s="216">
        <v>12514</v>
      </c>
      <c r="B108" s="216">
        <v>2167</v>
      </c>
      <c r="C108" s="216">
        <v>25.399999618530298</v>
      </c>
      <c r="D108" s="216">
        <v>3410</v>
      </c>
      <c r="E108" s="216">
        <v>50.400001525878899</v>
      </c>
      <c r="F108" s="216">
        <v>0.66161811351776101</v>
      </c>
      <c r="G108" s="216">
        <v>254.91505432128901</v>
      </c>
      <c r="H108" s="216">
        <v>3392.07006835938</v>
      </c>
      <c r="I108" s="216">
        <v>296.76412963867199</v>
      </c>
      <c r="J108" s="216">
        <v>11.9672241210938</v>
      </c>
      <c r="K108" s="216">
        <v>0.64246326684951804</v>
      </c>
      <c r="L108" s="216">
        <v>182.104080200195</v>
      </c>
      <c r="M108" s="216">
        <v>2074</v>
      </c>
      <c r="N108" s="216">
        <v>17006.80078125</v>
      </c>
      <c r="O108" s="216">
        <v>16.400001525878899</v>
      </c>
      <c r="Q108" s="216">
        <v>0.490000009536743</v>
      </c>
      <c r="R108" s="192">
        <f>VLOOKUP($A108,'RBSA Weights'!$A$2:$C$1406,3,FALSE)</f>
        <v>1524.7619999999999</v>
      </c>
      <c r="S108" s="216">
        <f t="shared" si="2"/>
        <v>1</v>
      </c>
      <c r="T108" s="216">
        <f t="shared" si="3"/>
        <v>1524.7619999999999</v>
      </c>
    </row>
    <row r="109" spans="1:20">
      <c r="A109" s="216">
        <v>12556</v>
      </c>
      <c r="B109" s="216">
        <v>1002</v>
      </c>
      <c r="C109" s="216">
        <v>25</v>
      </c>
      <c r="D109" s="216">
        <v>1583</v>
      </c>
      <c r="E109" s="216">
        <v>50.099998474121101</v>
      </c>
      <c r="F109" s="216">
        <v>0.65788245201110795</v>
      </c>
      <c r="G109" s="216">
        <v>120.555633544922</v>
      </c>
      <c r="H109" s="216">
        <v>1580.92065429688</v>
      </c>
      <c r="I109" s="216">
        <v>139.62216186523401</v>
      </c>
      <c r="J109" s="216">
        <v>4.90157270431519</v>
      </c>
      <c r="K109" s="216">
        <v>0.22596570849418601</v>
      </c>
      <c r="L109" s="216">
        <v>72.881477355957003</v>
      </c>
      <c r="M109" s="216">
        <v>2360</v>
      </c>
      <c r="N109" s="216">
        <v>19352</v>
      </c>
      <c r="O109" s="216">
        <v>8.1999998092651403</v>
      </c>
      <c r="Q109" s="216">
        <v>0.55000001192092896</v>
      </c>
      <c r="R109" s="192">
        <f>VLOOKUP($A109,'RBSA Weights'!$A$2:$C$1406,3,FALSE)</f>
        <v>4956.4930000000004</v>
      </c>
      <c r="S109" s="216">
        <f t="shared" si="2"/>
        <v>0</v>
      </c>
      <c r="T109" s="216">
        <f t="shared" si="3"/>
        <v>0</v>
      </c>
    </row>
    <row r="110" spans="1:20">
      <c r="A110" s="216">
        <v>12561</v>
      </c>
      <c r="B110" s="216">
        <v>1813</v>
      </c>
      <c r="C110" s="216">
        <v>24.899999618530298</v>
      </c>
      <c r="D110" s="216">
        <v>2981</v>
      </c>
      <c r="E110" s="216">
        <v>50.099998474121101</v>
      </c>
      <c r="F110" s="216">
        <v>0.71125453710555997</v>
      </c>
      <c r="G110" s="216">
        <v>184.22335815429699</v>
      </c>
      <c r="H110" s="216">
        <v>2976.76684570313</v>
      </c>
      <c r="I110" s="216">
        <v>229.74427795410199</v>
      </c>
      <c r="J110" s="216">
        <v>18.8418865203857</v>
      </c>
      <c r="K110" s="216">
        <v>0.77288055419921897</v>
      </c>
      <c r="L110" s="216">
        <v>122.10482788085901</v>
      </c>
      <c r="M110" s="216">
        <v>1156</v>
      </c>
      <c r="N110" s="216">
        <v>9479.2001953125</v>
      </c>
      <c r="O110" s="216">
        <v>8.1999998092651403</v>
      </c>
      <c r="P110" s="216" t="s">
        <v>1033</v>
      </c>
      <c r="Q110" s="216">
        <v>0.56000000238418601</v>
      </c>
      <c r="R110" s="192">
        <f>VLOOKUP($A110,'RBSA Weights'!$A$2:$C$1406,3,FALSE)</f>
        <v>4956.4930000000004</v>
      </c>
      <c r="S110" s="216">
        <f t="shared" si="2"/>
        <v>1</v>
      </c>
      <c r="T110" s="216">
        <f t="shared" si="3"/>
        <v>4956.4930000000004</v>
      </c>
    </row>
    <row r="111" spans="1:20">
      <c r="A111" s="216">
        <v>12572</v>
      </c>
      <c r="B111" s="216">
        <v>1646</v>
      </c>
      <c r="C111" s="216">
        <v>25.5</v>
      </c>
      <c r="D111" s="216">
        <v>2526</v>
      </c>
      <c r="E111" s="216">
        <v>50</v>
      </c>
      <c r="F111" s="216">
        <v>0.63606208562850997</v>
      </c>
      <c r="G111" s="216">
        <v>209.78910827636699</v>
      </c>
      <c r="H111" s="216">
        <v>2526</v>
      </c>
      <c r="I111" s="216">
        <v>235.728759765625</v>
      </c>
      <c r="J111" s="216">
        <v>25.4936923980713</v>
      </c>
      <c r="K111" s="216">
        <v>1.0838104486465501</v>
      </c>
      <c r="L111" s="216">
        <v>107.38755035400401</v>
      </c>
      <c r="M111" s="216">
        <v>725</v>
      </c>
      <c r="N111" s="216">
        <v>5945</v>
      </c>
      <c r="O111" s="216">
        <v>8.1999998092651403</v>
      </c>
      <c r="Q111" s="216">
        <v>0.479999989271164</v>
      </c>
      <c r="R111" s="192">
        <f>VLOOKUP($A111,'RBSA Weights'!$A$2:$C$1406,3,FALSE)</f>
        <v>6932.7380000000003</v>
      </c>
      <c r="S111" s="216">
        <f t="shared" si="2"/>
        <v>1</v>
      </c>
      <c r="T111" s="216">
        <f t="shared" si="3"/>
        <v>6932.7380000000003</v>
      </c>
    </row>
    <row r="112" spans="1:20">
      <c r="A112" s="216">
        <v>12614</v>
      </c>
      <c r="B112" s="216">
        <v>1996</v>
      </c>
      <c r="C112" s="216">
        <v>25.200000762939499</v>
      </c>
      <c r="D112" s="216">
        <v>2949</v>
      </c>
      <c r="E112" s="216">
        <v>50.299999237060497</v>
      </c>
      <c r="F112" s="216">
        <v>0.56473231315612804</v>
      </c>
      <c r="G112" s="216">
        <v>322.659423828125</v>
      </c>
      <c r="H112" s="216">
        <v>2939.05444335938</v>
      </c>
      <c r="I112" s="216">
        <v>328.41970825195301</v>
      </c>
      <c r="J112" s="216">
        <v>8.8244876861572301</v>
      </c>
      <c r="K112" s="216">
        <v>0.60508894920349099</v>
      </c>
      <c r="L112" s="216">
        <v>201.52891540527301</v>
      </c>
      <c r="M112" s="216">
        <v>2437</v>
      </c>
      <c r="N112" s="216">
        <v>19983.400390625</v>
      </c>
      <c r="O112" s="216">
        <v>16.399999618530298</v>
      </c>
      <c r="Q112" s="216">
        <v>0.490000009536743</v>
      </c>
      <c r="R112" s="192">
        <f>VLOOKUP($A112,'RBSA Weights'!$A$2:$C$1406,3,FALSE)</f>
        <v>1524.7619999999999</v>
      </c>
      <c r="S112" s="216">
        <f t="shared" si="2"/>
        <v>1</v>
      </c>
      <c r="T112" s="216">
        <f t="shared" si="3"/>
        <v>1524.7619999999999</v>
      </c>
    </row>
    <row r="113" spans="1:20">
      <c r="A113" s="216">
        <v>12643</v>
      </c>
      <c r="B113" s="216">
        <v>2555</v>
      </c>
      <c r="C113" s="216">
        <v>24.700000762939499</v>
      </c>
      <c r="D113" s="216">
        <v>3930</v>
      </c>
      <c r="E113" s="216">
        <v>49.5</v>
      </c>
      <c r="F113" s="216">
        <v>0.61939895153045699</v>
      </c>
      <c r="G113" s="216">
        <v>350.55474853515602</v>
      </c>
      <c r="H113" s="216">
        <v>3954.541015625</v>
      </c>
      <c r="I113" s="216">
        <v>384.90478515625</v>
      </c>
      <c r="J113" s="216">
        <v>7.6610183715820304</v>
      </c>
      <c r="K113" s="216">
        <v>0.48557814955711398</v>
      </c>
      <c r="L113" s="216">
        <v>250.65058898925801</v>
      </c>
      <c r="M113" s="216">
        <v>3777</v>
      </c>
      <c r="N113" s="216">
        <v>30971.400390625</v>
      </c>
      <c r="O113" s="216">
        <v>16.399999618530298</v>
      </c>
      <c r="Q113" s="216">
        <v>0.519999980926514</v>
      </c>
      <c r="R113" s="192">
        <f>VLOOKUP($A113,'RBSA Weights'!$A$2:$C$1406,3,FALSE)</f>
        <v>6932.7380000000003</v>
      </c>
      <c r="S113" s="216">
        <f t="shared" si="2"/>
        <v>1</v>
      </c>
      <c r="T113" s="216">
        <f t="shared" si="3"/>
        <v>6932.7380000000003</v>
      </c>
    </row>
    <row r="114" spans="1:20">
      <c r="A114" s="216">
        <v>12657</v>
      </c>
      <c r="B114" s="216">
        <v>1121</v>
      </c>
      <c r="C114" s="216">
        <v>25</v>
      </c>
      <c r="D114" s="216">
        <v>1737</v>
      </c>
      <c r="E114" s="216">
        <v>50</v>
      </c>
      <c r="F114" s="216">
        <v>0.63181149959564198</v>
      </c>
      <c r="G114" s="216">
        <v>146.68003845214801</v>
      </c>
      <c r="H114" s="216">
        <v>1736.99987792969</v>
      </c>
      <c r="I114" s="216">
        <v>163.84815979003901</v>
      </c>
      <c r="J114" s="216">
        <v>9.7169389724731392</v>
      </c>
      <c r="K114" s="216">
        <v>0.56244415044784501</v>
      </c>
      <c r="L114" s="216">
        <v>100.542510986328</v>
      </c>
      <c r="M114" s="216">
        <v>1308</v>
      </c>
      <c r="N114" s="216">
        <v>10725.599609375</v>
      </c>
      <c r="O114" s="216">
        <v>16.399999618530298</v>
      </c>
      <c r="Q114" s="216">
        <v>0.490000009536743</v>
      </c>
      <c r="R114" s="192">
        <f>VLOOKUP($A114,'RBSA Weights'!$A$2:$C$1406,3,FALSE)</f>
        <v>1524.7619999999999</v>
      </c>
      <c r="S114" s="216">
        <f t="shared" si="2"/>
        <v>1</v>
      </c>
      <c r="T114" s="216">
        <f t="shared" si="3"/>
        <v>1524.7619999999999</v>
      </c>
    </row>
    <row r="115" spans="1:20">
      <c r="A115" s="216">
        <v>12669</v>
      </c>
      <c r="B115" s="216">
        <v>1583</v>
      </c>
      <c r="C115" s="216">
        <v>25</v>
      </c>
      <c r="D115" s="216">
        <v>2563</v>
      </c>
      <c r="E115" s="216">
        <v>50</v>
      </c>
      <c r="F115" s="216">
        <v>0.69517225027084395</v>
      </c>
      <c r="G115" s="216">
        <v>168.91639709472699</v>
      </c>
      <c r="H115" s="216">
        <v>2563</v>
      </c>
      <c r="I115" s="216">
        <v>206.01046752929699</v>
      </c>
      <c r="J115" s="216">
        <v>7.7080388069152797</v>
      </c>
      <c r="K115" s="216">
        <v>0.395700722932816</v>
      </c>
      <c r="L115" s="216">
        <v>131.57444763183599</v>
      </c>
      <c r="M115" s="216">
        <v>2433</v>
      </c>
      <c r="N115" s="216">
        <v>19950.599609375</v>
      </c>
      <c r="O115" s="216">
        <v>16.399999618530298</v>
      </c>
      <c r="Q115" s="216">
        <v>0.50999999046325695</v>
      </c>
      <c r="R115" s="192">
        <f>VLOOKUP($A115,'RBSA Weights'!$A$2:$C$1406,3,FALSE)</f>
        <v>4956.4930000000004</v>
      </c>
      <c r="S115" s="216">
        <f t="shared" si="2"/>
        <v>1</v>
      </c>
      <c r="T115" s="216">
        <f t="shared" si="3"/>
        <v>4956.4930000000004</v>
      </c>
    </row>
    <row r="116" spans="1:20">
      <c r="A116" s="216">
        <v>12737</v>
      </c>
      <c r="B116" s="216">
        <v>3725</v>
      </c>
      <c r="C116" s="216">
        <v>12</v>
      </c>
      <c r="D116" s="216">
        <v>5257</v>
      </c>
      <c r="E116" s="216">
        <v>24.899999618530298</v>
      </c>
      <c r="F116" s="216">
        <v>0.47193425893783603</v>
      </c>
      <c r="G116" s="216">
        <v>1152.98510742188</v>
      </c>
      <c r="H116" s="216">
        <v>7305.0947265625</v>
      </c>
      <c r="I116" s="216">
        <v>1031.90222167969</v>
      </c>
      <c r="J116" s="216">
        <v>24.296323776245099</v>
      </c>
      <c r="K116" s="216">
        <v>2.1919746398925799</v>
      </c>
      <c r="L116" s="216">
        <v>659.05364990234398</v>
      </c>
      <c r="M116" s="216">
        <v>2200</v>
      </c>
      <c r="N116" s="216">
        <v>18040</v>
      </c>
      <c r="O116" s="216">
        <v>16.399999618530298</v>
      </c>
      <c r="P116" s="216" t="s">
        <v>1034</v>
      </c>
      <c r="Q116" s="216">
        <v>0.50999999046325695</v>
      </c>
      <c r="R116" s="192">
        <f>VLOOKUP($A116,'RBSA Weights'!$A$2:$C$1406,3,FALSE)</f>
        <v>6932.7380000000003</v>
      </c>
      <c r="S116" s="216">
        <f t="shared" si="2"/>
        <v>1</v>
      </c>
      <c r="T116" s="216">
        <f t="shared" si="3"/>
        <v>6932.7380000000003</v>
      </c>
    </row>
    <row r="117" spans="1:20">
      <c r="A117" s="216">
        <v>12743</v>
      </c>
      <c r="B117" s="216">
        <v>1698</v>
      </c>
      <c r="C117" s="216">
        <v>25.299999237060501</v>
      </c>
      <c r="D117" s="216">
        <v>2625</v>
      </c>
      <c r="E117" s="216">
        <v>50.200000762939503</v>
      </c>
      <c r="F117" s="216">
        <v>0.63576036691665605</v>
      </c>
      <c r="G117" s="216">
        <v>217.71546936035199</v>
      </c>
      <c r="H117" s="216">
        <v>2618.34619140625</v>
      </c>
      <c r="I117" s="216">
        <v>244.53288269043</v>
      </c>
      <c r="J117" s="216">
        <v>10.378456115722701</v>
      </c>
      <c r="K117" s="216">
        <v>0.66760224103927601</v>
      </c>
      <c r="L117" s="216">
        <v>168.42715454101599</v>
      </c>
      <c r="M117" s="216">
        <v>1846</v>
      </c>
      <c r="N117" s="216">
        <v>15137.2001953125</v>
      </c>
      <c r="O117" s="216">
        <v>16.399999618530298</v>
      </c>
      <c r="Q117" s="216">
        <v>0.55000001192092896</v>
      </c>
      <c r="R117" s="192">
        <f>VLOOKUP($A117,'RBSA Weights'!$A$2:$C$1406,3,FALSE)</f>
        <v>4956.4930000000004</v>
      </c>
      <c r="S117" s="216">
        <f t="shared" si="2"/>
        <v>1</v>
      </c>
      <c r="T117" s="216">
        <f t="shared" si="3"/>
        <v>4956.4930000000004</v>
      </c>
    </row>
    <row r="118" spans="1:20">
      <c r="A118" s="216">
        <v>12773</v>
      </c>
      <c r="B118" s="216">
        <v>1272</v>
      </c>
      <c r="C118" s="216">
        <v>25.700000762939499</v>
      </c>
      <c r="D118" s="216">
        <v>2030</v>
      </c>
      <c r="E118" s="216">
        <v>49.700000762939503</v>
      </c>
      <c r="F118" s="216">
        <v>0.70877248048782304</v>
      </c>
      <c r="G118" s="216">
        <v>127.398788452148</v>
      </c>
      <c r="H118" s="216">
        <v>2038.67724609375</v>
      </c>
      <c r="I118" s="216">
        <v>158.33282470703099</v>
      </c>
      <c r="J118" s="216">
        <v>12.8264408111572</v>
      </c>
      <c r="K118" s="216">
        <v>0.51998579502105702</v>
      </c>
      <c r="L118" s="216">
        <v>82.648269653320298</v>
      </c>
      <c r="M118" s="216">
        <v>1163</v>
      </c>
      <c r="N118" s="216">
        <v>9536.599609375</v>
      </c>
      <c r="O118" s="216">
        <v>8.1999998092651403</v>
      </c>
      <c r="Q118" s="216">
        <v>0.55000001192092896</v>
      </c>
      <c r="R118" s="192">
        <f>VLOOKUP($A118,'RBSA Weights'!$A$2:$C$1406,3,FALSE)</f>
        <v>4956.4930000000004</v>
      </c>
      <c r="S118" s="216">
        <f t="shared" si="2"/>
        <v>1</v>
      </c>
      <c r="T118" s="216">
        <f t="shared" si="3"/>
        <v>4956.4930000000004</v>
      </c>
    </row>
    <row r="119" spans="1:20">
      <c r="A119" s="216">
        <v>12889</v>
      </c>
      <c r="B119" s="216">
        <v>1236</v>
      </c>
      <c r="C119" s="216">
        <v>25.200000762939499</v>
      </c>
      <c r="D119" s="216">
        <v>1858</v>
      </c>
      <c r="E119" s="216">
        <v>50.400001525878899</v>
      </c>
      <c r="F119" s="216">
        <v>0.58807176351547197</v>
      </c>
      <c r="G119" s="216">
        <v>185.30809020996099</v>
      </c>
      <c r="H119" s="216">
        <v>1849.31408691406</v>
      </c>
      <c r="I119" s="216">
        <v>194.81886291503901</v>
      </c>
      <c r="J119" s="216">
        <v>8.6023950576782209</v>
      </c>
      <c r="K119" s="216">
        <v>0.65823316574096702</v>
      </c>
      <c r="L119" s="216">
        <v>141.50477600097699</v>
      </c>
      <c r="M119" s="216">
        <v>1573</v>
      </c>
      <c r="N119" s="216">
        <v>12898.599609375</v>
      </c>
      <c r="O119" s="216">
        <v>16.399999618530298</v>
      </c>
      <c r="Q119" s="216">
        <v>0.57999998331069902</v>
      </c>
      <c r="R119" s="192">
        <f>VLOOKUP($A119,'RBSA Weights'!$A$2:$C$1406,3,FALSE)</f>
        <v>4956.4930000000004</v>
      </c>
      <c r="S119" s="216">
        <f t="shared" si="2"/>
        <v>1</v>
      </c>
      <c r="T119" s="216">
        <f t="shared" si="3"/>
        <v>4956.4930000000004</v>
      </c>
    </row>
    <row r="120" spans="1:20">
      <c r="A120" s="216">
        <v>12906</v>
      </c>
      <c r="B120" s="216">
        <v>1080</v>
      </c>
      <c r="C120" s="216">
        <v>25.100000381469702</v>
      </c>
      <c r="D120" s="216">
        <v>1736</v>
      </c>
      <c r="E120" s="216">
        <v>50.700000762939503</v>
      </c>
      <c r="F120" s="216">
        <v>0.67508304119110096</v>
      </c>
      <c r="G120" s="216">
        <v>122.61052703857401</v>
      </c>
      <c r="H120" s="216">
        <v>1719.78283691406</v>
      </c>
      <c r="I120" s="216">
        <v>145.42877197265599</v>
      </c>
      <c r="J120" s="216">
        <v>6.5540504455566397</v>
      </c>
      <c r="K120" s="216">
        <v>0.28404057025909402</v>
      </c>
      <c r="L120" s="216">
        <v>74.532249450683594</v>
      </c>
      <c r="M120" s="216">
        <v>1920</v>
      </c>
      <c r="N120" s="216">
        <v>15744</v>
      </c>
      <c r="O120" s="216">
        <v>8.1999998092651403</v>
      </c>
      <c r="P120" s="216" t="s">
        <v>1035</v>
      </c>
      <c r="Q120" s="216">
        <v>0.54000002145767201</v>
      </c>
      <c r="R120" s="192">
        <f>VLOOKUP($A120,'RBSA Weights'!$A$2:$C$1406,3,FALSE)</f>
        <v>4956.4930000000004</v>
      </c>
      <c r="S120" s="216">
        <f t="shared" si="2"/>
        <v>0</v>
      </c>
      <c r="T120" s="216">
        <f t="shared" si="3"/>
        <v>0</v>
      </c>
    </row>
    <row r="121" spans="1:20">
      <c r="A121" s="216">
        <v>12944</v>
      </c>
      <c r="B121" s="216">
        <v>3189</v>
      </c>
      <c r="C121" s="216">
        <v>24.899999618530298</v>
      </c>
      <c r="D121" s="216">
        <v>4914</v>
      </c>
      <c r="E121" s="216">
        <v>49.799999237060497</v>
      </c>
      <c r="F121" s="216">
        <v>0.62379378080367998</v>
      </c>
      <c r="G121" s="216">
        <v>429.25369262695301</v>
      </c>
      <c r="H121" s="216">
        <v>4926.30126953125</v>
      </c>
      <c r="I121" s="216">
        <v>474.19549560546898</v>
      </c>
      <c r="J121" s="216">
        <v>15.170921325683601</v>
      </c>
      <c r="K121" s="216">
        <v>0.93267565965652499</v>
      </c>
      <c r="L121" s="216">
        <v>302.85842895507801</v>
      </c>
      <c r="M121" s="216">
        <v>2376</v>
      </c>
      <c r="N121" s="216">
        <v>19483.19921875</v>
      </c>
      <c r="O121" s="216">
        <v>16.399999618530298</v>
      </c>
      <c r="Q121" s="216">
        <v>0.50999999046325695</v>
      </c>
      <c r="R121" s="192">
        <f>VLOOKUP($A121,'RBSA Weights'!$A$2:$C$1406,3,FALSE)</f>
        <v>4956.4930000000004</v>
      </c>
      <c r="S121" s="216">
        <f t="shared" si="2"/>
        <v>1</v>
      </c>
      <c r="T121" s="216">
        <f t="shared" si="3"/>
        <v>4956.4930000000004</v>
      </c>
    </row>
    <row r="122" spans="1:20">
      <c r="A122" s="216">
        <v>12956</v>
      </c>
      <c r="B122" s="216">
        <v>1364</v>
      </c>
      <c r="C122" s="216">
        <v>25</v>
      </c>
      <c r="D122" s="216">
        <v>2201</v>
      </c>
      <c r="E122" s="216">
        <v>50</v>
      </c>
      <c r="F122" s="216">
        <v>0.69031548500061002</v>
      </c>
      <c r="G122" s="216">
        <v>147.84094238281301</v>
      </c>
      <c r="H122" s="216">
        <v>2201</v>
      </c>
      <c r="I122" s="216">
        <v>179.09693908691401</v>
      </c>
      <c r="J122" s="216">
        <v>5.7455863952636701</v>
      </c>
      <c r="K122" s="216">
        <v>0.239605262875557</v>
      </c>
      <c r="L122" s="216">
        <v>91.787185668945298</v>
      </c>
      <c r="M122" s="216">
        <v>2803</v>
      </c>
      <c r="N122" s="216">
        <v>22984.599609375</v>
      </c>
      <c r="O122" s="216">
        <v>8.1999998092651403</v>
      </c>
      <c r="Q122" s="216">
        <v>0.54000002145767201</v>
      </c>
      <c r="R122" s="192">
        <f>VLOOKUP($A122,'RBSA Weights'!$A$2:$C$1406,3,FALSE)</f>
        <v>2003.7159999999999</v>
      </c>
      <c r="S122" s="216">
        <f t="shared" si="2"/>
        <v>0</v>
      </c>
      <c r="T122" s="216">
        <f t="shared" si="3"/>
        <v>0</v>
      </c>
    </row>
    <row r="123" spans="1:20">
      <c r="A123" s="216">
        <v>12975</v>
      </c>
      <c r="B123" s="216">
        <v>772</v>
      </c>
      <c r="C123" s="216">
        <v>24.700000762939499</v>
      </c>
      <c r="D123" s="216">
        <v>1279</v>
      </c>
      <c r="E123" s="216">
        <v>50.900001525878899</v>
      </c>
      <c r="F123" s="216">
        <v>0.69821244478225697</v>
      </c>
      <c r="G123" s="216">
        <v>82.265724182128906</v>
      </c>
      <c r="H123" s="216">
        <v>1263.16748046875</v>
      </c>
      <c r="I123" s="216">
        <v>100.75505065918</v>
      </c>
      <c r="J123" s="216">
        <v>7.7800416946411097</v>
      </c>
      <c r="K123" s="216">
        <v>0.32392954826355003</v>
      </c>
      <c r="L123" s="216">
        <v>52.593196868896499</v>
      </c>
      <c r="M123" s="216">
        <v>1188</v>
      </c>
      <c r="N123" s="216">
        <v>9741.599609375</v>
      </c>
      <c r="O123" s="216">
        <v>8.1999998092651403</v>
      </c>
      <c r="Q123" s="216">
        <v>0.55000001192092896</v>
      </c>
      <c r="R123" s="192">
        <f>VLOOKUP($A123,'RBSA Weights'!$A$2:$C$1406,3,FALSE)</f>
        <v>6932.7380000000003</v>
      </c>
      <c r="S123" s="216">
        <f t="shared" si="2"/>
        <v>1</v>
      </c>
      <c r="T123" s="216">
        <f t="shared" si="3"/>
        <v>6932.7380000000003</v>
      </c>
    </row>
    <row r="124" spans="1:20">
      <c r="A124" s="216">
        <v>12977</v>
      </c>
      <c r="B124" s="216">
        <v>1311</v>
      </c>
      <c r="C124" s="216">
        <v>25.100000381469702</v>
      </c>
      <c r="D124" s="216">
        <v>2057</v>
      </c>
      <c r="E124" s="216">
        <v>50.200000762939503</v>
      </c>
      <c r="F124" s="216">
        <v>0.64987409114837602</v>
      </c>
      <c r="G124" s="216">
        <v>161.43251037597699</v>
      </c>
      <c r="H124" s="216">
        <v>2051.67041015625</v>
      </c>
      <c r="I124" s="216">
        <v>184.89974975585901</v>
      </c>
      <c r="J124" s="216">
        <v>6.9501028060913104</v>
      </c>
      <c r="K124" s="216">
        <v>0.32695108652114901</v>
      </c>
      <c r="L124" s="216">
        <v>96.515960693359403</v>
      </c>
      <c r="M124" s="216">
        <v>2160</v>
      </c>
      <c r="N124" s="216">
        <v>17712</v>
      </c>
      <c r="O124" s="216">
        <v>8.1999998092651403</v>
      </c>
      <c r="P124" s="216" t="s">
        <v>1017</v>
      </c>
      <c r="Q124" s="216">
        <v>0.55000001192092896</v>
      </c>
      <c r="R124" s="192">
        <f>VLOOKUP($A124,'RBSA Weights'!$A$2:$C$1406,3,FALSE)</f>
        <v>4956.4930000000004</v>
      </c>
      <c r="S124" s="216">
        <f t="shared" si="2"/>
        <v>0</v>
      </c>
      <c r="T124" s="216">
        <f t="shared" si="3"/>
        <v>0</v>
      </c>
    </row>
    <row r="125" spans="1:20">
      <c r="A125" s="216">
        <v>12994</v>
      </c>
      <c r="B125" s="216">
        <v>3950</v>
      </c>
      <c r="C125" s="216">
        <v>25</v>
      </c>
      <c r="D125" s="216">
        <v>5600</v>
      </c>
      <c r="E125" s="216">
        <v>45</v>
      </c>
      <c r="F125" s="216">
        <v>0.59383964538574197</v>
      </c>
      <c r="G125" s="216">
        <v>584.04309082031295</v>
      </c>
      <c r="H125" s="216">
        <v>5961.56982421875</v>
      </c>
      <c r="I125" s="216">
        <v>618.94787597656295</v>
      </c>
      <c r="J125" s="216">
        <v>10.097510337829601</v>
      </c>
      <c r="K125" s="216">
        <v>0.682689428329468</v>
      </c>
      <c r="L125" s="216">
        <v>403.059814453125</v>
      </c>
      <c r="M125" s="216">
        <v>4320</v>
      </c>
      <c r="N125" s="216">
        <v>35424</v>
      </c>
      <c r="O125" s="216">
        <v>16.399999618530298</v>
      </c>
      <c r="P125" s="216" t="s">
        <v>1036</v>
      </c>
      <c r="Q125" s="216">
        <v>0.519999980926514</v>
      </c>
      <c r="R125" s="192">
        <f>VLOOKUP($A125,'RBSA Weights'!$A$2:$C$1406,3,FALSE)</f>
        <v>6932.7380000000003</v>
      </c>
      <c r="S125" s="216">
        <f t="shared" si="2"/>
        <v>1</v>
      </c>
      <c r="T125" s="216">
        <f t="shared" si="3"/>
        <v>6932.7380000000003</v>
      </c>
    </row>
    <row r="126" spans="1:20">
      <c r="A126" s="216">
        <v>13017</v>
      </c>
      <c r="M126" s="216">
        <v>2808</v>
      </c>
      <c r="N126" s="216">
        <v>23025.599609375</v>
      </c>
      <c r="O126" s="216">
        <v>16.399999618530298</v>
      </c>
      <c r="P126" s="216" t="s">
        <v>1126</v>
      </c>
      <c r="Q126" s="216">
        <v>0.54000002145767201</v>
      </c>
      <c r="R126" s="192">
        <f>VLOOKUP($A126,'RBSA Weights'!$A$2:$C$1406,3,FALSE)</f>
        <v>2003.7159999999999</v>
      </c>
      <c r="S126" s="216">
        <f t="shared" si="2"/>
        <v>0</v>
      </c>
      <c r="T126" s="216">
        <f t="shared" si="3"/>
        <v>0</v>
      </c>
    </row>
    <row r="127" spans="1:20">
      <c r="A127" s="216">
        <v>13019</v>
      </c>
      <c r="B127" s="216">
        <v>2225</v>
      </c>
      <c r="C127" s="216">
        <v>25</v>
      </c>
      <c r="D127" s="216">
        <v>3731</v>
      </c>
      <c r="E127" s="216">
        <v>50</v>
      </c>
      <c r="F127" s="216">
        <v>0.74575704336166404</v>
      </c>
      <c r="G127" s="216">
        <v>201.74668884277301</v>
      </c>
      <c r="H127" s="216">
        <v>3731</v>
      </c>
      <c r="I127" s="216">
        <v>263.924072265625</v>
      </c>
      <c r="J127" s="216">
        <v>8.5930118560790998</v>
      </c>
      <c r="K127" s="216">
        <v>0.29998713731765703</v>
      </c>
      <c r="L127" s="216">
        <v>130.25140380859401</v>
      </c>
      <c r="M127" s="216">
        <v>3177</v>
      </c>
      <c r="N127" s="216">
        <v>26051.400390625</v>
      </c>
      <c r="O127" s="216">
        <v>8.1999998092651403</v>
      </c>
      <c r="Q127" s="216">
        <v>0.519999980926514</v>
      </c>
      <c r="R127" s="192">
        <f>VLOOKUP($A127,'RBSA Weights'!$A$2:$C$1406,3,FALSE)</f>
        <v>6932.7380000000003</v>
      </c>
      <c r="S127" s="216">
        <f t="shared" si="2"/>
        <v>1</v>
      </c>
      <c r="T127" s="216">
        <f t="shared" si="3"/>
        <v>6932.7380000000003</v>
      </c>
    </row>
    <row r="128" spans="1:20">
      <c r="A128" s="216">
        <v>13041</v>
      </c>
      <c r="B128" s="216">
        <v>3380</v>
      </c>
      <c r="C128" s="216">
        <v>25</v>
      </c>
      <c r="D128" s="216">
        <v>5150</v>
      </c>
      <c r="E128" s="216">
        <v>50</v>
      </c>
      <c r="F128" s="216">
        <v>0.60754919052124001</v>
      </c>
      <c r="G128" s="216">
        <v>478.18878173828102</v>
      </c>
      <c r="H128" s="216">
        <v>5150</v>
      </c>
      <c r="I128" s="216">
        <v>516.49078369140602</v>
      </c>
      <c r="J128" s="216">
        <v>12.927248001098601</v>
      </c>
      <c r="K128" s="216">
        <v>0.60291707515716597</v>
      </c>
      <c r="L128" s="216">
        <v>240.19212341308599</v>
      </c>
      <c r="M128" s="216">
        <v>2915</v>
      </c>
      <c r="N128" s="216">
        <v>23903</v>
      </c>
      <c r="O128" s="216">
        <v>8.1999998092651403</v>
      </c>
      <c r="Q128" s="216">
        <v>0.490000009536743</v>
      </c>
      <c r="R128" s="192">
        <f>VLOOKUP($A128,'RBSA Weights'!$A$2:$C$1406,3,FALSE)</f>
        <v>4956.4930000000004</v>
      </c>
      <c r="S128" s="216">
        <f t="shared" si="2"/>
        <v>1</v>
      </c>
      <c r="T128" s="216">
        <f t="shared" si="3"/>
        <v>4956.4930000000004</v>
      </c>
    </row>
    <row r="129" spans="1:20">
      <c r="A129" s="216">
        <v>13051</v>
      </c>
      <c r="B129" s="216">
        <v>941</v>
      </c>
      <c r="C129" s="216">
        <v>25.100000381469702</v>
      </c>
      <c r="D129" s="216">
        <v>1418</v>
      </c>
      <c r="E129" s="216">
        <v>50.400001525878899</v>
      </c>
      <c r="F129" s="216">
        <v>0.58821666240692105</v>
      </c>
      <c r="G129" s="216">
        <v>141.34426879882801</v>
      </c>
      <c r="H129" s="216">
        <v>1411.36926269531</v>
      </c>
      <c r="I129" s="216">
        <v>148.62847900390599</v>
      </c>
      <c r="J129" s="216">
        <v>6.1034822463989302</v>
      </c>
      <c r="K129" s="216">
        <v>0.46685189008712802</v>
      </c>
      <c r="L129" s="216">
        <v>107.954833984375</v>
      </c>
      <c r="M129" s="216">
        <v>1692</v>
      </c>
      <c r="N129" s="216">
        <v>13874.400390625</v>
      </c>
      <c r="O129" s="216">
        <v>16.399999618530298</v>
      </c>
      <c r="Q129" s="216">
        <v>0.57999998331069902</v>
      </c>
      <c r="R129" s="192">
        <f>VLOOKUP($A129,'RBSA Weights'!$A$2:$C$1406,3,FALSE)</f>
        <v>4956.4930000000004</v>
      </c>
      <c r="S129" s="216">
        <f t="shared" si="2"/>
        <v>0</v>
      </c>
      <c r="T129" s="216">
        <f t="shared" si="3"/>
        <v>0</v>
      </c>
    </row>
    <row r="130" spans="1:20">
      <c r="A130" s="216">
        <v>13055</v>
      </c>
      <c r="B130" s="216">
        <v>1096</v>
      </c>
      <c r="C130" s="216">
        <v>25.100000381469702</v>
      </c>
      <c r="D130" s="216">
        <v>1825</v>
      </c>
      <c r="E130" s="216">
        <v>50.200000762939503</v>
      </c>
      <c r="F130" s="216">
        <v>0.73564869165420499</v>
      </c>
      <c r="G130" s="216">
        <v>102.36285400390599</v>
      </c>
      <c r="H130" s="216">
        <v>1819.64831542969</v>
      </c>
      <c r="I130" s="216">
        <v>132.04718017578099</v>
      </c>
      <c r="J130" s="216">
        <v>4.9699511528015101</v>
      </c>
      <c r="K130" s="216">
        <v>0.19852808117866499</v>
      </c>
      <c r="L130" s="216">
        <v>72.687088012695298</v>
      </c>
      <c r="M130" s="216">
        <v>2679</v>
      </c>
      <c r="N130" s="216">
        <v>21967.80078125</v>
      </c>
      <c r="O130" s="216">
        <v>8.2000007629394496</v>
      </c>
      <c r="P130" s="216" t="s">
        <v>1037</v>
      </c>
      <c r="Q130" s="216">
        <v>0.57999998331069902</v>
      </c>
      <c r="R130" s="192">
        <f>VLOOKUP($A130,'RBSA Weights'!$A$2:$C$1406,3,FALSE)</f>
        <v>4956.4930000000004</v>
      </c>
      <c r="S130" s="216">
        <f t="shared" si="2"/>
        <v>0</v>
      </c>
      <c r="T130" s="216">
        <f t="shared" si="3"/>
        <v>0</v>
      </c>
    </row>
    <row r="131" spans="1:20">
      <c r="A131" s="216">
        <v>13094</v>
      </c>
      <c r="B131" s="216">
        <v>1744</v>
      </c>
      <c r="C131" s="216">
        <v>24.799999237060501</v>
      </c>
      <c r="D131" s="216">
        <v>2683</v>
      </c>
      <c r="E131" s="216">
        <v>50.700000762939503</v>
      </c>
      <c r="F131" s="216">
        <v>0.60238415002822898</v>
      </c>
      <c r="G131" s="216">
        <v>252.08726501464801</v>
      </c>
      <c r="H131" s="216">
        <v>2660.6240234375</v>
      </c>
      <c r="I131" s="216">
        <v>270.33633422851602</v>
      </c>
      <c r="J131" s="216">
        <v>8.4276971817016602</v>
      </c>
      <c r="K131" s="216">
        <v>0.39822274446487399</v>
      </c>
      <c r="L131" s="216">
        <v>125.71891784668</v>
      </c>
      <c r="M131" s="216">
        <v>2310</v>
      </c>
      <c r="N131" s="216">
        <v>18942</v>
      </c>
      <c r="O131" s="216">
        <v>8.1999998092651403</v>
      </c>
      <c r="Q131" s="216">
        <v>0.490000009536743</v>
      </c>
      <c r="R131" s="192">
        <f>VLOOKUP($A131,'RBSA Weights'!$A$2:$C$1406,3,FALSE)</f>
        <v>4956.4930000000004</v>
      </c>
      <c r="S131" s="216">
        <f t="shared" ref="S131:S194" si="4">IF(J131&lt;7,0,1)</f>
        <v>1</v>
      </c>
      <c r="T131" s="216">
        <f t="shared" ref="T131:T194" si="5">S131*R131</f>
        <v>4956.4930000000004</v>
      </c>
    </row>
    <row r="132" spans="1:20">
      <c r="A132" s="216">
        <v>13127</v>
      </c>
      <c r="B132" s="216">
        <v>827</v>
      </c>
      <c r="C132" s="216">
        <v>25.100000381469702</v>
      </c>
      <c r="D132" s="216">
        <v>1344</v>
      </c>
      <c r="E132" s="216">
        <v>50.099998474121101</v>
      </c>
      <c r="F132" s="216">
        <v>0.702595174312592</v>
      </c>
      <c r="G132" s="216">
        <v>85.921432495117202</v>
      </c>
      <c r="H132" s="216">
        <v>1342.11474609375</v>
      </c>
      <c r="I132" s="216">
        <v>105.87368774414099</v>
      </c>
      <c r="J132" s="216">
        <v>6.3851442337036097</v>
      </c>
      <c r="K132" s="216">
        <v>0.32170024514198298</v>
      </c>
      <c r="L132" s="216">
        <v>67.619247436523395</v>
      </c>
      <c r="M132" s="216">
        <v>1538</v>
      </c>
      <c r="N132" s="216">
        <v>12611.599609375</v>
      </c>
      <c r="O132" s="216">
        <v>16.399999618530298</v>
      </c>
      <c r="P132" s="216" t="s">
        <v>1038</v>
      </c>
      <c r="Q132" s="216">
        <v>0.50999999046325695</v>
      </c>
      <c r="R132" s="192">
        <f>VLOOKUP($A132,'RBSA Weights'!$A$2:$C$1406,3,FALSE)</f>
        <v>4956.4930000000004</v>
      </c>
      <c r="S132" s="216">
        <f t="shared" si="4"/>
        <v>0</v>
      </c>
      <c r="T132" s="216">
        <f t="shared" si="5"/>
        <v>0</v>
      </c>
    </row>
    <row r="133" spans="1:20">
      <c r="A133" s="216">
        <v>13129</v>
      </c>
      <c r="B133" s="216">
        <v>3784</v>
      </c>
      <c r="C133" s="216">
        <v>22.5</v>
      </c>
      <c r="D133" s="216">
        <v>5636</v>
      </c>
      <c r="E133" s="216">
        <v>43.799999237060497</v>
      </c>
      <c r="F133" s="216">
        <v>0.59808117151260398</v>
      </c>
      <c r="G133" s="216">
        <v>587.80902099609398</v>
      </c>
      <c r="H133" s="216">
        <v>6100.3984375</v>
      </c>
      <c r="I133" s="216">
        <v>626.612548828125</v>
      </c>
      <c r="J133" s="216">
        <v>11.546058654785201</v>
      </c>
      <c r="K133" s="216">
        <v>0.75745517015457198</v>
      </c>
      <c r="L133" s="216">
        <v>400.20394897460898</v>
      </c>
      <c r="M133" s="216">
        <v>3866</v>
      </c>
      <c r="N133" s="216">
        <v>31701.19921875</v>
      </c>
      <c r="O133" s="216">
        <v>16.399999618530298</v>
      </c>
      <c r="P133" s="216" t="s">
        <v>1039</v>
      </c>
      <c r="Q133" s="216">
        <v>0.50999999046325695</v>
      </c>
      <c r="R133" s="192">
        <f>VLOOKUP($A133,'RBSA Weights'!$A$2:$C$1406,3,FALSE)</f>
        <v>4956.4930000000004</v>
      </c>
      <c r="S133" s="216">
        <f t="shared" si="4"/>
        <v>1</v>
      </c>
      <c r="T133" s="216">
        <f t="shared" si="5"/>
        <v>4956.4930000000004</v>
      </c>
    </row>
    <row r="134" spans="1:20">
      <c r="A134" s="216">
        <v>13222</v>
      </c>
      <c r="B134" s="216">
        <v>1399</v>
      </c>
      <c r="C134" s="216">
        <v>26.100000381469702</v>
      </c>
      <c r="D134" s="216">
        <v>2218</v>
      </c>
      <c r="E134" s="216">
        <v>51.200000762939503</v>
      </c>
      <c r="F134" s="216">
        <v>0.68394970893859897</v>
      </c>
      <c r="G134" s="216">
        <v>150.28195190429699</v>
      </c>
      <c r="H134" s="216">
        <v>2182.31201171875</v>
      </c>
      <c r="I134" s="216">
        <v>180.45449829101599</v>
      </c>
      <c r="J134" s="216">
        <v>7.4201378822326696</v>
      </c>
      <c r="K134" s="216">
        <v>0.41492414474487299</v>
      </c>
      <c r="L134" s="216">
        <v>122.03195953369099</v>
      </c>
      <c r="M134" s="216">
        <v>2152</v>
      </c>
      <c r="N134" s="216">
        <v>17646.400390625</v>
      </c>
      <c r="O134" s="216">
        <v>16.399999618530298</v>
      </c>
      <c r="Q134" s="216">
        <v>0.54000002145767201</v>
      </c>
      <c r="R134" s="192">
        <f>VLOOKUP($A134,'RBSA Weights'!$A$2:$C$1406,3,FALSE)</f>
        <v>2003.7159999999999</v>
      </c>
      <c r="S134" s="216">
        <f t="shared" si="4"/>
        <v>1</v>
      </c>
      <c r="T134" s="216">
        <f t="shared" si="5"/>
        <v>2003.7159999999999</v>
      </c>
    </row>
    <row r="135" spans="1:20">
      <c r="A135" s="216">
        <v>13246</v>
      </c>
      <c r="B135" s="216">
        <v>2983</v>
      </c>
      <c r="C135" s="216">
        <v>25.200000762939499</v>
      </c>
      <c r="D135" s="216">
        <v>4641</v>
      </c>
      <c r="E135" s="216">
        <v>50.099998474121101</v>
      </c>
      <c r="F135" s="216">
        <v>0.64321184158325195</v>
      </c>
      <c r="G135" s="216">
        <v>374.33102416992199</v>
      </c>
      <c r="H135" s="216">
        <v>4635.03955078125</v>
      </c>
      <c r="I135" s="216">
        <v>424.805419921875</v>
      </c>
      <c r="J135" s="216">
        <v>9.2360897064209002</v>
      </c>
      <c r="K135" s="216">
        <v>0.57244092226028398</v>
      </c>
      <c r="L135" s="216">
        <v>287.27377319335898</v>
      </c>
      <c r="M135" s="216">
        <v>3672</v>
      </c>
      <c r="N135" s="216">
        <v>30110.400390625</v>
      </c>
      <c r="O135" s="216">
        <v>16.399999618530298</v>
      </c>
      <c r="P135" s="216" t="s">
        <v>1040</v>
      </c>
      <c r="Q135" s="216">
        <v>0.54000002145767201</v>
      </c>
      <c r="R135" s="192">
        <f>VLOOKUP($A135,'RBSA Weights'!$A$2:$C$1406,3,FALSE)</f>
        <v>2003.7159999999999</v>
      </c>
      <c r="S135" s="216">
        <f t="shared" si="4"/>
        <v>1</v>
      </c>
      <c r="T135" s="216">
        <f t="shared" si="5"/>
        <v>2003.7159999999999</v>
      </c>
    </row>
    <row r="136" spans="1:20">
      <c r="A136" s="216">
        <v>13248</v>
      </c>
      <c r="B136" s="216">
        <v>743</v>
      </c>
      <c r="C136" s="216">
        <v>25.799999237060501</v>
      </c>
      <c r="D136" s="216">
        <v>1185</v>
      </c>
      <c r="E136" s="216">
        <v>49.599998474121101</v>
      </c>
      <c r="F136" s="216">
        <v>0.714183509349823</v>
      </c>
      <c r="G136" s="216">
        <v>72.917755126953097</v>
      </c>
      <c r="H136" s="216">
        <v>1191.81726074219</v>
      </c>
      <c r="I136" s="216">
        <v>91.305450439453097</v>
      </c>
      <c r="J136" s="216">
        <v>7.8422784805297896</v>
      </c>
      <c r="K136" s="216">
        <v>0.30220755934715299</v>
      </c>
      <c r="L136" s="216">
        <v>45.927490234375</v>
      </c>
      <c r="M136" s="216">
        <v>1112</v>
      </c>
      <c r="N136" s="216">
        <v>9118.400390625</v>
      </c>
      <c r="O136" s="216">
        <v>8.2000007629394496</v>
      </c>
      <c r="Q136" s="216">
        <v>0.52999997138977095</v>
      </c>
      <c r="R136" s="192">
        <f>VLOOKUP($A136,'RBSA Weights'!$A$2:$C$1406,3,FALSE)</f>
        <v>1464.694</v>
      </c>
      <c r="S136" s="216">
        <f t="shared" si="4"/>
        <v>1</v>
      </c>
      <c r="T136" s="216">
        <f t="shared" si="5"/>
        <v>1464.694</v>
      </c>
    </row>
    <row r="137" spans="1:20">
      <c r="A137" s="216">
        <v>13261</v>
      </c>
      <c r="B137" s="216">
        <v>1425</v>
      </c>
      <c r="C137" s="216">
        <v>25</v>
      </c>
      <c r="D137" s="216">
        <v>2303</v>
      </c>
      <c r="E137" s="216">
        <v>50</v>
      </c>
      <c r="F137" s="216">
        <v>0.69255250692367598</v>
      </c>
      <c r="G137" s="216">
        <v>153.34442138671901</v>
      </c>
      <c r="H137" s="216">
        <v>2303</v>
      </c>
      <c r="I137" s="216">
        <v>186.34092712402301</v>
      </c>
      <c r="J137" s="216">
        <v>5.7239193916320801</v>
      </c>
      <c r="K137" s="216">
        <v>0.295794516801834</v>
      </c>
      <c r="L137" s="216">
        <v>119.01194000244099</v>
      </c>
      <c r="M137" s="216">
        <v>2944</v>
      </c>
      <c r="N137" s="216">
        <v>24140.80078125</v>
      </c>
      <c r="O137" s="216">
        <v>16.399999618530298</v>
      </c>
      <c r="Q137" s="216">
        <v>0.50999999046325695</v>
      </c>
      <c r="R137" s="192">
        <f>VLOOKUP($A137,'RBSA Weights'!$A$2:$C$1406,3,FALSE)</f>
        <v>6932.7380000000003</v>
      </c>
      <c r="S137" s="216">
        <f t="shared" si="4"/>
        <v>0</v>
      </c>
      <c r="T137" s="216">
        <f t="shared" si="5"/>
        <v>0</v>
      </c>
    </row>
    <row r="138" spans="1:20">
      <c r="A138" s="216">
        <v>13265</v>
      </c>
      <c r="B138" s="216">
        <v>693</v>
      </c>
      <c r="C138" s="216">
        <v>25</v>
      </c>
      <c r="D138" s="216">
        <v>1046</v>
      </c>
      <c r="E138" s="216">
        <v>50.099998474121101</v>
      </c>
      <c r="F138" s="216">
        <v>0.59224843978881803</v>
      </c>
      <c r="G138" s="216">
        <v>102.992462158203</v>
      </c>
      <c r="H138" s="216">
        <v>1044.76293945313</v>
      </c>
      <c r="I138" s="216">
        <v>108.90721130371099</v>
      </c>
      <c r="J138" s="216">
        <v>5.8445010185241699</v>
      </c>
      <c r="K138" s="216">
        <v>0.31223398447036699</v>
      </c>
      <c r="L138" s="216">
        <v>55.814945220947301</v>
      </c>
      <c r="M138" s="216">
        <v>1308</v>
      </c>
      <c r="N138" s="216">
        <v>10725.599609375</v>
      </c>
      <c r="O138" s="216">
        <v>8.1999998092651403</v>
      </c>
      <c r="Q138" s="216">
        <v>0.54000002145767201</v>
      </c>
      <c r="R138" s="192">
        <f>VLOOKUP($A138,'RBSA Weights'!$A$2:$C$1406,3,FALSE)</f>
        <v>2003.7159999999999</v>
      </c>
      <c r="S138" s="216">
        <f t="shared" si="4"/>
        <v>0</v>
      </c>
      <c r="T138" s="216">
        <f t="shared" si="5"/>
        <v>0</v>
      </c>
    </row>
    <row r="139" spans="1:20">
      <c r="A139" s="216">
        <v>13292</v>
      </c>
      <c r="B139" s="216">
        <v>1472</v>
      </c>
      <c r="C139" s="216">
        <v>25.200000762939499</v>
      </c>
      <c r="D139" s="216">
        <v>2374</v>
      </c>
      <c r="E139" s="216">
        <v>50.400001525878899</v>
      </c>
      <c r="F139" s="216">
        <v>0.68954223394393899</v>
      </c>
      <c r="G139" s="216">
        <v>159.06805419921901</v>
      </c>
      <c r="H139" s="216">
        <v>2360.9921875</v>
      </c>
      <c r="I139" s="216">
        <v>192.49119567871099</v>
      </c>
      <c r="J139" s="216">
        <v>17.2755527496338</v>
      </c>
      <c r="K139" s="216">
        <v>0.72184199094772294</v>
      </c>
      <c r="L139" s="216">
        <v>98.651741027832003</v>
      </c>
      <c r="M139" s="216">
        <v>1000</v>
      </c>
      <c r="N139" s="216">
        <v>8200</v>
      </c>
      <c r="O139" s="216">
        <v>8.1999998092651403</v>
      </c>
      <c r="Q139" s="216">
        <v>0.54000002145767201</v>
      </c>
      <c r="R139" s="192">
        <f>VLOOKUP($A139,'RBSA Weights'!$A$2:$C$1406,3,FALSE)</f>
        <v>2003.7159999999999</v>
      </c>
      <c r="S139" s="216">
        <f t="shared" si="4"/>
        <v>1</v>
      </c>
      <c r="T139" s="216">
        <f t="shared" si="5"/>
        <v>2003.7159999999999</v>
      </c>
    </row>
    <row r="140" spans="1:20">
      <c r="A140" s="216">
        <v>13336</v>
      </c>
      <c r="B140" s="216">
        <v>1349</v>
      </c>
      <c r="C140" s="216">
        <v>25</v>
      </c>
      <c r="D140" s="216">
        <v>2113</v>
      </c>
      <c r="E140" s="216">
        <v>50</v>
      </c>
      <c r="F140" s="216">
        <v>0.64740240573883101</v>
      </c>
      <c r="G140" s="216">
        <v>167.87353515625</v>
      </c>
      <c r="H140" s="216">
        <v>2113</v>
      </c>
      <c r="I140" s="216">
        <v>191.619384765625</v>
      </c>
      <c r="J140" s="216">
        <v>10.072297096252401</v>
      </c>
      <c r="K140" s="216">
        <v>0.57194012403488204</v>
      </c>
      <c r="L140" s="216">
        <v>119.983505249023</v>
      </c>
      <c r="M140" s="216">
        <v>1535</v>
      </c>
      <c r="N140" s="216">
        <v>12587</v>
      </c>
      <c r="O140" s="216">
        <v>16.399999618530298</v>
      </c>
      <c r="Q140" s="216">
        <v>0.5</v>
      </c>
      <c r="R140" s="192">
        <f>VLOOKUP($A140,'RBSA Weights'!$A$2:$C$1406,3,FALSE)</f>
        <v>6932.7380000000003</v>
      </c>
      <c r="S140" s="216">
        <f t="shared" si="4"/>
        <v>1</v>
      </c>
      <c r="T140" s="216">
        <f t="shared" si="5"/>
        <v>6932.7380000000003</v>
      </c>
    </row>
    <row r="141" spans="1:20">
      <c r="A141" s="216">
        <v>13347</v>
      </c>
      <c r="B141" s="216">
        <v>3819</v>
      </c>
      <c r="C141" s="216">
        <v>25</v>
      </c>
      <c r="D141" s="216">
        <v>5716</v>
      </c>
      <c r="E141" s="216">
        <v>50</v>
      </c>
      <c r="F141" s="216">
        <v>0.58181101083755504</v>
      </c>
      <c r="G141" s="216">
        <v>586.96575927734398</v>
      </c>
      <c r="H141" s="216">
        <v>5716</v>
      </c>
      <c r="I141" s="216">
        <v>611.75848388671898</v>
      </c>
      <c r="J141" s="216">
        <v>18.232078552246101</v>
      </c>
      <c r="K141" s="216">
        <v>1.0000412464141799</v>
      </c>
      <c r="L141" s="216">
        <v>313.52627563476602</v>
      </c>
      <c r="M141" s="216">
        <v>2294</v>
      </c>
      <c r="N141" s="216">
        <v>18810.80078125</v>
      </c>
      <c r="O141" s="216">
        <v>8.2000007629394496</v>
      </c>
      <c r="P141" s="216" t="s">
        <v>1041</v>
      </c>
      <c r="Q141" s="216">
        <v>0.54000002145767201</v>
      </c>
      <c r="R141" s="192">
        <f>VLOOKUP($A141,'RBSA Weights'!$A$2:$C$1406,3,FALSE)</f>
        <v>2003.7159999999999</v>
      </c>
      <c r="S141" s="216">
        <f t="shared" si="4"/>
        <v>1</v>
      </c>
      <c r="T141" s="216">
        <f t="shared" si="5"/>
        <v>2003.7159999999999</v>
      </c>
    </row>
    <row r="142" spans="1:20">
      <c r="A142" s="216">
        <v>13400</v>
      </c>
      <c r="B142" s="216">
        <v>1978</v>
      </c>
      <c r="C142" s="216">
        <v>25</v>
      </c>
      <c r="D142" s="216">
        <v>3203</v>
      </c>
      <c r="E142" s="216">
        <v>50</v>
      </c>
      <c r="F142" s="216">
        <v>0.69538134336471602</v>
      </c>
      <c r="G142" s="216">
        <v>210.92346191406301</v>
      </c>
      <c r="H142" s="216">
        <v>3203</v>
      </c>
      <c r="I142" s="216">
        <v>257.31689453125</v>
      </c>
      <c r="J142" s="216">
        <v>10.652993202209499</v>
      </c>
      <c r="K142" s="216">
        <v>0.38987404108047502</v>
      </c>
      <c r="L142" s="216">
        <v>117.222129821777</v>
      </c>
      <c r="M142" s="216">
        <v>2200</v>
      </c>
      <c r="N142" s="216">
        <v>18040</v>
      </c>
      <c r="O142" s="216">
        <v>8.1999998092651403</v>
      </c>
      <c r="Q142" s="216">
        <v>0.479999989271164</v>
      </c>
      <c r="R142" s="192">
        <f>VLOOKUP($A142,'RBSA Weights'!$A$2:$C$1406,3,FALSE)</f>
        <v>6932.7380000000003</v>
      </c>
      <c r="S142" s="216">
        <f t="shared" si="4"/>
        <v>1</v>
      </c>
      <c r="T142" s="216">
        <f t="shared" si="5"/>
        <v>6932.7380000000003</v>
      </c>
    </row>
    <row r="143" spans="1:20">
      <c r="A143" s="216">
        <v>13401</v>
      </c>
      <c r="B143" s="216">
        <v>1920</v>
      </c>
      <c r="C143" s="216">
        <v>25</v>
      </c>
      <c r="D143" s="216">
        <v>3182</v>
      </c>
      <c r="E143" s="216">
        <v>49.5</v>
      </c>
      <c r="F143" s="216">
        <v>0.73955070972442605</v>
      </c>
      <c r="G143" s="216">
        <v>177.60438537597699</v>
      </c>
      <c r="H143" s="216">
        <v>3205.73901367188</v>
      </c>
      <c r="I143" s="216">
        <v>230.35078430175801</v>
      </c>
      <c r="J143" s="216">
        <v>20.186424255371101</v>
      </c>
      <c r="K143" s="216">
        <v>0.79845249652862504</v>
      </c>
      <c r="L143" s="216">
        <v>126.79958343505901</v>
      </c>
      <c r="M143" s="216">
        <v>1162</v>
      </c>
      <c r="N143" s="216">
        <v>9528.400390625</v>
      </c>
      <c r="O143" s="216">
        <v>8.2000007629394496</v>
      </c>
      <c r="P143" s="216" t="s">
        <v>1042</v>
      </c>
      <c r="Q143" s="216">
        <v>0.57999998331069902</v>
      </c>
      <c r="R143" s="192">
        <f>VLOOKUP($A143,'RBSA Weights'!$A$2:$C$1406,3,FALSE)</f>
        <v>4956.4930000000004</v>
      </c>
      <c r="S143" s="216">
        <f t="shared" si="4"/>
        <v>1</v>
      </c>
      <c r="T143" s="216">
        <f t="shared" si="5"/>
        <v>4956.4930000000004</v>
      </c>
    </row>
    <row r="144" spans="1:20">
      <c r="A144" s="216">
        <v>13427</v>
      </c>
      <c r="B144" s="216">
        <v>3279</v>
      </c>
      <c r="C144" s="216">
        <v>25.200000762939499</v>
      </c>
      <c r="D144" s="216">
        <v>5040</v>
      </c>
      <c r="E144" s="216">
        <v>50.099998474121101</v>
      </c>
      <c r="F144" s="216">
        <v>0.62555587291717496</v>
      </c>
      <c r="G144" s="216">
        <v>435.59921264648398</v>
      </c>
      <c r="H144" s="216">
        <v>5033.705078125</v>
      </c>
      <c r="I144" s="216">
        <v>482.38229370117199</v>
      </c>
      <c r="J144" s="216">
        <v>6.5912647247314498</v>
      </c>
      <c r="K144" s="216">
        <v>0.38759714365005499</v>
      </c>
      <c r="L144" s="216">
        <v>296.00537109375</v>
      </c>
      <c r="M144" s="216">
        <v>5588</v>
      </c>
      <c r="N144" s="216">
        <v>45821.6015625</v>
      </c>
      <c r="O144" s="216">
        <v>16.399999618530298</v>
      </c>
      <c r="P144" s="216" t="s">
        <v>1127</v>
      </c>
      <c r="Q144" s="216">
        <v>0.490000009536743</v>
      </c>
      <c r="R144" s="192">
        <f>VLOOKUP($A144,'RBSA Weights'!$A$2:$C$1406,3,FALSE)</f>
        <v>4956.4930000000004</v>
      </c>
      <c r="S144" s="216">
        <f t="shared" si="4"/>
        <v>0</v>
      </c>
      <c r="T144" s="216">
        <f t="shared" si="5"/>
        <v>0</v>
      </c>
    </row>
    <row r="145" spans="1:20">
      <c r="A145" s="216">
        <v>13445</v>
      </c>
      <c r="B145" s="216">
        <v>1566</v>
      </c>
      <c r="C145" s="216">
        <v>24.5</v>
      </c>
      <c r="D145" s="216">
        <v>2421</v>
      </c>
      <c r="E145" s="216">
        <v>51</v>
      </c>
      <c r="F145" s="216">
        <v>0.59422296285629295</v>
      </c>
      <c r="G145" s="216">
        <v>234.05470275878901</v>
      </c>
      <c r="H145" s="216">
        <v>2392.67846679688</v>
      </c>
      <c r="I145" s="216">
        <v>248.17460632324199</v>
      </c>
      <c r="J145" s="216">
        <v>5.0893616676330602</v>
      </c>
      <c r="K145" s="216">
        <v>0.32392501831054699</v>
      </c>
      <c r="L145" s="216">
        <v>152.28794860839801</v>
      </c>
      <c r="M145" s="216">
        <v>3440</v>
      </c>
      <c r="N145" s="216">
        <v>28208</v>
      </c>
      <c r="O145" s="216">
        <v>16.399999618530298</v>
      </c>
      <c r="Q145" s="216">
        <v>0.490000009536743</v>
      </c>
      <c r="R145" s="192">
        <f>VLOOKUP($A145,'RBSA Weights'!$A$2:$C$1406,3,FALSE)</f>
        <v>4956.4930000000004</v>
      </c>
      <c r="S145" s="216">
        <f t="shared" si="4"/>
        <v>0</v>
      </c>
      <c r="T145" s="216">
        <f t="shared" si="5"/>
        <v>0</v>
      </c>
    </row>
    <row r="146" spans="1:20">
      <c r="A146" s="216">
        <v>13451</v>
      </c>
      <c r="B146" s="216">
        <v>1067</v>
      </c>
      <c r="C146" s="216">
        <v>25</v>
      </c>
      <c r="D146" s="216">
        <v>1650</v>
      </c>
      <c r="E146" s="216">
        <v>50</v>
      </c>
      <c r="F146" s="216">
        <v>0.62890583276748702</v>
      </c>
      <c r="G146" s="216">
        <v>140.92622375488301</v>
      </c>
      <c r="H146" s="216">
        <v>1650</v>
      </c>
      <c r="I146" s="216">
        <v>156.78805541992199</v>
      </c>
      <c r="J146" s="216">
        <v>10.571952819824199</v>
      </c>
      <c r="K146" s="216">
        <v>0.49577853083610501</v>
      </c>
      <c r="L146" s="216">
        <v>77.3778076171875</v>
      </c>
      <c r="M146" s="216">
        <v>1142</v>
      </c>
      <c r="N146" s="216">
        <v>9364.400390625</v>
      </c>
      <c r="O146" s="216">
        <v>8.2000007629394496</v>
      </c>
      <c r="P146" s="216" t="s">
        <v>1043</v>
      </c>
      <c r="Q146" s="216">
        <v>0.519999980926514</v>
      </c>
      <c r="R146" s="192">
        <f>VLOOKUP($A146,'RBSA Weights'!$A$2:$C$1406,3,FALSE)</f>
        <v>1150.8789999999999</v>
      </c>
      <c r="S146" s="216">
        <f t="shared" si="4"/>
        <v>1</v>
      </c>
      <c r="T146" s="216">
        <f t="shared" si="5"/>
        <v>1150.8789999999999</v>
      </c>
    </row>
    <row r="147" spans="1:20">
      <c r="A147" s="216">
        <v>13505</v>
      </c>
      <c r="B147" s="216">
        <v>1747</v>
      </c>
      <c r="C147" s="216">
        <v>25</v>
      </c>
      <c r="D147" s="216">
        <v>2731</v>
      </c>
      <c r="E147" s="216">
        <v>50.200000762939503</v>
      </c>
      <c r="F147" s="216">
        <v>0.64085882902145397</v>
      </c>
      <c r="G147" s="216">
        <v>222.02951049804699</v>
      </c>
      <c r="H147" s="216">
        <v>2724.02221679688</v>
      </c>
      <c r="I147" s="216">
        <v>251.14717102050801</v>
      </c>
      <c r="J147" s="216">
        <v>15.6328392028809</v>
      </c>
      <c r="K147" s="216">
        <v>0.95662879943847701</v>
      </c>
      <c r="L147" s="216">
        <v>166.69256591796901</v>
      </c>
      <c r="M147" s="216">
        <v>1275</v>
      </c>
      <c r="N147" s="216">
        <v>10455</v>
      </c>
      <c r="O147" s="216">
        <v>16.399999618530298</v>
      </c>
      <c r="Q147" s="216">
        <v>0.52999997138977095</v>
      </c>
      <c r="R147" s="192">
        <f>VLOOKUP($A147,'RBSA Weights'!$A$2:$C$1406,3,FALSE)</f>
        <v>1464.694</v>
      </c>
      <c r="S147" s="216">
        <f t="shared" si="4"/>
        <v>1</v>
      </c>
      <c r="T147" s="216">
        <f t="shared" si="5"/>
        <v>1464.694</v>
      </c>
    </row>
    <row r="148" spans="1:20">
      <c r="A148" s="216">
        <v>13514</v>
      </c>
      <c r="B148" s="216">
        <v>535</v>
      </c>
      <c r="C148" s="216">
        <v>25</v>
      </c>
      <c r="D148" s="216">
        <v>873</v>
      </c>
      <c r="E148" s="216">
        <v>50.099998474121101</v>
      </c>
      <c r="F148" s="216">
        <v>0.704412341117859</v>
      </c>
      <c r="G148" s="216">
        <v>55.415031433105497</v>
      </c>
      <c r="H148" s="216">
        <v>871.772216796875</v>
      </c>
      <c r="I148" s="216">
        <v>68.455474853515597</v>
      </c>
      <c r="J148" s="216">
        <v>6.6446051597595197</v>
      </c>
      <c r="K148" s="216">
        <v>0.25254842638969399</v>
      </c>
      <c r="L148" s="216">
        <v>33.134349822997997</v>
      </c>
      <c r="M148" s="216">
        <v>960</v>
      </c>
      <c r="N148" s="216">
        <v>7872</v>
      </c>
      <c r="O148" s="216">
        <v>8.1999998092651403</v>
      </c>
      <c r="Q148" s="216">
        <v>0.50999999046325695</v>
      </c>
      <c r="R148" s="192">
        <f>VLOOKUP($A148,'RBSA Weights'!$A$2:$C$1406,3,FALSE)</f>
        <v>4956.4930000000004</v>
      </c>
      <c r="S148" s="216">
        <f t="shared" si="4"/>
        <v>0</v>
      </c>
      <c r="T148" s="216">
        <f t="shared" si="5"/>
        <v>0</v>
      </c>
    </row>
    <row r="149" spans="1:20">
      <c r="A149" s="216">
        <v>13554</v>
      </c>
      <c r="B149" s="216">
        <v>1086</v>
      </c>
      <c r="C149" s="216">
        <v>22.299999237060501</v>
      </c>
      <c r="D149" s="216">
        <v>1960</v>
      </c>
      <c r="E149" s="216">
        <v>50.700000762939503</v>
      </c>
      <c r="F149" s="216">
        <v>0.71887862682342496</v>
      </c>
      <c r="G149" s="216">
        <v>116.563423156738</v>
      </c>
      <c r="H149" s="216">
        <v>1940.50830078125</v>
      </c>
      <c r="I149" s="216">
        <v>146.91038513183599</v>
      </c>
      <c r="J149" s="216">
        <v>4.5787944793701199</v>
      </c>
      <c r="K149" s="216">
        <v>0.21271412074565901</v>
      </c>
      <c r="L149" s="216">
        <v>90.148948669433594</v>
      </c>
      <c r="M149" s="216">
        <v>3101</v>
      </c>
      <c r="N149" s="216">
        <v>25428.19921875</v>
      </c>
      <c r="O149" s="216">
        <v>16.399999618530298</v>
      </c>
      <c r="Q149" s="216">
        <v>0.490000009536743</v>
      </c>
      <c r="R149" s="192">
        <f>VLOOKUP($A149,'RBSA Weights'!$A$2:$C$1406,3,FALSE)</f>
        <v>4956.4930000000004</v>
      </c>
      <c r="S149" s="216">
        <f t="shared" si="4"/>
        <v>0</v>
      </c>
      <c r="T149" s="216">
        <f t="shared" si="5"/>
        <v>0</v>
      </c>
    </row>
    <row r="150" spans="1:20">
      <c r="A150" s="216">
        <v>13691</v>
      </c>
      <c r="B150" s="216">
        <v>3575</v>
      </c>
      <c r="C150" s="216">
        <v>25</v>
      </c>
      <c r="D150" s="216">
        <v>5688</v>
      </c>
      <c r="E150" s="216">
        <v>50</v>
      </c>
      <c r="F150" s="216">
        <v>0.66997820138931297</v>
      </c>
      <c r="G150" s="216">
        <v>413.70114135742199</v>
      </c>
      <c r="H150" s="216">
        <v>5688</v>
      </c>
      <c r="I150" s="216">
        <v>487.23211669921898</v>
      </c>
      <c r="J150" s="216">
        <v>8.2268257141113299</v>
      </c>
      <c r="K150" s="216">
        <v>0.498193979263306</v>
      </c>
      <c r="L150" s="216">
        <v>344.44967651367199</v>
      </c>
      <c r="M150" s="216">
        <v>5059</v>
      </c>
      <c r="N150" s="216">
        <v>41483.80078125</v>
      </c>
      <c r="O150" s="216">
        <v>24.599998474121101</v>
      </c>
      <c r="P150" s="216" t="s">
        <v>1044</v>
      </c>
      <c r="Q150" s="216">
        <v>0.479999989271164</v>
      </c>
      <c r="R150" s="192">
        <f>VLOOKUP($A150,'RBSA Weights'!$A$2:$C$1406,3,FALSE)</f>
        <v>6932.7380000000003</v>
      </c>
      <c r="S150" s="216">
        <f t="shared" si="4"/>
        <v>1</v>
      </c>
      <c r="T150" s="216">
        <f t="shared" si="5"/>
        <v>6932.7380000000003</v>
      </c>
    </row>
    <row r="151" spans="1:20">
      <c r="A151" s="216">
        <v>13713</v>
      </c>
      <c r="B151" s="216">
        <v>4650</v>
      </c>
      <c r="C151" s="216">
        <v>25</v>
      </c>
      <c r="D151" s="216">
        <v>5750</v>
      </c>
      <c r="E151" s="216">
        <v>34</v>
      </c>
      <c r="F151" s="216">
        <v>0.69054698944091797</v>
      </c>
      <c r="G151" s="216">
        <v>503.62780761718801</v>
      </c>
      <c r="H151" s="216">
        <v>7504.61328125</v>
      </c>
      <c r="I151" s="216">
        <v>610.298828125</v>
      </c>
      <c r="J151" s="216">
        <v>19.838079452514599</v>
      </c>
      <c r="K151" s="216">
        <v>1.05058038234711</v>
      </c>
      <c r="L151" s="216">
        <v>397.42752075195301</v>
      </c>
      <c r="M151" s="216">
        <v>2768</v>
      </c>
      <c r="N151" s="216">
        <v>22697.599609375</v>
      </c>
      <c r="O151" s="216">
        <v>16.399999618530298</v>
      </c>
      <c r="P151" s="216" t="s">
        <v>1045</v>
      </c>
      <c r="Q151" s="216">
        <v>0.519999980926514</v>
      </c>
      <c r="R151" s="192">
        <f>VLOOKUP($A151,'RBSA Weights'!$A$2:$C$1406,3,FALSE)</f>
        <v>1150.8789999999999</v>
      </c>
      <c r="S151" s="216">
        <f t="shared" si="4"/>
        <v>1</v>
      </c>
      <c r="T151" s="216">
        <f t="shared" si="5"/>
        <v>1150.8789999999999</v>
      </c>
    </row>
    <row r="152" spans="1:20">
      <c r="A152" s="216">
        <v>13817</v>
      </c>
      <c r="B152" s="216">
        <v>2738</v>
      </c>
      <c r="C152" s="216">
        <v>50</v>
      </c>
      <c r="D152" s="216">
        <v>1643</v>
      </c>
      <c r="E152" s="216">
        <v>25</v>
      </c>
      <c r="F152" s="216">
        <v>0.73678994178771995</v>
      </c>
      <c r="G152" s="216">
        <v>153.33787536621099</v>
      </c>
      <c r="H152" s="216">
        <v>2738</v>
      </c>
      <c r="I152" s="216">
        <v>198.11770629882801</v>
      </c>
      <c r="J152" s="216">
        <v>9.6179294586181605</v>
      </c>
      <c r="K152" s="216">
        <v>0.36987888813018799</v>
      </c>
      <c r="L152" s="216">
        <v>105.295890808105</v>
      </c>
      <c r="M152" s="216">
        <v>2083</v>
      </c>
      <c r="N152" s="216">
        <v>17080.599609375</v>
      </c>
      <c r="O152" s="216">
        <v>8.1999998092651403</v>
      </c>
      <c r="Q152" s="216">
        <v>0.56000000238418601</v>
      </c>
      <c r="R152" s="192">
        <f>VLOOKUP($A152,'RBSA Weights'!$A$2:$C$1406,3,FALSE)</f>
        <v>1188.027</v>
      </c>
      <c r="S152" s="216">
        <f t="shared" si="4"/>
        <v>1</v>
      </c>
      <c r="T152" s="216">
        <f t="shared" si="5"/>
        <v>1188.027</v>
      </c>
    </row>
    <row r="153" spans="1:20">
      <c r="A153" s="216">
        <v>13880</v>
      </c>
      <c r="B153" s="216">
        <v>1593</v>
      </c>
      <c r="C153" s="216">
        <v>25.700000762939499</v>
      </c>
      <c r="D153" s="216">
        <v>2464</v>
      </c>
      <c r="E153" s="216">
        <v>49.5</v>
      </c>
      <c r="F153" s="216">
        <v>0.66541451215743996</v>
      </c>
      <c r="G153" s="216">
        <v>183.66474914550801</v>
      </c>
      <c r="H153" s="216">
        <v>2480.53344726563</v>
      </c>
      <c r="I153" s="216">
        <v>214.94502258300801</v>
      </c>
      <c r="J153" s="216">
        <v>6.3729791641235396</v>
      </c>
      <c r="K153" s="216">
        <v>0.37344849109649703</v>
      </c>
      <c r="L153" s="216">
        <v>145.35610961914099</v>
      </c>
      <c r="M153" s="216">
        <v>2848</v>
      </c>
      <c r="N153" s="216">
        <v>23353.599609375</v>
      </c>
      <c r="O153" s="216">
        <v>16.399999618530298</v>
      </c>
      <c r="Q153" s="216">
        <v>0.54000002145767201</v>
      </c>
      <c r="R153" s="192">
        <f>VLOOKUP($A153,'RBSA Weights'!$A$2:$C$1406,3,FALSE)</f>
        <v>4956.4930000000004</v>
      </c>
      <c r="S153" s="216">
        <f t="shared" si="4"/>
        <v>0</v>
      </c>
      <c r="T153" s="216">
        <f t="shared" si="5"/>
        <v>0</v>
      </c>
    </row>
    <row r="154" spans="1:20">
      <c r="A154" s="216">
        <v>13895</v>
      </c>
      <c r="B154" s="216">
        <v>945</v>
      </c>
      <c r="C154" s="216">
        <v>25</v>
      </c>
      <c r="D154" s="216">
        <v>1498</v>
      </c>
      <c r="E154" s="216">
        <v>49.700000762939503</v>
      </c>
      <c r="F154" s="216">
        <v>0.67047256231307995</v>
      </c>
      <c r="G154" s="216">
        <v>109.182090759277</v>
      </c>
      <c r="H154" s="216">
        <v>1504.056640625</v>
      </c>
      <c r="I154" s="216">
        <v>128.67620849609401</v>
      </c>
      <c r="J154" s="216">
        <v>16.376924514770501</v>
      </c>
      <c r="K154" s="216">
        <v>0.744653940200806</v>
      </c>
      <c r="L154" s="216">
        <v>68.389015197753906</v>
      </c>
      <c r="M154" s="216">
        <v>672</v>
      </c>
      <c r="N154" s="216">
        <v>5510.39990234375</v>
      </c>
      <c r="O154" s="216">
        <v>8.1999998092651403</v>
      </c>
      <c r="Q154" s="216">
        <v>0.56000000238418601</v>
      </c>
      <c r="R154" s="192">
        <f>VLOOKUP($A154,'RBSA Weights'!$A$2:$C$1406,3,FALSE)</f>
        <v>1524.7619999999999</v>
      </c>
      <c r="S154" s="216">
        <f t="shared" si="4"/>
        <v>1</v>
      </c>
      <c r="T154" s="216">
        <f t="shared" si="5"/>
        <v>1524.7619999999999</v>
      </c>
    </row>
    <row r="155" spans="1:20">
      <c r="A155" s="216">
        <v>13903</v>
      </c>
      <c r="B155" s="216">
        <v>3130</v>
      </c>
      <c r="C155" s="216">
        <v>25</v>
      </c>
      <c r="D155" s="216">
        <v>5165</v>
      </c>
      <c r="E155" s="216">
        <v>50</v>
      </c>
      <c r="F155" s="216">
        <v>0.72260570526123002</v>
      </c>
      <c r="G155" s="216">
        <v>305.76296997070301</v>
      </c>
      <c r="H155" s="216">
        <v>5165</v>
      </c>
      <c r="I155" s="216">
        <v>387.36373901367199</v>
      </c>
      <c r="J155" s="216">
        <v>10.1212320327759</v>
      </c>
      <c r="K155" s="216">
        <v>0.52282565832138095</v>
      </c>
      <c r="L155" s="216">
        <v>266.80490112304699</v>
      </c>
      <c r="M155" s="216">
        <v>3734</v>
      </c>
      <c r="N155" s="216">
        <v>30618.80078125</v>
      </c>
      <c r="O155" s="216">
        <v>16.399999618530298</v>
      </c>
      <c r="Q155" s="216">
        <v>0.55000001192092896</v>
      </c>
      <c r="R155" s="192">
        <f>VLOOKUP($A155,'RBSA Weights'!$A$2:$C$1406,3,FALSE)</f>
        <v>6932.7380000000003</v>
      </c>
      <c r="S155" s="216">
        <f t="shared" si="4"/>
        <v>1</v>
      </c>
      <c r="T155" s="216">
        <f t="shared" si="5"/>
        <v>6932.7380000000003</v>
      </c>
    </row>
    <row r="156" spans="1:20">
      <c r="A156" s="216">
        <v>13912</v>
      </c>
      <c r="B156" s="216">
        <v>1523</v>
      </c>
      <c r="C156" s="216">
        <v>25.200000762939499</v>
      </c>
      <c r="D156" s="216">
        <v>2348</v>
      </c>
      <c r="E156" s="216">
        <v>50.299999237060497</v>
      </c>
      <c r="F156" s="216">
        <v>0.62631112337112405</v>
      </c>
      <c r="G156" s="216">
        <v>201.83065795898401</v>
      </c>
      <c r="H156" s="216">
        <v>2339.21923828125</v>
      </c>
      <c r="I156" s="216">
        <v>223.74127197265599</v>
      </c>
      <c r="J156" s="216">
        <v>14.359259605407701</v>
      </c>
      <c r="K156" s="216">
        <v>0.70388406515121504</v>
      </c>
      <c r="L156" s="216">
        <v>114.66741180419901</v>
      </c>
      <c r="M156" s="216">
        <v>1192</v>
      </c>
      <c r="N156" s="216">
        <v>9774.400390625</v>
      </c>
      <c r="O156" s="216">
        <v>8.2000007629394496</v>
      </c>
      <c r="P156" s="216" t="s">
        <v>1046</v>
      </c>
      <c r="Q156" s="216">
        <v>0.54000002145767201</v>
      </c>
      <c r="R156" s="192">
        <f>VLOOKUP($A156,'RBSA Weights'!$A$2:$C$1406,3,FALSE)</f>
        <v>2003.7159999999999</v>
      </c>
      <c r="S156" s="216">
        <f t="shared" si="4"/>
        <v>1</v>
      </c>
      <c r="T156" s="216">
        <f t="shared" si="5"/>
        <v>2003.7159999999999</v>
      </c>
    </row>
    <row r="157" spans="1:20">
      <c r="A157" s="216">
        <v>13948</v>
      </c>
      <c r="B157" s="216">
        <v>3537</v>
      </c>
      <c r="C157" s="216">
        <v>18.200000762939499</v>
      </c>
      <c r="D157" s="216">
        <v>5710</v>
      </c>
      <c r="E157" s="216">
        <v>37.900001525878899</v>
      </c>
      <c r="F157" s="216">
        <v>0.65292549133300803</v>
      </c>
      <c r="G157" s="216">
        <v>531.98858642578102</v>
      </c>
      <c r="H157" s="216">
        <v>6842.31640625</v>
      </c>
      <c r="I157" s="216">
        <v>611.90606689453102</v>
      </c>
      <c r="J157" s="216">
        <v>23.7616176605225</v>
      </c>
      <c r="K157" s="216">
        <v>1.3039647340774501</v>
      </c>
      <c r="L157" s="216">
        <v>375.48532104492199</v>
      </c>
      <c r="M157" s="216">
        <v>2107</v>
      </c>
      <c r="N157" s="216">
        <v>17277.400390625</v>
      </c>
      <c r="O157" s="216">
        <v>16.399999618530298</v>
      </c>
      <c r="P157" s="216" t="s">
        <v>1047</v>
      </c>
      <c r="Q157" s="216">
        <v>0.490000009536743</v>
      </c>
      <c r="R157" s="192">
        <f>VLOOKUP($A157,'RBSA Weights'!$A$2:$C$1406,3,FALSE)</f>
        <v>1524.7619999999999</v>
      </c>
      <c r="S157" s="216">
        <f t="shared" si="4"/>
        <v>1</v>
      </c>
      <c r="T157" s="216">
        <f t="shared" si="5"/>
        <v>1524.7619999999999</v>
      </c>
    </row>
    <row r="158" spans="1:20">
      <c r="A158" s="216">
        <v>13956</v>
      </c>
      <c r="B158" s="216">
        <v>3359</v>
      </c>
      <c r="C158" s="216">
        <v>25.899999618530298</v>
      </c>
      <c r="D158" s="216">
        <v>5287</v>
      </c>
      <c r="E158" s="216">
        <v>50.400001525878899</v>
      </c>
      <c r="F158" s="216">
        <v>0.68135017156600997</v>
      </c>
      <c r="G158" s="216">
        <v>365.81201171875</v>
      </c>
      <c r="H158" s="216">
        <v>5258.3740234375</v>
      </c>
      <c r="I158" s="216">
        <v>437.677001953125</v>
      </c>
      <c r="J158" s="216">
        <v>11.824187278747599</v>
      </c>
      <c r="K158" s="216">
        <v>0.603923320770264</v>
      </c>
      <c r="L158" s="216">
        <v>268.57275390625</v>
      </c>
      <c r="M158" s="216">
        <v>3254</v>
      </c>
      <c r="N158" s="216">
        <v>26682.80078125</v>
      </c>
      <c r="O158" s="216">
        <v>16.399999618530298</v>
      </c>
      <c r="Q158" s="216">
        <v>0.490000009536743</v>
      </c>
      <c r="R158" s="192">
        <f>VLOOKUP($A158,'RBSA Weights'!$A$2:$C$1406,3,FALSE)</f>
        <v>1524.7619999999999</v>
      </c>
      <c r="S158" s="216">
        <f t="shared" si="4"/>
        <v>1</v>
      </c>
      <c r="T158" s="216">
        <f t="shared" si="5"/>
        <v>1524.7619999999999</v>
      </c>
    </row>
    <row r="159" spans="1:20">
      <c r="A159" s="216">
        <v>13970</v>
      </c>
      <c r="B159" s="216">
        <v>3390</v>
      </c>
      <c r="C159" s="216">
        <v>25.200000762939499</v>
      </c>
      <c r="D159" s="216">
        <v>5083</v>
      </c>
      <c r="E159" s="216">
        <v>48.799999237060497</v>
      </c>
      <c r="F159" s="216">
        <v>0.61292195320129395</v>
      </c>
      <c r="G159" s="216">
        <v>469.08392333984398</v>
      </c>
      <c r="H159" s="216">
        <v>5159.25</v>
      </c>
      <c r="I159" s="216">
        <v>510.44439697265602</v>
      </c>
      <c r="J159" s="216">
        <v>15.3084392547607</v>
      </c>
      <c r="K159" s="216">
        <v>1.0930434465408301</v>
      </c>
      <c r="L159" s="216">
        <v>368.37750244140602</v>
      </c>
      <c r="M159" s="216">
        <v>2466</v>
      </c>
      <c r="N159" s="216">
        <v>20221.19921875</v>
      </c>
      <c r="O159" s="216">
        <v>24.599998474121101</v>
      </c>
      <c r="P159" s="216" t="s">
        <v>1048</v>
      </c>
      <c r="Q159" s="216">
        <v>0.490000009536743</v>
      </c>
      <c r="R159" s="192">
        <f>VLOOKUP($A159,'RBSA Weights'!$A$2:$C$1406,3,FALSE)</f>
        <v>1524.7619999999999</v>
      </c>
      <c r="S159" s="216">
        <f t="shared" si="4"/>
        <v>1</v>
      </c>
      <c r="T159" s="216">
        <f t="shared" si="5"/>
        <v>1524.7619999999999</v>
      </c>
    </row>
    <row r="160" spans="1:20">
      <c r="A160" s="216">
        <v>13974</v>
      </c>
      <c r="B160" s="216">
        <v>1104</v>
      </c>
      <c r="C160" s="216">
        <v>25.799999237060501</v>
      </c>
      <c r="D160" s="216">
        <v>1769</v>
      </c>
      <c r="E160" s="216">
        <v>48.599998474121101</v>
      </c>
      <c r="F160" s="216">
        <v>0.74453246593475297</v>
      </c>
      <c r="G160" s="216">
        <v>98.168548583984403</v>
      </c>
      <c r="H160" s="216">
        <v>1806.80261230469</v>
      </c>
      <c r="I160" s="216">
        <v>128.205810546875</v>
      </c>
      <c r="J160" s="216">
        <v>10.661699295043899</v>
      </c>
      <c r="K160" s="216">
        <v>0.35181924700737</v>
      </c>
      <c r="L160" s="216">
        <v>59.621635437011697</v>
      </c>
      <c r="M160" s="216">
        <v>1240</v>
      </c>
      <c r="N160" s="216">
        <v>10168</v>
      </c>
      <c r="O160" s="216">
        <v>8.1999998092651403</v>
      </c>
      <c r="Q160" s="216">
        <v>0.490000009536743</v>
      </c>
      <c r="R160" s="192">
        <f>VLOOKUP($A160,'RBSA Weights'!$A$2:$C$1406,3,FALSE)</f>
        <v>2003.7159999999999</v>
      </c>
      <c r="S160" s="216">
        <f t="shared" si="4"/>
        <v>1</v>
      </c>
      <c r="T160" s="216">
        <f t="shared" si="5"/>
        <v>2003.7159999999999</v>
      </c>
    </row>
    <row r="161" spans="1:20">
      <c r="A161" s="216">
        <v>13975</v>
      </c>
      <c r="B161" s="216">
        <v>647</v>
      </c>
      <c r="C161" s="216">
        <v>24.5</v>
      </c>
      <c r="D161" s="216">
        <v>1031</v>
      </c>
      <c r="E161" s="216">
        <v>49.400001525878899</v>
      </c>
      <c r="F161" s="216">
        <v>0.66441357135772705</v>
      </c>
      <c r="G161" s="216">
        <v>77.254447937011705</v>
      </c>
      <c r="H161" s="216">
        <v>1039.30310058594</v>
      </c>
      <c r="I161" s="216">
        <v>90.286415100097699</v>
      </c>
      <c r="J161" s="216">
        <v>4.81917428970337</v>
      </c>
      <c r="K161" s="216">
        <v>0.31981199979782099</v>
      </c>
      <c r="L161" s="216">
        <v>68.970657348632798</v>
      </c>
      <c r="M161" s="216">
        <v>1578</v>
      </c>
      <c r="N161" s="216">
        <v>12939.599609375</v>
      </c>
      <c r="O161" s="216">
        <v>16.399999618530298</v>
      </c>
      <c r="P161" s="216" t="s">
        <v>1049</v>
      </c>
      <c r="Q161" s="216">
        <v>0.61000001430511497</v>
      </c>
      <c r="R161" s="192">
        <f>VLOOKUP($A161,'RBSA Weights'!$A$2:$C$1406,3,FALSE)</f>
        <v>4956.4930000000004</v>
      </c>
      <c r="S161" s="216">
        <f t="shared" si="4"/>
        <v>0</v>
      </c>
      <c r="T161" s="216">
        <f t="shared" si="5"/>
        <v>0</v>
      </c>
    </row>
    <row r="162" spans="1:20">
      <c r="A162" s="216">
        <v>14000</v>
      </c>
      <c r="B162" s="216">
        <v>3284</v>
      </c>
      <c r="C162" s="216">
        <v>25.200000762939499</v>
      </c>
      <c r="D162" s="216">
        <v>5040</v>
      </c>
      <c r="E162" s="216">
        <v>49.599998474121101</v>
      </c>
      <c r="F162" s="216">
        <v>0.63257169723510698</v>
      </c>
      <c r="G162" s="216">
        <v>426.49783325195301</v>
      </c>
      <c r="H162" s="216">
        <v>5065.67333984375</v>
      </c>
      <c r="I162" s="216">
        <v>476.91946411132801</v>
      </c>
      <c r="J162" s="216">
        <v>16.342990875244102</v>
      </c>
      <c r="K162" s="216">
        <v>0.94416433572769198</v>
      </c>
      <c r="L162" s="216">
        <v>292.65316772460898</v>
      </c>
      <c r="M162" s="216">
        <v>2268</v>
      </c>
      <c r="N162" s="216">
        <v>18597.599609375</v>
      </c>
      <c r="O162" s="216">
        <v>16.399999618530298</v>
      </c>
      <c r="Q162" s="216">
        <v>0.490000009536743</v>
      </c>
      <c r="R162" s="192">
        <f>VLOOKUP($A162,'RBSA Weights'!$A$2:$C$1406,3,FALSE)</f>
        <v>1524.7619999999999</v>
      </c>
      <c r="S162" s="216">
        <f t="shared" si="4"/>
        <v>1</v>
      </c>
      <c r="T162" s="216">
        <f t="shared" si="5"/>
        <v>1524.7619999999999</v>
      </c>
    </row>
    <row r="163" spans="1:20">
      <c r="A163" s="216">
        <v>14012</v>
      </c>
      <c r="B163" s="216">
        <v>650</v>
      </c>
      <c r="C163" s="216">
        <v>24.799999237060501</v>
      </c>
      <c r="D163" s="216">
        <v>1016</v>
      </c>
      <c r="E163" s="216">
        <v>46.400001525878899</v>
      </c>
      <c r="F163" s="216">
        <v>0.71298921108245905</v>
      </c>
      <c r="G163" s="216">
        <v>65.869499206542997</v>
      </c>
      <c r="H163" s="216">
        <v>1071.59741210938</v>
      </c>
      <c r="I163" s="216">
        <v>82.343399047851605</v>
      </c>
      <c r="J163" s="216">
        <v>3.0391304492950399</v>
      </c>
      <c r="K163" s="216">
        <v>0.15792554616928101</v>
      </c>
      <c r="L163" s="216">
        <v>55.684543609619098</v>
      </c>
      <c r="M163" s="216">
        <v>2580</v>
      </c>
      <c r="N163" s="216">
        <v>21156</v>
      </c>
      <c r="O163" s="216">
        <v>16.399999618530298</v>
      </c>
      <c r="P163" s="216" t="s">
        <v>1050</v>
      </c>
      <c r="Q163" s="216">
        <v>0.54000002145767201</v>
      </c>
      <c r="R163" s="192">
        <f>VLOOKUP($A163,'RBSA Weights'!$A$2:$C$1406,3,FALSE)</f>
        <v>2003.7159999999999</v>
      </c>
      <c r="S163" s="216">
        <f t="shared" si="4"/>
        <v>0</v>
      </c>
      <c r="T163" s="216">
        <f t="shared" si="5"/>
        <v>0</v>
      </c>
    </row>
    <row r="164" spans="1:20">
      <c r="A164" s="216">
        <v>14015</v>
      </c>
      <c r="B164" s="216">
        <v>1112</v>
      </c>
      <c r="C164" s="216">
        <v>23.200000762939499</v>
      </c>
      <c r="D164" s="216">
        <v>1857</v>
      </c>
      <c r="E164" s="216">
        <v>49</v>
      </c>
      <c r="F164" s="216">
        <v>0.685868740081787</v>
      </c>
      <c r="G164" s="216">
        <v>128.69427490234401</v>
      </c>
      <c r="H164" s="216">
        <v>1882.91040039063</v>
      </c>
      <c r="I164" s="216">
        <v>154.944259643555</v>
      </c>
      <c r="J164" s="216">
        <v>4.6404151916503897</v>
      </c>
      <c r="K164" s="216">
        <v>0.24388492107391399</v>
      </c>
      <c r="L164" s="216">
        <v>98.959564208984403</v>
      </c>
      <c r="M164" s="216">
        <v>2969</v>
      </c>
      <c r="N164" s="216">
        <v>24345.80078125</v>
      </c>
      <c r="O164" s="216">
        <v>16.399999618530298</v>
      </c>
      <c r="Q164" s="216">
        <v>0.50999999046325695</v>
      </c>
      <c r="R164" s="192">
        <f>VLOOKUP($A164,'RBSA Weights'!$A$2:$C$1406,3,FALSE)</f>
        <v>4956.4930000000004</v>
      </c>
      <c r="S164" s="216">
        <f t="shared" si="4"/>
        <v>0</v>
      </c>
      <c r="T164" s="216">
        <f t="shared" si="5"/>
        <v>0</v>
      </c>
    </row>
    <row r="165" spans="1:20">
      <c r="A165" s="216">
        <v>14037</v>
      </c>
      <c r="B165" s="216">
        <v>3217</v>
      </c>
      <c r="C165" s="216">
        <v>26.5</v>
      </c>
      <c r="D165" s="216">
        <v>4662</v>
      </c>
      <c r="E165" s="216">
        <v>48.400001525878899</v>
      </c>
      <c r="F165" s="216">
        <v>0.61590790748596203</v>
      </c>
      <c r="G165" s="216">
        <v>427.42770385742199</v>
      </c>
      <c r="H165" s="216">
        <v>4756.3271484375</v>
      </c>
      <c r="I165" s="216">
        <v>467.04452514648398</v>
      </c>
      <c r="J165" s="216">
        <v>24.439884185791001</v>
      </c>
      <c r="K165" s="216">
        <v>1.4726308584213299</v>
      </c>
      <c r="L165" s="216">
        <v>286.59359741210898</v>
      </c>
      <c r="M165" s="216">
        <v>1424</v>
      </c>
      <c r="N165" s="216">
        <v>11676.7998046875</v>
      </c>
      <c r="O165" s="216">
        <v>16.399999618530298</v>
      </c>
      <c r="Q165" s="216">
        <v>0.490000009536743</v>
      </c>
      <c r="R165" s="192">
        <f>VLOOKUP($A165,'RBSA Weights'!$A$2:$C$1406,3,FALSE)</f>
        <v>1524.7619999999999</v>
      </c>
      <c r="S165" s="216">
        <f t="shared" si="4"/>
        <v>1</v>
      </c>
      <c r="T165" s="216">
        <f t="shared" si="5"/>
        <v>1524.7619999999999</v>
      </c>
    </row>
    <row r="166" spans="1:20">
      <c r="A166" s="216">
        <v>14073</v>
      </c>
      <c r="B166" s="216">
        <v>2997</v>
      </c>
      <c r="C166" s="216">
        <v>24.600000381469702</v>
      </c>
      <c r="D166" s="216">
        <v>4701</v>
      </c>
      <c r="E166" s="216">
        <v>50.299999237060497</v>
      </c>
      <c r="F166" s="216">
        <v>0.62937164306640603</v>
      </c>
      <c r="G166" s="216">
        <v>399.27453613281301</v>
      </c>
      <c r="H166" s="216">
        <v>4683.33447265625</v>
      </c>
      <c r="I166" s="216">
        <v>444.50146484375</v>
      </c>
      <c r="J166" s="216">
        <v>11.671765327453601</v>
      </c>
      <c r="K166" s="216">
        <v>0.74913561344146695</v>
      </c>
      <c r="L166" s="216">
        <v>300.59313964843801</v>
      </c>
      <c r="M166" s="216">
        <v>2936</v>
      </c>
      <c r="N166" s="216">
        <v>24075.19921875</v>
      </c>
      <c r="O166" s="216">
        <v>16.399999618530298</v>
      </c>
      <c r="Q166" s="216">
        <v>0.54000002145767201</v>
      </c>
      <c r="R166" s="192">
        <f>VLOOKUP($A166,'RBSA Weights'!$A$2:$C$1406,3,FALSE)</f>
        <v>2003.7159999999999</v>
      </c>
      <c r="S166" s="216">
        <f t="shared" si="4"/>
        <v>1</v>
      </c>
      <c r="T166" s="216">
        <f t="shared" si="5"/>
        <v>2003.7159999999999</v>
      </c>
    </row>
    <row r="167" spans="1:20">
      <c r="A167" s="216">
        <v>14102</v>
      </c>
      <c r="B167" s="216">
        <v>3141</v>
      </c>
      <c r="C167" s="216">
        <v>25.700000762939499</v>
      </c>
      <c r="D167" s="216">
        <v>5007</v>
      </c>
      <c r="E167" s="216">
        <v>50.799999237060497</v>
      </c>
      <c r="F167" s="216">
        <v>0.68431472778320301</v>
      </c>
      <c r="G167" s="216">
        <v>340.58847045898398</v>
      </c>
      <c r="H167" s="216">
        <v>4952.90673828125</v>
      </c>
      <c r="I167" s="216">
        <v>409.17639160156301</v>
      </c>
      <c r="J167" s="216">
        <v>13.3140268325806</v>
      </c>
      <c r="K167" s="216">
        <v>0.74381631612777699</v>
      </c>
      <c r="L167" s="216">
        <v>276.70465087890602</v>
      </c>
      <c r="M167" s="216">
        <v>2722</v>
      </c>
      <c r="N167" s="216">
        <v>22320.400390625</v>
      </c>
      <c r="O167" s="216">
        <v>16.399999618530298</v>
      </c>
      <c r="Q167" s="216">
        <v>0.54000002145767201</v>
      </c>
      <c r="R167" s="192">
        <f>VLOOKUP($A167,'RBSA Weights'!$A$2:$C$1406,3,FALSE)</f>
        <v>4956.4930000000004</v>
      </c>
      <c r="S167" s="216">
        <f t="shared" si="4"/>
        <v>1</v>
      </c>
      <c r="T167" s="216">
        <f t="shared" si="5"/>
        <v>4956.4930000000004</v>
      </c>
    </row>
    <row r="168" spans="1:20">
      <c r="A168" s="216">
        <v>14122</v>
      </c>
      <c r="B168" s="216">
        <v>3415</v>
      </c>
      <c r="C168" s="216">
        <v>25.200000762939499</v>
      </c>
      <c r="D168" s="216">
        <v>5605</v>
      </c>
      <c r="E168" s="216">
        <v>50.400001525878899</v>
      </c>
      <c r="F168" s="216">
        <v>0.71482878923416104</v>
      </c>
      <c r="G168" s="216">
        <v>340.11770629882801</v>
      </c>
      <c r="H168" s="216">
        <v>5573.1650390625</v>
      </c>
      <c r="I168" s="216">
        <v>426.26647949218801</v>
      </c>
      <c r="J168" s="216">
        <v>17.8231010437012</v>
      </c>
      <c r="K168" s="216">
        <v>0.69864481687545799</v>
      </c>
      <c r="L168" s="216">
        <v>218.46157836914099</v>
      </c>
      <c r="M168" s="216">
        <v>2288</v>
      </c>
      <c r="N168" s="216">
        <v>18761.599609375</v>
      </c>
      <c r="O168" s="216">
        <v>8.1999998092651403</v>
      </c>
      <c r="P168" s="216" t="s">
        <v>1051</v>
      </c>
      <c r="Q168" s="216">
        <v>0.54000002145767201</v>
      </c>
      <c r="R168" s="192">
        <f>VLOOKUP($A168,'RBSA Weights'!$A$2:$C$1406,3,FALSE)</f>
        <v>1464.694</v>
      </c>
      <c r="S168" s="216">
        <f t="shared" si="4"/>
        <v>1</v>
      </c>
      <c r="T168" s="216">
        <f t="shared" si="5"/>
        <v>1464.694</v>
      </c>
    </row>
    <row r="169" spans="1:20">
      <c r="A169" s="216">
        <v>14140</v>
      </c>
      <c r="B169" s="216">
        <v>1366</v>
      </c>
      <c r="C169" s="216">
        <v>25.799999237060501</v>
      </c>
      <c r="D169" s="216">
        <v>2089</v>
      </c>
      <c r="E169" s="216">
        <v>48.900001525878899</v>
      </c>
      <c r="F169" s="216">
        <v>0.66436779499053999</v>
      </c>
      <c r="G169" s="216">
        <v>157.62170410156301</v>
      </c>
      <c r="H169" s="216">
        <v>2120.10302734375</v>
      </c>
      <c r="I169" s="216">
        <v>184.19906616210901</v>
      </c>
      <c r="J169" s="216">
        <v>5.3364114761352504</v>
      </c>
      <c r="K169" s="216">
        <v>0.313534736633301</v>
      </c>
      <c r="L169" s="216">
        <v>124.56421661377</v>
      </c>
      <c r="M169" s="216">
        <v>2907</v>
      </c>
      <c r="N169" s="216">
        <v>23837.400390625</v>
      </c>
      <c r="O169" s="216">
        <v>16.399999618530298</v>
      </c>
      <c r="P169" s="216" t="s">
        <v>1052</v>
      </c>
      <c r="Q169" s="216">
        <v>0.54000002145767201</v>
      </c>
      <c r="R169" s="192">
        <f>VLOOKUP($A169,'RBSA Weights'!$A$2:$C$1406,3,FALSE)</f>
        <v>2003.7159999999999</v>
      </c>
      <c r="S169" s="216">
        <f t="shared" si="4"/>
        <v>0</v>
      </c>
      <c r="T169" s="216">
        <f t="shared" si="5"/>
        <v>0</v>
      </c>
    </row>
    <row r="170" spans="1:20">
      <c r="A170" s="216">
        <v>14150</v>
      </c>
      <c r="B170" s="216">
        <v>1445</v>
      </c>
      <c r="C170" s="216">
        <v>25</v>
      </c>
      <c r="D170" s="216">
        <v>2121</v>
      </c>
      <c r="E170" s="216">
        <v>50</v>
      </c>
      <c r="F170" s="216">
        <v>0.55367511510848999</v>
      </c>
      <c r="G170" s="216">
        <v>243.14382934570301</v>
      </c>
      <c r="H170" s="216">
        <v>2121</v>
      </c>
      <c r="I170" s="216">
        <v>243.71990966796901</v>
      </c>
      <c r="J170" s="216">
        <v>15.5506134033203</v>
      </c>
      <c r="K170" s="216">
        <v>0.93274015188217196</v>
      </c>
      <c r="L170" s="216">
        <v>127.219535827637</v>
      </c>
      <c r="M170" s="216">
        <v>998</v>
      </c>
      <c r="N170" s="216">
        <v>8183.60009765625</v>
      </c>
      <c r="O170" s="216">
        <v>8.1999998092651403</v>
      </c>
      <c r="Q170" s="216">
        <v>0.55000001192092896</v>
      </c>
      <c r="R170" s="192">
        <f>VLOOKUP($A170,'RBSA Weights'!$A$2:$C$1406,3,FALSE)</f>
        <v>6932.7380000000003</v>
      </c>
      <c r="S170" s="216">
        <f t="shared" si="4"/>
        <v>1</v>
      </c>
      <c r="T170" s="216">
        <f t="shared" si="5"/>
        <v>6932.7380000000003</v>
      </c>
    </row>
    <row r="171" spans="1:20">
      <c r="A171" s="216">
        <v>14153</v>
      </c>
      <c r="B171" s="216">
        <v>1346</v>
      </c>
      <c r="C171" s="216">
        <v>25</v>
      </c>
      <c r="D171" s="216">
        <v>2118</v>
      </c>
      <c r="E171" s="216">
        <v>50</v>
      </c>
      <c r="F171" s="216">
        <v>0.65402418375015303</v>
      </c>
      <c r="G171" s="216">
        <v>163.9677734375</v>
      </c>
      <c r="H171" s="216">
        <v>2118</v>
      </c>
      <c r="I171" s="216">
        <v>188.88714599609401</v>
      </c>
      <c r="J171" s="216">
        <v>10.202476501464799</v>
      </c>
      <c r="K171" s="216">
        <v>0.59251242876052901</v>
      </c>
      <c r="L171" s="216">
        <v>123.00360107421901</v>
      </c>
      <c r="M171" s="216">
        <v>1519</v>
      </c>
      <c r="N171" s="216">
        <v>12455.7998046875</v>
      </c>
      <c r="O171" s="216">
        <v>16.399999618530298</v>
      </c>
      <c r="Q171" s="216">
        <v>0.519999980926514</v>
      </c>
      <c r="R171" s="192">
        <f>VLOOKUP($A171,'RBSA Weights'!$A$2:$C$1406,3,FALSE)</f>
        <v>6932.7380000000003</v>
      </c>
      <c r="S171" s="216">
        <f t="shared" si="4"/>
        <v>1</v>
      </c>
      <c r="T171" s="216">
        <f t="shared" si="5"/>
        <v>6932.7380000000003</v>
      </c>
    </row>
    <row r="172" spans="1:20">
      <c r="A172" s="216">
        <v>14174</v>
      </c>
      <c r="B172" s="216">
        <v>1480</v>
      </c>
      <c r="C172" s="216">
        <v>25</v>
      </c>
      <c r="D172" s="216">
        <v>2447</v>
      </c>
      <c r="E172" s="216">
        <v>50</v>
      </c>
      <c r="F172" s="216">
        <v>0.72541689872741699</v>
      </c>
      <c r="G172" s="216">
        <v>143.27566528320301</v>
      </c>
      <c r="H172" s="216">
        <v>2447</v>
      </c>
      <c r="I172" s="216">
        <v>182.221267700195</v>
      </c>
      <c r="J172" s="216">
        <v>8.7170772552490199</v>
      </c>
      <c r="K172" s="216">
        <v>0.40646031498909002</v>
      </c>
      <c r="L172" s="216">
        <v>114.098838806152</v>
      </c>
      <c r="M172" s="216">
        <v>2054</v>
      </c>
      <c r="N172" s="216">
        <v>16842.80078125</v>
      </c>
      <c r="O172" s="216">
        <v>16.400001525878899</v>
      </c>
      <c r="Q172" s="216">
        <v>0.5</v>
      </c>
      <c r="R172" s="192">
        <f>VLOOKUP($A172,'RBSA Weights'!$A$2:$C$1406,3,FALSE)</f>
        <v>6932.7380000000003</v>
      </c>
      <c r="S172" s="216">
        <f t="shared" si="4"/>
        <v>1</v>
      </c>
      <c r="T172" s="216">
        <f t="shared" si="5"/>
        <v>6932.7380000000003</v>
      </c>
    </row>
    <row r="173" spans="1:20">
      <c r="A173" s="216">
        <v>14181</v>
      </c>
      <c r="B173" s="216">
        <v>3790</v>
      </c>
      <c r="C173" s="216">
        <v>24.5</v>
      </c>
      <c r="D173" s="216">
        <v>5746</v>
      </c>
      <c r="E173" s="216">
        <v>49.400001525878899</v>
      </c>
      <c r="F173" s="216">
        <v>0.59339994192123402</v>
      </c>
      <c r="G173" s="216">
        <v>567.94744873046898</v>
      </c>
      <c r="H173" s="216">
        <v>5787.3115234375</v>
      </c>
      <c r="I173" s="216">
        <v>601.52355957031295</v>
      </c>
      <c r="J173" s="216">
        <v>20.636539459228501</v>
      </c>
      <c r="K173" s="216">
        <v>1.3161969184875499</v>
      </c>
      <c r="L173" s="216">
        <v>369.11428833007801</v>
      </c>
      <c r="M173" s="216">
        <v>2052</v>
      </c>
      <c r="N173" s="216">
        <v>16826.400390625</v>
      </c>
      <c r="O173" s="216">
        <v>16.399999618530298</v>
      </c>
      <c r="P173" s="216" t="s">
        <v>1053</v>
      </c>
      <c r="Q173" s="216">
        <v>0.490000009536743</v>
      </c>
      <c r="R173" s="192">
        <f>VLOOKUP($A173,'RBSA Weights'!$A$2:$C$1406,3,FALSE)</f>
        <v>1524.7619999999999</v>
      </c>
      <c r="S173" s="216">
        <f t="shared" si="4"/>
        <v>1</v>
      </c>
      <c r="T173" s="216">
        <f t="shared" si="5"/>
        <v>1524.7619999999999</v>
      </c>
    </row>
    <row r="174" spans="1:20">
      <c r="A174" s="216">
        <v>14211</v>
      </c>
      <c r="B174" s="216">
        <v>1817</v>
      </c>
      <c r="C174" s="216">
        <v>24.799999237060501</v>
      </c>
      <c r="D174" s="216">
        <v>3108</v>
      </c>
      <c r="E174" s="216">
        <v>50.799999237060497</v>
      </c>
      <c r="F174" s="216">
        <v>0.74860972166061401</v>
      </c>
      <c r="G174" s="216">
        <v>164.23089599609401</v>
      </c>
      <c r="H174" s="216">
        <v>3071.28637695313</v>
      </c>
      <c r="I174" s="216">
        <v>215.69741821289099</v>
      </c>
      <c r="J174" s="216">
        <v>8.4199428558349592</v>
      </c>
      <c r="K174" s="216">
        <v>0.41469988226890597</v>
      </c>
      <c r="L174" s="216">
        <v>151.26731872558599</v>
      </c>
      <c r="M174" s="216">
        <v>2669</v>
      </c>
      <c r="N174" s="216">
        <v>21885.80078125</v>
      </c>
      <c r="O174" s="216">
        <v>16.400001525878899</v>
      </c>
      <c r="Q174" s="216">
        <v>0.56000000238418601</v>
      </c>
      <c r="R174" s="192">
        <f>VLOOKUP($A174,'RBSA Weights'!$A$2:$C$1406,3,FALSE)</f>
        <v>1524.7619999999999</v>
      </c>
      <c r="S174" s="216">
        <f t="shared" si="4"/>
        <v>1</v>
      </c>
      <c r="T174" s="216">
        <f t="shared" si="5"/>
        <v>1524.7619999999999</v>
      </c>
    </row>
    <row r="175" spans="1:20">
      <c r="A175" s="216">
        <v>14222</v>
      </c>
      <c r="B175" s="216">
        <v>2690</v>
      </c>
      <c r="C175" s="216">
        <v>24.399999618530298</v>
      </c>
      <c r="D175" s="216">
        <v>4056</v>
      </c>
      <c r="E175" s="216">
        <v>49.900001525878899</v>
      </c>
      <c r="F175" s="216">
        <v>0.57399260997772195</v>
      </c>
      <c r="G175" s="216">
        <v>429.93298339843801</v>
      </c>
      <c r="H175" s="216">
        <v>4060.66333007813</v>
      </c>
      <c r="I175" s="216">
        <v>443.26235961914102</v>
      </c>
      <c r="J175" s="216">
        <v>11.7905435562134</v>
      </c>
      <c r="K175" s="216">
        <v>0.78977960348129295</v>
      </c>
      <c r="L175" s="216">
        <v>272.00009155273398</v>
      </c>
      <c r="M175" s="216">
        <v>2520</v>
      </c>
      <c r="N175" s="216">
        <v>20664</v>
      </c>
      <c r="O175" s="216">
        <v>16.399999618530298</v>
      </c>
      <c r="Q175" s="216">
        <v>0.490000009536743</v>
      </c>
      <c r="R175" s="192">
        <f>VLOOKUP($A175,'RBSA Weights'!$A$2:$C$1406,3,FALSE)</f>
        <v>1524.7619999999999</v>
      </c>
      <c r="S175" s="216">
        <f t="shared" si="4"/>
        <v>1</v>
      </c>
      <c r="T175" s="216">
        <f t="shared" si="5"/>
        <v>1524.7619999999999</v>
      </c>
    </row>
    <row r="176" spans="1:20">
      <c r="A176" s="216">
        <v>14264</v>
      </c>
      <c r="B176" s="216">
        <v>1554</v>
      </c>
      <c r="C176" s="216">
        <v>26.299999237060501</v>
      </c>
      <c r="D176" s="216">
        <v>2327</v>
      </c>
      <c r="E176" s="216">
        <v>47.099998474121101</v>
      </c>
      <c r="F176" s="216">
        <v>0.69288623332977295</v>
      </c>
      <c r="G176" s="216">
        <v>161.281005859375</v>
      </c>
      <c r="H176" s="216">
        <v>2425.35961914063</v>
      </c>
      <c r="I176" s="216">
        <v>196.07598876953099</v>
      </c>
      <c r="J176" s="216">
        <v>9.0543537139892596</v>
      </c>
      <c r="K176" s="216">
        <v>0.46750688552856401</v>
      </c>
      <c r="L176" s="216">
        <v>125.22950744628901</v>
      </c>
      <c r="M176" s="216">
        <v>1960</v>
      </c>
      <c r="N176" s="216">
        <v>16072</v>
      </c>
      <c r="O176" s="216">
        <v>16.399999618530298</v>
      </c>
      <c r="Q176" s="216">
        <v>0.50999999046325695</v>
      </c>
      <c r="R176" s="192">
        <f>VLOOKUP($A176,'RBSA Weights'!$A$2:$C$1406,3,FALSE)</f>
        <v>4956.4930000000004</v>
      </c>
      <c r="S176" s="216">
        <f t="shared" si="4"/>
        <v>1</v>
      </c>
      <c r="T176" s="216">
        <f t="shared" si="5"/>
        <v>4956.4930000000004</v>
      </c>
    </row>
    <row r="177" spans="1:20">
      <c r="A177" s="216">
        <v>14273</v>
      </c>
      <c r="B177" s="216">
        <v>1339</v>
      </c>
      <c r="C177" s="216">
        <v>26</v>
      </c>
      <c r="D177" s="216">
        <v>2073</v>
      </c>
      <c r="E177" s="216">
        <v>50.799999237060497</v>
      </c>
      <c r="F177" s="216">
        <v>0.65254390239715598</v>
      </c>
      <c r="G177" s="216">
        <v>159.75274658203099</v>
      </c>
      <c r="H177" s="216">
        <v>2051.63842773438</v>
      </c>
      <c r="I177" s="216">
        <v>183.65426635742199</v>
      </c>
      <c r="J177" s="216">
        <v>7.9260764122009304</v>
      </c>
      <c r="K177" s="216">
        <v>0.43537813425064098</v>
      </c>
      <c r="L177" s="216">
        <v>112.696182250977</v>
      </c>
      <c r="M177" s="216">
        <v>1894</v>
      </c>
      <c r="N177" s="216">
        <v>15530.7998046875</v>
      </c>
      <c r="O177" s="216">
        <v>16.399999618530298</v>
      </c>
      <c r="Q177" s="216">
        <v>0.490000009536743</v>
      </c>
      <c r="R177" s="192">
        <f>VLOOKUP($A177,'RBSA Weights'!$A$2:$C$1406,3,FALSE)</f>
        <v>4956.4930000000004</v>
      </c>
      <c r="S177" s="216">
        <f t="shared" si="4"/>
        <v>1</v>
      </c>
      <c r="T177" s="216">
        <f t="shared" si="5"/>
        <v>4956.4930000000004</v>
      </c>
    </row>
    <row r="178" spans="1:20">
      <c r="A178" s="216">
        <v>14277</v>
      </c>
      <c r="B178" s="216">
        <v>927</v>
      </c>
      <c r="C178" s="216">
        <v>24.200000762939499</v>
      </c>
      <c r="D178" s="216">
        <v>1592</v>
      </c>
      <c r="E178" s="216">
        <v>50.200000762939503</v>
      </c>
      <c r="F178" s="216">
        <v>0.74115484952926602</v>
      </c>
      <c r="G178" s="216">
        <v>87.389297485351605</v>
      </c>
      <c r="H178" s="216">
        <v>1587.29663085938</v>
      </c>
      <c r="I178" s="216">
        <v>113.59521484375</v>
      </c>
      <c r="J178" s="216">
        <v>6.6329898834228498</v>
      </c>
      <c r="K178" s="216">
        <v>0.29128590226173401</v>
      </c>
      <c r="L178" s="216">
        <v>69.7056884765625</v>
      </c>
      <c r="M178" s="216">
        <v>1751</v>
      </c>
      <c r="N178" s="216">
        <v>14358.2001953125</v>
      </c>
      <c r="O178" s="216">
        <v>16.399999618530298</v>
      </c>
      <c r="Q178" s="216">
        <v>0.490000009536743</v>
      </c>
      <c r="R178" s="192">
        <f>VLOOKUP($A178,'RBSA Weights'!$A$2:$C$1406,3,FALSE)</f>
        <v>4956.4930000000004</v>
      </c>
      <c r="S178" s="216">
        <f t="shared" si="4"/>
        <v>0</v>
      </c>
      <c r="T178" s="216">
        <f t="shared" si="5"/>
        <v>0</v>
      </c>
    </row>
    <row r="179" spans="1:20">
      <c r="A179" s="216">
        <v>14284</v>
      </c>
      <c r="B179" s="216">
        <v>2095</v>
      </c>
      <c r="C179" s="216">
        <v>24.200000762939499</v>
      </c>
      <c r="D179" s="216">
        <v>3407</v>
      </c>
      <c r="E179" s="216">
        <v>50.200000762939503</v>
      </c>
      <c r="F179" s="216">
        <v>0.66644328832626298</v>
      </c>
      <c r="G179" s="216">
        <v>250.58181762695301</v>
      </c>
      <c r="H179" s="216">
        <v>3397.94775390625</v>
      </c>
      <c r="I179" s="216">
        <v>293.67739868164102</v>
      </c>
      <c r="J179" s="216">
        <v>8.1172161102294904</v>
      </c>
      <c r="K179" s="216">
        <v>0.43049597740173301</v>
      </c>
      <c r="L179" s="216">
        <v>180.20993041992199</v>
      </c>
      <c r="M179" s="216">
        <v>3063</v>
      </c>
      <c r="N179" s="216">
        <v>25116.599609375</v>
      </c>
      <c r="O179" s="216">
        <v>16.399999618530298</v>
      </c>
      <c r="Q179" s="216">
        <v>0.490000009536743</v>
      </c>
      <c r="R179" s="192">
        <f>VLOOKUP($A179,'RBSA Weights'!$A$2:$C$1406,3,FALSE)</f>
        <v>1524.7619999999999</v>
      </c>
      <c r="S179" s="216">
        <f t="shared" si="4"/>
        <v>1</v>
      </c>
      <c r="T179" s="216">
        <f t="shared" si="5"/>
        <v>1524.7619999999999</v>
      </c>
    </row>
    <row r="180" spans="1:20">
      <c r="A180" s="216">
        <v>14285</v>
      </c>
      <c r="B180" s="216">
        <v>2753</v>
      </c>
      <c r="C180" s="216">
        <v>24.5</v>
      </c>
      <c r="D180" s="216">
        <v>4522</v>
      </c>
      <c r="E180" s="216">
        <v>51.400001525878899</v>
      </c>
      <c r="F180" s="216">
        <v>0.66975241899490401</v>
      </c>
      <c r="G180" s="216">
        <v>323.15350341796898</v>
      </c>
      <c r="H180" s="216">
        <v>4439.1328125</v>
      </c>
      <c r="I180" s="216">
        <v>380.47146606445301</v>
      </c>
      <c r="J180" s="216">
        <v>13.7866983413696</v>
      </c>
      <c r="K180" s="216">
        <v>0.72509086132049605</v>
      </c>
      <c r="L180" s="216">
        <v>233.46957397460901</v>
      </c>
      <c r="M180" s="216">
        <v>2356</v>
      </c>
      <c r="N180" s="216">
        <v>19319.19921875</v>
      </c>
      <c r="O180" s="216">
        <v>16.399999618530298</v>
      </c>
      <c r="Q180" s="216">
        <v>0.490000009536743</v>
      </c>
      <c r="R180" s="192">
        <f>VLOOKUP($A180,'RBSA Weights'!$A$2:$C$1406,3,FALSE)</f>
        <v>1524.7619999999999</v>
      </c>
      <c r="S180" s="216">
        <f t="shared" si="4"/>
        <v>1</v>
      </c>
      <c r="T180" s="216">
        <f t="shared" si="5"/>
        <v>1524.7619999999999</v>
      </c>
    </row>
    <row r="181" spans="1:20">
      <c r="A181" s="216">
        <v>14300</v>
      </c>
      <c r="B181" s="216">
        <v>1727</v>
      </c>
      <c r="C181" s="216">
        <v>24.799999237060501</v>
      </c>
      <c r="D181" s="216">
        <v>2967</v>
      </c>
      <c r="E181" s="216">
        <v>51.700000762939503</v>
      </c>
      <c r="F181" s="216">
        <v>0.73666632175445601</v>
      </c>
      <c r="G181" s="216">
        <v>162.19847106933599</v>
      </c>
      <c r="H181" s="216">
        <v>2894.814453125</v>
      </c>
      <c r="I181" s="216">
        <v>209.52998352050801</v>
      </c>
      <c r="J181" s="216">
        <v>17.081911087036101</v>
      </c>
      <c r="K181" s="216">
        <v>0.68059688806533802</v>
      </c>
      <c r="L181" s="216">
        <v>115.338485717773</v>
      </c>
      <c r="M181" s="216">
        <v>1240</v>
      </c>
      <c r="N181" s="216">
        <v>10168</v>
      </c>
      <c r="O181" s="216">
        <v>8.1999998092651403</v>
      </c>
      <c r="Q181" s="216">
        <v>0.57999998331069902</v>
      </c>
      <c r="R181" s="192">
        <f>VLOOKUP($A181,'RBSA Weights'!$A$2:$C$1406,3,FALSE)</f>
        <v>4956.4930000000004</v>
      </c>
      <c r="S181" s="216">
        <f t="shared" si="4"/>
        <v>1</v>
      </c>
      <c r="T181" s="216">
        <f t="shared" si="5"/>
        <v>4956.4930000000004</v>
      </c>
    </row>
    <row r="182" spans="1:20">
      <c r="A182" s="216">
        <v>14329</v>
      </c>
      <c r="B182" s="216">
        <v>1268</v>
      </c>
      <c r="C182" s="216">
        <v>25</v>
      </c>
      <c r="D182" s="216">
        <v>1950</v>
      </c>
      <c r="E182" s="216">
        <v>50</v>
      </c>
      <c r="F182" s="216">
        <v>0.62091940641403198</v>
      </c>
      <c r="G182" s="216">
        <v>171.83482360839801</v>
      </c>
      <c r="H182" s="216">
        <v>1950.00012207031</v>
      </c>
      <c r="I182" s="216">
        <v>189.07060241699199</v>
      </c>
      <c r="J182" s="216">
        <v>7.3058342933654803</v>
      </c>
      <c r="K182" s="216">
        <v>0.336147040128708</v>
      </c>
      <c r="L182" s="216">
        <v>89.721000671386705</v>
      </c>
      <c r="M182" s="216">
        <v>1953</v>
      </c>
      <c r="N182" s="216">
        <v>16014.599609375</v>
      </c>
      <c r="O182" s="216">
        <v>8.1999998092651403</v>
      </c>
      <c r="Q182" s="216">
        <v>0.5</v>
      </c>
      <c r="R182" s="192">
        <f>VLOOKUP($A182,'RBSA Weights'!$A$2:$C$1406,3,FALSE)</f>
        <v>6932.7380000000003</v>
      </c>
      <c r="S182" s="216">
        <f t="shared" si="4"/>
        <v>1</v>
      </c>
      <c r="T182" s="216">
        <f t="shared" si="5"/>
        <v>6932.7380000000003</v>
      </c>
    </row>
    <row r="183" spans="1:20">
      <c r="A183" s="216">
        <v>14331</v>
      </c>
      <c r="B183" s="216">
        <v>1212</v>
      </c>
      <c r="C183" s="216">
        <v>25</v>
      </c>
      <c r="D183" s="216">
        <v>1957</v>
      </c>
      <c r="E183" s="216">
        <v>50</v>
      </c>
      <c r="F183" s="216">
        <v>0.69125407934188798</v>
      </c>
      <c r="G183" s="216">
        <v>130.96971130371099</v>
      </c>
      <c r="H183" s="216">
        <v>1957</v>
      </c>
      <c r="I183" s="216">
        <v>158.86543273925801</v>
      </c>
      <c r="J183" s="216">
        <v>7.5684523582458496</v>
      </c>
      <c r="K183" s="216">
        <v>0.27988976240158098</v>
      </c>
      <c r="L183" s="216">
        <v>72.372024536132798</v>
      </c>
      <c r="M183" s="216">
        <v>1892</v>
      </c>
      <c r="N183" s="216">
        <v>15514.400390625</v>
      </c>
      <c r="O183" s="216">
        <v>8.1999998092651403</v>
      </c>
      <c r="Q183" s="216">
        <v>0.479999989271164</v>
      </c>
      <c r="R183" s="192">
        <f>VLOOKUP($A183,'RBSA Weights'!$A$2:$C$1406,3,FALSE)</f>
        <v>6932.7380000000003</v>
      </c>
      <c r="S183" s="216">
        <f t="shared" si="4"/>
        <v>1</v>
      </c>
      <c r="T183" s="216">
        <f t="shared" si="5"/>
        <v>6932.7380000000003</v>
      </c>
    </row>
    <row r="184" spans="1:20">
      <c r="A184" s="216">
        <v>14423</v>
      </c>
      <c r="B184" s="216">
        <v>1058</v>
      </c>
      <c r="C184" s="216">
        <v>23.100000381469702</v>
      </c>
      <c r="D184" s="216">
        <v>1849</v>
      </c>
      <c r="E184" s="216">
        <v>50.900001525878899</v>
      </c>
      <c r="F184" s="216">
        <v>0.70663696527481101</v>
      </c>
      <c r="G184" s="216">
        <v>115.05540466308599</v>
      </c>
      <c r="H184" s="216">
        <v>1825.83715820313</v>
      </c>
      <c r="I184" s="216">
        <v>142.56961059570301</v>
      </c>
      <c r="J184" s="216">
        <v>10.561094284057599</v>
      </c>
      <c r="K184" s="216">
        <v>0.62996405363082897</v>
      </c>
      <c r="L184" s="216">
        <v>108.910285949707</v>
      </c>
      <c r="M184" s="216">
        <v>1265</v>
      </c>
      <c r="N184" s="216">
        <v>10373</v>
      </c>
      <c r="O184" s="216">
        <v>16.399999618530298</v>
      </c>
      <c r="Q184" s="216">
        <v>0.61000001430511497</v>
      </c>
      <c r="R184" s="192">
        <f>VLOOKUP($A184,'RBSA Weights'!$A$2:$C$1406,3,FALSE)</f>
        <v>4956.4930000000004</v>
      </c>
      <c r="S184" s="216">
        <f t="shared" si="4"/>
        <v>1</v>
      </c>
      <c r="T184" s="216">
        <f t="shared" si="5"/>
        <v>4956.4930000000004</v>
      </c>
    </row>
    <row r="185" spans="1:20">
      <c r="A185" s="216">
        <v>14508</v>
      </c>
      <c r="B185" s="216">
        <v>1557</v>
      </c>
      <c r="C185" s="216">
        <v>24</v>
      </c>
      <c r="D185" s="216">
        <v>2447</v>
      </c>
      <c r="E185" s="216">
        <v>45.200000762939503</v>
      </c>
      <c r="F185" s="216">
        <v>0.71417218446731601</v>
      </c>
      <c r="G185" s="216">
        <v>160.90892028808599</v>
      </c>
      <c r="H185" s="216">
        <v>2629.88793945313</v>
      </c>
      <c r="I185" s="216">
        <v>201.48222351074199</v>
      </c>
      <c r="J185" s="216">
        <v>5.4870495796203604</v>
      </c>
      <c r="K185" s="216">
        <v>0.33433413505554199</v>
      </c>
      <c r="L185" s="216">
        <v>160.24301147460901</v>
      </c>
      <c r="M185" s="216">
        <v>3507</v>
      </c>
      <c r="N185" s="216">
        <v>28757.400390625</v>
      </c>
      <c r="O185" s="216">
        <v>24.599998474121101</v>
      </c>
      <c r="P185" s="216" t="s">
        <v>1054</v>
      </c>
      <c r="Q185" s="216">
        <v>0.54000002145767201</v>
      </c>
      <c r="R185" s="192">
        <f>VLOOKUP($A185,'RBSA Weights'!$A$2:$C$1406,3,FALSE)</f>
        <v>4956.4930000000004</v>
      </c>
      <c r="S185" s="216">
        <f t="shared" si="4"/>
        <v>0</v>
      </c>
      <c r="T185" s="216">
        <f t="shared" si="5"/>
        <v>0</v>
      </c>
    </row>
    <row r="186" spans="1:20">
      <c r="A186" s="216">
        <v>14542</v>
      </c>
      <c r="B186" s="216">
        <v>2175</v>
      </c>
      <c r="C186" s="216">
        <v>25</v>
      </c>
      <c r="D186" s="216">
        <v>3636</v>
      </c>
      <c r="E186" s="216">
        <v>50</v>
      </c>
      <c r="F186" s="216">
        <v>0.74133682250976596</v>
      </c>
      <c r="G186" s="216">
        <v>200.03907775878901</v>
      </c>
      <c r="H186" s="216">
        <v>3636</v>
      </c>
      <c r="I186" s="216">
        <v>260.09152221679699</v>
      </c>
      <c r="J186" s="216">
        <v>7.7339763641357404</v>
      </c>
      <c r="K186" s="216">
        <v>0.45629084110259999</v>
      </c>
      <c r="L186" s="216">
        <v>214.51753234863301</v>
      </c>
      <c r="M186" s="216">
        <v>3440</v>
      </c>
      <c r="N186" s="216">
        <v>28208</v>
      </c>
      <c r="O186" s="216">
        <v>24.599998474121101</v>
      </c>
      <c r="Q186" s="216">
        <v>0.56000000238418601</v>
      </c>
      <c r="R186" s="192">
        <f>VLOOKUP($A186,'RBSA Weights'!$A$2:$C$1406,3,FALSE)</f>
        <v>1188.027</v>
      </c>
      <c r="S186" s="216">
        <f t="shared" si="4"/>
        <v>1</v>
      </c>
      <c r="T186" s="216">
        <f t="shared" si="5"/>
        <v>1188.027</v>
      </c>
    </row>
    <row r="187" spans="1:20">
      <c r="A187" s="216">
        <v>14545</v>
      </c>
      <c r="B187" s="216">
        <v>1100</v>
      </c>
      <c r="C187" s="216">
        <v>25</v>
      </c>
      <c r="D187" s="216">
        <v>1760</v>
      </c>
      <c r="E187" s="216">
        <v>50</v>
      </c>
      <c r="F187" s="216">
        <v>0.67807191610336304</v>
      </c>
      <c r="G187" s="216">
        <v>124.019172668457</v>
      </c>
      <c r="H187" s="216">
        <v>1760</v>
      </c>
      <c r="I187" s="216">
        <v>147.71034240722699</v>
      </c>
      <c r="J187" s="216">
        <v>9.9061918258666992</v>
      </c>
      <c r="K187" s="216">
        <v>0.44186851382255599</v>
      </c>
      <c r="L187" s="216">
        <v>78.505310058593807</v>
      </c>
      <c r="M187" s="216">
        <v>1300</v>
      </c>
      <c r="N187" s="216">
        <v>10660</v>
      </c>
      <c r="O187" s="216">
        <v>8.1999998092651403</v>
      </c>
      <c r="Q187" s="216">
        <v>0.56000000238418601</v>
      </c>
      <c r="R187" s="192">
        <f>VLOOKUP($A187,'RBSA Weights'!$A$2:$C$1406,3,FALSE)</f>
        <v>1188.027</v>
      </c>
      <c r="S187" s="216">
        <f t="shared" si="4"/>
        <v>1</v>
      </c>
      <c r="T187" s="216">
        <f t="shared" si="5"/>
        <v>1188.027</v>
      </c>
    </row>
    <row r="188" spans="1:20">
      <c r="A188" s="216">
        <v>14560</v>
      </c>
      <c r="B188" s="216">
        <v>1230</v>
      </c>
      <c r="C188" s="216">
        <v>25</v>
      </c>
      <c r="D188" s="216">
        <v>1975</v>
      </c>
      <c r="E188" s="216">
        <v>50</v>
      </c>
      <c r="F188" s="216">
        <v>0.68319433927536</v>
      </c>
      <c r="G188" s="216">
        <v>136.40817260742199</v>
      </c>
      <c r="H188" s="216">
        <v>1974.99987792969</v>
      </c>
      <c r="I188" s="216">
        <v>163.62379455566401</v>
      </c>
      <c r="J188" s="216">
        <v>6.4629783630371103</v>
      </c>
      <c r="K188" s="216">
        <v>0.33526960015296903</v>
      </c>
      <c r="L188" s="216">
        <v>102.45391845703099</v>
      </c>
      <c r="M188" s="216">
        <v>2236</v>
      </c>
      <c r="N188" s="216">
        <v>18335.19921875</v>
      </c>
      <c r="O188" s="216">
        <v>16.399999618530298</v>
      </c>
      <c r="Q188" s="216">
        <v>0.5</v>
      </c>
      <c r="R188" s="192">
        <f>VLOOKUP($A188,'RBSA Weights'!$A$2:$C$1406,3,FALSE)</f>
        <v>6932.7380000000003</v>
      </c>
      <c r="S188" s="216">
        <f t="shared" si="4"/>
        <v>0</v>
      </c>
      <c r="T188" s="216">
        <f t="shared" si="5"/>
        <v>0</v>
      </c>
    </row>
    <row r="189" spans="1:20">
      <c r="A189" s="216">
        <v>14577</v>
      </c>
      <c r="B189" s="216">
        <v>2267</v>
      </c>
      <c r="C189" s="216">
        <v>25</v>
      </c>
      <c r="D189" s="216">
        <v>3708</v>
      </c>
      <c r="E189" s="216">
        <v>50</v>
      </c>
      <c r="F189" s="216">
        <v>0.70985686779022195</v>
      </c>
      <c r="G189" s="216">
        <v>230.73538208007801</v>
      </c>
      <c r="H189" s="216">
        <v>3708</v>
      </c>
      <c r="I189" s="216">
        <v>287.19226074218801</v>
      </c>
      <c r="J189" s="216">
        <v>11.295464515686</v>
      </c>
      <c r="K189" s="216">
        <v>0.43175816535949701</v>
      </c>
      <c r="L189" s="216">
        <v>141.73469543457</v>
      </c>
      <c r="M189" s="216">
        <v>2402</v>
      </c>
      <c r="N189" s="216">
        <v>19696.400390625</v>
      </c>
      <c r="O189" s="216">
        <v>8.1999998092651403</v>
      </c>
      <c r="Q189" s="216">
        <v>0.519999980926514</v>
      </c>
      <c r="R189" s="192">
        <f>VLOOKUP($A189,'RBSA Weights'!$A$2:$C$1406,3,FALSE)</f>
        <v>6932.7380000000003</v>
      </c>
      <c r="S189" s="216">
        <f t="shared" si="4"/>
        <v>1</v>
      </c>
      <c r="T189" s="216">
        <f t="shared" si="5"/>
        <v>6932.7380000000003</v>
      </c>
    </row>
    <row r="190" spans="1:20">
      <c r="A190" s="216">
        <v>14646</v>
      </c>
      <c r="B190" s="216">
        <v>1060</v>
      </c>
      <c r="C190" s="216">
        <v>25</v>
      </c>
      <c r="D190" s="216">
        <v>1626</v>
      </c>
      <c r="E190" s="216">
        <v>50</v>
      </c>
      <c r="F190" s="216">
        <v>0.61726301908492998</v>
      </c>
      <c r="G190" s="216">
        <v>145.34803771972699</v>
      </c>
      <c r="H190" s="216">
        <v>1626</v>
      </c>
      <c r="I190" s="216">
        <v>159.11849975585901</v>
      </c>
      <c r="J190" s="216">
        <v>10.575610160827599</v>
      </c>
      <c r="K190" s="216">
        <v>0.55003923177719105</v>
      </c>
      <c r="L190" s="216">
        <v>84.568534851074205</v>
      </c>
      <c r="M190" s="216">
        <v>1125</v>
      </c>
      <c r="N190" s="216">
        <v>9225</v>
      </c>
      <c r="O190" s="216">
        <v>8.1999998092651403</v>
      </c>
      <c r="Q190" s="216">
        <v>0.56000000238418601</v>
      </c>
      <c r="R190" s="192">
        <f>VLOOKUP($A190,'RBSA Weights'!$A$2:$C$1406,3,FALSE)</f>
        <v>1188.027</v>
      </c>
      <c r="S190" s="216">
        <f t="shared" si="4"/>
        <v>1</v>
      </c>
      <c r="T190" s="216">
        <f t="shared" si="5"/>
        <v>1188.027</v>
      </c>
    </row>
    <row r="191" spans="1:20">
      <c r="A191" s="216">
        <v>14674</v>
      </c>
      <c r="B191" s="216">
        <v>1509</v>
      </c>
      <c r="C191" s="216">
        <v>25</v>
      </c>
      <c r="D191" s="216">
        <v>2338</v>
      </c>
      <c r="E191" s="216">
        <v>50</v>
      </c>
      <c r="F191" s="216">
        <v>0.63168209791183505</v>
      </c>
      <c r="G191" s="216">
        <v>197.53114318847699</v>
      </c>
      <c r="H191" s="216">
        <v>2338</v>
      </c>
      <c r="I191" s="216">
        <v>220.61152648925801</v>
      </c>
      <c r="J191" s="216">
        <v>12.3966064453125</v>
      </c>
      <c r="K191" s="216">
        <v>0.55508130788803101</v>
      </c>
      <c r="L191" s="216">
        <v>104.68833160400401</v>
      </c>
      <c r="M191" s="216">
        <v>1380</v>
      </c>
      <c r="N191" s="216">
        <v>11316</v>
      </c>
      <c r="O191" s="216">
        <v>8.1999998092651403</v>
      </c>
      <c r="Q191" s="216">
        <v>0.5</v>
      </c>
      <c r="R191" s="192">
        <f>VLOOKUP($A191,'RBSA Weights'!$A$2:$C$1406,3,FALSE)</f>
        <v>6932.7380000000003</v>
      </c>
      <c r="S191" s="216">
        <f t="shared" si="4"/>
        <v>1</v>
      </c>
      <c r="T191" s="216">
        <f t="shared" si="5"/>
        <v>6932.7380000000003</v>
      </c>
    </row>
    <row r="192" spans="1:20">
      <c r="A192" s="216">
        <v>20016</v>
      </c>
      <c r="B192" s="216">
        <v>833</v>
      </c>
      <c r="C192" s="216">
        <v>25.100000381469702</v>
      </c>
      <c r="D192" s="216">
        <v>1324</v>
      </c>
      <c r="E192" s="216">
        <v>50.5</v>
      </c>
      <c r="F192" s="216">
        <v>0.66281712055206299</v>
      </c>
      <c r="G192" s="216">
        <v>98.382377624511705</v>
      </c>
      <c r="H192" s="216">
        <v>1315.29663085938</v>
      </c>
      <c r="I192" s="216">
        <v>114.72421264648401</v>
      </c>
      <c r="J192" s="216">
        <v>12.3386173248291</v>
      </c>
      <c r="K192" s="216">
        <v>0.65369927883148204</v>
      </c>
      <c r="L192" s="216">
        <v>69.684341430664105</v>
      </c>
      <c r="M192" s="216">
        <v>780</v>
      </c>
      <c r="N192" s="216">
        <v>6396</v>
      </c>
      <c r="O192" s="216">
        <v>8.1999998092651403</v>
      </c>
      <c r="Q192" s="216">
        <v>0.63999998569488503</v>
      </c>
      <c r="R192" s="192">
        <f>VLOOKUP($A192,'RBSA Weights'!$A$2:$C$1406,3,FALSE)</f>
        <v>12271.31</v>
      </c>
      <c r="S192" s="216">
        <f t="shared" si="4"/>
        <v>1</v>
      </c>
      <c r="T192" s="216">
        <f t="shared" si="5"/>
        <v>12271.31</v>
      </c>
    </row>
    <row r="193" spans="1:20">
      <c r="A193" s="216">
        <v>20020</v>
      </c>
      <c r="B193" s="216">
        <v>1529</v>
      </c>
      <c r="C193" s="216">
        <v>24.700000762939499</v>
      </c>
      <c r="D193" s="216">
        <v>2522</v>
      </c>
      <c r="E193" s="216">
        <v>50.299999237060497</v>
      </c>
      <c r="F193" s="216">
        <v>0.70365166664123502</v>
      </c>
      <c r="G193" s="216">
        <v>160.11570739746099</v>
      </c>
      <c r="H193" s="216">
        <v>2511.40649414063</v>
      </c>
      <c r="I193" s="216">
        <v>197.586181640625</v>
      </c>
      <c r="J193" s="216">
        <v>9.0701608657836896</v>
      </c>
      <c r="K193" s="216">
        <v>0.40635526180267301</v>
      </c>
      <c r="L193" s="216">
        <v>112.51434326171901</v>
      </c>
      <c r="M193" s="216">
        <v>2026</v>
      </c>
      <c r="N193" s="216">
        <v>16613.19921875</v>
      </c>
      <c r="O193" s="216">
        <v>8.1999998092651403</v>
      </c>
      <c r="Q193" s="216">
        <v>0.60000002384185802</v>
      </c>
      <c r="R193" s="192">
        <f>VLOOKUP($A193,'RBSA Weights'!$A$2:$C$1406,3,FALSE)</f>
        <v>1904.288</v>
      </c>
      <c r="S193" s="216">
        <f t="shared" si="4"/>
        <v>1</v>
      </c>
      <c r="T193" s="216">
        <f t="shared" si="5"/>
        <v>1904.288</v>
      </c>
    </row>
    <row r="194" spans="1:20">
      <c r="A194" s="216">
        <v>20051</v>
      </c>
      <c r="B194" s="216">
        <v>780</v>
      </c>
      <c r="C194" s="216">
        <v>24.899999618530298</v>
      </c>
      <c r="D194" s="216">
        <v>1248</v>
      </c>
      <c r="E194" s="216">
        <v>50</v>
      </c>
      <c r="F194" s="216">
        <v>0.67417359352111805</v>
      </c>
      <c r="G194" s="216">
        <v>89.292274475097699</v>
      </c>
      <c r="H194" s="216">
        <v>1248</v>
      </c>
      <c r="I194" s="216">
        <v>105.77643585205099</v>
      </c>
      <c r="J194" s="216">
        <v>11.2459449768066</v>
      </c>
      <c r="K194" s="216">
        <v>0.56086987257003795</v>
      </c>
      <c r="L194" s="216">
        <v>62.2415962219238</v>
      </c>
      <c r="M194" s="216">
        <v>812</v>
      </c>
      <c r="N194" s="216">
        <v>6658.39990234375</v>
      </c>
      <c r="O194" s="216">
        <v>8.1999998092651403</v>
      </c>
      <c r="Q194" s="216">
        <v>0.62000000476837203</v>
      </c>
      <c r="R194" s="192">
        <f>VLOOKUP($A194,'RBSA Weights'!$A$2:$C$1406,3,FALSE)</f>
        <v>1144.6790000000001</v>
      </c>
      <c r="S194" s="216">
        <f t="shared" si="4"/>
        <v>1</v>
      </c>
      <c r="T194" s="216">
        <f t="shared" si="5"/>
        <v>1144.6790000000001</v>
      </c>
    </row>
    <row r="195" spans="1:20">
      <c r="A195" s="216">
        <v>20065</v>
      </c>
      <c r="B195" s="216">
        <v>2151</v>
      </c>
      <c r="C195" s="216">
        <v>25.5</v>
      </c>
      <c r="D195" s="216">
        <v>3490</v>
      </c>
      <c r="E195" s="216">
        <v>49.799999237060497</v>
      </c>
      <c r="F195" s="216">
        <v>0.72305762767791704</v>
      </c>
      <c r="G195" s="216">
        <v>206.83822631835901</v>
      </c>
      <c r="H195" s="216">
        <v>3500.12890625</v>
      </c>
      <c r="I195" s="216">
        <v>262.20257568359398</v>
      </c>
      <c r="J195" s="216">
        <v>20.670459747314499</v>
      </c>
      <c r="K195" s="216">
        <v>0.92585659027099598</v>
      </c>
      <c r="L195" s="216">
        <v>156.77529907226599</v>
      </c>
      <c r="M195" s="216">
        <v>1239</v>
      </c>
      <c r="N195" s="216">
        <v>10159.7998046875</v>
      </c>
      <c r="O195" s="216">
        <v>8.1999998092651403</v>
      </c>
      <c r="P195" s="216" t="s">
        <v>1055</v>
      </c>
      <c r="Q195" s="216">
        <v>0.62999999523162797</v>
      </c>
      <c r="R195" s="192">
        <f>VLOOKUP($A195,'RBSA Weights'!$A$2:$C$1406,3,FALSE)</f>
        <v>3785.7640000000001</v>
      </c>
      <c r="S195" s="216">
        <f t="shared" ref="S195:S258" si="6">IF(J195&lt;7,0,1)</f>
        <v>1</v>
      </c>
      <c r="T195" s="216">
        <f t="shared" ref="T195:T258" si="7">S195*R195</f>
        <v>3785.7640000000001</v>
      </c>
    </row>
    <row r="196" spans="1:20">
      <c r="A196" s="216">
        <v>20080</v>
      </c>
      <c r="B196" s="216">
        <v>902</v>
      </c>
      <c r="C196" s="216">
        <v>25.100000381469702</v>
      </c>
      <c r="D196" s="216">
        <v>1398</v>
      </c>
      <c r="E196" s="216">
        <v>49.799999237060497</v>
      </c>
      <c r="F196" s="216">
        <v>0.63954645395278897</v>
      </c>
      <c r="G196" s="216">
        <v>114.82862854003901</v>
      </c>
      <c r="H196" s="216">
        <v>1401.58813476563</v>
      </c>
      <c r="I196" s="216">
        <v>129.65151977539099</v>
      </c>
      <c r="J196" s="216">
        <v>4.4015121459960902</v>
      </c>
      <c r="K196" s="216">
        <v>0.30593025684356701</v>
      </c>
      <c r="L196" s="216">
        <v>97.418395996093807</v>
      </c>
      <c r="M196" s="216">
        <v>2330</v>
      </c>
      <c r="N196" s="216">
        <v>19106</v>
      </c>
      <c r="O196" s="216">
        <v>16.399999618530298</v>
      </c>
      <c r="P196" s="216" t="s">
        <v>1056</v>
      </c>
      <c r="Q196" s="216">
        <v>0.60000002384185802</v>
      </c>
      <c r="R196" s="192">
        <f>VLOOKUP($A196,'RBSA Weights'!$A$2:$C$1406,3,FALSE)</f>
        <v>1904.288</v>
      </c>
      <c r="S196" s="216">
        <f t="shared" si="6"/>
        <v>0</v>
      </c>
      <c r="T196" s="216">
        <f t="shared" si="7"/>
        <v>0</v>
      </c>
    </row>
    <row r="197" spans="1:20">
      <c r="A197" s="216">
        <v>20095</v>
      </c>
      <c r="B197" s="216">
        <v>1268</v>
      </c>
      <c r="C197" s="216">
        <v>24.899999618530298</v>
      </c>
      <c r="D197" s="216">
        <v>2004</v>
      </c>
      <c r="E197" s="216">
        <v>49.700000762939503</v>
      </c>
      <c r="F197" s="216">
        <v>0.662248194217682</v>
      </c>
      <c r="G197" s="216">
        <v>150.83035278320301</v>
      </c>
      <c r="H197" s="216">
        <v>2012.00268554688</v>
      </c>
      <c r="I197" s="216">
        <v>175.74540710449199</v>
      </c>
      <c r="J197" s="216">
        <v>5.90295505523682</v>
      </c>
      <c r="K197" s="216">
        <v>0.361597239971161</v>
      </c>
      <c r="L197" s="216">
        <v>123.249214172363</v>
      </c>
      <c r="M197" s="216">
        <v>2494</v>
      </c>
      <c r="N197" s="216">
        <v>20450.80078125</v>
      </c>
      <c r="O197" s="216">
        <v>16.400001525878899</v>
      </c>
      <c r="Q197" s="216">
        <v>0.56000000238418601</v>
      </c>
      <c r="R197" s="192">
        <f>VLOOKUP($A197,'RBSA Weights'!$A$2:$C$1406,3,FALSE)</f>
        <v>1904.288</v>
      </c>
      <c r="S197" s="216">
        <f t="shared" si="6"/>
        <v>0</v>
      </c>
      <c r="T197" s="216">
        <f t="shared" si="7"/>
        <v>0</v>
      </c>
    </row>
    <row r="198" spans="1:20">
      <c r="A198" s="216">
        <v>20108</v>
      </c>
      <c r="B198" s="216">
        <v>1060</v>
      </c>
      <c r="C198" s="216">
        <v>24.799999237060501</v>
      </c>
      <c r="D198" s="216">
        <v>1750</v>
      </c>
      <c r="E198" s="216">
        <v>50.200000762939503</v>
      </c>
      <c r="F198" s="216">
        <v>0.71095746755599998</v>
      </c>
      <c r="G198" s="216">
        <v>108.12099456787099</v>
      </c>
      <c r="H198" s="216">
        <v>1745.04028320313</v>
      </c>
      <c r="I198" s="216">
        <v>134.78178405761699</v>
      </c>
      <c r="J198" s="216">
        <v>7.5330901145935103</v>
      </c>
      <c r="K198" s="216">
        <v>0.35893213748931901</v>
      </c>
      <c r="L198" s="216">
        <v>83.146629333496094</v>
      </c>
      <c r="M198" s="216">
        <v>1695</v>
      </c>
      <c r="N198" s="216">
        <v>13899</v>
      </c>
      <c r="O198" s="216">
        <v>8.1999998092651403</v>
      </c>
      <c r="Q198" s="216">
        <v>0.64999997615814198</v>
      </c>
      <c r="R198" s="192">
        <f>VLOOKUP($A198,'RBSA Weights'!$A$2:$C$1406,3,FALSE)</f>
        <v>3785.7640000000001</v>
      </c>
      <c r="S198" s="216">
        <f t="shared" si="6"/>
        <v>1</v>
      </c>
      <c r="T198" s="216">
        <f t="shared" si="7"/>
        <v>3785.7640000000001</v>
      </c>
    </row>
    <row r="199" spans="1:20">
      <c r="A199" s="216">
        <v>20152</v>
      </c>
      <c r="B199" s="216">
        <v>687</v>
      </c>
      <c r="C199" s="216">
        <v>24.899999618530298</v>
      </c>
      <c r="D199" s="216">
        <v>1117</v>
      </c>
      <c r="E199" s="216">
        <v>49.900001525878899</v>
      </c>
      <c r="F199" s="216">
        <v>0.69922351837158203</v>
      </c>
      <c r="G199" s="216">
        <v>72.560676574707003</v>
      </c>
      <c r="H199" s="216">
        <v>1118.56469726563</v>
      </c>
      <c r="I199" s="216">
        <v>88.993431091308594</v>
      </c>
      <c r="J199" s="216">
        <v>2.8657634258270299</v>
      </c>
      <c r="K199" s="216">
        <v>0.15363691747188599</v>
      </c>
      <c r="L199" s="216">
        <v>59.967559814453097</v>
      </c>
      <c r="M199" s="216">
        <v>2856</v>
      </c>
      <c r="N199" s="216">
        <v>23419.19921875</v>
      </c>
      <c r="O199" s="216">
        <v>8.1999998092651403</v>
      </c>
      <c r="Q199" s="216">
        <v>0.70999997854232799</v>
      </c>
      <c r="R199" s="192">
        <f>VLOOKUP($A199,'RBSA Weights'!$A$2:$C$1406,3,FALSE)</f>
        <v>3785.7640000000001</v>
      </c>
      <c r="S199" s="216">
        <f t="shared" si="6"/>
        <v>0</v>
      </c>
      <c r="T199" s="216">
        <f t="shared" si="7"/>
        <v>0</v>
      </c>
    </row>
    <row r="200" spans="1:20">
      <c r="A200" s="216">
        <v>20182</v>
      </c>
      <c r="B200" s="216">
        <v>1084</v>
      </c>
      <c r="C200" s="216">
        <v>25</v>
      </c>
      <c r="D200" s="216">
        <v>1719</v>
      </c>
      <c r="E200" s="216">
        <v>50</v>
      </c>
      <c r="F200" s="216">
        <v>0.66520476341247603</v>
      </c>
      <c r="G200" s="216">
        <v>127.383430480957</v>
      </c>
      <c r="H200" s="216">
        <v>1719</v>
      </c>
      <c r="I200" s="216">
        <v>149.03498840332</v>
      </c>
      <c r="J200" s="216">
        <v>9.8266010284423793</v>
      </c>
      <c r="K200" s="216">
        <v>0.50131124258041404</v>
      </c>
      <c r="L200" s="216">
        <v>87.696044921875</v>
      </c>
      <c r="M200" s="216">
        <v>1280</v>
      </c>
      <c r="N200" s="216">
        <v>10496</v>
      </c>
      <c r="O200" s="216">
        <v>8.1999998092651403</v>
      </c>
      <c r="Q200" s="216">
        <v>0.62000000476837203</v>
      </c>
      <c r="R200" s="192">
        <f>VLOOKUP($A200,'RBSA Weights'!$A$2:$C$1406,3,FALSE)</f>
        <v>8559.1039999999994</v>
      </c>
      <c r="S200" s="216">
        <f t="shared" si="6"/>
        <v>1</v>
      </c>
      <c r="T200" s="216">
        <f t="shared" si="7"/>
        <v>8559.1039999999994</v>
      </c>
    </row>
    <row r="201" spans="1:20">
      <c r="A201" s="216">
        <v>20185</v>
      </c>
      <c r="B201" s="216">
        <v>967</v>
      </c>
      <c r="C201" s="216">
        <v>24.700000762939499</v>
      </c>
      <c r="D201" s="216">
        <v>1508</v>
      </c>
      <c r="E201" s="216">
        <v>49.599998474121101</v>
      </c>
      <c r="F201" s="216">
        <v>0.63733363151550304</v>
      </c>
      <c r="G201" s="216">
        <v>125.260414123535</v>
      </c>
      <c r="H201" s="216">
        <v>1515.73950195313</v>
      </c>
      <c r="I201" s="216">
        <v>140.99673461914099</v>
      </c>
      <c r="J201" s="216">
        <v>6.8972496986389196</v>
      </c>
      <c r="K201" s="216">
        <v>0.433876663446426</v>
      </c>
      <c r="L201" s="216">
        <v>95.348731994628906</v>
      </c>
      <c r="M201" s="216">
        <v>1608</v>
      </c>
      <c r="N201" s="216">
        <v>13185.599609375</v>
      </c>
      <c r="O201" s="216">
        <v>16.399999618530298</v>
      </c>
      <c r="Q201" s="216">
        <v>0.54000002145767201</v>
      </c>
      <c r="R201" s="192">
        <f>VLOOKUP($A201,'RBSA Weights'!$A$2:$C$1406,3,FALSE)</f>
        <v>1904.288</v>
      </c>
      <c r="S201" s="216">
        <f t="shared" si="6"/>
        <v>0</v>
      </c>
      <c r="T201" s="216">
        <f t="shared" si="7"/>
        <v>0</v>
      </c>
    </row>
    <row r="202" spans="1:20">
      <c r="A202" s="216">
        <v>20200</v>
      </c>
      <c r="B202" s="216">
        <v>1092</v>
      </c>
      <c r="C202" s="216">
        <v>25</v>
      </c>
      <c r="D202" s="216">
        <v>1715</v>
      </c>
      <c r="E202" s="216">
        <v>50</v>
      </c>
      <c r="F202" s="216">
        <v>0.65123569965362504</v>
      </c>
      <c r="G202" s="216">
        <v>134.22525024414099</v>
      </c>
      <c r="H202" s="216">
        <v>1715.00012207031</v>
      </c>
      <c r="I202" s="216">
        <v>154.02786254882801</v>
      </c>
      <c r="J202" s="216">
        <v>9.6529083251953107</v>
      </c>
      <c r="K202" s="216">
        <v>0.51013499498367298</v>
      </c>
      <c r="L202" s="216">
        <v>90.633987426757798</v>
      </c>
      <c r="M202" s="216">
        <v>1300</v>
      </c>
      <c r="N202" s="216">
        <v>10660</v>
      </c>
      <c r="O202" s="216">
        <v>8.1999998092651403</v>
      </c>
      <c r="Q202" s="216">
        <v>0.62000000476837203</v>
      </c>
      <c r="R202" s="192">
        <f>VLOOKUP($A202,'RBSA Weights'!$A$2:$C$1406,3,FALSE)</f>
        <v>1925.059</v>
      </c>
      <c r="S202" s="216">
        <f t="shared" si="6"/>
        <v>1</v>
      </c>
      <c r="T202" s="216">
        <f t="shared" si="7"/>
        <v>1925.059</v>
      </c>
    </row>
    <row r="203" spans="1:20">
      <c r="A203" s="216">
        <v>20215</v>
      </c>
      <c r="B203" s="216">
        <v>1240</v>
      </c>
      <c r="C203" s="216">
        <v>25</v>
      </c>
      <c r="D203" s="216">
        <v>2080</v>
      </c>
      <c r="E203" s="216">
        <v>50</v>
      </c>
      <c r="F203" s="216">
        <v>0.74624341726303101</v>
      </c>
      <c r="G203" s="216">
        <v>112.25821685791</v>
      </c>
      <c r="H203" s="216">
        <v>2080</v>
      </c>
      <c r="I203" s="216">
        <v>146.95472717285199</v>
      </c>
      <c r="J203" s="216">
        <v>5.0097146034240696</v>
      </c>
      <c r="K203" s="216">
        <v>0.23492060601711301</v>
      </c>
      <c r="L203" s="216">
        <v>97.537467956542997</v>
      </c>
      <c r="M203" s="216">
        <v>3038</v>
      </c>
      <c r="N203" s="216">
        <v>24911.599609375</v>
      </c>
      <c r="O203" s="216">
        <v>16.399999618530298</v>
      </c>
      <c r="Q203" s="216">
        <v>0.52999997138977095</v>
      </c>
      <c r="R203" s="192">
        <f>VLOOKUP($A203,'RBSA Weights'!$A$2:$C$1406,3,FALSE)</f>
        <v>1612.692</v>
      </c>
      <c r="S203" s="216">
        <f t="shared" si="6"/>
        <v>0</v>
      </c>
      <c r="T203" s="216">
        <f t="shared" si="7"/>
        <v>0</v>
      </c>
    </row>
    <row r="204" spans="1:20">
      <c r="A204" s="216">
        <v>20230</v>
      </c>
      <c r="B204" s="216">
        <v>2008</v>
      </c>
      <c r="C204" s="216">
        <v>24.700000762939499</v>
      </c>
      <c r="D204" s="216">
        <v>2996</v>
      </c>
      <c r="E204" s="216">
        <v>49.599998474121101</v>
      </c>
      <c r="F204" s="216">
        <v>0.573932886123657</v>
      </c>
      <c r="G204" s="216">
        <v>318.74920654296898</v>
      </c>
      <c r="H204" s="216">
        <v>3009.84326171875</v>
      </c>
      <c r="I204" s="216">
        <v>328.60430908203102</v>
      </c>
      <c r="J204" s="216">
        <v>8.8875074386596697</v>
      </c>
      <c r="K204" s="216">
        <v>0.74122709035873402</v>
      </c>
      <c r="L204" s="216">
        <v>251.02397155761699</v>
      </c>
      <c r="M204" s="216">
        <v>2478</v>
      </c>
      <c r="N204" s="216">
        <v>20319.599609375</v>
      </c>
      <c r="O204" s="216">
        <v>16.399999618530298</v>
      </c>
      <c r="Q204" s="216">
        <v>0.61000001430511497</v>
      </c>
      <c r="R204" s="192">
        <f>VLOOKUP($A204,'RBSA Weights'!$A$2:$C$1406,3,FALSE)</f>
        <v>1144.6790000000001</v>
      </c>
      <c r="S204" s="216">
        <f t="shared" si="6"/>
        <v>1</v>
      </c>
      <c r="T204" s="216">
        <f t="shared" si="7"/>
        <v>1144.6790000000001</v>
      </c>
    </row>
    <row r="205" spans="1:20">
      <c r="A205" s="216">
        <v>20340</v>
      </c>
      <c r="B205" s="216">
        <v>1300</v>
      </c>
      <c r="C205" s="216">
        <v>25</v>
      </c>
      <c r="D205" s="216">
        <v>2035</v>
      </c>
      <c r="E205" s="216">
        <v>50</v>
      </c>
      <c r="F205" s="216">
        <v>0.64651715755462602</v>
      </c>
      <c r="G205" s="216">
        <v>162.23747253418</v>
      </c>
      <c r="H205" s="216">
        <v>2035.00012207031</v>
      </c>
      <c r="I205" s="216">
        <v>184.95896911621099</v>
      </c>
      <c r="J205" s="216">
        <v>9.1239242553710902</v>
      </c>
      <c r="K205" s="216">
        <v>0.44073829054832497</v>
      </c>
      <c r="L205" s="216">
        <v>98.302268981933594</v>
      </c>
      <c r="M205" s="216">
        <v>1632</v>
      </c>
      <c r="N205" s="216">
        <v>13382.400390625</v>
      </c>
      <c r="O205" s="216">
        <v>8.1999998092651403</v>
      </c>
      <c r="P205" s="216" t="s">
        <v>1057</v>
      </c>
      <c r="Q205" s="216">
        <v>0.56000000238418601</v>
      </c>
      <c r="R205" s="192">
        <f>VLOOKUP($A205,'RBSA Weights'!$A$2:$C$1406,3,FALSE)</f>
        <v>1612.692</v>
      </c>
      <c r="S205" s="216">
        <f t="shared" si="6"/>
        <v>1</v>
      </c>
      <c r="T205" s="216">
        <f t="shared" si="7"/>
        <v>1612.692</v>
      </c>
    </row>
    <row r="206" spans="1:20">
      <c r="A206" s="216">
        <v>20374</v>
      </c>
      <c r="B206" s="216">
        <v>1521</v>
      </c>
      <c r="C206" s="216">
        <v>25</v>
      </c>
      <c r="D206" s="216">
        <v>2338</v>
      </c>
      <c r="E206" s="216">
        <v>50</v>
      </c>
      <c r="F206" s="216">
        <v>0.62025475502014205</v>
      </c>
      <c r="G206" s="216">
        <v>206.561935424805</v>
      </c>
      <c r="H206" s="216">
        <v>2338</v>
      </c>
      <c r="I206" s="216">
        <v>227.07168579101599</v>
      </c>
      <c r="J206" s="216">
        <v>10.759319305419901</v>
      </c>
      <c r="K206" s="216">
        <v>0.54546397924423196</v>
      </c>
      <c r="L206" s="216">
        <v>118.52931976318401</v>
      </c>
      <c r="M206" s="216">
        <v>1590</v>
      </c>
      <c r="N206" s="216">
        <v>13038</v>
      </c>
      <c r="O206" s="216">
        <v>8.1999998092651403</v>
      </c>
      <c r="Q206" s="216">
        <v>0.55000001192092896</v>
      </c>
      <c r="R206" s="192">
        <f>VLOOKUP($A206,'RBSA Weights'!$A$2:$C$1406,3,FALSE)</f>
        <v>8264.9449999999997</v>
      </c>
      <c r="S206" s="216">
        <f t="shared" si="6"/>
        <v>1</v>
      </c>
      <c r="T206" s="216">
        <f t="shared" si="7"/>
        <v>8264.9449999999997</v>
      </c>
    </row>
    <row r="207" spans="1:20">
      <c r="A207" s="216">
        <v>20395</v>
      </c>
      <c r="B207" s="216">
        <v>3595</v>
      </c>
      <c r="C207" s="216">
        <v>25</v>
      </c>
      <c r="D207" s="216">
        <v>5260</v>
      </c>
      <c r="E207" s="216">
        <v>50</v>
      </c>
      <c r="F207" s="216">
        <v>0.54907101392746005</v>
      </c>
      <c r="G207" s="216">
        <v>613.946533203125</v>
      </c>
      <c r="H207" s="216">
        <v>5260</v>
      </c>
      <c r="I207" s="216">
        <v>611.48577880859398</v>
      </c>
      <c r="J207" s="216">
        <v>25.987714767456101</v>
      </c>
      <c r="K207" s="216">
        <v>1.9673612117767301</v>
      </c>
      <c r="L207" s="216">
        <v>398.20046997070301</v>
      </c>
      <c r="M207" s="216">
        <v>1481</v>
      </c>
      <c r="N207" s="216">
        <v>12144.2001953125</v>
      </c>
      <c r="O207" s="216">
        <v>16.399999618530298</v>
      </c>
      <c r="Q207" s="216">
        <v>0.519999980926514</v>
      </c>
      <c r="R207" s="192">
        <f>VLOOKUP($A207,'RBSA Weights'!$A$2:$C$1406,3,FALSE)</f>
        <v>8264.9449999999997</v>
      </c>
      <c r="S207" s="216">
        <f t="shared" si="6"/>
        <v>1</v>
      </c>
      <c r="T207" s="216">
        <f t="shared" si="7"/>
        <v>8264.9449999999997</v>
      </c>
    </row>
    <row r="208" spans="1:20">
      <c r="A208" s="216">
        <v>20448</v>
      </c>
      <c r="B208" s="216">
        <v>1030</v>
      </c>
      <c r="C208" s="216">
        <v>25</v>
      </c>
      <c r="D208" s="216">
        <v>1630</v>
      </c>
      <c r="E208" s="216">
        <v>50</v>
      </c>
      <c r="F208" s="216">
        <v>0.66222763061523404</v>
      </c>
      <c r="G208" s="216">
        <v>122.203239440918</v>
      </c>
      <c r="H208" s="216">
        <v>1630</v>
      </c>
      <c r="I208" s="216">
        <v>142.38545227050801</v>
      </c>
      <c r="J208" s="216">
        <v>6.2086563110351598</v>
      </c>
      <c r="K208" s="216">
        <v>0.27280452847480802</v>
      </c>
      <c r="L208" s="216">
        <v>71.621192932128906</v>
      </c>
      <c r="M208" s="216">
        <v>1921</v>
      </c>
      <c r="N208" s="216">
        <v>15752.2001953125</v>
      </c>
      <c r="O208" s="216">
        <v>8.1999998092651403</v>
      </c>
      <c r="P208" s="216" t="s">
        <v>1058</v>
      </c>
      <c r="Q208" s="216">
        <v>0.52999997138977095</v>
      </c>
      <c r="R208" s="192">
        <f>VLOOKUP($A208,'RBSA Weights'!$A$2:$C$1406,3,FALSE)</f>
        <v>1612.692</v>
      </c>
      <c r="S208" s="216">
        <f t="shared" si="6"/>
        <v>0</v>
      </c>
      <c r="T208" s="216">
        <f t="shared" si="7"/>
        <v>0</v>
      </c>
    </row>
    <row r="209" spans="1:20">
      <c r="A209" s="216">
        <v>20457</v>
      </c>
      <c r="B209" s="216">
        <v>2265</v>
      </c>
      <c r="C209" s="216">
        <v>25</v>
      </c>
      <c r="D209" s="216">
        <v>3600</v>
      </c>
      <c r="E209" s="216">
        <v>50</v>
      </c>
      <c r="F209" s="216">
        <v>0.66848587989807096</v>
      </c>
      <c r="G209" s="216">
        <v>263.36923217773398</v>
      </c>
      <c r="H209" s="216">
        <v>3600</v>
      </c>
      <c r="I209" s="216">
        <v>309.53927612304699</v>
      </c>
      <c r="J209" s="216">
        <v>11.930010795593301</v>
      </c>
      <c r="K209" s="216">
        <v>0.48677045106887801</v>
      </c>
      <c r="L209" s="216">
        <v>146.88784790039099</v>
      </c>
      <c r="M209" s="216">
        <v>2208</v>
      </c>
      <c r="N209" s="216">
        <v>18105.599609375</v>
      </c>
      <c r="O209" s="216">
        <v>8.1999998092651403</v>
      </c>
      <c r="Q209" s="216">
        <v>0.5</v>
      </c>
      <c r="R209" s="192">
        <f>VLOOKUP($A209,'RBSA Weights'!$A$2:$C$1406,3,FALSE)</f>
        <v>1612.692</v>
      </c>
      <c r="S209" s="216">
        <f t="shared" si="6"/>
        <v>1</v>
      </c>
      <c r="T209" s="216">
        <f t="shared" si="7"/>
        <v>1612.692</v>
      </c>
    </row>
    <row r="210" spans="1:20">
      <c r="A210" s="216">
        <v>20469</v>
      </c>
      <c r="B210" s="216">
        <v>580</v>
      </c>
      <c r="C210" s="216">
        <v>24.100000381469702</v>
      </c>
      <c r="D210" s="216">
        <v>1008</v>
      </c>
      <c r="E210" s="216">
        <v>50.799999237060497</v>
      </c>
      <c r="F210" s="216">
        <v>0.74119198322296098</v>
      </c>
      <c r="G210" s="216">
        <v>54.838809967041001</v>
      </c>
      <c r="H210" s="216">
        <v>996.21014404296898</v>
      </c>
      <c r="I210" s="216">
        <v>71.287300109863295</v>
      </c>
      <c r="J210" s="216">
        <v>2.2644741535186799</v>
      </c>
      <c r="K210" s="216">
        <v>0.10958079993724799</v>
      </c>
      <c r="L210" s="216">
        <v>48.207881927490199</v>
      </c>
      <c r="M210" s="216">
        <v>3219</v>
      </c>
      <c r="N210" s="216">
        <v>26395.80078125</v>
      </c>
      <c r="O210" s="216">
        <v>16.399999618530298</v>
      </c>
      <c r="Q210" s="216">
        <v>0.54000002145767201</v>
      </c>
      <c r="R210" s="192">
        <f>VLOOKUP($A210,'RBSA Weights'!$A$2:$C$1406,3,FALSE)</f>
        <v>1904.288</v>
      </c>
      <c r="S210" s="216">
        <f t="shared" si="6"/>
        <v>0</v>
      </c>
      <c r="T210" s="216">
        <f t="shared" si="7"/>
        <v>0</v>
      </c>
    </row>
    <row r="211" spans="1:20">
      <c r="A211" s="216">
        <v>20477</v>
      </c>
      <c r="B211" s="216">
        <v>607</v>
      </c>
      <c r="C211" s="216">
        <v>25.100000381469702</v>
      </c>
      <c r="D211" s="216">
        <v>1000</v>
      </c>
      <c r="E211" s="216">
        <v>49.700000762939503</v>
      </c>
      <c r="F211" s="216">
        <v>0.73078525066375699</v>
      </c>
      <c r="G211" s="216">
        <v>57.587440490722699</v>
      </c>
      <c r="H211" s="216">
        <v>1004.40759277344</v>
      </c>
      <c r="I211" s="216">
        <v>73.788116455078097</v>
      </c>
      <c r="J211" s="216">
        <v>5.4804801940918004</v>
      </c>
      <c r="K211" s="216">
        <v>0.229269579052925</v>
      </c>
      <c r="L211" s="216">
        <v>42.018238067627003</v>
      </c>
      <c r="M211" s="216">
        <v>1341</v>
      </c>
      <c r="N211" s="216">
        <v>10996.2001953125</v>
      </c>
      <c r="O211" s="216">
        <v>8.1999998092651403</v>
      </c>
      <c r="Q211" s="216">
        <v>0.60000002384185802</v>
      </c>
      <c r="R211" s="192">
        <f>VLOOKUP($A211,'RBSA Weights'!$A$2:$C$1406,3,FALSE)</f>
        <v>1904.288</v>
      </c>
      <c r="S211" s="216">
        <f t="shared" si="6"/>
        <v>0</v>
      </c>
      <c r="T211" s="216">
        <f t="shared" si="7"/>
        <v>0</v>
      </c>
    </row>
    <row r="212" spans="1:20">
      <c r="A212" s="216">
        <v>20485</v>
      </c>
      <c r="B212" s="216">
        <v>1435</v>
      </c>
      <c r="C212" s="216">
        <v>24.899999618530298</v>
      </c>
      <c r="D212" s="216">
        <v>2293</v>
      </c>
      <c r="E212" s="216">
        <v>47.700000762939503</v>
      </c>
      <c r="F212" s="216">
        <v>0.72100043296813998</v>
      </c>
      <c r="G212" s="216">
        <v>141.31607055664099</v>
      </c>
      <c r="H212" s="216">
        <v>2372.19116210938</v>
      </c>
      <c r="I212" s="216">
        <v>178.63195800781301</v>
      </c>
      <c r="J212" s="216">
        <v>4.3743691444396999</v>
      </c>
      <c r="K212" s="216">
        <v>0.218838155269623</v>
      </c>
      <c r="L212" s="216">
        <v>118.67446899414099</v>
      </c>
      <c r="M212" s="216">
        <v>3968</v>
      </c>
      <c r="N212" s="216">
        <v>32537.599609375</v>
      </c>
      <c r="O212" s="216">
        <v>8.1999998092651403</v>
      </c>
      <c r="Q212" s="216">
        <v>0.69999998807907104</v>
      </c>
      <c r="R212" s="192">
        <f>VLOOKUP($A212,'RBSA Weights'!$A$2:$C$1406,3,FALSE)</f>
        <v>3785.7640000000001</v>
      </c>
      <c r="S212" s="216">
        <f t="shared" si="6"/>
        <v>0</v>
      </c>
      <c r="T212" s="216">
        <f t="shared" si="7"/>
        <v>0</v>
      </c>
    </row>
    <row r="213" spans="1:20">
      <c r="A213" s="216">
        <v>20553</v>
      </c>
      <c r="B213" s="216">
        <v>4435</v>
      </c>
      <c r="C213" s="216">
        <v>24.799999237060501</v>
      </c>
      <c r="D213" s="216">
        <v>5713</v>
      </c>
      <c r="E213" s="216">
        <v>37</v>
      </c>
      <c r="F213" s="216">
        <v>0.63292413949966397</v>
      </c>
      <c r="G213" s="216">
        <v>581.18109130859398</v>
      </c>
      <c r="H213" s="216">
        <v>6912.427734375</v>
      </c>
      <c r="I213" s="216">
        <v>650.20733642578102</v>
      </c>
      <c r="J213" s="216">
        <v>18.2068901062012</v>
      </c>
      <c r="K213" s="216">
        <v>1.17959201335907</v>
      </c>
      <c r="L213" s="216">
        <v>447.84390258789102</v>
      </c>
      <c r="M213" s="216">
        <v>2778</v>
      </c>
      <c r="N213" s="216">
        <v>22779.599609375</v>
      </c>
      <c r="O213" s="216">
        <v>16.399999618530298</v>
      </c>
      <c r="Q213" s="216">
        <v>0.55000001192092896</v>
      </c>
      <c r="R213" s="192">
        <f>VLOOKUP($A213,'RBSA Weights'!$A$2:$C$1406,3,FALSE)</f>
        <v>3785.7640000000001</v>
      </c>
      <c r="S213" s="216">
        <f t="shared" si="6"/>
        <v>1</v>
      </c>
      <c r="T213" s="216">
        <f t="shared" si="7"/>
        <v>3785.7640000000001</v>
      </c>
    </row>
    <row r="214" spans="1:20">
      <c r="A214" s="216">
        <v>20559</v>
      </c>
      <c r="B214" s="216">
        <v>799</v>
      </c>
      <c r="C214" s="216">
        <v>25.600000381469702</v>
      </c>
      <c r="D214" s="216">
        <v>1231</v>
      </c>
      <c r="E214" s="216">
        <v>50.400001525878899</v>
      </c>
      <c r="F214" s="216">
        <v>0.63806009292602495</v>
      </c>
      <c r="G214" s="216">
        <v>100.926467895508</v>
      </c>
      <c r="H214" s="216">
        <v>1224.75732421875</v>
      </c>
      <c r="I214" s="216">
        <v>113.72019958496099</v>
      </c>
      <c r="J214" s="216">
        <v>11.8540191650391</v>
      </c>
      <c r="K214" s="216">
        <v>0.62676483392715499</v>
      </c>
      <c r="L214" s="216">
        <v>64.757347106933594</v>
      </c>
      <c r="M214" s="216">
        <v>756</v>
      </c>
      <c r="N214" s="216">
        <v>6199.2001953125</v>
      </c>
      <c r="O214" s="216">
        <v>8.1999998092651403</v>
      </c>
      <c r="Q214" s="216">
        <v>0.60000002384185802</v>
      </c>
      <c r="R214" s="192">
        <f>VLOOKUP($A214,'RBSA Weights'!$A$2:$C$1406,3,FALSE)</f>
        <v>1192.4649999999999</v>
      </c>
      <c r="S214" s="216">
        <f t="shared" si="6"/>
        <v>1</v>
      </c>
      <c r="T214" s="216">
        <f t="shared" si="7"/>
        <v>1192.4649999999999</v>
      </c>
    </row>
    <row r="215" spans="1:20">
      <c r="A215" s="216">
        <v>20565</v>
      </c>
      <c r="B215" s="216">
        <v>1435</v>
      </c>
      <c r="C215" s="216">
        <v>24.799999237060501</v>
      </c>
      <c r="D215" s="216">
        <v>2314</v>
      </c>
      <c r="E215" s="216">
        <v>50.200000762939503</v>
      </c>
      <c r="F215" s="216">
        <v>0.67758387327194203</v>
      </c>
      <c r="G215" s="216">
        <v>162.927322387695</v>
      </c>
      <c r="H215" s="216">
        <v>2307.7490234375</v>
      </c>
      <c r="I215" s="216">
        <v>193.91981506347699</v>
      </c>
      <c r="J215" s="216">
        <v>6.5602049827575701</v>
      </c>
      <c r="K215" s="216">
        <v>0.41420415043830899</v>
      </c>
      <c r="L215" s="216">
        <v>145.708740234375</v>
      </c>
      <c r="M215" s="216">
        <v>2574</v>
      </c>
      <c r="N215" s="216">
        <v>21106.80078125</v>
      </c>
      <c r="O215" s="216">
        <v>16.400001525878899</v>
      </c>
      <c r="Q215" s="216">
        <v>0.60000002384185802</v>
      </c>
      <c r="R215" s="192">
        <f>VLOOKUP($A215,'RBSA Weights'!$A$2:$C$1406,3,FALSE)</f>
        <v>1192.4649999999999</v>
      </c>
      <c r="S215" s="216">
        <f t="shared" si="6"/>
        <v>0</v>
      </c>
      <c r="T215" s="216">
        <f t="shared" si="7"/>
        <v>0</v>
      </c>
    </row>
    <row r="216" spans="1:20">
      <c r="A216" s="216">
        <v>20601</v>
      </c>
      <c r="B216" s="216">
        <v>1446</v>
      </c>
      <c r="C216" s="216">
        <v>24.899999618530298</v>
      </c>
      <c r="D216" s="216">
        <v>2190</v>
      </c>
      <c r="E216" s="216">
        <v>50.200000762939503</v>
      </c>
      <c r="F216" s="216">
        <v>0.59203028678893999</v>
      </c>
      <c r="G216" s="216">
        <v>215.563888549805</v>
      </c>
      <c r="H216" s="216">
        <v>2184.83032226563</v>
      </c>
      <c r="I216" s="216">
        <v>227.87457275390599</v>
      </c>
      <c r="J216" s="216">
        <v>7.6564002037048304</v>
      </c>
      <c r="K216" s="216">
        <v>0.43957287073135398</v>
      </c>
      <c r="L216" s="216">
        <v>125.43650817871099</v>
      </c>
      <c r="M216" s="216">
        <v>2088</v>
      </c>
      <c r="N216" s="216">
        <v>17121.599609375</v>
      </c>
      <c r="O216" s="216">
        <v>8.1999998092651403</v>
      </c>
      <c r="Q216" s="216">
        <v>0.57999998331069902</v>
      </c>
      <c r="R216" s="192">
        <f>VLOOKUP($A216,'RBSA Weights'!$A$2:$C$1406,3,FALSE)</f>
        <v>2130.886</v>
      </c>
      <c r="S216" s="216">
        <f t="shared" si="6"/>
        <v>1</v>
      </c>
      <c r="T216" s="216">
        <f t="shared" si="7"/>
        <v>2130.886</v>
      </c>
    </row>
    <row r="217" spans="1:20">
      <c r="A217" s="216">
        <v>20613</v>
      </c>
      <c r="B217" s="216">
        <v>1636</v>
      </c>
      <c r="C217" s="216">
        <v>24.399999618530298</v>
      </c>
      <c r="D217" s="216">
        <v>2608</v>
      </c>
      <c r="E217" s="216">
        <v>49.900001525878899</v>
      </c>
      <c r="F217" s="216">
        <v>0.65180975198745705</v>
      </c>
      <c r="G217" s="216">
        <v>203.92434692382801</v>
      </c>
      <c r="H217" s="216">
        <v>2611.40551757813</v>
      </c>
      <c r="I217" s="216">
        <v>234.19615173339801</v>
      </c>
      <c r="J217" s="216">
        <v>5.49391746520996</v>
      </c>
      <c r="K217" s="216">
        <v>0.34553155303001398</v>
      </c>
      <c r="L217" s="216">
        <v>164.24035644531301</v>
      </c>
      <c r="M217" s="216">
        <v>3478</v>
      </c>
      <c r="N217" s="216">
        <v>28519.599609375</v>
      </c>
      <c r="O217" s="216">
        <v>16.399999618530298</v>
      </c>
      <c r="P217" s="216" t="s">
        <v>1059</v>
      </c>
      <c r="Q217" s="216">
        <v>0.56000000238418601</v>
      </c>
      <c r="R217" s="192">
        <f>VLOOKUP($A217,'RBSA Weights'!$A$2:$C$1406,3,FALSE)</f>
        <v>1904.288</v>
      </c>
      <c r="S217" s="216">
        <f t="shared" si="6"/>
        <v>0</v>
      </c>
      <c r="T217" s="216">
        <f t="shared" si="7"/>
        <v>0</v>
      </c>
    </row>
    <row r="218" spans="1:20">
      <c r="A218" s="216">
        <v>20635</v>
      </c>
      <c r="B218" s="216">
        <v>1221</v>
      </c>
      <c r="C218" s="216">
        <v>24.799999237060501</v>
      </c>
      <c r="D218" s="216">
        <v>1695</v>
      </c>
      <c r="E218" s="216">
        <v>49.900001525878899</v>
      </c>
      <c r="F218" s="216">
        <v>0.46914064884185802</v>
      </c>
      <c r="G218" s="216">
        <v>270.72085571289102</v>
      </c>
      <c r="H218" s="216">
        <v>1696.5927734375</v>
      </c>
      <c r="I218" s="216">
        <v>241.354080200195</v>
      </c>
      <c r="J218" s="216">
        <v>6.7614889144897496</v>
      </c>
      <c r="K218" s="216">
        <v>0.57512205839157104</v>
      </c>
      <c r="L218" s="216">
        <v>144.30963134765599</v>
      </c>
      <c r="M218" s="216">
        <v>1836</v>
      </c>
      <c r="N218" s="216">
        <v>15055.2001953125</v>
      </c>
      <c r="O218" s="216">
        <v>8.1999998092651403</v>
      </c>
      <c r="P218" s="216" t="s">
        <v>1060</v>
      </c>
      <c r="Q218" s="216">
        <v>0.62999999523162797</v>
      </c>
      <c r="R218" s="192">
        <f>VLOOKUP($A218,'RBSA Weights'!$A$2:$C$1406,3,FALSE)</f>
        <v>2130.886</v>
      </c>
      <c r="S218" s="216">
        <f t="shared" si="6"/>
        <v>0</v>
      </c>
      <c r="T218" s="216">
        <f t="shared" si="7"/>
        <v>0</v>
      </c>
    </row>
    <row r="219" spans="1:20">
      <c r="A219" s="216">
        <v>20650</v>
      </c>
      <c r="B219" s="216">
        <v>1234</v>
      </c>
      <c r="C219" s="216">
        <v>25</v>
      </c>
      <c r="D219" s="216">
        <v>1950</v>
      </c>
      <c r="E219" s="216">
        <v>50</v>
      </c>
      <c r="F219" s="216">
        <v>0.66013175249099698</v>
      </c>
      <c r="G219" s="216">
        <v>147.39765930175801</v>
      </c>
      <c r="H219" s="216">
        <v>1950.00012207031</v>
      </c>
      <c r="I219" s="216">
        <v>171.24252319335901</v>
      </c>
      <c r="J219" s="216">
        <v>14.1550540924072</v>
      </c>
      <c r="K219" s="216">
        <v>0.71964514255523704</v>
      </c>
      <c r="L219" s="216">
        <v>99.138313293457003</v>
      </c>
      <c r="M219" s="216">
        <v>1008</v>
      </c>
      <c r="N219" s="216">
        <v>8265.599609375</v>
      </c>
      <c r="O219" s="216">
        <v>8.1999998092651403</v>
      </c>
      <c r="P219" s="216" t="s">
        <v>1061</v>
      </c>
      <c r="Q219" s="216">
        <v>0.61000001430511497</v>
      </c>
      <c r="R219" s="192">
        <f>VLOOKUP($A219,'RBSA Weights'!$A$2:$C$1406,3,FALSE)</f>
        <v>1925.059</v>
      </c>
      <c r="S219" s="216">
        <f t="shared" si="6"/>
        <v>1</v>
      </c>
      <c r="T219" s="216">
        <f t="shared" si="7"/>
        <v>1925.059</v>
      </c>
    </row>
    <row r="220" spans="1:20">
      <c r="A220" s="216">
        <v>20671</v>
      </c>
      <c r="B220" s="216">
        <v>450</v>
      </c>
      <c r="C220" s="216">
        <v>25</v>
      </c>
      <c r="D220" s="216">
        <v>693</v>
      </c>
      <c r="E220" s="216">
        <v>50</v>
      </c>
      <c r="F220" s="216">
        <v>0.622930347919464</v>
      </c>
      <c r="G220" s="216">
        <v>60.5889282226563</v>
      </c>
      <c r="H220" s="216">
        <v>693</v>
      </c>
      <c r="I220" s="216">
        <v>66.852371215820298</v>
      </c>
      <c r="J220" s="216">
        <v>13.205030441284199</v>
      </c>
      <c r="K220" s="216">
        <v>0.71330475807189897</v>
      </c>
      <c r="L220" s="216">
        <v>37.434234619140597</v>
      </c>
      <c r="M220" s="216">
        <v>384</v>
      </c>
      <c r="N220" s="216">
        <v>3148.80004882813</v>
      </c>
      <c r="O220" s="216">
        <v>8.1999998092651403</v>
      </c>
      <c r="Q220" s="216">
        <v>0.58999997377395597</v>
      </c>
      <c r="R220" s="192">
        <f>VLOOKUP($A220,'RBSA Weights'!$A$2:$C$1406,3,FALSE)</f>
        <v>8264.9449999999997</v>
      </c>
      <c r="S220" s="216">
        <f t="shared" si="6"/>
        <v>1</v>
      </c>
      <c r="T220" s="216">
        <f t="shared" si="7"/>
        <v>8264.9449999999997</v>
      </c>
    </row>
    <row r="221" spans="1:20">
      <c r="A221" s="216">
        <v>20685</v>
      </c>
      <c r="B221" s="216">
        <v>997</v>
      </c>
      <c r="C221" s="216">
        <v>25</v>
      </c>
      <c r="D221" s="216">
        <v>1616</v>
      </c>
      <c r="E221" s="216">
        <v>50</v>
      </c>
      <c r="F221" s="216">
        <v>0.69676178693771396</v>
      </c>
      <c r="G221" s="216">
        <v>105.84344482421901</v>
      </c>
      <c r="H221" s="216">
        <v>1616</v>
      </c>
      <c r="I221" s="216">
        <v>129.37145996093801</v>
      </c>
      <c r="J221" s="216">
        <v>7.2497792243957502</v>
      </c>
      <c r="K221" s="216">
        <v>0.35253477096557601</v>
      </c>
      <c r="L221" s="216">
        <v>78.5811767578125</v>
      </c>
      <c r="M221" s="216">
        <v>1631</v>
      </c>
      <c r="N221" s="216">
        <v>13374.2001953125</v>
      </c>
      <c r="O221" s="216">
        <v>8.1999998092651403</v>
      </c>
      <c r="Q221" s="216">
        <v>0.63999998569488503</v>
      </c>
      <c r="R221" s="192">
        <f>VLOOKUP($A221,'RBSA Weights'!$A$2:$C$1406,3,FALSE)</f>
        <v>3785.7640000000001</v>
      </c>
      <c r="S221" s="216">
        <f t="shared" si="6"/>
        <v>1</v>
      </c>
      <c r="T221" s="216">
        <f t="shared" si="7"/>
        <v>3785.7640000000001</v>
      </c>
    </row>
    <row r="222" spans="1:20">
      <c r="A222" s="216">
        <v>20702</v>
      </c>
      <c r="B222" s="216">
        <v>1848</v>
      </c>
      <c r="C222" s="216">
        <v>25</v>
      </c>
      <c r="D222" s="216">
        <v>3088</v>
      </c>
      <c r="E222" s="216">
        <v>50</v>
      </c>
      <c r="F222" s="216">
        <v>0.74070799350738503</v>
      </c>
      <c r="G222" s="216">
        <v>170.30862426757801</v>
      </c>
      <c r="H222" s="216">
        <v>3088</v>
      </c>
      <c r="I222" s="216">
        <v>221.24293518066401</v>
      </c>
      <c r="J222" s="216">
        <v>9.1700983047485405</v>
      </c>
      <c r="K222" s="216">
        <v>0.58416640758514404</v>
      </c>
      <c r="L222" s="216">
        <v>196.71609497070301</v>
      </c>
      <c r="M222" s="216">
        <v>2464</v>
      </c>
      <c r="N222" s="216">
        <v>20204.80078125</v>
      </c>
      <c r="O222" s="216">
        <v>16.400001525878899</v>
      </c>
      <c r="P222" s="216" t="s">
        <v>1062</v>
      </c>
      <c r="Q222" s="216">
        <v>0.70999997854232799</v>
      </c>
      <c r="R222" s="192">
        <f>VLOOKUP($A222,'RBSA Weights'!$A$2:$C$1406,3,FALSE)</f>
        <v>2130.886</v>
      </c>
      <c r="S222" s="216">
        <f t="shared" si="6"/>
        <v>1</v>
      </c>
      <c r="T222" s="216">
        <f t="shared" si="7"/>
        <v>2130.886</v>
      </c>
    </row>
    <row r="223" spans="1:20">
      <c r="A223" s="216">
        <v>20707</v>
      </c>
      <c r="B223" s="216">
        <v>906</v>
      </c>
      <c r="C223" s="216">
        <v>25.899999618530298</v>
      </c>
      <c r="D223" s="216">
        <v>1368</v>
      </c>
      <c r="E223" s="216">
        <v>49.799999237060497</v>
      </c>
      <c r="F223" s="216">
        <v>0.63028973340988204</v>
      </c>
      <c r="G223" s="216">
        <v>116.50373840332</v>
      </c>
      <c r="H223" s="216">
        <v>1371.46020507813</v>
      </c>
      <c r="I223" s="216">
        <v>129.86563110351599</v>
      </c>
      <c r="J223" s="216">
        <v>4.5948143005371103</v>
      </c>
      <c r="K223" s="216">
        <v>0.289052784442902</v>
      </c>
      <c r="L223" s="216">
        <v>86.276473999023395</v>
      </c>
      <c r="M223" s="216">
        <v>2184</v>
      </c>
      <c r="N223" s="216">
        <v>17908.80078125</v>
      </c>
      <c r="O223" s="216">
        <v>8.2000007629394496</v>
      </c>
      <c r="Q223" s="216">
        <v>0.69999998807907104</v>
      </c>
      <c r="R223" s="192">
        <f>VLOOKUP($A223,'RBSA Weights'!$A$2:$C$1406,3,FALSE)</f>
        <v>3785.7640000000001</v>
      </c>
      <c r="S223" s="216">
        <f t="shared" si="6"/>
        <v>0</v>
      </c>
      <c r="T223" s="216">
        <f t="shared" si="7"/>
        <v>0</v>
      </c>
    </row>
    <row r="224" spans="1:20">
      <c r="A224" s="216">
        <v>20716</v>
      </c>
      <c r="B224" s="216">
        <v>1116</v>
      </c>
      <c r="C224" s="216">
        <v>24.399999618530298</v>
      </c>
      <c r="D224" s="216">
        <v>1850</v>
      </c>
      <c r="E224" s="216">
        <v>50.099998474121101</v>
      </c>
      <c r="F224" s="216">
        <v>0.70254123210907005</v>
      </c>
      <c r="G224" s="216">
        <v>118.294799804688</v>
      </c>
      <c r="H224" s="216">
        <v>1847.40502929688</v>
      </c>
      <c r="I224" s="216">
        <v>145.75373840332</v>
      </c>
      <c r="J224" s="216">
        <v>6.3403363227844203</v>
      </c>
      <c r="K224" s="216">
        <v>0.38839510083198497</v>
      </c>
      <c r="L224" s="216">
        <v>113.167976379395</v>
      </c>
      <c r="M224" s="216">
        <v>2132</v>
      </c>
      <c r="N224" s="216">
        <v>17482.400390625</v>
      </c>
      <c r="O224" s="216">
        <v>16.399999618530298</v>
      </c>
      <c r="P224" s="216" t="s">
        <v>1063</v>
      </c>
      <c r="Q224" s="216">
        <v>0.62000000476837203</v>
      </c>
      <c r="R224" s="192">
        <f>VLOOKUP($A224,'RBSA Weights'!$A$2:$C$1406,3,FALSE)</f>
        <v>1144.6790000000001</v>
      </c>
      <c r="S224" s="216">
        <f t="shared" si="6"/>
        <v>0</v>
      </c>
      <c r="T224" s="216">
        <f t="shared" si="7"/>
        <v>0</v>
      </c>
    </row>
    <row r="225" spans="1:20">
      <c r="A225" s="216">
        <v>20753</v>
      </c>
      <c r="B225" s="216">
        <v>1854</v>
      </c>
      <c r="C225" s="216">
        <v>25</v>
      </c>
      <c r="D225" s="216">
        <v>2910</v>
      </c>
      <c r="E225" s="216">
        <v>50</v>
      </c>
      <c r="F225" s="216">
        <v>0.65037792921066295</v>
      </c>
      <c r="G225" s="216">
        <v>228.517990112305</v>
      </c>
      <c r="H225" s="216">
        <v>2910</v>
      </c>
      <c r="I225" s="216">
        <v>261.92022705078102</v>
      </c>
      <c r="J225" s="216">
        <v>12.569470405578601</v>
      </c>
      <c r="K225" s="216">
        <v>0.60128611326217696</v>
      </c>
      <c r="L225" s="216">
        <v>139.20574951171901</v>
      </c>
      <c r="M225" s="216">
        <v>1694</v>
      </c>
      <c r="N225" s="216">
        <v>13890.7998046875</v>
      </c>
      <c r="O225" s="216">
        <v>8.1999998092651403</v>
      </c>
      <c r="Q225" s="216">
        <v>0.56000000238418601</v>
      </c>
      <c r="R225" s="192">
        <f>VLOOKUP($A225,'RBSA Weights'!$A$2:$C$1406,3,FALSE)</f>
        <v>3785.7640000000001</v>
      </c>
      <c r="S225" s="216">
        <f t="shared" si="6"/>
        <v>1</v>
      </c>
      <c r="T225" s="216">
        <f t="shared" si="7"/>
        <v>3785.7640000000001</v>
      </c>
    </row>
    <row r="226" spans="1:20">
      <c r="A226" s="216">
        <v>20775</v>
      </c>
      <c r="B226" s="216">
        <v>1955</v>
      </c>
      <c r="C226" s="216">
        <v>25.299999237060501</v>
      </c>
      <c r="D226" s="216">
        <v>2980</v>
      </c>
      <c r="E226" s="216">
        <v>50</v>
      </c>
      <c r="F226" s="216">
        <v>0.61879265308380105</v>
      </c>
      <c r="G226" s="216">
        <v>264.79275512695301</v>
      </c>
      <c r="H226" s="216">
        <v>2980</v>
      </c>
      <c r="I226" s="216">
        <v>290.49490356445301</v>
      </c>
      <c r="J226" s="216">
        <v>5.5483150482177699</v>
      </c>
      <c r="K226" s="216">
        <v>0.419939935207367</v>
      </c>
      <c r="L226" s="216">
        <v>225.549728393555</v>
      </c>
      <c r="M226" s="216">
        <v>3930</v>
      </c>
      <c r="N226" s="216">
        <v>32226</v>
      </c>
      <c r="O226" s="216">
        <v>16.399999618530298</v>
      </c>
      <c r="Q226" s="216">
        <v>0.62000000476837203</v>
      </c>
      <c r="R226" s="192">
        <f>VLOOKUP($A226,'RBSA Weights'!$A$2:$C$1406,3,FALSE)</f>
        <v>2130.886</v>
      </c>
      <c r="S226" s="216">
        <f t="shared" si="6"/>
        <v>0</v>
      </c>
      <c r="T226" s="216">
        <f t="shared" si="7"/>
        <v>0</v>
      </c>
    </row>
    <row r="227" spans="1:20">
      <c r="A227" s="216">
        <v>20792</v>
      </c>
      <c r="B227" s="216">
        <v>1347</v>
      </c>
      <c r="C227" s="216">
        <v>25.200000762939499</v>
      </c>
      <c r="D227" s="216">
        <v>2046</v>
      </c>
      <c r="E227" s="216">
        <v>49.099998474121101</v>
      </c>
      <c r="F227" s="216">
        <v>0.62668275833129905</v>
      </c>
      <c r="G227" s="216">
        <v>178.292892456055</v>
      </c>
      <c r="H227" s="216">
        <v>2069.4228515625</v>
      </c>
      <c r="I227" s="216">
        <v>197.75012207031301</v>
      </c>
      <c r="J227" s="216">
        <v>12.391258239746101</v>
      </c>
      <c r="K227" s="216">
        <v>0.79788708686828602</v>
      </c>
      <c r="L227" s="216">
        <v>133.25247192382801</v>
      </c>
      <c r="M227" s="216">
        <v>1222</v>
      </c>
      <c r="N227" s="216">
        <v>10020.400390625</v>
      </c>
      <c r="O227" s="216">
        <v>8.2000007629394496</v>
      </c>
      <c r="Q227" s="216">
        <v>0.70999997854232799</v>
      </c>
      <c r="R227" s="192">
        <f>VLOOKUP($A227,'RBSA Weights'!$A$2:$C$1406,3,FALSE)</f>
        <v>1192.4649999999999</v>
      </c>
      <c r="S227" s="216">
        <f t="shared" si="6"/>
        <v>1</v>
      </c>
      <c r="T227" s="216">
        <f t="shared" si="7"/>
        <v>1192.4649999999999</v>
      </c>
    </row>
    <row r="228" spans="1:20">
      <c r="A228" s="216">
        <v>20807</v>
      </c>
      <c r="B228" s="216">
        <v>1870</v>
      </c>
      <c r="C228" s="216">
        <v>24.600000381469702</v>
      </c>
      <c r="D228" s="216">
        <v>2778</v>
      </c>
      <c r="E228" s="216">
        <v>49.799999237060497</v>
      </c>
      <c r="F228" s="216">
        <v>0.56119447946548495</v>
      </c>
      <c r="G228" s="216">
        <v>309.92492675781301</v>
      </c>
      <c r="H228" s="216">
        <v>2784.25561523438</v>
      </c>
      <c r="I228" s="216">
        <v>313.91448974609398</v>
      </c>
      <c r="J228" s="216">
        <v>5.5315237045288104</v>
      </c>
      <c r="K228" s="216">
        <v>0.36105802655219998</v>
      </c>
      <c r="L228" s="216">
        <v>181.73614501953099</v>
      </c>
      <c r="M228" s="216">
        <v>3683</v>
      </c>
      <c r="N228" s="216">
        <v>30200.599609375</v>
      </c>
      <c r="O228" s="216">
        <v>8.1999998092651403</v>
      </c>
      <c r="Q228" s="216">
        <v>0.61000001430511497</v>
      </c>
      <c r="R228" s="192">
        <f>VLOOKUP($A228,'RBSA Weights'!$A$2:$C$1406,3,FALSE)</f>
        <v>12271.31</v>
      </c>
      <c r="S228" s="216">
        <f t="shared" si="6"/>
        <v>0</v>
      </c>
      <c r="T228" s="216">
        <f t="shared" si="7"/>
        <v>0</v>
      </c>
    </row>
    <row r="229" spans="1:20">
      <c r="A229" s="216">
        <v>20809</v>
      </c>
      <c r="B229" s="216">
        <v>1336</v>
      </c>
      <c r="C229" s="216">
        <v>24.200000762939499</v>
      </c>
      <c r="D229" s="216">
        <v>2181</v>
      </c>
      <c r="E229" s="216">
        <v>49.099998474121101</v>
      </c>
      <c r="F229" s="216">
        <v>0.69271945953369096</v>
      </c>
      <c r="G229" s="216">
        <v>146.96388244628901</v>
      </c>
      <c r="H229" s="216">
        <v>2208.61596679688</v>
      </c>
      <c r="I229" s="216">
        <v>178.62876892089801</v>
      </c>
      <c r="J229" s="216">
        <v>13.467170715331999</v>
      </c>
      <c r="K229" s="216">
        <v>0.62023884057998702</v>
      </c>
      <c r="L229" s="216">
        <v>101.71916961669901</v>
      </c>
      <c r="M229" s="216">
        <v>1200</v>
      </c>
      <c r="N229" s="216">
        <v>9840</v>
      </c>
      <c r="O229" s="216">
        <v>8.1999998092651403</v>
      </c>
      <c r="Q229" s="216">
        <v>0.60000002384185802</v>
      </c>
      <c r="R229" s="192">
        <f>VLOOKUP($A229,'RBSA Weights'!$A$2:$C$1406,3,FALSE)</f>
        <v>1192.4649999999999</v>
      </c>
      <c r="S229" s="216">
        <f t="shared" si="6"/>
        <v>1</v>
      </c>
      <c r="T229" s="216">
        <f t="shared" si="7"/>
        <v>1192.4649999999999</v>
      </c>
    </row>
    <row r="230" spans="1:20">
      <c r="A230" s="216">
        <v>20825</v>
      </c>
      <c r="B230" s="216">
        <v>1270</v>
      </c>
      <c r="C230" s="216">
        <v>24.700000762939499</v>
      </c>
      <c r="D230" s="216">
        <v>2136</v>
      </c>
      <c r="E230" s="216">
        <v>50.200000762939503</v>
      </c>
      <c r="F230" s="216">
        <v>0.73309278488159202</v>
      </c>
      <c r="G230" s="216">
        <v>121.011772155762</v>
      </c>
      <c r="H230" s="216">
        <v>2129.75805664063</v>
      </c>
      <c r="I230" s="216">
        <v>155.55198669433599</v>
      </c>
      <c r="J230" s="216">
        <v>10.9820966720581</v>
      </c>
      <c r="K230" s="216">
        <v>0.39585307240486101</v>
      </c>
      <c r="L230" s="216">
        <v>76.767784118652301</v>
      </c>
      <c r="M230" s="216">
        <v>1419</v>
      </c>
      <c r="N230" s="216">
        <v>11635.7998046875</v>
      </c>
      <c r="O230" s="216">
        <v>8.1999998092651403</v>
      </c>
      <c r="P230" s="216" t="s">
        <v>1064</v>
      </c>
      <c r="Q230" s="216">
        <v>0.519999980926514</v>
      </c>
      <c r="R230" s="192">
        <f>VLOOKUP($A230,'RBSA Weights'!$A$2:$C$1406,3,FALSE)</f>
        <v>2079.9929999999999</v>
      </c>
      <c r="S230" s="216">
        <f t="shared" si="6"/>
        <v>1</v>
      </c>
      <c r="T230" s="216">
        <f t="shared" si="7"/>
        <v>2079.9929999999999</v>
      </c>
    </row>
    <row r="231" spans="1:20">
      <c r="A231" s="216">
        <v>20863</v>
      </c>
      <c r="B231" s="216">
        <v>1670</v>
      </c>
      <c r="C231" s="216">
        <v>25</v>
      </c>
      <c r="D231" s="216">
        <v>2625</v>
      </c>
      <c r="E231" s="216">
        <v>50</v>
      </c>
      <c r="F231" s="216">
        <v>0.65246933698654197</v>
      </c>
      <c r="G231" s="216">
        <v>204.45770263671901</v>
      </c>
      <c r="H231" s="216">
        <v>2625</v>
      </c>
      <c r="I231" s="216">
        <v>235.02349853515599</v>
      </c>
      <c r="J231" s="216">
        <v>13.2464256286621</v>
      </c>
      <c r="K231" s="216">
        <v>0.70912259817123402</v>
      </c>
      <c r="L231" s="216">
        <v>140.52445983886699</v>
      </c>
      <c r="M231" s="216">
        <v>1450</v>
      </c>
      <c r="N231" s="216">
        <v>11890</v>
      </c>
      <c r="O231" s="216">
        <v>8.1999998092651403</v>
      </c>
      <c r="Q231" s="216">
        <v>0.62999999523162797</v>
      </c>
      <c r="R231" s="192">
        <f>VLOOKUP($A231,'RBSA Weights'!$A$2:$C$1406,3,FALSE)</f>
        <v>8559.1039999999994</v>
      </c>
      <c r="S231" s="216">
        <f t="shared" si="6"/>
        <v>1</v>
      </c>
      <c r="T231" s="216">
        <f t="shared" si="7"/>
        <v>8559.1039999999994</v>
      </c>
    </row>
    <row r="232" spans="1:20">
      <c r="A232" s="216">
        <v>20878</v>
      </c>
      <c r="B232" s="216">
        <v>1331</v>
      </c>
      <c r="C232" s="216">
        <v>24.5</v>
      </c>
      <c r="D232" s="216">
        <v>2115</v>
      </c>
      <c r="E232" s="216">
        <v>50.099998474121101</v>
      </c>
      <c r="F232" s="216">
        <v>0.64741128683090199</v>
      </c>
      <c r="G232" s="216">
        <v>167.80938720703099</v>
      </c>
      <c r="H232" s="216">
        <v>2112.26611328125</v>
      </c>
      <c r="I232" s="216">
        <v>191.54852294921901</v>
      </c>
      <c r="J232" s="216">
        <v>9.4703464508056605</v>
      </c>
      <c r="K232" s="216">
        <v>0.44013905525207497</v>
      </c>
      <c r="L232" s="216">
        <v>98.168617248535199</v>
      </c>
      <c r="M232" s="216">
        <v>1632</v>
      </c>
      <c r="N232" s="216">
        <v>13382.400390625</v>
      </c>
      <c r="O232" s="216">
        <v>8.1999998092651403</v>
      </c>
      <c r="Q232" s="216">
        <v>0.54000002145767201</v>
      </c>
      <c r="R232" s="192">
        <f>VLOOKUP($A232,'RBSA Weights'!$A$2:$C$1406,3,FALSE)</f>
        <v>1904.288</v>
      </c>
      <c r="S232" s="216">
        <f t="shared" si="6"/>
        <v>1</v>
      </c>
      <c r="T232" s="216">
        <f t="shared" si="7"/>
        <v>1904.288</v>
      </c>
    </row>
    <row r="233" spans="1:20">
      <c r="A233" s="216">
        <v>20902</v>
      </c>
      <c r="B233" s="216">
        <v>3098</v>
      </c>
      <c r="C233" s="216">
        <v>25.100000381469702</v>
      </c>
      <c r="D233" s="216">
        <v>4739</v>
      </c>
      <c r="E233" s="216">
        <v>50</v>
      </c>
      <c r="F233" s="216">
        <v>0.61679786443710305</v>
      </c>
      <c r="G233" s="216">
        <v>424.39047241210898</v>
      </c>
      <c r="H233" s="216">
        <v>4739</v>
      </c>
      <c r="I233" s="216">
        <v>464.29824829101602</v>
      </c>
      <c r="J233" s="216">
        <v>11.834678649902299</v>
      </c>
      <c r="K233" s="216">
        <v>0.90026551485061601</v>
      </c>
      <c r="L233" s="216">
        <v>360.496337890625</v>
      </c>
      <c r="M233" s="216">
        <v>2930</v>
      </c>
      <c r="N233" s="216">
        <v>24026</v>
      </c>
      <c r="O233" s="216">
        <v>16.399999618530298</v>
      </c>
      <c r="P233" s="216" t="s">
        <v>1065</v>
      </c>
      <c r="Q233" s="216">
        <v>0.62000000476837203</v>
      </c>
      <c r="R233" s="192">
        <f>VLOOKUP($A233,'RBSA Weights'!$A$2:$C$1406,3,FALSE)</f>
        <v>2130.886</v>
      </c>
      <c r="S233" s="216">
        <f t="shared" si="6"/>
        <v>1</v>
      </c>
      <c r="T233" s="216">
        <f t="shared" si="7"/>
        <v>2130.886</v>
      </c>
    </row>
    <row r="234" spans="1:20">
      <c r="A234" s="216">
        <v>20905</v>
      </c>
      <c r="B234" s="216">
        <v>1064</v>
      </c>
      <c r="C234" s="216">
        <v>25</v>
      </c>
      <c r="D234" s="216">
        <v>1732</v>
      </c>
      <c r="E234" s="216">
        <v>50</v>
      </c>
      <c r="F234" s="216">
        <v>0.70294076204299905</v>
      </c>
      <c r="G234" s="216">
        <v>110.73186492919901</v>
      </c>
      <c r="H234" s="216">
        <v>1732</v>
      </c>
      <c r="I234" s="216">
        <v>136.51086425781301</v>
      </c>
      <c r="J234" s="216">
        <v>14.736245155334499</v>
      </c>
      <c r="K234" s="216">
        <v>0.65036666393279996</v>
      </c>
      <c r="L234" s="216">
        <v>76.439758300781307</v>
      </c>
      <c r="M234" s="216">
        <v>860</v>
      </c>
      <c r="N234" s="216">
        <v>7052</v>
      </c>
      <c r="O234" s="216">
        <v>8.1999998092651403</v>
      </c>
      <c r="Q234" s="216">
        <v>0.58999997377395597</v>
      </c>
      <c r="R234" s="192">
        <f>VLOOKUP($A234,'RBSA Weights'!$A$2:$C$1406,3,FALSE)</f>
        <v>8264.9449999999997</v>
      </c>
      <c r="S234" s="216">
        <f t="shared" si="6"/>
        <v>1</v>
      </c>
      <c r="T234" s="216">
        <f t="shared" si="7"/>
        <v>8264.9449999999997</v>
      </c>
    </row>
    <row r="235" spans="1:20">
      <c r="A235" s="216">
        <v>20930</v>
      </c>
      <c r="B235" s="216">
        <v>2599</v>
      </c>
      <c r="C235" s="216">
        <v>24.600000381469702</v>
      </c>
      <c r="D235" s="216">
        <v>4093</v>
      </c>
      <c r="E235" s="216">
        <v>50.5</v>
      </c>
      <c r="F235" s="216">
        <v>0.63144391775131203</v>
      </c>
      <c r="G235" s="216">
        <v>343.96066284179699</v>
      </c>
      <c r="H235" s="216">
        <v>4067.36401367188</v>
      </c>
      <c r="I235" s="216">
        <v>384.02371215820301</v>
      </c>
      <c r="J235" s="216">
        <v>7.2061018943786603</v>
      </c>
      <c r="K235" s="216">
        <v>0.387433141469955</v>
      </c>
      <c r="L235" s="216">
        <v>218.68017578125</v>
      </c>
      <c r="M235" s="216">
        <v>4130</v>
      </c>
      <c r="N235" s="216">
        <v>33866</v>
      </c>
      <c r="O235" s="216">
        <v>8.1999998092651403</v>
      </c>
      <c r="P235" s="216" t="s">
        <v>1066</v>
      </c>
      <c r="Q235" s="216">
        <v>0.60000002384185802</v>
      </c>
      <c r="R235" s="192">
        <f>VLOOKUP($A235,'RBSA Weights'!$A$2:$C$1406,3,FALSE)</f>
        <v>1904.288</v>
      </c>
      <c r="S235" s="216">
        <f t="shared" si="6"/>
        <v>1</v>
      </c>
      <c r="T235" s="216">
        <f t="shared" si="7"/>
        <v>1904.288</v>
      </c>
    </row>
    <row r="236" spans="1:20">
      <c r="A236" s="216">
        <v>20936</v>
      </c>
      <c r="B236" s="216">
        <v>1876</v>
      </c>
      <c r="C236" s="216">
        <v>24.5</v>
      </c>
      <c r="D236" s="216">
        <v>2678</v>
      </c>
      <c r="E236" s="216">
        <v>49.299999237060497</v>
      </c>
      <c r="F236" s="216">
        <v>0.509013831615448</v>
      </c>
      <c r="G236" s="216">
        <v>368.237548828125</v>
      </c>
      <c r="H236" s="216">
        <v>2697.28784179688</v>
      </c>
      <c r="I236" s="216">
        <v>346.95013427734398</v>
      </c>
      <c r="J236" s="216">
        <v>6.5028839111328098</v>
      </c>
      <c r="K236" s="216">
        <v>0.56565499305725098</v>
      </c>
      <c r="L236" s="216">
        <v>234.624267578125</v>
      </c>
      <c r="M236" s="216">
        <v>3035</v>
      </c>
      <c r="N236" s="216">
        <v>24887</v>
      </c>
      <c r="O236" s="216">
        <v>16.399999618530298</v>
      </c>
      <c r="P236" s="216" t="s">
        <v>1067</v>
      </c>
      <c r="Q236" s="216">
        <v>0.54000002145767201</v>
      </c>
      <c r="R236" s="192">
        <f>VLOOKUP($A236,'RBSA Weights'!$A$2:$C$1406,3,FALSE)</f>
        <v>1904.288</v>
      </c>
      <c r="S236" s="216">
        <f t="shared" si="6"/>
        <v>0</v>
      </c>
      <c r="T236" s="216">
        <f t="shared" si="7"/>
        <v>0</v>
      </c>
    </row>
    <row r="237" spans="1:20">
      <c r="A237" s="216">
        <v>20941</v>
      </c>
      <c r="B237" s="216">
        <v>1702</v>
      </c>
      <c r="C237" s="216">
        <v>24.5</v>
      </c>
      <c r="D237" s="216">
        <v>2848</v>
      </c>
      <c r="E237" s="216">
        <v>49.900001525878899</v>
      </c>
      <c r="F237" s="216">
        <v>0.72371470928192105</v>
      </c>
      <c r="G237" s="216">
        <v>168.11235046386699</v>
      </c>
      <c r="H237" s="216">
        <v>2852.12915039063</v>
      </c>
      <c r="I237" s="216">
        <v>213.30517578125</v>
      </c>
      <c r="J237" s="216">
        <v>10.7021732330322</v>
      </c>
      <c r="K237" s="216">
        <v>0.47856926918029802</v>
      </c>
      <c r="L237" s="216">
        <v>127.538711547852</v>
      </c>
      <c r="M237" s="216">
        <v>1950</v>
      </c>
      <c r="N237" s="216">
        <v>15990</v>
      </c>
      <c r="O237" s="216">
        <v>8.1999998092651403</v>
      </c>
      <c r="P237" s="216" t="s">
        <v>1068</v>
      </c>
      <c r="Q237" s="216">
        <v>0.62999999523162797</v>
      </c>
      <c r="R237" s="192">
        <f>VLOOKUP($A237,'RBSA Weights'!$A$2:$C$1406,3,FALSE)</f>
        <v>3785.7640000000001</v>
      </c>
      <c r="S237" s="216">
        <f t="shared" si="6"/>
        <v>1</v>
      </c>
      <c r="T237" s="216">
        <f t="shared" si="7"/>
        <v>3785.7640000000001</v>
      </c>
    </row>
    <row r="238" spans="1:20">
      <c r="A238" s="216">
        <v>20946</v>
      </c>
      <c r="B238" s="216">
        <v>757</v>
      </c>
      <c r="C238" s="216">
        <v>25</v>
      </c>
      <c r="D238" s="216">
        <v>1237</v>
      </c>
      <c r="E238" s="216">
        <v>50.599998474121101</v>
      </c>
      <c r="F238" s="216">
        <v>0.69649416208267201</v>
      </c>
      <c r="G238" s="216">
        <v>80.433845520019503</v>
      </c>
      <c r="H238" s="216">
        <v>1226.76538085938</v>
      </c>
      <c r="I238" s="216">
        <v>98.277076721191406</v>
      </c>
      <c r="J238" s="216">
        <v>3.20583295822144</v>
      </c>
      <c r="K238" s="216">
        <v>0.15355792641639701</v>
      </c>
      <c r="L238" s="216">
        <v>58.761497497558601</v>
      </c>
      <c r="M238" s="216">
        <v>2800</v>
      </c>
      <c r="N238" s="216">
        <v>22960</v>
      </c>
      <c r="O238" s="216">
        <v>8.1999998092651403</v>
      </c>
      <c r="Q238" s="216">
        <v>0.62999999523162797</v>
      </c>
      <c r="R238" s="192">
        <f>VLOOKUP($A238,'RBSA Weights'!$A$2:$C$1406,3,FALSE)</f>
        <v>2130.886</v>
      </c>
      <c r="S238" s="216">
        <f t="shared" si="6"/>
        <v>0</v>
      </c>
      <c r="T238" s="216">
        <f t="shared" si="7"/>
        <v>0</v>
      </c>
    </row>
    <row r="239" spans="1:20">
      <c r="A239" s="216">
        <v>20958</v>
      </c>
      <c r="B239" s="216">
        <v>1725</v>
      </c>
      <c r="C239" s="216">
        <v>25.899999618530298</v>
      </c>
      <c r="D239" s="216">
        <v>2650</v>
      </c>
      <c r="E239" s="216">
        <v>51</v>
      </c>
      <c r="F239" s="216">
        <v>0.63362389802932695</v>
      </c>
      <c r="G239" s="216">
        <v>219.42625427246099</v>
      </c>
      <c r="H239" s="216">
        <v>2616.95703125</v>
      </c>
      <c r="I239" s="216">
        <v>245.72554016113301</v>
      </c>
      <c r="J239" s="216">
        <v>7.9785275459289604</v>
      </c>
      <c r="K239" s="216">
        <v>0.50481808185577404</v>
      </c>
      <c r="L239" s="216">
        <v>165.58033752441401</v>
      </c>
      <c r="M239" s="216">
        <v>2400</v>
      </c>
      <c r="N239" s="216">
        <v>19680</v>
      </c>
      <c r="O239" s="216">
        <v>8.1999998092651403</v>
      </c>
      <c r="Q239" s="216">
        <v>0.70999997854232799</v>
      </c>
      <c r="R239" s="192">
        <f>VLOOKUP($A239,'RBSA Weights'!$A$2:$C$1406,3,FALSE)</f>
        <v>1192.4649999999999</v>
      </c>
      <c r="S239" s="216">
        <f t="shared" si="6"/>
        <v>1</v>
      </c>
      <c r="T239" s="216">
        <f t="shared" si="7"/>
        <v>1192.4649999999999</v>
      </c>
    </row>
    <row r="240" spans="1:20">
      <c r="A240" s="216">
        <v>20995</v>
      </c>
      <c r="B240" s="216">
        <v>640</v>
      </c>
      <c r="C240" s="216">
        <v>27</v>
      </c>
      <c r="D240" s="216">
        <v>958</v>
      </c>
      <c r="E240" s="216">
        <v>49</v>
      </c>
      <c r="F240" s="216">
        <v>0.67683023214340199</v>
      </c>
      <c r="G240" s="216">
        <v>68.768524169921903</v>
      </c>
      <c r="H240" s="216">
        <v>971.189453125</v>
      </c>
      <c r="I240" s="216">
        <v>81.764389038085895</v>
      </c>
      <c r="J240" s="216">
        <v>9.0641126632690394</v>
      </c>
      <c r="K240" s="216">
        <v>0.44903206825256298</v>
      </c>
      <c r="L240" s="216">
        <v>48.1122856140137</v>
      </c>
      <c r="M240" s="216">
        <v>784</v>
      </c>
      <c r="N240" s="216">
        <v>6428.7998046875</v>
      </c>
      <c r="O240" s="216">
        <v>8.1999998092651403</v>
      </c>
      <c r="P240" s="216" t="s">
        <v>1069</v>
      </c>
      <c r="Q240" s="216">
        <v>0.62000000476837203</v>
      </c>
      <c r="R240" s="192">
        <f>VLOOKUP($A240,'RBSA Weights'!$A$2:$C$1406,3,FALSE)</f>
        <v>2130.886</v>
      </c>
      <c r="S240" s="216">
        <f t="shared" si="6"/>
        <v>1</v>
      </c>
      <c r="T240" s="216">
        <f t="shared" si="7"/>
        <v>2130.886</v>
      </c>
    </row>
    <row r="241" spans="1:20">
      <c r="A241" s="216">
        <v>20998</v>
      </c>
      <c r="B241" s="216">
        <v>1223</v>
      </c>
      <c r="C241" s="216">
        <v>24.600000381469702</v>
      </c>
      <c r="D241" s="216">
        <v>1979</v>
      </c>
      <c r="E241" s="216">
        <v>49.900001525878899</v>
      </c>
      <c r="F241" s="216">
        <v>0.68047803640365601</v>
      </c>
      <c r="G241" s="216">
        <v>138.33296203613301</v>
      </c>
      <c r="H241" s="216">
        <v>1981.69787597656</v>
      </c>
      <c r="I241" s="216">
        <v>165.30895996093801</v>
      </c>
      <c r="J241" s="216">
        <v>5.4862766265869096</v>
      </c>
      <c r="K241" s="216">
        <v>0.37253069877624501</v>
      </c>
      <c r="L241" s="216">
        <v>134.56181335449199</v>
      </c>
      <c r="M241" s="216">
        <v>2643</v>
      </c>
      <c r="N241" s="216">
        <v>21672.599609375</v>
      </c>
      <c r="O241" s="216">
        <v>16.399999618530298</v>
      </c>
      <c r="Q241" s="216">
        <v>0.64999997615814198</v>
      </c>
      <c r="R241" s="192">
        <f>VLOOKUP($A241,'RBSA Weights'!$A$2:$C$1406,3,FALSE)</f>
        <v>3785.7640000000001</v>
      </c>
      <c r="S241" s="216">
        <f t="shared" si="6"/>
        <v>0</v>
      </c>
      <c r="T241" s="216">
        <f t="shared" si="7"/>
        <v>0</v>
      </c>
    </row>
    <row r="242" spans="1:20">
      <c r="A242" s="216">
        <v>21021</v>
      </c>
      <c r="B242" s="216">
        <v>1989</v>
      </c>
      <c r="C242" s="216">
        <v>25</v>
      </c>
      <c r="D242" s="216">
        <v>3338</v>
      </c>
      <c r="E242" s="216">
        <v>50</v>
      </c>
      <c r="F242" s="216">
        <v>0.74694067239761397</v>
      </c>
      <c r="G242" s="216">
        <v>179.66212463378901</v>
      </c>
      <c r="H242" s="216">
        <v>3338</v>
      </c>
      <c r="I242" s="216">
        <v>235.41912841796901</v>
      </c>
      <c r="J242" s="216">
        <v>19.201564788818398</v>
      </c>
      <c r="K242" s="216">
        <v>0.93275338411331199</v>
      </c>
      <c r="L242" s="216">
        <v>162.14985656738301</v>
      </c>
      <c r="M242" s="216">
        <v>1272</v>
      </c>
      <c r="N242" s="216">
        <v>10430.400390625</v>
      </c>
      <c r="O242" s="216">
        <v>16.400001525878899</v>
      </c>
      <c r="Q242" s="216">
        <v>0.55000001192092896</v>
      </c>
      <c r="R242" s="192">
        <f>VLOOKUP($A242,'RBSA Weights'!$A$2:$C$1406,3,FALSE)</f>
        <v>8264.9449999999997</v>
      </c>
      <c r="S242" s="216">
        <f t="shared" si="6"/>
        <v>1</v>
      </c>
      <c r="T242" s="216">
        <f t="shared" si="7"/>
        <v>8264.9449999999997</v>
      </c>
    </row>
    <row r="243" spans="1:20">
      <c r="A243" s="216">
        <v>21026</v>
      </c>
      <c r="B243" s="216">
        <v>390</v>
      </c>
      <c r="C243" s="216">
        <v>25</v>
      </c>
      <c r="D243" s="216">
        <v>620</v>
      </c>
      <c r="E243" s="216">
        <v>50</v>
      </c>
      <c r="F243" s="216">
        <v>0.66879409551620495</v>
      </c>
      <c r="G243" s="216">
        <v>45.303379058837898</v>
      </c>
      <c r="H243" s="216">
        <v>620</v>
      </c>
      <c r="I243" s="216">
        <v>53.268062591552699</v>
      </c>
      <c r="J243" s="216">
        <v>6.3008131980895996</v>
      </c>
      <c r="K243" s="216">
        <v>0.25688686966896102</v>
      </c>
      <c r="L243" s="216">
        <v>25.277667999267599</v>
      </c>
      <c r="M243" s="216">
        <v>720</v>
      </c>
      <c r="N243" s="216">
        <v>5904</v>
      </c>
      <c r="O243" s="216">
        <v>8.1999998092651403</v>
      </c>
      <c r="Q243" s="216">
        <v>0.5</v>
      </c>
      <c r="R243" s="192">
        <f>VLOOKUP($A243,'RBSA Weights'!$A$2:$C$1406,3,FALSE)</f>
        <v>8264.9449999999997</v>
      </c>
      <c r="S243" s="216">
        <f t="shared" si="6"/>
        <v>0</v>
      </c>
      <c r="T243" s="216">
        <f t="shared" si="7"/>
        <v>0</v>
      </c>
    </row>
    <row r="244" spans="1:20">
      <c r="A244" s="216">
        <v>21049</v>
      </c>
      <c r="B244" s="216">
        <v>1765</v>
      </c>
      <c r="C244" s="216">
        <v>25</v>
      </c>
      <c r="D244" s="216">
        <v>2717</v>
      </c>
      <c r="E244" s="216">
        <v>50</v>
      </c>
      <c r="F244" s="216">
        <v>0.62234640121460005</v>
      </c>
      <c r="G244" s="216">
        <v>238.09033203125</v>
      </c>
      <c r="H244" s="216">
        <v>2717</v>
      </c>
      <c r="I244" s="216">
        <v>262.49060058593801</v>
      </c>
      <c r="J244" s="216">
        <v>6.8458976745605504</v>
      </c>
      <c r="K244" s="216">
        <v>0.39545327425003102</v>
      </c>
      <c r="L244" s="216">
        <v>156.94749450683599</v>
      </c>
      <c r="M244" s="216">
        <v>2904</v>
      </c>
      <c r="N244" s="216">
        <v>23812.80078125</v>
      </c>
      <c r="O244" s="216">
        <v>8.1999998092651403</v>
      </c>
      <c r="Q244" s="216">
        <v>0.62999999523162797</v>
      </c>
      <c r="R244" s="192">
        <f>VLOOKUP($A244,'RBSA Weights'!$A$2:$C$1406,3,FALSE)</f>
        <v>2130.886</v>
      </c>
      <c r="S244" s="216">
        <f t="shared" si="6"/>
        <v>0</v>
      </c>
      <c r="T244" s="216">
        <f t="shared" si="7"/>
        <v>0</v>
      </c>
    </row>
    <row r="245" spans="1:20">
      <c r="A245" s="216">
        <v>21085</v>
      </c>
      <c r="B245" s="216">
        <v>676</v>
      </c>
      <c r="C245" s="216">
        <v>24.200000762939499</v>
      </c>
      <c r="D245" s="216">
        <v>1001</v>
      </c>
      <c r="E245" s="216">
        <v>49.700000762939503</v>
      </c>
      <c r="F245" s="216">
        <v>0.54548799991607699</v>
      </c>
      <c r="G245" s="216">
        <v>118.87540435791</v>
      </c>
      <c r="H245" s="216">
        <v>1004.29144287109</v>
      </c>
      <c r="I245" s="216">
        <v>117.812294006348</v>
      </c>
      <c r="J245" s="216">
        <v>4.3740916252136204</v>
      </c>
      <c r="K245" s="216">
        <v>0.292193204164505</v>
      </c>
      <c r="L245" s="216">
        <v>67.087554931640597</v>
      </c>
      <c r="M245" s="216">
        <v>1680</v>
      </c>
      <c r="N245" s="216">
        <v>13776</v>
      </c>
      <c r="O245" s="216">
        <v>8.1999998092651403</v>
      </c>
      <c r="P245" s="216" t="s">
        <v>1070</v>
      </c>
      <c r="Q245" s="216">
        <v>0.60000002384185802</v>
      </c>
      <c r="R245" s="192">
        <f>VLOOKUP($A245,'RBSA Weights'!$A$2:$C$1406,3,FALSE)</f>
        <v>3785.7640000000001</v>
      </c>
      <c r="S245" s="216">
        <f t="shared" si="6"/>
        <v>0</v>
      </c>
      <c r="T245" s="216">
        <f t="shared" si="7"/>
        <v>0</v>
      </c>
    </row>
    <row r="246" spans="1:20">
      <c r="A246" s="216">
        <v>21107</v>
      </c>
      <c r="B246" s="216">
        <v>1487</v>
      </c>
      <c r="C246" s="216">
        <v>25.100000381469702</v>
      </c>
      <c r="D246" s="216">
        <v>2294</v>
      </c>
      <c r="E246" s="216">
        <v>49.599998474121101</v>
      </c>
      <c r="F246" s="216">
        <v>0.636502325534821</v>
      </c>
      <c r="G246" s="216">
        <v>191.16809082031301</v>
      </c>
      <c r="H246" s="216">
        <v>2305.75830078125</v>
      </c>
      <c r="I246" s="216">
        <v>214.93647766113301</v>
      </c>
      <c r="J246" s="216">
        <v>11.965533256530801</v>
      </c>
      <c r="K246" s="216">
        <v>0.65632688999176003</v>
      </c>
      <c r="L246" s="216">
        <v>126.47418975830099</v>
      </c>
      <c r="M246" s="216">
        <v>1410</v>
      </c>
      <c r="N246" s="216">
        <v>11562</v>
      </c>
      <c r="O246" s="216">
        <v>8.1999998092651403</v>
      </c>
      <c r="P246" s="216" t="s">
        <v>1071</v>
      </c>
      <c r="Q246" s="216">
        <v>0.62000000476837203</v>
      </c>
      <c r="R246" s="192">
        <f>VLOOKUP($A246,'RBSA Weights'!$A$2:$C$1406,3,FALSE)</f>
        <v>1144.6790000000001</v>
      </c>
      <c r="S246" s="216">
        <f t="shared" si="6"/>
        <v>1</v>
      </c>
      <c r="T246" s="216">
        <f t="shared" si="7"/>
        <v>1144.6790000000001</v>
      </c>
    </row>
    <row r="247" spans="1:20">
      <c r="A247" s="216">
        <v>21137</v>
      </c>
      <c r="B247" s="216">
        <v>690</v>
      </c>
      <c r="C247" s="216">
        <v>20.700000762939499</v>
      </c>
      <c r="D247" s="216">
        <v>1074</v>
      </c>
      <c r="E247" s="216">
        <v>41</v>
      </c>
      <c r="F247" s="216">
        <v>0.64739370346069303</v>
      </c>
      <c r="G247" s="216">
        <v>97.028244018554702</v>
      </c>
      <c r="H247" s="216">
        <v>1221.23901367188</v>
      </c>
      <c r="I247" s="216">
        <v>110.75163269043</v>
      </c>
      <c r="J247" s="216">
        <v>4.1991991996765101</v>
      </c>
      <c r="K247" s="216">
        <v>0.27468162775039701</v>
      </c>
      <c r="L247" s="216">
        <v>79.884742736816406</v>
      </c>
      <c r="M247" s="216">
        <v>2128</v>
      </c>
      <c r="N247" s="216">
        <v>17449.599609375</v>
      </c>
      <c r="O247" s="216">
        <v>8.1999998092651403</v>
      </c>
      <c r="Q247" s="216">
        <v>0.75999999046325695</v>
      </c>
      <c r="R247" s="192">
        <f>VLOOKUP($A247,'RBSA Weights'!$A$2:$C$1406,3,FALSE)</f>
        <v>2130.886</v>
      </c>
      <c r="S247" s="216">
        <f t="shared" si="6"/>
        <v>0</v>
      </c>
      <c r="T247" s="216">
        <f t="shared" si="7"/>
        <v>0</v>
      </c>
    </row>
    <row r="248" spans="1:20">
      <c r="A248" s="216">
        <v>21143</v>
      </c>
      <c r="B248" s="216">
        <v>755</v>
      </c>
      <c r="C248" s="216">
        <v>25</v>
      </c>
      <c r="D248" s="216">
        <v>1180</v>
      </c>
      <c r="E248" s="216">
        <v>50</v>
      </c>
      <c r="F248" s="216">
        <v>0.64423829317092896</v>
      </c>
      <c r="G248" s="216">
        <v>94.916229248046903</v>
      </c>
      <c r="H248" s="216">
        <v>1180</v>
      </c>
      <c r="I248" s="216">
        <v>107.86801910400401</v>
      </c>
      <c r="J248" s="216">
        <v>6.3207511901855504</v>
      </c>
      <c r="K248" s="216">
        <v>0.334510177373886</v>
      </c>
      <c r="L248" s="216">
        <v>62.448593139648402</v>
      </c>
      <c r="M248" s="216">
        <v>1366</v>
      </c>
      <c r="N248" s="216">
        <v>11201.2001953125</v>
      </c>
      <c r="O248" s="216">
        <v>8.1999998092651403</v>
      </c>
      <c r="Q248" s="216">
        <v>0.61000001430511497</v>
      </c>
      <c r="R248" s="192">
        <f>VLOOKUP($A248,'RBSA Weights'!$A$2:$C$1406,3,FALSE)</f>
        <v>1612.692</v>
      </c>
      <c r="S248" s="216">
        <f t="shared" si="6"/>
        <v>0</v>
      </c>
      <c r="T248" s="216">
        <f t="shared" si="7"/>
        <v>0</v>
      </c>
    </row>
    <row r="249" spans="1:20">
      <c r="A249" s="216">
        <v>21155</v>
      </c>
      <c r="B249" s="216">
        <v>1456</v>
      </c>
      <c r="C249" s="216">
        <v>25.5</v>
      </c>
      <c r="D249" s="216">
        <v>2332</v>
      </c>
      <c r="E249" s="216">
        <v>49.900001525878899</v>
      </c>
      <c r="F249" s="216">
        <v>0.70162886381149303</v>
      </c>
      <c r="G249" s="216">
        <v>150.069412231445</v>
      </c>
      <c r="H249" s="216">
        <v>2335.27783203125</v>
      </c>
      <c r="I249" s="216">
        <v>184.67025756835901</v>
      </c>
      <c r="J249" s="216">
        <v>5.0420179367065403</v>
      </c>
      <c r="K249" s="216">
        <v>0.35451385378837602</v>
      </c>
      <c r="L249" s="216">
        <v>164.19781494140599</v>
      </c>
      <c r="M249" s="216">
        <v>3389</v>
      </c>
      <c r="N249" s="216">
        <v>27789.80078125</v>
      </c>
      <c r="O249" s="216">
        <v>16.399999618530298</v>
      </c>
      <c r="Q249" s="216">
        <v>0.70999997854232799</v>
      </c>
      <c r="R249" s="192">
        <f>VLOOKUP($A249,'RBSA Weights'!$A$2:$C$1406,3,FALSE)</f>
        <v>1192.4649999999999</v>
      </c>
      <c r="S249" s="216">
        <f t="shared" si="6"/>
        <v>0</v>
      </c>
      <c r="T249" s="216">
        <f t="shared" si="7"/>
        <v>0</v>
      </c>
    </row>
    <row r="250" spans="1:20">
      <c r="A250" s="216">
        <v>21203</v>
      </c>
      <c r="B250" s="216">
        <v>2831</v>
      </c>
      <c r="C250" s="216">
        <v>25.700000762939499</v>
      </c>
      <c r="D250" s="216">
        <v>4427</v>
      </c>
      <c r="E250" s="216">
        <v>48.5</v>
      </c>
      <c r="F250" s="216">
        <v>0.70400142669677701</v>
      </c>
      <c r="G250" s="216">
        <v>287.96847534179699</v>
      </c>
      <c r="H250" s="216">
        <v>4522.955078125</v>
      </c>
      <c r="I250" s="216">
        <v>355.53155517578102</v>
      </c>
      <c r="J250" s="216">
        <v>17.792900085449201</v>
      </c>
      <c r="K250" s="216">
        <v>1.06842625141144</v>
      </c>
      <c r="L250" s="216">
        <v>271.59393310546898</v>
      </c>
      <c r="M250" s="216">
        <v>1860</v>
      </c>
      <c r="N250" s="216">
        <v>15252</v>
      </c>
      <c r="O250" s="216">
        <v>16.399999618530298</v>
      </c>
      <c r="Q250" s="216">
        <v>0.61000001430511497</v>
      </c>
      <c r="R250" s="192">
        <f>VLOOKUP($A250,'RBSA Weights'!$A$2:$C$1406,3,FALSE)</f>
        <v>2079.9929999999999</v>
      </c>
      <c r="S250" s="216">
        <f t="shared" si="6"/>
        <v>1</v>
      </c>
      <c r="T250" s="216">
        <f t="shared" si="7"/>
        <v>2079.9929999999999</v>
      </c>
    </row>
    <row r="251" spans="1:20">
      <c r="A251" s="216">
        <v>21214</v>
      </c>
      <c r="B251" s="216">
        <v>1263</v>
      </c>
      <c r="C251" s="216">
        <v>25.100000381469702</v>
      </c>
      <c r="D251" s="216">
        <v>1960</v>
      </c>
      <c r="E251" s="216">
        <v>50.200000762939503</v>
      </c>
      <c r="F251" s="216">
        <v>0.63399899005889904</v>
      </c>
      <c r="G251" s="216">
        <v>163.68603515625</v>
      </c>
      <c r="H251" s="216">
        <v>1955.04565429688</v>
      </c>
      <c r="I251" s="216">
        <v>183.39993286132801</v>
      </c>
      <c r="J251" s="216">
        <v>3.5479197502136199</v>
      </c>
      <c r="K251" s="216">
        <v>0.19584290683269501</v>
      </c>
      <c r="L251" s="216">
        <v>107.917266845703</v>
      </c>
      <c r="M251" s="216">
        <v>4032</v>
      </c>
      <c r="N251" s="216">
        <v>33062.3984375</v>
      </c>
      <c r="O251" s="216">
        <v>8.1999998092651403</v>
      </c>
      <c r="P251" s="216" t="s">
        <v>1072</v>
      </c>
      <c r="Q251" s="216">
        <v>0.62000000476837203</v>
      </c>
      <c r="R251" s="192">
        <f>VLOOKUP($A251,'RBSA Weights'!$A$2:$C$1406,3,FALSE)</f>
        <v>1144.6790000000001</v>
      </c>
      <c r="S251" s="216">
        <f t="shared" si="6"/>
        <v>0</v>
      </c>
      <c r="T251" s="216">
        <f t="shared" si="7"/>
        <v>0</v>
      </c>
    </row>
    <row r="252" spans="1:20">
      <c r="A252" s="216">
        <v>21219</v>
      </c>
      <c r="B252" s="216">
        <v>1089</v>
      </c>
      <c r="C252" s="216">
        <v>25</v>
      </c>
      <c r="D252" s="216">
        <v>1735</v>
      </c>
      <c r="E252" s="216">
        <v>50</v>
      </c>
      <c r="F252" s="216">
        <v>0.67193168401718095</v>
      </c>
      <c r="G252" s="216">
        <v>125.22980499267599</v>
      </c>
      <c r="H252" s="216">
        <v>1735</v>
      </c>
      <c r="I252" s="216">
        <v>147.88803100585901</v>
      </c>
      <c r="J252" s="216">
        <v>8.3356027603149396</v>
      </c>
      <c r="K252" s="216">
        <v>0.55166357755661</v>
      </c>
      <c r="L252" s="216">
        <v>114.825088500977</v>
      </c>
      <c r="M252" s="216">
        <v>1523</v>
      </c>
      <c r="N252" s="216">
        <v>12488.599609375</v>
      </c>
      <c r="O252" s="216">
        <v>16.399999618530298</v>
      </c>
      <c r="Q252" s="216">
        <v>0.62000000476837203</v>
      </c>
      <c r="R252" s="192">
        <f>VLOOKUP($A252,'RBSA Weights'!$A$2:$C$1406,3,FALSE)</f>
        <v>8559.1039999999994</v>
      </c>
      <c r="S252" s="216">
        <f t="shared" si="6"/>
        <v>1</v>
      </c>
      <c r="T252" s="216">
        <f t="shared" si="7"/>
        <v>8559.1039999999994</v>
      </c>
    </row>
    <row r="253" spans="1:20">
      <c r="A253" s="216">
        <v>21228</v>
      </c>
      <c r="B253" s="216">
        <v>952</v>
      </c>
      <c r="C253" s="216">
        <v>25.200000762939499</v>
      </c>
      <c r="D253" s="216">
        <v>1424</v>
      </c>
      <c r="E253" s="216">
        <v>49.799999237060497</v>
      </c>
      <c r="F253" s="216">
        <v>0.59112924337387096</v>
      </c>
      <c r="G253" s="216">
        <v>141.32795715332</v>
      </c>
      <c r="H253" s="216">
        <v>1427.37780761719</v>
      </c>
      <c r="I253" s="216">
        <v>149.21258544921901</v>
      </c>
      <c r="J253" s="216">
        <v>7.3241429328918501</v>
      </c>
      <c r="K253" s="216">
        <v>0.67658632993698098</v>
      </c>
      <c r="L253" s="216">
        <v>131.85765075683599</v>
      </c>
      <c r="M253" s="216">
        <v>1426</v>
      </c>
      <c r="N253" s="216">
        <v>11693.2001953125</v>
      </c>
      <c r="O253" s="216">
        <v>24.599998474121101</v>
      </c>
      <c r="Q253" s="216">
        <v>0.60000002384185802</v>
      </c>
      <c r="R253" s="192">
        <f>VLOOKUP($A253,'RBSA Weights'!$A$2:$C$1406,3,FALSE)</f>
        <v>3785.7640000000001</v>
      </c>
      <c r="S253" s="216">
        <f t="shared" si="6"/>
        <v>1</v>
      </c>
      <c r="T253" s="216">
        <f t="shared" si="7"/>
        <v>3785.7640000000001</v>
      </c>
    </row>
    <row r="254" spans="1:20">
      <c r="A254" s="216">
        <v>21233</v>
      </c>
      <c r="B254" s="216">
        <v>868</v>
      </c>
      <c r="C254" s="216">
        <v>26.700000762939499</v>
      </c>
      <c r="D254" s="216">
        <v>1265</v>
      </c>
      <c r="E254" s="216">
        <v>50.099998474121101</v>
      </c>
      <c r="F254" s="216">
        <v>0.59844487905502297</v>
      </c>
      <c r="G254" s="216">
        <v>121.57138061523401</v>
      </c>
      <c r="H254" s="216">
        <v>1263.48840332031</v>
      </c>
      <c r="I254" s="216">
        <v>129.66213989257801</v>
      </c>
      <c r="J254" s="216">
        <v>7.2738289833068803</v>
      </c>
      <c r="K254" s="216">
        <v>0.43215045332908603</v>
      </c>
      <c r="L254" s="216">
        <v>75.065971374511705</v>
      </c>
      <c r="M254" s="216">
        <v>1271</v>
      </c>
      <c r="N254" s="216">
        <v>10422.2001953125</v>
      </c>
      <c r="O254" s="216">
        <v>8.1999998092651403</v>
      </c>
      <c r="Q254" s="216">
        <v>0.61000001430511497</v>
      </c>
      <c r="R254" s="192">
        <f>VLOOKUP($A254,'RBSA Weights'!$A$2:$C$1406,3,FALSE)</f>
        <v>2130.886</v>
      </c>
      <c r="S254" s="216">
        <f t="shared" si="6"/>
        <v>1</v>
      </c>
      <c r="T254" s="216">
        <f t="shared" si="7"/>
        <v>2130.886</v>
      </c>
    </row>
    <row r="255" spans="1:20">
      <c r="A255" s="216">
        <v>21252</v>
      </c>
      <c r="B255" s="216">
        <v>1838</v>
      </c>
      <c r="C255" s="216">
        <v>25</v>
      </c>
      <c r="D255" s="216">
        <v>3200</v>
      </c>
      <c r="E255" s="216">
        <v>49</v>
      </c>
      <c r="F255" s="216">
        <v>0.82395029067993197</v>
      </c>
      <c r="G255" s="216">
        <v>129.57237243652301</v>
      </c>
      <c r="H255" s="216">
        <v>3253.712890625</v>
      </c>
      <c r="I255" s="216">
        <v>188.9130859375</v>
      </c>
      <c r="J255" s="216">
        <v>6.8021874427795401</v>
      </c>
      <c r="K255" s="216">
        <v>0.26213160157203702</v>
      </c>
      <c r="L255" s="216">
        <v>125.386276245117</v>
      </c>
      <c r="M255" s="216">
        <v>3500</v>
      </c>
      <c r="N255" s="216">
        <v>28700</v>
      </c>
      <c r="O255" s="216">
        <v>16.399999618530298</v>
      </c>
      <c r="P255" s="216" t="s">
        <v>1073</v>
      </c>
      <c r="Q255" s="216">
        <v>0.52999997138977095</v>
      </c>
      <c r="R255" s="192">
        <f>VLOOKUP($A255,'RBSA Weights'!$A$2:$C$1406,3,FALSE)</f>
        <v>1612.692</v>
      </c>
      <c r="S255" s="216">
        <f t="shared" si="6"/>
        <v>0</v>
      </c>
      <c r="T255" s="216">
        <f t="shared" si="7"/>
        <v>0</v>
      </c>
    </row>
    <row r="256" spans="1:20">
      <c r="A256" s="216">
        <v>21264</v>
      </c>
      <c r="B256" s="216">
        <v>1679</v>
      </c>
      <c r="C256" s="216">
        <v>24.899999618530298</v>
      </c>
      <c r="D256" s="216">
        <v>2363</v>
      </c>
      <c r="E256" s="216">
        <v>49.299999237060497</v>
      </c>
      <c r="F256" s="216">
        <v>0.50030082464218095</v>
      </c>
      <c r="G256" s="216">
        <v>336.14837646484398</v>
      </c>
      <c r="H256" s="216">
        <v>2379.72680664063</v>
      </c>
      <c r="I256" s="216">
        <v>312.91345214843801</v>
      </c>
      <c r="J256" s="216">
        <v>8.8704204559326207</v>
      </c>
      <c r="K256" s="216">
        <v>0.59777152538299605</v>
      </c>
      <c r="L256" s="216">
        <v>160.36814880371099</v>
      </c>
      <c r="M256" s="216">
        <v>1963</v>
      </c>
      <c r="N256" s="216">
        <v>16096.599609375</v>
      </c>
      <c r="O256" s="216">
        <v>8.1999998092651403</v>
      </c>
      <c r="Q256" s="216">
        <v>0.54000002145767201</v>
      </c>
      <c r="R256" s="192">
        <f>VLOOKUP($A256,'RBSA Weights'!$A$2:$C$1406,3,FALSE)</f>
        <v>1904.288</v>
      </c>
      <c r="S256" s="216">
        <f t="shared" si="6"/>
        <v>1</v>
      </c>
      <c r="T256" s="216">
        <f t="shared" si="7"/>
        <v>1904.288</v>
      </c>
    </row>
    <row r="257" spans="1:20">
      <c r="A257" s="216">
        <v>21296</v>
      </c>
      <c r="B257" s="216">
        <v>1540</v>
      </c>
      <c r="C257" s="216">
        <v>25</v>
      </c>
      <c r="D257" s="216">
        <v>2412</v>
      </c>
      <c r="E257" s="216">
        <v>50</v>
      </c>
      <c r="F257" s="216">
        <v>0.64729952812194802</v>
      </c>
      <c r="G257" s="216">
        <v>191.70561218261699</v>
      </c>
      <c r="H257" s="216">
        <v>2412</v>
      </c>
      <c r="I257" s="216">
        <v>218.79132080078099</v>
      </c>
      <c r="J257" s="216">
        <v>29.0275993347168</v>
      </c>
      <c r="K257" s="216">
        <v>1.3994326591491699</v>
      </c>
      <c r="L257" s="216">
        <v>116.283531188965</v>
      </c>
      <c r="M257" s="216">
        <v>608</v>
      </c>
      <c r="N257" s="216">
        <v>4985.60009765625</v>
      </c>
      <c r="O257" s="216">
        <v>8.1999998092651403</v>
      </c>
      <c r="Q257" s="216">
        <v>0.56000000238418601</v>
      </c>
      <c r="R257" s="192">
        <f>VLOOKUP($A257,'RBSA Weights'!$A$2:$C$1406,3,FALSE)</f>
        <v>1925.059</v>
      </c>
      <c r="S257" s="216">
        <f t="shared" si="6"/>
        <v>1</v>
      </c>
      <c r="T257" s="216">
        <f t="shared" si="7"/>
        <v>1925.059</v>
      </c>
    </row>
    <row r="258" spans="1:20">
      <c r="A258" s="216">
        <v>21298</v>
      </c>
      <c r="B258" s="216">
        <v>2125</v>
      </c>
      <c r="C258" s="216">
        <v>24.799999237060501</v>
      </c>
      <c r="D258" s="216">
        <v>3040</v>
      </c>
      <c r="E258" s="216">
        <v>50.200000762939503</v>
      </c>
      <c r="F258" s="216">
        <v>0.50779950618743896</v>
      </c>
      <c r="G258" s="216">
        <v>416.15686035156301</v>
      </c>
      <c r="H258" s="216">
        <v>3033.84350585938</v>
      </c>
      <c r="I258" s="216">
        <v>391.43975830078102</v>
      </c>
      <c r="J258" s="216">
        <v>6.9458246231079102</v>
      </c>
      <c r="K258" s="216">
        <v>0.46779799461364702</v>
      </c>
      <c r="L258" s="216">
        <v>204.32791137695301</v>
      </c>
      <c r="M258" s="216">
        <v>3196</v>
      </c>
      <c r="N258" s="216">
        <v>26207.19921875</v>
      </c>
      <c r="O258" s="216">
        <v>8.1999998092651403</v>
      </c>
      <c r="Q258" s="216">
        <v>0.55000001192092896</v>
      </c>
      <c r="R258" s="192">
        <f>VLOOKUP($A258,'RBSA Weights'!$A$2:$C$1406,3,FALSE)</f>
        <v>3785.7640000000001</v>
      </c>
      <c r="S258" s="216">
        <f t="shared" si="6"/>
        <v>0</v>
      </c>
      <c r="T258" s="216">
        <f t="shared" si="7"/>
        <v>0</v>
      </c>
    </row>
    <row r="259" spans="1:20">
      <c r="A259" s="216">
        <v>21316</v>
      </c>
      <c r="B259" s="216">
        <v>2310</v>
      </c>
      <c r="C259" s="216">
        <v>25</v>
      </c>
      <c r="D259" s="216">
        <v>3510</v>
      </c>
      <c r="E259" s="216">
        <v>50</v>
      </c>
      <c r="F259" s="216">
        <v>0.60357815027236905</v>
      </c>
      <c r="G259" s="216">
        <v>331.013671875</v>
      </c>
      <c r="H259" s="216">
        <v>3510</v>
      </c>
      <c r="I259" s="216">
        <v>355.56439208984398</v>
      </c>
      <c r="J259" s="216">
        <v>26.047592163085898</v>
      </c>
      <c r="K259" s="216">
        <v>1.37734138965607</v>
      </c>
      <c r="L259" s="216">
        <v>185.60134887695301</v>
      </c>
      <c r="M259" s="216">
        <v>986</v>
      </c>
      <c r="N259" s="216">
        <v>8085.2001953125</v>
      </c>
      <c r="O259" s="216">
        <v>8.1999998092651403</v>
      </c>
      <c r="P259" s="216" t="s">
        <v>1074</v>
      </c>
      <c r="Q259" s="216">
        <v>0.55000001192092896</v>
      </c>
      <c r="R259" s="192">
        <f>VLOOKUP($A259,'RBSA Weights'!$A$2:$C$1406,3,FALSE)</f>
        <v>3785.7640000000001</v>
      </c>
      <c r="S259" s="216">
        <f t="shared" ref="S259:S322" si="8">IF(J259&lt;7,0,1)</f>
        <v>1</v>
      </c>
      <c r="T259" s="216">
        <f t="shared" ref="T259:T322" si="9">S259*R259</f>
        <v>3785.7640000000001</v>
      </c>
    </row>
    <row r="260" spans="1:20">
      <c r="A260" s="216">
        <v>21319</v>
      </c>
      <c r="B260" s="216">
        <v>540</v>
      </c>
      <c r="C260" s="216">
        <v>24</v>
      </c>
      <c r="D260" s="216">
        <v>926</v>
      </c>
      <c r="E260" s="216">
        <v>50.799999237060497</v>
      </c>
      <c r="F260" s="216">
        <v>0.719224512577057</v>
      </c>
      <c r="G260" s="216">
        <v>54.917655944824197</v>
      </c>
      <c r="H260" s="216">
        <v>915.48846435546898</v>
      </c>
      <c r="I260" s="216">
        <v>69.248504638671903</v>
      </c>
      <c r="J260" s="216">
        <v>3.8454053401946999</v>
      </c>
      <c r="K260" s="216">
        <v>0.19600091874599501</v>
      </c>
      <c r="L260" s="216">
        <v>46.662590026855497</v>
      </c>
      <c r="M260" s="216">
        <v>1742</v>
      </c>
      <c r="N260" s="216">
        <v>14284.400390625</v>
      </c>
      <c r="O260" s="216">
        <v>8.1999998092651403</v>
      </c>
      <c r="Q260" s="216">
        <v>0.70999997854232799</v>
      </c>
      <c r="R260" s="192">
        <f>VLOOKUP($A260,'RBSA Weights'!$A$2:$C$1406,3,FALSE)</f>
        <v>2130.886</v>
      </c>
      <c r="S260" s="216">
        <f t="shared" si="8"/>
        <v>0</v>
      </c>
      <c r="T260" s="216">
        <f t="shared" si="9"/>
        <v>0</v>
      </c>
    </row>
    <row r="261" spans="1:20">
      <c r="A261" s="216">
        <v>21334</v>
      </c>
      <c r="B261" s="216">
        <v>1966</v>
      </c>
      <c r="C261" s="216">
        <v>25.600000381469702</v>
      </c>
      <c r="D261" s="216">
        <v>2678</v>
      </c>
      <c r="E261" s="216">
        <v>47.5</v>
      </c>
      <c r="F261" s="216">
        <v>0.50000089406967196</v>
      </c>
      <c r="G261" s="216">
        <v>388.56375122070301</v>
      </c>
      <c r="H261" s="216">
        <v>2747.5703125</v>
      </c>
      <c r="I261" s="216">
        <v>361.55545043945301</v>
      </c>
      <c r="J261" s="216">
        <v>16.753477096557599</v>
      </c>
      <c r="K261" s="216">
        <v>1.17170751094818</v>
      </c>
      <c r="L261" s="216">
        <v>192.16001892089801</v>
      </c>
      <c r="M261" s="216">
        <v>1200</v>
      </c>
      <c r="N261" s="216">
        <v>9840</v>
      </c>
      <c r="O261" s="216">
        <v>8.1999998092651403</v>
      </c>
      <c r="Q261" s="216">
        <v>0.56000000238418601</v>
      </c>
      <c r="R261" s="192">
        <f>VLOOKUP($A261,'RBSA Weights'!$A$2:$C$1406,3,FALSE)</f>
        <v>12271.31</v>
      </c>
      <c r="S261" s="216">
        <f t="shared" si="8"/>
        <v>1</v>
      </c>
      <c r="T261" s="216">
        <f t="shared" si="9"/>
        <v>12271.31</v>
      </c>
    </row>
    <row r="262" spans="1:20">
      <c r="A262" s="216">
        <v>21343</v>
      </c>
      <c r="B262" s="216">
        <v>1879</v>
      </c>
      <c r="C262" s="216">
        <v>25</v>
      </c>
      <c r="D262" s="216">
        <v>2999</v>
      </c>
      <c r="E262" s="216">
        <v>50</v>
      </c>
      <c r="F262" s="216">
        <v>0.67451643943786599</v>
      </c>
      <c r="G262" s="216">
        <v>214.28573608398401</v>
      </c>
      <c r="H262" s="216">
        <v>2999</v>
      </c>
      <c r="I262" s="216">
        <v>253.96549987793</v>
      </c>
      <c r="J262" s="216">
        <v>10.4494771957397</v>
      </c>
      <c r="K262" s="216">
        <v>0.445111483335495</v>
      </c>
      <c r="L262" s="216">
        <v>127.746994018555</v>
      </c>
      <c r="M262" s="216">
        <v>2100</v>
      </c>
      <c r="N262" s="216">
        <v>17220</v>
      </c>
      <c r="O262" s="216">
        <v>8.1999998092651403</v>
      </c>
      <c r="Q262" s="216">
        <v>0.52999997138977095</v>
      </c>
      <c r="R262" s="192">
        <f>VLOOKUP($A262,'RBSA Weights'!$A$2:$C$1406,3,FALSE)</f>
        <v>8264.9449999999997</v>
      </c>
      <c r="S262" s="216">
        <f t="shared" si="8"/>
        <v>1</v>
      </c>
      <c r="T262" s="216">
        <f t="shared" si="9"/>
        <v>8264.9449999999997</v>
      </c>
    </row>
    <row r="263" spans="1:20">
      <c r="A263" s="216">
        <v>21345</v>
      </c>
      <c r="B263" s="216">
        <v>445</v>
      </c>
      <c r="C263" s="216">
        <v>25</v>
      </c>
      <c r="D263" s="216">
        <v>685</v>
      </c>
      <c r="E263" s="216">
        <v>49.799999237060497</v>
      </c>
      <c r="F263" s="216">
        <v>0.62591797113418601</v>
      </c>
      <c r="G263" s="216">
        <v>59.342281341552699</v>
      </c>
      <c r="H263" s="216">
        <v>686.72064208984398</v>
      </c>
      <c r="I263" s="216">
        <v>65.748603820800795</v>
      </c>
      <c r="J263" s="216">
        <v>7.3893899917602504</v>
      </c>
      <c r="K263" s="216">
        <v>0.369298726320267</v>
      </c>
      <c r="L263" s="216">
        <v>34.320163726806598</v>
      </c>
      <c r="M263" s="216">
        <v>680</v>
      </c>
      <c r="N263" s="216">
        <v>5576</v>
      </c>
      <c r="O263" s="216">
        <v>8.1999998092651403</v>
      </c>
      <c r="Q263" s="216">
        <v>0.55000001192092896</v>
      </c>
      <c r="R263" s="192">
        <f>VLOOKUP($A263,'RBSA Weights'!$A$2:$C$1406,3,FALSE)</f>
        <v>1612.692</v>
      </c>
      <c r="S263" s="216">
        <f t="shared" si="8"/>
        <v>1</v>
      </c>
      <c r="T263" s="216">
        <f t="shared" si="9"/>
        <v>1612.692</v>
      </c>
    </row>
    <row r="264" spans="1:20">
      <c r="A264" s="216">
        <v>21350</v>
      </c>
      <c r="B264" s="216">
        <v>2874</v>
      </c>
      <c r="C264" s="216">
        <v>25</v>
      </c>
      <c r="D264" s="216">
        <v>4041</v>
      </c>
      <c r="E264" s="216">
        <v>50</v>
      </c>
      <c r="F264" s="216">
        <v>0.49165228009223899</v>
      </c>
      <c r="G264" s="216">
        <v>590.45440673828102</v>
      </c>
      <c r="H264" s="216">
        <v>4041</v>
      </c>
      <c r="I264" s="216">
        <v>543.091064453125</v>
      </c>
      <c r="J264" s="216">
        <v>14.0801391601563</v>
      </c>
      <c r="K264" s="216">
        <v>1.2559683322906501</v>
      </c>
      <c r="L264" s="216">
        <v>360.46292114257801</v>
      </c>
      <c r="M264" s="216">
        <v>2100</v>
      </c>
      <c r="N264" s="216">
        <v>17220</v>
      </c>
      <c r="O264" s="216">
        <v>16.399999618530298</v>
      </c>
      <c r="P264" s="216" t="s">
        <v>1128</v>
      </c>
      <c r="Q264" s="216">
        <v>0.52999997138977095</v>
      </c>
      <c r="R264" s="192">
        <f>VLOOKUP($A264,'RBSA Weights'!$A$2:$C$1406,3,FALSE)</f>
        <v>8264.9449999999997</v>
      </c>
      <c r="S264" s="216">
        <f t="shared" si="8"/>
        <v>1</v>
      </c>
      <c r="T264" s="216">
        <f t="shared" si="9"/>
        <v>8264.9449999999997</v>
      </c>
    </row>
    <row r="265" spans="1:20">
      <c r="A265" s="216">
        <v>21355</v>
      </c>
      <c r="B265" s="216">
        <v>641</v>
      </c>
      <c r="C265" s="216">
        <v>25.799999237060501</v>
      </c>
      <c r="D265" s="216">
        <v>1000</v>
      </c>
      <c r="E265" s="216">
        <v>50.599998474121101</v>
      </c>
      <c r="F265" s="216">
        <v>0.66024488210678101</v>
      </c>
      <c r="G265" s="216">
        <v>74.962379455566406</v>
      </c>
      <c r="H265" s="216">
        <v>992.15521240234398</v>
      </c>
      <c r="I265" s="216">
        <v>87.102882385253906</v>
      </c>
      <c r="J265" s="216">
        <v>6.9804539680481001</v>
      </c>
      <c r="K265" s="216">
        <v>0.31988906860351601</v>
      </c>
      <c r="L265" s="216">
        <v>45.4668998718262</v>
      </c>
      <c r="M265" s="216">
        <v>1040</v>
      </c>
      <c r="N265" s="216">
        <v>8528</v>
      </c>
      <c r="O265" s="216">
        <v>8.1999998092651403</v>
      </c>
      <c r="Q265" s="216">
        <v>0.55000001192092896</v>
      </c>
      <c r="R265" s="192">
        <f>VLOOKUP($A265,'RBSA Weights'!$A$2:$C$1406,3,FALSE)</f>
        <v>8264.9449999999997</v>
      </c>
      <c r="S265" s="216">
        <f t="shared" si="8"/>
        <v>0</v>
      </c>
      <c r="T265" s="216">
        <f t="shared" si="9"/>
        <v>0</v>
      </c>
    </row>
    <row r="266" spans="1:20">
      <c r="A266" s="216">
        <v>21366</v>
      </c>
      <c r="B266" s="216">
        <v>1214</v>
      </c>
      <c r="C266" s="216">
        <v>25.600000381469702</v>
      </c>
      <c r="D266" s="216">
        <v>1800</v>
      </c>
      <c r="E266" s="216">
        <v>50.799999237060497</v>
      </c>
      <c r="F266" s="216">
        <v>0.57473176717758201</v>
      </c>
      <c r="G266" s="216">
        <v>188.30352783203099</v>
      </c>
      <c r="H266" s="216">
        <v>1783.65344238281</v>
      </c>
      <c r="I266" s="216">
        <v>194.34060668945301</v>
      </c>
      <c r="J266" s="216">
        <v>4.9045934677123997</v>
      </c>
      <c r="K266" s="216">
        <v>0.31444731354713401</v>
      </c>
      <c r="L266" s="216">
        <v>114.35504913330099</v>
      </c>
      <c r="M266" s="216">
        <v>2661</v>
      </c>
      <c r="N266" s="216">
        <v>21820.19921875</v>
      </c>
      <c r="O266" s="216">
        <v>8.1999998092651403</v>
      </c>
      <c r="Q266" s="216">
        <v>0.62000000476837203</v>
      </c>
      <c r="R266" s="192">
        <f>VLOOKUP($A266,'RBSA Weights'!$A$2:$C$1406,3,FALSE)</f>
        <v>2130.886</v>
      </c>
      <c r="S266" s="216">
        <f t="shared" si="8"/>
        <v>0</v>
      </c>
      <c r="T266" s="216">
        <f t="shared" si="9"/>
        <v>0</v>
      </c>
    </row>
    <row r="267" spans="1:20">
      <c r="A267" s="216">
        <v>21367</v>
      </c>
      <c r="B267" s="216">
        <v>1220</v>
      </c>
      <c r="C267" s="216">
        <v>8</v>
      </c>
      <c r="D267" s="216">
        <v>2708</v>
      </c>
      <c r="E267" s="216">
        <v>17.899999618530298</v>
      </c>
      <c r="F267" s="216">
        <v>0.99006694555282604</v>
      </c>
      <c r="G267" s="216">
        <v>155.68267822265599</v>
      </c>
      <c r="H267" s="216">
        <v>7487.45703125</v>
      </c>
      <c r="I267" s="216">
        <v>285.76043701171898</v>
      </c>
      <c r="J267" s="216">
        <v>32.284191131591797</v>
      </c>
      <c r="K267" s="216">
        <v>0.95666843652725198</v>
      </c>
      <c r="L267" s="216">
        <v>221.87373352050801</v>
      </c>
      <c r="M267" s="216">
        <v>1697</v>
      </c>
      <c r="N267" s="216">
        <v>13915.400390625</v>
      </c>
      <c r="O267" s="216">
        <v>16.399999618530298</v>
      </c>
      <c r="P267" s="216" t="s">
        <v>1075</v>
      </c>
      <c r="Q267" s="216">
        <v>0.62000000476837203</v>
      </c>
      <c r="R267" s="192">
        <f>VLOOKUP($A267,'RBSA Weights'!$A$2:$C$1406,3,FALSE)</f>
        <v>2130.886</v>
      </c>
      <c r="S267" s="216">
        <f t="shared" si="8"/>
        <v>1</v>
      </c>
      <c r="T267" s="216">
        <f t="shared" si="9"/>
        <v>2130.886</v>
      </c>
    </row>
    <row r="268" spans="1:20">
      <c r="A268" s="216">
        <v>21390</v>
      </c>
      <c r="B268" s="216">
        <v>1479</v>
      </c>
      <c r="C268" s="216">
        <v>25</v>
      </c>
      <c r="D268" s="216">
        <v>2434</v>
      </c>
      <c r="E268" s="216">
        <v>49.799999237060497</v>
      </c>
      <c r="F268" s="216">
        <v>0.72288709878921498</v>
      </c>
      <c r="G268" s="216">
        <v>144.349533081055</v>
      </c>
      <c r="H268" s="216">
        <v>2441.0625</v>
      </c>
      <c r="I268" s="216">
        <v>182.94430541992199</v>
      </c>
      <c r="J268" s="216">
        <v>9.0209255218505895</v>
      </c>
      <c r="K268" s="216">
        <v>0.45556414127349898</v>
      </c>
      <c r="L268" s="216">
        <v>123.27565765380901</v>
      </c>
      <c r="M268" s="216">
        <v>1980</v>
      </c>
      <c r="N268" s="216">
        <v>16236</v>
      </c>
      <c r="O268" s="216">
        <v>8.1999998092651403</v>
      </c>
      <c r="Q268" s="216">
        <v>0.70999997854232799</v>
      </c>
      <c r="R268" s="192">
        <f>VLOOKUP($A268,'RBSA Weights'!$A$2:$C$1406,3,FALSE)</f>
        <v>2130.886</v>
      </c>
      <c r="S268" s="216">
        <f t="shared" si="8"/>
        <v>1</v>
      </c>
      <c r="T268" s="216">
        <f t="shared" si="9"/>
        <v>2130.886</v>
      </c>
    </row>
    <row r="269" spans="1:20">
      <c r="A269" s="216">
        <v>21391</v>
      </c>
      <c r="B269" s="216">
        <v>379</v>
      </c>
      <c r="C269" s="216">
        <v>24.799999237060501</v>
      </c>
      <c r="D269" s="216">
        <v>599</v>
      </c>
      <c r="E269" s="216">
        <v>50.200000762939503</v>
      </c>
      <c r="F269" s="216">
        <v>0.64909803867340099</v>
      </c>
      <c r="G269" s="216">
        <v>47.152351379394503</v>
      </c>
      <c r="H269" s="216">
        <v>597.44982910156295</v>
      </c>
      <c r="I269" s="216">
        <v>53.948753356933601</v>
      </c>
      <c r="J269" s="216">
        <v>3.0829226970672599</v>
      </c>
      <c r="K269" s="216">
        <v>0.14531332254409801</v>
      </c>
      <c r="L269" s="216">
        <v>28.160751342773398</v>
      </c>
      <c r="M269" s="216">
        <v>1418</v>
      </c>
      <c r="N269" s="216">
        <v>11627.599609375</v>
      </c>
      <c r="O269" s="216">
        <v>8.1999998092651403</v>
      </c>
      <c r="Q269" s="216">
        <v>0.55000001192092896</v>
      </c>
      <c r="R269" s="192">
        <f>VLOOKUP($A269,'RBSA Weights'!$A$2:$C$1406,3,FALSE)</f>
        <v>3785.7640000000001</v>
      </c>
      <c r="S269" s="216">
        <f t="shared" si="8"/>
        <v>0</v>
      </c>
      <c r="T269" s="216">
        <f t="shared" si="9"/>
        <v>0</v>
      </c>
    </row>
    <row r="270" spans="1:20">
      <c r="A270" s="216">
        <v>21403</v>
      </c>
      <c r="B270" s="216">
        <v>1032</v>
      </c>
      <c r="C270" s="216">
        <v>25</v>
      </c>
      <c r="D270" s="216">
        <v>1540</v>
      </c>
      <c r="E270" s="216">
        <v>50</v>
      </c>
      <c r="F270" s="216">
        <v>0.57748740911483798</v>
      </c>
      <c r="G270" s="216">
        <v>160.83735656738301</v>
      </c>
      <c r="H270" s="216">
        <v>1540</v>
      </c>
      <c r="I270" s="216">
        <v>166.62919616699199</v>
      </c>
      <c r="J270" s="216">
        <v>4.4503526687622097</v>
      </c>
      <c r="K270" s="216">
        <v>0.33769521117210399</v>
      </c>
      <c r="L270" s="216">
        <v>116.85605621337901</v>
      </c>
      <c r="M270" s="216">
        <v>2532</v>
      </c>
      <c r="N270" s="216">
        <v>20762.400390625</v>
      </c>
      <c r="O270" s="216">
        <v>16.399999618530298</v>
      </c>
      <c r="P270" s="216" t="s">
        <v>1076</v>
      </c>
      <c r="Q270" s="216">
        <v>0.56000000238418601</v>
      </c>
      <c r="R270" s="192">
        <f>VLOOKUP($A270,'RBSA Weights'!$A$2:$C$1406,3,FALSE)</f>
        <v>12271.31</v>
      </c>
      <c r="S270" s="216">
        <f t="shared" si="8"/>
        <v>0</v>
      </c>
      <c r="T270" s="216">
        <f t="shared" si="9"/>
        <v>0</v>
      </c>
    </row>
    <row r="271" spans="1:20">
      <c r="A271" s="216">
        <v>21405</v>
      </c>
      <c r="B271" s="216">
        <v>2416</v>
      </c>
      <c r="C271" s="216">
        <v>25.100000381469702</v>
      </c>
      <c r="D271" s="216">
        <v>3804</v>
      </c>
      <c r="E271" s="216">
        <v>50.299999237060497</v>
      </c>
      <c r="F271" s="216">
        <v>0.65302199125289895</v>
      </c>
      <c r="G271" s="216">
        <v>294.495849609375</v>
      </c>
      <c r="H271" s="216">
        <v>3789.16870117188</v>
      </c>
      <c r="I271" s="216">
        <v>338.78152465820301</v>
      </c>
      <c r="J271" s="216">
        <v>9.5375385284423793</v>
      </c>
      <c r="K271" s="216">
        <v>0.60869401693344105</v>
      </c>
      <c r="L271" s="216">
        <v>241.82803344726599</v>
      </c>
      <c r="M271" s="216">
        <v>2907</v>
      </c>
      <c r="N271" s="216">
        <v>23837.400390625</v>
      </c>
      <c r="O271" s="216">
        <v>16.399999618530298</v>
      </c>
      <c r="Q271" s="216">
        <v>0.56999999284744296</v>
      </c>
      <c r="R271" s="192">
        <f>VLOOKUP($A271,'RBSA Weights'!$A$2:$C$1406,3,FALSE)</f>
        <v>12271.31</v>
      </c>
      <c r="S271" s="216">
        <f t="shared" si="8"/>
        <v>1</v>
      </c>
      <c r="T271" s="216">
        <f t="shared" si="9"/>
        <v>12271.31</v>
      </c>
    </row>
    <row r="272" spans="1:20">
      <c r="A272" s="216">
        <v>21414</v>
      </c>
      <c r="B272" s="216">
        <v>748</v>
      </c>
      <c r="C272" s="216">
        <v>24.600000381469702</v>
      </c>
      <c r="D272" s="216">
        <v>1178</v>
      </c>
      <c r="E272" s="216">
        <v>50.299999237060497</v>
      </c>
      <c r="F272" s="216">
        <v>0.634973704814911</v>
      </c>
      <c r="G272" s="216">
        <v>97.880088806152301</v>
      </c>
      <c r="H272" s="216">
        <v>1173.53393554688</v>
      </c>
      <c r="I272" s="216">
        <v>109.816787719727</v>
      </c>
      <c r="J272" s="216">
        <v>6.2723402976989702</v>
      </c>
      <c r="K272" s="216">
        <v>0.31752476096153298</v>
      </c>
      <c r="L272" s="216">
        <v>59.407825469970703</v>
      </c>
      <c r="M272" s="216">
        <v>1369</v>
      </c>
      <c r="N272" s="216">
        <v>11225.7998046875</v>
      </c>
      <c r="O272" s="216">
        <v>8.1999998092651403</v>
      </c>
      <c r="Q272" s="216">
        <v>0.56999999284744296</v>
      </c>
      <c r="R272" s="192">
        <f>VLOOKUP($A272,'RBSA Weights'!$A$2:$C$1406,3,FALSE)</f>
        <v>12271.31</v>
      </c>
      <c r="S272" s="216">
        <f t="shared" si="8"/>
        <v>0</v>
      </c>
      <c r="T272" s="216">
        <f t="shared" si="9"/>
        <v>0</v>
      </c>
    </row>
    <row r="273" spans="1:20">
      <c r="A273" s="216">
        <v>21419</v>
      </c>
      <c r="B273" s="216">
        <v>1574</v>
      </c>
      <c r="C273" s="216">
        <v>24.299999237060501</v>
      </c>
      <c r="D273" s="216">
        <v>2283</v>
      </c>
      <c r="E273" s="216">
        <v>50.299999237060497</v>
      </c>
      <c r="F273" s="216">
        <v>0.51114159822464</v>
      </c>
      <c r="G273" s="216">
        <v>308.151123046875</v>
      </c>
      <c r="H273" s="216">
        <v>2276.03002929688</v>
      </c>
      <c r="I273" s="216">
        <v>291.19488525390602</v>
      </c>
      <c r="J273" s="216">
        <v>16.521705627441399</v>
      </c>
      <c r="K273" s="216">
        <v>1.36417353153229</v>
      </c>
      <c r="L273" s="216">
        <v>187.92854309082</v>
      </c>
      <c r="M273" s="216">
        <v>1008</v>
      </c>
      <c r="N273" s="216">
        <v>8265.599609375</v>
      </c>
      <c r="O273" s="216">
        <v>8.1999998092651403</v>
      </c>
      <c r="P273" s="216" t="s">
        <v>1077</v>
      </c>
      <c r="Q273" s="216">
        <v>0.68000000715255704</v>
      </c>
      <c r="R273" s="192">
        <f>VLOOKUP($A273,'RBSA Weights'!$A$2:$C$1406,3,FALSE)</f>
        <v>2130.886</v>
      </c>
      <c r="S273" s="216">
        <f t="shared" si="8"/>
        <v>1</v>
      </c>
      <c r="T273" s="216">
        <f t="shared" si="9"/>
        <v>2130.886</v>
      </c>
    </row>
    <row r="274" spans="1:20">
      <c r="A274" s="216">
        <v>21431</v>
      </c>
      <c r="B274" s="216">
        <v>1519</v>
      </c>
      <c r="C274" s="216">
        <v>24.799999237060501</v>
      </c>
      <c r="D274" s="216">
        <v>2272</v>
      </c>
      <c r="E274" s="216">
        <v>50.099998474121101</v>
      </c>
      <c r="F274" s="216">
        <v>0.57255578041076705</v>
      </c>
      <c r="G274" s="216">
        <v>241.63310241699199</v>
      </c>
      <c r="H274" s="216">
        <v>2269.40258789063</v>
      </c>
      <c r="I274" s="216">
        <v>248.628829956055</v>
      </c>
      <c r="J274" s="216">
        <v>6.0164437294006303</v>
      </c>
      <c r="K274" s="216">
        <v>0.38160118460655201</v>
      </c>
      <c r="L274" s="216">
        <v>143.93997192382801</v>
      </c>
      <c r="M274" s="216">
        <v>2760</v>
      </c>
      <c r="N274" s="216">
        <v>22632</v>
      </c>
      <c r="O274" s="216">
        <v>8.1999998092651403</v>
      </c>
      <c r="Q274" s="216">
        <v>0.61000001430511497</v>
      </c>
      <c r="R274" s="192">
        <f>VLOOKUP($A274,'RBSA Weights'!$A$2:$C$1406,3,FALSE)</f>
        <v>1144.6790000000001</v>
      </c>
      <c r="S274" s="216">
        <f t="shared" si="8"/>
        <v>0</v>
      </c>
      <c r="T274" s="216">
        <f t="shared" si="9"/>
        <v>0</v>
      </c>
    </row>
    <row r="275" spans="1:20">
      <c r="A275" s="216">
        <v>21437</v>
      </c>
      <c r="B275" s="216">
        <v>1230</v>
      </c>
      <c r="C275" s="216">
        <v>25.5</v>
      </c>
      <c r="D275" s="216">
        <v>1960</v>
      </c>
      <c r="E275" s="216">
        <v>50</v>
      </c>
      <c r="F275" s="216">
        <v>0.69196414947509799</v>
      </c>
      <c r="G275" s="216">
        <v>130.80662536621099</v>
      </c>
      <c r="H275" s="216">
        <v>1960</v>
      </c>
      <c r="I275" s="216">
        <v>158.82386779785199</v>
      </c>
      <c r="J275" s="216">
        <v>4.7021193504333496</v>
      </c>
      <c r="K275" s="216">
        <v>0.24335238337516801</v>
      </c>
      <c r="L275" s="216">
        <v>101.437385559082</v>
      </c>
      <c r="M275" s="216">
        <v>3050</v>
      </c>
      <c r="N275" s="216">
        <v>25010</v>
      </c>
      <c r="O275" s="216">
        <v>16.399999618530298</v>
      </c>
      <c r="Q275" s="216">
        <v>0.50999999046325695</v>
      </c>
      <c r="R275" s="192">
        <f>VLOOKUP($A275,'RBSA Weights'!$A$2:$C$1406,3,FALSE)</f>
        <v>2079.9929999999999</v>
      </c>
      <c r="S275" s="216">
        <f t="shared" si="8"/>
        <v>0</v>
      </c>
      <c r="T275" s="216">
        <f t="shared" si="9"/>
        <v>0</v>
      </c>
    </row>
    <row r="276" spans="1:20">
      <c r="A276" s="216">
        <v>21452</v>
      </c>
      <c r="B276" s="216">
        <v>918</v>
      </c>
      <c r="C276" s="216">
        <v>24.700000762939499</v>
      </c>
      <c r="D276" s="216">
        <v>1443</v>
      </c>
      <c r="E276" s="216">
        <v>50.299999237060497</v>
      </c>
      <c r="F276" s="216">
        <v>0.63594073057174705</v>
      </c>
      <c r="G276" s="216">
        <v>119.44554138183599</v>
      </c>
      <c r="H276" s="216">
        <v>1437.52087402344</v>
      </c>
      <c r="I276" s="216">
        <v>134.191970825195</v>
      </c>
      <c r="J276" s="216">
        <v>8.5515813827514595</v>
      </c>
      <c r="K276" s="216">
        <v>0.45457985997200001</v>
      </c>
      <c r="L276" s="216">
        <v>76.414878845214801</v>
      </c>
      <c r="M276" s="216">
        <v>1230</v>
      </c>
      <c r="N276" s="216">
        <v>10086</v>
      </c>
      <c r="O276" s="216">
        <v>8.1999998092651403</v>
      </c>
      <c r="Q276" s="216">
        <v>0.60000002384185802</v>
      </c>
      <c r="R276" s="192">
        <f>VLOOKUP($A276,'RBSA Weights'!$A$2:$C$1406,3,FALSE)</f>
        <v>1904.288</v>
      </c>
      <c r="S276" s="216">
        <f t="shared" si="8"/>
        <v>1</v>
      </c>
      <c r="T276" s="216">
        <f t="shared" si="9"/>
        <v>1904.288</v>
      </c>
    </row>
    <row r="277" spans="1:20">
      <c r="A277" s="216">
        <v>21456</v>
      </c>
      <c r="B277" s="216">
        <v>560</v>
      </c>
      <c r="C277" s="216">
        <v>25</v>
      </c>
      <c r="D277" s="216">
        <v>880</v>
      </c>
      <c r="E277" s="216">
        <v>50</v>
      </c>
      <c r="F277" s="216">
        <v>0.65207672119140603</v>
      </c>
      <c r="G277" s="216">
        <v>68.647369384765597</v>
      </c>
      <c r="H277" s="216">
        <v>880.00006103515602</v>
      </c>
      <c r="I277" s="216">
        <v>78.866996765136705</v>
      </c>
      <c r="J277" s="216">
        <v>9.5818824768066406</v>
      </c>
      <c r="K277" s="216">
        <v>0.45640620589256298</v>
      </c>
      <c r="L277" s="216">
        <v>41.916343688964801</v>
      </c>
      <c r="M277" s="216">
        <v>672</v>
      </c>
      <c r="N277" s="216">
        <v>5510.39990234375</v>
      </c>
      <c r="O277" s="216">
        <v>8.1999998092651403</v>
      </c>
      <c r="P277" s="216" t="s">
        <v>1078</v>
      </c>
      <c r="Q277" s="216">
        <v>0.56000000238418601</v>
      </c>
      <c r="R277" s="192">
        <f>VLOOKUP($A277,'RBSA Weights'!$A$2:$C$1406,3,FALSE)</f>
        <v>1612.692</v>
      </c>
      <c r="S277" s="216">
        <f t="shared" si="8"/>
        <v>1</v>
      </c>
      <c r="T277" s="216">
        <f t="shared" si="9"/>
        <v>1612.692</v>
      </c>
    </row>
    <row r="278" spans="1:20">
      <c r="A278" s="216">
        <v>21460</v>
      </c>
      <c r="B278" s="216">
        <v>970</v>
      </c>
      <c r="C278" s="216">
        <v>25.299999237060501</v>
      </c>
      <c r="D278" s="216">
        <v>1509</v>
      </c>
      <c r="E278" s="216">
        <v>49.599998474121101</v>
      </c>
      <c r="F278" s="216">
        <v>0.65643984079360995</v>
      </c>
      <c r="G278" s="216">
        <v>116.334228515625</v>
      </c>
      <c r="H278" s="216">
        <v>1516.97741699219</v>
      </c>
      <c r="I278" s="216">
        <v>134.46392822265599</v>
      </c>
      <c r="J278" s="216">
        <v>5.4625167846679696</v>
      </c>
      <c r="K278" s="216">
        <v>0.27112624049186701</v>
      </c>
      <c r="L278" s="216">
        <v>75.293571472167997</v>
      </c>
      <c r="M278" s="216">
        <v>2032</v>
      </c>
      <c r="N278" s="216">
        <v>16662.400390625</v>
      </c>
      <c r="O278" s="216">
        <v>8.1999998092651403</v>
      </c>
      <c r="Q278" s="216">
        <v>0.58999997377395597</v>
      </c>
      <c r="R278" s="192">
        <f>VLOOKUP($A278,'RBSA Weights'!$A$2:$C$1406,3,FALSE)</f>
        <v>3785.7640000000001</v>
      </c>
      <c r="S278" s="216">
        <f t="shared" si="8"/>
        <v>0</v>
      </c>
      <c r="T278" s="216">
        <f t="shared" si="9"/>
        <v>0</v>
      </c>
    </row>
    <row r="279" spans="1:20">
      <c r="A279" s="216">
        <v>21471</v>
      </c>
      <c r="B279" s="216">
        <v>2522</v>
      </c>
      <c r="C279" s="216">
        <v>25.899999618530298</v>
      </c>
      <c r="D279" s="216">
        <v>4257</v>
      </c>
      <c r="E279" s="216">
        <v>49.799999237060497</v>
      </c>
      <c r="F279" s="216">
        <v>0.80075687170028698</v>
      </c>
      <c r="G279" s="216">
        <v>186.22398376464801</v>
      </c>
      <c r="H279" s="216">
        <v>4270.6845703125</v>
      </c>
      <c r="I279" s="216">
        <v>262.91867065429699</v>
      </c>
      <c r="J279" s="216">
        <v>12.3954429626465</v>
      </c>
      <c r="K279" s="216">
        <v>0.44179004430770902</v>
      </c>
      <c r="L279" s="216">
        <v>152.21286010742199</v>
      </c>
      <c r="M279" s="216">
        <v>2521</v>
      </c>
      <c r="N279" s="216">
        <v>20672.19921875</v>
      </c>
      <c r="O279" s="216">
        <v>8.1999998092651403</v>
      </c>
      <c r="Q279" s="216">
        <v>0.61000001430511497</v>
      </c>
      <c r="R279" s="192">
        <f>VLOOKUP($A279,'RBSA Weights'!$A$2:$C$1406,3,FALSE)</f>
        <v>2079.9929999999999</v>
      </c>
      <c r="S279" s="216">
        <f t="shared" si="8"/>
        <v>1</v>
      </c>
      <c r="T279" s="216">
        <f t="shared" si="9"/>
        <v>2079.9929999999999</v>
      </c>
    </row>
    <row r="280" spans="1:20">
      <c r="A280" s="216">
        <v>21484</v>
      </c>
      <c r="B280" s="216">
        <v>1138</v>
      </c>
      <c r="C280" s="216">
        <v>25.600000381469702</v>
      </c>
      <c r="D280" s="216">
        <v>1836</v>
      </c>
      <c r="E280" s="216">
        <v>49.299999237060497</v>
      </c>
      <c r="F280" s="216">
        <v>0.72988528013229403</v>
      </c>
      <c r="G280" s="216">
        <v>106.730522155762</v>
      </c>
      <c r="H280" s="216">
        <v>1854.99108886719</v>
      </c>
      <c r="I280" s="216">
        <v>136.58576965332</v>
      </c>
      <c r="J280" s="216">
        <v>6.9605669975280797</v>
      </c>
      <c r="K280" s="216">
        <v>0.27239328622817999</v>
      </c>
      <c r="L280" s="216">
        <v>72.592811584472699</v>
      </c>
      <c r="M280" s="216">
        <v>1950</v>
      </c>
      <c r="N280" s="216">
        <v>15990</v>
      </c>
      <c r="O280" s="216">
        <v>8.1999998092651403</v>
      </c>
      <c r="Q280" s="216">
        <v>0.56000000238418601</v>
      </c>
      <c r="R280" s="192">
        <f>VLOOKUP($A280,'RBSA Weights'!$A$2:$C$1406,3,FALSE)</f>
        <v>3785.7640000000001</v>
      </c>
      <c r="S280" s="216">
        <f t="shared" si="8"/>
        <v>0</v>
      </c>
      <c r="T280" s="216">
        <f t="shared" si="9"/>
        <v>0</v>
      </c>
    </row>
    <row r="281" spans="1:20">
      <c r="A281" s="216">
        <v>21487</v>
      </c>
      <c r="B281" s="216">
        <v>2576</v>
      </c>
      <c r="C281" s="216">
        <v>24.399999618530298</v>
      </c>
      <c r="D281" s="216">
        <v>4000</v>
      </c>
      <c r="E281" s="216">
        <v>49.799999237060497</v>
      </c>
      <c r="F281" s="216">
        <v>0.61681652069091797</v>
      </c>
      <c r="G281" s="216">
        <v>359.07147216796898</v>
      </c>
      <c r="H281" s="216">
        <v>4009.90112304688</v>
      </c>
      <c r="I281" s="216">
        <v>392.84710693359398</v>
      </c>
      <c r="J281" s="216">
        <v>13.1278476715088</v>
      </c>
      <c r="K281" s="216">
        <v>0.837527096271515</v>
      </c>
      <c r="L281" s="216">
        <v>255.82264709472699</v>
      </c>
      <c r="M281" s="216">
        <v>2235</v>
      </c>
      <c r="N281" s="216">
        <v>18327</v>
      </c>
      <c r="O281" s="216">
        <v>16.399999618530298</v>
      </c>
      <c r="P281" s="216" t="s">
        <v>1079</v>
      </c>
      <c r="Q281" s="216">
        <v>0.519999980926514</v>
      </c>
      <c r="R281" s="192">
        <f>VLOOKUP($A281,'RBSA Weights'!$A$2:$C$1406,3,FALSE)</f>
        <v>8264.9449999999997</v>
      </c>
      <c r="S281" s="216">
        <f t="shared" si="8"/>
        <v>1</v>
      </c>
      <c r="T281" s="216">
        <f t="shared" si="9"/>
        <v>8264.9449999999997</v>
      </c>
    </row>
    <row r="282" spans="1:20">
      <c r="A282" s="216">
        <v>21494</v>
      </c>
      <c r="B282" s="216">
        <v>1365</v>
      </c>
      <c r="C282" s="216">
        <v>25</v>
      </c>
      <c r="D282" s="216">
        <v>2059</v>
      </c>
      <c r="E282" s="216">
        <v>50</v>
      </c>
      <c r="F282" s="216">
        <v>0.59304285049438499</v>
      </c>
      <c r="G282" s="216">
        <v>202.34587097168</v>
      </c>
      <c r="H282" s="216">
        <v>2059</v>
      </c>
      <c r="I282" s="216">
        <v>214.2021484375</v>
      </c>
      <c r="J282" s="216">
        <v>13.1579504013062</v>
      </c>
      <c r="K282" s="216">
        <v>1.07996189594269</v>
      </c>
      <c r="L282" s="216">
        <v>168.99603271484401</v>
      </c>
      <c r="M282" s="216">
        <v>1145</v>
      </c>
      <c r="N282" s="216">
        <v>9389</v>
      </c>
      <c r="O282" s="216">
        <v>16.399999618530298</v>
      </c>
      <c r="Q282" s="216">
        <v>0.62999999523162797</v>
      </c>
      <c r="R282" s="192">
        <f>VLOOKUP($A282,'RBSA Weights'!$A$2:$C$1406,3,FALSE)</f>
        <v>2130.886</v>
      </c>
      <c r="S282" s="216">
        <f t="shared" si="8"/>
        <v>1</v>
      </c>
      <c r="T282" s="216">
        <f t="shared" si="9"/>
        <v>2130.886</v>
      </c>
    </row>
    <row r="283" spans="1:20">
      <c r="A283" s="216">
        <v>21499</v>
      </c>
      <c r="B283" s="216">
        <v>1480</v>
      </c>
      <c r="C283" s="216">
        <v>25.399999618530298</v>
      </c>
      <c r="D283" s="216">
        <v>2300</v>
      </c>
      <c r="E283" s="216">
        <v>50.299999237060497</v>
      </c>
      <c r="F283" s="216">
        <v>0.645244359970093</v>
      </c>
      <c r="G283" s="216">
        <v>183.56956481933599</v>
      </c>
      <c r="H283" s="216">
        <v>2291.13916015625</v>
      </c>
      <c r="I283" s="216">
        <v>208.90969848632801</v>
      </c>
      <c r="J283" s="216">
        <v>13.2630004882813</v>
      </c>
      <c r="K283" s="216">
        <v>0.73456287384033203</v>
      </c>
      <c r="L283" s="216">
        <v>126.89328765869099</v>
      </c>
      <c r="M283" s="216">
        <v>1264</v>
      </c>
      <c r="N283" s="216">
        <v>10364.7998046875</v>
      </c>
      <c r="O283" s="216">
        <v>8.1999998092651403</v>
      </c>
      <c r="Q283" s="216">
        <v>0.63999998569488503</v>
      </c>
      <c r="R283" s="192">
        <f>VLOOKUP($A283,'RBSA Weights'!$A$2:$C$1406,3,FALSE)</f>
        <v>1904.288</v>
      </c>
      <c r="S283" s="216">
        <f t="shared" si="8"/>
        <v>1</v>
      </c>
      <c r="T283" s="216">
        <f t="shared" si="9"/>
        <v>1904.288</v>
      </c>
    </row>
    <row r="284" spans="1:20">
      <c r="A284" s="216">
        <v>21504</v>
      </c>
      <c r="B284" s="216">
        <v>2644</v>
      </c>
      <c r="C284" s="216">
        <v>24.399999618530298</v>
      </c>
      <c r="D284" s="216">
        <v>4793</v>
      </c>
      <c r="E284" s="216">
        <v>50.5</v>
      </c>
      <c r="F284" s="216">
        <v>0.81780534982681297</v>
      </c>
      <c r="G284" s="216">
        <v>193.93072509765599</v>
      </c>
      <c r="H284" s="216">
        <v>4754.1552734375</v>
      </c>
      <c r="I284" s="216">
        <v>280.34744262695301</v>
      </c>
      <c r="J284" s="216">
        <v>21.1339626312256</v>
      </c>
      <c r="K284" s="216">
        <v>0.96762704849243197</v>
      </c>
      <c r="L284" s="216">
        <v>217.67092895507801</v>
      </c>
      <c r="M284" s="216">
        <v>1646</v>
      </c>
      <c r="N284" s="216">
        <v>13497.2001953125</v>
      </c>
      <c r="O284" s="216">
        <v>16.399999618530298</v>
      </c>
      <c r="P284" s="216" t="s">
        <v>1080</v>
      </c>
      <c r="Q284" s="216">
        <v>0.62000000476837203</v>
      </c>
      <c r="R284" s="192">
        <f>VLOOKUP($A284,'RBSA Weights'!$A$2:$C$1406,3,FALSE)</f>
        <v>1144.6790000000001</v>
      </c>
      <c r="S284" s="216">
        <f t="shared" si="8"/>
        <v>1</v>
      </c>
      <c r="T284" s="216">
        <f t="shared" si="9"/>
        <v>1144.6790000000001</v>
      </c>
    </row>
    <row r="285" spans="1:20">
      <c r="A285" s="216">
        <v>21531</v>
      </c>
      <c r="B285" s="216">
        <v>1299</v>
      </c>
      <c r="C285" s="216">
        <v>25.100000381469702</v>
      </c>
      <c r="D285" s="216">
        <v>2048</v>
      </c>
      <c r="E285" s="216">
        <v>50.200000762939503</v>
      </c>
      <c r="F285" s="216">
        <v>0.65681427717208896</v>
      </c>
      <c r="G285" s="216">
        <v>156.41682434082</v>
      </c>
      <c r="H285" s="216">
        <v>2042.63708496094</v>
      </c>
      <c r="I285" s="216">
        <v>180.88691711425801</v>
      </c>
      <c r="J285" s="216">
        <v>6.6456756591796902</v>
      </c>
      <c r="K285" s="216">
        <v>0.30161228775978099</v>
      </c>
      <c r="L285" s="216">
        <v>92.704559326171903</v>
      </c>
      <c r="M285" s="216">
        <v>2249</v>
      </c>
      <c r="N285" s="216">
        <v>18441.80078125</v>
      </c>
      <c r="O285" s="216">
        <v>8.2000007629394496</v>
      </c>
      <c r="P285" s="216" t="s">
        <v>1081</v>
      </c>
      <c r="Q285" s="216">
        <v>0.54000002145767201</v>
      </c>
      <c r="R285" s="192">
        <f>VLOOKUP($A285,'RBSA Weights'!$A$2:$C$1406,3,FALSE)</f>
        <v>4360.1880000000001</v>
      </c>
      <c r="S285" s="216">
        <f t="shared" si="8"/>
        <v>0</v>
      </c>
      <c r="T285" s="216">
        <f t="shared" si="9"/>
        <v>0</v>
      </c>
    </row>
    <row r="286" spans="1:20">
      <c r="A286" s="216">
        <v>21566</v>
      </c>
      <c r="B286" s="216">
        <v>1152</v>
      </c>
      <c r="C286" s="216">
        <v>25.399999618530298</v>
      </c>
      <c r="D286" s="216">
        <v>1684</v>
      </c>
      <c r="E286" s="216">
        <v>49.400001525878899</v>
      </c>
      <c r="F286" s="216">
        <v>0.57076311111450195</v>
      </c>
      <c r="G286" s="216">
        <v>181.81312561035199</v>
      </c>
      <c r="H286" s="216">
        <v>1695.64379882813</v>
      </c>
      <c r="I286" s="216">
        <v>186.61260986328099</v>
      </c>
      <c r="J286" s="216">
        <v>6.2789220809936497</v>
      </c>
      <c r="K286" s="216">
        <v>0.44596466422080999</v>
      </c>
      <c r="L286" s="216">
        <v>120.434242248535</v>
      </c>
      <c r="M286" s="216">
        <v>1976</v>
      </c>
      <c r="N286" s="216">
        <v>16203.2001953125</v>
      </c>
      <c r="O286" s="216">
        <v>8.1999998092651403</v>
      </c>
      <c r="Q286" s="216">
        <v>0.68000000715255704</v>
      </c>
      <c r="R286" s="192">
        <f>VLOOKUP($A286,'RBSA Weights'!$A$2:$C$1406,3,FALSE)</f>
        <v>2130.886</v>
      </c>
      <c r="S286" s="216">
        <f t="shared" si="8"/>
        <v>0</v>
      </c>
      <c r="T286" s="216">
        <f t="shared" si="9"/>
        <v>0</v>
      </c>
    </row>
    <row r="287" spans="1:20">
      <c r="A287" s="216">
        <v>21588</v>
      </c>
      <c r="B287" s="216">
        <v>354</v>
      </c>
      <c r="C287" s="216">
        <v>24.600000381469702</v>
      </c>
      <c r="D287" s="216">
        <v>574</v>
      </c>
      <c r="E287" s="216">
        <v>50.200000762939503</v>
      </c>
      <c r="F287" s="216">
        <v>0.67763042449951205</v>
      </c>
      <c r="G287" s="216">
        <v>40.407623291015597</v>
      </c>
      <c r="H287" s="216">
        <v>572.44934082031295</v>
      </c>
      <c r="I287" s="216">
        <v>48.097179412841797</v>
      </c>
      <c r="J287" s="216">
        <v>4.4091091156005904</v>
      </c>
      <c r="K287" s="216">
        <v>0.20743665099144001</v>
      </c>
      <c r="L287" s="216">
        <v>26.932191848754901</v>
      </c>
      <c r="M287" s="216">
        <v>950</v>
      </c>
      <c r="N287" s="216">
        <v>7790</v>
      </c>
      <c r="O287" s="216">
        <v>8.1999998092651403</v>
      </c>
      <c r="Q287" s="216">
        <v>0.58999997377395597</v>
      </c>
      <c r="R287" s="192">
        <f>VLOOKUP($A287,'RBSA Weights'!$A$2:$C$1406,3,FALSE)</f>
        <v>3785.7640000000001</v>
      </c>
      <c r="S287" s="216">
        <f t="shared" si="8"/>
        <v>0</v>
      </c>
      <c r="T287" s="216">
        <f t="shared" si="9"/>
        <v>0</v>
      </c>
    </row>
    <row r="288" spans="1:20">
      <c r="A288" s="216">
        <v>21598</v>
      </c>
      <c r="B288" s="216">
        <v>1615</v>
      </c>
      <c r="C288" s="216">
        <v>25</v>
      </c>
      <c r="D288" s="216">
        <v>2540</v>
      </c>
      <c r="E288" s="216">
        <v>50</v>
      </c>
      <c r="F288" s="216">
        <v>0.65329432487487804</v>
      </c>
      <c r="G288" s="216">
        <v>197.19970703125</v>
      </c>
      <c r="H288" s="216">
        <v>2540</v>
      </c>
      <c r="I288" s="216">
        <v>226.93984985351599</v>
      </c>
      <c r="J288" s="216">
        <v>8.0005884170532209</v>
      </c>
      <c r="K288" s="216">
        <v>0.54606062173843395</v>
      </c>
      <c r="L288" s="216">
        <v>173.36151123046901</v>
      </c>
      <c r="M288" s="216">
        <v>2323</v>
      </c>
      <c r="N288" s="216">
        <v>19048.599609375</v>
      </c>
      <c r="O288" s="216">
        <v>16.399999618530298</v>
      </c>
      <c r="Q288" s="216">
        <v>0.61000001430511497</v>
      </c>
      <c r="R288" s="192">
        <f>VLOOKUP($A288,'RBSA Weights'!$A$2:$C$1406,3,FALSE)</f>
        <v>8559.1039999999994</v>
      </c>
      <c r="S288" s="216">
        <f t="shared" si="8"/>
        <v>1</v>
      </c>
      <c r="T288" s="216">
        <f t="shared" si="9"/>
        <v>8559.1039999999994</v>
      </c>
    </row>
    <row r="289" spans="1:20">
      <c r="A289" s="216">
        <v>21615</v>
      </c>
      <c r="B289" s="216">
        <v>1152</v>
      </c>
      <c r="C289" s="216">
        <v>24.700000762939499</v>
      </c>
      <c r="D289" s="216">
        <v>1821</v>
      </c>
      <c r="E289" s="216">
        <v>50.299999237060497</v>
      </c>
      <c r="F289" s="216">
        <v>0.64382040500640902</v>
      </c>
      <c r="G289" s="216">
        <v>146.15232849121099</v>
      </c>
      <c r="H289" s="216">
        <v>1814</v>
      </c>
      <c r="I289" s="216">
        <v>165.99932861328099</v>
      </c>
      <c r="J289" s="216">
        <v>8.2698879241943395</v>
      </c>
      <c r="K289" s="216">
        <v>0.45249038934707603</v>
      </c>
      <c r="L289" s="216">
        <v>99.253768920898395</v>
      </c>
      <c r="M289" s="216">
        <v>1605</v>
      </c>
      <c r="N289" s="216">
        <v>13161</v>
      </c>
      <c r="O289" s="216">
        <v>8.1999998092651403</v>
      </c>
      <c r="Q289" s="216">
        <v>0.62999999523162797</v>
      </c>
      <c r="R289" s="192">
        <f>VLOOKUP($A289,'RBSA Weights'!$A$2:$C$1406,3,FALSE)</f>
        <v>12271.31</v>
      </c>
      <c r="S289" s="216">
        <f t="shared" si="8"/>
        <v>1</v>
      </c>
      <c r="T289" s="216">
        <f t="shared" si="9"/>
        <v>12271.31</v>
      </c>
    </row>
    <row r="290" spans="1:20">
      <c r="A290" s="216">
        <v>21668</v>
      </c>
      <c r="B290" s="216">
        <v>553</v>
      </c>
      <c r="C290" s="216">
        <v>25.399999618530298</v>
      </c>
      <c r="D290" s="216">
        <v>886</v>
      </c>
      <c r="E290" s="216">
        <v>49.299999237060497</v>
      </c>
      <c r="F290" s="216">
        <v>0.71076112985610995</v>
      </c>
      <c r="G290" s="216">
        <v>55.491176605224602</v>
      </c>
      <c r="H290" s="216">
        <v>894.92321777343795</v>
      </c>
      <c r="I290" s="216">
        <v>69.155525207519503</v>
      </c>
      <c r="J290" s="216">
        <v>5.4162273406982404</v>
      </c>
      <c r="K290" s="216">
        <v>0.288278847932816</v>
      </c>
      <c r="L290" s="216">
        <v>47.632312774658203</v>
      </c>
      <c r="M290" s="216">
        <v>1209</v>
      </c>
      <c r="N290" s="216">
        <v>9913.7998046875</v>
      </c>
      <c r="O290" s="216">
        <v>16.399999618530298</v>
      </c>
      <c r="Q290" s="216">
        <v>0.55000001192092896</v>
      </c>
      <c r="R290" s="192">
        <f>VLOOKUP($A290,'RBSA Weights'!$A$2:$C$1406,3,FALSE)</f>
        <v>3785.7640000000001</v>
      </c>
      <c r="S290" s="216">
        <f t="shared" si="8"/>
        <v>0</v>
      </c>
      <c r="T290" s="216">
        <f t="shared" si="9"/>
        <v>0</v>
      </c>
    </row>
    <row r="291" spans="1:20">
      <c r="A291" s="216">
        <v>21678</v>
      </c>
      <c r="B291" s="216">
        <v>991</v>
      </c>
      <c r="C291" s="216">
        <v>25.100000381469702</v>
      </c>
      <c r="D291" s="216">
        <v>1629</v>
      </c>
      <c r="E291" s="216">
        <v>50.200000762939503</v>
      </c>
      <c r="F291" s="216">
        <v>0.71702963113784801</v>
      </c>
      <c r="G291" s="216">
        <v>98.280220031738295</v>
      </c>
      <c r="H291" s="216">
        <v>1624.34375</v>
      </c>
      <c r="I291" s="216">
        <v>123.550094604492</v>
      </c>
      <c r="J291" s="216">
        <v>7.4470186233520499</v>
      </c>
      <c r="K291" s="216">
        <v>0.425609141588211</v>
      </c>
      <c r="L291" s="216">
        <v>92.833869934082003</v>
      </c>
      <c r="M291" s="216">
        <v>1596</v>
      </c>
      <c r="N291" s="216">
        <v>13087.2001953125</v>
      </c>
      <c r="O291" s="216">
        <v>16.399999618530298</v>
      </c>
      <c r="Q291" s="216">
        <v>0.60000002384185802</v>
      </c>
      <c r="R291" s="192">
        <f>VLOOKUP($A291,'RBSA Weights'!$A$2:$C$1406,3,FALSE)</f>
        <v>3785.7640000000001</v>
      </c>
      <c r="S291" s="216">
        <f t="shared" si="8"/>
        <v>1</v>
      </c>
      <c r="T291" s="216">
        <f t="shared" si="9"/>
        <v>3785.7640000000001</v>
      </c>
    </row>
    <row r="292" spans="1:20">
      <c r="A292" s="216">
        <v>21680</v>
      </c>
      <c r="B292" s="216">
        <v>3332</v>
      </c>
      <c r="C292" s="216">
        <v>25.399999618530298</v>
      </c>
      <c r="D292" s="216">
        <v>4694</v>
      </c>
      <c r="E292" s="216">
        <v>49.799999237060497</v>
      </c>
      <c r="F292" s="216">
        <v>0.50902980566024802</v>
      </c>
      <c r="G292" s="216">
        <v>642.10015869140602</v>
      </c>
      <c r="H292" s="216">
        <v>4703.58642578125</v>
      </c>
      <c r="I292" s="216">
        <v>604.99444580078102</v>
      </c>
      <c r="J292" s="216">
        <v>13.788657188415501</v>
      </c>
      <c r="K292" s="216">
        <v>1.3770445585250899</v>
      </c>
      <c r="L292" s="216">
        <v>469.73739624023398</v>
      </c>
      <c r="M292" s="216">
        <v>2496</v>
      </c>
      <c r="N292" s="216">
        <v>20467.19921875</v>
      </c>
      <c r="O292" s="216">
        <v>16.399999618530298</v>
      </c>
      <c r="P292" s="216" t="s">
        <v>1082</v>
      </c>
      <c r="Q292" s="216">
        <v>0.62000000476837203</v>
      </c>
      <c r="R292" s="192">
        <f>VLOOKUP($A292,'RBSA Weights'!$A$2:$C$1406,3,FALSE)</f>
        <v>1144.6790000000001</v>
      </c>
      <c r="S292" s="216">
        <f t="shared" si="8"/>
        <v>1</v>
      </c>
      <c r="T292" s="216">
        <f t="shared" si="9"/>
        <v>1144.6790000000001</v>
      </c>
    </row>
    <row r="293" spans="1:20">
      <c r="A293" s="216">
        <v>21692</v>
      </c>
      <c r="B293" s="216">
        <v>2180</v>
      </c>
      <c r="C293" s="216">
        <v>25</v>
      </c>
      <c r="D293" s="216">
        <v>3544</v>
      </c>
      <c r="E293" s="216">
        <v>50</v>
      </c>
      <c r="F293" s="216">
        <v>0.70105046033859297</v>
      </c>
      <c r="G293" s="216">
        <v>228.26010131835901</v>
      </c>
      <c r="H293" s="216">
        <v>3544</v>
      </c>
      <c r="I293" s="216">
        <v>280.66390991210898</v>
      </c>
      <c r="J293" s="216">
        <v>14.216944694519</v>
      </c>
      <c r="K293" s="216">
        <v>0.86008435487747203</v>
      </c>
      <c r="L293" s="216">
        <v>214.40182495117199</v>
      </c>
      <c r="M293" s="216">
        <v>1824</v>
      </c>
      <c r="N293" s="216">
        <v>14956.7998046875</v>
      </c>
      <c r="O293" s="216">
        <v>16.399999618530298</v>
      </c>
      <c r="P293" s="216" t="s">
        <v>1083</v>
      </c>
      <c r="Q293" s="216">
        <v>0.61000001430511497</v>
      </c>
      <c r="R293" s="192">
        <f>VLOOKUP($A293,'RBSA Weights'!$A$2:$C$1406,3,FALSE)</f>
        <v>8559.1039999999994</v>
      </c>
      <c r="S293" s="216">
        <f t="shared" si="8"/>
        <v>1</v>
      </c>
      <c r="T293" s="216">
        <f t="shared" si="9"/>
        <v>8559.1039999999994</v>
      </c>
    </row>
    <row r="294" spans="1:20">
      <c r="A294" s="216">
        <v>21700</v>
      </c>
      <c r="B294" s="216">
        <v>3192</v>
      </c>
      <c r="C294" s="216">
        <v>25</v>
      </c>
      <c r="D294" s="216">
        <v>5000</v>
      </c>
      <c r="E294" s="216">
        <v>50</v>
      </c>
      <c r="F294" s="216">
        <v>0.64746743440628096</v>
      </c>
      <c r="G294" s="216">
        <v>397.13873291015602</v>
      </c>
      <c r="H294" s="216">
        <v>5000</v>
      </c>
      <c r="I294" s="216">
        <v>453.35519409179699</v>
      </c>
      <c r="J294" s="216">
        <v>25.058469772338899</v>
      </c>
      <c r="K294" s="216">
        <v>1.67875456809998</v>
      </c>
      <c r="L294" s="216">
        <v>334.96749877929699</v>
      </c>
      <c r="M294" s="216">
        <v>1460</v>
      </c>
      <c r="N294" s="216">
        <v>11972</v>
      </c>
      <c r="O294" s="216">
        <v>16.399999618530298</v>
      </c>
      <c r="P294" s="216" t="s">
        <v>1084</v>
      </c>
      <c r="Q294" s="216">
        <v>0.58999997377395597</v>
      </c>
      <c r="R294" s="192">
        <f>VLOOKUP($A294,'RBSA Weights'!$A$2:$C$1406,3,FALSE)</f>
        <v>8264.9449999999997</v>
      </c>
      <c r="S294" s="216">
        <f t="shared" si="8"/>
        <v>1</v>
      </c>
      <c r="T294" s="216">
        <f t="shared" si="9"/>
        <v>8264.9449999999997</v>
      </c>
    </row>
    <row r="295" spans="1:20">
      <c r="A295" s="216">
        <v>21703</v>
      </c>
      <c r="B295" s="216">
        <v>994</v>
      </c>
      <c r="C295" s="216">
        <v>25.200000762939499</v>
      </c>
      <c r="D295" s="216">
        <v>1470</v>
      </c>
      <c r="E295" s="216">
        <v>50</v>
      </c>
      <c r="F295" s="216">
        <v>0.57106316089630105</v>
      </c>
      <c r="G295" s="216">
        <v>157.43386840820301</v>
      </c>
      <c r="H295" s="216">
        <v>1470</v>
      </c>
      <c r="I295" s="216">
        <v>161.65701293945301</v>
      </c>
      <c r="J295" s="216">
        <v>8.2233161926269496</v>
      </c>
      <c r="K295" s="216">
        <v>0.611547350883484</v>
      </c>
      <c r="L295" s="216">
        <v>109.320198059082</v>
      </c>
      <c r="M295" s="216">
        <v>1308</v>
      </c>
      <c r="N295" s="216">
        <v>10725.599609375</v>
      </c>
      <c r="O295" s="216">
        <v>16.399999618530298</v>
      </c>
      <c r="Q295" s="216">
        <v>0.54000002145767201</v>
      </c>
      <c r="R295" s="192">
        <f>VLOOKUP($A295,'RBSA Weights'!$A$2:$C$1406,3,FALSE)</f>
        <v>1904.288</v>
      </c>
      <c r="S295" s="216">
        <f t="shared" si="8"/>
        <v>1</v>
      </c>
      <c r="T295" s="216">
        <f t="shared" si="9"/>
        <v>1904.288</v>
      </c>
    </row>
    <row r="296" spans="1:20">
      <c r="A296" s="216">
        <v>21708</v>
      </c>
      <c r="B296" s="216">
        <v>1094</v>
      </c>
      <c r="C296" s="216">
        <v>25.100000381469702</v>
      </c>
      <c r="D296" s="216">
        <v>1707</v>
      </c>
      <c r="E296" s="216">
        <v>49.799999237060497</v>
      </c>
      <c r="F296" s="216">
        <v>0.64934486150741599</v>
      </c>
      <c r="G296" s="216">
        <v>134.94175720214801</v>
      </c>
      <c r="H296" s="216">
        <v>1711.44836425781</v>
      </c>
      <c r="I296" s="216">
        <v>154.44470214843801</v>
      </c>
      <c r="J296" s="216">
        <v>8.9962587356567401</v>
      </c>
      <c r="K296" s="216">
        <v>0.50082337856292702</v>
      </c>
      <c r="L296" s="216">
        <v>95.276649475097699</v>
      </c>
      <c r="M296" s="216">
        <v>1392</v>
      </c>
      <c r="N296" s="216">
        <v>11414.400390625</v>
      </c>
      <c r="O296" s="216">
        <v>8.1999998092651403</v>
      </c>
      <c r="Q296" s="216">
        <v>0.64999997615814198</v>
      </c>
      <c r="R296" s="192">
        <f>VLOOKUP($A296,'RBSA Weights'!$A$2:$C$1406,3,FALSE)</f>
        <v>3785.7640000000001</v>
      </c>
      <c r="S296" s="216">
        <f t="shared" si="8"/>
        <v>1</v>
      </c>
      <c r="T296" s="216">
        <f t="shared" si="9"/>
        <v>3785.7640000000001</v>
      </c>
    </row>
    <row r="297" spans="1:20">
      <c r="A297" s="216">
        <v>21719</v>
      </c>
      <c r="B297" s="216">
        <v>1185</v>
      </c>
      <c r="C297" s="216">
        <v>24.100000381469702</v>
      </c>
      <c r="D297" s="216">
        <v>1781</v>
      </c>
      <c r="E297" s="216">
        <v>50.400001525878899</v>
      </c>
      <c r="F297" s="216">
        <v>0.55224132537841797</v>
      </c>
      <c r="G297" s="216">
        <v>204.41436767578099</v>
      </c>
      <c r="H297" s="216">
        <v>1773.18017578125</v>
      </c>
      <c r="I297" s="216">
        <v>204.49182128906301</v>
      </c>
      <c r="J297" s="216">
        <v>6.9755315780639604</v>
      </c>
      <c r="K297" s="216">
        <v>0.47336071729660001</v>
      </c>
      <c r="L297" s="216">
        <v>120.32829284668</v>
      </c>
      <c r="M297" s="216">
        <v>1860</v>
      </c>
      <c r="N297" s="216">
        <v>15252</v>
      </c>
      <c r="O297" s="216">
        <v>8.1999998092651403</v>
      </c>
      <c r="Q297" s="216">
        <v>0.62000000476837203</v>
      </c>
      <c r="R297" s="192">
        <f>VLOOKUP($A297,'RBSA Weights'!$A$2:$C$1406,3,FALSE)</f>
        <v>2130.886</v>
      </c>
      <c r="S297" s="216">
        <f t="shared" si="8"/>
        <v>0</v>
      </c>
      <c r="T297" s="216">
        <f t="shared" si="9"/>
        <v>0</v>
      </c>
    </row>
    <row r="298" spans="1:20">
      <c r="A298" s="216">
        <v>21720</v>
      </c>
      <c r="B298" s="216">
        <v>801</v>
      </c>
      <c r="C298" s="216">
        <v>25.100000381469702</v>
      </c>
      <c r="D298" s="216">
        <v>1226</v>
      </c>
      <c r="E298" s="216">
        <v>49.5</v>
      </c>
      <c r="F298" s="216">
        <v>0.62678271532058705</v>
      </c>
      <c r="G298" s="216">
        <v>106.253005981445</v>
      </c>
      <c r="H298" s="216">
        <v>1233.74743652344</v>
      </c>
      <c r="I298" s="216">
        <v>117.86480712890599</v>
      </c>
      <c r="J298" s="216">
        <v>6.2258071899414098</v>
      </c>
      <c r="K298" s="216">
        <v>0.35562658309936501</v>
      </c>
      <c r="L298" s="216">
        <v>70.473335266113295</v>
      </c>
      <c r="M298" s="216">
        <v>1450</v>
      </c>
      <c r="N298" s="216">
        <v>11890</v>
      </c>
      <c r="O298" s="216">
        <v>8.1999998092651403</v>
      </c>
      <c r="Q298" s="216">
        <v>0.62999999523162797</v>
      </c>
      <c r="R298" s="192">
        <f>VLOOKUP($A298,'RBSA Weights'!$A$2:$C$1406,3,FALSE)</f>
        <v>3785.7640000000001</v>
      </c>
      <c r="S298" s="216">
        <f t="shared" si="8"/>
        <v>0</v>
      </c>
      <c r="T298" s="216">
        <f t="shared" si="9"/>
        <v>0</v>
      </c>
    </row>
    <row r="299" spans="1:20">
      <c r="A299" s="216">
        <v>21722</v>
      </c>
      <c r="B299" s="216">
        <v>532</v>
      </c>
      <c r="C299" s="216">
        <v>24.399999618530298</v>
      </c>
      <c r="D299" s="216">
        <v>905</v>
      </c>
      <c r="E299" s="216">
        <v>50.099998474121101</v>
      </c>
      <c r="F299" s="216">
        <v>0.73848134279251099</v>
      </c>
      <c r="G299" s="216">
        <v>50.274776458740199</v>
      </c>
      <c r="H299" s="216">
        <v>903.66571044921898</v>
      </c>
      <c r="I299" s="216">
        <v>65.109191894531307</v>
      </c>
      <c r="J299" s="216">
        <v>4.1326174736022896</v>
      </c>
      <c r="K299" s="216">
        <v>0.25356000661849998</v>
      </c>
      <c r="L299" s="216">
        <v>55.445121765136697</v>
      </c>
      <c r="M299" s="216">
        <v>1600</v>
      </c>
      <c r="N299" s="216">
        <v>13120</v>
      </c>
      <c r="O299" s="216">
        <v>16.399999618530298</v>
      </c>
      <c r="Q299" s="216">
        <v>0.68000000715255704</v>
      </c>
      <c r="R299" s="192">
        <f>VLOOKUP($A299,'RBSA Weights'!$A$2:$C$1406,3,FALSE)</f>
        <v>2130.886</v>
      </c>
      <c r="S299" s="216">
        <f t="shared" si="8"/>
        <v>0</v>
      </c>
      <c r="T299" s="216">
        <f t="shared" si="9"/>
        <v>0</v>
      </c>
    </row>
    <row r="300" spans="1:20">
      <c r="A300" s="216">
        <v>21733</v>
      </c>
      <c r="B300" s="216">
        <v>887</v>
      </c>
      <c r="C300" s="216">
        <v>24.5</v>
      </c>
      <c r="D300" s="216">
        <v>1413</v>
      </c>
      <c r="E300" s="216">
        <v>50.299999237060497</v>
      </c>
      <c r="F300" s="216">
        <v>0.64730256795883201</v>
      </c>
      <c r="G300" s="216">
        <v>111.86979675293</v>
      </c>
      <c r="H300" s="216">
        <v>1407.53918457031</v>
      </c>
      <c r="I300" s="216">
        <v>127.676193237305</v>
      </c>
      <c r="J300" s="216">
        <v>3.6521515846252401</v>
      </c>
      <c r="K300" s="216">
        <v>0.220088005065918</v>
      </c>
      <c r="L300" s="216">
        <v>84.821914672851605</v>
      </c>
      <c r="M300" s="216">
        <v>2820</v>
      </c>
      <c r="N300" s="216">
        <v>23124</v>
      </c>
      <c r="O300" s="216">
        <v>8.1999998092651403</v>
      </c>
      <c r="Q300" s="216">
        <v>0.69999998807907104</v>
      </c>
      <c r="R300" s="192">
        <f>VLOOKUP($A300,'RBSA Weights'!$A$2:$C$1406,3,FALSE)</f>
        <v>1192.4649999999999</v>
      </c>
      <c r="S300" s="216">
        <f t="shared" si="8"/>
        <v>0</v>
      </c>
      <c r="T300" s="216">
        <f t="shared" si="9"/>
        <v>0</v>
      </c>
    </row>
    <row r="301" spans="1:20">
      <c r="A301" s="216">
        <v>21746</v>
      </c>
      <c r="B301" s="216">
        <v>1233</v>
      </c>
      <c r="C301" s="216">
        <v>25</v>
      </c>
      <c r="D301" s="216">
        <v>1893</v>
      </c>
      <c r="E301" s="216">
        <v>50</v>
      </c>
      <c r="F301" s="216">
        <v>0.61850160360336304</v>
      </c>
      <c r="G301" s="216">
        <v>168.39723205566401</v>
      </c>
      <c r="H301" s="216">
        <v>1893</v>
      </c>
      <c r="I301" s="216">
        <v>184.668212890625</v>
      </c>
      <c r="J301" s="216">
        <v>7.6951217651367196</v>
      </c>
      <c r="K301" s="216">
        <v>0.49824732542038003</v>
      </c>
      <c r="L301" s="216">
        <v>122.568840026855</v>
      </c>
      <c r="M301" s="216">
        <v>1800</v>
      </c>
      <c r="N301" s="216">
        <v>14760</v>
      </c>
      <c r="O301" s="216">
        <v>16.399999618530298</v>
      </c>
      <c r="Q301" s="216">
        <v>0.52999997138977095</v>
      </c>
      <c r="R301" s="192">
        <f>VLOOKUP($A301,'RBSA Weights'!$A$2:$C$1406,3,FALSE)</f>
        <v>8264.9449999999997</v>
      </c>
      <c r="S301" s="216">
        <f t="shared" si="8"/>
        <v>1</v>
      </c>
      <c r="T301" s="216">
        <f t="shared" si="9"/>
        <v>8264.9449999999997</v>
      </c>
    </row>
    <row r="302" spans="1:20">
      <c r="A302" s="216">
        <v>21768</v>
      </c>
      <c r="B302" s="216">
        <v>1590</v>
      </c>
      <c r="C302" s="216">
        <v>25</v>
      </c>
      <c r="D302" s="216">
        <v>2498</v>
      </c>
      <c r="E302" s="216">
        <v>50</v>
      </c>
      <c r="F302" s="216">
        <v>0.65174669027328502</v>
      </c>
      <c r="G302" s="216">
        <v>195.11666870117199</v>
      </c>
      <c r="H302" s="216">
        <v>2498</v>
      </c>
      <c r="I302" s="216">
        <v>224.06143188476599</v>
      </c>
      <c r="J302" s="216">
        <v>15.6490154266357</v>
      </c>
      <c r="K302" s="216">
        <v>0.82594943046569802</v>
      </c>
      <c r="L302" s="216">
        <v>131.84355163574199</v>
      </c>
      <c r="M302" s="216">
        <v>1168</v>
      </c>
      <c r="N302" s="216">
        <v>9577.599609375</v>
      </c>
      <c r="O302" s="216">
        <v>8.1999998092651403</v>
      </c>
      <c r="Q302" s="216">
        <v>0.62000000476837203</v>
      </c>
      <c r="R302" s="192">
        <f>VLOOKUP($A302,'RBSA Weights'!$A$2:$C$1406,3,FALSE)</f>
        <v>1925.059</v>
      </c>
      <c r="S302" s="216">
        <f t="shared" si="8"/>
        <v>1</v>
      </c>
      <c r="T302" s="216">
        <f t="shared" si="9"/>
        <v>1925.059</v>
      </c>
    </row>
    <row r="303" spans="1:20">
      <c r="A303" s="216">
        <v>21777</v>
      </c>
      <c r="B303" s="216">
        <v>1210</v>
      </c>
      <c r="C303" s="216">
        <v>25</v>
      </c>
      <c r="D303" s="216">
        <v>1701</v>
      </c>
      <c r="E303" s="216">
        <v>50.5</v>
      </c>
      <c r="F303" s="216">
        <v>0.48442205786705</v>
      </c>
      <c r="G303" s="216">
        <v>254.44410705566401</v>
      </c>
      <c r="H303" s="216">
        <v>1692.82067871094</v>
      </c>
      <c r="I303" s="216">
        <v>231.699783325195</v>
      </c>
      <c r="J303" s="216">
        <v>4.7025408744812003</v>
      </c>
      <c r="K303" s="216">
        <v>0.37262952327728299</v>
      </c>
      <c r="L303" s="216">
        <v>134.13917541503901</v>
      </c>
      <c r="M303" s="216">
        <v>2634</v>
      </c>
      <c r="N303" s="216">
        <v>21598.80078125</v>
      </c>
      <c r="O303" s="216">
        <v>8.2000007629394496</v>
      </c>
      <c r="Q303" s="216">
        <v>0.61000001430511497</v>
      </c>
      <c r="R303" s="192">
        <f>VLOOKUP($A303,'RBSA Weights'!$A$2:$C$1406,3,FALSE)</f>
        <v>2130.886</v>
      </c>
      <c r="S303" s="216">
        <f t="shared" si="8"/>
        <v>0</v>
      </c>
      <c r="T303" s="216">
        <f t="shared" si="9"/>
        <v>0</v>
      </c>
    </row>
    <row r="304" spans="1:20">
      <c r="A304" s="216">
        <v>21783</v>
      </c>
      <c r="B304" s="216">
        <v>1050</v>
      </c>
      <c r="C304" s="216">
        <v>25</v>
      </c>
      <c r="D304" s="216">
        <v>1688</v>
      </c>
      <c r="E304" s="216">
        <v>50</v>
      </c>
      <c r="F304" s="216">
        <v>0.684925556182861</v>
      </c>
      <c r="G304" s="216">
        <v>115.79891204834</v>
      </c>
      <c r="H304" s="216">
        <v>1688</v>
      </c>
      <c r="I304" s="216">
        <v>139.23641967773401</v>
      </c>
      <c r="J304" s="216">
        <v>8.0832586288452095</v>
      </c>
      <c r="K304" s="216">
        <v>0.509341239929199</v>
      </c>
      <c r="L304" s="216">
        <v>106.36402893066401</v>
      </c>
      <c r="M304" s="216">
        <v>1528</v>
      </c>
      <c r="N304" s="216">
        <v>12529.599609375</v>
      </c>
      <c r="O304" s="216">
        <v>16.399999618530298</v>
      </c>
      <c r="Q304" s="216">
        <v>0.61000001430511497</v>
      </c>
      <c r="R304" s="192">
        <f>VLOOKUP($A304,'RBSA Weights'!$A$2:$C$1406,3,FALSE)</f>
        <v>8264.9449999999997</v>
      </c>
      <c r="S304" s="216">
        <f t="shared" si="8"/>
        <v>1</v>
      </c>
      <c r="T304" s="216">
        <f t="shared" si="9"/>
        <v>8264.9449999999997</v>
      </c>
    </row>
    <row r="305" spans="1:20">
      <c r="A305" s="216">
        <v>21787</v>
      </c>
      <c r="B305" s="216">
        <v>1532</v>
      </c>
      <c r="C305" s="216">
        <v>25</v>
      </c>
      <c r="D305" s="216">
        <v>2331</v>
      </c>
      <c r="E305" s="216">
        <v>50.099998474121101</v>
      </c>
      <c r="F305" s="216">
        <v>0.60379230976104703</v>
      </c>
      <c r="G305" s="216">
        <v>219.37812805175801</v>
      </c>
      <c r="H305" s="216">
        <v>2328.18969726563</v>
      </c>
      <c r="I305" s="216">
        <v>235.71902465820301</v>
      </c>
      <c r="J305" s="216">
        <v>8.7272205352783203</v>
      </c>
      <c r="K305" s="216">
        <v>0.44445538520812999</v>
      </c>
      <c r="L305" s="216">
        <v>118.56884765625</v>
      </c>
      <c r="M305" s="216">
        <v>1952</v>
      </c>
      <c r="N305" s="216">
        <v>16006.400390625</v>
      </c>
      <c r="O305" s="216">
        <v>8.1999998092651403</v>
      </c>
      <c r="P305" s="216" t="s">
        <v>1017</v>
      </c>
      <c r="Q305" s="216">
        <v>0.52999997138977095</v>
      </c>
      <c r="R305" s="192">
        <f>VLOOKUP($A305,'RBSA Weights'!$A$2:$C$1406,3,FALSE)</f>
        <v>4360.1880000000001</v>
      </c>
      <c r="S305" s="216">
        <f t="shared" si="8"/>
        <v>1</v>
      </c>
      <c r="T305" s="216">
        <f t="shared" si="9"/>
        <v>4360.1880000000001</v>
      </c>
    </row>
    <row r="306" spans="1:20">
      <c r="A306" s="216">
        <v>21791</v>
      </c>
      <c r="B306" s="216">
        <v>757</v>
      </c>
      <c r="C306" s="216">
        <v>25</v>
      </c>
      <c r="D306" s="216">
        <v>1252</v>
      </c>
      <c r="E306" s="216">
        <v>51</v>
      </c>
      <c r="F306" s="216">
        <v>0.705707907676697</v>
      </c>
      <c r="G306" s="216">
        <v>78.0833740234375</v>
      </c>
      <c r="H306" s="216">
        <v>1234.62524414063</v>
      </c>
      <c r="I306" s="216">
        <v>96.631607055664105</v>
      </c>
      <c r="J306" s="216">
        <v>6.7216095924377397</v>
      </c>
      <c r="K306" s="216">
        <v>0.25963351130485501</v>
      </c>
      <c r="L306" s="216">
        <v>47.689483642578097</v>
      </c>
      <c r="M306" s="216">
        <v>1344</v>
      </c>
      <c r="N306" s="216">
        <v>11020.7998046875</v>
      </c>
      <c r="O306" s="216">
        <v>8.1999998092651403</v>
      </c>
      <c r="P306" s="216" t="s">
        <v>1085</v>
      </c>
      <c r="Q306" s="216">
        <v>0.519999980926514</v>
      </c>
      <c r="R306" s="192">
        <f>VLOOKUP($A306,'RBSA Weights'!$A$2:$C$1406,3,FALSE)</f>
        <v>1612.692</v>
      </c>
      <c r="S306" s="216">
        <f t="shared" si="8"/>
        <v>0</v>
      </c>
      <c r="T306" s="216">
        <f t="shared" si="9"/>
        <v>0</v>
      </c>
    </row>
    <row r="307" spans="1:20">
      <c r="A307" s="216">
        <v>21799</v>
      </c>
      <c r="B307" s="216">
        <v>1341</v>
      </c>
      <c r="C307" s="216">
        <v>25</v>
      </c>
      <c r="D307" s="216">
        <v>2175</v>
      </c>
      <c r="E307" s="216">
        <v>50.400001525878899</v>
      </c>
      <c r="F307" s="216">
        <v>0.68977671861648604</v>
      </c>
      <c r="G307" s="216">
        <v>145.60031127929699</v>
      </c>
      <c r="H307" s="216">
        <v>2163.07836914063</v>
      </c>
      <c r="I307" s="216">
        <v>176.25091552734401</v>
      </c>
      <c r="J307" s="216">
        <v>8.2134933471679705</v>
      </c>
      <c r="K307" s="216">
        <v>0.45257747173309298</v>
      </c>
      <c r="L307" s="216">
        <v>119.18930053710901</v>
      </c>
      <c r="M307" s="216">
        <v>1927</v>
      </c>
      <c r="N307" s="216">
        <v>15801.400390625</v>
      </c>
      <c r="O307" s="216">
        <v>16.399999618530298</v>
      </c>
      <c r="Q307" s="216">
        <v>0.54000002145767201</v>
      </c>
      <c r="R307" s="192">
        <f>VLOOKUP($A307,'RBSA Weights'!$A$2:$C$1406,3,FALSE)</f>
        <v>1904.288</v>
      </c>
      <c r="S307" s="216">
        <f t="shared" si="8"/>
        <v>1</v>
      </c>
      <c r="T307" s="216">
        <f t="shared" si="9"/>
        <v>1904.288</v>
      </c>
    </row>
    <row r="308" spans="1:20">
      <c r="A308" s="216">
        <v>21818</v>
      </c>
      <c r="B308" s="216">
        <v>292</v>
      </c>
      <c r="C308" s="216">
        <v>24.799999237060501</v>
      </c>
      <c r="D308" s="216">
        <v>433</v>
      </c>
      <c r="E308" s="216">
        <v>50.200000762939503</v>
      </c>
      <c r="F308" s="216">
        <v>0.55870658159256004</v>
      </c>
      <c r="G308" s="216">
        <v>48.561660766601598</v>
      </c>
      <c r="H308" s="216">
        <v>432.03530883789102</v>
      </c>
      <c r="I308" s="216">
        <v>49.017429351806598</v>
      </c>
      <c r="J308" s="216">
        <v>4.8485183715820304</v>
      </c>
      <c r="K308" s="216">
        <v>0.46844798326492298</v>
      </c>
      <c r="L308" s="216">
        <v>41.741836547851598</v>
      </c>
      <c r="M308" s="216">
        <v>652</v>
      </c>
      <c r="N308" s="216">
        <v>5346.39990234375</v>
      </c>
      <c r="O308" s="216">
        <v>16.399999618530298</v>
      </c>
      <c r="Q308" s="216">
        <v>0.68000000715255704</v>
      </c>
      <c r="R308" s="192">
        <f>VLOOKUP($A308,'RBSA Weights'!$A$2:$C$1406,3,FALSE)</f>
        <v>2130.886</v>
      </c>
      <c r="S308" s="216">
        <f t="shared" si="8"/>
        <v>0</v>
      </c>
      <c r="T308" s="216">
        <f t="shared" si="9"/>
        <v>0</v>
      </c>
    </row>
    <row r="309" spans="1:20">
      <c r="A309" s="216">
        <v>21828</v>
      </c>
      <c r="B309" s="216">
        <v>998</v>
      </c>
      <c r="C309" s="216">
        <v>24.700000762939499</v>
      </c>
      <c r="D309" s="216">
        <v>1456</v>
      </c>
      <c r="E309" s="216">
        <v>50.099998474121101</v>
      </c>
      <c r="F309" s="216">
        <v>0.534057557582855</v>
      </c>
      <c r="G309" s="216">
        <v>180.03221130371099</v>
      </c>
      <c r="H309" s="216">
        <v>1454.447265625</v>
      </c>
      <c r="I309" s="216">
        <v>175.6171875</v>
      </c>
      <c r="J309" s="216">
        <v>7.54772853851318</v>
      </c>
      <c r="K309" s="216">
        <v>0.46706703305244401</v>
      </c>
      <c r="L309" s="216">
        <v>90.003814697265597</v>
      </c>
      <c r="M309" s="216">
        <v>1410</v>
      </c>
      <c r="N309" s="216">
        <v>11562</v>
      </c>
      <c r="O309" s="216">
        <v>8.1999998092651403</v>
      </c>
      <c r="Q309" s="216">
        <v>0.54000002145767201</v>
      </c>
      <c r="R309" s="192">
        <f>VLOOKUP($A309,'RBSA Weights'!$A$2:$C$1406,3,FALSE)</f>
        <v>1904.288</v>
      </c>
      <c r="S309" s="216">
        <f t="shared" si="8"/>
        <v>1</v>
      </c>
      <c r="T309" s="216">
        <f t="shared" si="9"/>
        <v>1904.288</v>
      </c>
    </row>
    <row r="310" spans="1:20">
      <c r="A310" s="216">
        <v>21898</v>
      </c>
      <c r="B310" s="216">
        <v>1497</v>
      </c>
      <c r="C310" s="216">
        <v>25.899999618530298</v>
      </c>
      <c r="D310" s="216">
        <v>2183</v>
      </c>
      <c r="E310" s="216">
        <v>50.700000762939503</v>
      </c>
      <c r="F310" s="216">
        <v>0.56162947416305498</v>
      </c>
      <c r="G310" s="216">
        <v>240.697189331055</v>
      </c>
      <c r="H310" s="216">
        <v>2166.02099609375</v>
      </c>
      <c r="I310" s="216">
        <v>243.94265747070301</v>
      </c>
      <c r="J310" s="216">
        <v>5.6745200157165501</v>
      </c>
      <c r="K310" s="216">
        <v>0.52709740400314298</v>
      </c>
      <c r="L310" s="216">
        <v>201.19833374023401</v>
      </c>
      <c r="M310" s="216">
        <v>2793</v>
      </c>
      <c r="N310" s="216">
        <v>22902.599609375</v>
      </c>
      <c r="O310" s="216">
        <v>24.599998474121101</v>
      </c>
      <c r="P310" s="216" t="s">
        <v>1086</v>
      </c>
      <c r="Q310" s="216">
        <v>0.56000000238418601</v>
      </c>
      <c r="R310" s="192">
        <f>VLOOKUP($A310,'RBSA Weights'!$A$2:$C$1406,3,FALSE)</f>
        <v>3785.7640000000001</v>
      </c>
      <c r="S310" s="216">
        <f t="shared" si="8"/>
        <v>0</v>
      </c>
      <c r="T310" s="216">
        <f t="shared" si="9"/>
        <v>0</v>
      </c>
    </row>
    <row r="311" spans="1:20">
      <c r="A311" s="216">
        <v>21905</v>
      </c>
      <c r="B311" s="216">
        <v>1534</v>
      </c>
      <c r="C311" s="216">
        <v>24.799999237060501</v>
      </c>
      <c r="D311" s="216">
        <v>2475</v>
      </c>
      <c r="E311" s="216">
        <v>50.700000762939503</v>
      </c>
      <c r="F311" s="216">
        <v>0.66896033287048295</v>
      </c>
      <c r="G311" s="216">
        <v>179.05749511718801</v>
      </c>
      <c r="H311" s="216">
        <v>2452.087890625</v>
      </c>
      <c r="I311" s="216">
        <v>210.585693359375</v>
      </c>
      <c r="J311" s="216">
        <v>5.0061678886413601</v>
      </c>
      <c r="K311" s="216">
        <v>0.30150771141052202</v>
      </c>
      <c r="L311" s="216">
        <v>147.68249511718801</v>
      </c>
      <c r="M311" s="216">
        <v>3584</v>
      </c>
      <c r="N311" s="216">
        <v>29388.80078125</v>
      </c>
      <c r="O311" s="216">
        <v>16.399999618530298</v>
      </c>
      <c r="Q311" s="216">
        <v>0.56000000238418601</v>
      </c>
      <c r="R311" s="192">
        <f>VLOOKUP($A311,'RBSA Weights'!$A$2:$C$1406,3,FALSE)</f>
        <v>12271.31</v>
      </c>
      <c r="S311" s="216">
        <f t="shared" si="8"/>
        <v>0</v>
      </c>
      <c r="T311" s="216">
        <f t="shared" si="9"/>
        <v>0</v>
      </c>
    </row>
    <row r="312" spans="1:20">
      <c r="A312" s="216">
        <v>21922</v>
      </c>
      <c r="B312" s="216">
        <v>503</v>
      </c>
      <c r="C312" s="216">
        <v>24.799999237060501</v>
      </c>
      <c r="D312" s="216">
        <v>851</v>
      </c>
      <c r="E312" s="216">
        <v>50.200000762939503</v>
      </c>
      <c r="F312" s="216">
        <v>0.74566543102264404</v>
      </c>
      <c r="G312" s="216">
        <v>45.895866394042997</v>
      </c>
      <c r="H312" s="216">
        <v>848.47058105468795</v>
      </c>
      <c r="I312" s="216">
        <v>60.033134460449197</v>
      </c>
      <c r="J312" s="216">
        <v>5.6957077980041504</v>
      </c>
      <c r="K312" s="216">
        <v>0.206536024808884</v>
      </c>
      <c r="L312" s="216">
        <v>30.766983032226602</v>
      </c>
      <c r="M312" s="216">
        <v>1090</v>
      </c>
      <c r="N312" s="216">
        <v>8938</v>
      </c>
      <c r="O312" s="216">
        <v>8.1999998092651403</v>
      </c>
      <c r="Q312" s="216">
        <v>0.54000002145767201</v>
      </c>
      <c r="R312" s="192">
        <f>VLOOKUP($A312,'RBSA Weights'!$A$2:$C$1406,3,FALSE)</f>
        <v>1904.288</v>
      </c>
      <c r="S312" s="216">
        <f t="shared" si="8"/>
        <v>0</v>
      </c>
      <c r="T312" s="216">
        <f t="shared" si="9"/>
        <v>0</v>
      </c>
    </row>
    <row r="313" spans="1:20">
      <c r="A313" s="216">
        <v>21936</v>
      </c>
      <c r="B313" s="216">
        <v>604</v>
      </c>
      <c r="C313" s="216">
        <v>25.299999237060501</v>
      </c>
      <c r="D313" s="216">
        <v>973</v>
      </c>
      <c r="E313" s="216">
        <v>50</v>
      </c>
      <c r="F313" s="216">
        <v>0.69993662834167503</v>
      </c>
      <c r="G313" s="216">
        <v>62.942138671875</v>
      </c>
      <c r="H313" s="216">
        <v>973</v>
      </c>
      <c r="I313" s="216">
        <v>77.272941589355497</v>
      </c>
      <c r="J313" s="216">
        <v>9.4926824569702095</v>
      </c>
      <c r="K313" s="216">
        <v>0.43644902110099798</v>
      </c>
      <c r="L313" s="216">
        <v>44.7360229492188</v>
      </c>
      <c r="M313" s="216">
        <v>750</v>
      </c>
      <c r="N313" s="216">
        <v>6150</v>
      </c>
      <c r="O313" s="216">
        <v>8.1999998092651403</v>
      </c>
      <c r="Q313" s="216">
        <v>0.61000001430511497</v>
      </c>
      <c r="R313" s="192">
        <f>VLOOKUP($A313,'RBSA Weights'!$A$2:$C$1406,3,FALSE)</f>
        <v>2130.886</v>
      </c>
      <c r="S313" s="216">
        <f t="shared" si="8"/>
        <v>1</v>
      </c>
      <c r="T313" s="216">
        <f t="shared" si="9"/>
        <v>2130.886</v>
      </c>
    </row>
    <row r="314" spans="1:20">
      <c r="A314" s="216">
        <v>22024</v>
      </c>
      <c r="B314" s="216">
        <v>1192</v>
      </c>
      <c r="C314" s="216">
        <v>25.399999618530298</v>
      </c>
      <c r="D314" s="216">
        <v>1789</v>
      </c>
      <c r="E314" s="216">
        <v>49.799999237060497</v>
      </c>
      <c r="F314" s="216">
        <v>0.60306674242019698</v>
      </c>
      <c r="G314" s="216">
        <v>169.46022033691401</v>
      </c>
      <c r="H314" s="216">
        <v>1793.32946777344</v>
      </c>
      <c r="I314" s="216">
        <v>181.89981079101599</v>
      </c>
      <c r="J314" s="216">
        <v>4.2603645324706996</v>
      </c>
      <c r="K314" s="216">
        <v>0.20916509628295901</v>
      </c>
      <c r="L314" s="216">
        <v>88.044563293457003</v>
      </c>
      <c r="M314" s="216">
        <v>3080</v>
      </c>
      <c r="N314" s="216">
        <v>25256</v>
      </c>
      <c r="O314" s="216">
        <v>8.1999998092651403</v>
      </c>
      <c r="P314" s="216" t="s">
        <v>1087</v>
      </c>
      <c r="Q314" s="216">
        <v>0.50999999046325695</v>
      </c>
      <c r="R314" s="192">
        <f>VLOOKUP($A314,'RBSA Weights'!$A$2:$C$1406,3,FALSE)</f>
        <v>1192.4649999999999</v>
      </c>
      <c r="S314" s="216">
        <f t="shared" si="8"/>
        <v>0</v>
      </c>
      <c r="T314" s="216">
        <f t="shared" si="9"/>
        <v>0</v>
      </c>
    </row>
    <row r="315" spans="1:20">
      <c r="A315" s="216">
        <v>22041</v>
      </c>
      <c r="B315" s="216">
        <v>636</v>
      </c>
      <c r="C315" s="216">
        <v>25.100000381469702</v>
      </c>
      <c r="D315" s="216">
        <v>1007</v>
      </c>
      <c r="E315" s="216">
        <v>49.799999237060497</v>
      </c>
      <c r="F315" s="216">
        <v>0.67070609331131004</v>
      </c>
      <c r="G315" s="216">
        <v>73.229728698730497</v>
      </c>
      <c r="H315" s="216">
        <v>1009.71069335938</v>
      </c>
      <c r="I315" s="216">
        <v>86.332603454589801</v>
      </c>
      <c r="J315" s="216">
        <v>4.2755365371704102</v>
      </c>
      <c r="K315" s="216">
        <v>0.24633546173572499</v>
      </c>
      <c r="L315" s="216">
        <v>58.1745796203613</v>
      </c>
      <c r="M315" s="216">
        <v>1728</v>
      </c>
      <c r="N315" s="216">
        <v>14169.599609375</v>
      </c>
      <c r="O315" s="216">
        <v>8.1999998092651403</v>
      </c>
      <c r="Q315" s="216">
        <v>0.70999997854232799</v>
      </c>
      <c r="R315" s="192">
        <f>VLOOKUP($A315,'RBSA Weights'!$A$2:$C$1406,3,FALSE)</f>
        <v>2130.886</v>
      </c>
      <c r="S315" s="216">
        <f t="shared" si="8"/>
        <v>0</v>
      </c>
      <c r="T315" s="216">
        <f t="shared" si="9"/>
        <v>0</v>
      </c>
    </row>
    <row r="316" spans="1:20">
      <c r="A316" s="216">
        <v>22047</v>
      </c>
      <c r="B316" s="216">
        <v>391</v>
      </c>
      <c r="C316" s="216">
        <v>25.5</v>
      </c>
      <c r="D316" s="216">
        <v>640</v>
      </c>
      <c r="E316" s="216">
        <v>50.400001525878899</v>
      </c>
      <c r="F316" s="216">
        <v>0.72325170040130604</v>
      </c>
      <c r="G316" s="216">
        <v>37.5745849609375</v>
      </c>
      <c r="H316" s="216">
        <v>636.322265625</v>
      </c>
      <c r="I316" s="216">
        <v>47.644989013671903</v>
      </c>
      <c r="J316" s="216">
        <v>2.55264067649841</v>
      </c>
      <c r="K316" s="216">
        <v>0.14361280202865601</v>
      </c>
      <c r="L316" s="216">
        <v>35.799800872802699</v>
      </c>
      <c r="M316" s="216">
        <v>1824</v>
      </c>
      <c r="N316" s="216">
        <v>14956.7998046875</v>
      </c>
      <c r="O316" s="216">
        <v>16.399999618530298</v>
      </c>
      <c r="Q316" s="216">
        <v>0.60000002384185802</v>
      </c>
      <c r="R316" s="192">
        <f>VLOOKUP($A316,'RBSA Weights'!$A$2:$C$1406,3,FALSE)</f>
        <v>3785.7640000000001</v>
      </c>
      <c r="S316" s="216">
        <f t="shared" si="8"/>
        <v>0</v>
      </c>
      <c r="T316" s="216">
        <f t="shared" si="9"/>
        <v>0</v>
      </c>
    </row>
    <row r="317" spans="1:20">
      <c r="A317" s="216">
        <v>22059</v>
      </c>
      <c r="B317" s="216">
        <v>1073</v>
      </c>
      <c r="C317" s="216">
        <v>25.200000762939499</v>
      </c>
      <c r="D317" s="216">
        <v>1619</v>
      </c>
      <c r="E317" s="216">
        <v>50.099998474121101</v>
      </c>
      <c r="F317" s="216">
        <v>0.59860885143279996</v>
      </c>
      <c r="G317" s="216">
        <v>155.49232482910199</v>
      </c>
      <c r="H317" s="216">
        <v>1617.06481933594</v>
      </c>
      <c r="I317" s="216">
        <v>165.87828063964801</v>
      </c>
      <c r="J317" s="216">
        <v>9.7948522567749006</v>
      </c>
      <c r="K317" s="216">
        <v>0.572151899337769</v>
      </c>
      <c r="L317" s="216">
        <v>94.458457946777301</v>
      </c>
      <c r="M317" s="216">
        <v>1208</v>
      </c>
      <c r="N317" s="216">
        <v>9905.599609375</v>
      </c>
      <c r="O317" s="216">
        <v>8.1999998092651403</v>
      </c>
      <c r="Q317" s="216">
        <v>0.60000002384185802</v>
      </c>
      <c r="R317" s="192">
        <f>VLOOKUP($A317,'RBSA Weights'!$A$2:$C$1406,3,FALSE)</f>
        <v>1904.288</v>
      </c>
      <c r="S317" s="216">
        <f t="shared" si="8"/>
        <v>1</v>
      </c>
      <c r="T317" s="216">
        <f t="shared" si="9"/>
        <v>1904.288</v>
      </c>
    </row>
    <row r="318" spans="1:20">
      <c r="A318" s="216">
        <v>22084</v>
      </c>
      <c r="B318" s="216">
        <v>580</v>
      </c>
      <c r="C318" s="216">
        <v>25.100000381469702</v>
      </c>
      <c r="D318" s="216">
        <v>953</v>
      </c>
      <c r="E318" s="216">
        <v>50.200000762939503</v>
      </c>
      <c r="F318" s="216">
        <v>0.71642333269119296</v>
      </c>
      <c r="G318" s="216">
        <v>57.632713317871101</v>
      </c>
      <c r="H318" s="216">
        <v>950.2783203125</v>
      </c>
      <c r="I318" s="216">
        <v>72.390403747558594</v>
      </c>
      <c r="J318" s="216">
        <v>3.2310669422149698</v>
      </c>
      <c r="K318" s="216">
        <v>0.14716914296150199</v>
      </c>
      <c r="L318" s="216">
        <v>43.2834281921387</v>
      </c>
      <c r="M318" s="216">
        <v>2152</v>
      </c>
      <c r="N318" s="216">
        <v>17646.400390625</v>
      </c>
      <c r="O318" s="216">
        <v>8.1999998092651403</v>
      </c>
      <c r="Q318" s="216">
        <v>0.62999999523162797</v>
      </c>
      <c r="R318" s="192">
        <f>VLOOKUP($A318,'RBSA Weights'!$A$2:$C$1406,3,FALSE)</f>
        <v>2130.886</v>
      </c>
      <c r="S318" s="216">
        <f t="shared" si="8"/>
        <v>0</v>
      </c>
      <c r="T318" s="216">
        <f t="shared" si="9"/>
        <v>0</v>
      </c>
    </row>
    <row r="319" spans="1:20">
      <c r="A319" s="216">
        <v>22095</v>
      </c>
      <c r="B319" s="216">
        <v>3789</v>
      </c>
      <c r="C319" s="216">
        <v>25</v>
      </c>
      <c r="D319" s="216">
        <v>5506</v>
      </c>
      <c r="E319" s="216">
        <v>50</v>
      </c>
      <c r="F319" s="216">
        <v>0.53918749094009399</v>
      </c>
      <c r="G319" s="216">
        <v>667.99444580078102</v>
      </c>
      <c r="H319" s="216">
        <v>5506</v>
      </c>
      <c r="I319" s="216">
        <v>656.26336669921898</v>
      </c>
      <c r="J319" s="216">
        <v>19.836439132690401</v>
      </c>
      <c r="K319" s="216">
        <v>1.5931770801544201</v>
      </c>
      <c r="L319" s="216">
        <v>442.21813964843801</v>
      </c>
      <c r="M319" s="216">
        <v>2031</v>
      </c>
      <c r="N319" s="216">
        <v>16654.19921875</v>
      </c>
      <c r="O319" s="216">
        <v>8.1999998092651403</v>
      </c>
      <c r="P319" s="216" t="s">
        <v>1088</v>
      </c>
      <c r="Q319" s="216">
        <v>0.70999997854232799</v>
      </c>
      <c r="R319" s="192">
        <f>VLOOKUP($A319,'RBSA Weights'!$A$2:$C$1406,3,FALSE)</f>
        <v>2130.886</v>
      </c>
      <c r="S319" s="216">
        <f t="shared" si="8"/>
        <v>1</v>
      </c>
      <c r="T319" s="216">
        <f t="shared" si="9"/>
        <v>2130.886</v>
      </c>
    </row>
    <row r="320" spans="1:20">
      <c r="A320" s="216">
        <v>22125</v>
      </c>
      <c r="B320" s="216">
        <v>4415</v>
      </c>
      <c r="C320" s="216">
        <v>24.899999618530298</v>
      </c>
      <c r="D320" s="216">
        <v>5850</v>
      </c>
      <c r="E320" s="216">
        <v>40.200000762939503</v>
      </c>
      <c r="F320" s="216">
        <v>0.58754545450210605</v>
      </c>
      <c r="G320" s="216">
        <v>667.72882080078102</v>
      </c>
      <c r="H320" s="216">
        <v>6650.0087890625</v>
      </c>
      <c r="I320" s="216">
        <v>701.48736572265602</v>
      </c>
      <c r="J320" s="216">
        <v>34.756141662597699</v>
      </c>
      <c r="K320" s="216">
        <v>1.80939185619354</v>
      </c>
      <c r="L320" s="216">
        <v>346.19699096679699</v>
      </c>
      <c r="M320" s="216">
        <v>1400</v>
      </c>
      <c r="N320" s="216">
        <v>11480</v>
      </c>
      <c r="O320" s="216">
        <v>8.1999998092651403</v>
      </c>
      <c r="P320" s="216" t="s">
        <v>1089</v>
      </c>
      <c r="Q320" s="216">
        <v>0.519999980926514</v>
      </c>
      <c r="R320" s="192">
        <f>VLOOKUP($A320,'RBSA Weights'!$A$2:$C$1406,3,FALSE)</f>
        <v>2079.9929999999999</v>
      </c>
      <c r="S320" s="216">
        <f t="shared" si="8"/>
        <v>1</v>
      </c>
      <c r="T320" s="216">
        <f t="shared" si="9"/>
        <v>2079.9929999999999</v>
      </c>
    </row>
    <row r="321" spans="1:20">
      <c r="A321" s="216">
        <v>22131</v>
      </c>
      <c r="B321" s="216">
        <v>910</v>
      </c>
      <c r="C321" s="216">
        <v>25</v>
      </c>
      <c r="D321" s="216">
        <v>1390</v>
      </c>
      <c r="E321" s="216">
        <v>50</v>
      </c>
      <c r="F321" s="216">
        <v>0.61114645004272505</v>
      </c>
      <c r="G321" s="216">
        <v>127.26099395752</v>
      </c>
      <c r="H321" s="216">
        <v>1390</v>
      </c>
      <c r="I321" s="216">
        <v>138.141525268555</v>
      </c>
      <c r="J321" s="216">
        <v>10.130210876464799</v>
      </c>
      <c r="K321" s="216">
        <v>0.477747082710266</v>
      </c>
      <c r="L321" s="216">
        <v>65.553268432617202</v>
      </c>
      <c r="M321" s="216">
        <v>1004</v>
      </c>
      <c r="N321" s="216">
        <v>8232.7998046875</v>
      </c>
      <c r="O321" s="216">
        <v>8.1999998092651403</v>
      </c>
      <c r="Q321" s="216">
        <v>0.5</v>
      </c>
      <c r="R321" s="192">
        <f>VLOOKUP($A321,'RBSA Weights'!$A$2:$C$1406,3,FALSE)</f>
        <v>8264.9449999999997</v>
      </c>
      <c r="S321" s="216">
        <f t="shared" si="8"/>
        <v>1</v>
      </c>
      <c r="T321" s="216">
        <f t="shared" si="9"/>
        <v>8264.9449999999997</v>
      </c>
    </row>
    <row r="322" spans="1:20">
      <c r="A322" s="216">
        <v>22138</v>
      </c>
      <c r="B322" s="216">
        <v>1347</v>
      </c>
      <c r="C322" s="216">
        <v>25</v>
      </c>
      <c r="D322" s="216">
        <v>1976</v>
      </c>
      <c r="E322" s="216">
        <v>50</v>
      </c>
      <c r="F322" s="216">
        <v>0.55283308029174805</v>
      </c>
      <c r="G322" s="216">
        <v>227.26895141601599</v>
      </c>
      <c r="H322" s="216">
        <v>1976</v>
      </c>
      <c r="I322" s="216">
        <v>227.54165649414099</v>
      </c>
      <c r="J322" s="216">
        <v>5.6833868026733398</v>
      </c>
      <c r="K322" s="216">
        <v>0.45896688103675798</v>
      </c>
      <c r="L322" s="216">
        <v>159.57360839843801</v>
      </c>
      <c r="M322" s="216">
        <v>2544</v>
      </c>
      <c r="N322" s="216">
        <v>20860.80078125</v>
      </c>
      <c r="O322" s="216">
        <v>16.400001525878899</v>
      </c>
      <c r="Q322" s="216">
        <v>0.56000000238418601</v>
      </c>
      <c r="R322" s="192">
        <f>VLOOKUP($A322,'RBSA Weights'!$A$2:$C$1406,3,FALSE)</f>
        <v>3785.7640000000001</v>
      </c>
      <c r="S322" s="216">
        <f t="shared" si="8"/>
        <v>0</v>
      </c>
      <c r="T322" s="216">
        <f t="shared" si="9"/>
        <v>0</v>
      </c>
    </row>
    <row r="323" spans="1:20">
      <c r="A323" s="216">
        <v>22144</v>
      </c>
      <c r="B323" s="216">
        <v>898</v>
      </c>
      <c r="C323" s="216">
        <v>25.200000762939499</v>
      </c>
      <c r="D323" s="216">
        <v>1398</v>
      </c>
      <c r="E323" s="216">
        <v>49.700000762939503</v>
      </c>
      <c r="F323" s="216">
        <v>0.65172749757766701</v>
      </c>
      <c r="G323" s="216">
        <v>109.633949279785</v>
      </c>
      <c r="H323" s="216">
        <v>1403.49389648438</v>
      </c>
      <c r="I323" s="216">
        <v>125.894340515137</v>
      </c>
      <c r="J323" s="216">
        <v>8.3356065750122106</v>
      </c>
      <c r="K323" s="216">
        <v>0.39739376306533802</v>
      </c>
      <c r="L323" s="216">
        <v>66.910514831542997</v>
      </c>
      <c r="M323" s="216">
        <v>1232</v>
      </c>
      <c r="N323" s="216">
        <v>10102.400390625</v>
      </c>
      <c r="O323" s="216">
        <v>8.2000007629394496</v>
      </c>
      <c r="Q323" s="216">
        <v>0.56000000238418601</v>
      </c>
      <c r="R323" s="192">
        <f>VLOOKUP($A323,'RBSA Weights'!$A$2:$C$1406,3,FALSE)</f>
        <v>3785.7640000000001</v>
      </c>
      <c r="S323" s="216">
        <f t="shared" ref="S323:S386" si="10">IF(J323&lt;7,0,1)</f>
        <v>1</v>
      </c>
      <c r="T323" s="216">
        <f t="shared" ref="T323:T386" si="11">S323*R323</f>
        <v>3785.7640000000001</v>
      </c>
    </row>
    <row r="324" spans="1:20">
      <c r="A324" s="216">
        <v>22172</v>
      </c>
      <c r="B324" s="216">
        <v>916</v>
      </c>
      <c r="C324" s="216">
        <v>24.799999237060501</v>
      </c>
      <c r="D324" s="216">
        <v>1340</v>
      </c>
      <c r="E324" s="216">
        <v>49.700000762939503</v>
      </c>
      <c r="F324" s="216">
        <v>0.54722338914871205</v>
      </c>
      <c r="G324" s="216">
        <v>158.05888366699199</v>
      </c>
      <c r="H324" s="216">
        <v>1344.42016601563</v>
      </c>
      <c r="I324" s="216">
        <v>157.02265930175801</v>
      </c>
      <c r="J324" s="216">
        <v>6.5669031143188503</v>
      </c>
      <c r="K324" s="216">
        <v>0.39308077096939098</v>
      </c>
      <c r="L324" s="216">
        <v>80.474113464355497</v>
      </c>
      <c r="M324" s="216">
        <v>1498</v>
      </c>
      <c r="N324" s="216">
        <v>12283.599609375</v>
      </c>
      <c r="O324" s="216">
        <v>8.1999998092651403</v>
      </c>
      <c r="Q324" s="216">
        <v>0.54000002145767201</v>
      </c>
      <c r="R324" s="192">
        <f>VLOOKUP($A324,'RBSA Weights'!$A$2:$C$1406,3,FALSE)</f>
        <v>1904.288</v>
      </c>
      <c r="S324" s="216">
        <f t="shared" si="10"/>
        <v>0</v>
      </c>
      <c r="T324" s="216">
        <f t="shared" si="11"/>
        <v>0</v>
      </c>
    </row>
    <row r="325" spans="1:20">
      <c r="A325" s="216">
        <v>22177</v>
      </c>
      <c r="B325" s="216">
        <v>2629</v>
      </c>
      <c r="C325" s="216">
        <v>24.299999237060501</v>
      </c>
      <c r="D325" s="216">
        <v>4195</v>
      </c>
      <c r="E325" s="216">
        <v>52.200000762939503</v>
      </c>
      <c r="F325" s="216">
        <v>0.61115092039108299</v>
      </c>
      <c r="G325" s="216">
        <v>374.08996582031301</v>
      </c>
      <c r="H325" s="216">
        <v>4086.044921875</v>
      </c>
      <c r="I325" s="216">
        <v>406.07635498046898</v>
      </c>
      <c r="J325" s="216">
        <v>6.2560973167419398</v>
      </c>
      <c r="K325" s="216">
        <v>0.42823570966720598</v>
      </c>
      <c r="L325" s="216">
        <v>279.693603515625</v>
      </c>
      <c r="M325" s="216">
        <v>4779</v>
      </c>
      <c r="N325" s="216">
        <v>39187.80078125</v>
      </c>
      <c r="O325" s="216">
        <v>16.399999618530298</v>
      </c>
      <c r="Q325" s="216">
        <v>0.55000001192092896</v>
      </c>
      <c r="R325" s="192">
        <f>VLOOKUP($A325,'RBSA Weights'!$A$2:$C$1406,3,FALSE)</f>
        <v>1612.692</v>
      </c>
      <c r="S325" s="216">
        <f t="shared" si="10"/>
        <v>0</v>
      </c>
      <c r="T325" s="216">
        <f t="shared" si="11"/>
        <v>0</v>
      </c>
    </row>
    <row r="326" spans="1:20">
      <c r="A326" s="216">
        <v>22179</v>
      </c>
      <c r="B326" s="216">
        <v>1025</v>
      </c>
      <c r="C326" s="216">
        <v>25.100000381469702</v>
      </c>
      <c r="D326" s="216">
        <v>1622</v>
      </c>
      <c r="E326" s="216">
        <v>50.599998474121101</v>
      </c>
      <c r="F326" s="216">
        <v>0.65465414524078402</v>
      </c>
      <c r="G326" s="216">
        <v>124.285842895508</v>
      </c>
      <c r="H326" s="216">
        <v>1609.38305664063</v>
      </c>
      <c r="I326" s="216">
        <v>143.299560546875</v>
      </c>
      <c r="J326" s="216">
        <v>13.084415435791</v>
      </c>
      <c r="K326" s="216">
        <v>0.60813856124877896</v>
      </c>
      <c r="L326" s="216">
        <v>74.801040649414105</v>
      </c>
      <c r="M326" s="216">
        <v>900</v>
      </c>
      <c r="N326" s="216">
        <v>7380</v>
      </c>
      <c r="O326" s="216">
        <v>8.1999998092651403</v>
      </c>
      <c r="Q326" s="216">
        <v>0.55000001192092896</v>
      </c>
      <c r="R326" s="192">
        <f>VLOOKUP($A326,'RBSA Weights'!$A$2:$C$1406,3,FALSE)</f>
        <v>3785.7640000000001</v>
      </c>
      <c r="S326" s="216">
        <f t="shared" si="10"/>
        <v>1</v>
      </c>
      <c r="T326" s="216">
        <f t="shared" si="11"/>
        <v>3785.7640000000001</v>
      </c>
    </row>
    <row r="327" spans="1:20">
      <c r="A327" s="216">
        <v>22181</v>
      </c>
      <c r="B327" s="216">
        <v>3730</v>
      </c>
      <c r="C327" s="216">
        <v>19.5</v>
      </c>
      <c r="D327" s="216">
        <v>5673</v>
      </c>
      <c r="E327" s="216">
        <v>39</v>
      </c>
      <c r="F327" s="216">
        <v>0.60493624210357699</v>
      </c>
      <c r="G327" s="216">
        <v>618.47216796875</v>
      </c>
      <c r="H327" s="216">
        <v>6593.08544921875</v>
      </c>
      <c r="I327" s="216">
        <v>665.59521484375</v>
      </c>
      <c r="J327" s="216">
        <v>17.143598556518601</v>
      </c>
      <c r="K327" s="216">
        <v>1.3654510974884</v>
      </c>
      <c r="L327" s="216">
        <v>525.12518310546898</v>
      </c>
      <c r="M327" s="216">
        <v>2814</v>
      </c>
      <c r="N327" s="216">
        <v>23074.80078125</v>
      </c>
      <c r="O327" s="216">
        <v>16.399999618530298</v>
      </c>
      <c r="P327" s="216" t="s">
        <v>1090</v>
      </c>
      <c r="Q327" s="216">
        <v>0.62999999523162797</v>
      </c>
      <c r="R327" s="192">
        <f>VLOOKUP($A327,'RBSA Weights'!$A$2:$C$1406,3,FALSE)</f>
        <v>1192.4649999999999</v>
      </c>
      <c r="S327" s="216">
        <f t="shared" si="10"/>
        <v>1</v>
      </c>
      <c r="T327" s="216">
        <f t="shared" si="11"/>
        <v>1192.4649999999999</v>
      </c>
    </row>
    <row r="328" spans="1:20">
      <c r="A328" s="216">
        <v>22191</v>
      </c>
      <c r="B328" s="216">
        <v>535</v>
      </c>
      <c r="C328" s="216">
        <v>25</v>
      </c>
      <c r="D328" s="216">
        <v>850</v>
      </c>
      <c r="E328" s="216">
        <v>50</v>
      </c>
      <c r="F328" s="216">
        <v>0.66792392730712902</v>
      </c>
      <c r="G328" s="216">
        <v>62.321258544921903</v>
      </c>
      <c r="H328" s="216">
        <v>850</v>
      </c>
      <c r="I328" s="216">
        <v>73.189468383789105</v>
      </c>
      <c r="J328" s="216">
        <v>7.0356473922729501</v>
      </c>
      <c r="K328" s="216">
        <v>0.47036772966384899</v>
      </c>
      <c r="L328" s="216">
        <v>56.826694488525398</v>
      </c>
      <c r="M328" s="216">
        <v>884</v>
      </c>
      <c r="N328" s="216">
        <v>7248.7998046875</v>
      </c>
      <c r="O328" s="216">
        <v>16.399999618530298</v>
      </c>
      <c r="Q328" s="216">
        <v>0.62000000476837203</v>
      </c>
      <c r="R328" s="192">
        <f>VLOOKUP($A328,'RBSA Weights'!$A$2:$C$1406,3,FALSE)</f>
        <v>8559.1039999999994</v>
      </c>
      <c r="S328" s="216">
        <f t="shared" si="10"/>
        <v>1</v>
      </c>
      <c r="T328" s="216">
        <f t="shared" si="11"/>
        <v>8559.1039999999994</v>
      </c>
    </row>
    <row r="329" spans="1:20">
      <c r="A329" s="216">
        <v>22215</v>
      </c>
      <c r="B329" s="216">
        <v>548</v>
      </c>
      <c r="C329" s="216">
        <v>25.399999618530298</v>
      </c>
      <c r="D329" s="216">
        <v>883</v>
      </c>
      <c r="E329" s="216">
        <v>49.299999237060497</v>
      </c>
      <c r="F329" s="216">
        <v>0.71934252977371205</v>
      </c>
      <c r="G329" s="216">
        <v>53.484004974365199</v>
      </c>
      <c r="H329" s="216">
        <v>892.00091552734398</v>
      </c>
      <c r="I329" s="216">
        <v>67.451774597167997</v>
      </c>
      <c r="J329" s="216">
        <v>4.0539355278015101</v>
      </c>
      <c r="K329" s="216">
        <v>0.18911167979240401</v>
      </c>
      <c r="L329" s="216">
        <v>41.610874176025398</v>
      </c>
      <c r="M329" s="216">
        <v>1610</v>
      </c>
      <c r="N329" s="216">
        <v>13202</v>
      </c>
      <c r="O329" s="216">
        <v>8.1999998092651403</v>
      </c>
      <c r="Q329" s="216">
        <v>0.64999997615814198</v>
      </c>
      <c r="R329" s="192">
        <f>VLOOKUP($A329,'RBSA Weights'!$A$2:$C$1406,3,FALSE)</f>
        <v>3785.7640000000001</v>
      </c>
      <c r="S329" s="216">
        <f t="shared" si="10"/>
        <v>0</v>
      </c>
      <c r="T329" s="216">
        <f t="shared" si="11"/>
        <v>0</v>
      </c>
    </row>
    <row r="330" spans="1:20">
      <c r="A330" s="216">
        <v>22222</v>
      </c>
      <c r="B330" s="216">
        <v>665</v>
      </c>
      <c r="C330" s="216">
        <v>24.799999237060501</v>
      </c>
      <c r="D330" s="216">
        <v>1120</v>
      </c>
      <c r="E330" s="216">
        <v>50.299999237060497</v>
      </c>
      <c r="F330" s="216">
        <v>0.73716819286346402</v>
      </c>
      <c r="G330" s="216">
        <v>62.355709075927699</v>
      </c>
      <c r="H330" s="216">
        <v>1115.07189941406</v>
      </c>
      <c r="I330" s="216">
        <v>80.607933044433594</v>
      </c>
      <c r="J330" s="216">
        <v>11.2075033187866</v>
      </c>
      <c r="K330" s="216">
        <v>0.48442268371581998</v>
      </c>
      <c r="L330" s="216">
        <v>48.196826934814503</v>
      </c>
      <c r="M330" s="216">
        <v>728</v>
      </c>
      <c r="N330" s="216">
        <v>5969.60009765625</v>
      </c>
      <c r="O330" s="216">
        <v>8.1999998092651403</v>
      </c>
      <c r="Q330" s="216">
        <v>0.62999999523162797</v>
      </c>
      <c r="R330" s="192">
        <f>VLOOKUP($A330,'RBSA Weights'!$A$2:$C$1406,3,FALSE)</f>
        <v>1904.288</v>
      </c>
      <c r="S330" s="216">
        <f t="shared" si="10"/>
        <v>1</v>
      </c>
      <c r="T330" s="216">
        <f t="shared" si="11"/>
        <v>1904.288</v>
      </c>
    </row>
    <row r="331" spans="1:20">
      <c r="A331" s="216">
        <v>22232</v>
      </c>
      <c r="B331" s="216">
        <v>711</v>
      </c>
      <c r="C331" s="216">
        <v>24.899999618530298</v>
      </c>
      <c r="D331" s="216">
        <v>1114</v>
      </c>
      <c r="E331" s="216">
        <v>49.5</v>
      </c>
      <c r="F331" s="216">
        <v>0.65352469682693504</v>
      </c>
      <c r="G331" s="216">
        <v>86.979888916015597</v>
      </c>
      <c r="H331" s="216">
        <v>1121.34106445313</v>
      </c>
      <c r="I331" s="216">
        <v>100.129501342773</v>
      </c>
      <c r="J331" s="216">
        <v>3.15574407577515</v>
      </c>
      <c r="K331" s="216">
        <v>0.144417554140091</v>
      </c>
      <c r="L331" s="216">
        <v>51.316371917724602</v>
      </c>
      <c r="M331" s="216">
        <v>2600</v>
      </c>
      <c r="N331" s="216">
        <v>21320</v>
      </c>
      <c r="O331" s="216">
        <v>8.1999998092651403</v>
      </c>
      <c r="P331" s="216" t="s">
        <v>1129</v>
      </c>
      <c r="Q331" s="216">
        <v>0.54000002145767201</v>
      </c>
      <c r="R331" s="192">
        <f>VLOOKUP($A331,'RBSA Weights'!$A$2:$C$1406,3,FALSE)</f>
        <v>1904.288</v>
      </c>
      <c r="S331" s="216">
        <f t="shared" si="10"/>
        <v>0</v>
      </c>
      <c r="T331" s="216">
        <f t="shared" si="11"/>
        <v>0</v>
      </c>
    </row>
    <row r="332" spans="1:20">
      <c r="A332" s="216">
        <v>22245</v>
      </c>
      <c r="B332" s="216">
        <v>618</v>
      </c>
      <c r="C332" s="216">
        <v>25</v>
      </c>
      <c r="D332" s="216">
        <v>1020</v>
      </c>
      <c r="E332" s="216">
        <v>50</v>
      </c>
      <c r="F332" s="216">
        <v>0.72289043664932295</v>
      </c>
      <c r="G332" s="216">
        <v>60.315788269042997</v>
      </c>
      <c r="H332" s="216">
        <v>1020</v>
      </c>
      <c r="I332" s="216">
        <v>76.442794799804702</v>
      </c>
      <c r="J332" s="216">
        <v>8.4237184524536097</v>
      </c>
      <c r="K332" s="216">
        <v>0.33552768826484702</v>
      </c>
      <c r="L332" s="216">
        <v>40.6279296875</v>
      </c>
      <c r="M332" s="216">
        <v>886</v>
      </c>
      <c r="N332" s="216">
        <v>7265.2001953125</v>
      </c>
      <c r="O332" s="216">
        <v>8.1999998092651403</v>
      </c>
      <c r="Q332" s="216">
        <v>0.56000000238418601</v>
      </c>
      <c r="R332" s="192">
        <f>VLOOKUP($A332,'RBSA Weights'!$A$2:$C$1406,3,FALSE)</f>
        <v>12271.31</v>
      </c>
      <c r="S332" s="216">
        <f t="shared" si="10"/>
        <v>1</v>
      </c>
      <c r="T332" s="216">
        <f t="shared" si="11"/>
        <v>12271.31</v>
      </c>
    </row>
    <row r="333" spans="1:20">
      <c r="A333" s="216">
        <v>22280</v>
      </c>
      <c r="B333" s="216">
        <v>4000</v>
      </c>
      <c r="C333" s="216">
        <v>25</v>
      </c>
      <c r="D333" s="216">
        <v>6200</v>
      </c>
      <c r="E333" s="216">
        <v>50</v>
      </c>
      <c r="F333" s="216">
        <v>0.63226819038391102</v>
      </c>
      <c r="G333" s="216">
        <v>522.62115478515602</v>
      </c>
      <c r="H333" s="216">
        <v>6200</v>
      </c>
      <c r="I333" s="216">
        <v>584.160888671875</v>
      </c>
      <c r="J333" s="216">
        <v>16.697038650512699</v>
      </c>
      <c r="K333" s="216">
        <v>1.1229676008224501</v>
      </c>
      <c r="L333" s="216">
        <v>416.98406982421898</v>
      </c>
      <c r="M333" s="216">
        <v>2717</v>
      </c>
      <c r="N333" s="216">
        <v>22279.400390625</v>
      </c>
      <c r="O333" s="216">
        <v>16.399999618530298</v>
      </c>
      <c r="Q333" s="216">
        <v>0.56999999284744296</v>
      </c>
      <c r="R333" s="192">
        <f>VLOOKUP($A333,'RBSA Weights'!$A$2:$C$1406,3,FALSE)</f>
        <v>12271.31</v>
      </c>
      <c r="S333" s="216">
        <f t="shared" si="10"/>
        <v>1</v>
      </c>
      <c r="T333" s="216">
        <f t="shared" si="11"/>
        <v>12271.31</v>
      </c>
    </row>
    <row r="334" spans="1:20">
      <c r="A334" s="216">
        <v>22284</v>
      </c>
      <c r="B334" s="216">
        <v>752</v>
      </c>
      <c r="C334" s="216">
        <v>25.100000381469702</v>
      </c>
      <c r="D334" s="216">
        <v>1208</v>
      </c>
      <c r="E334" s="216">
        <v>49.700000762939503</v>
      </c>
      <c r="F334" s="216">
        <v>0.69383591413497903</v>
      </c>
      <c r="G334" s="216">
        <v>80.366294860839801</v>
      </c>
      <c r="H334" s="216">
        <v>1213.05456542969</v>
      </c>
      <c r="I334" s="216">
        <v>97.833343505859403</v>
      </c>
      <c r="J334" s="216">
        <v>4.2026557922363299</v>
      </c>
      <c r="K334" s="216">
        <v>0.21874564886093101</v>
      </c>
      <c r="L334" s="216">
        <v>63.138744354247997</v>
      </c>
      <c r="M334" s="216">
        <v>2112</v>
      </c>
      <c r="N334" s="216">
        <v>17318.400390625</v>
      </c>
      <c r="O334" s="216">
        <v>8.1999998092651403</v>
      </c>
      <c r="Q334" s="216">
        <v>0.68000000715255704</v>
      </c>
      <c r="R334" s="192">
        <f>VLOOKUP($A334,'RBSA Weights'!$A$2:$C$1406,3,FALSE)</f>
        <v>1144.6790000000001</v>
      </c>
      <c r="S334" s="216">
        <f t="shared" si="10"/>
        <v>0</v>
      </c>
      <c r="T334" s="216">
        <f t="shared" si="11"/>
        <v>0</v>
      </c>
    </row>
    <row r="335" spans="1:20">
      <c r="A335" s="216">
        <v>22306</v>
      </c>
      <c r="B335" s="216">
        <v>674</v>
      </c>
      <c r="C335" s="216">
        <v>25.100000381469702</v>
      </c>
      <c r="D335" s="216">
        <v>1007</v>
      </c>
      <c r="E335" s="216">
        <v>45.5</v>
      </c>
      <c r="F335" s="216">
        <v>0.67496764659881603</v>
      </c>
      <c r="G335" s="216">
        <v>76.546516418457003</v>
      </c>
      <c r="H335" s="216">
        <v>1073.1865234375</v>
      </c>
      <c r="I335" s="216">
        <v>90.777572631835895</v>
      </c>
      <c r="J335" s="216">
        <v>3.8951313495636</v>
      </c>
      <c r="K335" s="216">
        <v>0.237650737166405</v>
      </c>
      <c r="L335" s="216">
        <v>65.477523803710895</v>
      </c>
      <c r="M335" s="216">
        <v>2016</v>
      </c>
      <c r="N335" s="216">
        <v>16531.19921875</v>
      </c>
      <c r="O335" s="216">
        <v>8.1999998092651403</v>
      </c>
      <c r="Q335" s="216">
        <v>0.75999999046325695</v>
      </c>
      <c r="R335" s="192">
        <f>VLOOKUP($A335,'RBSA Weights'!$A$2:$C$1406,3,FALSE)</f>
        <v>2130.886</v>
      </c>
      <c r="S335" s="216">
        <f t="shared" si="10"/>
        <v>0</v>
      </c>
      <c r="T335" s="216">
        <f t="shared" si="11"/>
        <v>0</v>
      </c>
    </row>
    <row r="336" spans="1:20">
      <c r="A336" s="216">
        <v>22369</v>
      </c>
      <c r="B336" s="216">
        <v>3464</v>
      </c>
      <c r="C336" s="216">
        <v>24.600000381469702</v>
      </c>
      <c r="D336" s="216">
        <v>5399</v>
      </c>
      <c r="E336" s="216">
        <v>49.900001525878899</v>
      </c>
      <c r="F336" s="216">
        <v>0.62746459245681796</v>
      </c>
      <c r="G336" s="216">
        <v>464.31781005859398</v>
      </c>
      <c r="H336" s="216">
        <v>5405.7861328125</v>
      </c>
      <c r="I336" s="216">
        <v>515.547607421875</v>
      </c>
      <c r="J336" s="216">
        <v>18.261558532714801</v>
      </c>
      <c r="K336" s="216">
        <v>1.48309433460236</v>
      </c>
      <c r="L336" s="216">
        <v>439.02554321289102</v>
      </c>
      <c r="M336" s="216">
        <v>2166</v>
      </c>
      <c r="N336" s="216">
        <v>17761.19921875</v>
      </c>
      <c r="O336" s="216">
        <v>16.399999618530298</v>
      </c>
      <c r="Q336" s="216">
        <v>0.68000000715255704</v>
      </c>
      <c r="R336" s="192">
        <f>VLOOKUP($A336,'RBSA Weights'!$A$2:$C$1406,3,FALSE)</f>
        <v>2130.886</v>
      </c>
      <c r="S336" s="216">
        <f t="shared" si="10"/>
        <v>1</v>
      </c>
      <c r="T336" s="216">
        <f t="shared" si="11"/>
        <v>2130.886</v>
      </c>
    </row>
    <row r="337" spans="1:20">
      <c r="A337" s="216">
        <v>22445</v>
      </c>
      <c r="B337" s="216">
        <v>780</v>
      </c>
      <c r="C337" s="216">
        <v>25</v>
      </c>
      <c r="D337" s="216">
        <v>1256</v>
      </c>
      <c r="E337" s="216">
        <v>50</v>
      </c>
      <c r="F337" s="216">
        <v>0.68729043006896995</v>
      </c>
      <c r="G337" s="216">
        <v>85.369712829589801</v>
      </c>
      <c r="H337" s="216">
        <v>1256</v>
      </c>
      <c r="I337" s="216">
        <v>102.985481262207</v>
      </c>
      <c r="J337" s="216">
        <v>5.10569095611572</v>
      </c>
      <c r="K337" s="216">
        <v>0.22647269070148501</v>
      </c>
      <c r="L337" s="216">
        <v>55.7122802734375</v>
      </c>
      <c r="M337" s="216">
        <v>1800</v>
      </c>
      <c r="N337" s="216">
        <v>14760</v>
      </c>
      <c r="O337" s="216">
        <v>8.1999998092651403</v>
      </c>
      <c r="P337" s="216" t="s">
        <v>1091</v>
      </c>
      <c r="Q337" s="216">
        <v>0.56999999284744296</v>
      </c>
      <c r="R337" s="192">
        <f>VLOOKUP($A337,'RBSA Weights'!$A$2:$C$1406,3,FALSE)</f>
        <v>12271.31</v>
      </c>
      <c r="S337" s="216">
        <f t="shared" si="10"/>
        <v>0</v>
      </c>
      <c r="T337" s="216">
        <f t="shared" si="11"/>
        <v>0</v>
      </c>
    </row>
    <row r="338" spans="1:20">
      <c r="A338" s="216">
        <v>22458</v>
      </c>
      <c r="B338" s="216">
        <v>1416</v>
      </c>
      <c r="C338" s="216">
        <v>27.5</v>
      </c>
      <c r="D338" s="216">
        <v>2147</v>
      </c>
      <c r="E338" s="216">
        <v>52.099998474121101</v>
      </c>
      <c r="F338" s="216">
        <v>0.65140730142593395</v>
      </c>
      <c r="G338" s="216">
        <v>163.48255920410199</v>
      </c>
      <c r="H338" s="216">
        <v>2090.22436523438</v>
      </c>
      <c r="I338" s="216">
        <v>187.64620971679699</v>
      </c>
      <c r="J338" s="216">
        <v>4.83691453933716</v>
      </c>
      <c r="K338" s="216">
        <v>0.288478523492813</v>
      </c>
      <c r="L338" s="216">
        <v>124.66310882568401</v>
      </c>
      <c r="M338" s="216">
        <v>3162</v>
      </c>
      <c r="N338" s="216">
        <v>25928.400390625</v>
      </c>
      <c r="O338" s="216">
        <v>8.1999998092651403</v>
      </c>
      <c r="Q338" s="216">
        <v>0.69999998807907104</v>
      </c>
      <c r="R338" s="192">
        <f>VLOOKUP($A338,'RBSA Weights'!$A$2:$C$1406,3,FALSE)</f>
        <v>3785.7640000000001</v>
      </c>
      <c r="S338" s="216">
        <f t="shared" si="10"/>
        <v>0</v>
      </c>
      <c r="T338" s="216">
        <f t="shared" si="11"/>
        <v>0</v>
      </c>
    </row>
    <row r="339" spans="1:20">
      <c r="A339" s="216">
        <v>22493</v>
      </c>
      <c r="B339" s="216">
        <v>1491</v>
      </c>
      <c r="C339" s="216">
        <v>25</v>
      </c>
      <c r="D339" s="216">
        <v>2478</v>
      </c>
      <c r="E339" s="216">
        <v>50</v>
      </c>
      <c r="F339" s="216">
        <v>0.73289591073989901</v>
      </c>
      <c r="G339" s="216">
        <v>140.90718078613301</v>
      </c>
      <c r="H339" s="216">
        <v>2478</v>
      </c>
      <c r="I339" s="216">
        <v>181.07669067382801</v>
      </c>
      <c r="J339" s="216">
        <v>4.6827754974365199</v>
      </c>
      <c r="K339" s="216">
        <v>0.31246751546859702</v>
      </c>
      <c r="L339" s="216">
        <v>165.34947204589801</v>
      </c>
      <c r="M339" s="216">
        <v>3872</v>
      </c>
      <c r="N339" s="216">
        <v>31750.400390625</v>
      </c>
      <c r="O339" s="216">
        <v>24.599998474121101</v>
      </c>
      <c r="Q339" s="216">
        <v>0.62000000476837203</v>
      </c>
      <c r="R339" s="192">
        <f>VLOOKUP($A339,'RBSA Weights'!$A$2:$C$1406,3,FALSE)</f>
        <v>1925.059</v>
      </c>
      <c r="S339" s="216">
        <f t="shared" si="10"/>
        <v>0</v>
      </c>
      <c r="T339" s="216">
        <f t="shared" si="11"/>
        <v>0</v>
      </c>
    </row>
    <row r="340" spans="1:20">
      <c r="A340" s="216">
        <v>22509</v>
      </c>
      <c r="B340" s="216">
        <v>3516</v>
      </c>
      <c r="C340" s="216">
        <v>16.5</v>
      </c>
      <c r="D340" s="216">
        <v>5280</v>
      </c>
      <c r="E340" s="216">
        <v>33.200000762939503</v>
      </c>
      <c r="F340" s="216">
        <v>0.58153349161148105</v>
      </c>
      <c r="G340" s="216">
        <v>688.71759033203102</v>
      </c>
      <c r="H340" s="216">
        <v>6699.60400390625</v>
      </c>
      <c r="I340" s="216">
        <v>717.53210449218795</v>
      </c>
      <c r="J340" s="216">
        <v>32.812244415283203</v>
      </c>
      <c r="K340" s="216">
        <v>1.8010344505310101</v>
      </c>
      <c r="L340" s="216">
        <v>367.73522949218801</v>
      </c>
      <c r="M340" s="216">
        <v>1494</v>
      </c>
      <c r="N340" s="216">
        <v>12250.7998046875</v>
      </c>
      <c r="O340" s="216">
        <v>8.1999998092651403</v>
      </c>
      <c r="P340" s="216" t="s">
        <v>1092</v>
      </c>
      <c r="Q340" s="216">
        <v>0.54000002145767201</v>
      </c>
      <c r="R340" s="192">
        <f>VLOOKUP($A340,'RBSA Weights'!$A$2:$C$1406,3,FALSE)</f>
        <v>2079.9929999999999</v>
      </c>
      <c r="S340" s="216">
        <f t="shared" si="10"/>
        <v>1</v>
      </c>
      <c r="T340" s="216">
        <f t="shared" si="11"/>
        <v>2079.9929999999999</v>
      </c>
    </row>
    <row r="341" spans="1:20">
      <c r="A341" s="216">
        <v>22514</v>
      </c>
      <c r="B341" s="216">
        <v>991</v>
      </c>
      <c r="C341" s="216">
        <v>24.299999237060501</v>
      </c>
      <c r="D341" s="216">
        <v>1539</v>
      </c>
      <c r="E341" s="216">
        <v>50.400001525878899</v>
      </c>
      <c r="F341" s="216">
        <v>0.60337847471237205</v>
      </c>
      <c r="G341" s="216">
        <v>144.55351257324199</v>
      </c>
      <c r="H341" s="216">
        <v>1531.61840820313</v>
      </c>
      <c r="I341" s="216">
        <v>155.23184204101599</v>
      </c>
      <c r="J341" s="216">
        <v>5.8952994346618697</v>
      </c>
      <c r="K341" s="216">
        <v>0.47139906883239702</v>
      </c>
      <c r="L341" s="216">
        <v>122.471054077148</v>
      </c>
      <c r="M341" s="216">
        <v>1901</v>
      </c>
      <c r="N341" s="216">
        <v>15588.2001953125</v>
      </c>
      <c r="O341" s="216">
        <v>16.399999618530298</v>
      </c>
      <c r="Q341" s="216">
        <v>0.62999999523162797</v>
      </c>
      <c r="R341" s="192">
        <f>VLOOKUP($A341,'RBSA Weights'!$A$2:$C$1406,3,FALSE)</f>
        <v>3785.7640000000001</v>
      </c>
      <c r="S341" s="216">
        <f t="shared" si="10"/>
        <v>0</v>
      </c>
      <c r="T341" s="216">
        <f t="shared" si="11"/>
        <v>0</v>
      </c>
    </row>
    <row r="342" spans="1:20">
      <c r="A342" s="216">
        <v>22515</v>
      </c>
      <c r="B342" s="216">
        <v>1096</v>
      </c>
      <c r="C342" s="216">
        <v>25.100000381469702</v>
      </c>
      <c r="D342" s="216">
        <v>2014</v>
      </c>
      <c r="E342" s="216">
        <v>50</v>
      </c>
      <c r="F342" s="216">
        <v>0.88290077447891202</v>
      </c>
      <c r="G342" s="216">
        <v>63.685054779052699</v>
      </c>
      <c r="H342" s="216">
        <v>2014</v>
      </c>
      <c r="I342" s="216">
        <v>100.757843017578</v>
      </c>
      <c r="J342" s="216">
        <v>9.9036197662353498</v>
      </c>
      <c r="K342" s="216">
        <v>0.28684237599372903</v>
      </c>
      <c r="L342" s="216">
        <v>58.332263946533203</v>
      </c>
      <c r="M342" s="216">
        <v>1488</v>
      </c>
      <c r="N342" s="216">
        <v>12201.599609375</v>
      </c>
      <c r="O342" s="216">
        <v>8.1999998092651403</v>
      </c>
      <c r="P342" s="216" t="s">
        <v>1093</v>
      </c>
      <c r="Q342" s="216">
        <v>0.61000001430511497</v>
      </c>
      <c r="R342" s="192">
        <f>VLOOKUP($A342,'RBSA Weights'!$A$2:$C$1406,3,FALSE)</f>
        <v>2079.9929999999999</v>
      </c>
      <c r="S342" s="216">
        <f t="shared" si="10"/>
        <v>1</v>
      </c>
      <c r="T342" s="216">
        <f t="shared" si="11"/>
        <v>2079.9929999999999</v>
      </c>
    </row>
    <row r="343" spans="1:20">
      <c r="A343" s="216">
        <v>22546</v>
      </c>
      <c r="B343" s="216">
        <v>725</v>
      </c>
      <c r="C343" s="216">
        <v>25.200000762939499</v>
      </c>
      <c r="D343" s="216">
        <v>1104</v>
      </c>
      <c r="E343" s="216">
        <v>50.099998474121101</v>
      </c>
      <c r="F343" s="216">
        <v>0.61195820569992099</v>
      </c>
      <c r="G343" s="216">
        <v>100.632774353027</v>
      </c>
      <c r="H343" s="216">
        <v>1102.65100097656</v>
      </c>
      <c r="I343" s="216">
        <v>109.359649658203</v>
      </c>
      <c r="J343" s="216">
        <v>8.9151134490966797</v>
      </c>
      <c r="K343" s="216">
        <v>0.51188910007476796</v>
      </c>
      <c r="L343" s="216">
        <v>63.3121528625488</v>
      </c>
      <c r="M343" s="216">
        <v>905</v>
      </c>
      <c r="N343" s="216">
        <v>7421</v>
      </c>
      <c r="O343" s="216">
        <v>8.1999998092651403</v>
      </c>
      <c r="Q343" s="216">
        <v>0.61000001430511497</v>
      </c>
      <c r="R343" s="192">
        <f>VLOOKUP($A343,'RBSA Weights'!$A$2:$C$1406,3,FALSE)</f>
        <v>2079.9929999999999</v>
      </c>
      <c r="S343" s="216">
        <f t="shared" si="10"/>
        <v>1</v>
      </c>
      <c r="T343" s="216">
        <f t="shared" si="11"/>
        <v>2079.9929999999999</v>
      </c>
    </row>
    <row r="344" spans="1:20">
      <c r="A344" s="216">
        <v>22557</v>
      </c>
      <c r="B344" s="216">
        <v>930</v>
      </c>
      <c r="C344" s="216">
        <v>24.799999237060501</v>
      </c>
      <c r="D344" s="216">
        <v>1470</v>
      </c>
      <c r="E344" s="216">
        <v>50</v>
      </c>
      <c r="F344" s="216">
        <v>0.65294718742370605</v>
      </c>
      <c r="G344" s="216">
        <v>114.28247833252</v>
      </c>
      <c r="H344" s="216">
        <v>1470</v>
      </c>
      <c r="I344" s="216">
        <v>131.45440673828099</v>
      </c>
      <c r="J344" s="216">
        <v>7.0209512710571298</v>
      </c>
      <c r="K344" s="216">
        <v>0.303895354270935</v>
      </c>
      <c r="L344" s="216">
        <v>63.6275825500488</v>
      </c>
      <c r="M344" s="216">
        <v>1532</v>
      </c>
      <c r="N344" s="216">
        <v>12562.400390625</v>
      </c>
      <c r="O344" s="216">
        <v>8.1999998092651403</v>
      </c>
      <c r="Q344" s="216">
        <v>0.50999999046325695</v>
      </c>
      <c r="R344" s="192">
        <f>VLOOKUP($A344,'RBSA Weights'!$A$2:$C$1406,3,FALSE)</f>
        <v>2079.9929999999999</v>
      </c>
      <c r="S344" s="216">
        <f t="shared" si="10"/>
        <v>1</v>
      </c>
      <c r="T344" s="216">
        <f t="shared" si="11"/>
        <v>2079.9929999999999</v>
      </c>
    </row>
    <row r="345" spans="1:20">
      <c r="A345" s="216">
        <v>22576</v>
      </c>
      <c r="B345" s="216">
        <v>1565</v>
      </c>
      <c r="C345" s="216">
        <v>25.399999618530298</v>
      </c>
      <c r="D345" s="216">
        <v>2570</v>
      </c>
      <c r="E345" s="216">
        <v>51</v>
      </c>
      <c r="F345" s="216">
        <v>0.71157199144363403</v>
      </c>
      <c r="G345" s="216">
        <v>156.62966918945301</v>
      </c>
      <c r="H345" s="216">
        <v>2534.04028320313</v>
      </c>
      <c r="I345" s="216">
        <v>195.41825866699199</v>
      </c>
      <c r="J345" s="216">
        <v>7.7645554542541504</v>
      </c>
      <c r="K345" s="216">
        <v>0.389927297830582</v>
      </c>
      <c r="L345" s="216">
        <v>127.256675720215</v>
      </c>
      <c r="M345" s="216">
        <v>2388</v>
      </c>
      <c r="N345" s="216">
        <v>19581.599609375</v>
      </c>
      <c r="O345" s="216">
        <v>16.399999618530298</v>
      </c>
      <c r="Q345" s="216">
        <v>0.519999980926514</v>
      </c>
      <c r="R345" s="192">
        <f>VLOOKUP($A345,'RBSA Weights'!$A$2:$C$1406,3,FALSE)</f>
        <v>2079.9929999999999</v>
      </c>
      <c r="S345" s="216">
        <f t="shared" si="10"/>
        <v>1</v>
      </c>
      <c r="T345" s="216">
        <f t="shared" si="11"/>
        <v>2079.9929999999999</v>
      </c>
    </row>
    <row r="346" spans="1:20">
      <c r="A346" s="216">
        <v>22580</v>
      </c>
      <c r="B346" s="216">
        <v>2891</v>
      </c>
      <c r="C346" s="216">
        <v>25.399999618530298</v>
      </c>
      <c r="D346" s="216">
        <v>4355</v>
      </c>
      <c r="E346" s="216">
        <v>50.200000762939503</v>
      </c>
      <c r="F346" s="216">
        <v>0.60141301155090299</v>
      </c>
      <c r="G346" s="216">
        <v>413.20236206054699</v>
      </c>
      <c r="H346" s="216">
        <v>4344.556640625</v>
      </c>
      <c r="I346" s="216">
        <v>442.51867675781301</v>
      </c>
      <c r="J346" s="216">
        <v>18.460765838623001</v>
      </c>
      <c r="K346" s="216">
        <v>1.3422172069549601</v>
      </c>
      <c r="L346" s="216">
        <v>315.87741088867199</v>
      </c>
      <c r="M346" s="216">
        <v>1722</v>
      </c>
      <c r="N346" s="216">
        <v>14120.400390625</v>
      </c>
      <c r="O346" s="216">
        <v>16.399999618530298</v>
      </c>
      <c r="Q346" s="216">
        <v>0.56999999284744296</v>
      </c>
      <c r="R346" s="192">
        <f>VLOOKUP($A346,'RBSA Weights'!$A$2:$C$1406,3,FALSE)</f>
        <v>12271.31</v>
      </c>
      <c r="S346" s="216">
        <f t="shared" si="10"/>
        <v>1</v>
      </c>
      <c r="T346" s="216">
        <f t="shared" si="11"/>
        <v>12271.31</v>
      </c>
    </row>
    <row r="347" spans="1:20">
      <c r="A347" s="216">
        <v>22597</v>
      </c>
      <c r="B347" s="216">
        <v>950</v>
      </c>
      <c r="C347" s="216">
        <v>25</v>
      </c>
      <c r="D347" s="216">
        <v>1440</v>
      </c>
      <c r="E347" s="216">
        <v>50</v>
      </c>
      <c r="F347" s="216">
        <v>0.60006940364837602</v>
      </c>
      <c r="G347" s="216">
        <v>137.67736816406301</v>
      </c>
      <c r="H347" s="216">
        <v>1439.99987792969</v>
      </c>
      <c r="I347" s="216">
        <v>147.17106628418</v>
      </c>
      <c r="J347" s="216">
        <v>10.411643981933601</v>
      </c>
      <c r="K347" s="216">
        <v>0.47465416789054898</v>
      </c>
      <c r="L347" s="216">
        <v>65.647834777832003</v>
      </c>
      <c r="M347" s="216">
        <v>1012</v>
      </c>
      <c r="N347" s="216">
        <v>8298.400390625</v>
      </c>
      <c r="O347" s="216">
        <v>8.2000007629394496</v>
      </c>
      <c r="Q347" s="216">
        <v>0.46999999880790699</v>
      </c>
      <c r="R347" s="192">
        <f>VLOOKUP($A347,'RBSA Weights'!$A$2:$C$1406,3,FALSE)</f>
        <v>8264.9449999999997</v>
      </c>
      <c r="S347" s="216">
        <f t="shared" si="10"/>
        <v>1</v>
      </c>
      <c r="T347" s="216">
        <f t="shared" si="11"/>
        <v>8264.9449999999997</v>
      </c>
    </row>
    <row r="348" spans="1:20">
      <c r="A348" s="216">
        <v>22607</v>
      </c>
      <c r="B348" s="216">
        <v>1050</v>
      </c>
      <c r="C348" s="216">
        <v>25</v>
      </c>
      <c r="D348" s="216">
        <v>1710</v>
      </c>
      <c r="E348" s="216">
        <v>50</v>
      </c>
      <c r="F348" s="216">
        <v>0.70360702276229903</v>
      </c>
      <c r="G348" s="216">
        <v>109.04076385498</v>
      </c>
      <c r="H348" s="216">
        <v>1710</v>
      </c>
      <c r="I348" s="216">
        <v>134.55029296875</v>
      </c>
      <c r="J348" s="216">
        <v>10.5056209564209</v>
      </c>
      <c r="K348" s="216">
        <v>0.43933764100074801</v>
      </c>
      <c r="L348" s="216">
        <v>71.510986328125</v>
      </c>
      <c r="M348" s="216">
        <v>1191</v>
      </c>
      <c r="N348" s="216">
        <v>9766.2001953125</v>
      </c>
      <c r="O348" s="216">
        <v>8.1999998092651403</v>
      </c>
      <c r="P348" s="216" t="s">
        <v>1094</v>
      </c>
      <c r="Q348" s="216">
        <v>0.56000000238418601</v>
      </c>
      <c r="R348" s="192">
        <f>VLOOKUP($A348,'RBSA Weights'!$A$2:$C$1406,3,FALSE)</f>
        <v>1612.692</v>
      </c>
      <c r="S348" s="216">
        <f t="shared" si="10"/>
        <v>1</v>
      </c>
      <c r="T348" s="216">
        <f t="shared" si="11"/>
        <v>1612.692</v>
      </c>
    </row>
    <row r="349" spans="1:20">
      <c r="A349" s="216">
        <v>22612</v>
      </c>
      <c r="B349" s="216">
        <v>651</v>
      </c>
      <c r="C349" s="216">
        <v>24.799999237060501</v>
      </c>
      <c r="D349" s="216">
        <v>1094</v>
      </c>
      <c r="E349" s="216">
        <v>49.700000762939503</v>
      </c>
      <c r="F349" s="216">
        <v>0.74671351909637496</v>
      </c>
      <c r="G349" s="216">
        <v>59.2004585266113</v>
      </c>
      <c r="H349" s="216">
        <v>1098.92724609375</v>
      </c>
      <c r="I349" s="216">
        <v>77.548522949218807</v>
      </c>
      <c r="J349" s="216">
        <v>4.3300652503967303</v>
      </c>
      <c r="K349" s="216">
        <v>0.21428865194320701</v>
      </c>
      <c r="L349" s="216">
        <v>54.384319305419901</v>
      </c>
      <c r="M349" s="216">
        <v>1857</v>
      </c>
      <c r="N349" s="216">
        <v>15227.400390625</v>
      </c>
      <c r="O349" s="216">
        <v>16.399999618530298</v>
      </c>
      <c r="Q349" s="216">
        <v>0.56000000238418601</v>
      </c>
      <c r="R349" s="192">
        <f>VLOOKUP($A349,'RBSA Weights'!$A$2:$C$1406,3,FALSE)</f>
        <v>3785.7640000000001</v>
      </c>
      <c r="S349" s="216">
        <f t="shared" si="10"/>
        <v>0</v>
      </c>
      <c r="T349" s="216">
        <f t="shared" si="11"/>
        <v>0</v>
      </c>
    </row>
    <row r="350" spans="1:20">
      <c r="A350" s="216">
        <v>22615</v>
      </c>
      <c r="B350" s="216">
        <v>802</v>
      </c>
      <c r="C350" s="216">
        <v>25</v>
      </c>
      <c r="D350" s="216">
        <v>1278</v>
      </c>
      <c r="E350" s="216">
        <v>50.400001525878899</v>
      </c>
      <c r="F350" s="216">
        <v>0.66457396745681796</v>
      </c>
      <c r="G350" s="216">
        <v>94.436485290527301</v>
      </c>
      <c r="H350" s="216">
        <v>1271.25024414063</v>
      </c>
      <c r="I350" s="216">
        <v>110.39142608642599</v>
      </c>
      <c r="J350" s="216">
        <v>6.4551219940185502</v>
      </c>
      <c r="K350" s="216">
        <v>0.335157871246338</v>
      </c>
      <c r="L350" s="216">
        <v>66.004875183105497</v>
      </c>
      <c r="M350" s="216">
        <v>1441</v>
      </c>
      <c r="N350" s="216">
        <v>11816.2001953125</v>
      </c>
      <c r="O350" s="216">
        <v>8.1999998092651403</v>
      </c>
      <c r="Q350" s="216">
        <v>0.62999999523162797</v>
      </c>
      <c r="R350" s="192">
        <f>VLOOKUP($A350,'RBSA Weights'!$A$2:$C$1406,3,FALSE)</f>
        <v>2130.886</v>
      </c>
      <c r="S350" s="216">
        <f t="shared" si="10"/>
        <v>0</v>
      </c>
      <c r="T350" s="216">
        <f t="shared" si="11"/>
        <v>0</v>
      </c>
    </row>
    <row r="351" spans="1:20">
      <c r="A351" s="216">
        <v>22618</v>
      </c>
      <c r="B351" s="216">
        <v>1970</v>
      </c>
      <c r="C351" s="216">
        <v>25.200000762939499</v>
      </c>
      <c r="D351" s="216">
        <v>2867</v>
      </c>
      <c r="E351" s="216">
        <v>47.5</v>
      </c>
      <c r="F351" s="216">
        <v>0.59195631742477395</v>
      </c>
      <c r="G351" s="216">
        <v>291.67440795898398</v>
      </c>
      <c r="H351" s="216">
        <v>2955.38696289063</v>
      </c>
      <c r="I351" s="216">
        <v>308.30007934570301</v>
      </c>
      <c r="J351" s="216">
        <v>24.0275363922119</v>
      </c>
      <c r="K351" s="216">
        <v>1.6889897584915201</v>
      </c>
      <c r="L351" s="216">
        <v>207.74572753906301</v>
      </c>
      <c r="M351" s="216">
        <v>900</v>
      </c>
      <c r="N351" s="216">
        <v>7380</v>
      </c>
      <c r="O351" s="216">
        <v>8.1999998092651403</v>
      </c>
      <c r="P351" s="216" t="s">
        <v>1095</v>
      </c>
      <c r="Q351" s="216">
        <v>0.70999997854232799</v>
      </c>
      <c r="R351" s="192">
        <f>VLOOKUP($A351,'RBSA Weights'!$A$2:$C$1406,3,FALSE)</f>
        <v>2130.886</v>
      </c>
      <c r="S351" s="216">
        <f t="shared" si="10"/>
        <v>1</v>
      </c>
      <c r="T351" s="216">
        <f t="shared" si="11"/>
        <v>2130.886</v>
      </c>
    </row>
    <row r="352" spans="1:20">
      <c r="A352" s="216">
        <v>22641</v>
      </c>
      <c r="B352" s="216">
        <v>1874</v>
      </c>
      <c r="C352" s="216">
        <v>24.899999618530298</v>
      </c>
      <c r="D352" s="216">
        <v>2867</v>
      </c>
      <c r="E352" s="216">
        <v>49.5</v>
      </c>
      <c r="F352" s="216">
        <v>0.61881530284881603</v>
      </c>
      <c r="G352" s="216">
        <v>256.31857299804699</v>
      </c>
      <c r="H352" s="216">
        <v>2884.88647460938</v>
      </c>
      <c r="I352" s="216">
        <v>281.20700073242199</v>
      </c>
      <c r="J352" s="216">
        <v>3.2910702228546098</v>
      </c>
      <c r="K352" s="216">
        <v>0.245062306523323</v>
      </c>
      <c r="L352" s="216">
        <v>214.81671142578099</v>
      </c>
      <c r="M352" s="216">
        <v>6414</v>
      </c>
      <c r="N352" s="216">
        <v>52594.80078125</v>
      </c>
      <c r="O352" s="216">
        <v>16.399999618530298</v>
      </c>
      <c r="P352" s="216" t="s">
        <v>1096</v>
      </c>
      <c r="Q352" s="216">
        <v>0.61000001430511497</v>
      </c>
      <c r="R352" s="192">
        <f>VLOOKUP($A352,'RBSA Weights'!$A$2:$C$1406,3,FALSE)</f>
        <v>1144.6790000000001</v>
      </c>
      <c r="S352" s="216">
        <f t="shared" si="10"/>
        <v>0</v>
      </c>
      <c r="T352" s="216">
        <f t="shared" si="11"/>
        <v>0</v>
      </c>
    </row>
    <row r="353" spans="1:20">
      <c r="A353" s="216">
        <v>22673</v>
      </c>
      <c r="B353" s="216">
        <v>1204</v>
      </c>
      <c r="C353" s="216">
        <v>25.100000381469702</v>
      </c>
      <c r="D353" s="216">
        <v>1889</v>
      </c>
      <c r="E353" s="216">
        <v>49.900001525878899</v>
      </c>
      <c r="F353" s="216">
        <v>0.65545535087585405</v>
      </c>
      <c r="G353" s="216">
        <v>145.61390686035199</v>
      </c>
      <c r="H353" s="216">
        <v>1891.48034667969</v>
      </c>
      <c r="I353" s="216">
        <v>168.07705688476599</v>
      </c>
      <c r="J353" s="216">
        <v>4.1636881828308097</v>
      </c>
      <c r="K353" s="216">
        <v>0.21419766545295699</v>
      </c>
      <c r="L353" s="216">
        <v>97.305725097656307</v>
      </c>
      <c r="M353" s="216">
        <v>3324</v>
      </c>
      <c r="N353" s="216">
        <v>27256.80078125</v>
      </c>
      <c r="O353" s="216">
        <v>8.1999998092651403</v>
      </c>
      <c r="Q353" s="216">
        <v>0.61000001430511497</v>
      </c>
      <c r="R353" s="192">
        <f>VLOOKUP($A353,'RBSA Weights'!$A$2:$C$1406,3,FALSE)</f>
        <v>1144.6790000000001</v>
      </c>
      <c r="S353" s="216">
        <f t="shared" si="10"/>
        <v>0</v>
      </c>
      <c r="T353" s="216">
        <f t="shared" si="11"/>
        <v>0</v>
      </c>
    </row>
    <row r="354" spans="1:20">
      <c r="A354" s="216">
        <v>22681</v>
      </c>
      <c r="B354" s="216">
        <v>1093</v>
      </c>
      <c r="C354" s="216">
        <v>24.700000762939499</v>
      </c>
      <c r="D354" s="216">
        <v>1683</v>
      </c>
      <c r="E354" s="216">
        <v>50.099998474121101</v>
      </c>
      <c r="F354" s="216">
        <v>0.61035197973251298</v>
      </c>
      <c r="G354" s="216">
        <v>154.37777709960901</v>
      </c>
      <c r="H354" s="216">
        <v>1680.94885253906</v>
      </c>
      <c r="I354" s="216">
        <v>167.39227294921901</v>
      </c>
      <c r="J354" s="216">
        <v>4.6766638755798304</v>
      </c>
      <c r="K354" s="216">
        <v>0.34992939233779902</v>
      </c>
      <c r="L354" s="216">
        <v>125.776290893555</v>
      </c>
      <c r="M354" s="216">
        <v>2630</v>
      </c>
      <c r="N354" s="216">
        <v>21566</v>
      </c>
      <c r="O354" s="216">
        <v>16.399999618530298</v>
      </c>
      <c r="Q354" s="216">
        <v>0.60000002384185802</v>
      </c>
      <c r="R354" s="192">
        <f>VLOOKUP($A354,'RBSA Weights'!$A$2:$C$1406,3,FALSE)</f>
        <v>1192.4649999999999</v>
      </c>
      <c r="S354" s="216">
        <f t="shared" si="10"/>
        <v>0</v>
      </c>
      <c r="T354" s="216">
        <f t="shared" si="11"/>
        <v>0</v>
      </c>
    </row>
    <row r="355" spans="1:20">
      <c r="A355" s="216">
        <v>22693</v>
      </c>
      <c r="B355" s="216">
        <v>1785</v>
      </c>
      <c r="C355" s="216">
        <v>25</v>
      </c>
      <c r="D355" s="216">
        <v>2993</v>
      </c>
      <c r="E355" s="216">
        <v>50</v>
      </c>
      <c r="F355" s="216">
        <v>0.74566823244094804</v>
      </c>
      <c r="G355" s="216">
        <v>161.89698791503901</v>
      </c>
      <c r="H355" s="216">
        <v>2993</v>
      </c>
      <c r="I355" s="216">
        <v>211.76681518554699</v>
      </c>
      <c r="J355" s="216">
        <v>12.4431819915771</v>
      </c>
      <c r="K355" s="216">
        <v>0.62844836711883501</v>
      </c>
      <c r="L355" s="216">
        <v>151.16278076171901</v>
      </c>
      <c r="M355" s="216">
        <v>1760</v>
      </c>
      <c r="N355" s="216">
        <v>14432</v>
      </c>
      <c r="O355" s="216">
        <v>16.399999618530298</v>
      </c>
      <c r="P355" s="216" t="s">
        <v>1097</v>
      </c>
      <c r="Q355" s="216">
        <v>0.56999999284744296</v>
      </c>
      <c r="R355" s="192">
        <f>VLOOKUP($A355,'RBSA Weights'!$A$2:$C$1406,3,FALSE)</f>
        <v>12271.31</v>
      </c>
      <c r="S355" s="216">
        <f t="shared" si="10"/>
        <v>1</v>
      </c>
      <c r="T355" s="216">
        <f t="shared" si="11"/>
        <v>12271.31</v>
      </c>
    </row>
    <row r="356" spans="1:20">
      <c r="A356" s="216">
        <v>22699</v>
      </c>
      <c r="B356" s="216">
        <v>1540</v>
      </c>
      <c r="C356" s="216">
        <v>25</v>
      </c>
      <c r="D356" s="216">
        <v>2570</v>
      </c>
      <c r="E356" s="216">
        <v>50</v>
      </c>
      <c r="F356" s="216">
        <v>0.73883801698684703</v>
      </c>
      <c r="G356" s="216">
        <v>142.78070068359401</v>
      </c>
      <c r="H356" s="216">
        <v>2570</v>
      </c>
      <c r="I356" s="216">
        <v>185.00201416015599</v>
      </c>
      <c r="J356" s="216">
        <v>10.6845893859863</v>
      </c>
      <c r="K356" s="216">
        <v>0.57791572809219405</v>
      </c>
      <c r="L356" s="216">
        <v>139.00799560546901</v>
      </c>
      <c r="M356" s="216">
        <v>1760</v>
      </c>
      <c r="N356" s="216">
        <v>14432</v>
      </c>
      <c r="O356" s="216">
        <v>16.399999618530298</v>
      </c>
      <c r="Q356" s="216">
        <v>0.60000002384185802</v>
      </c>
      <c r="R356" s="192">
        <f>VLOOKUP($A356,'RBSA Weights'!$A$2:$C$1406,3,FALSE)</f>
        <v>1612.692</v>
      </c>
      <c r="S356" s="216">
        <f t="shared" si="10"/>
        <v>1</v>
      </c>
      <c r="T356" s="216">
        <f t="shared" si="11"/>
        <v>1612.692</v>
      </c>
    </row>
    <row r="357" spans="1:20">
      <c r="A357" s="216">
        <v>22702</v>
      </c>
      <c r="B357" s="216">
        <v>2633</v>
      </c>
      <c r="C357" s="216">
        <v>25.100000381469702</v>
      </c>
      <c r="D357" s="216">
        <v>4145</v>
      </c>
      <c r="E357" s="216">
        <v>50</v>
      </c>
      <c r="F357" s="216">
        <v>0.65845680236816395</v>
      </c>
      <c r="G357" s="216">
        <v>315.37420654296898</v>
      </c>
      <c r="H357" s="216">
        <v>4145</v>
      </c>
      <c r="I357" s="216">
        <v>365.54324340820301</v>
      </c>
      <c r="J357" s="216">
        <v>8.50750827789307</v>
      </c>
      <c r="K357" s="216">
        <v>0.38451257348060602</v>
      </c>
      <c r="L357" s="216">
        <v>187.34092712402301</v>
      </c>
      <c r="M357" s="216">
        <v>3565</v>
      </c>
      <c r="N357" s="216">
        <v>29233</v>
      </c>
      <c r="O357" s="216">
        <v>8.1999998092651403</v>
      </c>
      <c r="P357" s="216" t="s">
        <v>1098</v>
      </c>
      <c r="Q357" s="216">
        <v>0.54000002145767201</v>
      </c>
      <c r="R357" s="192">
        <f>VLOOKUP($A357,'RBSA Weights'!$A$2:$C$1406,3,FALSE)</f>
        <v>4360.1880000000001</v>
      </c>
      <c r="S357" s="216">
        <f t="shared" si="10"/>
        <v>1</v>
      </c>
      <c r="T357" s="216">
        <f t="shared" si="11"/>
        <v>4360.1880000000001</v>
      </c>
    </row>
    <row r="358" spans="1:20">
      <c r="A358" s="216">
        <v>22705</v>
      </c>
      <c r="B358" s="216">
        <v>1621</v>
      </c>
      <c r="C358" s="216">
        <v>24.899999618530298</v>
      </c>
      <c r="D358" s="216">
        <v>2565</v>
      </c>
      <c r="E358" s="216">
        <v>50.200000762939503</v>
      </c>
      <c r="F358" s="216">
        <v>0.65452045202255205</v>
      </c>
      <c r="G358" s="216">
        <v>197.67056274414099</v>
      </c>
      <c r="H358" s="216">
        <v>2558.306640625</v>
      </c>
      <c r="I358" s="216">
        <v>227.86869812011699</v>
      </c>
      <c r="J358" s="216">
        <v>5.2939248085021999</v>
      </c>
      <c r="K358" s="216">
        <v>0.36020669341087302</v>
      </c>
      <c r="L358" s="216">
        <v>174.07107543945301</v>
      </c>
      <c r="M358" s="216">
        <v>3536</v>
      </c>
      <c r="N358" s="216">
        <v>28995.19921875</v>
      </c>
      <c r="O358" s="216">
        <v>16.399999618530298</v>
      </c>
      <c r="Q358" s="216">
        <v>0.61000001430511497</v>
      </c>
      <c r="R358" s="192">
        <f>VLOOKUP($A358,'RBSA Weights'!$A$2:$C$1406,3,FALSE)</f>
        <v>1144.6790000000001</v>
      </c>
      <c r="S358" s="216">
        <f t="shared" si="10"/>
        <v>0</v>
      </c>
      <c r="T358" s="216">
        <f t="shared" si="11"/>
        <v>0</v>
      </c>
    </row>
    <row r="359" spans="1:20">
      <c r="A359" s="216">
        <v>22721</v>
      </c>
      <c r="B359" s="216">
        <v>703</v>
      </c>
      <c r="C359" s="216">
        <v>25</v>
      </c>
      <c r="D359" s="216">
        <v>1097</v>
      </c>
      <c r="E359" s="216">
        <v>49.799999237060497</v>
      </c>
      <c r="F359" s="216">
        <v>0.64570063352584794</v>
      </c>
      <c r="G359" s="216">
        <v>87.963920593261705</v>
      </c>
      <c r="H359" s="216">
        <v>1099.8427734375</v>
      </c>
      <c r="I359" s="216">
        <v>100.169891357422</v>
      </c>
      <c r="J359" s="216">
        <v>9.8261661529540998</v>
      </c>
      <c r="K359" s="216">
        <v>0.51810842752456698</v>
      </c>
      <c r="L359" s="216">
        <v>57.991870880127003</v>
      </c>
      <c r="M359" s="216">
        <v>819</v>
      </c>
      <c r="N359" s="216">
        <v>6715.7998046875</v>
      </c>
      <c r="O359" s="216">
        <v>8.1999998092651403</v>
      </c>
      <c r="Q359" s="216">
        <v>0.61000001430511497</v>
      </c>
      <c r="R359" s="192">
        <f>VLOOKUP($A359,'RBSA Weights'!$A$2:$C$1406,3,FALSE)</f>
        <v>2130.886</v>
      </c>
      <c r="S359" s="216">
        <f t="shared" si="10"/>
        <v>1</v>
      </c>
      <c r="T359" s="216">
        <f t="shared" si="11"/>
        <v>2130.886</v>
      </c>
    </row>
    <row r="360" spans="1:20">
      <c r="A360" s="216">
        <v>22787</v>
      </c>
      <c r="B360" s="216">
        <v>1419</v>
      </c>
      <c r="C360" s="216">
        <v>24.100000381469702</v>
      </c>
      <c r="D360" s="216">
        <v>2291</v>
      </c>
      <c r="E360" s="216">
        <v>49.900001525878899</v>
      </c>
      <c r="F360" s="216">
        <v>0.65818899869918801</v>
      </c>
      <c r="G360" s="216">
        <v>174.72456359863301</v>
      </c>
      <c r="H360" s="216">
        <v>2294.02075195313</v>
      </c>
      <c r="I360" s="216">
        <v>202.44419860839801</v>
      </c>
      <c r="J360" s="216">
        <v>7.1825065612793004</v>
      </c>
      <c r="K360" s="216">
        <v>0.42711266875267001</v>
      </c>
      <c r="L360" s="216">
        <v>136.41551208496099</v>
      </c>
      <c r="M360" s="216">
        <v>2337</v>
      </c>
      <c r="N360" s="216">
        <v>19163.400390625</v>
      </c>
      <c r="O360" s="216">
        <v>8.1999998092651403</v>
      </c>
      <c r="Q360" s="216">
        <v>0.70999997854232799</v>
      </c>
      <c r="R360" s="192">
        <f>VLOOKUP($A360,'RBSA Weights'!$A$2:$C$1406,3,FALSE)</f>
        <v>3785.7640000000001</v>
      </c>
      <c r="S360" s="216">
        <f t="shared" si="10"/>
        <v>1</v>
      </c>
      <c r="T360" s="216">
        <f t="shared" si="11"/>
        <v>3785.7640000000001</v>
      </c>
    </row>
    <row r="361" spans="1:20">
      <c r="A361" s="216">
        <v>22822</v>
      </c>
      <c r="B361" s="216">
        <v>583</v>
      </c>
      <c r="C361" s="216">
        <v>25.200000762939499</v>
      </c>
      <c r="D361" s="216">
        <v>916</v>
      </c>
      <c r="E361" s="216">
        <v>50.099998474121101</v>
      </c>
      <c r="F361" s="216">
        <v>0.657515048980713</v>
      </c>
      <c r="G361" s="216">
        <v>69.859680175781307</v>
      </c>
      <c r="H361" s="216">
        <v>914.79742431640602</v>
      </c>
      <c r="I361" s="216">
        <v>80.867156982421903</v>
      </c>
      <c r="J361" s="216">
        <v>9.7150068283081108</v>
      </c>
      <c r="K361" s="216">
        <v>0.48903703689575201</v>
      </c>
      <c r="L361" s="216">
        <v>46.049354553222699</v>
      </c>
      <c r="M361" s="216">
        <v>689</v>
      </c>
      <c r="N361" s="216">
        <v>5649.7998046875</v>
      </c>
      <c r="O361" s="216">
        <v>8.1999998092651403</v>
      </c>
      <c r="Q361" s="216">
        <v>0.60000002384185802</v>
      </c>
      <c r="R361" s="192">
        <f>VLOOKUP($A361,'RBSA Weights'!$A$2:$C$1406,3,FALSE)</f>
        <v>1904.288</v>
      </c>
      <c r="S361" s="216">
        <f t="shared" si="10"/>
        <v>1</v>
      </c>
      <c r="T361" s="216">
        <f t="shared" si="11"/>
        <v>1904.288</v>
      </c>
    </row>
    <row r="362" spans="1:20">
      <c r="A362" s="216">
        <v>22833</v>
      </c>
      <c r="B362" s="216">
        <v>456</v>
      </c>
      <c r="C362" s="216">
        <v>25.100000381469702</v>
      </c>
      <c r="D362" s="216">
        <v>776</v>
      </c>
      <c r="E362" s="216">
        <v>51.299999237060497</v>
      </c>
      <c r="F362" s="216">
        <v>0.74376428127288796</v>
      </c>
      <c r="G362" s="216">
        <v>41.489433288574197</v>
      </c>
      <c r="H362" s="216">
        <v>761.32604980468795</v>
      </c>
      <c r="I362" s="216">
        <v>54.126548767089801</v>
      </c>
      <c r="J362" s="216">
        <v>2.1591777801513699</v>
      </c>
      <c r="K362" s="216">
        <v>8.7413676083087893E-2</v>
      </c>
      <c r="L362" s="216">
        <v>30.822063446044901</v>
      </c>
      <c r="M362" s="216">
        <v>2580</v>
      </c>
      <c r="N362" s="216">
        <v>21156</v>
      </c>
      <c r="O362" s="216">
        <v>8.1999998092651403</v>
      </c>
      <c r="Q362" s="216">
        <v>0.60000002384185802</v>
      </c>
      <c r="R362" s="192">
        <f>VLOOKUP($A362,'RBSA Weights'!$A$2:$C$1406,3,FALSE)</f>
        <v>3785.7640000000001</v>
      </c>
      <c r="S362" s="216">
        <f t="shared" si="10"/>
        <v>0</v>
      </c>
      <c r="T362" s="216">
        <f t="shared" si="11"/>
        <v>0</v>
      </c>
    </row>
    <row r="363" spans="1:20">
      <c r="A363" s="216">
        <v>22878</v>
      </c>
      <c r="B363" s="216">
        <v>1281</v>
      </c>
      <c r="C363" s="216">
        <v>25.299999237060501</v>
      </c>
      <c r="D363" s="216">
        <v>2026</v>
      </c>
      <c r="E363" s="216">
        <v>50.299999237060497</v>
      </c>
      <c r="F363" s="216">
        <v>0.667086601257324</v>
      </c>
      <c r="G363" s="216">
        <v>148.43838500976599</v>
      </c>
      <c r="H363" s="216">
        <v>2017.93115234375</v>
      </c>
      <c r="I363" s="216">
        <v>174.12232971191401</v>
      </c>
      <c r="J363" s="216">
        <v>3.9175775051116899</v>
      </c>
      <c r="K363" s="216">
        <v>0.34850770235061601</v>
      </c>
      <c r="L363" s="216">
        <v>179.51515197753901</v>
      </c>
      <c r="M363" s="216">
        <v>3769</v>
      </c>
      <c r="N363" s="216">
        <v>30905.80078125</v>
      </c>
      <c r="O363" s="216">
        <v>24.599998474121101</v>
      </c>
      <c r="Q363" s="216">
        <v>0.69999998807907104</v>
      </c>
      <c r="R363" s="192">
        <f>VLOOKUP($A363,'RBSA Weights'!$A$2:$C$1406,3,FALSE)</f>
        <v>3785.7640000000001</v>
      </c>
      <c r="S363" s="216">
        <f t="shared" si="10"/>
        <v>0</v>
      </c>
      <c r="T363" s="216">
        <f t="shared" si="11"/>
        <v>0</v>
      </c>
    </row>
    <row r="364" spans="1:20">
      <c r="A364" s="216">
        <v>22890</v>
      </c>
      <c r="B364" s="216">
        <v>942</v>
      </c>
      <c r="C364" s="216">
        <v>25.799999237060501</v>
      </c>
      <c r="D364" s="216">
        <v>1449</v>
      </c>
      <c r="E364" s="216">
        <v>49.700000762939503</v>
      </c>
      <c r="F364" s="216">
        <v>0.65680849552154497</v>
      </c>
      <c r="G364" s="216">
        <v>111.40048980712901</v>
      </c>
      <c r="H364" s="216">
        <v>1454.73889160156</v>
      </c>
      <c r="I364" s="216">
        <v>128.82711791992199</v>
      </c>
      <c r="J364" s="216">
        <v>5.3355541229248002</v>
      </c>
      <c r="K364" s="216">
        <v>0.35503011941909801</v>
      </c>
      <c r="L364" s="216">
        <v>96.798957824707003</v>
      </c>
      <c r="M364" s="216">
        <v>1995</v>
      </c>
      <c r="N364" s="216">
        <v>16359</v>
      </c>
      <c r="O364" s="216">
        <v>16.399999618530298</v>
      </c>
      <c r="Q364" s="216">
        <v>0.60000002384185802</v>
      </c>
      <c r="R364" s="192">
        <f>VLOOKUP($A364,'RBSA Weights'!$A$2:$C$1406,3,FALSE)</f>
        <v>1904.288</v>
      </c>
      <c r="S364" s="216">
        <f t="shared" si="10"/>
        <v>0</v>
      </c>
      <c r="T364" s="216">
        <f t="shared" si="11"/>
        <v>0</v>
      </c>
    </row>
    <row r="365" spans="1:20">
      <c r="A365" s="216">
        <v>22903</v>
      </c>
      <c r="B365" s="216">
        <v>1077</v>
      </c>
      <c r="C365" s="216">
        <v>24.899999618530298</v>
      </c>
      <c r="D365" s="216">
        <v>1701</v>
      </c>
      <c r="E365" s="216">
        <v>49.799999237060497</v>
      </c>
      <c r="F365" s="216">
        <v>0.65936487913131703</v>
      </c>
      <c r="G365" s="216">
        <v>129.30368041992199</v>
      </c>
      <c r="H365" s="216">
        <v>1705.50122070313</v>
      </c>
      <c r="I365" s="216">
        <v>150.06182861328099</v>
      </c>
      <c r="J365" s="216">
        <v>5.24780368804932</v>
      </c>
      <c r="K365" s="216">
        <v>0.236640810966492</v>
      </c>
      <c r="L365" s="216">
        <v>76.906684875488295</v>
      </c>
      <c r="M365" s="216">
        <v>2378</v>
      </c>
      <c r="N365" s="216">
        <v>19499.599609375</v>
      </c>
      <c r="O365" s="216">
        <v>8.1999998092651403</v>
      </c>
      <c r="Q365" s="216">
        <v>0.54000002145767201</v>
      </c>
      <c r="R365" s="192">
        <f>VLOOKUP($A365,'RBSA Weights'!$A$2:$C$1406,3,FALSE)</f>
        <v>1904.288</v>
      </c>
      <c r="S365" s="216">
        <f t="shared" si="10"/>
        <v>0</v>
      </c>
      <c r="T365" s="216">
        <f t="shared" si="11"/>
        <v>0</v>
      </c>
    </row>
    <row r="366" spans="1:20">
      <c r="A366" s="216">
        <v>22919</v>
      </c>
      <c r="B366" s="216">
        <v>1240</v>
      </c>
      <c r="C366" s="216">
        <v>24.600000381469702</v>
      </c>
      <c r="D366" s="216">
        <v>2110</v>
      </c>
      <c r="E366" s="216">
        <v>51</v>
      </c>
      <c r="F366" s="216">
        <v>0.72910678386688199</v>
      </c>
      <c r="G366" s="216">
        <v>120.027694702148</v>
      </c>
      <c r="H366" s="216">
        <v>2079.75415039063</v>
      </c>
      <c r="I366" s="216">
        <v>153.43682861328099</v>
      </c>
      <c r="J366" s="216">
        <v>7.7641396522521999</v>
      </c>
      <c r="K366" s="216">
        <v>0.37301504611969</v>
      </c>
      <c r="L366" s="216">
        <v>99.918296813964801</v>
      </c>
      <c r="M366" s="216">
        <v>1960</v>
      </c>
      <c r="N366" s="216">
        <v>16072</v>
      </c>
      <c r="O366" s="216">
        <v>16.399999618530298</v>
      </c>
      <c r="Q366" s="216">
        <v>0.519999980926514</v>
      </c>
      <c r="R366" s="192">
        <f>VLOOKUP($A366,'RBSA Weights'!$A$2:$C$1406,3,FALSE)</f>
        <v>2079.9929999999999</v>
      </c>
      <c r="S366" s="216">
        <f t="shared" si="10"/>
        <v>1</v>
      </c>
      <c r="T366" s="216">
        <f t="shared" si="11"/>
        <v>2079.9929999999999</v>
      </c>
    </row>
    <row r="367" spans="1:20">
      <c r="A367" s="216">
        <v>22938</v>
      </c>
      <c r="B367" s="216">
        <v>1300</v>
      </c>
      <c r="C367" s="216">
        <v>25.100000381469702</v>
      </c>
      <c r="D367" s="216">
        <v>2050</v>
      </c>
      <c r="E367" s="216">
        <v>49.799999237060497</v>
      </c>
      <c r="F367" s="216">
        <v>0.66478502750396695</v>
      </c>
      <c r="G367" s="216">
        <v>152.56721496582</v>
      </c>
      <c r="H367" s="216">
        <v>2055.46948242188</v>
      </c>
      <c r="I367" s="216">
        <v>178.39546203613301</v>
      </c>
      <c r="J367" s="216">
        <v>8.0213441848754901</v>
      </c>
      <c r="K367" s="216">
        <v>0.49694335460662797</v>
      </c>
      <c r="L367" s="216">
        <v>127.34173583984401</v>
      </c>
      <c r="M367" s="216">
        <v>1875</v>
      </c>
      <c r="N367" s="216">
        <v>15375</v>
      </c>
      <c r="O367" s="216">
        <v>16.399999618530298</v>
      </c>
      <c r="Q367" s="216">
        <v>0.56999999284744296</v>
      </c>
      <c r="R367" s="192">
        <f>VLOOKUP($A367,'RBSA Weights'!$A$2:$C$1406,3,FALSE)</f>
        <v>12271.31</v>
      </c>
      <c r="S367" s="216">
        <f t="shared" si="10"/>
        <v>1</v>
      </c>
      <c r="T367" s="216">
        <f t="shared" si="11"/>
        <v>12271.31</v>
      </c>
    </row>
    <row r="368" spans="1:20">
      <c r="A368" s="216">
        <v>22965</v>
      </c>
      <c r="B368" s="216">
        <v>1315</v>
      </c>
      <c r="C368" s="216">
        <v>25.600000381469702</v>
      </c>
      <c r="D368" s="216">
        <v>2080</v>
      </c>
      <c r="E368" s="216">
        <v>49</v>
      </c>
      <c r="F368" s="216">
        <v>0.70627158880233798</v>
      </c>
      <c r="G368" s="216">
        <v>133.14530944824199</v>
      </c>
      <c r="H368" s="216">
        <v>2109.89135742188</v>
      </c>
      <c r="I368" s="216">
        <v>164.90197753906301</v>
      </c>
      <c r="J368" s="216">
        <v>5.8038458824157697</v>
      </c>
      <c r="K368" s="216">
        <v>0.31243264675140398</v>
      </c>
      <c r="L368" s="216">
        <v>113.57967376709</v>
      </c>
      <c r="M368" s="216">
        <v>2660</v>
      </c>
      <c r="N368" s="216">
        <v>21812</v>
      </c>
      <c r="O368" s="216">
        <v>16.399999618530298</v>
      </c>
      <c r="Q368" s="216">
        <v>0.55000001192092896</v>
      </c>
      <c r="R368" s="192">
        <f>VLOOKUP($A368,'RBSA Weights'!$A$2:$C$1406,3,FALSE)</f>
        <v>1612.692</v>
      </c>
      <c r="S368" s="216">
        <f t="shared" si="10"/>
        <v>0</v>
      </c>
      <c r="T368" s="216">
        <f t="shared" si="11"/>
        <v>0</v>
      </c>
    </row>
    <row r="369" spans="1:20">
      <c r="A369" s="216">
        <v>22977</v>
      </c>
      <c r="B369" s="216">
        <v>1500</v>
      </c>
      <c r="C369" s="216">
        <v>25</v>
      </c>
      <c r="D369" s="216">
        <v>2368</v>
      </c>
      <c r="E369" s="216">
        <v>50</v>
      </c>
      <c r="F369" s="216">
        <v>0.65870660543441795</v>
      </c>
      <c r="G369" s="216">
        <v>179.99436950683599</v>
      </c>
      <c r="H369" s="216">
        <v>2368</v>
      </c>
      <c r="I369" s="216">
        <v>208.69975280761699</v>
      </c>
      <c r="J369" s="216">
        <v>6.1399111747741699</v>
      </c>
      <c r="K369" s="216">
        <v>0.48616173863411</v>
      </c>
      <c r="L369" s="216">
        <v>187.49963378906301</v>
      </c>
      <c r="M369" s="216">
        <v>2822</v>
      </c>
      <c r="N369" s="216">
        <v>23140.400390625</v>
      </c>
      <c r="O369" s="216">
        <v>24.599998474121101</v>
      </c>
      <c r="Q369" s="216">
        <v>0.61000001430511497</v>
      </c>
      <c r="R369" s="192">
        <f>VLOOKUP($A369,'RBSA Weights'!$A$2:$C$1406,3,FALSE)</f>
        <v>1925.059</v>
      </c>
      <c r="S369" s="216">
        <f t="shared" si="10"/>
        <v>0</v>
      </c>
      <c r="T369" s="216">
        <f t="shared" si="11"/>
        <v>0</v>
      </c>
    </row>
    <row r="370" spans="1:20">
      <c r="A370" s="216">
        <v>22993</v>
      </c>
      <c r="B370" s="216">
        <v>599</v>
      </c>
      <c r="C370" s="216">
        <v>25</v>
      </c>
      <c r="D370" s="216">
        <v>950</v>
      </c>
      <c r="E370" s="216">
        <v>50</v>
      </c>
      <c r="F370" s="216">
        <v>0.66537153720855702</v>
      </c>
      <c r="G370" s="216">
        <v>70.352142333984403</v>
      </c>
      <c r="H370" s="216">
        <v>950</v>
      </c>
      <c r="I370" s="216">
        <v>82.329040527343807</v>
      </c>
      <c r="J370" s="216">
        <v>4.4106721878051802</v>
      </c>
      <c r="K370" s="216">
        <v>0.28242185711860701</v>
      </c>
      <c r="L370" s="216">
        <v>60.829906463622997</v>
      </c>
      <c r="M370" s="216">
        <v>1576</v>
      </c>
      <c r="N370" s="216">
        <v>12923.2001953125</v>
      </c>
      <c r="O370" s="216">
        <v>16.399999618530298</v>
      </c>
      <c r="Q370" s="216">
        <v>0.58999997377395597</v>
      </c>
      <c r="R370" s="192">
        <f>VLOOKUP($A370,'RBSA Weights'!$A$2:$C$1406,3,FALSE)</f>
        <v>8264.9449999999997</v>
      </c>
      <c r="S370" s="216">
        <f t="shared" si="10"/>
        <v>0</v>
      </c>
      <c r="T370" s="216">
        <f t="shared" si="11"/>
        <v>0</v>
      </c>
    </row>
    <row r="371" spans="1:20">
      <c r="A371" s="216">
        <v>23021</v>
      </c>
      <c r="B371" s="216">
        <v>1081</v>
      </c>
      <c r="C371" s="216">
        <v>10.199999809265099</v>
      </c>
      <c r="D371" s="216">
        <v>1670</v>
      </c>
      <c r="E371" s="216">
        <v>20</v>
      </c>
      <c r="F371" s="216">
        <v>0.64593541622161899</v>
      </c>
      <c r="G371" s="216">
        <v>241.17657470703099</v>
      </c>
      <c r="H371" s="216">
        <v>3018.28344726563</v>
      </c>
      <c r="I371" s="216">
        <v>274.73190307617199</v>
      </c>
      <c r="J371" s="216">
        <v>13.5657253265381</v>
      </c>
      <c r="K371" s="216">
        <v>0.72658073902130105</v>
      </c>
      <c r="L371" s="216">
        <v>161.65937805175801</v>
      </c>
      <c r="M371" s="216">
        <v>1628</v>
      </c>
      <c r="N371" s="216">
        <v>13349.599609375</v>
      </c>
      <c r="O371" s="216">
        <v>8.1999998092651403</v>
      </c>
      <c r="P371" s="216" t="s">
        <v>1099</v>
      </c>
      <c r="Q371" s="216">
        <v>0.62000000476837203</v>
      </c>
      <c r="R371" s="192">
        <f>VLOOKUP($A371,'RBSA Weights'!$A$2:$C$1406,3,FALSE)</f>
        <v>1144.6790000000001</v>
      </c>
      <c r="S371" s="216">
        <f t="shared" si="10"/>
        <v>1</v>
      </c>
      <c r="T371" s="216">
        <f t="shared" si="11"/>
        <v>1144.6790000000001</v>
      </c>
    </row>
    <row r="372" spans="1:20">
      <c r="A372" s="216">
        <v>23028</v>
      </c>
      <c r="B372" s="216">
        <v>1714</v>
      </c>
      <c r="C372" s="216">
        <v>25.100000381469702</v>
      </c>
      <c r="D372" s="216">
        <v>2690</v>
      </c>
      <c r="E372" s="216">
        <v>50.299999237060497</v>
      </c>
      <c r="F372" s="216">
        <v>0.64837759733200095</v>
      </c>
      <c r="G372" s="216">
        <v>212.077072143555</v>
      </c>
      <c r="H372" s="216">
        <v>2679.58666992188</v>
      </c>
      <c r="I372" s="216">
        <v>242.40303039550801</v>
      </c>
      <c r="J372" s="216">
        <v>6.4922952651977504</v>
      </c>
      <c r="K372" s="216">
        <v>0.41923296451568598</v>
      </c>
      <c r="L372" s="216">
        <v>173.03141784668</v>
      </c>
      <c r="M372" s="216">
        <v>3020</v>
      </c>
      <c r="N372" s="216">
        <v>24764</v>
      </c>
      <c r="O372" s="216">
        <v>16.399999618530298</v>
      </c>
      <c r="Q372" s="216">
        <v>0.56999999284744296</v>
      </c>
      <c r="R372" s="192">
        <f>VLOOKUP($A372,'RBSA Weights'!$A$2:$C$1406,3,FALSE)</f>
        <v>12271.31</v>
      </c>
      <c r="S372" s="216">
        <f t="shared" si="10"/>
        <v>0</v>
      </c>
      <c r="T372" s="216">
        <f t="shared" si="11"/>
        <v>0</v>
      </c>
    </row>
    <row r="373" spans="1:20">
      <c r="A373" s="216">
        <v>23029</v>
      </c>
      <c r="B373" s="216">
        <v>3000</v>
      </c>
      <c r="C373" s="216">
        <v>25.100000381469702</v>
      </c>
      <c r="D373" s="216">
        <v>4675</v>
      </c>
      <c r="E373" s="216">
        <v>49.5</v>
      </c>
      <c r="F373" s="216">
        <v>0.65323770046234098</v>
      </c>
      <c r="G373" s="216">
        <v>365.42782592773398</v>
      </c>
      <c r="H373" s="216">
        <v>4705.79345703125</v>
      </c>
      <c r="I373" s="216">
        <v>420.50582885742199</v>
      </c>
      <c r="J373" s="216">
        <v>11.439414024353001</v>
      </c>
      <c r="K373" s="216">
        <v>0.67847031354904197</v>
      </c>
      <c r="L373" s="216">
        <v>279.10006713867199</v>
      </c>
      <c r="M373" s="216">
        <v>3010</v>
      </c>
      <c r="N373" s="216">
        <v>24682</v>
      </c>
      <c r="O373" s="216">
        <v>16.399999618530298</v>
      </c>
      <c r="Q373" s="216">
        <v>0.52999997138977095</v>
      </c>
      <c r="R373" s="192">
        <f>VLOOKUP($A373,'RBSA Weights'!$A$2:$C$1406,3,FALSE)</f>
        <v>1612.692</v>
      </c>
      <c r="S373" s="216">
        <f t="shared" si="10"/>
        <v>1</v>
      </c>
      <c r="T373" s="216">
        <f t="shared" si="11"/>
        <v>1612.692</v>
      </c>
    </row>
    <row r="374" spans="1:20">
      <c r="A374" s="216">
        <v>23049</v>
      </c>
      <c r="B374" s="216">
        <v>2612</v>
      </c>
      <c r="C374" s="216">
        <v>25</v>
      </c>
      <c r="D374" s="216">
        <v>4040</v>
      </c>
      <c r="E374" s="216">
        <v>50</v>
      </c>
      <c r="F374" s="216">
        <v>0.629200398921967</v>
      </c>
      <c r="G374" s="216">
        <v>344.65832519531301</v>
      </c>
      <c r="H374" s="216">
        <v>4040</v>
      </c>
      <c r="I374" s="216">
        <v>383.607666015625</v>
      </c>
      <c r="J374" s="216">
        <v>9.1237583160400408</v>
      </c>
      <c r="K374" s="216">
        <v>0.60754686594009399</v>
      </c>
      <c r="L374" s="216">
        <v>269.02175903320301</v>
      </c>
      <c r="M374" s="216">
        <v>3240</v>
      </c>
      <c r="N374" s="216">
        <v>26568</v>
      </c>
      <c r="O374" s="216">
        <v>16.399999618530298</v>
      </c>
      <c r="Q374" s="216">
        <v>0.56000000238418601</v>
      </c>
      <c r="R374" s="192">
        <f>VLOOKUP($A374,'RBSA Weights'!$A$2:$C$1406,3,FALSE)</f>
        <v>3785.7640000000001</v>
      </c>
      <c r="S374" s="216">
        <f t="shared" si="10"/>
        <v>1</v>
      </c>
      <c r="T374" s="216">
        <f t="shared" si="11"/>
        <v>3785.7640000000001</v>
      </c>
    </row>
    <row r="375" spans="1:20">
      <c r="A375" s="216">
        <v>23110</v>
      </c>
      <c r="B375" s="216">
        <v>454</v>
      </c>
      <c r="C375" s="216">
        <v>25.899999618530298</v>
      </c>
      <c r="D375" s="216">
        <v>742</v>
      </c>
      <c r="E375" s="216">
        <v>50.599998474121101</v>
      </c>
      <c r="F375" s="216">
        <v>0.73353105783462502</v>
      </c>
      <c r="G375" s="216">
        <v>41.721179962158203</v>
      </c>
      <c r="H375" s="216">
        <v>735.53582763671898</v>
      </c>
      <c r="I375" s="216">
        <v>53.662193298339801</v>
      </c>
      <c r="J375" s="216">
        <v>5.3819694519043004</v>
      </c>
      <c r="K375" s="216">
        <v>0.20495976507663699</v>
      </c>
      <c r="L375" s="216">
        <v>28.011167526245099</v>
      </c>
      <c r="M375" s="216">
        <v>1000</v>
      </c>
      <c r="N375" s="216">
        <v>8200</v>
      </c>
      <c r="O375" s="216">
        <v>8.1999998092651403</v>
      </c>
      <c r="P375" s="216" t="s">
        <v>1100</v>
      </c>
      <c r="Q375" s="216">
        <v>0.55000001192092896</v>
      </c>
      <c r="R375" s="192">
        <f>VLOOKUP($A375,'RBSA Weights'!$A$2:$C$1406,3,FALSE)</f>
        <v>3785.7640000000001</v>
      </c>
      <c r="S375" s="216">
        <f t="shared" si="10"/>
        <v>0</v>
      </c>
      <c r="T375" s="216">
        <f t="shared" si="11"/>
        <v>0</v>
      </c>
    </row>
    <row r="376" spans="1:20">
      <c r="A376" s="216">
        <v>23138</v>
      </c>
      <c r="B376" s="216">
        <v>1342</v>
      </c>
      <c r="C376" s="216">
        <v>24.899999618530298</v>
      </c>
      <c r="D376" s="216">
        <v>2129</v>
      </c>
      <c r="E376" s="216">
        <v>50.700000762939503</v>
      </c>
      <c r="F376" s="216">
        <v>0.64902055263519298</v>
      </c>
      <c r="G376" s="216">
        <v>166.56756591796901</v>
      </c>
      <c r="H376" s="216">
        <v>2109.87573242188</v>
      </c>
      <c r="I376" s="216">
        <v>190.5556640625</v>
      </c>
      <c r="J376" s="216">
        <v>6.1165270805358896</v>
      </c>
      <c r="K376" s="216">
        <v>0.293601334095001</v>
      </c>
      <c r="L376" s="216">
        <v>101.276809692383</v>
      </c>
      <c r="M376" s="216">
        <v>2524</v>
      </c>
      <c r="N376" s="216">
        <v>20696.80078125</v>
      </c>
      <c r="O376" s="216">
        <v>8.2000007629394496</v>
      </c>
      <c r="Q376" s="216">
        <v>0.56000000238418601</v>
      </c>
      <c r="R376" s="192">
        <f>VLOOKUP($A376,'RBSA Weights'!$A$2:$C$1406,3,FALSE)</f>
        <v>1904.288</v>
      </c>
      <c r="S376" s="216">
        <f t="shared" si="10"/>
        <v>0</v>
      </c>
      <c r="T376" s="216">
        <f t="shared" si="11"/>
        <v>0</v>
      </c>
    </row>
    <row r="377" spans="1:20">
      <c r="A377" s="216">
        <v>23145</v>
      </c>
      <c r="B377" s="216">
        <v>1033</v>
      </c>
      <c r="C377" s="216">
        <v>25.200000762939499</v>
      </c>
      <c r="D377" s="216">
        <v>1722</v>
      </c>
      <c r="E377" s="216">
        <v>50.099998474121101</v>
      </c>
      <c r="F377" s="216">
        <v>0.74365013837814298</v>
      </c>
      <c r="G377" s="216">
        <v>93.745101928710895</v>
      </c>
      <c r="H377" s="216">
        <v>1719.443359375</v>
      </c>
      <c r="I377" s="216">
        <v>122.27922821044901</v>
      </c>
      <c r="J377" s="216">
        <v>4.5750155448913601</v>
      </c>
      <c r="K377" s="216">
        <v>0.228169471025467</v>
      </c>
      <c r="L377" s="216">
        <v>85.753692626953097</v>
      </c>
      <c r="M377" s="216">
        <v>2750</v>
      </c>
      <c r="N377" s="216">
        <v>22550</v>
      </c>
      <c r="O377" s="216">
        <v>16.399999618530298</v>
      </c>
      <c r="Q377" s="216">
        <v>0.56000000238418601</v>
      </c>
      <c r="R377" s="192">
        <f>VLOOKUP($A377,'RBSA Weights'!$A$2:$C$1406,3,FALSE)</f>
        <v>3785.7640000000001</v>
      </c>
      <c r="S377" s="216">
        <f t="shared" si="10"/>
        <v>0</v>
      </c>
      <c r="T377" s="216">
        <f t="shared" si="11"/>
        <v>0</v>
      </c>
    </row>
    <row r="378" spans="1:20">
      <c r="A378" s="216">
        <v>23151</v>
      </c>
      <c r="B378" s="216">
        <v>1485</v>
      </c>
      <c r="C378" s="216">
        <v>25</v>
      </c>
      <c r="D378" s="216">
        <v>2350</v>
      </c>
      <c r="E378" s="216">
        <v>50</v>
      </c>
      <c r="F378" s="216">
        <v>0.66219782829284701</v>
      </c>
      <c r="G378" s="216">
        <v>176.203125</v>
      </c>
      <c r="H378" s="216">
        <v>2350</v>
      </c>
      <c r="I378" s="216">
        <v>205.29507446289099</v>
      </c>
      <c r="J378" s="216">
        <v>7.3862209320068404</v>
      </c>
      <c r="K378" s="216">
        <v>0.46059572696685802</v>
      </c>
      <c r="L378" s="216">
        <v>146.54313659668</v>
      </c>
      <c r="M378" s="216">
        <v>2328</v>
      </c>
      <c r="N378" s="216">
        <v>19089.599609375</v>
      </c>
      <c r="O378" s="216">
        <v>16.399999618530298</v>
      </c>
      <c r="Q378" s="216">
        <v>0.56999999284744296</v>
      </c>
      <c r="R378" s="192">
        <f>VLOOKUP($A378,'RBSA Weights'!$A$2:$C$1406,3,FALSE)</f>
        <v>12271.31</v>
      </c>
      <c r="S378" s="216">
        <f t="shared" si="10"/>
        <v>1</v>
      </c>
      <c r="T378" s="216">
        <f t="shared" si="11"/>
        <v>12271.31</v>
      </c>
    </row>
    <row r="379" spans="1:20">
      <c r="A379" s="216">
        <v>23178</v>
      </c>
      <c r="B379" s="216">
        <v>577</v>
      </c>
      <c r="C379" s="216">
        <v>25.600000381469702</v>
      </c>
      <c r="D379" s="216">
        <v>912</v>
      </c>
      <c r="E379" s="216">
        <v>50.099998474121101</v>
      </c>
      <c r="F379" s="216">
        <v>0.68182635307312001</v>
      </c>
      <c r="G379" s="216">
        <v>63.241287231445298</v>
      </c>
      <c r="H379" s="216">
        <v>910.75848388671898</v>
      </c>
      <c r="I379" s="216">
        <v>75.715217590332003</v>
      </c>
      <c r="J379" s="216">
        <v>2.8047502040863002</v>
      </c>
      <c r="K379" s="216">
        <v>0.178121387958527</v>
      </c>
      <c r="L379" s="216">
        <v>57.839572906494098</v>
      </c>
      <c r="M379" s="216">
        <v>2376</v>
      </c>
      <c r="N379" s="216">
        <v>19483.19921875</v>
      </c>
      <c r="O379" s="216">
        <v>16.399999618530298</v>
      </c>
      <c r="Q379" s="216">
        <v>0.61000001430511497</v>
      </c>
      <c r="R379" s="192">
        <f>VLOOKUP($A379,'RBSA Weights'!$A$2:$C$1406,3,FALSE)</f>
        <v>3785.7640000000001</v>
      </c>
      <c r="S379" s="216">
        <f t="shared" si="10"/>
        <v>0</v>
      </c>
      <c r="T379" s="216">
        <f t="shared" si="11"/>
        <v>0</v>
      </c>
    </row>
    <row r="380" spans="1:20">
      <c r="A380" s="216">
        <v>23185</v>
      </c>
      <c r="B380" s="216">
        <v>164</v>
      </c>
      <c r="C380" s="216">
        <v>30</v>
      </c>
      <c r="D380" s="216">
        <v>221</v>
      </c>
      <c r="E380" s="216">
        <v>50.099998474121101</v>
      </c>
      <c r="F380" s="216">
        <v>0.58167421817779497</v>
      </c>
      <c r="G380" s="216">
        <v>22.679866790771499</v>
      </c>
      <c r="H380" s="216">
        <v>220.74330139160199</v>
      </c>
      <c r="I380" s="216">
        <v>23.633356094360401</v>
      </c>
      <c r="J380" s="216">
        <v>0.453961461782455</v>
      </c>
      <c r="K380" s="216">
        <v>3.7736415863037102E-2</v>
      </c>
      <c r="L380" s="216">
        <v>18.349708557128899</v>
      </c>
      <c r="M380" s="216">
        <v>3558</v>
      </c>
      <c r="N380" s="216">
        <v>29175.599609375</v>
      </c>
      <c r="O380" s="216">
        <v>16.399999618530298</v>
      </c>
      <c r="Q380" s="216">
        <v>0.62000000476837203</v>
      </c>
      <c r="R380" s="192">
        <f>VLOOKUP($A380,'RBSA Weights'!$A$2:$C$1406,3,FALSE)</f>
        <v>1144.6790000000001</v>
      </c>
      <c r="S380" s="216">
        <f t="shared" si="10"/>
        <v>0</v>
      </c>
      <c r="T380" s="216">
        <f t="shared" si="11"/>
        <v>0</v>
      </c>
    </row>
    <row r="381" spans="1:20">
      <c r="A381" s="216">
        <v>23192</v>
      </c>
      <c r="B381" s="216">
        <v>799</v>
      </c>
      <c r="C381" s="216">
        <v>24.899999618530298</v>
      </c>
      <c r="D381" s="216">
        <v>1299</v>
      </c>
      <c r="E381" s="216">
        <v>49.799999237060497</v>
      </c>
      <c r="F381" s="216">
        <v>0.70113402605056796</v>
      </c>
      <c r="G381" s="216">
        <v>83.873336791992202</v>
      </c>
      <c r="H381" s="216">
        <v>1302.65551757813</v>
      </c>
      <c r="I381" s="216">
        <v>103.140869140625</v>
      </c>
      <c r="J381" s="216">
        <v>3.22014379501343</v>
      </c>
      <c r="K381" s="216">
        <v>0.17241789400577501</v>
      </c>
      <c r="L381" s="216">
        <v>69.748786926269503</v>
      </c>
      <c r="M381" s="216">
        <v>2960</v>
      </c>
      <c r="N381" s="216">
        <v>24272</v>
      </c>
      <c r="O381" s="216">
        <v>16.399999618530298</v>
      </c>
      <c r="Q381" s="216">
        <v>0.54000002145767201</v>
      </c>
      <c r="R381" s="192">
        <f>VLOOKUP($A381,'RBSA Weights'!$A$2:$C$1406,3,FALSE)</f>
        <v>1904.288</v>
      </c>
      <c r="S381" s="216">
        <f t="shared" si="10"/>
        <v>0</v>
      </c>
      <c r="T381" s="216">
        <f t="shared" si="11"/>
        <v>0</v>
      </c>
    </row>
    <row r="382" spans="1:20">
      <c r="A382" s="216">
        <v>23196</v>
      </c>
      <c r="B382" s="216">
        <v>1174</v>
      </c>
      <c r="C382" s="216">
        <v>25.5</v>
      </c>
      <c r="D382" s="216">
        <v>1723</v>
      </c>
      <c r="E382" s="216">
        <v>50</v>
      </c>
      <c r="F382" s="216">
        <v>0.56976807117462203</v>
      </c>
      <c r="G382" s="216">
        <v>185.46690368652301</v>
      </c>
      <c r="H382" s="216">
        <v>1723</v>
      </c>
      <c r="I382" s="216">
        <v>190.10043334960901</v>
      </c>
      <c r="J382" s="216">
        <v>8.3381719589233398</v>
      </c>
      <c r="K382" s="216">
        <v>0.53259694576263406</v>
      </c>
      <c r="L382" s="216">
        <v>110.05583190918</v>
      </c>
      <c r="M382" s="216">
        <v>1512</v>
      </c>
      <c r="N382" s="216">
        <v>12398.400390625</v>
      </c>
      <c r="O382" s="216">
        <v>8.1999998092651403</v>
      </c>
      <c r="Q382" s="216">
        <v>0.61000001430511497</v>
      </c>
      <c r="R382" s="192">
        <f>VLOOKUP($A382,'RBSA Weights'!$A$2:$C$1406,3,FALSE)</f>
        <v>2079.9929999999999</v>
      </c>
      <c r="S382" s="216">
        <f t="shared" si="10"/>
        <v>1</v>
      </c>
      <c r="T382" s="216">
        <f t="shared" si="11"/>
        <v>2079.9929999999999</v>
      </c>
    </row>
    <row r="383" spans="1:20">
      <c r="A383" s="216">
        <v>23267</v>
      </c>
      <c r="B383" s="216">
        <v>915</v>
      </c>
      <c r="C383" s="216">
        <v>25</v>
      </c>
      <c r="D383" s="216">
        <v>1490</v>
      </c>
      <c r="E383" s="216">
        <v>50</v>
      </c>
      <c r="F383" s="216">
        <v>0.70346868038177501</v>
      </c>
      <c r="G383" s="216">
        <v>95.063560485839801</v>
      </c>
      <c r="H383" s="216">
        <v>1490</v>
      </c>
      <c r="I383" s="216">
        <v>117.28070068359401</v>
      </c>
      <c r="J383" s="216">
        <v>4.6492276191711399</v>
      </c>
      <c r="K383" s="216">
        <v>0.238306865096092</v>
      </c>
      <c r="L383" s="216">
        <v>76.373374938964801</v>
      </c>
      <c r="M383" s="216">
        <v>2345</v>
      </c>
      <c r="N383" s="216">
        <v>19229</v>
      </c>
      <c r="O383" s="216">
        <v>16.399999618530298</v>
      </c>
      <c r="Q383" s="216">
        <v>0.519999980926514</v>
      </c>
      <c r="R383" s="192">
        <f>VLOOKUP($A383,'RBSA Weights'!$A$2:$C$1406,3,FALSE)</f>
        <v>8264.9449999999997</v>
      </c>
      <c r="S383" s="216">
        <f t="shared" si="10"/>
        <v>0</v>
      </c>
      <c r="T383" s="216">
        <f t="shared" si="11"/>
        <v>0</v>
      </c>
    </row>
    <row r="384" spans="1:20">
      <c r="A384" s="216">
        <v>23278</v>
      </c>
      <c r="B384" s="216">
        <v>860</v>
      </c>
      <c r="C384" s="216">
        <v>25.700000762939499</v>
      </c>
      <c r="D384" s="216">
        <v>1350</v>
      </c>
      <c r="E384" s="216">
        <v>49.5</v>
      </c>
      <c r="F384" s="216">
        <v>0.68793302774429299</v>
      </c>
      <c r="G384" s="216">
        <v>92.163482666015597</v>
      </c>
      <c r="H384" s="216">
        <v>1359.3662109375</v>
      </c>
      <c r="I384" s="216">
        <v>111.28021240234401</v>
      </c>
      <c r="J384" s="216">
        <v>8.4579772949218803</v>
      </c>
      <c r="K384" s="216">
        <v>0.36141884326934798</v>
      </c>
      <c r="L384" s="216">
        <v>58.087238311767599</v>
      </c>
      <c r="M384" s="216">
        <v>1176</v>
      </c>
      <c r="N384" s="216">
        <v>9643.2001953125</v>
      </c>
      <c r="O384" s="216">
        <v>8.1999998092651403</v>
      </c>
      <c r="Q384" s="216">
        <v>0.55000001192092896</v>
      </c>
      <c r="R384" s="192">
        <f>VLOOKUP($A384,'RBSA Weights'!$A$2:$C$1406,3,FALSE)</f>
        <v>1612.692</v>
      </c>
      <c r="S384" s="216">
        <f t="shared" si="10"/>
        <v>1</v>
      </c>
      <c r="T384" s="216">
        <f t="shared" si="11"/>
        <v>1612.692</v>
      </c>
    </row>
    <row r="385" spans="1:20">
      <c r="A385" s="216">
        <v>23282</v>
      </c>
      <c r="B385" s="216">
        <v>1047</v>
      </c>
      <c r="C385" s="216">
        <v>25.700000762939499</v>
      </c>
      <c r="D385" s="216">
        <v>1627</v>
      </c>
      <c r="E385" s="216">
        <v>49.599998474121101</v>
      </c>
      <c r="F385" s="216">
        <v>0.67043203115463301</v>
      </c>
      <c r="G385" s="216">
        <v>118.763320922852</v>
      </c>
      <c r="H385" s="216">
        <v>1635.78503417969</v>
      </c>
      <c r="I385" s="216">
        <v>139.96026611328099</v>
      </c>
      <c r="J385" s="216">
        <v>3.9012904167175302</v>
      </c>
      <c r="K385" s="216">
        <v>0.205920800566673</v>
      </c>
      <c r="L385" s="216">
        <v>86.341217041015597</v>
      </c>
      <c r="M385" s="216">
        <v>3068</v>
      </c>
      <c r="N385" s="216">
        <v>25157.599609375</v>
      </c>
      <c r="O385" s="216">
        <v>8.1999998092651403</v>
      </c>
      <c r="Q385" s="216">
        <v>0.64999997615814198</v>
      </c>
      <c r="R385" s="192">
        <f>VLOOKUP($A385,'RBSA Weights'!$A$2:$C$1406,3,FALSE)</f>
        <v>3785.7640000000001</v>
      </c>
      <c r="S385" s="216">
        <f t="shared" si="10"/>
        <v>0</v>
      </c>
      <c r="T385" s="216">
        <f t="shared" si="11"/>
        <v>0</v>
      </c>
    </row>
    <row r="386" spans="1:20">
      <c r="A386" s="216">
        <v>23345</v>
      </c>
      <c r="B386" s="216">
        <v>1530</v>
      </c>
      <c r="C386" s="216">
        <v>25</v>
      </c>
      <c r="D386" s="216">
        <v>2175</v>
      </c>
      <c r="E386" s="216">
        <v>49.799999237060497</v>
      </c>
      <c r="F386" s="216">
        <v>0.51043528318405196</v>
      </c>
      <c r="G386" s="216">
        <v>295.89221191406301</v>
      </c>
      <c r="H386" s="216">
        <v>2179.45434570313</v>
      </c>
      <c r="I386" s="216">
        <v>279.3369140625</v>
      </c>
      <c r="J386" s="216">
        <v>5.9107589721679696</v>
      </c>
      <c r="K386" s="216">
        <v>0.493331879377365</v>
      </c>
      <c r="L386" s="216">
        <v>181.90461730957</v>
      </c>
      <c r="M386" s="216">
        <v>2698</v>
      </c>
      <c r="N386" s="216">
        <v>22123.599609375</v>
      </c>
      <c r="O386" s="216">
        <v>16.399999618530298</v>
      </c>
      <c r="Q386" s="216">
        <v>0.519999980926514</v>
      </c>
      <c r="R386" s="192">
        <f>VLOOKUP($A386,'RBSA Weights'!$A$2:$C$1406,3,FALSE)</f>
        <v>2079.9929999999999</v>
      </c>
      <c r="S386" s="216">
        <f t="shared" si="10"/>
        <v>0</v>
      </c>
      <c r="T386" s="216">
        <f t="shared" si="11"/>
        <v>0</v>
      </c>
    </row>
    <row r="387" spans="1:20">
      <c r="A387" s="216">
        <v>23380</v>
      </c>
      <c r="B387" s="216">
        <v>947</v>
      </c>
      <c r="C387" s="216">
        <v>25.5</v>
      </c>
      <c r="D387" s="216">
        <v>1556</v>
      </c>
      <c r="E387" s="216">
        <v>51.200000762939503</v>
      </c>
      <c r="F387" s="216">
        <v>0.71238321065902699</v>
      </c>
      <c r="G387" s="216">
        <v>94.265846252441406</v>
      </c>
      <c r="H387" s="216">
        <v>1529.93176269531</v>
      </c>
      <c r="I387" s="216">
        <v>117.74267578125</v>
      </c>
      <c r="J387" s="216">
        <v>8.6982297897338903</v>
      </c>
      <c r="K387" s="216">
        <v>0.387545496225357</v>
      </c>
      <c r="L387" s="216">
        <v>68.165382385253906</v>
      </c>
      <c r="M387" s="216">
        <v>1287</v>
      </c>
      <c r="N387" s="216">
        <v>10553.400390625</v>
      </c>
      <c r="O387" s="216">
        <v>8.2000007629394496</v>
      </c>
      <c r="Q387" s="216">
        <v>0.61000001430511497</v>
      </c>
      <c r="R387" s="192">
        <f>VLOOKUP($A387,'RBSA Weights'!$A$2:$C$1406,3,FALSE)</f>
        <v>3785.7640000000001</v>
      </c>
      <c r="S387" s="216">
        <f t="shared" ref="S387:S450" si="12">IF(J387&lt;7,0,1)</f>
        <v>1</v>
      </c>
      <c r="T387" s="216">
        <f t="shared" ref="T387:T450" si="13">S387*R387</f>
        <v>3785.7640000000001</v>
      </c>
    </row>
    <row r="388" spans="1:20">
      <c r="A388" s="216">
        <v>23384</v>
      </c>
      <c r="B388" s="216">
        <v>1289</v>
      </c>
      <c r="C388" s="216">
        <v>26.100000381469702</v>
      </c>
      <c r="D388" s="216">
        <v>1872</v>
      </c>
      <c r="E388" s="216">
        <v>49.900001525878899</v>
      </c>
      <c r="F388" s="216">
        <v>0.57575821876525901</v>
      </c>
      <c r="G388" s="216">
        <v>197.06544494628901</v>
      </c>
      <c r="H388" s="216">
        <v>1874.15893554688</v>
      </c>
      <c r="I388" s="216">
        <v>203.67304992675801</v>
      </c>
      <c r="J388" s="216">
        <v>15.8170223236084</v>
      </c>
      <c r="K388" s="216">
        <v>0.84831142425537098</v>
      </c>
      <c r="L388" s="216">
        <v>100.51641845703099</v>
      </c>
      <c r="M388" s="216">
        <v>867</v>
      </c>
      <c r="N388" s="216">
        <v>7109.39990234375</v>
      </c>
      <c r="O388" s="216">
        <v>8.1999998092651403</v>
      </c>
      <c r="Q388" s="216">
        <v>0.519999980926514</v>
      </c>
      <c r="R388" s="192">
        <f>VLOOKUP($A388,'RBSA Weights'!$A$2:$C$1406,3,FALSE)</f>
        <v>8264.9449999999997</v>
      </c>
      <c r="S388" s="216">
        <f t="shared" si="12"/>
        <v>1</v>
      </c>
      <c r="T388" s="216">
        <f t="shared" si="13"/>
        <v>8264.9449999999997</v>
      </c>
    </row>
    <row r="389" spans="1:20">
      <c r="A389" s="216">
        <v>23387</v>
      </c>
      <c r="B389" s="216">
        <v>1263</v>
      </c>
      <c r="C389" s="216">
        <v>25.100000381469702</v>
      </c>
      <c r="D389" s="216">
        <v>1890</v>
      </c>
      <c r="E389" s="216">
        <v>50.099998474121101</v>
      </c>
      <c r="F389" s="216">
        <v>0.58320939540863004</v>
      </c>
      <c r="G389" s="216">
        <v>192.79708862304699</v>
      </c>
      <c r="H389" s="216">
        <v>1887.79895019531</v>
      </c>
      <c r="I389" s="216">
        <v>201.33052062988301</v>
      </c>
      <c r="J389" s="216">
        <v>3.73328733444214</v>
      </c>
      <c r="K389" s="216">
        <v>0.219166100025177</v>
      </c>
      <c r="L389" s="216">
        <v>110.824989318848</v>
      </c>
      <c r="M389" s="216">
        <v>3700</v>
      </c>
      <c r="N389" s="216">
        <v>30340</v>
      </c>
      <c r="O389" s="216">
        <v>8.1999998092651403</v>
      </c>
      <c r="Q389" s="216">
        <v>0.57999998331069902</v>
      </c>
      <c r="R389" s="192">
        <f>VLOOKUP($A389,'RBSA Weights'!$A$2:$C$1406,3,FALSE)</f>
        <v>1144.6790000000001</v>
      </c>
      <c r="S389" s="216">
        <f t="shared" si="12"/>
        <v>0</v>
      </c>
      <c r="T389" s="216">
        <f t="shared" si="13"/>
        <v>0</v>
      </c>
    </row>
    <row r="390" spans="1:20">
      <c r="A390" s="216">
        <v>23391</v>
      </c>
      <c r="B390" s="216">
        <v>835</v>
      </c>
      <c r="C390" s="216">
        <v>25</v>
      </c>
      <c r="D390" s="216">
        <v>1376</v>
      </c>
      <c r="E390" s="216">
        <v>50</v>
      </c>
      <c r="F390" s="216">
        <v>0.72063237428665206</v>
      </c>
      <c r="G390" s="216">
        <v>82.089126586914105</v>
      </c>
      <c r="H390" s="216">
        <v>1376</v>
      </c>
      <c r="I390" s="216">
        <v>103.71263885498</v>
      </c>
      <c r="J390" s="216">
        <v>6.6589236259460396</v>
      </c>
      <c r="K390" s="216">
        <v>0.35197955369949302</v>
      </c>
      <c r="L390" s="216">
        <v>72.733055114746094</v>
      </c>
      <c r="M390" s="216">
        <v>1512</v>
      </c>
      <c r="N390" s="216">
        <v>12398.400390625</v>
      </c>
      <c r="O390" s="216">
        <v>16.399999618530298</v>
      </c>
      <c r="Q390" s="216">
        <v>0.56000000238418601</v>
      </c>
      <c r="R390" s="192">
        <f>VLOOKUP($A390,'RBSA Weights'!$A$2:$C$1406,3,FALSE)</f>
        <v>1612.692</v>
      </c>
      <c r="S390" s="216">
        <f t="shared" si="12"/>
        <v>0</v>
      </c>
      <c r="T390" s="216">
        <f t="shared" si="13"/>
        <v>0</v>
      </c>
    </row>
    <row r="391" spans="1:20">
      <c r="A391" s="216">
        <v>23400</v>
      </c>
      <c r="B391" s="216">
        <v>1561</v>
      </c>
      <c r="C391" s="216">
        <v>24.899999618530298</v>
      </c>
      <c r="D391" s="216">
        <v>2381</v>
      </c>
      <c r="E391" s="216">
        <v>48.599998474121101</v>
      </c>
      <c r="F391" s="216">
        <v>0.63131260871887196</v>
      </c>
      <c r="G391" s="216">
        <v>205.099533081055</v>
      </c>
      <c r="H391" s="216">
        <v>2424.07397460938</v>
      </c>
      <c r="I391" s="216">
        <v>228.94694519043</v>
      </c>
      <c r="J391" s="216">
        <v>16.257677078247099</v>
      </c>
      <c r="K391" s="216">
        <v>1.03467977046967</v>
      </c>
      <c r="L391" s="216">
        <v>154.27420043945301</v>
      </c>
      <c r="M391" s="216">
        <v>1091</v>
      </c>
      <c r="N391" s="216">
        <v>8946.2001953125</v>
      </c>
      <c r="O391" s="216">
        <v>8.1999998092651403</v>
      </c>
      <c r="Q391" s="216">
        <v>0.70999997854232799</v>
      </c>
      <c r="R391" s="192">
        <f>VLOOKUP($A391,'RBSA Weights'!$A$2:$C$1406,3,FALSE)</f>
        <v>3785.7640000000001</v>
      </c>
      <c r="S391" s="216">
        <f t="shared" si="12"/>
        <v>1</v>
      </c>
      <c r="T391" s="216">
        <f t="shared" si="13"/>
        <v>3785.7640000000001</v>
      </c>
    </row>
    <row r="392" spans="1:20">
      <c r="A392" s="216">
        <v>23403</v>
      </c>
      <c r="B392" s="216">
        <v>1725</v>
      </c>
      <c r="C392" s="216">
        <v>24.700000762939499</v>
      </c>
      <c r="D392" s="216">
        <v>2880</v>
      </c>
      <c r="E392" s="216">
        <v>50.099998474121101</v>
      </c>
      <c r="F392" s="216">
        <v>0.72476017475128196</v>
      </c>
      <c r="G392" s="216">
        <v>168.817626953125</v>
      </c>
      <c r="H392" s="216">
        <v>2875.83251953125</v>
      </c>
      <c r="I392" s="216">
        <v>214.51071166992199</v>
      </c>
      <c r="J392" s="216">
        <v>11.362135887146</v>
      </c>
      <c r="K392" s="216">
        <v>0.44239297509193398</v>
      </c>
      <c r="L392" s="216">
        <v>111.972618103027</v>
      </c>
      <c r="M392" s="216">
        <v>1852</v>
      </c>
      <c r="N392" s="216">
        <v>15186.400390625</v>
      </c>
      <c r="O392" s="216">
        <v>8.1999998092651403</v>
      </c>
      <c r="Q392" s="216">
        <v>0.55000001192092896</v>
      </c>
      <c r="R392" s="192">
        <f>VLOOKUP($A392,'RBSA Weights'!$A$2:$C$1406,3,FALSE)</f>
        <v>3785.7640000000001</v>
      </c>
      <c r="S392" s="216">
        <f t="shared" si="12"/>
        <v>1</v>
      </c>
      <c r="T392" s="216">
        <f t="shared" si="13"/>
        <v>3785.7640000000001</v>
      </c>
    </row>
    <row r="393" spans="1:20">
      <c r="A393" s="216">
        <v>23424</v>
      </c>
      <c r="B393" s="216">
        <v>1249</v>
      </c>
      <c r="C393" s="216">
        <v>25.100000381469702</v>
      </c>
      <c r="D393" s="216">
        <v>2021</v>
      </c>
      <c r="E393" s="216">
        <v>50.5</v>
      </c>
      <c r="F393" s="216">
        <v>0.68837851285934404</v>
      </c>
      <c r="G393" s="216">
        <v>135.84921264648401</v>
      </c>
      <c r="H393" s="216">
        <v>2007.20422363281</v>
      </c>
      <c r="I393" s="216">
        <v>164.12864685058599</v>
      </c>
      <c r="J393" s="216">
        <v>5.0505023002624503</v>
      </c>
      <c r="K393" s="216">
        <v>0.42576900124549899</v>
      </c>
      <c r="L393" s="216">
        <v>169.21194458007801</v>
      </c>
      <c r="M393" s="216">
        <v>2908</v>
      </c>
      <c r="N393" s="216">
        <v>23845.599609375</v>
      </c>
      <c r="O393" s="216">
        <v>24.599998474121101</v>
      </c>
      <c r="Q393" s="216">
        <v>0.69999998807907104</v>
      </c>
      <c r="R393" s="192">
        <f>VLOOKUP($A393,'RBSA Weights'!$A$2:$C$1406,3,FALSE)</f>
        <v>3785.7640000000001</v>
      </c>
      <c r="S393" s="216">
        <f t="shared" si="12"/>
        <v>0</v>
      </c>
      <c r="T393" s="216">
        <f t="shared" si="13"/>
        <v>0</v>
      </c>
    </row>
    <row r="394" spans="1:20">
      <c r="A394" s="216">
        <v>23427</v>
      </c>
      <c r="B394" s="216">
        <v>1072</v>
      </c>
      <c r="C394" s="216">
        <v>25</v>
      </c>
      <c r="D394" s="216">
        <v>1745</v>
      </c>
      <c r="E394" s="216">
        <v>50.299999237060497</v>
      </c>
      <c r="F394" s="216">
        <v>0.696907639503479</v>
      </c>
      <c r="G394" s="216">
        <v>113.75217437744099</v>
      </c>
      <c r="H394" s="216">
        <v>1737.74035644531</v>
      </c>
      <c r="I394" s="216">
        <v>139.06634521484401</v>
      </c>
      <c r="J394" s="216">
        <v>4.8163533210754403</v>
      </c>
      <c r="K394" s="216">
        <v>0.32822868227958701</v>
      </c>
      <c r="L394" s="216">
        <v>118.424911499023</v>
      </c>
      <c r="M394" s="216">
        <v>2640</v>
      </c>
      <c r="N394" s="216">
        <v>21648</v>
      </c>
      <c r="O394" s="216">
        <v>16.399999618530298</v>
      </c>
      <c r="Q394" s="216">
        <v>0.68000000715255704</v>
      </c>
      <c r="R394" s="192">
        <f>VLOOKUP($A394,'RBSA Weights'!$A$2:$C$1406,3,FALSE)</f>
        <v>2130.886</v>
      </c>
      <c r="S394" s="216">
        <f t="shared" si="12"/>
        <v>0</v>
      </c>
      <c r="T394" s="216">
        <f t="shared" si="13"/>
        <v>0</v>
      </c>
    </row>
    <row r="395" spans="1:20">
      <c r="A395" s="216">
        <v>23444</v>
      </c>
      <c r="B395" s="216">
        <v>760</v>
      </c>
      <c r="C395" s="216">
        <v>24.899999618530298</v>
      </c>
      <c r="D395" s="216">
        <v>1210</v>
      </c>
      <c r="E395" s="216">
        <v>50.700000762939503</v>
      </c>
      <c r="F395" s="216">
        <v>0.65403538942337003</v>
      </c>
      <c r="G395" s="216">
        <v>92.821762084960895</v>
      </c>
      <c r="H395" s="216">
        <v>1199.04736328125</v>
      </c>
      <c r="I395" s="216">
        <v>106.930221557617</v>
      </c>
      <c r="J395" s="216">
        <v>5.81412696838379</v>
      </c>
      <c r="K395" s="216">
        <v>0.25588926672935502</v>
      </c>
      <c r="L395" s="216">
        <v>52.772041320800803</v>
      </c>
      <c r="M395" s="216">
        <v>1509</v>
      </c>
      <c r="N395" s="216">
        <v>12373.7998046875</v>
      </c>
      <c r="O395" s="216">
        <v>8.1999998092651403</v>
      </c>
      <c r="Q395" s="216">
        <v>0.519999980926514</v>
      </c>
      <c r="R395" s="192">
        <f>VLOOKUP($A395,'RBSA Weights'!$A$2:$C$1406,3,FALSE)</f>
        <v>2079.9929999999999</v>
      </c>
      <c r="S395" s="216">
        <f t="shared" si="12"/>
        <v>0</v>
      </c>
      <c r="T395" s="216">
        <f t="shared" si="13"/>
        <v>0</v>
      </c>
    </row>
    <row r="396" spans="1:20">
      <c r="A396" s="216">
        <v>23449</v>
      </c>
      <c r="B396" s="216">
        <v>1240</v>
      </c>
      <c r="C396" s="216">
        <v>25</v>
      </c>
      <c r="D396" s="216">
        <v>1903</v>
      </c>
      <c r="E396" s="216">
        <v>50</v>
      </c>
      <c r="F396" s="216">
        <v>0.61793541908264205</v>
      </c>
      <c r="G396" s="216">
        <v>169.662185668945</v>
      </c>
      <c r="H396" s="216">
        <v>1903</v>
      </c>
      <c r="I396" s="216">
        <v>185.90940856933599</v>
      </c>
      <c r="J396" s="216">
        <v>9.6429300308227504</v>
      </c>
      <c r="K396" s="216">
        <v>0.50067937374115001</v>
      </c>
      <c r="L396" s="216">
        <v>98.807403564453097</v>
      </c>
      <c r="M396" s="216">
        <v>1444</v>
      </c>
      <c r="N396" s="216">
        <v>11840.7998046875</v>
      </c>
      <c r="O396" s="216">
        <v>8.1999998092651403</v>
      </c>
      <c r="Q396" s="216">
        <v>0.56000000238418601</v>
      </c>
      <c r="R396" s="192">
        <f>VLOOKUP($A396,'RBSA Weights'!$A$2:$C$1406,3,FALSE)</f>
        <v>8264.9449999999997</v>
      </c>
      <c r="S396" s="216">
        <f t="shared" si="12"/>
        <v>1</v>
      </c>
      <c r="T396" s="216">
        <f t="shared" si="13"/>
        <v>8264.9449999999997</v>
      </c>
    </row>
    <row r="397" spans="1:20">
      <c r="A397" s="216">
        <v>23489</v>
      </c>
      <c r="B397" s="216">
        <v>1333</v>
      </c>
      <c r="C397" s="216">
        <v>24.899999618530298</v>
      </c>
      <c r="D397" s="216">
        <v>1987</v>
      </c>
      <c r="E397" s="216">
        <v>51</v>
      </c>
      <c r="F397" s="216">
        <v>0.55678856372833296</v>
      </c>
      <c r="G397" s="216">
        <v>222.557540893555</v>
      </c>
      <c r="H397" s="216">
        <v>1965.2119140625</v>
      </c>
      <c r="I397" s="216">
        <v>224.04978942871099</v>
      </c>
      <c r="J397" s="216">
        <v>7.1327381134033203</v>
      </c>
      <c r="K397" s="216">
        <v>0.61101913452148404</v>
      </c>
      <c r="L397" s="216">
        <v>168.34797668457</v>
      </c>
      <c r="M397" s="216">
        <v>2016</v>
      </c>
      <c r="N397" s="216">
        <v>16531.19921875</v>
      </c>
      <c r="O397" s="216">
        <v>16.399999618530298</v>
      </c>
      <c r="Q397" s="216">
        <v>0.60000002384185802</v>
      </c>
      <c r="R397" s="192">
        <f>VLOOKUP($A397,'RBSA Weights'!$A$2:$C$1406,3,FALSE)</f>
        <v>3785.7640000000001</v>
      </c>
      <c r="S397" s="216">
        <f t="shared" si="12"/>
        <v>1</v>
      </c>
      <c r="T397" s="216">
        <f t="shared" si="13"/>
        <v>3785.7640000000001</v>
      </c>
    </row>
    <row r="398" spans="1:20">
      <c r="A398" s="216">
        <v>23501</v>
      </c>
      <c r="B398" s="216">
        <v>2393</v>
      </c>
      <c r="C398" s="216">
        <v>25.399999618530298</v>
      </c>
      <c r="D398" s="216">
        <v>3936</v>
      </c>
      <c r="E398" s="216">
        <v>50.900001525878899</v>
      </c>
      <c r="F398" s="216">
        <v>0.71587872505187999</v>
      </c>
      <c r="G398" s="216">
        <v>236.18490600585901</v>
      </c>
      <c r="H398" s="216">
        <v>3886.05200195313</v>
      </c>
      <c r="I398" s="216">
        <v>296.43960571289102</v>
      </c>
      <c r="J398" s="216">
        <v>20.368572235107401</v>
      </c>
      <c r="K398" s="216">
        <v>1.1869437694549601</v>
      </c>
      <c r="L398" s="216">
        <v>226.453048706055</v>
      </c>
      <c r="M398" s="216">
        <v>1396</v>
      </c>
      <c r="N398" s="216">
        <v>11447.2001953125</v>
      </c>
      <c r="O398" s="216">
        <v>16.399999618530298</v>
      </c>
      <c r="P398" s="216" t="s">
        <v>1130</v>
      </c>
      <c r="Q398" s="216">
        <v>0.61000001430511497</v>
      </c>
      <c r="R398" s="192">
        <f>VLOOKUP($A398,'RBSA Weights'!$A$2:$C$1406,3,FALSE)</f>
        <v>2079.9929999999999</v>
      </c>
      <c r="S398" s="216">
        <f t="shared" si="12"/>
        <v>1</v>
      </c>
      <c r="T398" s="216">
        <f t="shared" si="13"/>
        <v>2079.9929999999999</v>
      </c>
    </row>
    <row r="399" spans="1:20">
      <c r="A399" s="216">
        <v>23511</v>
      </c>
      <c r="B399" s="216">
        <v>484</v>
      </c>
      <c r="C399" s="216">
        <v>24.5</v>
      </c>
      <c r="D399" s="216">
        <v>805</v>
      </c>
      <c r="E399" s="216">
        <v>50.900001525878899</v>
      </c>
      <c r="F399" s="216">
        <v>0.69579380750656095</v>
      </c>
      <c r="G399" s="216">
        <v>52.272373199462898</v>
      </c>
      <c r="H399" s="216">
        <v>795.06939697265602</v>
      </c>
      <c r="I399" s="216">
        <v>63.806358337402301</v>
      </c>
      <c r="J399" s="216">
        <v>5.1942687034606898</v>
      </c>
      <c r="K399" s="216">
        <v>0.25715607404708901</v>
      </c>
      <c r="L399" s="216">
        <v>39.362022399902301</v>
      </c>
      <c r="M399" s="216">
        <v>1120</v>
      </c>
      <c r="N399" s="216">
        <v>9184</v>
      </c>
      <c r="O399" s="216">
        <v>8.1999998092651403</v>
      </c>
      <c r="Q399" s="216">
        <v>0.64999997615814198</v>
      </c>
      <c r="R399" s="192">
        <f>VLOOKUP($A399,'RBSA Weights'!$A$2:$C$1406,3,FALSE)</f>
        <v>3785.7640000000001</v>
      </c>
      <c r="S399" s="216">
        <f t="shared" si="12"/>
        <v>0</v>
      </c>
      <c r="T399" s="216">
        <f t="shared" si="13"/>
        <v>0</v>
      </c>
    </row>
    <row r="400" spans="1:20">
      <c r="A400" s="216">
        <v>23538</v>
      </c>
      <c r="B400" s="216">
        <v>1450</v>
      </c>
      <c r="C400" s="216">
        <v>25.299999237060501</v>
      </c>
      <c r="D400" s="216">
        <v>2300</v>
      </c>
      <c r="E400" s="216">
        <v>50</v>
      </c>
      <c r="F400" s="216">
        <v>0.67723566293716397</v>
      </c>
      <c r="G400" s="216">
        <v>162.60157775878901</v>
      </c>
      <c r="H400" s="216">
        <v>2300</v>
      </c>
      <c r="I400" s="216">
        <v>193.43870544433599</v>
      </c>
      <c r="J400" s="216">
        <v>9.3495931625366193</v>
      </c>
      <c r="K400" s="216">
        <v>0.432848930358887</v>
      </c>
      <c r="L400" s="216">
        <v>106.480834960938</v>
      </c>
      <c r="M400" s="216">
        <v>1800</v>
      </c>
      <c r="N400" s="216">
        <v>14760</v>
      </c>
      <c r="O400" s="216">
        <v>8.1999998092651403</v>
      </c>
      <c r="Q400" s="216">
        <v>0.57999998331069902</v>
      </c>
      <c r="R400" s="192">
        <f>VLOOKUP($A400,'RBSA Weights'!$A$2:$C$1406,3,FALSE)</f>
        <v>4360.1880000000001</v>
      </c>
      <c r="S400" s="216">
        <f t="shared" si="12"/>
        <v>1</v>
      </c>
      <c r="T400" s="216">
        <f t="shared" si="13"/>
        <v>4360.1880000000001</v>
      </c>
    </row>
    <row r="401" spans="1:20">
      <c r="A401" s="216">
        <v>23556</v>
      </c>
      <c r="B401" s="216">
        <v>2525</v>
      </c>
      <c r="C401" s="216">
        <v>25</v>
      </c>
      <c r="D401" s="216">
        <v>3630</v>
      </c>
      <c r="E401" s="216">
        <v>50</v>
      </c>
      <c r="F401" s="216">
        <v>0.52368617057800304</v>
      </c>
      <c r="G401" s="216">
        <v>467.92852783203102</v>
      </c>
      <c r="H401" s="216">
        <v>3630</v>
      </c>
      <c r="I401" s="216">
        <v>449.93743896484398</v>
      </c>
      <c r="J401" s="216">
        <v>19.289014816284201</v>
      </c>
      <c r="K401" s="216">
        <v>1.0664821863174401</v>
      </c>
      <c r="L401" s="216">
        <v>200.70127868652301</v>
      </c>
      <c r="M401" s="216">
        <v>1377</v>
      </c>
      <c r="N401" s="216">
        <v>11291.400390625</v>
      </c>
      <c r="O401" s="216">
        <v>8.1999998092651403</v>
      </c>
      <c r="P401" s="216" t="s">
        <v>1101</v>
      </c>
      <c r="Q401" s="216">
        <v>0.46999999880790699</v>
      </c>
      <c r="R401" s="192">
        <f>VLOOKUP($A401,'RBSA Weights'!$A$2:$C$1406,3,FALSE)</f>
        <v>8264.9449999999997</v>
      </c>
      <c r="S401" s="216">
        <f t="shared" si="12"/>
        <v>1</v>
      </c>
      <c r="T401" s="216">
        <f t="shared" si="13"/>
        <v>8264.9449999999997</v>
      </c>
    </row>
    <row r="402" spans="1:20">
      <c r="A402" s="216">
        <v>23559</v>
      </c>
      <c r="B402" s="216">
        <v>3329</v>
      </c>
      <c r="C402" s="216">
        <v>25</v>
      </c>
      <c r="D402" s="216">
        <v>4863</v>
      </c>
      <c r="E402" s="216">
        <v>50</v>
      </c>
      <c r="F402" s="216">
        <v>0.54675769805908203</v>
      </c>
      <c r="G402" s="216">
        <v>572.768798828125</v>
      </c>
      <c r="H402" s="216">
        <v>4863</v>
      </c>
      <c r="I402" s="216">
        <v>568.64654541015602</v>
      </c>
      <c r="J402" s="216">
        <v>25.507474899291999</v>
      </c>
      <c r="K402" s="216">
        <v>1.9796733856201201</v>
      </c>
      <c r="L402" s="216">
        <v>377.42474365234398</v>
      </c>
      <c r="M402" s="216">
        <v>1395</v>
      </c>
      <c r="N402" s="216">
        <v>11439</v>
      </c>
      <c r="O402" s="216">
        <v>16.399999618530298</v>
      </c>
      <c r="P402" s="216" t="s">
        <v>1102</v>
      </c>
      <c r="Q402" s="216">
        <v>0.52999997138977095</v>
      </c>
      <c r="R402" s="192">
        <f>VLOOKUP($A402,'RBSA Weights'!$A$2:$C$1406,3,FALSE)</f>
        <v>8264.9449999999997</v>
      </c>
      <c r="S402" s="216">
        <f t="shared" si="12"/>
        <v>1</v>
      </c>
      <c r="T402" s="216">
        <f t="shared" si="13"/>
        <v>8264.9449999999997</v>
      </c>
    </row>
    <row r="403" spans="1:20">
      <c r="A403" s="216">
        <v>23564</v>
      </c>
      <c r="B403" s="216">
        <v>804</v>
      </c>
      <c r="C403" s="216">
        <v>24.5</v>
      </c>
      <c r="D403" s="216">
        <v>1254</v>
      </c>
      <c r="E403" s="216">
        <v>50</v>
      </c>
      <c r="F403" s="216">
        <v>0.62310862541198697</v>
      </c>
      <c r="G403" s="216">
        <v>109.560668945313</v>
      </c>
      <c r="H403" s="216">
        <v>1254</v>
      </c>
      <c r="I403" s="216">
        <v>120.916496276855</v>
      </c>
      <c r="J403" s="216">
        <v>13.7565364837646</v>
      </c>
      <c r="K403" s="216">
        <v>1.02991390228271</v>
      </c>
      <c r="L403" s="216">
        <v>93.883514404296903</v>
      </c>
      <c r="M403" s="216">
        <v>667</v>
      </c>
      <c r="N403" s="216">
        <v>5469.39990234375</v>
      </c>
      <c r="O403" s="216">
        <v>16.399999618530298</v>
      </c>
      <c r="Q403" s="216">
        <v>0.62000000476837203</v>
      </c>
      <c r="R403" s="192">
        <f>VLOOKUP($A403,'RBSA Weights'!$A$2:$C$1406,3,FALSE)</f>
        <v>2130.886</v>
      </c>
      <c r="S403" s="216">
        <f t="shared" si="12"/>
        <v>1</v>
      </c>
      <c r="T403" s="216">
        <f t="shared" si="13"/>
        <v>2130.886</v>
      </c>
    </row>
    <row r="404" spans="1:20">
      <c r="A404" s="216">
        <v>23618</v>
      </c>
      <c r="B404" s="216">
        <v>412</v>
      </c>
      <c r="C404" s="216">
        <v>25</v>
      </c>
      <c r="D404" s="216">
        <v>685</v>
      </c>
      <c r="E404" s="216">
        <v>50</v>
      </c>
      <c r="F404" s="216">
        <v>0.73345965147018399</v>
      </c>
      <c r="G404" s="216">
        <v>38.865531921386697</v>
      </c>
      <c r="H404" s="216">
        <v>685</v>
      </c>
      <c r="I404" s="216">
        <v>49.984279632568402</v>
      </c>
      <c r="J404" s="216">
        <v>4.1907982826232901</v>
      </c>
      <c r="K404" s="216">
        <v>0.159625574946404</v>
      </c>
      <c r="L404" s="216">
        <v>26.091331481933601</v>
      </c>
      <c r="M404" s="216">
        <v>1196</v>
      </c>
      <c r="N404" s="216">
        <v>9807.2001953125</v>
      </c>
      <c r="O404" s="216">
        <v>8.1999998092651403</v>
      </c>
      <c r="Q404" s="216">
        <v>0.55000001192092896</v>
      </c>
      <c r="R404" s="192">
        <f>VLOOKUP($A404,'RBSA Weights'!$A$2:$C$1406,3,FALSE)</f>
        <v>3785.7640000000001</v>
      </c>
      <c r="S404" s="216">
        <f t="shared" si="12"/>
        <v>0</v>
      </c>
      <c r="T404" s="216">
        <f t="shared" si="13"/>
        <v>0</v>
      </c>
    </row>
    <row r="405" spans="1:20">
      <c r="A405" s="216">
        <v>23624</v>
      </c>
      <c r="B405" s="216">
        <v>300</v>
      </c>
      <c r="C405" s="216">
        <v>24</v>
      </c>
      <c r="D405" s="216">
        <v>403</v>
      </c>
      <c r="E405" s="216">
        <v>40</v>
      </c>
      <c r="F405" s="216">
        <v>0.57779812812805198</v>
      </c>
      <c r="G405" s="216">
        <v>47.823104858398402</v>
      </c>
      <c r="H405" s="216">
        <v>458.45788574218801</v>
      </c>
      <c r="I405" s="216">
        <v>49.5665893554688</v>
      </c>
      <c r="J405" s="216">
        <v>2.4203245639800999</v>
      </c>
      <c r="K405" s="216">
        <v>0.13907572627067599</v>
      </c>
      <c r="L405" s="216">
        <v>26.343723297119102</v>
      </c>
      <c r="M405" s="216">
        <v>1386</v>
      </c>
      <c r="N405" s="216">
        <v>11365.2001953125</v>
      </c>
      <c r="O405" s="216">
        <v>8.1999998092651403</v>
      </c>
      <c r="Q405" s="216">
        <v>0.56000000238418601</v>
      </c>
      <c r="R405" s="192">
        <f>VLOOKUP($A405,'RBSA Weights'!$A$2:$C$1406,3,FALSE)</f>
        <v>3785.7640000000001</v>
      </c>
      <c r="S405" s="216">
        <f t="shared" si="12"/>
        <v>0</v>
      </c>
      <c r="T405" s="216">
        <f t="shared" si="13"/>
        <v>0</v>
      </c>
    </row>
    <row r="406" spans="1:20">
      <c r="A406" s="216">
        <v>23714</v>
      </c>
      <c r="B406" s="216">
        <v>1929</v>
      </c>
      <c r="C406" s="216">
        <v>25</v>
      </c>
      <c r="D406" s="216">
        <v>3041</v>
      </c>
      <c r="E406" s="216">
        <v>50</v>
      </c>
      <c r="F406" s="216">
        <v>0.65669268369674705</v>
      </c>
      <c r="G406" s="216">
        <v>232.97817993164099</v>
      </c>
      <c r="H406" s="216">
        <v>3041</v>
      </c>
      <c r="I406" s="216">
        <v>269.38024902343801</v>
      </c>
      <c r="J406" s="216">
        <v>16.124073028564499</v>
      </c>
      <c r="K406" s="216">
        <v>0.718455791473389</v>
      </c>
      <c r="L406" s="216">
        <v>135.50076293945301</v>
      </c>
      <c r="M406" s="216">
        <v>1380</v>
      </c>
      <c r="N406" s="216">
        <v>11316</v>
      </c>
      <c r="O406" s="216">
        <v>8.1999998092651403</v>
      </c>
      <c r="P406" s="216" t="s">
        <v>1131</v>
      </c>
      <c r="Q406" s="216">
        <v>0.52999997138977095</v>
      </c>
      <c r="R406" s="192">
        <f>VLOOKUP($A406,'RBSA Weights'!$A$2:$C$1406,3,FALSE)</f>
        <v>8264.9449999999997</v>
      </c>
      <c r="S406" s="216">
        <f t="shared" si="12"/>
        <v>1</v>
      </c>
      <c r="T406" s="216">
        <f t="shared" si="13"/>
        <v>8264.9449999999997</v>
      </c>
    </row>
    <row r="407" spans="1:20">
      <c r="A407" s="216">
        <v>23721</v>
      </c>
      <c r="B407" s="216">
        <v>639</v>
      </c>
      <c r="C407" s="216">
        <v>25.100000381469702</v>
      </c>
      <c r="D407" s="216">
        <v>1037</v>
      </c>
      <c r="E407" s="216">
        <v>50.400001525878899</v>
      </c>
      <c r="F407" s="216">
        <v>0.694543898105621</v>
      </c>
      <c r="G407" s="216">
        <v>68.134330749511705</v>
      </c>
      <c r="H407" s="216">
        <v>1031.27673339844</v>
      </c>
      <c r="I407" s="216">
        <v>83.024299621582003</v>
      </c>
      <c r="J407" s="216">
        <v>3.5830614566803001</v>
      </c>
      <c r="K407" s="216">
        <v>0.16973681747913399</v>
      </c>
      <c r="L407" s="216">
        <v>48.853649139404297</v>
      </c>
      <c r="M407" s="216">
        <v>2106</v>
      </c>
      <c r="N407" s="216">
        <v>17269.19921875</v>
      </c>
      <c r="O407" s="216">
        <v>8.1999998092651403</v>
      </c>
      <c r="Q407" s="216">
        <v>0.62000000476837203</v>
      </c>
      <c r="R407" s="192">
        <f>VLOOKUP($A407,'RBSA Weights'!$A$2:$C$1406,3,FALSE)</f>
        <v>1144.6790000000001</v>
      </c>
      <c r="S407" s="216">
        <f t="shared" si="12"/>
        <v>0</v>
      </c>
      <c r="T407" s="216">
        <f t="shared" si="13"/>
        <v>0</v>
      </c>
    </row>
    <row r="408" spans="1:20">
      <c r="A408" s="216">
        <v>23724</v>
      </c>
      <c r="B408" s="216">
        <v>821</v>
      </c>
      <c r="C408" s="216">
        <v>25</v>
      </c>
      <c r="D408" s="216">
        <v>1301</v>
      </c>
      <c r="E408" s="216">
        <v>50</v>
      </c>
      <c r="F408" s="216">
        <v>0.66416680812835704</v>
      </c>
      <c r="G408" s="216">
        <v>96.800544738769503</v>
      </c>
      <c r="H408" s="216">
        <v>1301</v>
      </c>
      <c r="I408" s="216">
        <v>113.09104156494099</v>
      </c>
      <c r="J408" s="216">
        <v>8.6541023254394496</v>
      </c>
      <c r="K408" s="216">
        <v>0.48987847566604598</v>
      </c>
      <c r="L408" s="216">
        <v>73.645065307617202</v>
      </c>
      <c r="M408" s="216">
        <v>1100</v>
      </c>
      <c r="N408" s="216">
        <v>9020</v>
      </c>
      <c r="O408" s="216">
        <v>16.399999618530298</v>
      </c>
      <c r="P408" s="216" t="s">
        <v>1103</v>
      </c>
      <c r="Q408" s="216">
        <v>0.519999980926514</v>
      </c>
      <c r="R408" s="192">
        <f>VLOOKUP($A408,'RBSA Weights'!$A$2:$C$1406,3,FALSE)</f>
        <v>1612.692</v>
      </c>
      <c r="S408" s="216">
        <f t="shared" si="12"/>
        <v>1</v>
      </c>
      <c r="T408" s="216">
        <f t="shared" si="13"/>
        <v>1612.692</v>
      </c>
    </row>
    <row r="409" spans="1:20">
      <c r="A409" s="216">
        <v>23734</v>
      </c>
      <c r="B409" s="216">
        <v>1115</v>
      </c>
      <c r="C409" s="216">
        <v>24.899999618530298</v>
      </c>
      <c r="D409" s="216">
        <v>1760</v>
      </c>
      <c r="E409" s="216">
        <v>50</v>
      </c>
      <c r="F409" s="216">
        <v>0.65474575757980302</v>
      </c>
      <c r="G409" s="216">
        <v>135.86865234375</v>
      </c>
      <c r="H409" s="216">
        <v>1760</v>
      </c>
      <c r="I409" s="216">
        <v>156.674240112305</v>
      </c>
      <c r="J409" s="216">
        <v>12.1491022109985</v>
      </c>
      <c r="K409" s="216">
        <v>0.53374344110488903</v>
      </c>
      <c r="L409" s="216">
        <v>77.321640014648395</v>
      </c>
      <c r="M409" s="216">
        <v>1060</v>
      </c>
      <c r="N409" s="216">
        <v>8692</v>
      </c>
      <c r="O409" s="216">
        <v>8.1999998092651403</v>
      </c>
      <c r="P409" s="216" t="s">
        <v>1104</v>
      </c>
      <c r="Q409" s="216">
        <v>0.519999980926514</v>
      </c>
      <c r="R409" s="192">
        <f>VLOOKUP($A409,'RBSA Weights'!$A$2:$C$1406,3,FALSE)</f>
        <v>2079.9929999999999</v>
      </c>
      <c r="S409" s="216">
        <f t="shared" si="12"/>
        <v>1</v>
      </c>
      <c r="T409" s="216">
        <f t="shared" si="13"/>
        <v>2079.9929999999999</v>
      </c>
    </row>
    <row r="410" spans="1:20">
      <c r="A410" s="216">
        <v>23746</v>
      </c>
      <c r="B410" s="216">
        <v>2493</v>
      </c>
      <c r="C410" s="216">
        <v>25</v>
      </c>
      <c r="D410" s="216">
        <v>3780</v>
      </c>
      <c r="E410" s="216">
        <v>50</v>
      </c>
      <c r="F410" s="216">
        <v>0.60050332546234098</v>
      </c>
      <c r="G410" s="216">
        <v>360.79013061523398</v>
      </c>
      <c r="H410" s="216">
        <v>3780</v>
      </c>
      <c r="I410" s="216">
        <v>385.90087890625</v>
      </c>
      <c r="J410" s="216">
        <v>21.457359313964801</v>
      </c>
      <c r="K410" s="216">
        <v>1.2682071924209599</v>
      </c>
      <c r="L410" s="216">
        <v>223.41160583496099</v>
      </c>
      <c r="M410" s="216">
        <v>1289</v>
      </c>
      <c r="N410" s="216">
        <v>10569.7998046875</v>
      </c>
      <c r="O410" s="216">
        <v>8.1999998092651403</v>
      </c>
      <c r="Q410" s="216">
        <v>0.61000001430511497</v>
      </c>
      <c r="R410" s="192">
        <f>VLOOKUP($A410,'RBSA Weights'!$A$2:$C$1406,3,FALSE)</f>
        <v>8559.1039999999994</v>
      </c>
      <c r="S410" s="216">
        <f t="shared" si="12"/>
        <v>1</v>
      </c>
      <c r="T410" s="216">
        <f t="shared" si="13"/>
        <v>8559.1039999999994</v>
      </c>
    </row>
    <row r="411" spans="1:20">
      <c r="A411" s="216">
        <v>23762</v>
      </c>
      <c r="B411" s="216">
        <v>780</v>
      </c>
      <c r="C411" s="216">
        <v>25</v>
      </c>
      <c r="D411" s="216">
        <v>1160</v>
      </c>
      <c r="E411" s="216">
        <v>50</v>
      </c>
      <c r="F411" s="216">
        <v>0.57257878780365001</v>
      </c>
      <c r="G411" s="216">
        <v>123.499099731445</v>
      </c>
      <c r="H411" s="216">
        <v>1160</v>
      </c>
      <c r="I411" s="216">
        <v>127.07867431640599</v>
      </c>
      <c r="J411" s="216">
        <v>8.2888717651367205</v>
      </c>
      <c r="K411" s="216">
        <v>0.50846636295318604</v>
      </c>
      <c r="L411" s="216">
        <v>71.158164978027301</v>
      </c>
      <c r="M411" s="216">
        <v>1024</v>
      </c>
      <c r="N411" s="216">
        <v>8396.7998046875</v>
      </c>
      <c r="O411" s="216">
        <v>8.1999998092651403</v>
      </c>
      <c r="Q411" s="216">
        <v>0.58999997377395597</v>
      </c>
      <c r="R411" s="192">
        <f>VLOOKUP($A411,'RBSA Weights'!$A$2:$C$1406,3,FALSE)</f>
        <v>8264.9449999999997</v>
      </c>
      <c r="S411" s="216">
        <f t="shared" si="12"/>
        <v>1</v>
      </c>
      <c r="T411" s="216">
        <f t="shared" si="13"/>
        <v>8264.9449999999997</v>
      </c>
    </row>
    <row r="412" spans="1:20">
      <c r="A412" s="216">
        <v>23835</v>
      </c>
      <c r="B412" s="216">
        <v>2829</v>
      </c>
      <c r="C412" s="216">
        <v>25</v>
      </c>
      <c r="D412" s="216">
        <v>4560</v>
      </c>
      <c r="E412" s="216">
        <v>50</v>
      </c>
      <c r="F412" s="216">
        <v>0.68874162435531605</v>
      </c>
      <c r="G412" s="216">
        <v>308.18640136718801</v>
      </c>
      <c r="H412" s="216">
        <v>4560</v>
      </c>
      <c r="I412" s="216">
        <v>372.52835083007801</v>
      </c>
      <c r="J412" s="216">
        <v>12.1640005111694</v>
      </c>
      <c r="K412" s="216">
        <v>0.64712226390838601</v>
      </c>
      <c r="L412" s="216">
        <v>242.59103393554699</v>
      </c>
      <c r="M412" s="216">
        <v>2743</v>
      </c>
      <c r="N412" s="216">
        <v>22492.599609375</v>
      </c>
      <c r="O412" s="216">
        <v>16.399999618530298</v>
      </c>
      <c r="Q412" s="216">
        <v>0.519999980926514</v>
      </c>
      <c r="R412" s="192">
        <f>VLOOKUP($A412,'RBSA Weights'!$A$2:$C$1406,3,FALSE)</f>
        <v>8264.9449999999997</v>
      </c>
      <c r="S412" s="216">
        <f t="shared" si="12"/>
        <v>1</v>
      </c>
      <c r="T412" s="216">
        <f t="shared" si="13"/>
        <v>8264.9449999999997</v>
      </c>
    </row>
    <row r="413" spans="1:20">
      <c r="A413" s="216">
        <v>23857</v>
      </c>
      <c r="B413" s="216">
        <v>598</v>
      </c>
      <c r="C413" s="216">
        <v>24</v>
      </c>
      <c r="D413" s="216">
        <v>837</v>
      </c>
      <c r="E413" s="216">
        <v>50</v>
      </c>
      <c r="F413" s="216">
        <v>0.45810276269912698</v>
      </c>
      <c r="G413" s="216">
        <v>139.45130920410199</v>
      </c>
      <c r="H413" s="216">
        <v>837</v>
      </c>
      <c r="I413" s="216">
        <v>122.43625640869099</v>
      </c>
      <c r="J413" s="216">
        <v>1.9623167514801001</v>
      </c>
      <c r="K413" s="216">
        <v>0.20704625546932201</v>
      </c>
      <c r="L413" s="216">
        <v>88.312820434570298</v>
      </c>
      <c r="M413" s="216">
        <v>3121</v>
      </c>
      <c r="N413" s="216">
        <v>25592.19921875</v>
      </c>
      <c r="O413" s="216">
        <v>8.1999998092651403</v>
      </c>
      <c r="P413" s="216" t="s">
        <v>1105</v>
      </c>
      <c r="Q413" s="216">
        <v>0.75999999046325695</v>
      </c>
      <c r="R413" s="192">
        <f>VLOOKUP($A413,'RBSA Weights'!$A$2:$C$1406,3,FALSE)</f>
        <v>1144.6790000000001</v>
      </c>
      <c r="S413" s="216">
        <f t="shared" si="12"/>
        <v>0</v>
      </c>
      <c r="T413" s="216">
        <f t="shared" si="13"/>
        <v>0</v>
      </c>
    </row>
    <row r="414" spans="1:20">
      <c r="A414" s="216">
        <v>23860</v>
      </c>
      <c r="B414" s="216">
        <v>4300</v>
      </c>
      <c r="C414" s="216">
        <v>25</v>
      </c>
      <c r="D414" s="216">
        <v>5920</v>
      </c>
      <c r="E414" s="216">
        <v>39</v>
      </c>
      <c r="F414" s="216">
        <v>0.71898275613784801</v>
      </c>
      <c r="G414" s="216">
        <v>424.98507690429699</v>
      </c>
      <c r="H414" s="216">
        <v>7077.89013671875</v>
      </c>
      <c r="I414" s="216">
        <v>535.7060546875</v>
      </c>
      <c r="J414" s="216">
        <v>16.033882141113299</v>
      </c>
      <c r="K414" s="216">
        <v>0.94224798679351796</v>
      </c>
      <c r="L414" s="216">
        <v>415.93966674804699</v>
      </c>
      <c r="M414" s="216">
        <v>3230</v>
      </c>
      <c r="N414" s="216">
        <v>26486</v>
      </c>
      <c r="O414" s="216">
        <v>16.399999618530298</v>
      </c>
      <c r="Q414" s="216">
        <v>0.62000000476837203</v>
      </c>
      <c r="R414" s="192">
        <f>VLOOKUP($A414,'RBSA Weights'!$A$2:$C$1406,3,FALSE)</f>
        <v>1925.059</v>
      </c>
      <c r="S414" s="216">
        <f t="shared" si="12"/>
        <v>1</v>
      </c>
      <c r="T414" s="216">
        <f t="shared" si="13"/>
        <v>1925.059</v>
      </c>
    </row>
    <row r="415" spans="1:20">
      <c r="A415" s="216">
        <v>23910</v>
      </c>
      <c r="B415" s="216">
        <v>1502</v>
      </c>
      <c r="C415" s="216">
        <v>25.100000381469702</v>
      </c>
      <c r="D415" s="216">
        <v>2448</v>
      </c>
      <c r="E415" s="216">
        <v>50.299999237060497</v>
      </c>
      <c r="F415" s="216">
        <v>0.70270127058029197</v>
      </c>
      <c r="G415" s="216">
        <v>155.99742126464801</v>
      </c>
      <c r="H415" s="216">
        <v>2437.73120117188</v>
      </c>
      <c r="I415" s="216">
        <v>192.25067138671901</v>
      </c>
      <c r="J415" s="216">
        <v>4.6102499961853001</v>
      </c>
      <c r="K415" s="216">
        <v>0.25498032569885298</v>
      </c>
      <c r="L415" s="216">
        <v>134.82424926757801</v>
      </c>
      <c r="M415" s="216">
        <v>3869</v>
      </c>
      <c r="N415" s="216">
        <v>31725.80078125</v>
      </c>
      <c r="O415" s="216">
        <v>16.399999618530298</v>
      </c>
      <c r="Q415" s="216">
        <v>0.56000000238418601</v>
      </c>
      <c r="R415" s="192">
        <f>VLOOKUP($A415,'RBSA Weights'!$A$2:$C$1406,3,FALSE)</f>
        <v>3785.7640000000001</v>
      </c>
      <c r="S415" s="216">
        <f t="shared" si="12"/>
        <v>0</v>
      </c>
      <c r="T415" s="216">
        <f t="shared" si="13"/>
        <v>0</v>
      </c>
    </row>
    <row r="416" spans="1:20">
      <c r="A416" s="216">
        <v>23913</v>
      </c>
      <c r="B416" s="216">
        <v>670</v>
      </c>
      <c r="C416" s="216">
        <v>25</v>
      </c>
      <c r="D416" s="216">
        <v>1105</v>
      </c>
      <c r="E416" s="216">
        <v>50.700000762939503</v>
      </c>
      <c r="F416" s="216">
        <v>0.70762014389038097</v>
      </c>
      <c r="G416" s="216">
        <v>68.685379028320298</v>
      </c>
      <c r="H416" s="216">
        <v>1094.18237304688</v>
      </c>
      <c r="I416" s="216">
        <v>85.226799011230497</v>
      </c>
      <c r="J416" s="216">
        <v>4.7430171966552699</v>
      </c>
      <c r="K416" s="216">
        <v>0.24057836830616</v>
      </c>
      <c r="L416" s="216">
        <v>55.499824523925803</v>
      </c>
      <c r="M416" s="216">
        <v>1688</v>
      </c>
      <c r="N416" s="216">
        <v>13841.599609375</v>
      </c>
      <c r="O416" s="216">
        <v>16.399999618530298</v>
      </c>
      <c r="P416" s="216" t="s">
        <v>1106</v>
      </c>
      <c r="Q416" s="216">
        <v>0.519999980926514</v>
      </c>
      <c r="R416" s="192">
        <f>VLOOKUP($A416,'RBSA Weights'!$A$2:$C$1406,3,FALSE)</f>
        <v>2079.9929999999999</v>
      </c>
      <c r="S416" s="216">
        <f t="shared" si="12"/>
        <v>0</v>
      </c>
      <c r="T416" s="216">
        <f t="shared" si="13"/>
        <v>0</v>
      </c>
    </row>
    <row r="417" spans="1:20">
      <c r="A417" s="216">
        <v>23914</v>
      </c>
      <c r="B417" s="216">
        <v>512</v>
      </c>
      <c r="C417" s="216">
        <v>25.399999618530298</v>
      </c>
      <c r="D417" s="216">
        <v>803</v>
      </c>
      <c r="E417" s="216">
        <v>50.200000762939503</v>
      </c>
      <c r="F417" s="216">
        <v>0.66057920455932595</v>
      </c>
      <c r="G417" s="216">
        <v>60.431869506835902</v>
      </c>
      <c r="H417" s="216">
        <v>800.88525390625</v>
      </c>
      <c r="I417" s="216">
        <v>70.251640319824205</v>
      </c>
      <c r="J417" s="216">
        <v>2.4726312160491899</v>
      </c>
      <c r="K417" s="216">
        <v>0.198054984211922</v>
      </c>
      <c r="L417" s="216">
        <v>64.150009155273395</v>
      </c>
      <c r="M417" s="216">
        <v>2370</v>
      </c>
      <c r="N417" s="216">
        <v>19434</v>
      </c>
      <c r="O417" s="216">
        <v>24.599998474121101</v>
      </c>
      <c r="Q417" s="216">
        <v>0.62000000476837203</v>
      </c>
      <c r="R417" s="192">
        <f>VLOOKUP($A417,'RBSA Weights'!$A$2:$C$1406,3,FALSE)</f>
        <v>1144.6790000000001</v>
      </c>
      <c r="S417" s="216">
        <f t="shared" si="12"/>
        <v>0</v>
      </c>
      <c r="T417" s="216">
        <f t="shared" si="13"/>
        <v>0</v>
      </c>
    </row>
    <row r="418" spans="1:20">
      <c r="A418" s="216">
        <v>23932</v>
      </c>
      <c r="B418" s="216">
        <v>1325</v>
      </c>
      <c r="C418" s="216">
        <v>25</v>
      </c>
      <c r="D418" s="216">
        <v>2167</v>
      </c>
      <c r="E418" s="216">
        <v>50</v>
      </c>
      <c r="F418" s="216">
        <v>0.70970678329467796</v>
      </c>
      <c r="G418" s="216">
        <v>134.92373657226599</v>
      </c>
      <c r="H418" s="216">
        <v>2167</v>
      </c>
      <c r="I418" s="216">
        <v>167.90225219726599</v>
      </c>
      <c r="J418" s="216">
        <v>7.6231236457824698</v>
      </c>
      <c r="K418" s="216">
        <v>0.480790674686432</v>
      </c>
      <c r="L418" s="216">
        <v>136.67276000976599</v>
      </c>
      <c r="M418" s="216">
        <v>2080</v>
      </c>
      <c r="N418" s="216">
        <v>17056</v>
      </c>
      <c r="O418" s="216">
        <v>16.399999618530298</v>
      </c>
      <c r="Q418" s="216">
        <v>0.64999997615814198</v>
      </c>
      <c r="R418" s="192">
        <f>VLOOKUP($A418,'RBSA Weights'!$A$2:$C$1406,3,FALSE)</f>
        <v>3785.7640000000001</v>
      </c>
      <c r="S418" s="216">
        <f t="shared" si="12"/>
        <v>1</v>
      </c>
      <c r="T418" s="216">
        <f t="shared" si="13"/>
        <v>3785.7640000000001</v>
      </c>
    </row>
    <row r="419" spans="1:20">
      <c r="A419" s="216">
        <v>23936</v>
      </c>
      <c r="B419" s="216">
        <v>1085</v>
      </c>
      <c r="C419" s="216">
        <v>25.100000381469702</v>
      </c>
      <c r="D419" s="216">
        <v>1687</v>
      </c>
      <c r="E419" s="216">
        <v>49.400001525878899</v>
      </c>
      <c r="F419" s="216">
        <v>0.65187293291091897</v>
      </c>
      <c r="G419" s="216">
        <v>132.74565124511699</v>
      </c>
      <c r="H419" s="216">
        <v>1700.32861328125</v>
      </c>
      <c r="I419" s="216">
        <v>152.464599609375</v>
      </c>
      <c r="J419" s="216">
        <v>4.9965577125549299</v>
      </c>
      <c r="K419" s="216">
        <v>0.30190166831016502</v>
      </c>
      <c r="L419" s="216">
        <v>102.73713684082</v>
      </c>
      <c r="M419" s="216">
        <v>2490</v>
      </c>
      <c r="N419" s="216">
        <v>20418</v>
      </c>
      <c r="O419" s="216">
        <v>8.1999998092651403</v>
      </c>
      <c r="Q419" s="216">
        <v>0.70999997854232799</v>
      </c>
      <c r="R419" s="192">
        <f>VLOOKUP($A419,'RBSA Weights'!$A$2:$C$1406,3,FALSE)</f>
        <v>3785.7640000000001</v>
      </c>
      <c r="S419" s="216">
        <f t="shared" si="12"/>
        <v>0</v>
      </c>
      <c r="T419" s="216">
        <f t="shared" si="13"/>
        <v>0</v>
      </c>
    </row>
    <row r="420" spans="1:20">
      <c r="A420" s="216">
        <v>23939</v>
      </c>
      <c r="B420" s="216">
        <v>1382</v>
      </c>
      <c r="C420" s="216">
        <v>24.600000381469702</v>
      </c>
      <c r="D420" s="216">
        <v>2045</v>
      </c>
      <c r="E420" s="216">
        <v>50.200000762939503</v>
      </c>
      <c r="F420" s="216">
        <v>0.54939484596252397</v>
      </c>
      <c r="G420" s="216">
        <v>237.86769104003901</v>
      </c>
      <c r="H420" s="216">
        <v>2040.51977539063</v>
      </c>
      <c r="I420" s="216">
        <v>237.02067565918</v>
      </c>
      <c r="J420" s="216">
        <v>6.9123296737670898</v>
      </c>
      <c r="K420" s="216">
        <v>0.68373984098434404</v>
      </c>
      <c r="L420" s="216">
        <v>201.83999633789099</v>
      </c>
      <c r="M420" s="216">
        <v>2160</v>
      </c>
      <c r="N420" s="216">
        <v>17712</v>
      </c>
      <c r="O420" s="216">
        <v>16.399999618530298</v>
      </c>
      <c r="P420" s="216" t="s">
        <v>1107</v>
      </c>
      <c r="Q420" s="216">
        <v>0.68000000715255704</v>
      </c>
      <c r="R420" s="192">
        <f>VLOOKUP($A420,'RBSA Weights'!$A$2:$C$1406,3,FALSE)</f>
        <v>2130.886</v>
      </c>
      <c r="S420" s="216">
        <f t="shared" si="12"/>
        <v>0</v>
      </c>
      <c r="T420" s="216">
        <f t="shared" si="13"/>
        <v>0</v>
      </c>
    </row>
    <row r="421" spans="1:20">
      <c r="A421" s="216">
        <v>23946</v>
      </c>
      <c r="B421" s="216">
        <v>960</v>
      </c>
      <c r="C421" s="216">
        <v>25</v>
      </c>
      <c r="D421" s="216">
        <v>1550</v>
      </c>
      <c r="E421" s="216">
        <v>49.299999237060497</v>
      </c>
      <c r="F421" s="216">
        <v>0.70551234483718905</v>
      </c>
      <c r="G421" s="216">
        <v>99.084861755371094</v>
      </c>
      <c r="H421" s="216">
        <v>1565.49475097656</v>
      </c>
      <c r="I421" s="216">
        <v>122.588623046875</v>
      </c>
      <c r="J421" s="216">
        <v>7.4575777053832999</v>
      </c>
      <c r="K421" s="216">
        <v>0.38028725981712302</v>
      </c>
      <c r="L421" s="216">
        <v>79.829902648925795</v>
      </c>
      <c r="M421" s="216">
        <v>1536</v>
      </c>
      <c r="N421" s="216">
        <v>12595.2001953125</v>
      </c>
      <c r="O421" s="216">
        <v>16.399999618530298</v>
      </c>
      <c r="P421" s="216" t="s">
        <v>1108</v>
      </c>
      <c r="Q421" s="216">
        <v>0.519999980926514</v>
      </c>
      <c r="R421" s="192">
        <f>VLOOKUP($A421,'RBSA Weights'!$A$2:$C$1406,3,FALSE)</f>
        <v>2079.9929999999999</v>
      </c>
      <c r="S421" s="216">
        <f t="shared" si="12"/>
        <v>1</v>
      </c>
      <c r="T421" s="216">
        <f t="shared" si="13"/>
        <v>2079.9929999999999</v>
      </c>
    </row>
    <row r="422" spans="1:20">
      <c r="A422" s="216">
        <v>23986</v>
      </c>
      <c r="B422" s="216">
        <v>1356</v>
      </c>
      <c r="C422" s="216">
        <v>24.600000381469702</v>
      </c>
      <c r="D422" s="216">
        <v>2080</v>
      </c>
      <c r="E422" s="216">
        <v>51.5</v>
      </c>
      <c r="F422" s="216">
        <v>0.57905822992324796</v>
      </c>
      <c r="G422" s="216">
        <v>212.24002075195301</v>
      </c>
      <c r="H422" s="216">
        <v>2044.701171875</v>
      </c>
      <c r="I422" s="216">
        <v>220.36224365234401</v>
      </c>
      <c r="J422" s="216">
        <v>5.1377844810485804</v>
      </c>
      <c r="K422" s="216">
        <v>0.32581794261932401</v>
      </c>
      <c r="L422" s="216">
        <v>129.66685485839801</v>
      </c>
      <c r="M422" s="216">
        <v>2912</v>
      </c>
      <c r="N422" s="216">
        <v>23878.400390625</v>
      </c>
      <c r="O422" s="216">
        <v>8.1999998092651403</v>
      </c>
      <c r="P422" s="216" t="s">
        <v>1109</v>
      </c>
      <c r="Q422" s="216">
        <v>0.62000000476837203</v>
      </c>
      <c r="R422" s="192">
        <f>VLOOKUP($A422,'RBSA Weights'!$A$2:$C$1406,3,FALSE)</f>
        <v>2130.886</v>
      </c>
      <c r="S422" s="216">
        <f t="shared" si="12"/>
        <v>0</v>
      </c>
      <c r="T422" s="216">
        <f t="shared" si="13"/>
        <v>0</v>
      </c>
    </row>
    <row r="423" spans="1:20">
      <c r="A423" s="216">
        <v>23995</v>
      </c>
      <c r="B423" s="216">
        <v>1615</v>
      </c>
      <c r="C423" s="216">
        <v>25.200000762939499</v>
      </c>
      <c r="D423" s="216">
        <v>2581</v>
      </c>
      <c r="E423" s="216">
        <v>49.799999237060497</v>
      </c>
      <c r="F423" s="216">
        <v>0.68828827142715499</v>
      </c>
      <c r="G423" s="216">
        <v>175.228591918945</v>
      </c>
      <c r="H423" s="216">
        <v>2588.13012695313</v>
      </c>
      <c r="I423" s="216">
        <v>211.67906188964801</v>
      </c>
      <c r="J423" s="216">
        <v>8.0448331832885707</v>
      </c>
      <c r="K423" s="216">
        <v>0.510872662067413</v>
      </c>
      <c r="L423" s="216">
        <v>164.35455322265599</v>
      </c>
      <c r="M423" s="216">
        <v>2354</v>
      </c>
      <c r="N423" s="216">
        <v>19302.80078125</v>
      </c>
      <c r="O423" s="216">
        <v>16.400001525878899</v>
      </c>
      <c r="Q423" s="216">
        <v>0.62000000476837203</v>
      </c>
      <c r="R423" s="192">
        <f>VLOOKUP($A423,'RBSA Weights'!$A$2:$C$1406,3,FALSE)</f>
        <v>2130.886</v>
      </c>
      <c r="S423" s="216">
        <f t="shared" si="12"/>
        <v>1</v>
      </c>
      <c r="T423" s="216">
        <f t="shared" si="13"/>
        <v>2130.886</v>
      </c>
    </row>
    <row r="424" spans="1:20">
      <c r="A424" s="216">
        <v>24016</v>
      </c>
      <c r="B424" s="216">
        <v>779</v>
      </c>
      <c r="C424" s="216">
        <v>25.200000762939499</v>
      </c>
      <c r="D424" s="216">
        <v>1264</v>
      </c>
      <c r="E424" s="216">
        <v>50.400001525878899</v>
      </c>
      <c r="F424" s="216">
        <v>0.69830125570297197</v>
      </c>
      <c r="G424" s="216">
        <v>81.834732055664105</v>
      </c>
      <c r="H424" s="216">
        <v>1256.986328125</v>
      </c>
      <c r="I424" s="216">
        <v>100.239532470703</v>
      </c>
      <c r="J424" s="216">
        <v>4.2858629226684597</v>
      </c>
      <c r="K424" s="216">
        <v>0.18164977431297299</v>
      </c>
      <c r="L424" s="216">
        <v>53.2754516601563</v>
      </c>
      <c r="M424" s="216">
        <v>2146</v>
      </c>
      <c r="N424" s="216">
        <v>17597.19921875</v>
      </c>
      <c r="O424" s="216">
        <v>8.1999998092651403</v>
      </c>
      <c r="Q424" s="216">
        <v>0.56000000238418601</v>
      </c>
      <c r="R424" s="192">
        <f>VLOOKUP($A424,'RBSA Weights'!$A$2:$C$1406,3,FALSE)</f>
        <v>12271.31</v>
      </c>
      <c r="S424" s="216">
        <f t="shared" si="12"/>
        <v>0</v>
      </c>
      <c r="T424" s="216">
        <f t="shared" si="13"/>
        <v>0</v>
      </c>
    </row>
    <row r="425" spans="1:20">
      <c r="A425" s="216">
        <v>24048</v>
      </c>
      <c r="B425" s="216">
        <v>1266</v>
      </c>
      <c r="C425" s="216">
        <v>25.299999237060501</v>
      </c>
      <c r="D425" s="216">
        <v>2129</v>
      </c>
      <c r="E425" s="216">
        <v>50.700000762939503</v>
      </c>
      <c r="F425" s="216">
        <v>0.74776858091354403</v>
      </c>
      <c r="G425" s="216">
        <v>113.037948608398</v>
      </c>
      <c r="H425" s="216">
        <v>2106.98120117188</v>
      </c>
      <c r="I425" s="216">
        <v>148.288650512695</v>
      </c>
      <c r="J425" s="216">
        <v>4.8283543586731001</v>
      </c>
      <c r="K425" s="216">
        <v>0.297890394926071</v>
      </c>
      <c r="L425" s="216">
        <v>129.99241638183599</v>
      </c>
      <c r="M425" s="216">
        <v>3193</v>
      </c>
      <c r="N425" s="216">
        <v>26182.599609375</v>
      </c>
      <c r="O425" s="216">
        <v>16.399999618530298</v>
      </c>
      <c r="Q425" s="216">
        <v>0.69999998807907104</v>
      </c>
      <c r="R425" s="192">
        <f>VLOOKUP($A425,'RBSA Weights'!$A$2:$C$1406,3,FALSE)</f>
        <v>3785.7640000000001</v>
      </c>
      <c r="S425" s="216">
        <f t="shared" si="12"/>
        <v>0</v>
      </c>
      <c r="T425" s="216">
        <f t="shared" si="13"/>
        <v>0</v>
      </c>
    </row>
    <row r="426" spans="1:20">
      <c r="A426" s="216">
        <v>24196</v>
      </c>
      <c r="B426" s="216">
        <v>2077</v>
      </c>
      <c r="C426" s="216">
        <v>24.799999237060501</v>
      </c>
      <c r="D426" s="216">
        <v>3063</v>
      </c>
      <c r="E426" s="216">
        <v>49.700000762939503</v>
      </c>
      <c r="F426" s="216">
        <v>0.55882030725479104</v>
      </c>
      <c r="G426" s="216">
        <v>345.29364013671898</v>
      </c>
      <c r="H426" s="216">
        <v>3073.31811523438</v>
      </c>
      <c r="I426" s="216">
        <v>348.58929443359398</v>
      </c>
      <c r="J426" s="216">
        <v>8.9592409133911097</v>
      </c>
      <c r="K426" s="216">
        <v>0.80173414945602395</v>
      </c>
      <c r="L426" s="216">
        <v>275.02151489257801</v>
      </c>
      <c r="M426" s="216">
        <v>2510</v>
      </c>
      <c r="N426" s="216">
        <v>20582</v>
      </c>
      <c r="O426" s="216">
        <v>16.399999618530298</v>
      </c>
      <c r="Q426" s="216">
        <v>0.62999999523162797</v>
      </c>
      <c r="R426" s="192">
        <f>VLOOKUP($A426,'RBSA Weights'!$A$2:$C$1406,3,FALSE)</f>
        <v>1904.288</v>
      </c>
      <c r="S426" s="216">
        <f t="shared" si="12"/>
        <v>1</v>
      </c>
      <c r="T426" s="216">
        <f t="shared" si="13"/>
        <v>1904.288</v>
      </c>
    </row>
    <row r="427" spans="1:20">
      <c r="A427" s="216">
        <v>24203</v>
      </c>
      <c r="B427" s="216">
        <v>843</v>
      </c>
      <c r="C427" s="216">
        <v>25.200000762939499</v>
      </c>
      <c r="D427" s="216">
        <v>1346</v>
      </c>
      <c r="E427" s="216">
        <v>50.299999237060497</v>
      </c>
      <c r="F427" s="216">
        <v>0.67701381444930997</v>
      </c>
      <c r="G427" s="216">
        <v>94.854957580566406</v>
      </c>
      <c r="H427" s="216">
        <v>1340.55981445313</v>
      </c>
      <c r="I427" s="216">
        <v>112.80934143066401</v>
      </c>
      <c r="J427" s="216">
        <v>4.8655629158020002</v>
      </c>
      <c r="K427" s="216">
        <v>0.282011449337006</v>
      </c>
      <c r="L427" s="216">
        <v>77.699790954589801</v>
      </c>
      <c r="M427" s="216">
        <v>2016</v>
      </c>
      <c r="N427" s="216">
        <v>16531.19921875</v>
      </c>
      <c r="O427" s="216">
        <v>16.399999618530298</v>
      </c>
      <c r="Q427" s="216">
        <v>0.55000001192092896</v>
      </c>
      <c r="R427" s="192">
        <f>VLOOKUP($A427,'RBSA Weights'!$A$2:$C$1406,3,FALSE)</f>
        <v>1904.288</v>
      </c>
      <c r="S427" s="216">
        <f t="shared" si="12"/>
        <v>0</v>
      </c>
      <c r="T427" s="216">
        <f t="shared" si="13"/>
        <v>0</v>
      </c>
    </row>
    <row r="428" spans="1:20">
      <c r="A428" s="216">
        <v>24209</v>
      </c>
      <c r="B428" s="216">
        <v>2432</v>
      </c>
      <c r="C428" s="216">
        <v>25.200000762939499</v>
      </c>
      <c r="D428" s="216">
        <v>3989</v>
      </c>
      <c r="E428" s="216">
        <v>49.900001525878899</v>
      </c>
      <c r="F428" s="216">
        <v>0.72430217266082797</v>
      </c>
      <c r="G428" s="216">
        <v>234.92330932617199</v>
      </c>
      <c r="H428" s="216">
        <v>3994.78833007813</v>
      </c>
      <c r="I428" s="216">
        <v>298.31945800781301</v>
      </c>
      <c r="Q428" s="216">
        <v>0.60000002384185802</v>
      </c>
      <c r="R428" s="192">
        <f>VLOOKUP($A428,'RBSA Weights'!$A$2:$C$1406,3,FALSE)</f>
        <v>1904.288</v>
      </c>
      <c r="S428" s="216">
        <f t="shared" si="12"/>
        <v>0</v>
      </c>
      <c r="T428" s="216">
        <f t="shared" si="13"/>
        <v>0</v>
      </c>
    </row>
    <row r="429" spans="1:20">
      <c r="A429" s="216">
        <v>24296</v>
      </c>
      <c r="B429" s="216">
        <v>1136</v>
      </c>
      <c r="C429" s="216">
        <v>24.899999618530298</v>
      </c>
      <c r="D429" s="216">
        <v>1826</v>
      </c>
      <c r="E429" s="216">
        <v>50.799999237060497</v>
      </c>
      <c r="F429" s="216">
        <v>0.66563177108764604</v>
      </c>
      <c r="G429" s="216">
        <v>133.66683959960901</v>
      </c>
      <c r="H429" s="216">
        <v>1806.80834960938</v>
      </c>
      <c r="I429" s="216">
        <v>156.47898864746099</v>
      </c>
      <c r="J429" s="216">
        <v>4.0804162025451696</v>
      </c>
      <c r="K429" s="216">
        <v>0.18446382880210899</v>
      </c>
      <c r="L429" s="216">
        <v>81.680587768554702</v>
      </c>
      <c r="M429" s="216">
        <v>3240</v>
      </c>
      <c r="N429" s="216">
        <v>26568</v>
      </c>
      <c r="O429" s="216">
        <v>8.1999998092651403</v>
      </c>
      <c r="Q429" s="216">
        <v>0.55000001192092896</v>
      </c>
      <c r="R429" s="192">
        <f>VLOOKUP($A429,'RBSA Weights'!$A$2:$C$1406,3,FALSE)</f>
        <v>3785.7640000000001</v>
      </c>
      <c r="S429" s="216">
        <f t="shared" si="12"/>
        <v>0</v>
      </c>
      <c r="T429" s="216">
        <f t="shared" si="13"/>
        <v>0</v>
      </c>
    </row>
    <row r="430" spans="1:20">
      <c r="A430" s="216">
        <v>24342</v>
      </c>
      <c r="B430" s="216">
        <v>1460</v>
      </c>
      <c r="C430" s="216">
        <v>24.700000762939499</v>
      </c>
      <c r="D430" s="216">
        <v>2334</v>
      </c>
      <c r="E430" s="216">
        <v>49.799999237060497</v>
      </c>
      <c r="F430" s="216">
        <v>0.66905200481414795</v>
      </c>
      <c r="G430" s="216">
        <v>170.83079528808599</v>
      </c>
      <c r="H430" s="216">
        <v>2340.26733398438</v>
      </c>
      <c r="I430" s="216">
        <v>200.93598937988301</v>
      </c>
      <c r="J430" s="216">
        <v>13.4305152893066</v>
      </c>
      <c r="K430" s="216">
        <v>0.66759777069091797</v>
      </c>
      <c r="L430" s="216">
        <v>116.32891845703099</v>
      </c>
      <c r="M430" s="216">
        <v>1275</v>
      </c>
      <c r="N430" s="216">
        <v>10455</v>
      </c>
      <c r="O430" s="216">
        <v>8.1999998092651403</v>
      </c>
      <c r="P430" s="216" t="s">
        <v>1110</v>
      </c>
      <c r="Q430" s="216">
        <v>0.61000001430511497</v>
      </c>
      <c r="R430" s="192">
        <f>VLOOKUP($A430,'RBSA Weights'!$A$2:$C$1406,3,FALSE)</f>
        <v>2130.886</v>
      </c>
      <c r="S430" s="216">
        <f t="shared" si="12"/>
        <v>1</v>
      </c>
      <c r="T430" s="216">
        <f t="shared" si="13"/>
        <v>2130.886</v>
      </c>
    </row>
    <row r="431" spans="1:20">
      <c r="A431" s="216">
        <v>24375</v>
      </c>
      <c r="B431" s="216">
        <v>593</v>
      </c>
      <c r="C431" s="216">
        <v>25</v>
      </c>
      <c r="D431" s="216">
        <v>933</v>
      </c>
      <c r="E431" s="216">
        <v>50</v>
      </c>
      <c r="F431" s="216">
        <v>0.65384495258331299</v>
      </c>
      <c r="G431" s="216">
        <v>72.280090332031307</v>
      </c>
      <c r="H431" s="216">
        <v>933</v>
      </c>
      <c r="I431" s="216">
        <v>83.244338989257798</v>
      </c>
      <c r="J431" s="216">
        <v>4.8728260993957502</v>
      </c>
      <c r="K431" s="216">
        <v>0.24757416546344799</v>
      </c>
      <c r="L431" s="216">
        <v>47.403026580810497</v>
      </c>
      <c r="M431" s="216">
        <v>1401</v>
      </c>
      <c r="N431" s="216">
        <v>11488.2001953125</v>
      </c>
      <c r="O431" s="216">
        <v>8.1999998092651403</v>
      </c>
      <c r="Q431" s="216">
        <v>0.60000002384185802</v>
      </c>
      <c r="R431" s="192">
        <f>VLOOKUP($A431,'RBSA Weights'!$A$2:$C$1406,3,FALSE)</f>
        <v>1612.692</v>
      </c>
      <c r="S431" s="216">
        <f t="shared" si="12"/>
        <v>0</v>
      </c>
      <c r="T431" s="216">
        <f t="shared" si="13"/>
        <v>0</v>
      </c>
    </row>
    <row r="432" spans="1:20">
      <c r="A432" s="216">
        <v>24378</v>
      </c>
      <c r="B432" s="216">
        <v>919</v>
      </c>
      <c r="C432" s="216">
        <v>24.799999237060501</v>
      </c>
      <c r="D432" s="216">
        <v>1560</v>
      </c>
      <c r="E432" s="216">
        <v>50.400001525878899</v>
      </c>
      <c r="F432" s="216">
        <v>0.74618458747863803</v>
      </c>
      <c r="G432" s="216">
        <v>83.713821411132798</v>
      </c>
      <c r="H432" s="216">
        <v>1550.75219726563</v>
      </c>
      <c r="I432" s="216">
        <v>109.57895660400401</v>
      </c>
      <c r="J432" s="216">
        <v>5.0430965423584002</v>
      </c>
      <c r="K432" s="216">
        <v>0.249909162521362</v>
      </c>
      <c r="L432" s="216">
        <v>76.847068786621094</v>
      </c>
      <c r="M432" s="216">
        <v>2250</v>
      </c>
      <c r="N432" s="216">
        <v>18450</v>
      </c>
      <c r="O432" s="216">
        <v>16.399999618530298</v>
      </c>
      <c r="Q432" s="216">
        <v>0.56000000238418601</v>
      </c>
      <c r="R432" s="192">
        <f>VLOOKUP($A432,'RBSA Weights'!$A$2:$C$1406,3,FALSE)</f>
        <v>12271.31</v>
      </c>
      <c r="S432" s="216">
        <f t="shared" si="12"/>
        <v>0</v>
      </c>
      <c r="T432" s="216">
        <f t="shared" si="13"/>
        <v>0</v>
      </c>
    </row>
    <row r="433" spans="1:20">
      <c r="A433" s="216">
        <v>24400</v>
      </c>
      <c r="B433" s="216">
        <v>1261</v>
      </c>
      <c r="C433" s="216">
        <v>25</v>
      </c>
      <c r="D433" s="216">
        <v>1960</v>
      </c>
      <c r="E433" s="216">
        <v>50</v>
      </c>
      <c r="F433" s="216">
        <v>0.63628536462783802</v>
      </c>
      <c r="G433" s="216">
        <v>162.63960266113301</v>
      </c>
      <c r="H433" s="216">
        <v>1959.99987792969</v>
      </c>
      <c r="I433" s="216">
        <v>182.80596923828099</v>
      </c>
      <c r="J433" s="216">
        <v>6.4952278137206996</v>
      </c>
      <c r="K433" s="216">
        <v>0.41725689172744801</v>
      </c>
      <c r="L433" s="216">
        <v>125.91143798828099</v>
      </c>
      <c r="M433" s="216">
        <v>2208</v>
      </c>
      <c r="N433" s="216">
        <v>18105.599609375</v>
      </c>
      <c r="O433" s="216">
        <v>16.399999618530298</v>
      </c>
      <c r="Q433" s="216">
        <v>0.55000001192092896</v>
      </c>
      <c r="R433" s="192">
        <f>VLOOKUP($A433,'RBSA Weights'!$A$2:$C$1406,3,FALSE)</f>
        <v>1612.692</v>
      </c>
      <c r="S433" s="216">
        <f t="shared" si="12"/>
        <v>0</v>
      </c>
      <c r="T433" s="216">
        <f t="shared" si="13"/>
        <v>0</v>
      </c>
    </row>
    <row r="434" spans="1:20">
      <c r="A434" s="216">
        <v>24401</v>
      </c>
      <c r="B434" s="216">
        <v>2766</v>
      </c>
      <c r="C434" s="216">
        <v>25</v>
      </c>
      <c r="D434" s="216">
        <v>4316</v>
      </c>
      <c r="E434" s="216">
        <v>50</v>
      </c>
      <c r="F434" s="216">
        <v>0.64189368486404397</v>
      </c>
      <c r="G434" s="216">
        <v>350.36709594726602</v>
      </c>
      <c r="H434" s="216">
        <v>4316</v>
      </c>
      <c r="I434" s="216">
        <v>396.88430786132801</v>
      </c>
      <c r="J434" s="216">
        <v>8.2455577850341797</v>
      </c>
      <c r="K434" s="216">
        <v>0.53174406290054299</v>
      </c>
      <c r="L434" s="216">
        <v>278.33258056640602</v>
      </c>
      <c r="M434" s="216">
        <v>3830</v>
      </c>
      <c r="N434" s="216">
        <v>31406</v>
      </c>
      <c r="O434" s="216">
        <v>16.399999618530298</v>
      </c>
      <c r="P434" s="216" t="s">
        <v>1111</v>
      </c>
      <c r="Q434" s="216">
        <v>0.56000000238418601</v>
      </c>
      <c r="R434" s="192">
        <f>VLOOKUP($A434,'RBSA Weights'!$A$2:$C$1406,3,FALSE)</f>
        <v>1612.692</v>
      </c>
      <c r="S434" s="216">
        <f t="shared" si="12"/>
        <v>1</v>
      </c>
      <c r="T434" s="216">
        <f t="shared" si="13"/>
        <v>1612.692</v>
      </c>
    </row>
    <row r="435" spans="1:20">
      <c r="A435" s="216">
        <v>24418</v>
      </c>
      <c r="B435" s="216">
        <v>2168</v>
      </c>
      <c r="C435" s="216">
        <v>25.200000762939499</v>
      </c>
      <c r="D435" s="216">
        <v>3404</v>
      </c>
      <c r="E435" s="216">
        <v>49.599998474121101</v>
      </c>
      <c r="F435" s="216">
        <v>0.66624569892883301</v>
      </c>
      <c r="G435" s="216">
        <v>252.57025146484401</v>
      </c>
      <c r="H435" s="216">
        <v>3422.26513671875</v>
      </c>
      <c r="I435" s="216">
        <v>295.92672729492199</v>
      </c>
      <c r="J435" s="216">
        <v>7.7766971588134801</v>
      </c>
      <c r="K435" s="216">
        <v>0.60414916276931796</v>
      </c>
      <c r="L435" s="216">
        <v>265.86590576171898</v>
      </c>
      <c r="M435" s="216">
        <v>3220</v>
      </c>
      <c r="N435" s="216">
        <v>26404</v>
      </c>
      <c r="O435" s="216">
        <v>24.599998474121101</v>
      </c>
      <c r="Q435" s="216">
        <v>0.61000001430511497</v>
      </c>
      <c r="R435" s="192">
        <f>VLOOKUP($A435,'RBSA Weights'!$A$2:$C$1406,3,FALSE)</f>
        <v>1144.6790000000001</v>
      </c>
      <c r="S435" s="216">
        <f t="shared" si="12"/>
        <v>1</v>
      </c>
      <c r="T435" s="216">
        <f t="shared" si="13"/>
        <v>1144.6790000000001</v>
      </c>
    </row>
    <row r="436" spans="1:20">
      <c r="A436" s="216">
        <v>24451</v>
      </c>
      <c r="B436" s="216">
        <v>950</v>
      </c>
      <c r="C436" s="216">
        <v>26.700000762939499</v>
      </c>
      <c r="D436" s="216">
        <v>1425</v>
      </c>
      <c r="E436" s="216">
        <v>49.799999237060497</v>
      </c>
      <c r="F436" s="216">
        <v>0.650459945201874</v>
      </c>
      <c r="G436" s="216">
        <v>112.15926361084</v>
      </c>
      <c r="H436" s="216">
        <v>1428.71984863281</v>
      </c>
      <c r="I436" s="216">
        <v>128.56808471679699</v>
      </c>
      <c r="J436" s="216">
        <v>8.5688915252685494</v>
      </c>
      <c r="K436" s="216">
        <v>0.38055214285850503</v>
      </c>
      <c r="L436" s="216">
        <v>63.450729370117202</v>
      </c>
      <c r="M436" s="216">
        <v>1220</v>
      </c>
      <c r="N436" s="216">
        <v>10004</v>
      </c>
      <c r="O436" s="216">
        <v>8.1999998092651403</v>
      </c>
      <c r="Q436" s="216">
        <v>0.519999980926514</v>
      </c>
      <c r="R436" s="192">
        <f>VLOOKUP($A436,'RBSA Weights'!$A$2:$C$1406,3,FALSE)</f>
        <v>2079.9929999999999</v>
      </c>
      <c r="S436" s="216">
        <f t="shared" si="12"/>
        <v>1</v>
      </c>
      <c r="T436" s="216">
        <f t="shared" si="13"/>
        <v>2079.9929999999999</v>
      </c>
    </row>
    <row r="437" spans="1:20">
      <c r="A437" s="216">
        <v>24456</v>
      </c>
      <c r="B437" s="216">
        <v>427</v>
      </c>
      <c r="C437" s="216">
        <v>24.799999237060501</v>
      </c>
      <c r="D437" s="216">
        <v>638</v>
      </c>
      <c r="E437" s="216">
        <v>49.799999237060497</v>
      </c>
      <c r="F437" s="216">
        <v>0.57597643136978105</v>
      </c>
      <c r="G437" s="216">
        <v>67.182563781738295</v>
      </c>
      <c r="H437" s="216">
        <v>639.47454833984398</v>
      </c>
      <c r="I437" s="216">
        <v>69.456207275390597</v>
      </c>
      <c r="J437" s="216">
        <v>3.2858722209930402</v>
      </c>
      <c r="K437" s="216">
        <v>0.24048994481563599</v>
      </c>
      <c r="L437" s="216">
        <v>46.802547454833999</v>
      </c>
      <c r="M437" s="216">
        <v>1424</v>
      </c>
      <c r="N437" s="216">
        <v>11676.7998046875</v>
      </c>
      <c r="O437" s="216">
        <v>8.1999998092651403</v>
      </c>
      <c r="Q437" s="216">
        <v>0.70999997854232799</v>
      </c>
      <c r="R437" s="192">
        <f>VLOOKUP($A437,'RBSA Weights'!$A$2:$C$1406,3,FALSE)</f>
        <v>2130.886</v>
      </c>
      <c r="S437" s="216">
        <f t="shared" si="12"/>
        <v>0</v>
      </c>
      <c r="T437" s="216">
        <f t="shared" si="13"/>
        <v>0</v>
      </c>
    </row>
    <row r="438" spans="1:20">
      <c r="A438" s="216">
        <v>24462</v>
      </c>
      <c r="B438" s="216">
        <v>1248</v>
      </c>
      <c r="C438" s="216">
        <v>24.799999237060501</v>
      </c>
      <c r="D438" s="216">
        <v>2030</v>
      </c>
      <c r="E438" s="216">
        <v>50.200000762939503</v>
      </c>
      <c r="F438" s="216">
        <v>0.68989396095275901</v>
      </c>
      <c r="G438" s="216">
        <v>136.20429992675801</v>
      </c>
      <c r="H438" s="216">
        <v>2024.4169921875</v>
      </c>
      <c r="I438" s="216">
        <v>164.903732299805</v>
      </c>
      <c r="J438" s="216">
        <v>9.9281549453735405</v>
      </c>
      <c r="K438" s="216">
        <v>0.55702394247055098</v>
      </c>
      <c r="L438" s="216">
        <v>113.580894470215</v>
      </c>
      <c r="M438" s="216">
        <v>1492</v>
      </c>
      <c r="N438" s="216">
        <v>12234.400390625</v>
      </c>
      <c r="O438" s="216">
        <v>16.399999618530298</v>
      </c>
      <c r="Q438" s="216">
        <v>0.55000001192092896</v>
      </c>
      <c r="R438" s="192">
        <f>VLOOKUP($A438,'RBSA Weights'!$A$2:$C$1406,3,FALSE)</f>
        <v>3785.7640000000001</v>
      </c>
      <c r="S438" s="216">
        <f t="shared" si="12"/>
        <v>1</v>
      </c>
      <c r="T438" s="216">
        <f t="shared" si="13"/>
        <v>3785.7640000000001</v>
      </c>
    </row>
    <row r="439" spans="1:20">
      <c r="A439" s="216">
        <v>24495</v>
      </c>
      <c r="B439" s="216">
        <v>1346</v>
      </c>
      <c r="C439" s="216">
        <v>26</v>
      </c>
      <c r="D439" s="216">
        <v>2059</v>
      </c>
      <c r="E439" s="216">
        <v>49.799999237060497</v>
      </c>
      <c r="F439" s="216">
        <v>0.65405625104904197</v>
      </c>
      <c r="G439" s="216">
        <v>159.79856872558599</v>
      </c>
      <c r="H439" s="216">
        <v>2064.40478515625</v>
      </c>
      <c r="I439" s="216">
        <v>184.09249877929699</v>
      </c>
      <c r="J439" s="216">
        <v>6.3070569038391104</v>
      </c>
      <c r="K439" s="216">
        <v>0.28290712833404502</v>
      </c>
      <c r="L439" s="216">
        <v>92.6002197265625</v>
      </c>
      <c r="M439" s="216">
        <v>2395</v>
      </c>
      <c r="N439" s="216">
        <v>19639</v>
      </c>
      <c r="O439" s="216">
        <v>8.1999998092651403</v>
      </c>
      <c r="Q439" s="216">
        <v>0.52999997138977095</v>
      </c>
      <c r="R439" s="192">
        <f>VLOOKUP($A439,'RBSA Weights'!$A$2:$C$1406,3,FALSE)</f>
        <v>4360.1880000000001</v>
      </c>
      <c r="S439" s="216">
        <f t="shared" si="12"/>
        <v>0</v>
      </c>
      <c r="T439" s="216">
        <f t="shared" si="13"/>
        <v>0</v>
      </c>
    </row>
    <row r="440" spans="1:20">
      <c r="A440" s="216">
        <v>24536</v>
      </c>
      <c r="B440" s="216">
        <v>320</v>
      </c>
      <c r="C440" s="216">
        <v>25.100000381469702</v>
      </c>
      <c r="D440" s="216">
        <v>497</v>
      </c>
      <c r="E440" s="216">
        <v>49.700000762939503</v>
      </c>
      <c r="F440" s="216">
        <v>0.644481241703033</v>
      </c>
      <c r="G440" s="216">
        <v>40.094657897949197</v>
      </c>
      <c r="H440" s="216">
        <v>498.93136596679699</v>
      </c>
      <c r="I440" s="216">
        <v>45.581119537353501</v>
      </c>
      <c r="J440" s="216">
        <v>2.28169822692871</v>
      </c>
      <c r="K440" s="216">
        <v>0.13848431408405301</v>
      </c>
      <c r="L440" s="216">
        <v>30.281902313232401</v>
      </c>
      <c r="M440" s="216">
        <v>1600</v>
      </c>
      <c r="N440" s="216">
        <v>13120</v>
      </c>
      <c r="O440" s="216">
        <v>8.1999998092651403</v>
      </c>
      <c r="Q440" s="216">
        <v>0.69999998807907104</v>
      </c>
      <c r="R440" s="192">
        <f>VLOOKUP($A440,'RBSA Weights'!$A$2:$C$1406,3,FALSE)</f>
        <v>1192.4649999999999</v>
      </c>
      <c r="S440" s="216">
        <f t="shared" si="12"/>
        <v>0</v>
      </c>
      <c r="T440" s="216">
        <f t="shared" si="13"/>
        <v>0</v>
      </c>
    </row>
    <row r="441" spans="1:20">
      <c r="A441" s="216">
        <v>24550</v>
      </c>
      <c r="B441" s="216">
        <v>1732</v>
      </c>
      <c r="C441" s="216">
        <v>25</v>
      </c>
      <c r="D441" s="216">
        <v>2826</v>
      </c>
      <c r="E441" s="216">
        <v>50</v>
      </c>
      <c r="F441" s="216">
        <v>0.70632255077362105</v>
      </c>
      <c r="G441" s="216">
        <v>178.29998779296901</v>
      </c>
      <c r="H441" s="216">
        <v>2826</v>
      </c>
      <c r="I441" s="216">
        <v>220.84216308593801</v>
      </c>
      <c r="J441" s="216">
        <v>16.0918674468994</v>
      </c>
      <c r="K441" s="216">
        <v>0.632546126842499</v>
      </c>
      <c r="L441" s="216">
        <v>111.085647583008</v>
      </c>
      <c r="M441" s="216">
        <v>1285</v>
      </c>
      <c r="N441" s="216">
        <v>10537</v>
      </c>
      <c r="O441" s="216">
        <v>8.1999998092651403</v>
      </c>
      <c r="Q441" s="216">
        <v>0.52999997138977095</v>
      </c>
      <c r="R441" s="192">
        <f>VLOOKUP($A441,'RBSA Weights'!$A$2:$C$1406,3,FALSE)</f>
        <v>8264.9449999999997</v>
      </c>
      <c r="S441" s="216">
        <f t="shared" si="12"/>
        <v>1</v>
      </c>
      <c r="T441" s="216">
        <f t="shared" si="13"/>
        <v>8264.9449999999997</v>
      </c>
    </row>
    <row r="442" spans="1:20">
      <c r="A442" s="216">
        <v>24551</v>
      </c>
      <c r="B442" s="216">
        <v>2654</v>
      </c>
      <c r="C442" s="216">
        <v>24.799999237060501</v>
      </c>
      <c r="D442" s="216">
        <v>3708</v>
      </c>
      <c r="E442" s="216">
        <v>49.700000762939503</v>
      </c>
      <c r="F442" s="216">
        <v>0.481074959039688</v>
      </c>
      <c r="G442" s="216">
        <v>566.32421875</v>
      </c>
      <c r="H442" s="216">
        <v>3718.75073242188</v>
      </c>
      <c r="I442" s="216">
        <v>513.31414794921898</v>
      </c>
      <c r="J442" s="216">
        <v>6.8713059425354004</v>
      </c>
      <c r="K442" s="216">
        <v>0.63912218809127797</v>
      </c>
      <c r="L442" s="216">
        <v>345.89291381835898</v>
      </c>
      <c r="M442" s="216">
        <v>3960</v>
      </c>
      <c r="N442" s="216">
        <v>32472</v>
      </c>
      <c r="O442" s="216">
        <v>8.1999998092651403</v>
      </c>
      <c r="P442" s="216" t="s">
        <v>1112</v>
      </c>
      <c r="Q442" s="216">
        <v>0.70999997854232799</v>
      </c>
      <c r="R442" s="192">
        <f>VLOOKUP($A442,'RBSA Weights'!$A$2:$C$1406,3,FALSE)</f>
        <v>2130.886</v>
      </c>
      <c r="S442" s="216">
        <f t="shared" si="12"/>
        <v>0</v>
      </c>
      <c r="T442" s="216">
        <f t="shared" si="13"/>
        <v>0</v>
      </c>
    </row>
    <row r="443" spans="1:20">
      <c r="A443" s="216">
        <v>24622</v>
      </c>
      <c r="B443" s="216">
        <v>3579</v>
      </c>
      <c r="C443" s="216">
        <v>25</v>
      </c>
      <c r="D443" s="216">
        <v>5185</v>
      </c>
      <c r="E443" s="216">
        <v>50</v>
      </c>
      <c r="F443" s="216">
        <v>0.53478741645812999</v>
      </c>
      <c r="G443" s="216">
        <v>639.97198486328102</v>
      </c>
      <c r="H443" s="216">
        <v>5185</v>
      </c>
      <c r="I443" s="216">
        <v>624.90954589843795</v>
      </c>
      <c r="J443" s="216">
        <v>37.637924194335902</v>
      </c>
      <c r="K443" s="216">
        <v>3.5788762569427499</v>
      </c>
      <c r="L443" s="216">
        <v>493.02597045898398</v>
      </c>
      <c r="M443" s="216">
        <v>1008</v>
      </c>
      <c r="N443" s="216">
        <v>8265.599609375</v>
      </c>
      <c r="O443" s="216">
        <v>16.399999618530298</v>
      </c>
      <c r="P443" s="216" t="s">
        <v>1113</v>
      </c>
      <c r="Q443" s="216">
        <v>0.62999999523162797</v>
      </c>
      <c r="R443" s="192">
        <f>VLOOKUP($A443,'RBSA Weights'!$A$2:$C$1406,3,FALSE)</f>
        <v>2130.886</v>
      </c>
      <c r="S443" s="216">
        <f t="shared" si="12"/>
        <v>1</v>
      </c>
      <c r="T443" s="216">
        <f t="shared" si="13"/>
        <v>2130.886</v>
      </c>
    </row>
    <row r="444" spans="1:20">
      <c r="A444" s="216">
        <v>24672</v>
      </c>
      <c r="B444" s="216">
        <v>1683</v>
      </c>
      <c r="C444" s="216">
        <v>24.600000381469702</v>
      </c>
      <c r="D444" s="216">
        <v>2699</v>
      </c>
      <c r="E444" s="216">
        <v>49.700000762939503</v>
      </c>
      <c r="F444" s="216">
        <v>0.67159289121627797</v>
      </c>
      <c r="G444" s="216">
        <v>195.85830688476599</v>
      </c>
      <c r="H444" s="216">
        <v>2709.9306640625</v>
      </c>
      <c r="I444" s="216">
        <v>231.18695068359401</v>
      </c>
      <c r="J444" s="216">
        <v>5.5418562889099103</v>
      </c>
      <c r="K444" s="216">
        <v>0.349320828914642</v>
      </c>
      <c r="L444" s="216">
        <v>170.81555175781301</v>
      </c>
      <c r="M444" s="216">
        <v>3578</v>
      </c>
      <c r="N444" s="216">
        <v>29339.599609375</v>
      </c>
      <c r="O444" s="216">
        <v>16.399999618530298</v>
      </c>
      <c r="Q444" s="216">
        <v>0.58999997377395597</v>
      </c>
      <c r="R444" s="192">
        <f>VLOOKUP($A444,'RBSA Weights'!$A$2:$C$1406,3,FALSE)</f>
        <v>3785.7640000000001</v>
      </c>
      <c r="S444" s="216">
        <f t="shared" si="12"/>
        <v>0</v>
      </c>
      <c r="T444" s="216">
        <f t="shared" si="13"/>
        <v>0</v>
      </c>
    </row>
    <row r="445" spans="1:20">
      <c r="A445" s="216">
        <v>24684</v>
      </c>
      <c r="B445" s="216">
        <v>1951</v>
      </c>
      <c r="C445" s="216">
        <v>25.5</v>
      </c>
      <c r="D445" s="216">
        <v>3082</v>
      </c>
      <c r="E445" s="216">
        <v>49.700000762939503</v>
      </c>
      <c r="F445" s="216">
        <v>0.68517684936523404</v>
      </c>
      <c r="G445" s="216">
        <v>212.09405517578099</v>
      </c>
      <c r="H445" s="216">
        <v>3094.73461914063</v>
      </c>
      <c r="I445" s="216">
        <v>255.11039733886699</v>
      </c>
      <c r="J445" s="216">
        <v>11.1329393386841</v>
      </c>
      <c r="K445" s="216">
        <v>0.54872566461563099</v>
      </c>
      <c r="L445" s="216">
        <v>152.53477478027301</v>
      </c>
      <c r="M445" s="216">
        <v>2034</v>
      </c>
      <c r="N445" s="216">
        <v>16678.80078125</v>
      </c>
      <c r="O445" s="216">
        <v>8.2000007629394496</v>
      </c>
      <c r="Q445" s="216">
        <v>0.62999999523162797</v>
      </c>
      <c r="R445" s="192">
        <f>VLOOKUP($A445,'RBSA Weights'!$A$2:$C$1406,3,FALSE)</f>
        <v>1904.288</v>
      </c>
      <c r="S445" s="216">
        <f t="shared" si="12"/>
        <v>1</v>
      </c>
      <c r="T445" s="216">
        <f t="shared" si="13"/>
        <v>1904.288</v>
      </c>
    </row>
    <row r="446" spans="1:20">
      <c r="A446" s="216">
        <v>24696</v>
      </c>
      <c r="B446" s="216">
        <v>1360</v>
      </c>
      <c r="C446" s="216">
        <v>25.399999618530298</v>
      </c>
      <c r="D446" s="216">
        <v>2122</v>
      </c>
      <c r="E446" s="216">
        <v>50.5</v>
      </c>
      <c r="F446" s="216">
        <v>0.64734965562820401</v>
      </c>
      <c r="G446" s="216">
        <v>167.54067993164099</v>
      </c>
      <c r="H446" s="216">
        <v>2108.37524414063</v>
      </c>
      <c r="I446" s="216">
        <v>191.22544860839801</v>
      </c>
      <c r="J446" s="216">
        <v>11.0193824768066</v>
      </c>
      <c r="K446" s="216">
        <v>0.493240237236023</v>
      </c>
      <c r="L446" s="216">
        <v>94.373298645019503</v>
      </c>
      <c r="M446" s="216">
        <v>1400</v>
      </c>
      <c r="N446" s="216">
        <v>11480</v>
      </c>
      <c r="O446" s="216">
        <v>8.1999998092651403</v>
      </c>
      <c r="Q446" s="216">
        <v>0.519999980926514</v>
      </c>
      <c r="R446" s="192">
        <f>VLOOKUP($A446,'RBSA Weights'!$A$2:$C$1406,3,FALSE)</f>
        <v>2079.9929999999999</v>
      </c>
      <c r="S446" s="216">
        <f t="shared" si="12"/>
        <v>1</v>
      </c>
      <c r="T446" s="216">
        <f t="shared" si="13"/>
        <v>2079.9929999999999</v>
      </c>
    </row>
    <row r="447" spans="1:20">
      <c r="A447" s="216">
        <v>24770</v>
      </c>
      <c r="B447" s="216">
        <v>960</v>
      </c>
      <c r="C447" s="216">
        <v>24.799999237060501</v>
      </c>
      <c r="D447" s="216">
        <v>1538</v>
      </c>
      <c r="E447" s="216">
        <v>50.400001525878899</v>
      </c>
      <c r="F447" s="216">
        <v>0.66460758447647095</v>
      </c>
      <c r="G447" s="216">
        <v>113.63394165039099</v>
      </c>
      <c r="H447" s="216">
        <v>1529.87670898438</v>
      </c>
      <c r="I447" s="216">
        <v>132.838455200195</v>
      </c>
      <c r="J447" s="216">
        <v>6.1103816032409703</v>
      </c>
      <c r="K447" s="216">
        <v>0.43187808990478499</v>
      </c>
      <c r="L447" s="216">
        <v>108.13076019287099</v>
      </c>
      <c r="M447" s="216">
        <v>1832</v>
      </c>
      <c r="N447" s="216">
        <v>15022.400390625</v>
      </c>
      <c r="O447" s="216">
        <v>16.399999618530298</v>
      </c>
      <c r="Q447" s="216">
        <v>0.64999997615814198</v>
      </c>
      <c r="R447" s="192">
        <f>VLOOKUP($A447,'RBSA Weights'!$A$2:$C$1406,3,FALSE)</f>
        <v>3785.7640000000001</v>
      </c>
      <c r="S447" s="216">
        <f t="shared" si="12"/>
        <v>0</v>
      </c>
      <c r="T447" s="216">
        <f t="shared" si="13"/>
        <v>0</v>
      </c>
    </row>
    <row r="448" spans="1:20">
      <c r="A448" s="216">
        <v>24808</v>
      </c>
      <c r="B448" s="216">
        <v>1292</v>
      </c>
      <c r="C448" s="216">
        <v>25.100000381469702</v>
      </c>
      <c r="D448" s="216">
        <v>1879</v>
      </c>
      <c r="E448" s="216">
        <v>49.599998474121101</v>
      </c>
      <c r="F448" s="216">
        <v>0.54989826679229703</v>
      </c>
      <c r="G448" s="216">
        <v>219.57574462890599</v>
      </c>
      <c r="H448" s="216">
        <v>1887.31774902344</v>
      </c>
      <c r="I448" s="216">
        <v>218.94659423828099</v>
      </c>
      <c r="J448" s="216">
        <v>11.1548004150391</v>
      </c>
      <c r="K448" s="216">
        <v>0.62636178731918302</v>
      </c>
      <c r="L448" s="216">
        <v>105.976234436035</v>
      </c>
      <c r="M448" s="216">
        <v>1238</v>
      </c>
      <c r="N448" s="216">
        <v>10151.599609375</v>
      </c>
      <c r="O448" s="216">
        <v>8.1999998092651403</v>
      </c>
      <c r="Q448" s="216">
        <v>0.50999999046325695</v>
      </c>
      <c r="R448" s="192">
        <f>VLOOKUP($A448,'RBSA Weights'!$A$2:$C$1406,3,FALSE)</f>
        <v>3785.7640000000001</v>
      </c>
      <c r="S448" s="216">
        <f t="shared" si="12"/>
        <v>1</v>
      </c>
      <c r="T448" s="216">
        <f t="shared" si="13"/>
        <v>3785.7640000000001</v>
      </c>
    </row>
    <row r="449" spans="1:20">
      <c r="A449" s="216">
        <v>24822</v>
      </c>
      <c r="B449" s="216">
        <v>1258</v>
      </c>
      <c r="C449" s="216">
        <v>25</v>
      </c>
      <c r="D449" s="216">
        <v>1808</v>
      </c>
      <c r="E449" s="216">
        <v>49.5</v>
      </c>
      <c r="F449" s="216">
        <v>0.530961453914642</v>
      </c>
      <c r="G449" s="216">
        <v>227.73426818847699</v>
      </c>
      <c r="H449" s="216">
        <v>1817.67395019531</v>
      </c>
      <c r="I449" s="216">
        <v>221.19796752929699</v>
      </c>
      <c r="J449" s="216">
        <v>4.5704650878906303</v>
      </c>
      <c r="K449" s="216">
        <v>0.42488119006156899</v>
      </c>
      <c r="L449" s="216">
        <v>168.97525024414099</v>
      </c>
      <c r="M449" s="216">
        <v>2910</v>
      </c>
      <c r="N449" s="216">
        <v>23862</v>
      </c>
      <c r="O449" s="216">
        <v>16.399999618530298</v>
      </c>
      <c r="P449" s="216" t="s">
        <v>1114</v>
      </c>
      <c r="Q449" s="216">
        <v>0.61000001430511497</v>
      </c>
      <c r="R449" s="192">
        <f>VLOOKUP($A449,'RBSA Weights'!$A$2:$C$1406,3,FALSE)</f>
        <v>1144.6790000000001</v>
      </c>
      <c r="S449" s="216">
        <f t="shared" si="12"/>
        <v>0</v>
      </c>
      <c r="T449" s="216">
        <f t="shared" si="13"/>
        <v>0</v>
      </c>
    </row>
    <row r="450" spans="1:20">
      <c r="A450" s="216">
        <v>24866</v>
      </c>
      <c r="B450" s="216">
        <v>2129</v>
      </c>
      <c r="C450" s="216">
        <v>25.100000381469702</v>
      </c>
      <c r="D450" s="216">
        <v>3476</v>
      </c>
      <c r="E450" s="216">
        <v>50.099998474121101</v>
      </c>
      <c r="F450" s="216">
        <v>0.70929265022277799</v>
      </c>
      <c r="G450" s="216">
        <v>216.46983337402301</v>
      </c>
      <c r="H450" s="216">
        <v>3471.07763671875</v>
      </c>
      <c r="I450" s="216">
        <v>269.22552490234398</v>
      </c>
      <c r="J450" s="216">
        <v>11.623857498168899</v>
      </c>
      <c r="K450" s="216">
        <v>0.453500866889954</v>
      </c>
      <c r="L450" s="216">
        <v>135.42291259765599</v>
      </c>
      <c r="M450" s="216">
        <v>2185</v>
      </c>
      <c r="N450" s="216">
        <v>17917</v>
      </c>
      <c r="O450" s="216">
        <v>8.1999998092651403</v>
      </c>
      <c r="P450" s="216" t="s">
        <v>1115</v>
      </c>
      <c r="Q450" s="216">
        <v>0.52999997138977095</v>
      </c>
      <c r="R450" s="192">
        <f>VLOOKUP($A450,'RBSA Weights'!$A$2:$C$1406,3,FALSE)</f>
        <v>4360.1880000000001</v>
      </c>
      <c r="S450" s="216">
        <f t="shared" si="12"/>
        <v>1</v>
      </c>
      <c r="T450" s="216">
        <f t="shared" si="13"/>
        <v>4360.1880000000001</v>
      </c>
    </row>
  </sheetData>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dimension ref="A1:C1406"/>
  <sheetViews>
    <sheetView workbookViewId="0">
      <selection activeCell="A2" sqref="A2"/>
    </sheetView>
  </sheetViews>
  <sheetFormatPr defaultRowHeight="12.75"/>
  <sheetData>
    <row r="1" spans="1:3">
      <c r="A1" t="s">
        <v>1610</v>
      </c>
    </row>
    <row r="2" spans="1:3">
      <c r="A2" s="66" t="s">
        <v>315</v>
      </c>
      <c r="B2" s="66" t="s">
        <v>316</v>
      </c>
      <c r="C2" s="66" t="s">
        <v>317</v>
      </c>
    </row>
    <row r="3" spans="1:3">
      <c r="A3" s="67">
        <v>10002</v>
      </c>
      <c r="B3" s="67" t="s">
        <v>318</v>
      </c>
      <c r="C3" s="67">
        <v>1524.7619999999999</v>
      </c>
    </row>
    <row r="4" spans="1:3">
      <c r="A4" s="67">
        <v>10005</v>
      </c>
      <c r="B4" s="67" t="s">
        <v>319</v>
      </c>
      <c r="C4" s="67">
        <v>1188.027</v>
      </c>
    </row>
    <row r="5" spans="1:3">
      <c r="A5" s="67">
        <v>10011</v>
      </c>
      <c r="B5" s="67" t="s">
        <v>318</v>
      </c>
      <c r="C5" s="67">
        <v>4956.4930000000004</v>
      </c>
    </row>
    <row r="6" spans="1:3">
      <c r="A6" s="67">
        <v>10016</v>
      </c>
      <c r="B6" s="67" t="s">
        <v>319</v>
      </c>
      <c r="C6" s="67">
        <v>6932.7380000000003</v>
      </c>
    </row>
    <row r="7" spans="1:3">
      <c r="A7" s="67">
        <v>10021</v>
      </c>
      <c r="B7" s="67" t="s">
        <v>318</v>
      </c>
      <c r="C7" s="67">
        <v>1150.8789999999999</v>
      </c>
    </row>
    <row r="8" spans="1:3">
      <c r="A8" s="67">
        <v>10030</v>
      </c>
      <c r="B8" s="67" t="s">
        <v>318</v>
      </c>
      <c r="C8" s="67">
        <v>4956.4930000000004</v>
      </c>
    </row>
    <row r="9" spans="1:3">
      <c r="A9" s="67">
        <v>10040</v>
      </c>
      <c r="B9" s="67" t="s">
        <v>318</v>
      </c>
      <c r="C9" s="67">
        <v>1524.7619999999999</v>
      </c>
    </row>
    <row r="10" spans="1:3">
      <c r="A10" s="67">
        <v>10044</v>
      </c>
      <c r="B10" s="67" t="s">
        <v>318</v>
      </c>
      <c r="C10" s="67">
        <v>2003.7159999999999</v>
      </c>
    </row>
    <row r="11" spans="1:3">
      <c r="A11" s="67">
        <v>10052</v>
      </c>
      <c r="B11" s="67" t="s">
        <v>318</v>
      </c>
      <c r="C11" s="67">
        <v>4956.4930000000004</v>
      </c>
    </row>
    <row r="12" spans="1:3">
      <c r="A12" s="67">
        <v>10055</v>
      </c>
      <c r="B12" s="67" t="s">
        <v>318</v>
      </c>
      <c r="C12" s="67">
        <v>4956.4930000000004</v>
      </c>
    </row>
    <row r="13" spans="1:3">
      <c r="A13" s="67">
        <v>10062</v>
      </c>
      <c r="B13" s="67" t="s">
        <v>318</v>
      </c>
      <c r="C13" s="67">
        <v>4956.4930000000004</v>
      </c>
    </row>
    <row r="14" spans="1:3">
      <c r="A14" s="67">
        <v>10068</v>
      </c>
      <c r="B14" s="67" t="s">
        <v>318</v>
      </c>
      <c r="C14" s="67">
        <v>2003.7159999999999</v>
      </c>
    </row>
    <row r="15" spans="1:3">
      <c r="A15" s="67">
        <v>10079</v>
      </c>
      <c r="B15" s="67" t="s">
        <v>318</v>
      </c>
      <c r="C15" s="67">
        <v>1524.7619999999999</v>
      </c>
    </row>
    <row r="16" spans="1:3">
      <c r="A16" s="67">
        <v>10082</v>
      </c>
      <c r="B16" s="67" t="s">
        <v>318</v>
      </c>
      <c r="C16" s="67">
        <v>4956.4930000000004</v>
      </c>
    </row>
    <row r="17" spans="1:3">
      <c r="A17" s="67">
        <v>10083</v>
      </c>
      <c r="B17" s="67" t="s">
        <v>318</v>
      </c>
      <c r="C17" s="67">
        <v>4956.4930000000004</v>
      </c>
    </row>
    <row r="18" spans="1:3">
      <c r="A18" s="67">
        <v>10087</v>
      </c>
      <c r="B18" s="67" t="s">
        <v>318</v>
      </c>
      <c r="C18" s="67">
        <v>1464.694</v>
      </c>
    </row>
    <row r="19" spans="1:3">
      <c r="A19" s="67">
        <v>10096</v>
      </c>
      <c r="B19" s="67" t="s">
        <v>319</v>
      </c>
      <c r="C19" s="67">
        <v>1188.027</v>
      </c>
    </row>
    <row r="20" spans="1:3">
      <c r="A20" s="67">
        <v>10100</v>
      </c>
      <c r="B20" s="67" t="s">
        <v>318</v>
      </c>
      <c r="C20" s="67">
        <v>1464.694</v>
      </c>
    </row>
    <row r="21" spans="1:3">
      <c r="A21" s="67">
        <v>10134</v>
      </c>
      <c r="B21" s="67" t="s">
        <v>318</v>
      </c>
      <c r="C21" s="67">
        <v>1464.694</v>
      </c>
    </row>
    <row r="22" spans="1:3">
      <c r="A22" s="67">
        <v>10141</v>
      </c>
      <c r="B22" s="67" t="s">
        <v>318</v>
      </c>
      <c r="C22" s="67">
        <v>4956.4930000000004</v>
      </c>
    </row>
    <row r="23" spans="1:3">
      <c r="A23" s="67">
        <v>10144</v>
      </c>
      <c r="B23" s="67" t="s">
        <v>318</v>
      </c>
      <c r="C23" s="67">
        <v>2003.7159999999999</v>
      </c>
    </row>
    <row r="24" spans="1:3">
      <c r="A24" s="67">
        <v>10150</v>
      </c>
      <c r="B24" s="67" t="s">
        <v>319</v>
      </c>
      <c r="C24" s="67">
        <v>1188.027</v>
      </c>
    </row>
    <row r="25" spans="1:3">
      <c r="A25" s="67">
        <v>10172</v>
      </c>
      <c r="B25" s="67" t="s">
        <v>318</v>
      </c>
      <c r="C25" s="67">
        <v>1524.7619999999999</v>
      </c>
    </row>
    <row r="26" spans="1:3">
      <c r="A26" s="67">
        <v>10174</v>
      </c>
      <c r="B26" s="67" t="s">
        <v>318</v>
      </c>
      <c r="C26" s="67">
        <v>4956.4930000000004</v>
      </c>
    </row>
    <row r="27" spans="1:3">
      <c r="A27" s="67">
        <v>10176</v>
      </c>
      <c r="B27" s="67" t="s">
        <v>318</v>
      </c>
      <c r="C27" s="67">
        <v>1150.8789999999999</v>
      </c>
    </row>
    <row r="28" spans="1:3">
      <c r="A28" s="67">
        <v>10178</v>
      </c>
      <c r="B28" s="67" t="s">
        <v>319</v>
      </c>
      <c r="C28" s="67">
        <v>6932.7380000000003</v>
      </c>
    </row>
    <row r="29" spans="1:3">
      <c r="A29" s="67">
        <v>10186</v>
      </c>
      <c r="B29" s="67" t="s">
        <v>318</v>
      </c>
      <c r="C29" s="67">
        <v>1524.7619999999999</v>
      </c>
    </row>
    <row r="30" spans="1:3">
      <c r="A30" s="67">
        <v>10191</v>
      </c>
      <c r="B30" s="67" t="s">
        <v>318</v>
      </c>
      <c r="C30" s="67">
        <v>1524.7619999999999</v>
      </c>
    </row>
    <row r="31" spans="1:3">
      <c r="A31" s="67">
        <v>10192</v>
      </c>
      <c r="B31" s="67" t="s">
        <v>318</v>
      </c>
      <c r="C31" s="67">
        <v>1524.7619999999999</v>
      </c>
    </row>
    <row r="32" spans="1:3">
      <c r="A32" s="67">
        <v>10211</v>
      </c>
      <c r="B32" s="67" t="s">
        <v>318</v>
      </c>
      <c r="C32" s="67">
        <v>1524.7619999999999</v>
      </c>
    </row>
    <row r="33" spans="1:3">
      <c r="A33" s="67">
        <v>10229</v>
      </c>
      <c r="B33" s="67" t="s">
        <v>318</v>
      </c>
      <c r="C33" s="67">
        <v>4956.4930000000004</v>
      </c>
    </row>
    <row r="34" spans="1:3">
      <c r="A34" s="67">
        <v>10230</v>
      </c>
      <c r="B34" s="67" t="s">
        <v>318</v>
      </c>
      <c r="C34" s="67">
        <v>1464.694</v>
      </c>
    </row>
    <row r="35" spans="1:3">
      <c r="A35" s="67">
        <v>10231</v>
      </c>
      <c r="B35" s="67" t="s">
        <v>318</v>
      </c>
      <c r="C35" s="67">
        <v>1524.7619999999999</v>
      </c>
    </row>
    <row r="36" spans="1:3">
      <c r="A36" s="67">
        <v>10235</v>
      </c>
      <c r="B36" s="67" t="s">
        <v>318</v>
      </c>
      <c r="C36" s="67">
        <v>2003.7159999999999</v>
      </c>
    </row>
    <row r="37" spans="1:3">
      <c r="A37" s="67">
        <v>10244</v>
      </c>
      <c r="B37" s="67" t="s">
        <v>319</v>
      </c>
      <c r="C37" s="67">
        <v>6932.7380000000003</v>
      </c>
    </row>
    <row r="38" spans="1:3">
      <c r="A38" s="67">
        <v>10245</v>
      </c>
      <c r="B38" s="67" t="s">
        <v>319</v>
      </c>
      <c r="C38" s="67">
        <v>6932.7380000000003</v>
      </c>
    </row>
    <row r="39" spans="1:3">
      <c r="A39" s="67">
        <v>10254</v>
      </c>
      <c r="B39" s="67" t="s">
        <v>319</v>
      </c>
      <c r="C39" s="67">
        <v>1188.027</v>
      </c>
    </row>
    <row r="40" spans="1:3">
      <c r="A40" s="67">
        <v>10259</v>
      </c>
      <c r="B40" s="67" t="s">
        <v>318</v>
      </c>
      <c r="C40" s="67">
        <v>1524.7619999999999</v>
      </c>
    </row>
    <row r="41" spans="1:3">
      <c r="A41" s="67">
        <v>10265</v>
      </c>
      <c r="B41" s="67" t="s">
        <v>318</v>
      </c>
      <c r="C41" s="67">
        <v>2003.7159999999999</v>
      </c>
    </row>
    <row r="42" spans="1:3">
      <c r="A42" s="67">
        <v>10268</v>
      </c>
      <c r="B42" s="67" t="s">
        <v>318</v>
      </c>
      <c r="C42" s="67">
        <v>1464.694</v>
      </c>
    </row>
    <row r="43" spans="1:3">
      <c r="A43" s="67">
        <v>10282</v>
      </c>
      <c r="B43" s="67" t="s">
        <v>318</v>
      </c>
      <c r="C43" s="67">
        <v>1150.8789999999999</v>
      </c>
    </row>
    <row r="44" spans="1:3">
      <c r="A44" s="67">
        <v>10288</v>
      </c>
      <c r="B44" s="67" t="s">
        <v>318</v>
      </c>
      <c r="C44" s="67">
        <v>1524.7619999999999</v>
      </c>
    </row>
    <row r="45" spans="1:3">
      <c r="A45" s="67">
        <v>10289</v>
      </c>
      <c r="B45" s="67" t="s">
        <v>318</v>
      </c>
      <c r="C45" s="67">
        <v>1524.7619999999999</v>
      </c>
    </row>
    <row r="46" spans="1:3">
      <c r="A46" s="67">
        <v>10292</v>
      </c>
      <c r="B46" s="67" t="s">
        <v>318</v>
      </c>
      <c r="C46" s="67">
        <v>4956.4930000000004</v>
      </c>
    </row>
    <row r="47" spans="1:3">
      <c r="A47" s="67">
        <v>10298</v>
      </c>
      <c r="B47" s="67" t="s">
        <v>318</v>
      </c>
      <c r="C47" s="67">
        <v>1524.7619999999999</v>
      </c>
    </row>
    <row r="48" spans="1:3">
      <c r="A48" s="67">
        <v>10299</v>
      </c>
      <c r="B48" s="67" t="s">
        <v>318</v>
      </c>
      <c r="C48" s="67">
        <v>2003.7159999999999</v>
      </c>
    </row>
    <row r="49" spans="1:3">
      <c r="A49" s="67">
        <v>10305</v>
      </c>
      <c r="B49" s="67" t="s">
        <v>318</v>
      </c>
      <c r="C49" s="67">
        <v>2003.7159999999999</v>
      </c>
    </row>
    <row r="50" spans="1:3">
      <c r="A50" s="67">
        <v>10306</v>
      </c>
      <c r="B50" s="67" t="s">
        <v>318</v>
      </c>
      <c r="C50" s="67">
        <v>4956.4930000000004</v>
      </c>
    </row>
    <row r="51" spans="1:3">
      <c r="A51" s="67">
        <v>10309</v>
      </c>
      <c r="B51" s="67" t="s">
        <v>319</v>
      </c>
      <c r="C51" s="67">
        <v>6932.7380000000003</v>
      </c>
    </row>
    <row r="52" spans="1:3">
      <c r="A52" s="67">
        <v>10313</v>
      </c>
      <c r="B52" s="67" t="s">
        <v>319</v>
      </c>
      <c r="C52" s="67">
        <v>1188.027</v>
      </c>
    </row>
    <row r="53" spans="1:3">
      <c r="A53" s="67">
        <v>10318</v>
      </c>
      <c r="B53" s="67" t="s">
        <v>318</v>
      </c>
      <c r="C53" s="67">
        <v>1524.7619999999999</v>
      </c>
    </row>
    <row r="54" spans="1:3">
      <c r="A54" s="67">
        <v>10319</v>
      </c>
      <c r="B54" s="67" t="s">
        <v>318</v>
      </c>
      <c r="C54" s="67">
        <v>2003.7159999999999</v>
      </c>
    </row>
    <row r="55" spans="1:3">
      <c r="A55" s="67">
        <v>10322</v>
      </c>
      <c r="B55" s="67" t="s">
        <v>318</v>
      </c>
      <c r="C55" s="67">
        <v>4956.4930000000004</v>
      </c>
    </row>
    <row r="56" spans="1:3">
      <c r="A56" s="67">
        <v>10325</v>
      </c>
      <c r="B56" s="67" t="s">
        <v>318</v>
      </c>
      <c r="C56" s="67">
        <v>4956.4930000000004</v>
      </c>
    </row>
    <row r="57" spans="1:3">
      <c r="A57" s="67">
        <v>10332</v>
      </c>
      <c r="B57" s="67" t="s">
        <v>318</v>
      </c>
      <c r="C57" s="67">
        <v>1464.694</v>
      </c>
    </row>
    <row r="58" spans="1:3">
      <c r="A58" s="67">
        <v>10334</v>
      </c>
      <c r="B58" s="67" t="s">
        <v>318</v>
      </c>
      <c r="C58" s="67">
        <v>4956.4930000000004</v>
      </c>
    </row>
    <row r="59" spans="1:3">
      <c r="A59" s="67">
        <v>10335</v>
      </c>
      <c r="B59" s="67" t="s">
        <v>318</v>
      </c>
      <c r="C59" s="67">
        <v>1524.7619999999999</v>
      </c>
    </row>
    <row r="60" spans="1:3">
      <c r="A60" s="67">
        <v>10337</v>
      </c>
      <c r="B60" s="67" t="s">
        <v>319</v>
      </c>
      <c r="C60" s="67">
        <v>1188.027</v>
      </c>
    </row>
    <row r="61" spans="1:3">
      <c r="A61" s="67">
        <v>10338</v>
      </c>
      <c r="B61" s="67" t="s">
        <v>318</v>
      </c>
      <c r="C61" s="67">
        <v>4956.4930000000004</v>
      </c>
    </row>
    <row r="62" spans="1:3">
      <c r="A62" s="67">
        <v>10348</v>
      </c>
      <c r="B62" s="67" t="s">
        <v>319</v>
      </c>
      <c r="C62" s="67">
        <v>6932.7380000000003</v>
      </c>
    </row>
    <row r="63" spans="1:3">
      <c r="A63" s="67">
        <v>10352</v>
      </c>
      <c r="B63" s="67" t="s">
        <v>319</v>
      </c>
      <c r="C63" s="67">
        <v>1188.027</v>
      </c>
    </row>
    <row r="64" spans="1:3">
      <c r="A64" s="67">
        <v>10369</v>
      </c>
      <c r="B64" s="67" t="s">
        <v>318</v>
      </c>
      <c r="C64" s="67">
        <v>1524.7619999999999</v>
      </c>
    </row>
    <row r="65" spans="1:3">
      <c r="A65" s="67">
        <v>10384</v>
      </c>
      <c r="B65" s="67" t="s">
        <v>319</v>
      </c>
      <c r="C65" s="67">
        <v>6932.7380000000003</v>
      </c>
    </row>
    <row r="66" spans="1:3">
      <c r="A66" s="67">
        <v>10388</v>
      </c>
      <c r="B66" s="67" t="s">
        <v>318</v>
      </c>
      <c r="C66" s="67">
        <v>1464.694</v>
      </c>
    </row>
    <row r="67" spans="1:3">
      <c r="A67" s="67">
        <v>10398</v>
      </c>
      <c r="B67" s="67" t="s">
        <v>319</v>
      </c>
      <c r="C67" s="67">
        <v>6932.7380000000003</v>
      </c>
    </row>
    <row r="68" spans="1:3">
      <c r="A68" s="67">
        <v>10401</v>
      </c>
      <c r="B68" s="67" t="s">
        <v>318</v>
      </c>
      <c r="C68" s="67">
        <v>2003.7159999999999</v>
      </c>
    </row>
    <row r="69" spans="1:3">
      <c r="A69" s="67">
        <v>10408</v>
      </c>
      <c r="B69" s="67" t="s">
        <v>318</v>
      </c>
      <c r="C69" s="67">
        <v>4956.4930000000004</v>
      </c>
    </row>
    <row r="70" spans="1:3">
      <c r="A70" s="67">
        <v>10411</v>
      </c>
      <c r="B70" s="67" t="s">
        <v>318</v>
      </c>
      <c r="C70" s="67">
        <v>1150.8789999999999</v>
      </c>
    </row>
    <row r="71" spans="1:3">
      <c r="A71" s="67">
        <v>10413</v>
      </c>
      <c r="B71" s="67" t="s">
        <v>318</v>
      </c>
      <c r="C71" s="67">
        <v>1524.7619999999999</v>
      </c>
    </row>
    <row r="72" spans="1:3">
      <c r="A72" s="67">
        <v>10421</v>
      </c>
      <c r="B72" s="67" t="s">
        <v>318</v>
      </c>
      <c r="C72" s="67">
        <v>1464.694</v>
      </c>
    </row>
    <row r="73" spans="1:3">
      <c r="A73" s="67">
        <v>10425</v>
      </c>
      <c r="B73" s="67" t="s">
        <v>318</v>
      </c>
      <c r="C73" s="67">
        <v>4956.4930000000004</v>
      </c>
    </row>
    <row r="74" spans="1:3">
      <c r="A74" s="67">
        <v>10430</v>
      </c>
      <c r="B74" s="67" t="s">
        <v>318</v>
      </c>
      <c r="C74" s="67">
        <v>1464.694</v>
      </c>
    </row>
    <row r="75" spans="1:3">
      <c r="A75" s="67">
        <v>10435</v>
      </c>
      <c r="B75" s="67" t="s">
        <v>318</v>
      </c>
      <c r="C75" s="67">
        <v>1524.7619999999999</v>
      </c>
    </row>
    <row r="76" spans="1:3">
      <c r="A76" s="67">
        <v>10459</v>
      </c>
      <c r="B76" s="67" t="s">
        <v>318</v>
      </c>
      <c r="C76" s="67">
        <v>1524.7619999999999</v>
      </c>
    </row>
    <row r="77" spans="1:3">
      <c r="A77" s="67">
        <v>10462</v>
      </c>
      <c r="B77" s="67" t="s">
        <v>318</v>
      </c>
      <c r="C77" s="67">
        <v>1524.7619999999999</v>
      </c>
    </row>
    <row r="78" spans="1:3">
      <c r="A78" s="67">
        <v>10466</v>
      </c>
      <c r="B78" s="67" t="s">
        <v>318</v>
      </c>
      <c r="C78" s="67">
        <v>1464.694</v>
      </c>
    </row>
    <row r="79" spans="1:3">
      <c r="A79" s="67">
        <v>10476</v>
      </c>
      <c r="B79" s="67" t="s">
        <v>318</v>
      </c>
      <c r="C79" s="67">
        <v>4956.4930000000004</v>
      </c>
    </row>
    <row r="80" spans="1:3">
      <c r="A80" s="67">
        <v>10486</v>
      </c>
      <c r="B80" s="67" t="s">
        <v>319</v>
      </c>
      <c r="C80" s="67">
        <v>6932.7380000000003</v>
      </c>
    </row>
    <row r="81" spans="1:3">
      <c r="A81" s="67">
        <v>10490</v>
      </c>
      <c r="B81" s="67" t="s">
        <v>318</v>
      </c>
      <c r="C81" s="67">
        <v>4956.4930000000004</v>
      </c>
    </row>
    <row r="82" spans="1:3">
      <c r="A82" s="67">
        <v>10491</v>
      </c>
      <c r="B82" s="67" t="s">
        <v>318</v>
      </c>
      <c r="C82" s="67">
        <v>1464.694</v>
      </c>
    </row>
    <row r="83" spans="1:3">
      <c r="A83" s="67">
        <v>10493</v>
      </c>
      <c r="B83" s="67" t="s">
        <v>318</v>
      </c>
      <c r="C83" s="67">
        <v>1524.7619999999999</v>
      </c>
    </row>
    <row r="84" spans="1:3">
      <c r="A84" s="67">
        <v>10496</v>
      </c>
      <c r="B84" s="67" t="s">
        <v>318</v>
      </c>
      <c r="C84" s="67">
        <v>1150.8789999999999</v>
      </c>
    </row>
    <row r="85" spans="1:3">
      <c r="A85" s="67">
        <v>10510</v>
      </c>
      <c r="B85" s="67" t="s">
        <v>318</v>
      </c>
      <c r="C85" s="67">
        <v>1464.694</v>
      </c>
    </row>
    <row r="86" spans="1:3">
      <c r="A86" s="67">
        <v>10514</v>
      </c>
      <c r="B86" s="67" t="s">
        <v>318</v>
      </c>
      <c r="C86" s="67">
        <v>1524.7619999999999</v>
      </c>
    </row>
    <row r="87" spans="1:3">
      <c r="A87" s="67">
        <v>10516</v>
      </c>
      <c r="B87" s="67" t="s">
        <v>319</v>
      </c>
      <c r="C87" s="67">
        <v>6932.7380000000003</v>
      </c>
    </row>
    <row r="88" spans="1:3">
      <c r="A88" s="67">
        <v>10518</v>
      </c>
      <c r="B88" s="67" t="s">
        <v>318</v>
      </c>
      <c r="C88" s="67">
        <v>4956.4930000000004</v>
      </c>
    </row>
    <row r="89" spans="1:3">
      <c r="A89" s="67">
        <v>10525</v>
      </c>
      <c r="B89" s="67" t="s">
        <v>318</v>
      </c>
      <c r="C89" s="67">
        <v>1464.694</v>
      </c>
    </row>
    <row r="90" spans="1:3">
      <c r="A90" s="67">
        <v>10537</v>
      </c>
      <c r="B90" s="67" t="s">
        <v>318</v>
      </c>
      <c r="C90" s="67">
        <v>4956.4930000000004</v>
      </c>
    </row>
    <row r="91" spans="1:3">
      <c r="A91" s="67">
        <v>10540</v>
      </c>
      <c r="B91" s="67" t="s">
        <v>319</v>
      </c>
      <c r="C91" s="67">
        <v>6932.7380000000003</v>
      </c>
    </row>
    <row r="92" spans="1:3">
      <c r="A92" s="67">
        <v>10551</v>
      </c>
      <c r="B92" s="67" t="s">
        <v>318</v>
      </c>
      <c r="C92" s="67">
        <v>1524.7619999999999</v>
      </c>
    </row>
    <row r="93" spans="1:3">
      <c r="A93" s="67">
        <v>10552</v>
      </c>
      <c r="B93" s="67" t="s">
        <v>318</v>
      </c>
      <c r="C93" s="67">
        <v>1464.694</v>
      </c>
    </row>
    <row r="94" spans="1:3">
      <c r="A94" s="67">
        <v>10557</v>
      </c>
      <c r="B94" s="67" t="s">
        <v>318</v>
      </c>
      <c r="C94" s="67">
        <v>1524.7619999999999</v>
      </c>
    </row>
    <row r="95" spans="1:3">
      <c r="A95" s="67">
        <v>10561</v>
      </c>
      <c r="B95" s="67" t="s">
        <v>318</v>
      </c>
      <c r="C95" s="67">
        <v>2003.7159999999999</v>
      </c>
    </row>
    <row r="96" spans="1:3">
      <c r="A96" s="67">
        <v>10565</v>
      </c>
      <c r="B96" s="67" t="s">
        <v>318</v>
      </c>
      <c r="C96" s="67">
        <v>2003.7159999999999</v>
      </c>
    </row>
    <row r="97" spans="1:3">
      <c r="A97" s="67">
        <v>10567</v>
      </c>
      <c r="B97" s="67" t="s">
        <v>318</v>
      </c>
      <c r="C97" s="67">
        <v>2003.7159999999999</v>
      </c>
    </row>
    <row r="98" spans="1:3">
      <c r="A98" s="67">
        <v>10579</v>
      </c>
      <c r="B98" s="67" t="s">
        <v>319</v>
      </c>
      <c r="C98" s="67">
        <v>6932.7380000000003</v>
      </c>
    </row>
    <row r="99" spans="1:3">
      <c r="A99" s="67">
        <v>10580</v>
      </c>
      <c r="B99" s="67" t="s">
        <v>318</v>
      </c>
      <c r="C99" s="67">
        <v>1524.7619999999999</v>
      </c>
    </row>
    <row r="100" spans="1:3">
      <c r="A100" s="67">
        <v>10585</v>
      </c>
      <c r="B100" s="67" t="s">
        <v>318</v>
      </c>
      <c r="C100" s="67">
        <v>2003.7159999999999</v>
      </c>
    </row>
    <row r="101" spans="1:3">
      <c r="A101" s="67">
        <v>10595</v>
      </c>
      <c r="B101" s="67" t="s">
        <v>318</v>
      </c>
      <c r="C101" s="67">
        <v>1524.7619999999999</v>
      </c>
    </row>
    <row r="102" spans="1:3">
      <c r="A102" s="67">
        <v>10605</v>
      </c>
      <c r="B102" s="67" t="s">
        <v>318</v>
      </c>
      <c r="C102" s="67">
        <v>2003.7159999999999</v>
      </c>
    </row>
    <row r="103" spans="1:3">
      <c r="A103" s="67">
        <v>10612</v>
      </c>
      <c r="B103" s="67" t="s">
        <v>319</v>
      </c>
      <c r="C103" s="67">
        <v>6932.7380000000003</v>
      </c>
    </row>
    <row r="104" spans="1:3">
      <c r="A104" s="67">
        <v>10627</v>
      </c>
      <c r="B104" s="67" t="s">
        <v>319</v>
      </c>
      <c r="C104" s="67">
        <v>6932.7380000000003</v>
      </c>
    </row>
    <row r="105" spans="1:3">
      <c r="A105" s="67">
        <v>10629</v>
      </c>
      <c r="B105" s="67" t="s">
        <v>318</v>
      </c>
      <c r="C105" s="67">
        <v>4956.4930000000004</v>
      </c>
    </row>
    <row r="106" spans="1:3">
      <c r="A106" s="67">
        <v>10630</v>
      </c>
      <c r="B106" s="67" t="s">
        <v>318</v>
      </c>
      <c r="C106" s="67">
        <v>4956.4930000000004</v>
      </c>
    </row>
    <row r="107" spans="1:3">
      <c r="A107" s="67">
        <v>10636</v>
      </c>
      <c r="B107" s="67" t="s">
        <v>318</v>
      </c>
      <c r="C107" s="67">
        <v>4956.4930000000004</v>
      </c>
    </row>
    <row r="108" spans="1:3">
      <c r="A108" s="67">
        <v>10637</v>
      </c>
      <c r="B108" s="67" t="s">
        <v>319</v>
      </c>
      <c r="C108" s="67">
        <v>1188.027</v>
      </c>
    </row>
    <row r="109" spans="1:3">
      <c r="A109" s="67">
        <v>10638</v>
      </c>
      <c r="B109" s="67" t="s">
        <v>318</v>
      </c>
      <c r="C109" s="67">
        <v>1524.7619999999999</v>
      </c>
    </row>
    <row r="110" spans="1:3">
      <c r="A110" s="67">
        <v>10649</v>
      </c>
      <c r="B110" s="67" t="s">
        <v>319</v>
      </c>
      <c r="C110" s="67">
        <v>6932.7380000000003</v>
      </c>
    </row>
    <row r="111" spans="1:3">
      <c r="A111" s="67">
        <v>10657</v>
      </c>
      <c r="B111" s="67" t="s">
        <v>318</v>
      </c>
      <c r="C111" s="67">
        <v>1524.7619999999999</v>
      </c>
    </row>
    <row r="112" spans="1:3">
      <c r="A112" s="67">
        <v>10658</v>
      </c>
      <c r="B112" s="67" t="s">
        <v>318</v>
      </c>
      <c r="C112" s="67">
        <v>1464.694</v>
      </c>
    </row>
    <row r="113" spans="1:3">
      <c r="A113" s="67">
        <v>10661</v>
      </c>
      <c r="B113" s="67" t="s">
        <v>318</v>
      </c>
      <c r="C113" s="67">
        <v>1524.7619999999999</v>
      </c>
    </row>
    <row r="114" spans="1:3">
      <c r="A114" s="67">
        <v>10664</v>
      </c>
      <c r="B114" s="67" t="s">
        <v>319</v>
      </c>
      <c r="C114" s="67">
        <v>8264.9449999999997</v>
      </c>
    </row>
    <row r="115" spans="1:3">
      <c r="A115" s="67">
        <v>10681</v>
      </c>
      <c r="B115" s="67" t="s">
        <v>318</v>
      </c>
      <c r="C115" s="67">
        <v>2003.7159999999999</v>
      </c>
    </row>
    <row r="116" spans="1:3">
      <c r="A116" s="67">
        <v>10688</v>
      </c>
      <c r="B116" s="67" t="s">
        <v>318</v>
      </c>
      <c r="C116" s="67">
        <v>1150.8789999999999</v>
      </c>
    </row>
    <row r="117" spans="1:3">
      <c r="A117" s="67">
        <v>10690</v>
      </c>
      <c r="B117" s="67" t="s">
        <v>318</v>
      </c>
      <c r="C117" s="67">
        <v>1150.8789999999999</v>
      </c>
    </row>
    <row r="118" spans="1:3">
      <c r="A118" s="67">
        <v>10695</v>
      </c>
      <c r="B118" s="67" t="s">
        <v>318</v>
      </c>
      <c r="C118" s="67">
        <v>1464.694</v>
      </c>
    </row>
    <row r="119" spans="1:3">
      <c r="A119" s="67">
        <v>10696</v>
      </c>
      <c r="B119" s="67" t="s">
        <v>318</v>
      </c>
      <c r="C119" s="67">
        <v>1464.694</v>
      </c>
    </row>
    <row r="120" spans="1:3">
      <c r="A120" s="67">
        <v>10697</v>
      </c>
      <c r="B120" s="67" t="s">
        <v>318</v>
      </c>
      <c r="C120" s="67">
        <v>1524.7619999999999</v>
      </c>
    </row>
    <row r="121" spans="1:3">
      <c r="A121" s="67">
        <v>10699</v>
      </c>
      <c r="B121" s="67" t="s">
        <v>319</v>
      </c>
      <c r="C121" s="67">
        <v>6932.7380000000003</v>
      </c>
    </row>
    <row r="122" spans="1:3">
      <c r="A122" s="67">
        <v>10701</v>
      </c>
      <c r="B122" s="67" t="s">
        <v>318</v>
      </c>
      <c r="C122" s="67">
        <v>4956.4930000000004</v>
      </c>
    </row>
    <row r="123" spans="1:3">
      <c r="A123" s="67">
        <v>10705</v>
      </c>
      <c r="B123" s="67" t="s">
        <v>318</v>
      </c>
      <c r="C123" s="67">
        <v>1464.694</v>
      </c>
    </row>
    <row r="124" spans="1:3">
      <c r="A124" s="67">
        <v>10709</v>
      </c>
      <c r="B124" s="67" t="s">
        <v>318</v>
      </c>
      <c r="C124" s="67">
        <v>1524.7619999999999</v>
      </c>
    </row>
    <row r="125" spans="1:3">
      <c r="A125" s="67">
        <v>10710</v>
      </c>
      <c r="B125" s="67" t="s">
        <v>319</v>
      </c>
      <c r="C125" s="67">
        <v>6932.7380000000003</v>
      </c>
    </row>
    <row r="126" spans="1:3">
      <c r="A126" s="67">
        <v>10713</v>
      </c>
      <c r="B126" s="67" t="s">
        <v>319</v>
      </c>
      <c r="C126" s="67">
        <v>6932.7380000000003</v>
      </c>
    </row>
    <row r="127" spans="1:3">
      <c r="A127" s="67">
        <v>10715</v>
      </c>
      <c r="B127" s="67" t="s">
        <v>318</v>
      </c>
      <c r="C127" s="67">
        <v>4956.4930000000004</v>
      </c>
    </row>
    <row r="128" spans="1:3">
      <c r="A128" s="67">
        <v>10728</v>
      </c>
      <c r="B128" s="67" t="s">
        <v>318</v>
      </c>
      <c r="C128" s="67">
        <v>2003.7159999999999</v>
      </c>
    </row>
    <row r="129" spans="1:3">
      <c r="A129" s="67">
        <v>10733</v>
      </c>
      <c r="B129" s="67" t="s">
        <v>318</v>
      </c>
      <c r="C129" s="67">
        <v>1524.7619999999999</v>
      </c>
    </row>
    <row r="130" spans="1:3">
      <c r="A130" s="67">
        <v>10738</v>
      </c>
      <c r="B130" s="67" t="s">
        <v>319</v>
      </c>
      <c r="C130" s="67">
        <v>1188.027</v>
      </c>
    </row>
    <row r="131" spans="1:3">
      <c r="A131" s="67">
        <v>10741</v>
      </c>
      <c r="B131" s="67" t="s">
        <v>318</v>
      </c>
      <c r="C131" s="67">
        <v>1524.7619999999999</v>
      </c>
    </row>
    <row r="132" spans="1:3">
      <c r="A132" s="67">
        <v>10752</v>
      </c>
      <c r="B132" s="67" t="s">
        <v>318</v>
      </c>
      <c r="C132" s="67">
        <v>4956.4930000000004</v>
      </c>
    </row>
    <row r="133" spans="1:3">
      <c r="A133" s="67">
        <v>10764</v>
      </c>
      <c r="B133" s="67" t="s">
        <v>318</v>
      </c>
      <c r="C133" s="67">
        <v>1524.7619999999999</v>
      </c>
    </row>
    <row r="134" spans="1:3">
      <c r="A134" s="67">
        <v>10786</v>
      </c>
      <c r="B134" s="67" t="s">
        <v>318</v>
      </c>
      <c r="C134" s="67">
        <v>2003.7159999999999</v>
      </c>
    </row>
    <row r="135" spans="1:3">
      <c r="A135" s="67">
        <v>10795</v>
      </c>
      <c r="B135" s="67" t="s">
        <v>319</v>
      </c>
      <c r="C135" s="67">
        <v>6932.7380000000003</v>
      </c>
    </row>
    <row r="136" spans="1:3">
      <c r="A136" s="67">
        <v>10801</v>
      </c>
      <c r="B136" s="67" t="s">
        <v>318</v>
      </c>
      <c r="C136" s="67">
        <v>4956.4930000000004</v>
      </c>
    </row>
    <row r="137" spans="1:3">
      <c r="A137" s="67">
        <v>10807</v>
      </c>
      <c r="B137" s="67" t="s">
        <v>318</v>
      </c>
      <c r="C137" s="67">
        <v>1524.7619999999999</v>
      </c>
    </row>
    <row r="138" spans="1:3">
      <c r="A138" s="67">
        <v>10809</v>
      </c>
      <c r="B138" s="67" t="s">
        <v>318</v>
      </c>
      <c r="C138" s="67">
        <v>4956.4930000000004</v>
      </c>
    </row>
    <row r="139" spans="1:3">
      <c r="A139" s="67">
        <v>10811</v>
      </c>
      <c r="B139" s="67" t="s">
        <v>318</v>
      </c>
      <c r="C139" s="67">
        <v>2003.7159999999999</v>
      </c>
    </row>
    <row r="140" spans="1:3">
      <c r="A140" s="67">
        <v>10822</v>
      </c>
      <c r="B140" s="67" t="s">
        <v>318</v>
      </c>
      <c r="C140" s="67">
        <v>2003.7159999999999</v>
      </c>
    </row>
    <row r="141" spans="1:3">
      <c r="A141" s="67">
        <v>10823</v>
      </c>
      <c r="B141" s="67" t="s">
        <v>318</v>
      </c>
      <c r="C141" s="67">
        <v>1524.7619999999999</v>
      </c>
    </row>
    <row r="142" spans="1:3">
      <c r="A142" s="67">
        <v>10840</v>
      </c>
      <c r="B142" s="67" t="s">
        <v>318</v>
      </c>
      <c r="C142" s="67">
        <v>1524.7619999999999</v>
      </c>
    </row>
    <row r="143" spans="1:3">
      <c r="A143" s="67">
        <v>10843</v>
      </c>
      <c r="B143" s="67" t="s">
        <v>318</v>
      </c>
      <c r="C143" s="67">
        <v>2003.7159999999999</v>
      </c>
    </row>
    <row r="144" spans="1:3">
      <c r="A144" s="67">
        <v>10848</v>
      </c>
      <c r="B144" s="67" t="s">
        <v>318</v>
      </c>
      <c r="C144" s="67">
        <v>1524.7619999999999</v>
      </c>
    </row>
    <row r="145" spans="1:3">
      <c r="A145" s="67">
        <v>10852</v>
      </c>
      <c r="B145" s="67" t="s">
        <v>319</v>
      </c>
      <c r="C145" s="67">
        <v>1188.027</v>
      </c>
    </row>
    <row r="146" spans="1:3">
      <c r="A146" s="67">
        <v>10866</v>
      </c>
      <c r="B146" s="67" t="s">
        <v>318</v>
      </c>
      <c r="C146" s="67">
        <v>2003.7159999999999</v>
      </c>
    </row>
    <row r="147" spans="1:3">
      <c r="A147" s="67">
        <v>10887</v>
      </c>
      <c r="B147" s="67" t="s">
        <v>318</v>
      </c>
      <c r="C147" s="67">
        <v>1464.694</v>
      </c>
    </row>
    <row r="148" spans="1:3">
      <c r="A148" s="67">
        <v>10895</v>
      </c>
      <c r="B148" s="67" t="s">
        <v>318</v>
      </c>
      <c r="C148" s="67">
        <v>1524.7619999999999</v>
      </c>
    </row>
    <row r="149" spans="1:3">
      <c r="A149" s="67">
        <v>10911</v>
      </c>
      <c r="B149" s="67" t="s">
        <v>318</v>
      </c>
      <c r="C149" s="67">
        <v>1464.694</v>
      </c>
    </row>
    <row r="150" spans="1:3">
      <c r="A150" s="67">
        <v>10915</v>
      </c>
      <c r="B150" s="67" t="s">
        <v>318</v>
      </c>
      <c r="C150" s="67">
        <v>1464.694</v>
      </c>
    </row>
    <row r="151" spans="1:3">
      <c r="A151" s="67">
        <v>10927</v>
      </c>
      <c r="B151" s="67" t="s">
        <v>318</v>
      </c>
      <c r="C151" s="67">
        <v>1524.7619999999999</v>
      </c>
    </row>
    <row r="152" spans="1:3">
      <c r="A152" s="67">
        <v>10946</v>
      </c>
      <c r="B152" s="67" t="s">
        <v>318</v>
      </c>
      <c r="C152" s="67">
        <v>4956.4930000000004</v>
      </c>
    </row>
    <row r="153" spans="1:3">
      <c r="A153" s="67">
        <v>10948</v>
      </c>
      <c r="B153" s="67" t="s">
        <v>318</v>
      </c>
      <c r="C153" s="67">
        <v>2003.7159999999999</v>
      </c>
    </row>
    <row r="154" spans="1:3">
      <c r="A154" s="67">
        <v>10951</v>
      </c>
      <c r="B154" s="67" t="s">
        <v>318</v>
      </c>
      <c r="C154" s="67">
        <v>4956.4930000000004</v>
      </c>
    </row>
    <row r="155" spans="1:3">
      <c r="A155" s="67">
        <v>10965</v>
      </c>
      <c r="B155" s="67" t="s">
        <v>318</v>
      </c>
      <c r="C155" s="67">
        <v>4956.4930000000004</v>
      </c>
    </row>
    <row r="156" spans="1:3">
      <c r="A156" s="67">
        <v>10978</v>
      </c>
      <c r="B156" s="67" t="s">
        <v>318</v>
      </c>
      <c r="C156" s="67">
        <v>1524.7619999999999</v>
      </c>
    </row>
    <row r="157" spans="1:3">
      <c r="A157" s="67">
        <v>10986</v>
      </c>
      <c r="B157" s="67" t="s">
        <v>318</v>
      </c>
      <c r="C157" s="67">
        <v>2003.7159999999999</v>
      </c>
    </row>
    <row r="158" spans="1:3">
      <c r="A158" s="67">
        <v>10990</v>
      </c>
      <c r="B158" s="67" t="s">
        <v>318</v>
      </c>
      <c r="C158" s="67">
        <v>2003.7159999999999</v>
      </c>
    </row>
    <row r="159" spans="1:3">
      <c r="A159" s="67">
        <v>10995</v>
      </c>
      <c r="B159" s="67" t="s">
        <v>318</v>
      </c>
      <c r="C159" s="67">
        <v>4956.4930000000004</v>
      </c>
    </row>
    <row r="160" spans="1:3">
      <c r="A160" s="67">
        <v>11003</v>
      </c>
      <c r="B160" s="67" t="s">
        <v>318</v>
      </c>
      <c r="C160" s="67">
        <v>2003.7159999999999</v>
      </c>
    </row>
    <row r="161" spans="1:3">
      <c r="A161" s="67">
        <v>11006</v>
      </c>
      <c r="B161" s="67" t="s">
        <v>318</v>
      </c>
      <c r="C161" s="67">
        <v>1524.7619999999999</v>
      </c>
    </row>
    <row r="162" spans="1:3">
      <c r="A162" s="67">
        <v>11014</v>
      </c>
      <c r="B162" s="67" t="s">
        <v>319</v>
      </c>
      <c r="C162" s="67">
        <v>1188.027</v>
      </c>
    </row>
    <row r="163" spans="1:3">
      <c r="A163" s="67">
        <v>11021</v>
      </c>
      <c r="B163" s="67" t="s">
        <v>318</v>
      </c>
      <c r="C163" s="67">
        <v>1464.694</v>
      </c>
    </row>
    <row r="164" spans="1:3">
      <c r="A164" s="67">
        <v>11030</v>
      </c>
      <c r="B164" s="67" t="s">
        <v>318</v>
      </c>
      <c r="C164" s="67">
        <v>1464.694</v>
      </c>
    </row>
    <row r="165" spans="1:3">
      <c r="A165" s="67">
        <v>11032</v>
      </c>
      <c r="B165" s="67" t="s">
        <v>319</v>
      </c>
      <c r="C165" s="67">
        <v>1188.027</v>
      </c>
    </row>
    <row r="166" spans="1:3">
      <c r="A166" s="67">
        <v>11035</v>
      </c>
      <c r="B166" s="67" t="s">
        <v>318</v>
      </c>
      <c r="C166" s="67">
        <v>1150.8789999999999</v>
      </c>
    </row>
    <row r="167" spans="1:3">
      <c r="A167" s="67">
        <v>11041</v>
      </c>
      <c r="B167" s="67" t="s">
        <v>318</v>
      </c>
      <c r="C167" s="67">
        <v>1524.7619999999999</v>
      </c>
    </row>
    <row r="168" spans="1:3">
      <c r="A168" s="67">
        <v>11047</v>
      </c>
      <c r="B168" s="67" t="s">
        <v>318</v>
      </c>
      <c r="C168" s="67">
        <v>1524.7619999999999</v>
      </c>
    </row>
    <row r="169" spans="1:3">
      <c r="A169" s="67">
        <v>11048</v>
      </c>
      <c r="B169" s="67" t="s">
        <v>318</v>
      </c>
      <c r="C169" s="67">
        <v>1464.694</v>
      </c>
    </row>
    <row r="170" spans="1:3">
      <c r="A170" s="67">
        <v>11051</v>
      </c>
      <c r="B170" s="67" t="s">
        <v>319</v>
      </c>
      <c r="C170" s="67">
        <v>6932.7380000000003</v>
      </c>
    </row>
    <row r="171" spans="1:3">
      <c r="A171" s="67">
        <v>11054</v>
      </c>
      <c r="B171" s="67" t="s">
        <v>318</v>
      </c>
      <c r="C171" s="67">
        <v>2003.7159999999999</v>
      </c>
    </row>
    <row r="172" spans="1:3">
      <c r="A172" s="67">
        <v>11055</v>
      </c>
      <c r="B172" s="67" t="s">
        <v>318</v>
      </c>
      <c r="C172" s="67">
        <v>1464.694</v>
      </c>
    </row>
    <row r="173" spans="1:3">
      <c r="A173" s="67">
        <v>11061</v>
      </c>
      <c r="B173" s="67" t="s">
        <v>319</v>
      </c>
      <c r="C173" s="67">
        <v>6932.7380000000003</v>
      </c>
    </row>
    <row r="174" spans="1:3">
      <c r="A174" s="67">
        <v>11084</v>
      </c>
      <c r="B174" s="67" t="s">
        <v>318</v>
      </c>
      <c r="C174" s="67">
        <v>2003.7159999999999</v>
      </c>
    </row>
    <row r="175" spans="1:3">
      <c r="A175" s="67">
        <v>11086</v>
      </c>
      <c r="B175" s="67" t="s">
        <v>318</v>
      </c>
      <c r="C175" s="67">
        <v>4956.4930000000004</v>
      </c>
    </row>
    <row r="176" spans="1:3">
      <c r="A176" s="67">
        <v>11089</v>
      </c>
      <c r="B176" s="67" t="s">
        <v>318</v>
      </c>
      <c r="C176" s="67">
        <v>2003.7159999999999</v>
      </c>
    </row>
    <row r="177" spans="1:3">
      <c r="A177" s="67">
        <v>11094</v>
      </c>
      <c r="B177" s="67" t="s">
        <v>318</v>
      </c>
      <c r="C177" s="67">
        <v>1524.7619999999999</v>
      </c>
    </row>
    <row r="178" spans="1:3">
      <c r="A178" s="67">
        <v>11110</v>
      </c>
      <c r="B178" s="67" t="s">
        <v>319</v>
      </c>
      <c r="C178" s="67">
        <v>1188.027</v>
      </c>
    </row>
    <row r="179" spans="1:3">
      <c r="A179" s="67">
        <v>11118</v>
      </c>
      <c r="B179" s="67" t="s">
        <v>318</v>
      </c>
      <c r="C179" s="67">
        <v>1150.8789999999999</v>
      </c>
    </row>
    <row r="180" spans="1:3">
      <c r="A180" s="67">
        <v>11119</v>
      </c>
      <c r="B180" s="67" t="s">
        <v>318</v>
      </c>
      <c r="C180" s="67">
        <v>2003.7159999999999</v>
      </c>
    </row>
    <row r="181" spans="1:3">
      <c r="A181" s="67">
        <v>11138</v>
      </c>
      <c r="B181" s="67" t="s">
        <v>318</v>
      </c>
      <c r="C181" s="67">
        <v>1524.7619999999999</v>
      </c>
    </row>
    <row r="182" spans="1:3">
      <c r="A182" s="67">
        <v>11145</v>
      </c>
      <c r="B182" s="67" t="s">
        <v>318</v>
      </c>
      <c r="C182" s="67">
        <v>4956.4930000000004</v>
      </c>
    </row>
    <row r="183" spans="1:3">
      <c r="A183" s="67">
        <v>11154</v>
      </c>
      <c r="B183" s="67" t="s">
        <v>319</v>
      </c>
      <c r="C183" s="67">
        <v>6932.7380000000003</v>
      </c>
    </row>
    <row r="184" spans="1:3">
      <c r="A184" s="67">
        <v>11163</v>
      </c>
      <c r="B184" s="67" t="s">
        <v>318</v>
      </c>
      <c r="C184" s="67">
        <v>4956.4930000000004</v>
      </c>
    </row>
    <row r="185" spans="1:3">
      <c r="A185" s="67">
        <v>11178</v>
      </c>
      <c r="B185" s="67" t="s">
        <v>318</v>
      </c>
      <c r="C185" s="67">
        <v>1524.7619999999999</v>
      </c>
    </row>
    <row r="186" spans="1:3">
      <c r="A186" s="67">
        <v>11187</v>
      </c>
      <c r="B186" s="67" t="s">
        <v>318</v>
      </c>
      <c r="C186" s="67">
        <v>1524.7619999999999</v>
      </c>
    </row>
    <row r="187" spans="1:3">
      <c r="A187" s="67">
        <v>11194</v>
      </c>
      <c r="B187" s="67" t="s">
        <v>318</v>
      </c>
      <c r="C187" s="67">
        <v>4956.4930000000004</v>
      </c>
    </row>
    <row r="188" spans="1:3">
      <c r="A188" s="67">
        <v>11210</v>
      </c>
      <c r="B188" s="67" t="s">
        <v>318</v>
      </c>
      <c r="C188" s="67">
        <v>1524.7619999999999</v>
      </c>
    </row>
    <row r="189" spans="1:3">
      <c r="A189" s="67">
        <v>11217</v>
      </c>
      <c r="B189" s="67" t="s">
        <v>318</v>
      </c>
      <c r="C189" s="67">
        <v>4956.4930000000004</v>
      </c>
    </row>
    <row r="190" spans="1:3">
      <c r="A190" s="67">
        <v>11219</v>
      </c>
      <c r="B190" s="67" t="s">
        <v>318</v>
      </c>
      <c r="C190" s="67">
        <v>4956.4930000000004</v>
      </c>
    </row>
    <row r="191" spans="1:3">
      <c r="A191" s="67">
        <v>11221</v>
      </c>
      <c r="B191" s="67" t="s">
        <v>319</v>
      </c>
      <c r="C191" s="67">
        <v>6932.7380000000003</v>
      </c>
    </row>
    <row r="192" spans="1:3">
      <c r="A192" s="67">
        <v>11222</v>
      </c>
      <c r="B192" s="67" t="s">
        <v>318</v>
      </c>
      <c r="C192" s="67">
        <v>4956.4930000000004</v>
      </c>
    </row>
    <row r="193" spans="1:3">
      <c r="A193" s="67">
        <v>11233</v>
      </c>
      <c r="B193" s="67" t="s">
        <v>318</v>
      </c>
      <c r="C193" s="67">
        <v>4956.4930000000004</v>
      </c>
    </row>
    <row r="194" spans="1:3">
      <c r="A194" s="67">
        <v>11236</v>
      </c>
      <c r="B194" s="67" t="s">
        <v>318</v>
      </c>
      <c r="C194" s="67">
        <v>4956.4930000000004</v>
      </c>
    </row>
    <row r="195" spans="1:3">
      <c r="A195" s="67">
        <v>11246</v>
      </c>
      <c r="B195" s="67" t="s">
        <v>318</v>
      </c>
      <c r="C195" s="67">
        <v>1524.7619999999999</v>
      </c>
    </row>
    <row r="196" spans="1:3">
      <c r="A196" s="67">
        <v>11273</v>
      </c>
      <c r="B196" s="67" t="s">
        <v>318</v>
      </c>
      <c r="C196" s="67">
        <v>1524.7619999999999</v>
      </c>
    </row>
    <row r="197" spans="1:3">
      <c r="A197" s="67">
        <v>11282</v>
      </c>
      <c r="B197" s="67" t="s">
        <v>319</v>
      </c>
      <c r="C197" s="67">
        <v>6932.7380000000003</v>
      </c>
    </row>
    <row r="198" spans="1:3">
      <c r="A198" s="67">
        <v>11283</v>
      </c>
      <c r="B198" s="67" t="s">
        <v>319</v>
      </c>
      <c r="C198" s="67">
        <v>6932.7380000000003</v>
      </c>
    </row>
    <row r="199" spans="1:3">
      <c r="A199" s="67">
        <v>11284</v>
      </c>
      <c r="B199" s="67" t="s">
        <v>318</v>
      </c>
      <c r="C199" s="67">
        <v>1524.7619999999999</v>
      </c>
    </row>
    <row r="200" spans="1:3">
      <c r="A200" s="67">
        <v>11289</v>
      </c>
      <c r="B200" s="67" t="s">
        <v>318</v>
      </c>
      <c r="C200" s="67">
        <v>1524.7619999999999</v>
      </c>
    </row>
    <row r="201" spans="1:3">
      <c r="A201" s="67">
        <v>11302</v>
      </c>
      <c r="B201" s="67" t="s">
        <v>318</v>
      </c>
      <c r="C201" s="67">
        <v>1524.7619999999999</v>
      </c>
    </row>
    <row r="202" spans="1:3">
      <c r="A202" s="67">
        <v>11315</v>
      </c>
      <c r="B202" s="67" t="s">
        <v>319</v>
      </c>
      <c r="C202" s="67">
        <v>1188.027</v>
      </c>
    </row>
    <row r="203" spans="1:3">
      <c r="A203" s="67">
        <v>11317</v>
      </c>
      <c r="B203" s="67" t="s">
        <v>319</v>
      </c>
      <c r="C203" s="67">
        <v>6932.7380000000003</v>
      </c>
    </row>
    <row r="204" spans="1:3">
      <c r="A204" s="67">
        <v>11323</v>
      </c>
      <c r="B204" s="67" t="s">
        <v>318</v>
      </c>
      <c r="C204" s="67">
        <v>2003.7159999999999</v>
      </c>
    </row>
    <row r="205" spans="1:3">
      <c r="A205" s="67">
        <v>11327</v>
      </c>
      <c r="B205" s="67" t="s">
        <v>318</v>
      </c>
      <c r="C205" s="67">
        <v>2003.7159999999999</v>
      </c>
    </row>
    <row r="206" spans="1:3">
      <c r="A206" s="67">
        <v>11332</v>
      </c>
      <c r="B206" s="67" t="s">
        <v>318</v>
      </c>
      <c r="C206" s="67">
        <v>4956.4930000000004</v>
      </c>
    </row>
    <row r="207" spans="1:3">
      <c r="A207" s="67">
        <v>11339</v>
      </c>
      <c r="B207" s="67" t="s">
        <v>318</v>
      </c>
      <c r="C207" s="67">
        <v>1524.7619999999999</v>
      </c>
    </row>
    <row r="208" spans="1:3">
      <c r="A208" s="67">
        <v>11341</v>
      </c>
      <c r="B208" s="67" t="s">
        <v>318</v>
      </c>
      <c r="C208" s="67">
        <v>1464.694</v>
      </c>
    </row>
    <row r="209" spans="1:3">
      <c r="A209" s="67">
        <v>11342</v>
      </c>
      <c r="B209" s="67" t="s">
        <v>318</v>
      </c>
      <c r="C209" s="67">
        <v>4956.4930000000004</v>
      </c>
    </row>
    <row r="210" spans="1:3">
      <c r="A210" s="67">
        <v>11346</v>
      </c>
      <c r="B210" s="67" t="s">
        <v>318</v>
      </c>
      <c r="C210" s="67">
        <v>4956.4930000000004</v>
      </c>
    </row>
    <row r="211" spans="1:3">
      <c r="A211" s="67">
        <v>11347</v>
      </c>
      <c r="B211" s="67" t="s">
        <v>318</v>
      </c>
      <c r="C211" s="67">
        <v>4956.4930000000004</v>
      </c>
    </row>
    <row r="212" spans="1:3">
      <c r="A212" s="67">
        <v>11349</v>
      </c>
      <c r="B212" s="67" t="s">
        <v>318</v>
      </c>
      <c r="C212" s="67">
        <v>4956.4930000000004</v>
      </c>
    </row>
    <row r="213" spans="1:3">
      <c r="A213" s="67">
        <v>11352</v>
      </c>
      <c r="B213" s="67" t="s">
        <v>319</v>
      </c>
      <c r="C213" s="67">
        <v>6932.7380000000003</v>
      </c>
    </row>
    <row r="214" spans="1:3">
      <c r="A214" s="67">
        <v>11375</v>
      </c>
      <c r="B214" s="67" t="s">
        <v>318</v>
      </c>
      <c r="C214" s="67">
        <v>1524.7619999999999</v>
      </c>
    </row>
    <row r="215" spans="1:3">
      <c r="A215" s="67">
        <v>11377</v>
      </c>
      <c r="B215" s="67" t="s">
        <v>318</v>
      </c>
      <c r="C215" s="67">
        <v>4956.4930000000004</v>
      </c>
    </row>
    <row r="216" spans="1:3">
      <c r="A216" s="67">
        <v>11409</v>
      </c>
      <c r="B216" s="67" t="s">
        <v>319</v>
      </c>
      <c r="C216" s="67">
        <v>1188.027</v>
      </c>
    </row>
    <row r="217" spans="1:3">
      <c r="A217" s="67">
        <v>11411</v>
      </c>
      <c r="B217" s="67" t="s">
        <v>318</v>
      </c>
      <c r="C217" s="67">
        <v>1464.694</v>
      </c>
    </row>
    <row r="218" spans="1:3">
      <c r="A218" s="67">
        <v>11414</v>
      </c>
      <c r="B218" s="67" t="s">
        <v>318</v>
      </c>
      <c r="C218" s="67">
        <v>4956.4930000000004</v>
      </c>
    </row>
    <row r="219" spans="1:3">
      <c r="A219" s="67">
        <v>11416</v>
      </c>
      <c r="B219" s="67" t="s">
        <v>318</v>
      </c>
      <c r="C219" s="67">
        <v>2003.7159999999999</v>
      </c>
    </row>
    <row r="220" spans="1:3">
      <c r="A220" s="67">
        <v>11417</v>
      </c>
      <c r="B220" s="67" t="s">
        <v>318</v>
      </c>
      <c r="C220" s="67">
        <v>4956.4930000000004</v>
      </c>
    </row>
    <row r="221" spans="1:3">
      <c r="A221" s="67">
        <v>11418</v>
      </c>
      <c r="B221" s="67" t="s">
        <v>319</v>
      </c>
      <c r="C221" s="67">
        <v>6932.7380000000003</v>
      </c>
    </row>
    <row r="222" spans="1:3">
      <c r="A222" s="67">
        <v>11420</v>
      </c>
      <c r="B222" s="67" t="s">
        <v>319</v>
      </c>
      <c r="C222" s="67">
        <v>6932.7380000000003</v>
      </c>
    </row>
    <row r="223" spans="1:3">
      <c r="A223" s="67">
        <v>11437</v>
      </c>
      <c r="B223" s="67" t="s">
        <v>318</v>
      </c>
      <c r="C223" s="67">
        <v>1524.7619999999999</v>
      </c>
    </row>
    <row r="224" spans="1:3">
      <c r="A224" s="67">
        <v>11439</v>
      </c>
      <c r="B224" s="67" t="s">
        <v>319</v>
      </c>
      <c r="C224" s="67">
        <v>6932.7380000000003</v>
      </c>
    </row>
    <row r="225" spans="1:3">
      <c r="A225" s="67">
        <v>11452</v>
      </c>
      <c r="B225" s="67" t="s">
        <v>319</v>
      </c>
      <c r="C225" s="67">
        <v>6932.7380000000003</v>
      </c>
    </row>
    <row r="226" spans="1:3">
      <c r="A226" s="67">
        <v>11467</v>
      </c>
      <c r="B226" s="67" t="s">
        <v>318</v>
      </c>
      <c r="C226" s="67">
        <v>1524.7619999999999</v>
      </c>
    </row>
    <row r="227" spans="1:3">
      <c r="A227" s="67">
        <v>11472</v>
      </c>
      <c r="B227" s="67" t="s">
        <v>318</v>
      </c>
      <c r="C227" s="67">
        <v>1524.7619999999999</v>
      </c>
    </row>
    <row r="228" spans="1:3">
      <c r="A228" s="67">
        <v>11475</v>
      </c>
      <c r="B228" s="67" t="s">
        <v>319</v>
      </c>
      <c r="C228" s="67">
        <v>6932.7380000000003</v>
      </c>
    </row>
    <row r="229" spans="1:3">
      <c r="A229" s="67">
        <v>11476</v>
      </c>
      <c r="B229" s="67" t="s">
        <v>318</v>
      </c>
      <c r="C229" s="67">
        <v>1524.7619999999999</v>
      </c>
    </row>
    <row r="230" spans="1:3">
      <c r="A230" s="67">
        <v>11478</v>
      </c>
      <c r="B230" s="67" t="s">
        <v>318</v>
      </c>
      <c r="C230" s="67">
        <v>2003.7159999999999</v>
      </c>
    </row>
    <row r="231" spans="1:3">
      <c r="A231" s="67">
        <v>11494</v>
      </c>
      <c r="B231" s="67" t="s">
        <v>318</v>
      </c>
      <c r="C231" s="67">
        <v>1524.7619999999999</v>
      </c>
    </row>
    <row r="232" spans="1:3">
      <c r="A232" s="67">
        <v>11496</v>
      </c>
      <c r="B232" s="67" t="s">
        <v>318</v>
      </c>
      <c r="C232" s="67">
        <v>4956.4930000000004</v>
      </c>
    </row>
    <row r="233" spans="1:3">
      <c r="A233" s="67">
        <v>11499</v>
      </c>
      <c r="B233" s="67" t="s">
        <v>319</v>
      </c>
      <c r="C233" s="67">
        <v>1188.027</v>
      </c>
    </row>
    <row r="234" spans="1:3">
      <c r="A234" s="67">
        <v>11503</v>
      </c>
      <c r="B234" s="67" t="s">
        <v>318</v>
      </c>
      <c r="C234" s="67">
        <v>1524.7619999999999</v>
      </c>
    </row>
    <row r="235" spans="1:3">
      <c r="A235" s="67">
        <v>11504</v>
      </c>
      <c r="B235" s="67" t="s">
        <v>319</v>
      </c>
      <c r="C235" s="67">
        <v>6932.7380000000003</v>
      </c>
    </row>
    <row r="236" spans="1:3">
      <c r="A236" s="67">
        <v>11512</v>
      </c>
      <c r="B236" s="67" t="s">
        <v>318</v>
      </c>
      <c r="C236" s="67">
        <v>2003.7159999999999</v>
      </c>
    </row>
    <row r="237" spans="1:3">
      <c r="A237" s="67">
        <v>11516</v>
      </c>
      <c r="B237" s="67" t="s">
        <v>318</v>
      </c>
      <c r="C237" s="67">
        <v>4956.4930000000004</v>
      </c>
    </row>
    <row r="238" spans="1:3">
      <c r="A238" s="67">
        <v>11520</v>
      </c>
      <c r="B238" s="67" t="s">
        <v>318</v>
      </c>
      <c r="C238" s="67">
        <v>2003.7159999999999</v>
      </c>
    </row>
    <row r="239" spans="1:3">
      <c r="A239" s="67">
        <v>11531</v>
      </c>
      <c r="B239" s="67" t="s">
        <v>318</v>
      </c>
      <c r="C239" s="67">
        <v>4956.4930000000004</v>
      </c>
    </row>
    <row r="240" spans="1:3">
      <c r="A240" s="67">
        <v>11533</v>
      </c>
      <c r="B240" s="67" t="s">
        <v>318</v>
      </c>
      <c r="C240" s="67">
        <v>2003.7159999999999</v>
      </c>
    </row>
    <row r="241" spans="1:3">
      <c r="A241" s="67">
        <v>11535</v>
      </c>
      <c r="B241" s="67" t="s">
        <v>318</v>
      </c>
      <c r="C241" s="67">
        <v>1524.7619999999999</v>
      </c>
    </row>
    <row r="242" spans="1:3">
      <c r="A242" s="67">
        <v>11536</v>
      </c>
      <c r="B242" s="67" t="s">
        <v>319</v>
      </c>
      <c r="C242" s="67">
        <v>1188.027</v>
      </c>
    </row>
    <row r="243" spans="1:3">
      <c r="A243" s="67">
        <v>11539</v>
      </c>
      <c r="B243" s="67" t="s">
        <v>318</v>
      </c>
      <c r="C243" s="67">
        <v>2003.7159999999999</v>
      </c>
    </row>
    <row r="244" spans="1:3">
      <c r="A244" s="67">
        <v>11544</v>
      </c>
      <c r="B244" s="67" t="s">
        <v>318</v>
      </c>
      <c r="C244" s="67">
        <v>4956.4930000000004</v>
      </c>
    </row>
    <row r="245" spans="1:3">
      <c r="A245" s="67">
        <v>11549</v>
      </c>
      <c r="B245" s="67" t="s">
        <v>318</v>
      </c>
      <c r="C245" s="67">
        <v>1524.7619999999999</v>
      </c>
    </row>
    <row r="246" spans="1:3">
      <c r="A246" s="67">
        <v>11552</v>
      </c>
      <c r="B246" s="67" t="s">
        <v>318</v>
      </c>
      <c r="C246" s="67">
        <v>1464.694</v>
      </c>
    </row>
    <row r="247" spans="1:3">
      <c r="A247" s="67">
        <v>11555</v>
      </c>
      <c r="B247" s="67" t="s">
        <v>318</v>
      </c>
      <c r="C247" s="67">
        <v>2003.7159999999999</v>
      </c>
    </row>
    <row r="248" spans="1:3">
      <c r="A248" s="67">
        <v>11574</v>
      </c>
      <c r="B248" s="67" t="s">
        <v>318</v>
      </c>
      <c r="C248" s="67">
        <v>4956.4930000000004</v>
      </c>
    </row>
    <row r="249" spans="1:3">
      <c r="A249" s="67">
        <v>11585</v>
      </c>
      <c r="B249" s="67" t="s">
        <v>318</v>
      </c>
      <c r="C249" s="67">
        <v>1524.7619999999999</v>
      </c>
    </row>
    <row r="250" spans="1:3">
      <c r="A250" s="67">
        <v>11602</v>
      </c>
      <c r="B250" s="67" t="s">
        <v>318</v>
      </c>
      <c r="C250" s="67">
        <v>1150.8789999999999</v>
      </c>
    </row>
    <row r="251" spans="1:3">
      <c r="A251" s="67">
        <v>11633</v>
      </c>
      <c r="B251" s="67" t="s">
        <v>318</v>
      </c>
      <c r="C251" s="67">
        <v>4956.4930000000004</v>
      </c>
    </row>
    <row r="252" spans="1:3">
      <c r="A252" s="67">
        <v>11636</v>
      </c>
      <c r="B252" s="67" t="s">
        <v>318</v>
      </c>
      <c r="C252" s="67">
        <v>1464.694</v>
      </c>
    </row>
    <row r="253" spans="1:3">
      <c r="A253" s="67">
        <v>11639</v>
      </c>
      <c r="B253" s="67" t="s">
        <v>318</v>
      </c>
      <c r="C253" s="67">
        <v>1464.694</v>
      </c>
    </row>
    <row r="254" spans="1:3">
      <c r="A254" s="67">
        <v>11645</v>
      </c>
      <c r="B254" s="67" t="s">
        <v>318</v>
      </c>
      <c r="C254" s="67">
        <v>1524.7619999999999</v>
      </c>
    </row>
    <row r="255" spans="1:3">
      <c r="A255" s="67">
        <v>11653</v>
      </c>
      <c r="B255" s="67" t="s">
        <v>318</v>
      </c>
      <c r="C255" s="67">
        <v>1524.7619999999999</v>
      </c>
    </row>
    <row r="256" spans="1:3">
      <c r="A256" s="67">
        <v>11670</v>
      </c>
      <c r="B256" s="67" t="s">
        <v>318</v>
      </c>
      <c r="C256" s="67">
        <v>1524.7619999999999</v>
      </c>
    </row>
    <row r="257" spans="1:3">
      <c r="A257" s="67">
        <v>11675</v>
      </c>
      <c r="B257" s="67" t="s">
        <v>319</v>
      </c>
      <c r="C257" s="67">
        <v>6932.7380000000003</v>
      </c>
    </row>
    <row r="258" spans="1:3">
      <c r="A258" s="67">
        <v>11677</v>
      </c>
      <c r="B258" s="67" t="s">
        <v>318</v>
      </c>
      <c r="C258" s="67">
        <v>1524.7619999999999</v>
      </c>
    </row>
    <row r="259" spans="1:3">
      <c r="A259" s="67">
        <v>11679</v>
      </c>
      <c r="B259" s="67" t="s">
        <v>319</v>
      </c>
      <c r="C259" s="67">
        <v>6932.7380000000003</v>
      </c>
    </row>
    <row r="260" spans="1:3">
      <c r="A260" s="67">
        <v>11684</v>
      </c>
      <c r="B260" s="67" t="s">
        <v>318</v>
      </c>
      <c r="C260" s="67">
        <v>2003.7159999999999</v>
      </c>
    </row>
    <row r="261" spans="1:3">
      <c r="A261" s="67">
        <v>11702</v>
      </c>
      <c r="B261" s="67" t="s">
        <v>318</v>
      </c>
      <c r="C261" s="67">
        <v>2003.7159999999999</v>
      </c>
    </row>
    <row r="262" spans="1:3">
      <c r="A262" s="67">
        <v>11705</v>
      </c>
      <c r="B262" s="67" t="s">
        <v>318</v>
      </c>
      <c r="C262" s="67">
        <v>1464.694</v>
      </c>
    </row>
    <row r="263" spans="1:3">
      <c r="A263" s="67">
        <v>11713</v>
      </c>
      <c r="B263" s="67" t="s">
        <v>318</v>
      </c>
      <c r="C263" s="67">
        <v>2003.7159999999999</v>
      </c>
    </row>
    <row r="264" spans="1:3">
      <c r="A264" s="67">
        <v>11717</v>
      </c>
      <c r="B264" s="67" t="s">
        <v>319</v>
      </c>
      <c r="C264" s="67">
        <v>6932.7380000000003</v>
      </c>
    </row>
    <row r="265" spans="1:3">
      <c r="A265" s="67">
        <v>11725</v>
      </c>
      <c r="B265" s="67" t="s">
        <v>318</v>
      </c>
      <c r="C265" s="67">
        <v>1524.7619999999999</v>
      </c>
    </row>
    <row r="266" spans="1:3">
      <c r="A266" s="67">
        <v>11729</v>
      </c>
      <c r="B266" s="67" t="s">
        <v>319</v>
      </c>
      <c r="C266" s="67">
        <v>6932.7380000000003</v>
      </c>
    </row>
    <row r="267" spans="1:3">
      <c r="A267" s="67">
        <v>11732</v>
      </c>
      <c r="B267" s="67" t="s">
        <v>318</v>
      </c>
      <c r="C267" s="67">
        <v>4956.4930000000004</v>
      </c>
    </row>
    <row r="268" spans="1:3">
      <c r="A268" s="67">
        <v>11734</v>
      </c>
      <c r="B268" s="67" t="s">
        <v>318</v>
      </c>
      <c r="C268" s="67">
        <v>1524.7619999999999</v>
      </c>
    </row>
    <row r="269" spans="1:3">
      <c r="A269" s="67">
        <v>11739</v>
      </c>
      <c r="B269" s="67" t="s">
        <v>318</v>
      </c>
      <c r="C269" s="67">
        <v>1524.7619999999999</v>
      </c>
    </row>
    <row r="270" spans="1:3">
      <c r="A270" s="67">
        <v>11749</v>
      </c>
      <c r="B270" s="67" t="s">
        <v>318</v>
      </c>
      <c r="C270" s="67">
        <v>1464.694</v>
      </c>
    </row>
    <row r="271" spans="1:3">
      <c r="A271" s="67">
        <v>11752</v>
      </c>
      <c r="B271" s="67" t="s">
        <v>318</v>
      </c>
      <c r="C271" s="67">
        <v>2003.7159999999999</v>
      </c>
    </row>
    <row r="272" spans="1:3">
      <c r="A272" s="67">
        <v>11753</v>
      </c>
      <c r="B272" s="67" t="s">
        <v>318</v>
      </c>
      <c r="C272" s="67">
        <v>2003.7159999999999</v>
      </c>
    </row>
    <row r="273" spans="1:3">
      <c r="A273" s="67">
        <v>11762</v>
      </c>
      <c r="B273" s="67" t="s">
        <v>318</v>
      </c>
      <c r="C273" s="67">
        <v>1464.694</v>
      </c>
    </row>
    <row r="274" spans="1:3">
      <c r="A274" s="67">
        <v>11766</v>
      </c>
      <c r="B274" s="67" t="s">
        <v>318</v>
      </c>
      <c r="C274" s="67">
        <v>4956.4930000000004</v>
      </c>
    </row>
    <row r="275" spans="1:3">
      <c r="A275" s="67">
        <v>11769</v>
      </c>
      <c r="B275" s="67" t="s">
        <v>318</v>
      </c>
      <c r="C275" s="67">
        <v>4956.4930000000004</v>
      </c>
    </row>
    <row r="276" spans="1:3">
      <c r="A276" s="67">
        <v>11772</v>
      </c>
      <c r="B276" s="67" t="s">
        <v>318</v>
      </c>
      <c r="C276" s="67">
        <v>1464.694</v>
      </c>
    </row>
    <row r="277" spans="1:3">
      <c r="A277" s="67">
        <v>11774</v>
      </c>
      <c r="B277" s="67" t="s">
        <v>319</v>
      </c>
      <c r="C277" s="67">
        <v>6932.7380000000003</v>
      </c>
    </row>
    <row r="278" spans="1:3">
      <c r="A278" s="67">
        <v>11775</v>
      </c>
      <c r="B278" s="67" t="s">
        <v>318</v>
      </c>
      <c r="C278" s="67">
        <v>4956.4930000000004</v>
      </c>
    </row>
    <row r="279" spans="1:3">
      <c r="A279" s="67">
        <v>11779</v>
      </c>
      <c r="B279" s="67" t="s">
        <v>318</v>
      </c>
      <c r="C279" s="67">
        <v>1524.7619999999999</v>
      </c>
    </row>
    <row r="280" spans="1:3">
      <c r="A280" s="67">
        <v>11780</v>
      </c>
      <c r="B280" s="67" t="s">
        <v>318</v>
      </c>
      <c r="C280" s="67">
        <v>1150.8789999999999</v>
      </c>
    </row>
    <row r="281" spans="1:3">
      <c r="A281" s="67">
        <v>11788</v>
      </c>
      <c r="B281" s="67" t="s">
        <v>318</v>
      </c>
      <c r="C281" s="67">
        <v>4956.4930000000004</v>
      </c>
    </row>
    <row r="282" spans="1:3">
      <c r="A282" s="67">
        <v>11794</v>
      </c>
      <c r="B282" s="67" t="s">
        <v>318</v>
      </c>
      <c r="C282" s="67">
        <v>1464.694</v>
      </c>
    </row>
    <row r="283" spans="1:3">
      <c r="A283" s="67">
        <v>11802</v>
      </c>
      <c r="B283" s="67" t="s">
        <v>319</v>
      </c>
      <c r="C283" s="67">
        <v>1188.027</v>
      </c>
    </row>
    <row r="284" spans="1:3">
      <c r="A284" s="67">
        <v>11808</v>
      </c>
      <c r="B284" s="67" t="s">
        <v>318</v>
      </c>
      <c r="C284" s="67">
        <v>4956.4930000000004</v>
      </c>
    </row>
    <row r="285" spans="1:3">
      <c r="A285" s="67">
        <v>11815</v>
      </c>
      <c r="B285" s="67" t="s">
        <v>319</v>
      </c>
      <c r="C285" s="67">
        <v>6932.7380000000003</v>
      </c>
    </row>
    <row r="286" spans="1:3">
      <c r="A286" s="67">
        <v>11825</v>
      </c>
      <c r="B286" s="67" t="s">
        <v>318</v>
      </c>
      <c r="C286" s="67">
        <v>1464.694</v>
      </c>
    </row>
    <row r="287" spans="1:3">
      <c r="A287" s="67">
        <v>11827</v>
      </c>
      <c r="B287" s="67" t="s">
        <v>318</v>
      </c>
      <c r="C287" s="67">
        <v>4956.4930000000004</v>
      </c>
    </row>
    <row r="288" spans="1:3">
      <c r="A288" s="67">
        <v>11835</v>
      </c>
      <c r="B288" s="67" t="s">
        <v>318</v>
      </c>
      <c r="C288" s="67">
        <v>1464.694</v>
      </c>
    </row>
    <row r="289" spans="1:3">
      <c r="A289" s="67">
        <v>11836</v>
      </c>
      <c r="B289" s="67" t="s">
        <v>318</v>
      </c>
      <c r="C289" s="67">
        <v>2003.7159999999999</v>
      </c>
    </row>
    <row r="290" spans="1:3">
      <c r="A290" s="67">
        <v>11838</v>
      </c>
      <c r="B290" s="67" t="s">
        <v>318</v>
      </c>
      <c r="C290" s="67">
        <v>2003.7159999999999</v>
      </c>
    </row>
    <row r="291" spans="1:3">
      <c r="A291" s="67">
        <v>11842</v>
      </c>
      <c r="B291" s="67" t="s">
        <v>318</v>
      </c>
      <c r="C291" s="67">
        <v>4956.4930000000004</v>
      </c>
    </row>
    <row r="292" spans="1:3">
      <c r="A292" s="67">
        <v>11844</v>
      </c>
      <c r="B292" s="67" t="s">
        <v>318</v>
      </c>
      <c r="C292" s="67">
        <v>4956.4930000000004</v>
      </c>
    </row>
    <row r="293" spans="1:3">
      <c r="A293" s="67">
        <v>11860</v>
      </c>
      <c r="B293" s="67" t="s">
        <v>318</v>
      </c>
      <c r="C293" s="67">
        <v>2003.7159999999999</v>
      </c>
    </row>
    <row r="294" spans="1:3">
      <c r="A294" s="67">
        <v>11871</v>
      </c>
      <c r="B294" s="67" t="s">
        <v>318</v>
      </c>
      <c r="C294" s="67">
        <v>4956.4930000000004</v>
      </c>
    </row>
    <row r="295" spans="1:3">
      <c r="A295" s="67">
        <v>11872</v>
      </c>
      <c r="B295" s="67" t="s">
        <v>318</v>
      </c>
      <c r="C295" s="67">
        <v>1524.7619999999999</v>
      </c>
    </row>
    <row r="296" spans="1:3">
      <c r="A296" s="67">
        <v>11873</v>
      </c>
      <c r="B296" s="67" t="s">
        <v>318</v>
      </c>
      <c r="C296" s="67">
        <v>1524.7619999999999</v>
      </c>
    </row>
    <row r="297" spans="1:3">
      <c r="A297" s="67">
        <v>11880</v>
      </c>
      <c r="B297" s="67" t="s">
        <v>318</v>
      </c>
      <c r="C297" s="67">
        <v>2003.7159999999999</v>
      </c>
    </row>
    <row r="298" spans="1:3">
      <c r="A298" s="67">
        <v>11894</v>
      </c>
      <c r="B298" s="67" t="s">
        <v>318</v>
      </c>
      <c r="C298" s="67">
        <v>4956.4930000000004</v>
      </c>
    </row>
    <row r="299" spans="1:3">
      <c r="A299" s="67">
        <v>11896</v>
      </c>
      <c r="B299" s="67" t="s">
        <v>318</v>
      </c>
      <c r="C299" s="67">
        <v>2003.7159999999999</v>
      </c>
    </row>
    <row r="300" spans="1:3">
      <c r="A300" s="67">
        <v>11900</v>
      </c>
      <c r="B300" s="67" t="s">
        <v>318</v>
      </c>
      <c r="C300" s="67">
        <v>1524.7619999999999</v>
      </c>
    </row>
    <row r="301" spans="1:3">
      <c r="A301" s="67">
        <v>11904</v>
      </c>
      <c r="B301" s="67" t="s">
        <v>318</v>
      </c>
      <c r="C301" s="67">
        <v>1464.694</v>
      </c>
    </row>
    <row r="302" spans="1:3">
      <c r="A302" s="67">
        <v>11908</v>
      </c>
      <c r="B302" s="67" t="s">
        <v>318</v>
      </c>
      <c r="C302" s="67">
        <v>2003.7159999999999</v>
      </c>
    </row>
    <row r="303" spans="1:3">
      <c r="A303" s="67">
        <v>11910</v>
      </c>
      <c r="B303" s="67" t="s">
        <v>318</v>
      </c>
      <c r="C303" s="67">
        <v>2003.7159999999999</v>
      </c>
    </row>
    <row r="304" spans="1:3">
      <c r="A304" s="67">
        <v>11914</v>
      </c>
      <c r="B304" s="67" t="s">
        <v>319</v>
      </c>
      <c r="C304" s="67">
        <v>6932.7380000000003</v>
      </c>
    </row>
    <row r="305" spans="1:3">
      <c r="A305" s="67">
        <v>11925</v>
      </c>
      <c r="B305" s="67" t="s">
        <v>318</v>
      </c>
      <c r="C305" s="67">
        <v>4956.4930000000004</v>
      </c>
    </row>
    <row r="306" spans="1:3">
      <c r="A306" s="67">
        <v>11933</v>
      </c>
      <c r="B306" s="67" t="s">
        <v>318</v>
      </c>
      <c r="C306" s="67">
        <v>2003.7159999999999</v>
      </c>
    </row>
    <row r="307" spans="1:3">
      <c r="A307" s="67">
        <v>11943</v>
      </c>
      <c r="B307" s="67" t="s">
        <v>318</v>
      </c>
      <c r="C307" s="67">
        <v>4956.4930000000004</v>
      </c>
    </row>
    <row r="308" spans="1:3">
      <c r="A308" s="67">
        <v>11953</v>
      </c>
      <c r="B308" s="67" t="s">
        <v>318</v>
      </c>
      <c r="C308" s="67">
        <v>2003.7159999999999</v>
      </c>
    </row>
    <row r="309" spans="1:3">
      <c r="A309" s="67">
        <v>11954</v>
      </c>
      <c r="B309" s="67" t="s">
        <v>318</v>
      </c>
      <c r="C309" s="67">
        <v>1524.7619999999999</v>
      </c>
    </row>
    <row r="310" spans="1:3">
      <c r="A310" s="67">
        <v>11958</v>
      </c>
      <c r="B310" s="67" t="s">
        <v>319</v>
      </c>
      <c r="C310" s="67">
        <v>6932.7380000000003</v>
      </c>
    </row>
    <row r="311" spans="1:3">
      <c r="A311" s="67">
        <v>11967</v>
      </c>
      <c r="B311" s="67" t="s">
        <v>319</v>
      </c>
      <c r="C311" s="67">
        <v>6932.7380000000003</v>
      </c>
    </row>
    <row r="312" spans="1:3">
      <c r="A312" s="67">
        <v>11971</v>
      </c>
      <c r="B312" s="67" t="s">
        <v>318</v>
      </c>
      <c r="C312" s="67">
        <v>1524.7619999999999</v>
      </c>
    </row>
    <row r="313" spans="1:3">
      <c r="A313" s="67">
        <v>11978</v>
      </c>
      <c r="B313" s="67" t="s">
        <v>319</v>
      </c>
      <c r="C313" s="67">
        <v>1188.027</v>
      </c>
    </row>
    <row r="314" spans="1:3">
      <c r="A314" s="67">
        <v>11980</v>
      </c>
      <c r="B314" s="67" t="s">
        <v>318</v>
      </c>
      <c r="C314" s="67">
        <v>1524.7619999999999</v>
      </c>
    </row>
    <row r="315" spans="1:3">
      <c r="A315" s="67">
        <v>11988</v>
      </c>
      <c r="B315" s="67" t="s">
        <v>319</v>
      </c>
      <c r="C315" s="67">
        <v>1188.027</v>
      </c>
    </row>
    <row r="316" spans="1:3">
      <c r="A316" s="67">
        <v>11992</v>
      </c>
      <c r="B316" s="67" t="s">
        <v>318</v>
      </c>
      <c r="C316" s="67">
        <v>1524.7619999999999</v>
      </c>
    </row>
    <row r="317" spans="1:3">
      <c r="A317" s="67">
        <v>11993</v>
      </c>
      <c r="B317" s="67" t="s">
        <v>318</v>
      </c>
      <c r="C317" s="67">
        <v>2003.7159999999999</v>
      </c>
    </row>
    <row r="318" spans="1:3">
      <c r="A318" s="67">
        <v>12016</v>
      </c>
      <c r="B318" s="67" t="s">
        <v>318</v>
      </c>
      <c r="C318" s="67">
        <v>1524.7619999999999</v>
      </c>
    </row>
    <row r="319" spans="1:3">
      <c r="A319" s="67">
        <v>12018</v>
      </c>
      <c r="B319" s="67" t="s">
        <v>319</v>
      </c>
      <c r="C319" s="67">
        <v>6932.7380000000003</v>
      </c>
    </row>
    <row r="320" spans="1:3">
      <c r="A320" s="67">
        <v>12022</v>
      </c>
      <c r="B320" s="67" t="s">
        <v>318</v>
      </c>
      <c r="C320" s="67">
        <v>1524.7619999999999</v>
      </c>
    </row>
    <row r="321" spans="1:3">
      <c r="A321" s="67">
        <v>12029</v>
      </c>
      <c r="B321" s="67" t="s">
        <v>318</v>
      </c>
      <c r="C321" s="67">
        <v>1464.694</v>
      </c>
    </row>
    <row r="322" spans="1:3">
      <c r="A322" s="67">
        <v>12033</v>
      </c>
      <c r="B322" s="67" t="s">
        <v>319</v>
      </c>
      <c r="C322" s="67">
        <v>1188.027</v>
      </c>
    </row>
    <row r="323" spans="1:3">
      <c r="A323" s="67">
        <v>12035</v>
      </c>
      <c r="B323" s="67" t="s">
        <v>318</v>
      </c>
      <c r="C323" s="67">
        <v>2003.7159999999999</v>
      </c>
    </row>
    <row r="324" spans="1:3">
      <c r="A324" s="67">
        <v>12039</v>
      </c>
      <c r="B324" s="67" t="s">
        <v>318</v>
      </c>
      <c r="C324" s="67">
        <v>4956.4930000000004</v>
      </c>
    </row>
    <row r="325" spans="1:3">
      <c r="A325" s="67">
        <v>12049</v>
      </c>
      <c r="B325" s="67" t="s">
        <v>318</v>
      </c>
      <c r="C325" s="67">
        <v>1464.694</v>
      </c>
    </row>
    <row r="326" spans="1:3">
      <c r="A326" s="67">
        <v>12054</v>
      </c>
      <c r="B326" s="67" t="s">
        <v>318</v>
      </c>
      <c r="C326" s="67">
        <v>1524.7619999999999</v>
      </c>
    </row>
    <row r="327" spans="1:3">
      <c r="A327" s="67">
        <v>12060</v>
      </c>
      <c r="B327" s="67" t="s">
        <v>318</v>
      </c>
      <c r="C327" s="67">
        <v>1464.694</v>
      </c>
    </row>
    <row r="328" spans="1:3">
      <c r="A328" s="67">
        <v>12062</v>
      </c>
      <c r="B328" s="67" t="s">
        <v>319</v>
      </c>
      <c r="C328" s="67">
        <v>6932.7380000000003</v>
      </c>
    </row>
    <row r="329" spans="1:3">
      <c r="A329" s="67">
        <v>12063</v>
      </c>
      <c r="B329" s="67" t="s">
        <v>318</v>
      </c>
      <c r="C329" s="67">
        <v>1464.694</v>
      </c>
    </row>
    <row r="330" spans="1:3">
      <c r="A330" s="67">
        <v>12064</v>
      </c>
      <c r="B330" s="67" t="s">
        <v>318</v>
      </c>
      <c r="C330" s="67">
        <v>1524.7619999999999</v>
      </c>
    </row>
    <row r="331" spans="1:3">
      <c r="A331" s="67">
        <v>12086</v>
      </c>
      <c r="B331" s="67" t="s">
        <v>318</v>
      </c>
      <c r="C331" s="67">
        <v>1464.694</v>
      </c>
    </row>
    <row r="332" spans="1:3">
      <c r="A332" s="67">
        <v>12092</v>
      </c>
      <c r="B332" s="67" t="s">
        <v>318</v>
      </c>
      <c r="C332" s="67">
        <v>4956.4930000000004</v>
      </c>
    </row>
    <row r="333" spans="1:3">
      <c r="A333" s="67">
        <v>12101</v>
      </c>
      <c r="B333" s="67" t="s">
        <v>318</v>
      </c>
      <c r="C333" s="67">
        <v>4956.4930000000004</v>
      </c>
    </row>
    <row r="334" spans="1:3">
      <c r="A334" s="67">
        <v>12103</v>
      </c>
      <c r="B334" s="67" t="s">
        <v>318</v>
      </c>
      <c r="C334" s="67">
        <v>4956.4930000000004</v>
      </c>
    </row>
    <row r="335" spans="1:3">
      <c r="A335" s="67">
        <v>12105</v>
      </c>
      <c r="B335" s="67" t="s">
        <v>319</v>
      </c>
      <c r="C335" s="67">
        <v>1188.027</v>
      </c>
    </row>
    <row r="336" spans="1:3">
      <c r="A336" s="67">
        <v>12107</v>
      </c>
      <c r="B336" s="67" t="s">
        <v>318</v>
      </c>
      <c r="C336" s="67">
        <v>4956.4930000000004</v>
      </c>
    </row>
    <row r="337" spans="1:3">
      <c r="A337" s="67">
        <v>12108</v>
      </c>
      <c r="B337" s="67" t="s">
        <v>318</v>
      </c>
      <c r="C337" s="67">
        <v>1524.7619999999999</v>
      </c>
    </row>
    <row r="338" spans="1:3">
      <c r="A338" s="67">
        <v>12111</v>
      </c>
      <c r="B338" s="67" t="s">
        <v>318</v>
      </c>
      <c r="C338" s="67">
        <v>1464.694</v>
      </c>
    </row>
    <row r="339" spans="1:3">
      <c r="A339" s="67">
        <v>12114</v>
      </c>
      <c r="B339" s="67" t="s">
        <v>318</v>
      </c>
      <c r="C339" s="67">
        <v>2003.7159999999999</v>
      </c>
    </row>
    <row r="340" spans="1:3">
      <c r="A340" s="67">
        <v>12131</v>
      </c>
      <c r="B340" s="67" t="s">
        <v>318</v>
      </c>
      <c r="C340" s="67">
        <v>4956.4930000000004</v>
      </c>
    </row>
    <row r="341" spans="1:3">
      <c r="A341" s="67">
        <v>12142</v>
      </c>
      <c r="B341" s="67" t="s">
        <v>318</v>
      </c>
      <c r="C341" s="67">
        <v>1524.7619999999999</v>
      </c>
    </row>
    <row r="342" spans="1:3">
      <c r="A342" s="67">
        <v>12144</v>
      </c>
      <c r="B342" s="67" t="s">
        <v>319</v>
      </c>
      <c r="C342" s="67">
        <v>6932.7380000000003</v>
      </c>
    </row>
    <row r="343" spans="1:3">
      <c r="A343" s="67">
        <v>12145</v>
      </c>
      <c r="B343" s="67" t="s">
        <v>318</v>
      </c>
      <c r="C343" s="67">
        <v>1524.7619999999999</v>
      </c>
    </row>
    <row r="344" spans="1:3">
      <c r="A344" s="67">
        <v>12146</v>
      </c>
      <c r="B344" s="67" t="s">
        <v>318</v>
      </c>
      <c r="C344" s="67">
        <v>1464.694</v>
      </c>
    </row>
    <row r="345" spans="1:3">
      <c r="A345" s="67">
        <v>12148</v>
      </c>
      <c r="B345" s="67" t="s">
        <v>319</v>
      </c>
      <c r="C345" s="67">
        <v>6932.7380000000003</v>
      </c>
    </row>
    <row r="346" spans="1:3">
      <c r="A346" s="67">
        <v>12153</v>
      </c>
      <c r="B346" s="67" t="s">
        <v>318</v>
      </c>
      <c r="C346" s="67">
        <v>1524.7619999999999</v>
      </c>
    </row>
    <row r="347" spans="1:3">
      <c r="A347" s="67">
        <v>12163</v>
      </c>
      <c r="B347" s="67" t="s">
        <v>318</v>
      </c>
      <c r="C347" s="67">
        <v>1524.7619999999999</v>
      </c>
    </row>
    <row r="348" spans="1:3">
      <c r="A348" s="67">
        <v>12169</v>
      </c>
      <c r="B348" s="67" t="s">
        <v>318</v>
      </c>
      <c r="C348" s="67">
        <v>1524.7619999999999</v>
      </c>
    </row>
    <row r="349" spans="1:3">
      <c r="A349" s="67">
        <v>12176</v>
      </c>
      <c r="B349" s="67" t="s">
        <v>318</v>
      </c>
      <c r="C349" s="67">
        <v>1524.7619999999999</v>
      </c>
    </row>
    <row r="350" spans="1:3">
      <c r="A350" s="67">
        <v>12183</v>
      </c>
      <c r="B350" s="67" t="s">
        <v>318</v>
      </c>
      <c r="C350" s="67">
        <v>4956.4930000000004</v>
      </c>
    </row>
    <row r="351" spans="1:3">
      <c r="A351" s="67">
        <v>12186</v>
      </c>
      <c r="B351" s="67" t="s">
        <v>318</v>
      </c>
      <c r="C351" s="67">
        <v>4956.4930000000004</v>
      </c>
    </row>
    <row r="352" spans="1:3">
      <c r="A352" s="67">
        <v>12190</v>
      </c>
      <c r="B352" s="67" t="s">
        <v>318</v>
      </c>
      <c r="C352" s="67">
        <v>4956.4930000000004</v>
      </c>
    </row>
    <row r="353" spans="1:3">
      <c r="A353" s="67">
        <v>12197</v>
      </c>
      <c r="B353" s="67" t="s">
        <v>318</v>
      </c>
      <c r="C353" s="67">
        <v>1524.7619999999999</v>
      </c>
    </row>
    <row r="354" spans="1:3">
      <c r="A354" s="67">
        <v>12199</v>
      </c>
      <c r="B354" s="67" t="s">
        <v>318</v>
      </c>
      <c r="C354" s="67">
        <v>2003.7159999999999</v>
      </c>
    </row>
    <row r="355" spans="1:3">
      <c r="A355" s="67">
        <v>12203</v>
      </c>
      <c r="B355" s="67" t="s">
        <v>318</v>
      </c>
      <c r="C355" s="67">
        <v>1524.7619999999999</v>
      </c>
    </row>
    <row r="356" spans="1:3">
      <c r="A356" s="67">
        <v>12207</v>
      </c>
      <c r="B356" s="67" t="s">
        <v>318</v>
      </c>
      <c r="C356" s="67">
        <v>4956.4930000000004</v>
      </c>
    </row>
    <row r="357" spans="1:3">
      <c r="A357" s="67">
        <v>12213</v>
      </c>
      <c r="B357" s="67" t="s">
        <v>318</v>
      </c>
      <c r="C357" s="67">
        <v>1464.694</v>
      </c>
    </row>
    <row r="358" spans="1:3">
      <c r="A358" s="67">
        <v>12214</v>
      </c>
      <c r="B358" s="67" t="s">
        <v>318</v>
      </c>
      <c r="C358" s="67">
        <v>4956.4930000000004</v>
      </c>
    </row>
    <row r="359" spans="1:3">
      <c r="A359" s="67">
        <v>12215</v>
      </c>
      <c r="B359" s="67" t="s">
        <v>318</v>
      </c>
      <c r="C359" s="67">
        <v>2003.7159999999999</v>
      </c>
    </row>
    <row r="360" spans="1:3">
      <c r="A360" s="67">
        <v>12226</v>
      </c>
      <c r="B360" s="67" t="s">
        <v>319</v>
      </c>
      <c r="C360" s="67">
        <v>6932.7380000000003</v>
      </c>
    </row>
    <row r="361" spans="1:3">
      <c r="A361" s="67">
        <v>12229</v>
      </c>
      <c r="B361" s="67" t="s">
        <v>318</v>
      </c>
      <c r="C361" s="67">
        <v>1524.7619999999999</v>
      </c>
    </row>
    <row r="362" spans="1:3">
      <c r="A362" s="67">
        <v>12230</v>
      </c>
      <c r="B362" s="67" t="s">
        <v>319</v>
      </c>
      <c r="C362" s="67">
        <v>6932.7380000000003</v>
      </c>
    </row>
    <row r="363" spans="1:3">
      <c r="A363" s="67">
        <v>12232</v>
      </c>
      <c r="B363" s="67" t="s">
        <v>319</v>
      </c>
      <c r="C363" s="67">
        <v>1188.027</v>
      </c>
    </row>
    <row r="364" spans="1:3">
      <c r="A364" s="67">
        <v>12242</v>
      </c>
      <c r="B364" s="67" t="s">
        <v>318</v>
      </c>
      <c r="C364" s="67">
        <v>1524.7619999999999</v>
      </c>
    </row>
    <row r="365" spans="1:3">
      <c r="A365" s="67">
        <v>12247</v>
      </c>
      <c r="B365" s="67" t="s">
        <v>318</v>
      </c>
      <c r="C365" s="67">
        <v>2003.7159999999999</v>
      </c>
    </row>
    <row r="366" spans="1:3">
      <c r="A366" s="67">
        <v>12255</v>
      </c>
      <c r="B366" s="67" t="s">
        <v>319</v>
      </c>
      <c r="C366" s="67">
        <v>1188.027</v>
      </c>
    </row>
    <row r="367" spans="1:3">
      <c r="A367" s="67">
        <v>12263</v>
      </c>
      <c r="B367" s="67" t="s">
        <v>318</v>
      </c>
      <c r="C367" s="67">
        <v>1524.7619999999999</v>
      </c>
    </row>
    <row r="368" spans="1:3">
      <c r="A368" s="67">
        <v>12264</v>
      </c>
      <c r="B368" s="67" t="s">
        <v>318</v>
      </c>
      <c r="C368" s="67">
        <v>1464.694</v>
      </c>
    </row>
    <row r="369" spans="1:3">
      <c r="A369" s="67">
        <v>12266</v>
      </c>
      <c r="B369" s="67" t="s">
        <v>318</v>
      </c>
      <c r="C369" s="67">
        <v>4956.4930000000004</v>
      </c>
    </row>
    <row r="370" spans="1:3">
      <c r="A370" s="67">
        <v>12270</v>
      </c>
      <c r="B370" s="67" t="s">
        <v>318</v>
      </c>
      <c r="C370" s="67">
        <v>1150.8789999999999</v>
      </c>
    </row>
    <row r="371" spans="1:3">
      <c r="A371" s="67">
        <v>12271</v>
      </c>
      <c r="B371" s="67" t="s">
        <v>318</v>
      </c>
      <c r="C371" s="67">
        <v>1524.7619999999999</v>
      </c>
    </row>
    <row r="372" spans="1:3">
      <c r="A372" s="67">
        <v>12274</v>
      </c>
      <c r="B372" s="67" t="s">
        <v>318</v>
      </c>
      <c r="C372" s="67">
        <v>4956.4930000000004</v>
      </c>
    </row>
    <row r="373" spans="1:3">
      <c r="A373" s="67">
        <v>12278</v>
      </c>
      <c r="B373" s="67" t="s">
        <v>318</v>
      </c>
      <c r="C373" s="67">
        <v>2003.7159999999999</v>
      </c>
    </row>
    <row r="374" spans="1:3">
      <c r="A374" s="67">
        <v>12295</v>
      </c>
      <c r="B374" s="67" t="s">
        <v>319</v>
      </c>
      <c r="C374" s="67">
        <v>6932.7380000000003</v>
      </c>
    </row>
    <row r="375" spans="1:3">
      <c r="A375" s="67">
        <v>12303</v>
      </c>
      <c r="B375" s="67" t="s">
        <v>318</v>
      </c>
      <c r="C375" s="67">
        <v>1464.694</v>
      </c>
    </row>
    <row r="376" spans="1:3">
      <c r="A376" s="67">
        <v>12305</v>
      </c>
      <c r="B376" s="67" t="s">
        <v>318</v>
      </c>
      <c r="C376" s="67">
        <v>4956.4930000000004</v>
      </c>
    </row>
    <row r="377" spans="1:3">
      <c r="A377" s="67">
        <v>12307</v>
      </c>
      <c r="B377" s="67" t="s">
        <v>318</v>
      </c>
      <c r="C377" s="67">
        <v>1524.7619999999999</v>
      </c>
    </row>
    <row r="378" spans="1:3">
      <c r="A378" s="67">
        <v>12315</v>
      </c>
      <c r="B378" s="67" t="s">
        <v>318</v>
      </c>
      <c r="C378" s="67">
        <v>2003.7159999999999</v>
      </c>
    </row>
    <row r="379" spans="1:3">
      <c r="A379" s="67">
        <v>12320</v>
      </c>
      <c r="B379" s="67" t="s">
        <v>318</v>
      </c>
      <c r="C379" s="67">
        <v>2003.7159999999999</v>
      </c>
    </row>
    <row r="380" spans="1:3">
      <c r="A380" s="67">
        <v>12321</v>
      </c>
      <c r="B380" s="67" t="s">
        <v>318</v>
      </c>
      <c r="C380" s="67">
        <v>1524.7619999999999</v>
      </c>
    </row>
    <row r="381" spans="1:3">
      <c r="A381" s="67">
        <v>12339</v>
      </c>
      <c r="B381" s="67" t="s">
        <v>318</v>
      </c>
      <c r="C381" s="67">
        <v>2003.7159999999999</v>
      </c>
    </row>
    <row r="382" spans="1:3">
      <c r="A382" s="67">
        <v>12341</v>
      </c>
      <c r="B382" s="67" t="s">
        <v>318</v>
      </c>
      <c r="C382" s="67">
        <v>1464.694</v>
      </c>
    </row>
    <row r="383" spans="1:3">
      <c r="A383" s="67">
        <v>12348</v>
      </c>
      <c r="B383" s="67" t="s">
        <v>318</v>
      </c>
      <c r="C383" s="67">
        <v>1524.7619999999999</v>
      </c>
    </row>
    <row r="384" spans="1:3">
      <c r="A384" s="67">
        <v>12358</v>
      </c>
      <c r="B384" s="67" t="s">
        <v>318</v>
      </c>
      <c r="C384" s="67">
        <v>1524.7619999999999</v>
      </c>
    </row>
    <row r="385" spans="1:3">
      <c r="A385" s="67">
        <v>12370</v>
      </c>
      <c r="B385" s="67" t="s">
        <v>319</v>
      </c>
      <c r="C385" s="67">
        <v>6932.7380000000003</v>
      </c>
    </row>
    <row r="386" spans="1:3">
      <c r="A386" s="67">
        <v>12372</v>
      </c>
      <c r="B386" s="67" t="s">
        <v>318</v>
      </c>
      <c r="C386" s="67">
        <v>4956.4930000000004</v>
      </c>
    </row>
    <row r="387" spans="1:3">
      <c r="A387" s="67">
        <v>12376</v>
      </c>
      <c r="B387" s="67" t="s">
        <v>319</v>
      </c>
      <c r="C387" s="67">
        <v>1188.027</v>
      </c>
    </row>
    <row r="388" spans="1:3">
      <c r="A388" s="67">
        <v>12377</v>
      </c>
      <c r="B388" s="67" t="s">
        <v>319</v>
      </c>
      <c r="C388" s="67">
        <v>6932.7380000000003</v>
      </c>
    </row>
    <row r="389" spans="1:3">
      <c r="A389" s="67">
        <v>12398</v>
      </c>
      <c r="B389" s="67" t="s">
        <v>318</v>
      </c>
      <c r="C389" s="67">
        <v>1524.7619999999999</v>
      </c>
    </row>
    <row r="390" spans="1:3">
      <c r="A390" s="67">
        <v>12399</v>
      </c>
      <c r="B390" s="67" t="s">
        <v>318</v>
      </c>
      <c r="C390" s="67">
        <v>1524.7619999999999</v>
      </c>
    </row>
    <row r="391" spans="1:3">
      <c r="A391" s="67">
        <v>12404</v>
      </c>
      <c r="B391" s="67" t="s">
        <v>318</v>
      </c>
      <c r="C391" s="67">
        <v>2003.7159999999999</v>
      </c>
    </row>
    <row r="392" spans="1:3">
      <c r="A392" s="67">
        <v>12407</v>
      </c>
      <c r="B392" s="67" t="s">
        <v>318</v>
      </c>
      <c r="C392" s="67">
        <v>1150.8789999999999</v>
      </c>
    </row>
    <row r="393" spans="1:3">
      <c r="A393" s="67">
        <v>12408</v>
      </c>
      <c r="B393" s="67" t="s">
        <v>318</v>
      </c>
      <c r="C393" s="67">
        <v>4956.4930000000004</v>
      </c>
    </row>
    <row r="394" spans="1:3">
      <c r="A394" s="67">
        <v>12414</v>
      </c>
      <c r="B394" s="67" t="s">
        <v>318</v>
      </c>
      <c r="C394" s="67">
        <v>1524.7619999999999</v>
      </c>
    </row>
    <row r="395" spans="1:3">
      <c r="A395" s="67">
        <v>12427</v>
      </c>
      <c r="B395" s="67" t="s">
        <v>318</v>
      </c>
      <c r="C395" s="67">
        <v>1524.7619999999999</v>
      </c>
    </row>
    <row r="396" spans="1:3">
      <c r="A396" s="67">
        <v>12434</v>
      </c>
      <c r="B396" s="67" t="s">
        <v>319</v>
      </c>
      <c r="C396" s="67">
        <v>6932.7380000000003</v>
      </c>
    </row>
    <row r="397" spans="1:3">
      <c r="A397" s="67">
        <v>12456</v>
      </c>
      <c r="B397" s="67" t="s">
        <v>318</v>
      </c>
      <c r="C397" s="67">
        <v>2003.7159999999999</v>
      </c>
    </row>
    <row r="398" spans="1:3">
      <c r="A398" s="67">
        <v>12458</v>
      </c>
      <c r="B398" s="67" t="s">
        <v>319</v>
      </c>
      <c r="C398" s="67">
        <v>1188.027</v>
      </c>
    </row>
    <row r="399" spans="1:3">
      <c r="A399" s="67">
        <v>12460</v>
      </c>
      <c r="B399" s="67" t="s">
        <v>318</v>
      </c>
      <c r="C399" s="67">
        <v>1150.8789999999999</v>
      </c>
    </row>
    <row r="400" spans="1:3">
      <c r="A400" s="67">
        <v>12478</v>
      </c>
      <c r="B400" s="67" t="s">
        <v>318</v>
      </c>
      <c r="C400" s="67">
        <v>1150.8789999999999</v>
      </c>
    </row>
    <row r="401" spans="1:3">
      <c r="A401" s="67">
        <v>12482</v>
      </c>
      <c r="B401" s="67" t="s">
        <v>318</v>
      </c>
      <c r="C401" s="67">
        <v>4956.4930000000004</v>
      </c>
    </row>
    <row r="402" spans="1:3">
      <c r="A402" s="67">
        <v>12483</v>
      </c>
      <c r="B402" s="67" t="s">
        <v>319</v>
      </c>
      <c r="C402" s="67">
        <v>1188.027</v>
      </c>
    </row>
    <row r="403" spans="1:3">
      <c r="A403" s="67">
        <v>12486</v>
      </c>
      <c r="B403" s="67" t="s">
        <v>318</v>
      </c>
      <c r="C403" s="67">
        <v>4956.4930000000004</v>
      </c>
    </row>
    <row r="404" spans="1:3">
      <c r="A404" s="67">
        <v>12489</v>
      </c>
      <c r="B404" s="67" t="s">
        <v>318</v>
      </c>
      <c r="C404" s="67">
        <v>4956.4930000000004</v>
      </c>
    </row>
    <row r="405" spans="1:3">
      <c r="A405" s="67">
        <v>12494</v>
      </c>
      <c r="B405" s="67" t="s">
        <v>318</v>
      </c>
      <c r="C405" s="67">
        <v>1524.7619999999999</v>
      </c>
    </row>
    <row r="406" spans="1:3">
      <c r="A406" s="67">
        <v>12496</v>
      </c>
      <c r="B406" s="67" t="s">
        <v>318</v>
      </c>
      <c r="C406" s="67">
        <v>1150.8789999999999</v>
      </c>
    </row>
    <row r="407" spans="1:3">
      <c r="A407" s="67">
        <v>12499</v>
      </c>
      <c r="B407" s="67" t="s">
        <v>319</v>
      </c>
      <c r="C407" s="67">
        <v>6932.7380000000003</v>
      </c>
    </row>
    <row r="408" spans="1:3">
      <c r="A408" s="67">
        <v>12504</v>
      </c>
      <c r="B408" s="67" t="s">
        <v>318</v>
      </c>
      <c r="C408" s="67">
        <v>1524.7619999999999</v>
      </c>
    </row>
    <row r="409" spans="1:3">
      <c r="A409" s="67">
        <v>12505</v>
      </c>
      <c r="B409" s="67" t="s">
        <v>318</v>
      </c>
      <c r="C409" s="67">
        <v>2003.7159999999999</v>
      </c>
    </row>
    <row r="410" spans="1:3">
      <c r="A410" s="67">
        <v>12507</v>
      </c>
      <c r="B410" s="67" t="s">
        <v>318</v>
      </c>
      <c r="C410" s="67">
        <v>1524.7619999999999</v>
      </c>
    </row>
    <row r="411" spans="1:3">
      <c r="A411" s="67">
        <v>12510</v>
      </c>
      <c r="B411" s="67" t="s">
        <v>318</v>
      </c>
      <c r="C411" s="67">
        <v>2003.7159999999999</v>
      </c>
    </row>
    <row r="412" spans="1:3">
      <c r="A412" s="67">
        <v>12514</v>
      </c>
      <c r="B412" s="67" t="s">
        <v>318</v>
      </c>
      <c r="C412" s="67">
        <v>1524.7619999999999</v>
      </c>
    </row>
    <row r="413" spans="1:3">
      <c r="A413" s="67">
        <v>12524</v>
      </c>
      <c r="B413" s="67" t="s">
        <v>318</v>
      </c>
      <c r="C413" s="67">
        <v>2003.7159999999999</v>
      </c>
    </row>
    <row r="414" spans="1:3">
      <c r="A414" s="67">
        <v>12556</v>
      </c>
      <c r="B414" s="67" t="s">
        <v>318</v>
      </c>
      <c r="C414" s="67">
        <v>4956.4930000000004</v>
      </c>
    </row>
    <row r="415" spans="1:3">
      <c r="A415" s="67">
        <v>12561</v>
      </c>
      <c r="B415" s="67" t="s">
        <v>318</v>
      </c>
      <c r="C415" s="67">
        <v>4956.4930000000004</v>
      </c>
    </row>
    <row r="416" spans="1:3">
      <c r="A416" s="67">
        <v>12564</v>
      </c>
      <c r="B416" s="67" t="s">
        <v>318</v>
      </c>
      <c r="C416" s="67">
        <v>2003.7159999999999</v>
      </c>
    </row>
    <row r="417" spans="1:3">
      <c r="A417" s="67">
        <v>12569</v>
      </c>
      <c r="B417" s="67" t="s">
        <v>318</v>
      </c>
      <c r="C417" s="67">
        <v>2003.7159999999999</v>
      </c>
    </row>
    <row r="418" spans="1:3">
      <c r="A418" s="67">
        <v>12572</v>
      </c>
      <c r="B418" s="67" t="s">
        <v>319</v>
      </c>
      <c r="C418" s="67">
        <v>6932.7380000000003</v>
      </c>
    </row>
    <row r="419" spans="1:3">
      <c r="A419" s="67">
        <v>12582</v>
      </c>
      <c r="B419" s="67" t="s">
        <v>318</v>
      </c>
      <c r="C419" s="67">
        <v>2003.7159999999999</v>
      </c>
    </row>
    <row r="420" spans="1:3">
      <c r="A420" s="67">
        <v>12600</v>
      </c>
      <c r="B420" s="67" t="s">
        <v>318</v>
      </c>
      <c r="C420" s="67">
        <v>1524.7619999999999</v>
      </c>
    </row>
    <row r="421" spans="1:3">
      <c r="A421" s="67">
        <v>12614</v>
      </c>
      <c r="B421" s="67" t="s">
        <v>318</v>
      </c>
      <c r="C421" s="67">
        <v>1524.7619999999999</v>
      </c>
    </row>
    <row r="422" spans="1:3">
      <c r="A422" s="67">
        <v>12620</v>
      </c>
      <c r="B422" s="67" t="s">
        <v>318</v>
      </c>
      <c r="C422" s="67">
        <v>2003.7159999999999</v>
      </c>
    </row>
    <row r="423" spans="1:3">
      <c r="A423" s="67">
        <v>12621</v>
      </c>
      <c r="B423" s="67" t="s">
        <v>318</v>
      </c>
      <c r="C423" s="67">
        <v>2003.7159999999999</v>
      </c>
    </row>
    <row r="424" spans="1:3">
      <c r="A424" s="67">
        <v>12630</v>
      </c>
      <c r="B424" s="67" t="s">
        <v>318</v>
      </c>
      <c r="C424" s="67">
        <v>2003.7159999999999</v>
      </c>
    </row>
    <row r="425" spans="1:3">
      <c r="A425" s="67">
        <v>12640</v>
      </c>
      <c r="B425" s="67" t="s">
        <v>318</v>
      </c>
      <c r="C425" s="67">
        <v>1150.8789999999999</v>
      </c>
    </row>
    <row r="426" spans="1:3">
      <c r="A426" s="67">
        <v>12643</v>
      </c>
      <c r="B426" s="67" t="s">
        <v>319</v>
      </c>
      <c r="C426" s="67">
        <v>6932.7380000000003</v>
      </c>
    </row>
    <row r="427" spans="1:3">
      <c r="A427" s="67">
        <v>12648</v>
      </c>
      <c r="B427" s="67" t="s">
        <v>318</v>
      </c>
      <c r="C427" s="67">
        <v>4956.4930000000004</v>
      </c>
    </row>
    <row r="428" spans="1:3">
      <c r="A428" s="67">
        <v>12656</v>
      </c>
      <c r="B428" s="67" t="s">
        <v>318</v>
      </c>
      <c r="C428" s="67">
        <v>2003.7159999999999</v>
      </c>
    </row>
    <row r="429" spans="1:3">
      <c r="A429" s="67">
        <v>12657</v>
      </c>
      <c r="B429" s="67" t="s">
        <v>318</v>
      </c>
      <c r="C429" s="67">
        <v>1524.7619999999999</v>
      </c>
    </row>
    <row r="430" spans="1:3">
      <c r="A430" s="67">
        <v>12661</v>
      </c>
      <c r="B430" s="67" t="s">
        <v>318</v>
      </c>
      <c r="C430" s="67">
        <v>2003.7159999999999</v>
      </c>
    </row>
    <row r="431" spans="1:3">
      <c r="A431" s="67">
        <v>12669</v>
      </c>
      <c r="B431" s="67" t="s">
        <v>318</v>
      </c>
      <c r="C431" s="67">
        <v>4956.4930000000004</v>
      </c>
    </row>
    <row r="432" spans="1:3">
      <c r="A432" s="67">
        <v>12670</v>
      </c>
      <c r="B432" s="67" t="s">
        <v>318</v>
      </c>
      <c r="C432" s="67">
        <v>1524.7619999999999</v>
      </c>
    </row>
    <row r="433" spans="1:3">
      <c r="A433" s="67">
        <v>12675</v>
      </c>
      <c r="B433" s="67" t="s">
        <v>318</v>
      </c>
      <c r="C433" s="67">
        <v>1464.694</v>
      </c>
    </row>
    <row r="434" spans="1:3">
      <c r="A434" s="67">
        <v>12678</v>
      </c>
      <c r="B434" s="67" t="s">
        <v>318</v>
      </c>
      <c r="C434" s="67">
        <v>2003.7159999999999</v>
      </c>
    </row>
    <row r="435" spans="1:3">
      <c r="A435" s="67">
        <v>12679</v>
      </c>
      <c r="B435" s="67" t="s">
        <v>318</v>
      </c>
      <c r="C435" s="67">
        <v>1524.7619999999999</v>
      </c>
    </row>
    <row r="436" spans="1:3">
      <c r="A436" s="67">
        <v>12690</v>
      </c>
      <c r="B436" s="67" t="s">
        <v>318</v>
      </c>
      <c r="C436" s="67">
        <v>4956.4930000000004</v>
      </c>
    </row>
    <row r="437" spans="1:3">
      <c r="A437" s="67">
        <v>12693</v>
      </c>
      <c r="B437" s="67" t="s">
        <v>318</v>
      </c>
      <c r="C437" s="67">
        <v>4956.4930000000004</v>
      </c>
    </row>
    <row r="438" spans="1:3">
      <c r="A438" s="67">
        <v>12724</v>
      </c>
      <c r="B438" s="67" t="s">
        <v>318</v>
      </c>
      <c r="C438" s="67">
        <v>2003.7159999999999</v>
      </c>
    </row>
    <row r="439" spans="1:3">
      <c r="A439" s="67">
        <v>12730</v>
      </c>
      <c r="B439" s="67" t="s">
        <v>318</v>
      </c>
      <c r="C439" s="67">
        <v>1150.8789999999999</v>
      </c>
    </row>
    <row r="440" spans="1:3">
      <c r="A440" s="67">
        <v>12737</v>
      </c>
      <c r="B440" s="67" t="s">
        <v>319</v>
      </c>
      <c r="C440" s="67">
        <v>6932.7380000000003</v>
      </c>
    </row>
    <row r="441" spans="1:3">
      <c r="A441" s="67">
        <v>12738</v>
      </c>
      <c r="B441" s="67" t="s">
        <v>318</v>
      </c>
      <c r="C441" s="67">
        <v>1464.694</v>
      </c>
    </row>
    <row r="442" spans="1:3">
      <c r="A442" s="67">
        <v>12739</v>
      </c>
      <c r="B442" s="67" t="s">
        <v>319</v>
      </c>
      <c r="C442" s="67">
        <v>1188.027</v>
      </c>
    </row>
    <row r="443" spans="1:3">
      <c r="A443" s="67">
        <v>12743</v>
      </c>
      <c r="B443" s="67" t="s">
        <v>318</v>
      </c>
      <c r="C443" s="67">
        <v>4956.4930000000004</v>
      </c>
    </row>
    <row r="444" spans="1:3">
      <c r="A444" s="67">
        <v>12745</v>
      </c>
      <c r="B444" s="67" t="s">
        <v>318</v>
      </c>
      <c r="C444" s="67">
        <v>1524.7619999999999</v>
      </c>
    </row>
    <row r="445" spans="1:3">
      <c r="A445" s="67">
        <v>12753</v>
      </c>
      <c r="B445" s="67" t="s">
        <v>318</v>
      </c>
      <c r="C445" s="67">
        <v>1524.7619999999999</v>
      </c>
    </row>
    <row r="446" spans="1:3">
      <c r="A446" s="67">
        <v>12755</v>
      </c>
      <c r="B446" s="67" t="s">
        <v>318</v>
      </c>
      <c r="C446" s="67">
        <v>4956.4930000000004</v>
      </c>
    </row>
    <row r="447" spans="1:3">
      <c r="A447" s="67">
        <v>12759</v>
      </c>
      <c r="B447" s="67" t="s">
        <v>318</v>
      </c>
      <c r="C447" s="67">
        <v>2003.7159999999999</v>
      </c>
    </row>
    <row r="448" spans="1:3">
      <c r="A448" s="67">
        <v>12771</v>
      </c>
      <c r="B448" s="67" t="s">
        <v>318</v>
      </c>
      <c r="C448" s="67">
        <v>1464.694</v>
      </c>
    </row>
    <row r="449" spans="1:3">
      <c r="A449" s="67">
        <v>12773</v>
      </c>
      <c r="B449" s="67" t="s">
        <v>318</v>
      </c>
      <c r="C449" s="67">
        <v>4956.4930000000004</v>
      </c>
    </row>
    <row r="450" spans="1:3">
      <c r="A450" s="67">
        <v>12777</v>
      </c>
      <c r="B450" s="67" t="s">
        <v>319</v>
      </c>
      <c r="C450" s="67">
        <v>1188.027</v>
      </c>
    </row>
    <row r="451" spans="1:3">
      <c r="A451" s="67">
        <v>12782</v>
      </c>
      <c r="B451" s="67" t="s">
        <v>318</v>
      </c>
      <c r="C451" s="67">
        <v>1524.7619999999999</v>
      </c>
    </row>
    <row r="452" spans="1:3">
      <c r="A452" s="67">
        <v>12814</v>
      </c>
      <c r="B452" s="67" t="s">
        <v>318</v>
      </c>
      <c r="C452" s="67">
        <v>1524.7619999999999</v>
      </c>
    </row>
    <row r="453" spans="1:3">
      <c r="A453" s="67">
        <v>12818</v>
      </c>
      <c r="B453" s="67" t="s">
        <v>318</v>
      </c>
      <c r="C453" s="67">
        <v>1524.7619999999999</v>
      </c>
    </row>
    <row r="454" spans="1:3">
      <c r="A454" s="67">
        <v>12825</v>
      </c>
      <c r="B454" s="67" t="s">
        <v>318</v>
      </c>
      <c r="C454" s="67">
        <v>1524.7619999999999</v>
      </c>
    </row>
    <row r="455" spans="1:3">
      <c r="A455" s="67">
        <v>12833</v>
      </c>
      <c r="B455" s="67" t="s">
        <v>318</v>
      </c>
      <c r="C455" s="67">
        <v>2003.7159999999999</v>
      </c>
    </row>
    <row r="456" spans="1:3">
      <c r="A456" s="67">
        <v>12845</v>
      </c>
      <c r="B456" s="67" t="s">
        <v>318</v>
      </c>
      <c r="C456" s="67">
        <v>1464.694</v>
      </c>
    </row>
    <row r="457" spans="1:3">
      <c r="A457" s="67">
        <v>12853</v>
      </c>
      <c r="B457" s="67" t="s">
        <v>319</v>
      </c>
      <c r="C457" s="67">
        <v>1188.027</v>
      </c>
    </row>
    <row r="458" spans="1:3">
      <c r="A458" s="67">
        <v>12856</v>
      </c>
      <c r="B458" s="67" t="s">
        <v>318</v>
      </c>
      <c r="C458" s="67">
        <v>4956.4930000000004</v>
      </c>
    </row>
    <row r="459" spans="1:3">
      <c r="A459" s="67">
        <v>12889</v>
      </c>
      <c r="B459" s="67" t="s">
        <v>318</v>
      </c>
      <c r="C459" s="67">
        <v>4956.4930000000004</v>
      </c>
    </row>
    <row r="460" spans="1:3">
      <c r="A460" s="67">
        <v>12895</v>
      </c>
      <c r="B460" s="67" t="s">
        <v>318</v>
      </c>
      <c r="C460" s="67">
        <v>4956.4930000000004</v>
      </c>
    </row>
    <row r="461" spans="1:3">
      <c r="A461" s="67">
        <v>12897</v>
      </c>
      <c r="B461" s="67" t="s">
        <v>318</v>
      </c>
      <c r="C461" s="67">
        <v>1524.7619999999999</v>
      </c>
    </row>
    <row r="462" spans="1:3">
      <c r="A462" s="67">
        <v>12898</v>
      </c>
      <c r="B462" s="67" t="s">
        <v>318</v>
      </c>
      <c r="C462" s="67">
        <v>4956.4930000000004</v>
      </c>
    </row>
    <row r="463" spans="1:3">
      <c r="A463" s="67">
        <v>12902</v>
      </c>
      <c r="B463" s="67" t="s">
        <v>318</v>
      </c>
      <c r="C463" s="67">
        <v>1524.7619999999999</v>
      </c>
    </row>
    <row r="464" spans="1:3">
      <c r="A464" s="67">
        <v>12906</v>
      </c>
      <c r="B464" s="67" t="s">
        <v>318</v>
      </c>
      <c r="C464" s="67">
        <v>4956.4930000000004</v>
      </c>
    </row>
    <row r="465" spans="1:3">
      <c r="A465" s="67">
        <v>12908</v>
      </c>
      <c r="B465" s="67" t="s">
        <v>318</v>
      </c>
      <c r="C465" s="67">
        <v>1524.7619999999999</v>
      </c>
    </row>
    <row r="466" spans="1:3">
      <c r="A466" s="67">
        <v>12939</v>
      </c>
      <c r="B466" s="67" t="s">
        <v>318</v>
      </c>
      <c r="C466" s="67">
        <v>2003.7159999999999</v>
      </c>
    </row>
    <row r="467" spans="1:3">
      <c r="A467" s="67">
        <v>12944</v>
      </c>
      <c r="B467" s="67" t="s">
        <v>318</v>
      </c>
      <c r="C467" s="67">
        <v>4956.4930000000004</v>
      </c>
    </row>
    <row r="468" spans="1:3">
      <c r="A468" s="67">
        <v>12955</v>
      </c>
      <c r="B468" s="67" t="s">
        <v>318</v>
      </c>
      <c r="C468" s="67">
        <v>1524.7619999999999</v>
      </c>
    </row>
    <row r="469" spans="1:3">
      <c r="A469" s="67">
        <v>12956</v>
      </c>
      <c r="B469" s="67" t="s">
        <v>318</v>
      </c>
      <c r="C469" s="67">
        <v>2003.7159999999999</v>
      </c>
    </row>
    <row r="470" spans="1:3">
      <c r="A470" s="67">
        <v>12975</v>
      </c>
      <c r="B470" s="67" t="s">
        <v>319</v>
      </c>
      <c r="C470" s="67">
        <v>6932.7380000000003</v>
      </c>
    </row>
    <row r="471" spans="1:3">
      <c r="A471" s="67">
        <v>12977</v>
      </c>
      <c r="B471" s="67" t="s">
        <v>318</v>
      </c>
      <c r="C471" s="67">
        <v>4956.4930000000004</v>
      </c>
    </row>
    <row r="472" spans="1:3">
      <c r="A472" s="67">
        <v>12992</v>
      </c>
      <c r="B472" s="67" t="s">
        <v>318</v>
      </c>
      <c r="C472" s="67">
        <v>4956.4930000000004</v>
      </c>
    </row>
    <row r="473" spans="1:3">
      <c r="A473" s="67">
        <v>12994</v>
      </c>
      <c r="B473" s="67" t="s">
        <v>319</v>
      </c>
      <c r="C473" s="67">
        <v>6932.7380000000003</v>
      </c>
    </row>
    <row r="474" spans="1:3">
      <c r="A474" s="67">
        <v>13004</v>
      </c>
      <c r="B474" s="67" t="s">
        <v>318</v>
      </c>
      <c r="C474" s="67">
        <v>1464.694</v>
      </c>
    </row>
    <row r="475" spans="1:3">
      <c r="A475" s="67">
        <v>13011</v>
      </c>
      <c r="B475" s="67" t="s">
        <v>319</v>
      </c>
      <c r="C475" s="67">
        <v>1188.027</v>
      </c>
    </row>
    <row r="476" spans="1:3">
      <c r="A476" s="67">
        <v>13017</v>
      </c>
      <c r="B476" s="67" t="s">
        <v>318</v>
      </c>
      <c r="C476" s="67">
        <v>2003.7159999999999</v>
      </c>
    </row>
    <row r="477" spans="1:3">
      <c r="A477" s="67">
        <v>13019</v>
      </c>
      <c r="B477" s="67" t="s">
        <v>319</v>
      </c>
      <c r="C477" s="67">
        <v>6932.7380000000003</v>
      </c>
    </row>
    <row r="478" spans="1:3">
      <c r="A478" s="67">
        <v>13023</v>
      </c>
      <c r="B478" s="67" t="s">
        <v>318</v>
      </c>
      <c r="C478" s="67">
        <v>2003.7159999999999</v>
      </c>
    </row>
    <row r="479" spans="1:3">
      <c r="A479" s="67">
        <v>13041</v>
      </c>
      <c r="B479" s="67" t="s">
        <v>318</v>
      </c>
      <c r="C479" s="67">
        <v>4956.4930000000004</v>
      </c>
    </row>
    <row r="480" spans="1:3">
      <c r="A480" s="67">
        <v>13046</v>
      </c>
      <c r="B480" s="67" t="s">
        <v>318</v>
      </c>
      <c r="C480" s="67">
        <v>1464.694</v>
      </c>
    </row>
    <row r="481" spans="1:3">
      <c r="A481" s="67">
        <v>13051</v>
      </c>
      <c r="B481" s="67" t="s">
        <v>318</v>
      </c>
      <c r="C481" s="67">
        <v>4956.4930000000004</v>
      </c>
    </row>
    <row r="482" spans="1:3">
      <c r="A482" s="67">
        <v>13055</v>
      </c>
      <c r="B482" s="67" t="s">
        <v>318</v>
      </c>
      <c r="C482" s="67">
        <v>4956.4930000000004</v>
      </c>
    </row>
    <row r="483" spans="1:3">
      <c r="A483" s="67">
        <v>13094</v>
      </c>
      <c r="B483" s="67" t="s">
        <v>318</v>
      </c>
      <c r="C483" s="67">
        <v>4956.4930000000004</v>
      </c>
    </row>
    <row r="484" spans="1:3">
      <c r="A484" s="67">
        <v>13113</v>
      </c>
      <c r="B484" s="67" t="s">
        <v>318</v>
      </c>
      <c r="C484" s="67">
        <v>1464.694</v>
      </c>
    </row>
    <row r="485" spans="1:3">
      <c r="A485" s="67">
        <v>13127</v>
      </c>
      <c r="B485" s="67" t="s">
        <v>318</v>
      </c>
      <c r="C485" s="67">
        <v>4956.4930000000004</v>
      </c>
    </row>
    <row r="486" spans="1:3">
      <c r="A486" s="67">
        <v>13129</v>
      </c>
      <c r="B486" s="67" t="s">
        <v>318</v>
      </c>
      <c r="C486" s="67">
        <v>4956.4930000000004</v>
      </c>
    </row>
    <row r="487" spans="1:3">
      <c r="A487" s="67">
        <v>13131</v>
      </c>
      <c r="B487" s="67" t="s">
        <v>318</v>
      </c>
      <c r="C487" s="67">
        <v>1464.694</v>
      </c>
    </row>
    <row r="488" spans="1:3">
      <c r="A488" s="67">
        <v>13141</v>
      </c>
      <c r="B488" s="67" t="s">
        <v>318</v>
      </c>
      <c r="C488" s="67">
        <v>4956.4930000000004</v>
      </c>
    </row>
    <row r="489" spans="1:3">
      <c r="A489" s="67">
        <v>13154</v>
      </c>
      <c r="B489" s="67" t="s">
        <v>318</v>
      </c>
      <c r="C489" s="67">
        <v>4956.4930000000004</v>
      </c>
    </row>
    <row r="490" spans="1:3">
      <c r="A490" s="67">
        <v>13165</v>
      </c>
      <c r="B490" s="67" t="s">
        <v>318</v>
      </c>
      <c r="C490" s="67">
        <v>4956.4930000000004</v>
      </c>
    </row>
    <row r="491" spans="1:3">
      <c r="A491" s="67">
        <v>13166</v>
      </c>
      <c r="B491" s="67" t="s">
        <v>318</v>
      </c>
      <c r="C491" s="67">
        <v>1524.7619999999999</v>
      </c>
    </row>
    <row r="492" spans="1:3">
      <c r="A492" s="67">
        <v>13169</v>
      </c>
      <c r="B492" s="67" t="s">
        <v>318</v>
      </c>
      <c r="C492" s="67">
        <v>1150.8789999999999</v>
      </c>
    </row>
    <row r="493" spans="1:3">
      <c r="A493" s="67">
        <v>13188</v>
      </c>
      <c r="B493" s="67" t="s">
        <v>318</v>
      </c>
      <c r="C493" s="67">
        <v>1524.7619999999999</v>
      </c>
    </row>
    <row r="494" spans="1:3">
      <c r="A494" s="67">
        <v>13191</v>
      </c>
      <c r="B494" s="67" t="s">
        <v>318</v>
      </c>
      <c r="C494" s="67">
        <v>1524.7619999999999</v>
      </c>
    </row>
    <row r="495" spans="1:3">
      <c r="A495" s="67">
        <v>13222</v>
      </c>
      <c r="B495" s="67" t="s">
        <v>318</v>
      </c>
      <c r="C495" s="67">
        <v>2003.7159999999999</v>
      </c>
    </row>
    <row r="496" spans="1:3">
      <c r="A496" s="67">
        <v>13232</v>
      </c>
      <c r="B496" s="67" t="s">
        <v>318</v>
      </c>
      <c r="C496" s="67">
        <v>2003.7159999999999</v>
      </c>
    </row>
    <row r="497" spans="1:3">
      <c r="A497" s="67">
        <v>13242</v>
      </c>
      <c r="B497" s="67" t="s">
        <v>318</v>
      </c>
      <c r="C497" s="67">
        <v>4956.4930000000004</v>
      </c>
    </row>
    <row r="498" spans="1:3">
      <c r="A498" s="67">
        <v>13246</v>
      </c>
      <c r="B498" s="67" t="s">
        <v>318</v>
      </c>
      <c r="C498" s="67">
        <v>2003.7159999999999</v>
      </c>
    </row>
    <row r="499" spans="1:3">
      <c r="A499" s="67">
        <v>13248</v>
      </c>
      <c r="B499" s="67" t="s">
        <v>318</v>
      </c>
      <c r="C499" s="67">
        <v>1464.694</v>
      </c>
    </row>
    <row r="500" spans="1:3">
      <c r="A500" s="67">
        <v>13250</v>
      </c>
      <c r="B500" s="67" t="s">
        <v>318</v>
      </c>
      <c r="C500" s="67">
        <v>2003.7159999999999</v>
      </c>
    </row>
    <row r="501" spans="1:3">
      <c r="A501" s="67">
        <v>13261</v>
      </c>
      <c r="B501" s="67" t="s">
        <v>319</v>
      </c>
      <c r="C501" s="67">
        <v>6932.7380000000003</v>
      </c>
    </row>
    <row r="502" spans="1:3">
      <c r="A502" s="67">
        <v>13265</v>
      </c>
      <c r="B502" s="67" t="s">
        <v>318</v>
      </c>
      <c r="C502" s="67">
        <v>2003.7159999999999</v>
      </c>
    </row>
    <row r="503" spans="1:3">
      <c r="A503" s="67">
        <v>13273</v>
      </c>
      <c r="B503" s="67" t="s">
        <v>318</v>
      </c>
      <c r="C503" s="67">
        <v>4956.4930000000004</v>
      </c>
    </row>
    <row r="504" spans="1:3">
      <c r="A504" s="67">
        <v>13275</v>
      </c>
      <c r="B504" s="67" t="s">
        <v>318</v>
      </c>
      <c r="C504" s="67">
        <v>2003.7159999999999</v>
      </c>
    </row>
    <row r="505" spans="1:3">
      <c r="A505" s="67">
        <v>13292</v>
      </c>
      <c r="B505" s="67" t="s">
        <v>318</v>
      </c>
      <c r="C505" s="67">
        <v>2003.7159999999999</v>
      </c>
    </row>
    <row r="506" spans="1:3">
      <c r="A506" s="67">
        <v>13293</v>
      </c>
      <c r="B506" s="67" t="s">
        <v>319</v>
      </c>
      <c r="C506" s="67">
        <v>1188.027</v>
      </c>
    </row>
    <row r="507" spans="1:3">
      <c r="A507" s="67">
        <v>13303</v>
      </c>
      <c r="B507" s="67" t="s">
        <v>318</v>
      </c>
      <c r="C507" s="67">
        <v>2003.7159999999999</v>
      </c>
    </row>
    <row r="508" spans="1:3">
      <c r="A508" s="67">
        <v>13310</v>
      </c>
      <c r="B508" s="67" t="s">
        <v>318</v>
      </c>
      <c r="C508" s="67">
        <v>2003.7159999999999</v>
      </c>
    </row>
    <row r="509" spans="1:3">
      <c r="A509" s="67">
        <v>13315</v>
      </c>
      <c r="B509" s="67" t="s">
        <v>318</v>
      </c>
      <c r="C509" s="67">
        <v>4956.4930000000004</v>
      </c>
    </row>
    <row r="510" spans="1:3">
      <c r="A510" s="67">
        <v>13319</v>
      </c>
      <c r="B510" s="67" t="s">
        <v>318</v>
      </c>
      <c r="C510" s="67">
        <v>1150.8789999999999</v>
      </c>
    </row>
    <row r="511" spans="1:3">
      <c r="A511" s="67">
        <v>13323</v>
      </c>
      <c r="B511" s="67" t="s">
        <v>318</v>
      </c>
      <c r="C511" s="67">
        <v>1524.7619999999999</v>
      </c>
    </row>
    <row r="512" spans="1:3">
      <c r="A512" s="67">
        <v>13327</v>
      </c>
      <c r="B512" s="67" t="s">
        <v>318</v>
      </c>
      <c r="C512" s="67">
        <v>1464.694</v>
      </c>
    </row>
    <row r="513" spans="1:3">
      <c r="A513" s="67">
        <v>13328</v>
      </c>
      <c r="B513" s="67" t="s">
        <v>318</v>
      </c>
      <c r="C513" s="67">
        <v>2003.7159999999999</v>
      </c>
    </row>
    <row r="514" spans="1:3">
      <c r="A514" s="67">
        <v>13336</v>
      </c>
      <c r="B514" s="67" t="s">
        <v>319</v>
      </c>
      <c r="C514" s="67">
        <v>6932.7380000000003</v>
      </c>
    </row>
    <row r="515" spans="1:3">
      <c r="A515" s="67">
        <v>13347</v>
      </c>
      <c r="B515" s="67" t="s">
        <v>318</v>
      </c>
      <c r="C515" s="67">
        <v>2003.7159999999999</v>
      </c>
    </row>
    <row r="516" spans="1:3">
      <c r="A516" s="67">
        <v>13359</v>
      </c>
      <c r="B516" s="67" t="s">
        <v>318</v>
      </c>
      <c r="C516" s="67">
        <v>1150.8789999999999</v>
      </c>
    </row>
    <row r="517" spans="1:3">
      <c r="A517" s="67">
        <v>13365</v>
      </c>
      <c r="B517" s="67" t="s">
        <v>318</v>
      </c>
      <c r="C517" s="67">
        <v>4956.4930000000004</v>
      </c>
    </row>
    <row r="518" spans="1:3">
      <c r="A518" s="67">
        <v>13400</v>
      </c>
      <c r="B518" s="67" t="s">
        <v>319</v>
      </c>
      <c r="C518" s="67">
        <v>6932.7380000000003</v>
      </c>
    </row>
    <row r="519" spans="1:3">
      <c r="A519" s="67">
        <v>13401</v>
      </c>
      <c r="B519" s="67" t="s">
        <v>318</v>
      </c>
      <c r="C519" s="67">
        <v>4956.4930000000004</v>
      </c>
    </row>
    <row r="520" spans="1:3">
      <c r="A520" s="67">
        <v>13420</v>
      </c>
      <c r="B520" s="67" t="s">
        <v>318</v>
      </c>
      <c r="C520" s="67">
        <v>4956.4930000000004</v>
      </c>
    </row>
    <row r="521" spans="1:3">
      <c r="A521" s="67">
        <v>13426</v>
      </c>
      <c r="B521" s="67" t="s">
        <v>319</v>
      </c>
      <c r="C521" s="67">
        <v>1188.027</v>
      </c>
    </row>
    <row r="522" spans="1:3">
      <c r="A522" s="67">
        <v>13427</v>
      </c>
      <c r="B522" s="67" t="s">
        <v>318</v>
      </c>
      <c r="C522" s="67">
        <v>4956.4930000000004</v>
      </c>
    </row>
    <row r="523" spans="1:3">
      <c r="A523" s="67">
        <v>13435</v>
      </c>
      <c r="B523" s="67" t="s">
        <v>318</v>
      </c>
      <c r="C523" s="67">
        <v>1464.694</v>
      </c>
    </row>
    <row r="524" spans="1:3">
      <c r="A524" s="67">
        <v>13445</v>
      </c>
      <c r="B524" s="67" t="s">
        <v>318</v>
      </c>
      <c r="C524" s="67">
        <v>4956.4930000000004</v>
      </c>
    </row>
    <row r="525" spans="1:3">
      <c r="A525" s="67">
        <v>13451</v>
      </c>
      <c r="B525" s="67" t="s">
        <v>318</v>
      </c>
      <c r="C525" s="67">
        <v>1150.8789999999999</v>
      </c>
    </row>
    <row r="526" spans="1:3">
      <c r="A526" s="67">
        <v>13453</v>
      </c>
      <c r="B526" s="67" t="s">
        <v>318</v>
      </c>
      <c r="C526" s="67">
        <v>4956.4930000000004</v>
      </c>
    </row>
    <row r="527" spans="1:3">
      <c r="A527" s="67">
        <v>13455</v>
      </c>
      <c r="B527" s="67" t="s">
        <v>318</v>
      </c>
      <c r="C527" s="67">
        <v>2003.7159999999999</v>
      </c>
    </row>
    <row r="528" spans="1:3">
      <c r="A528" s="67">
        <v>13462</v>
      </c>
      <c r="B528" s="67" t="s">
        <v>318</v>
      </c>
      <c r="C528" s="67">
        <v>1464.694</v>
      </c>
    </row>
    <row r="529" spans="1:3">
      <c r="A529" s="67">
        <v>13474</v>
      </c>
      <c r="B529" s="67" t="s">
        <v>318</v>
      </c>
      <c r="C529" s="67">
        <v>1524.7619999999999</v>
      </c>
    </row>
    <row r="530" spans="1:3">
      <c r="A530" s="67">
        <v>13490</v>
      </c>
      <c r="B530" s="67" t="s">
        <v>318</v>
      </c>
      <c r="C530" s="67">
        <v>1464.694</v>
      </c>
    </row>
    <row r="531" spans="1:3">
      <c r="A531" s="67">
        <v>13494</v>
      </c>
      <c r="B531" s="67" t="s">
        <v>318</v>
      </c>
      <c r="C531" s="67">
        <v>2003.7159999999999</v>
      </c>
    </row>
    <row r="532" spans="1:3">
      <c r="A532" s="67">
        <v>13495</v>
      </c>
      <c r="B532" s="67" t="s">
        <v>318</v>
      </c>
      <c r="C532" s="67">
        <v>1464.694</v>
      </c>
    </row>
    <row r="533" spans="1:3">
      <c r="A533" s="67">
        <v>13505</v>
      </c>
      <c r="B533" s="67" t="s">
        <v>318</v>
      </c>
      <c r="C533" s="67">
        <v>1464.694</v>
      </c>
    </row>
    <row r="534" spans="1:3">
      <c r="A534" s="67">
        <v>13507</v>
      </c>
      <c r="B534" s="67" t="s">
        <v>318</v>
      </c>
      <c r="C534" s="67">
        <v>4956.4930000000004</v>
      </c>
    </row>
    <row r="535" spans="1:3">
      <c r="A535" s="67">
        <v>13514</v>
      </c>
      <c r="B535" s="67" t="s">
        <v>318</v>
      </c>
      <c r="C535" s="67">
        <v>4956.4930000000004</v>
      </c>
    </row>
    <row r="536" spans="1:3">
      <c r="A536" s="67">
        <v>13554</v>
      </c>
      <c r="B536" s="67" t="s">
        <v>318</v>
      </c>
      <c r="C536" s="67">
        <v>4956.4930000000004</v>
      </c>
    </row>
    <row r="537" spans="1:3">
      <c r="A537" s="67">
        <v>13621</v>
      </c>
      <c r="B537" s="67" t="s">
        <v>318</v>
      </c>
      <c r="C537" s="67">
        <v>1464.694</v>
      </c>
    </row>
    <row r="538" spans="1:3">
      <c r="A538" s="67">
        <v>13643</v>
      </c>
      <c r="B538" s="67" t="s">
        <v>318</v>
      </c>
      <c r="C538" s="67">
        <v>2003.7159999999999</v>
      </c>
    </row>
    <row r="539" spans="1:3">
      <c r="A539" s="67">
        <v>13655</v>
      </c>
      <c r="B539" s="67" t="s">
        <v>318</v>
      </c>
      <c r="C539" s="67">
        <v>1464.694</v>
      </c>
    </row>
    <row r="540" spans="1:3">
      <c r="A540" s="67">
        <v>13656</v>
      </c>
      <c r="B540" s="67" t="s">
        <v>318</v>
      </c>
      <c r="C540" s="67">
        <v>1524.7619999999999</v>
      </c>
    </row>
    <row r="541" spans="1:3">
      <c r="A541" s="67">
        <v>13672</v>
      </c>
      <c r="B541" s="67" t="s">
        <v>319</v>
      </c>
      <c r="C541" s="67">
        <v>1188.027</v>
      </c>
    </row>
    <row r="542" spans="1:3">
      <c r="A542" s="67">
        <v>13678</v>
      </c>
      <c r="B542" s="67" t="s">
        <v>318</v>
      </c>
      <c r="C542" s="67">
        <v>2003.7159999999999</v>
      </c>
    </row>
    <row r="543" spans="1:3">
      <c r="A543" s="67">
        <v>13691</v>
      </c>
      <c r="B543" s="67" t="s">
        <v>319</v>
      </c>
      <c r="C543" s="67">
        <v>6932.7380000000003</v>
      </c>
    </row>
    <row r="544" spans="1:3">
      <c r="A544" s="67">
        <v>13713</v>
      </c>
      <c r="B544" s="67" t="s">
        <v>318</v>
      </c>
      <c r="C544" s="67">
        <v>1150.8789999999999</v>
      </c>
    </row>
    <row r="545" spans="1:3">
      <c r="A545" s="67">
        <v>13746</v>
      </c>
      <c r="B545" s="67" t="s">
        <v>319</v>
      </c>
      <c r="C545" s="67">
        <v>1188.027</v>
      </c>
    </row>
    <row r="546" spans="1:3">
      <c r="A546" s="67">
        <v>13752</v>
      </c>
      <c r="B546" s="67" t="s">
        <v>318</v>
      </c>
      <c r="C546" s="67">
        <v>2003.7159999999999</v>
      </c>
    </row>
    <row r="547" spans="1:3">
      <c r="A547" s="67">
        <v>13756</v>
      </c>
      <c r="B547" s="67" t="s">
        <v>319</v>
      </c>
      <c r="C547" s="67">
        <v>1188.027</v>
      </c>
    </row>
    <row r="548" spans="1:3">
      <c r="A548" s="67">
        <v>13785</v>
      </c>
      <c r="B548" s="67" t="s">
        <v>318</v>
      </c>
      <c r="C548" s="67">
        <v>1150.8789999999999</v>
      </c>
    </row>
    <row r="549" spans="1:3">
      <c r="A549" s="67">
        <v>13803</v>
      </c>
      <c r="B549" s="67" t="s">
        <v>318</v>
      </c>
      <c r="C549" s="67">
        <v>2003.7159999999999</v>
      </c>
    </row>
    <row r="550" spans="1:3">
      <c r="A550" s="67">
        <v>13817</v>
      </c>
      <c r="B550" s="67" t="s">
        <v>319</v>
      </c>
      <c r="C550" s="67">
        <v>1188.027</v>
      </c>
    </row>
    <row r="551" spans="1:3">
      <c r="A551" s="67">
        <v>13829</v>
      </c>
      <c r="B551" s="67" t="s">
        <v>318</v>
      </c>
      <c r="C551" s="67">
        <v>1464.694</v>
      </c>
    </row>
    <row r="552" spans="1:3">
      <c r="A552" s="67">
        <v>13863</v>
      </c>
      <c r="B552" s="67" t="s">
        <v>318</v>
      </c>
      <c r="C552" s="67">
        <v>1464.694</v>
      </c>
    </row>
    <row r="553" spans="1:3">
      <c r="A553" s="67">
        <v>13867</v>
      </c>
      <c r="B553" s="67" t="s">
        <v>318</v>
      </c>
      <c r="C553" s="67">
        <v>1464.694</v>
      </c>
    </row>
    <row r="554" spans="1:3">
      <c r="A554" s="67">
        <v>13871</v>
      </c>
      <c r="B554" s="67" t="s">
        <v>318</v>
      </c>
      <c r="C554" s="67">
        <v>1150.8789999999999</v>
      </c>
    </row>
    <row r="555" spans="1:3">
      <c r="A555" s="67">
        <v>13880</v>
      </c>
      <c r="B555" s="67" t="s">
        <v>318</v>
      </c>
      <c r="C555" s="67">
        <v>4956.4930000000004</v>
      </c>
    </row>
    <row r="556" spans="1:3">
      <c r="A556" s="67">
        <v>13895</v>
      </c>
      <c r="B556" s="67" t="s">
        <v>318</v>
      </c>
      <c r="C556" s="67">
        <v>1524.7619999999999</v>
      </c>
    </row>
    <row r="557" spans="1:3">
      <c r="A557" s="67">
        <v>13898</v>
      </c>
      <c r="B557" s="67" t="s">
        <v>319</v>
      </c>
      <c r="C557" s="67">
        <v>1188.027</v>
      </c>
    </row>
    <row r="558" spans="1:3">
      <c r="A558" s="67">
        <v>13903</v>
      </c>
      <c r="B558" s="67" t="s">
        <v>319</v>
      </c>
      <c r="C558" s="67">
        <v>6932.7380000000003</v>
      </c>
    </row>
    <row r="559" spans="1:3">
      <c r="A559" s="67">
        <v>13912</v>
      </c>
      <c r="B559" s="67" t="s">
        <v>318</v>
      </c>
      <c r="C559" s="67">
        <v>2003.7159999999999</v>
      </c>
    </row>
    <row r="560" spans="1:3">
      <c r="A560" s="67">
        <v>13948</v>
      </c>
      <c r="B560" s="67" t="s">
        <v>318</v>
      </c>
      <c r="C560" s="67">
        <v>1524.7619999999999</v>
      </c>
    </row>
    <row r="561" spans="1:3">
      <c r="A561" s="67">
        <v>13956</v>
      </c>
      <c r="B561" s="67" t="s">
        <v>318</v>
      </c>
      <c r="C561" s="67">
        <v>1524.7619999999999</v>
      </c>
    </row>
    <row r="562" spans="1:3">
      <c r="A562" s="67">
        <v>13970</v>
      </c>
      <c r="B562" s="67" t="s">
        <v>318</v>
      </c>
      <c r="C562" s="67">
        <v>1524.7619999999999</v>
      </c>
    </row>
    <row r="563" spans="1:3">
      <c r="A563" s="67">
        <v>13974</v>
      </c>
      <c r="B563" s="67" t="s">
        <v>318</v>
      </c>
      <c r="C563" s="67">
        <v>2003.7159999999999</v>
      </c>
    </row>
    <row r="564" spans="1:3">
      <c r="A564" s="67">
        <v>13975</v>
      </c>
      <c r="B564" s="67" t="s">
        <v>318</v>
      </c>
      <c r="C564" s="67">
        <v>4956.4930000000004</v>
      </c>
    </row>
    <row r="565" spans="1:3">
      <c r="A565" s="67">
        <v>14000</v>
      </c>
      <c r="B565" s="67" t="s">
        <v>318</v>
      </c>
      <c r="C565" s="67">
        <v>1524.7619999999999</v>
      </c>
    </row>
    <row r="566" spans="1:3">
      <c r="A566" s="67">
        <v>14012</v>
      </c>
      <c r="B566" s="67" t="s">
        <v>318</v>
      </c>
      <c r="C566" s="67">
        <v>2003.7159999999999</v>
      </c>
    </row>
    <row r="567" spans="1:3">
      <c r="A567" s="67">
        <v>14015</v>
      </c>
      <c r="B567" s="67" t="s">
        <v>318</v>
      </c>
      <c r="C567" s="67">
        <v>4956.4930000000004</v>
      </c>
    </row>
    <row r="568" spans="1:3">
      <c r="A568" s="67">
        <v>14017</v>
      </c>
      <c r="B568" s="67" t="s">
        <v>319</v>
      </c>
      <c r="C568" s="67">
        <v>1188.027</v>
      </c>
    </row>
    <row r="569" spans="1:3">
      <c r="A569" s="67">
        <v>14037</v>
      </c>
      <c r="B569" s="67" t="s">
        <v>318</v>
      </c>
      <c r="C569" s="67">
        <v>1524.7619999999999</v>
      </c>
    </row>
    <row r="570" spans="1:3">
      <c r="A570" s="67">
        <v>14046</v>
      </c>
      <c r="B570" s="67" t="s">
        <v>318</v>
      </c>
      <c r="C570" s="67">
        <v>1464.694</v>
      </c>
    </row>
    <row r="571" spans="1:3">
      <c r="A571" s="67">
        <v>14051</v>
      </c>
      <c r="B571" s="67" t="s">
        <v>319</v>
      </c>
      <c r="C571" s="67">
        <v>1188.027</v>
      </c>
    </row>
    <row r="572" spans="1:3">
      <c r="A572" s="67">
        <v>14052</v>
      </c>
      <c r="B572" s="67" t="s">
        <v>319</v>
      </c>
      <c r="C572" s="67">
        <v>1188.027</v>
      </c>
    </row>
    <row r="573" spans="1:3">
      <c r="A573" s="67">
        <v>14073</v>
      </c>
      <c r="B573" s="67" t="s">
        <v>318</v>
      </c>
      <c r="C573" s="67">
        <v>2003.7159999999999</v>
      </c>
    </row>
    <row r="574" spans="1:3">
      <c r="A574" s="67">
        <v>14078</v>
      </c>
      <c r="B574" s="67" t="s">
        <v>318</v>
      </c>
      <c r="C574" s="67">
        <v>1150.8789999999999</v>
      </c>
    </row>
    <row r="575" spans="1:3">
      <c r="A575" s="67">
        <v>14102</v>
      </c>
      <c r="B575" s="67" t="s">
        <v>318</v>
      </c>
      <c r="C575" s="67">
        <v>4956.4930000000004</v>
      </c>
    </row>
    <row r="576" spans="1:3">
      <c r="A576" s="67">
        <v>14117</v>
      </c>
      <c r="B576" s="67" t="s">
        <v>318</v>
      </c>
      <c r="C576" s="67">
        <v>1150.8789999999999</v>
      </c>
    </row>
    <row r="577" spans="1:3">
      <c r="A577" s="67">
        <v>14122</v>
      </c>
      <c r="B577" s="67" t="s">
        <v>318</v>
      </c>
      <c r="C577" s="67">
        <v>1464.694</v>
      </c>
    </row>
    <row r="578" spans="1:3">
      <c r="A578" s="67">
        <v>14129</v>
      </c>
      <c r="B578" s="67" t="s">
        <v>319</v>
      </c>
      <c r="C578" s="67">
        <v>1188.027</v>
      </c>
    </row>
    <row r="579" spans="1:3">
      <c r="A579" s="67">
        <v>14140</v>
      </c>
      <c r="B579" s="67" t="s">
        <v>318</v>
      </c>
      <c r="C579" s="67">
        <v>2003.7159999999999</v>
      </c>
    </row>
    <row r="580" spans="1:3">
      <c r="A580" s="67">
        <v>14143</v>
      </c>
      <c r="B580" s="67" t="s">
        <v>318</v>
      </c>
      <c r="C580" s="67">
        <v>1464.694</v>
      </c>
    </row>
    <row r="581" spans="1:3">
      <c r="A581" s="67">
        <v>14150</v>
      </c>
      <c r="B581" s="67" t="s">
        <v>319</v>
      </c>
      <c r="C581" s="67">
        <v>6932.7380000000003</v>
      </c>
    </row>
    <row r="582" spans="1:3">
      <c r="A582" s="67">
        <v>14153</v>
      </c>
      <c r="B582" s="67" t="s">
        <v>319</v>
      </c>
      <c r="C582" s="67">
        <v>6932.7380000000003</v>
      </c>
    </row>
    <row r="583" spans="1:3">
      <c r="A583" s="67">
        <v>14162</v>
      </c>
      <c r="B583" s="67" t="s">
        <v>318</v>
      </c>
      <c r="C583" s="67">
        <v>1464.694</v>
      </c>
    </row>
    <row r="584" spans="1:3">
      <c r="A584" s="67">
        <v>14174</v>
      </c>
      <c r="B584" s="67" t="s">
        <v>319</v>
      </c>
      <c r="C584" s="67">
        <v>6932.7380000000003</v>
      </c>
    </row>
    <row r="585" spans="1:3">
      <c r="A585" s="67">
        <v>14181</v>
      </c>
      <c r="B585" s="67" t="s">
        <v>318</v>
      </c>
      <c r="C585" s="67">
        <v>1524.7619999999999</v>
      </c>
    </row>
    <row r="586" spans="1:3">
      <c r="A586" s="67">
        <v>14210</v>
      </c>
      <c r="B586" s="67" t="s">
        <v>318</v>
      </c>
      <c r="C586" s="67">
        <v>1464.694</v>
      </c>
    </row>
    <row r="587" spans="1:3">
      <c r="A587" s="67">
        <v>14211</v>
      </c>
      <c r="B587" s="67" t="s">
        <v>318</v>
      </c>
      <c r="C587" s="67">
        <v>1524.7619999999999</v>
      </c>
    </row>
    <row r="588" spans="1:3">
      <c r="A588" s="67">
        <v>14222</v>
      </c>
      <c r="B588" s="67" t="s">
        <v>318</v>
      </c>
      <c r="C588" s="67">
        <v>1524.7619999999999</v>
      </c>
    </row>
    <row r="589" spans="1:3">
      <c r="A589" s="67">
        <v>14264</v>
      </c>
      <c r="B589" s="67" t="s">
        <v>318</v>
      </c>
      <c r="C589" s="67">
        <v>4956.4930000000004</v>
      </c>
    </row>
    <row r="590" spans="1:3">
      <c r="A590" s="67">
        <v>14273</v>
      </c>
      <c r="B590" s="67" t="s">
        <v>318</v>
      </c>
      <c r="C590" s="67">
        <v>4956.4930000000004</v>
      </c>
    </row>
    <row r="591" spans="1:3">
      <c r="A591" s="67">
        <v>14277</v>
      </c>
      <c r="B591" s="67" t="s">
        <v>318</v>
      </c>
      <c r="C591" s="67">
        <v>4956.4930000000004</v>
      </c>
    </row>
    <row r="592" spans="1:3">
      <c r="A592" s="67">
        <v>14284</v>
      </c>
      <c r="B592" s="67" t="s">
        <v>318</v>
      </c>
      <c r="C592" s="67">
        <v>1524.7619999999999</v>
      </c>
    </row>
    <row r="593" spans="1:3">
      <c r="A593" s="67">
        <v>14285</v>
      </c>
      <c r="B593" s="67" t="s">
        <v>318</v>
      </c>
      <c r="C593" s="67">
        <v>1524.7619999999999</v>
      </c>
    </row>
    <row r="594" spans="1:3">
      <c r="A594" s="67">
        <v>14300</v>
      </c>
      <c r="B594" s="67" t="s">
        <v>318</v>
      </c>
      <c r="C594" s="67">
        <v>4956.4930000000004</v>
      </c>
    </row>
    <row r="595" spans="1:3">
      <c r="A595" s="67">
        <v>14329</v>
      </c>
      <c r="B595" s="67" t="s">
        <v>319</v>
      </c>
      <c r="C595" s="67">
        <v>6932.7380000000003</v>
      </c>
    </row>
    <row r="596" spans="1:3">
      <c r="A596" s="67">
        <v>14331</v>
      </c>
      <c r="B596" s="67" t="s">
        <v>319</v>
      </c>
      <c r="C596" s="67">
        <v>6932.7380000000003</v>
      </c>
    </row>
    <row r="597" spans="1:3">
      <c r="A597" s="67">
        <v>14423</v>
      </c>
      <c r="B597" s="67" t="s">
        <v>318</v>
      </c>
      <c r="C597" s="67">
        <v>4956.4930000000004</v>
      </c>
    </row>
    <row r="598" spans="1:3">
      <c r="A598" s="67">
        <v>14457</v>
      </c>
      <c r="B598" s="67" t="s">
        <v>318</v>
      </c>
      <c r="C598" s="67">
        <v>1150.8789999999999</v>
      </c>
    </row>
    <row r="599" spans="1:3">
      <c r="A599" s="67">
        <v>14508</v>
      </c>
      <c r="B599" s="67" t="s">
        <v>318</v>
      </c>
      <c r="C599" s="67">
        <v>4956.4930000000004</v>
      </c>
    </row>
    <row r="600" spans="1:3">
      <c r="A600" s="67">
        <v>14542</v>
      </c>
      <c r="B600" s="67" t="s">
        <v>319</v>
      </c>
      <c r="C600" s="67">
        <v>1188.027</v>
      </c>
    </row>
    <row r="601" spans="1:3">
      <c r="A601" s="67">
        <v>14545</v>
      </c>
      <c r="B601" s="67" t="s">
        <v>319</v>
      </c>
      <c r="C601" s="67">
        <v>1188.027</v>
      </c>
    </row>
    <row r="602" spans="1:3">
      <c r="A602" s="67">
        <v>14560</v>
      </c>
      <c r="B602" s="67" t="s">
        <v>319</v>
      </c>
      <c r="C602" s="67">
        <v>6932.7380000000003</v>
      </c>
    </row>
    <row r="603" spans="1:3">
      <c r="A603" s="67">
        <v>14577</v>
      </c>
      <c r="B603" s="67" t="s">
        <v>319</v>
      </c>
      <c r="C603" s="67">
        <v>6932.7380000000003</v>
      </c>
    </row>
    <row r="604" spans="1:3">
      <c r="A604" s="67">
        <v>14646</v>
      </c>
      <c r="B604" s="67" t="s">
        <v>319</v>
      </c>
      <c r="C604" s="67">
        <v>1188.027</v>
      </c>
    </row>
    <row r="605" spans="1:3">
      <c r="A605" s="67">
        <v>14674</v>
      </c>
      <c r="B605" s="67" t="s">
        <v>319</v>
      </c>
      <c r="C605" s="67">
        <v>6932.7380000000003</v>
      </c>
    </row>
    <row r="606" spans="1:3">
      <c r="A606" s="67">
        <v>20007</v>
      </c>
      <c r="B606" s="67" t="s">
        <v>318</v>
      </c>
      <c r="C606" s="67">
        <v>2079.9929999999999</v>
      </c>
    </row>
    <row r="607" spans="1:3">
      <c r="A607" s="67">
        <v>20016</v>
      </c>
      <c r="B607" s="67" t="s">
        <v>318</v>
      </c>
      <c r="C607" s="67">
        <v>12271.31</v>
      </c>
    </row>
    <row r="608" spans="1:3">
      <c r="A608" s="67">
        <v>20020</v>
      </c>
      <c r="B608" s="67" t="s">
        <v>318</v>
      </c>
      <c r="C608" s="67">
        <v>1904.288</v>
      </c>
    </row>
    <row r="609" spans="1:3">
      <c r="A609" s="67">
        <v>20028</v>
      </c>
      <c r="B609" s="67" t="s">
        <v>319</v>
      </c>
      <c r="C609" s="67">
        <v>6932.7380000000003</v>
      </c>
    </row>
    <row r="610" spans="1:3">
      <c r="A610" s="67">
        <v>20034</v>
      </c>
      <c r="B610" s="67" t="s">
        <v>320</v>
      </c>
      <c r="C610" s="67">
        <v>3785.7640000000001</v>
      </c>
    </row>
    <row r="611" spans="1:3">
      <c r="A611" s="67">
        <v>20038</v>
      </c>
      <c r="B611" s="67" t="s">
        <v>321</v>
      </c>
      <c r="C611" s="67">
        <v>1144.6790000000001</v>
      </c>
    </row>
    <row r="612" spans="1:3">
      <c r="A612" s="67">
        <v>20042</v>
      </c>
      <c r="B612" s="67" t="s">
        <v>321</v>
      </c>
      <c r="C612" s="67">
        <v>2130.886</v>
      </c>
    </row>
    <row r="613" spans="1:3">
      <c r="A613" s="67">
        <v>20043</v>
      </c>
      <c r="B613" s="67" t="s">
        <v>318</v>
      </c>
      <c r="C613" s="67">
        <v>1904.288</v>
      </c>
    </row>
    <row r="614" spans="1:3">
      <c r="A614" s="67">
        <v>20051</v>
      </c>
      <c r="B614" s="67" t="s">
        <v>321</v>
      </c>
      <c r="C614" s="67">
        <v>1144.6790000000001</v>
      </c>
    </row>
    <row r="615" spans="1:3">
      <c r="A615" s="67">
        <v>20058</v>
      </c>
      <c r="B615" s="67" t="s">
        <v>320</v>
      </c>
      <c r="C615" s="67">
        <v>3785.7640000000001</v>
      </c>
    </row>
    <row r="616" spans="1:3">
      <c r="A616" s="67">
        <v>20065</v>
      </c>
      <c r="B616" s="67" t="s">
        <v>320</v>
      </c>
      <c r="C616" s="67">
        <v>3785.7640000000001</v>
      </c>
    </row>
    <row r="617" spans="1:3">
      <c r="A617" s="67">
        <v>20066</v>
      </c>
      <c r="B617" s="67" t="s">
        <v>318</v>
      </c>
      <c r="C617" s="67">
        <v>2079.9929999999999</v>
      </c>
    </row>
    <row r="618" spans="1:3">
      <c r="A618" s="67">
        <v>20076</v>
      </c>
      <c r="B618" s="67" t="s">
        <v>320</v>
      </c>
      <c r="C618" s="67">
        <v>3785.7640000000001</v>
      </c>
    </row>
    <row r="619" spans="1:3">
      <c r="A619" s="67">
        <v>20078</v>
      </c>
      <c r="B619" s="67" t="s">
        <v>321</v>
      </c>
      <c r="C619" s="67">
        <v>1144.6790000000001</v>
      </c>
    </row>
    <row r="620" spans="1:3">
      <c r="A620" s="67">
        <v>20080</v>
      </c>
      <c r="B620" s="67" t="s">
        <v>318</v>
      </c>
      <c r="C620" s="67">
        <v>1904.288</v>
      </c>
    </row>
    <row r="621" spans="1:3">
      <c r="A621" s="67">
        <v>20081</v>
      </c>
      <c r="B621" s="67" t="s">
        <v>321</v>
      </c>
      <c r="C621" s="67">
        <v>2130.886</v>
      </c>
    </row>
    <row r="622" spans="1:3">
      <c r="A622" s="67">
        <v>20085</v>
      </c>
      <c r="B622" s="67" t="s">
        <v>318</v>
      </c>
      <c r="C622" s="67">
        <v>4360.1880000000001</v>
      </c>
    </row>
    <row r="623" spans="1:3">
      <c r="A623" s="67">
        <v>20088</v>
      </c>
      <c r="B623" s="67" t="s">
        <v>320</v>
      </c>
      <c r="C623" s="67">
        <v>3785.7640000000001</v>
      </c>
    </row>
    <row r="624" spans="1:3">
      <c r="A624" s="67">
        <v>20089</v>
      </c>
      <c r="B624" s="67" t="s">
        <v>321</v>
      </c>
      <c r="C624" s="67">
        <v>1144.6790000000001</v>
      </c>
    </row>
    <row r="625" spans="1:3">
      <c r="A625" s="67">
        <v>20095</v>
      </c>
      <c r="B625" s="67" t="s">
        <v>318</v>
      </c>
      <c r="C625" s="67">
        <v>1904.288</v>
      </c>
    </row>
    <row r="626" spans="1:3">
      <c r="A626" s="67">
        <v>20100</v>
      </c>
      <c r="B626" s="67" t="s">
        <v>321</v>
      </c>
      <c r="C626" s="67">
        <v>2130.886</v>
      </c>
    </row>
    <row r="627" spans="1:3">
      <c r="A627" s="67">
        <v>20106</v>
      </c>
      <c r="B627" s="67" t="s">
        <v>320</v>
      </c>
      <c r="C627" s="67">
        <v>3785.7640000000001</v>
      </c>
    </row>
    <row r="628" spans="1:3">
      <c r="A628" s="67">
        <v>20108</v>
      </c>
      <c r="B628" s="67" t="s">
        <v>320</v>
      </c>
      <c r="C628" s="67">
        <v>3785.7640000000001</v>
      </c>
    </row>
    <row r="629" spans="1:3">
      <c r="A629" s="67">
        <v>20109</v>
      </c>
      <c r="B629" s="67" t="s">
        <v>319</v>
      </c>
      <c r="C629" s="67">
        <v>1612.692</v>
      </c>
    </row>
    <row r="630" spans="1:3">
      <c r="A630" s="67">
        <v>20111</v>
      </c>
      <c r="B630" s="67" t="s">
        <v>318</v>
      </c>
      <c r="C630" s="67">
        <v>2079.9929999999999</v>
      </c>
    </row>
    <row r="631" spans="1:3">
      <c r="A631" s="67">
        <v>20117</v>
      </c>
      <c r="B631" s="67" t="s">
        <v>321</v>
      </c>
      <c r="C631" s="67">
        <v>2130.886</v>
      </c>
    </row>
    <row r="632" spans="1:3">
      <c r="A632" s="67">
        <v>20125</v>
      </c>
      <c r="B632" s="67" t="s">
        <v>320</v>
      </c>
      <c r="C632" s="67">
        <v>3785.7640000000001</v>
      </c>
    </row>
    <row r="633" spans="1:3">
      <c r="A633" s="67">
        <v>20152</v>
      </c>
      <c r="B633" s="67" t="s">
        <v>320</v>
      </c>
      <c r="C633" s="67">
        <v>3785.7640000000001</v>
      </c>
    </row>
    <row r="634" spans="1:3">
      <c r="A634" s="67">
        <v>20154</v>
      </c>
      <c r="B634" s="67" t="s">
        <v>320</v>
      </c>
      <c r="C634" s="67">
        <v>3785.7640000000001</v>
      </c>
    </row>
    <row r="635" spans="1:3">
      <c r="A635" s="67">
        <v>20155</v>
      </c>
      <c r="B635" s="67" t="s">
        <v>319</v>
      </c>
      <c r="C635" s="67">
        <v>1612.692</v>
      </c>
    </row>
    <row r="636" spans="1:3">
      <c r="A636" s="67">
        <v>20156</v>
      </c>
      <c r="B636" s="67" t="s">
        <v>319</v>
      </c>
      <c r="C636" s="67">
        <v>1612.692</v>
      </c>
    </row>
    <row r="637" spans="1:3">
      <c r="A637" s="67">
        <v>20163</v>
      </c>
      <c r="B637" s="67" t="s">
        <v>318</v>
      </c>
      <c r="C637" s="67">
        <v>2079.9929999999999</v>
      </c>
    </row>
    <row r="638" spans="1:3">
      <c r="A638" s="67">
        <v>20166</v>
      </c>
      <c r="B638" s="67" t="s">
        <v>318</v>
      </c>
      <c r="C638" s="67">
        <v>2079.9929999999999</v>
      </c>
    </row>
    <row r="639" spans="1:3">
      <c r="A639" s="67">
        <v>20168</v>
      </c>
      <c r="B639" s="67" t="s">
        <v>319</v>
      </c>
      <c r="C639" s="67">
        <v>1612.692</v>
      </c>
    </row>
    <row r="640" spans="1:3">
      <c r="A640" s="67">
        <v>20180</v>
      </c>
      <c r="B640" s="67" t="s">
        <v>319</v>
      </c>
      <c r="C640" s="67">
        <v>1612.692</v>
      </c>
    </row>
    <row r="641" spans="1:3">
      <c r="A641" s="67">
        <v>20182</v>
      </c>
      <c r="B641" s="67" t="s">
        <v>319</v>
      </c>
      <c r="C641" s="67">
        <v>8559.1039999999994</v>
      </c>
    </row>
    <row r="642" spans="1:3">
      <c r="A642" s="67">
        <v>20184</v>
      </c>
      <c r="B642" s="67" t="s">
        <v>319</v>
      </c>
      <c r="C642" s="67">
        <v>1612.692</v>
      </c>
    </row>
    <row r="643" spans="1:3">
      <c r="A643" s="67">
        <v>20185</v>
      </c>
      <c r="B643" s="67" t="s">
        <v>318</v>
      </c>
      <c r="C643" s="67">
        <v>1904.288</v>
      </c>
    </row>
    <row r="644" spans="1:3">
      <c r="A644" s="67">
        <v>20188</v>
      </c>
      <c r="B644" s="67" t="s">
        <v>319</v>
      </c>
      <c r="C644" s="67">
        <v>1612.692</v>
      </c>
    </row>
    <row r="645" spans="1:3">
      <c r="A645" s="67">
        <v>20200</v>
      </c>
      <c r="B645" s="67" t="s">
        <v>319</v>
      </c>
      <c r="C645" s="67">
        <v>1925.059</v>
      </c>
    </row>
    <row r="646" spans="1:3">
      <c r="A646" s="67">
        <v>20206</v>
      </c>
      <c r="B646" s="67" t="s">
        <v>319</v>
      </c>
      <c r="C646" s="67">
        <v>1612.692</v>
      </c>
    </row>
    <row r="647" spans="1:3">
      <c r="A647" s="67">
        <v>20215</v>
      </c>
      <c r="B647" s="67" t="s">
        <v>319</v>
      </c>
      <c r="C647" s="67">
        <v>1612.692</v>
      </c>
    </row>
    <row r="648" spans="1:3">
      <c r="A648" s="67">
        <v>20230</v>
      </c>
      <c r="B648" s="67" t="s">
        <v>321</v>
      </c>
      <c r="C648" s="67">
        <v>1144.6790000000001</v>
      </c>
    </row>
    <row r="649" spans="1:3">
      <c r="A649" s="67">
        <v>20244</v>
      </c>
      <c r="B649" s="67" t="s">
        <v>318</v>
      </c>
      <c r="C649" s="67">
        <v>2079.9929999999999</v>
      </c>
    </row>
    <row r="650" spans="1:3">
      <c r="A650" s="67">
        <v>20245</v>
      </c>
      <c r="B650" s="67" t="s">
        <v>318</v>
      </c>
      <c r="C650" s="67">
        <v>2079.9929999999999</v>
      </c>
    </row>
    <row r="651" spans="1:3">
      <c r="A651" s="67">
        <v>20250</v>
      </c>
      <c r="B651" s="67" t="s">
        <v>318</v>
      </c>
      <c r="C651" s="67">
        <v>12271.31</v>
      </c>
    </row>
    <row r="652" spans="1:3">
      <c r="A652" s="67">
        <v>20264</v>
      </c>
      <c r="B652" s="67" t="s">
        <v>320</v>
      </c>
      <c r="C652" s="67">
        <v>1192.4649999999999</v>
      </c>
    </row>
    <row r="653" spans="1:3">
      <c r="A653" s="67">
        <v>20265</v>
      </c>
      <c r="B653" s="67" t="s">
        <v>319</v>
      </c>
      <c r="C653" s="67">
        <v>1925.059</v>
      </c>
    </row>
    <row r="654" spans="1:3">
      <c r="A654" s="67">
        <v>20266</v>
      </c>
      <c r="B654" s="67" t="s">
        <v>319</v>
      </c>
      <c r="C654" s="67">
        <v>1925.059</v>
      </c>
    </row>
    <row r="655" spans="1:3">
      <c r="A655" s="67">
        <v>20274</v>
      </c>
      <c r="B655" s="67" t="s">
        <v>319</v>
      </c>
      <c r="C655" s="67">
        <v>1612.692</v>
      </c>
    </row>
    <row r="656" spans="1:3">
      <c r="A656" s="67">
        <v>20287</v>
      </c>
      <c r="B656" s="67" t="s">
        <v>318</v>
      </c>
      <c r="C656" s="67">
        <v>2079.9929999999999</v>
      </c>
    </row>
    <row r="657" spans="1:3">
      <c r="A657" s="67">
        <v>20288</v>
      </c>
      <c r="B657" s="67" t="s">
        <v>321</v>
      </c>
      <c r="C657" s="67">
        <v>1144.6790000000001</v>
      </c>
    </row>
    <row r="658" spans="1:3">
      <c r="A658" s="67">
        <v>20290</v>
      </c>
      <c r="B658" s="67" t="s">
        <v>321</v>
      </c>
      <c r="C658" s="67">
        <v>1144.6790000000001</v>
      </c>
    </row>
    <row r="659" spans="1:3">
      <c r="A659" s="67">
        <v>20294</v>
      </c>
      <c r="B659" s="67" t="s">
        <v>318</v>
      </c>
      <c r="C659" s="67">
        <v>2079.9929999999999</v>
      </c>
    </row>
    <row r="660" spans="1:3">
      <c r="A660" s="67">
        <v>20297</v>
      </c>
      <c r="B660" s="67" t="s">
        <v>319</v>
      </c>
      <c r="C660" s="67">
        <v>1612.692</v>
      </c>
    </row>
    <row r="661" spans="1:3">
      <c r="A661" s="67">
        <v>20303</v>
      </c>
      <c r="B661" s="67" t="s">
        <v>321</v>
      </c>
      <c r="C661" s="67">
        <v>2130.886</v>
      </c>
    </row>
    <row r="662" spans="1:3">
      <c r="A662" s="67">
        <v>20305</v>
      </c>
      <c r="B662" s="67" t="s">
        <v>320</v>
      </c>
      <c r="C662" s="67">
        <v>1192.4649999999999</v>
      </c>
    </row>
    <row r="663" spans="1:3">
      <c r="A663" s="67">
        <v>20311</v>
      </c>
      <c r="B663" s="67" t="s">
        <v>319</v>
      </c>
      <c r="C663" s="67">
        <v>1612.692</v>
      </c>
    </row>
    <row r="664" spans="1:3">
      <c r="A664" s="67">
        <v>20324</v>
      </c>
      <c r="B664" s="67" t="s">
        <v>319</v>
      </c>
      <c r="C664" s="67">
        <v>1925.059</v>
      </c>
    </row>
    <row r="665" spans="1:3">
      <c r="A665" s="67">
        <v>20325</v>
      </c>
      <c r="B665" s="67" t="s">
        <v>319</v>
      </c>
      <c r="C665" s="67">
        <v>1925.059</v>
      </c>
    </row>
    <row r="666" spans="1:3">
      <c r="A666" s="67">
        <v>20338</v>
      </c>
      <c r="B666" s="67" t="s">
        <v>320</v>
      </c>
      <c r="C666" s="67">
        <v>1192.4649999999999</v>
      </c>
    </row>
    <row r="667" spans="1:3">
      <c r="A667" s="67">
        <v>20340</v>
      </c>
      <c r="B667" s="67" t="s">
        <v>319</v>
      </c>
      <c r="C667" s="67">
        <v>1612.692</v>
      </c>
    </row>
    <row r="668" spans="1:3">
      <c r="A668" s="67">
        <v>20344</v>
      </c>
      <c r="B668" s="67" t="s">
        <v>321</v>
      </c>
      <c r="C668" s="67">
        <v>1144.6790000000001</v>
      </c>
    </row>
    <row r="669" spans="1:3">
      <c r="A669" s="67">
        <v>20351</v>
      </c>
      <c r="B669" s="67" t="s">
        <v>321</v>
      </c>
      <c r="C669" s="67">
        <v>2130.886</v>
      </c>
    </row>
    <row r="670" spans="1:3">
      <c r="A670" s="67">
        <v>20357</v>
      </c>
      <c r="B670" s="67" t="s">
        <v>319</v>
      </c>
      <c r="C670" s="67">
        <v>1612.692</v>
      </c>
    </row>
    <row r="671" spans="1:3">
      <c r="A671" s="67">
        <v>20360</v>
      </c>
      <c r="B671" s="67" t="s">
        <v>318</v>
      </c>
      <c r="C671" s="67">
        <v>1904.288</v>
      </c>
    </row>
    <row r="672" spans="1:3">
      <c r="A672" s="67">
        <v>20363</v>
      </c>
      <c r="B672" s="67" t="s">
        <v>321</v>
      </c>
      <c r="C672" s="67">
        <v>2130.886</v>
      </c>
    </row>
    <row r="673" spans="1:3">
      <c r="A673" s="67">
        <v>20371</v>
      </c>
      <c r="B673" s="67" t="s">
        <v>319</v>
      </c>
      <c r="C673" s="67">
        <v>1925.059</v>
      </c>
    </row>
    <row r="674" spans="1:3">
      <c r="A674" s="67">
        <v>20374</v>
      </c>
      <c r="B674" s="67" t="s">
        <v>319</v>
      </c>
      <c r="C674" s="67">
        <v>8264.9449999999997</v>
      </c>
    </row>
    <row r="675" spans="1:3">
      <c r="A675" s="67">
        <v>20381</v>
      </c>
      <c r="B675" s="67" t="s">
        <v>320</v>
      </c>
      <c r="C675" s="67">
        <v>1192.4649999999999</v>
      </c>
    </row>
    <row r="676" spans="1:3">
      <c r="A676" s="67">
        <v>20384</v>
      </c>
      <c r="B676" s="67" t="s">
        <v>321</v>
      </c>
      <c r="C676" s="67">
        <v>2130.886</v>
      </c>
    </row>
    <row r="677" spans="1:3">
      <c r="A677" s="67">
        <v>20390</v>
      </c>
      <c r="B677" s="67" t="s">
        <v>319</v>
      </c>
      <c r="C677" s="67">
        <v>8264.9449999999997</v>
      </c>
    </row>
    <row r="678" spans="1:3">
      <c r="A678" s="67">
        <v>20392</v>
      </c>
      <c r="B678" s="67" t="s">
        <v>318</v>
      </c>
      <c r="C678" s="67">
        <v>1904.288</v>
      </c>
    </row>
    <row r="679" spans="1:3">
      <c r="A679" s="67">
        <v>20395</v>
      </c>
      <c r="B679" s="67" t="s">
        <v>319</v>
      </c>
      <c r="C679" s="67">
        <v>8264.9449999999997</v>
      </c>
    </row>
    <row r="680" spans="1:3">
      <c r="A680" s="67">
        <v>20408</v>
      </c>
      <c r="B680" s="67" t="s">
        <v>318</v>
      </c>
      <c r="C680" s="67">
        <v>2079.9929999999999</v>
      </c>
    </row>
    <row r="681" spans="1:3">
      <c r="A681" s="67">
        <v>20411</v>
      </c>
      <c r="B681" s="67" t="s">
        <v>320</v>
      </c>
      <c r="C681" s="67">
        <v>3785.7640000000001</v>
      </c>
    </row>
    <row r="682" spans="1:3">
      <c r="A682" s="67">
        <v>20414</v>
      </c>
      <c r="B682" s="67" t="s">
        <v>318</v>
      </c>
      <c r="C682" s="67">
        <v>2079.9929999999999</v>
      </c>
    </row>
    <row r="683" spans="1:3">
      <c r="A683" s="67">
        <v>20426</v>
      </c>
      <c r="B683" s="67" t="s">
        <v>318</v>
      </c>
      <c r="C683" s="67">
        <v>1904.288</v>
      </c>
    </row>
    <row r="684" spans="1:3">
      <c r="A684" s="67">
        <v>20430</v>
      </c>
      <c r="B684" s="67" t="s">
        <v>318</v>
      </c>
      <c r="C684" s="67">
        <v>2079.9929999999999</v>
      </c>
    </row>
    <row r="685" spans="1:3">
      <c r="A685" s="67">
        <v>20433</v>
      </c>
      <c r="B685" s="67" t="s">
        <v>319</v>
      </c>
      <c r="C685" s="67">
        <v>1612.692</v>
      </c>
    </row>
    <row r="686" spans="1:3">
      <c r="A686" s="67">
        <v>20440</v>
      </c>
      <c r="B686" s="67" t="s">
        <v>319</v>
      </c>
      <c r="C686" s="67">
        <v>1925.059</v>
      </c>
    </row>
    <row r="687" spans="1:3">
      <c r="A687" s="67">
        <v>20445</v>
      </c>
      <c r="B687" s="67" t="s">
        <v>321</v>
      </c>
      <c r="C687" s="67">
        <v>1144.6790000000001</v>
      </c>
    </row>
    <row r="688" spans="1:3">
      <c r="A688" s="67">
        <v>20446</v>
      </c>
      <c r="B688" s="67" t="s">
        <v>319</v>
      </c>
      <c r="C688" s="67">
        <v>1612.692</v>
      </c>
    </row>
    <row r="689" spans="1:3">
      <c r="A689" s="67">
        <v>20448</v>
      </c>
      <c r="B689" s="67" t="s">
        <v>319</v>
      </c>
      <c r="C689" s="67">
        <v>1612.692</v>
      </c>
    </row>
    <row r="690" spans="1:3">
      <c r="A690" s="67">
        <v>20457</v>
      </c>
      <c r="B690" s="67" t="s">
        <v>319</v>
      </c>
      <c r="C690" s="67">
        <v>1612.692</v>
      </c>
    </row>
    <row r="691" spans="1:3">
      <c r="A691" s="67">
        <v>20458</v>
      </c>
      <c r="B691" s="67" t="s">
        <v>320</v>
      </c>
      <c r="C691" s="67">
        <v>3785.7640000000001</v>
      </c>
    </row>
    <row r="692" spans="1:3">
      <c r="A692" s="67">
        <v>20466</v>
      </c>
      <c r="B692" s="67" t="s">
        <v>321</v>
      </c>
      <c r="C692" s="67">
        <v>2130.886</v>
      </c>
    </row>
    <row r="693" spans="1:3">
      <c r="A693" s="67">
        <v>20469</v>
      </c>
      <c r="B693" s="67" t="s">
        <v>318</v>
      </c>
      <c r="C693" s="67">
        <v>1904.288</v>
      </c>
    </row>
    <row r="694" spans="1:3">
      <c r="A694" s="67">
        <v>20472</v>
      </c>
      <c r="B694" s="67" t="s">
        <v>319</v>
      </c>
      <c r="C694" s="67">
        <v>1612.692</v>
      </c>
    </row>
    <row r="695" spans="1:3">
      <c r="A695" s="67">
        <v>20477</v>
      </c>
      <c r="B695" s="67" t="s">
        <v>318</v>
      </c>
      <c r="C695" s="67">
        <v>1904.288</v>
      </c>
    </row>
    <row r="696" spans="1:3">
      <c r="A696" s="67">
        <v>20485</v>
      </c>
      <c r="B696" s="67" t="s">
        <v>320</v>
      </c>
      <c r="C696" s="67">
        <v>3785.7640000000001</v>
      </c>
    </row>
    <row r="697" spans="1:3">
      <c r="A697" s="67">
        <v>20491</v>
      </c>
      <c r="B697" s="67" t="s">
        <v>320</v>
      </c>
      <c r="C697" s="67">
        <v>1192.4649999999999</v>
      </c>
    </row>
    <row r="698" spans="1:3">
      <c r="A698" s="67">
        <v>20505</v>
      </c>
      <c r="B698" s="67" t="s">
        <v>319</v>
      </c>
      <c r="C698" s="67">
        <v>1612.692</v>
      </c>
    </row>
    <row r="699" spans="1:3">
      <c r="A699" s="67">
        <v>20516</v>
      </c>
      <c r="B699" s="67" t="s">
        <v>318</v>
      </c>
      <c r="C699" s="67">
        <v>2079.9929999999999</v>
      </c>
    </row>
    <row r="700" spans="1:3">
      <c r="A700" s="67">
        <v>20540</v>
      </c>
      <c r="B700" s="67" t="s">
        <v>318</v>
      </c>
      <c r="C700" s="67">
        <v>1904.288</v>
      </c>
    </row>
    <row r="701" spans="1:3">
      <c r="A701" s="67">
        <v>20547</v>
      </c>
      <c r="B701" s="67" t="s">
        <v>318</v>
      </c>
      <c r="C701" s="67">
        <v>2079.9929999999999</v>
      </c>
    </row>
    <row r="702" spans="1:3">
      <c r="A702" s="67">
        <v>20553</v>
      </c>
      <c r="B702" s="67" t="s">
        <v>320</v>
      </c>
      <c r="C702" s="67">
        <v>3785.7640000000001</v>
      </c>
    </row>
    <row r="703" spans="1:3">
      <c r="A703" s="67">
        <v>20559</v>
      </c>
      <c r="B703" s="67" t="s">
        <v>320</v>
      </c>
      <c r="C703" s="67">
        <v>1192.4649999999999</v>
      </c>
    </row>
    <row r="704" spans="1:3">
      <c r="A704" s="67">
        <v>20565</v>
      </c>
      <c r="B704" s="67" t="s">
        <v>320</v>
      </c>
      <c r="C704" s="67">
        <v>1192.4649999999999</v>
      </c>
    </row>
    <row r="705" spans="1:3">
      <c r="A705" s="67">
        <v>20574</v>
      </c>
      <c r="B705" s="67" t="s">
        <v>318</v>
      </c>
      <c r="C705" s="67">
        <v>2079.9929999999999</v>
      </c>
    </row>
    <row r="706" spans="1:3">
      <c r="A706" s="67">
        <v>20586</v>
      </c>
      <c r="B706" s="67" t="s">
        <v>320</v>
      </c>
      <c r="C706" s="67">
        <v>1192.4649999999999</v>
      </c>
    </row>
    <row r="707" spans="1:3">
      <c r="A707" s="67">
        <v>20593</v>
      </c>
      <c r="B707" s="67" t="s">
        <v>321</v>
      </c>
      <c r="C707" s="67">
        <v>2130.886</v>
      </c>
    </row>
    <row r="708" spans="1:3">
      <c r="A708" s="67">
        <v>20595</v>
      </c>
      <c r="B708" s="67" t="s">
        <v>320</v>
      </c>
      <c r="C708" s="67">
        <v>1192.4649999999999</v>
      </c>
    </row>
    <row r="709" spans="1:3">
      <c r="A709" s="67">
        <v>20601</v>
      </c>
      <c r="B709" s="67" t="s">
        <v>321</v>
      </c>
      <c r="C709" s="67">
        <v>2130.886</v>
      </c>
    </row>
    <row r="710" spans="1:3">
      <c r="A710" s="67">
        <v>20603</v>
      </c>
      <c r="B710" s="67" t="s">
        <v>320</v>
      </c>
      <c r="C710" s="67">
        <v>1192.4649999999999</v>
      </c>
    </row>
    <row r="711" spans="1:3">
      <c r="A711" s="67">
        <v>20606</v>
      </c>
      <c r="B711" s="67" t="s">
        <v>319</v>
      </c>
      <c r="C711" s="67">
        <v>1612.692</v>
      </c>
    </row>
    <row r="712" spans="1:3">
      <c r="A712" s="67">
        <v>20612</v>
      </c>
      <c r="B712" s="67" t="s">
        <v>318</v>
      </c>
      <c r="C712" s="67">
        <v>2079.9929999999999</v>
      </c>
    </row>
    <row r="713" spans="1:3">
      <c r="A713" s="67">
        <v>20613</v>
      </c>
      <c r="B713" s="67" t="s">
        <v>318</v>
      </c>
      <c r="C713" s="67">
        <v>1904.288</v>
      </c>
    </row>
    <row r="714" spans="1:3">
      <c r="A714" s="67">
        <v>20618</v>
      </c>
      <c r="B714" s="67" t="s">
        <v>319</v>
      </c>
      <c r="C714" s="67">
        <v>1612.692</v>
      </c>
    </row>
    <row r="715" spans="1:3">
      <c r="A715" s="67">
        <v>20619</v>
      </c>
      <c r="B715" s="67" t="s">
        <v>318</v>
      </c>
      <c r="C715" s="67">
        <v>2079.9929999999999</v>
      </c>
    </row>
    <row r="716" spans="1:3">
      <c r="A716" s="67">
        <v>20626</v>
      </c>
      <c r="B716" s="67" t="s">
        <v>318</v>
      </c>
      <c r="C716" s="67">
        <v>1904.288</v>
      </c>
    </row>
    <row r="717" spans="1:3">
      <c r="A717" s="67">
        <v>20632</v>
      </c>
      <c r="B717" s="67" t="s">
        <v>320</v>
      </c>
      <c r="C717" s="67">
        <v>1192.4649999999999</v>
      </c>
    </row>
    <row r="718" spans="1:3">
      <c r="A718" s="67">
        <v>20635</v>
      </c>
      <c r="B718" s="67" t="s">
        <v>321</v>
      </c>
      <c r="C718" s="67">
        <v>2130.886</v>
      </c>
    </row>
    <row r="719" spans="1:3">
      <c r="A719" s="67">
        <v>20646</v>
      </c>
      <c r="B719" s="67" t="s">
        <v>318</v>
      </c>
      <c r="C719" s="67">
        <v>1904.288</v>
      </c>
    </row>
    <row r="720" spans="1:3">
      <c r="A720" s="67">
        <v>20650</v>
      </c>
      <c r="B720" s="67" t="s">
        <v>319</v>
      </c>
      <c r="C720" s="67">
        <v>1925.059</v>
      </c>
    </row>
    <row r="721" spans="1:3">
      <c r="A721" s="67">
        <v>20671</v>
      </c>
      <c r="B721" s="67" t="s">
        <v>319</v>
      </c>
      <c r="C721" s="67">
        <v>8264.9449999999997</v>
      </c>
    </row>
    <row r="722" spans="1:3">
      <c r="A722" s="67">
        <v>20685</v>
      </c>
      <c r="B722" s="67" t="s">
        <v>320</v>
      </c>
      <c r="C722" s="67">
        <v>3785.7640000000001</v>
      </c>
    </row>
    <row r="723" spans="1:3">
      <c r="A723" s="67">
        <v>20688</v>
      </c>
      <c r="B723" s="67" t="s">
        <v>320</v>
      </c>
      <c r="C723" s="67">
        <v>3785.7640000000001</v>
      </c>
    </row>
    <row r="724" spans="1:3">
      <c r="A724" s="67">
        <v>20702</v>
      </c>
      <c r="B724" s="67" t="s">
        <v>321</v>
      </c>
      <c r="C724" s="67">
        <v>2130.886</v>
      </c>
    </row>
    <row r="725" spans="1:3">
      <c r="A725" s="67">
        <v>20707</v>
      </c>
      <c r="B725" s="67" t="s">
        <v>320</v>
      </c>
      <c r="C725" s="67">
        <v>3785.7640000000001</v>
      </c>
    </row>
    <row r="726" spans="1:3">
      <c r="A726" s="67">
        <v>20712</v>
      </c>
      <c r="B726" s="67" t="s">
        <v>318</v>
      </c>
      <c r="C726" s="67">
        <v>2079.9929999999999</v>
      </c>
    </row>
    <row r="727" spans="1:3">
      <c r="A727" s="67">
        <v>20716</v>
      </c>
      <c r="B727" s="67" t="s">
        <v>321</v>
      </c>
      <c r="C727" s="67">
        <v>1144.6790000000001</v>
      </c>
    </row>
    <row r="728" spans="1:3">
      <c r="A728" s="67">
        <v>20746</v>
      </c>
      <c r="B728" s="67" t="s">
        <v>321</v>
      </c>
      <c r="C728" s="67">
        <v>2130.886</v>
      </c>
    </row>
    <row r="729" spans="1:3">
      <c r="A729" s="67">
        <v>20748</v>
      </c>
      <c r="B729" s="67" t="s">
        <v>320</v>
      </c>
      <c r="C729" s="67">
        <v>1192.4649999999999</v>
      </c>
    </row>
    <row r="730" spans="1:3">
      <c r="A730" s="67">
        <v>20753</v>
      </c>
      <c r="B730" s="67" t="s">
        <v>320</v>
      </c>
      <c r="C730" s="67">
        <v>3785.7640000000001</v>
      </c>
    </row>
    <row r="731" spans="1:3">
      <c r="A731" s="67">
        <v>20758</v>
      </c>
      <c r="B731" s="67" t="s">
        <v>318</v>
      </c>
      <c r="C731" s="67">
        <v>1904.288</v>
      </c>
    </row>
    <row r="732" spans="1:3">
      <c r="A732" s="67">
        <v>20770</v>
      </c>
      <c r="B732" s="67" t="s">
        <v>318</v>
      </c>
      <c r="C732" s="67">
        <v>2079.9929999999999</v>
      </c>
    </row>
    <row r="733" spans="1:3">
      <c r="A733" s="67">
        <v>20775</v>
      </c>
      <c r="B733" s="67" t="s">
        <v>321</v>
      </c>
      <c r="C733" s="67">
        <v>2130.886</v>
      </c>
    </row>
    <row r="734" spans="1:3">
      <c r="A734" s="67">
        <v>20777</v>
      </c>
      <c r="B734" s="67" t="s">
        <v>318</v>
      </c>
      <c r="C734" s="67">
        <v>2079.9929999999999</v>
      </c>
    </row>
    <row r="735" spans="1:3">
      <c r="A735" s="67">
        <v>20778</v>
      </c>
      <c r="B735" s="67" t="s">
        <v>321</v>
      </c>
      <c r="C735" s="67">
        <v>1144.6790000000001</v>
      </c>
    </row>
    <row r="736" spans="1:3">
      <c r="A736" s="67">
        <v>20779</v>
      </c>
      <c r="B736" s="67" t="s">
        <v>318</v>
      </c>
      <c r="C736" s="67">
        <v>2079.9929999999999</v>
      </c>
    </row>
    <row r="737" spans="1:3">
      <c r="A737" s="67">
        <v>20783</v>
      </c>
      <c r="B737" s="67" t="s">
        <v>321</v>
      </c>
      <c r="C737" s="67">
        <v>1144.6790000000001</v>
      </c>
    </row>
    <row r="738" spans="1:3">
      <c r="A738" s="67">
        <v>20792</v>
      </c>
      <c r="B738" s="67" t="s">
        <v>320</v>
      </c>
      <c r="C738" s="67">
        <v>1192.4649999999999</v>
      </c>
    </row>
    <row r="739" spans="1:3">
      <c r="A739" s="67">
        <v>20807</v>
      </c>
      <c r="B739" s="67" t="s">
        <v>318</v>
      </c>
      <c r="C739" s="67">
        <v>12271.31</v>
      </c>
    </row>
    <row r="740" spans="1:3">
      <c r="A740" s="67">
        <v>20808</v>
      </c>
      <c r="B740" s="67" t="s">
        <v>320</v>
      </c>
      <c r="C740" s="67">
        <v>3785.7640000000001</v>
      </c>
    </row>
    <row r="741" spans="1:3">
      <c r="A741" s="67">
        <v>20809</v>
      </c>
      <c r="B741" s="67" t="s">
        <v>320</v>
      </c>
      <c r="C741" s="67">
        <v>1192.4649999999999</v>
      </c>
    </row>
    <row r="742" spans="1:3">
      <c r="A742" s="67">
        <v>20814</v>
      </c>
      <c r="B742" s="67" t="s">
        <v>318</v>
      </c>
      <c r="C742" s="67">
        <v>2079.9929999999999</v>
      </c>
    </row>
    <row r="743" spans="1:3">
      <c r="A743" s="67">
        <v>20817</v>
      </c>
      <c r="B743" s="67" t="s">
        <v>318</v>
      </c>
      <c r="C743" s="67">
        <v>2079.9929999999999</v>
      </c>
    </row>
    <row r="744" spans="1:3">
      <c r="A744" s="67">
        <v>20819</v>
      </c>
      <c r="B744" s="67" t="s">
        <v>320</v>
      </c>
      <c r="C744" s="67">
        <v>1192.4649999999999</v>
      </c>
    </row>
    <row r="745" spans="1:3">
      <c r="A745" s="67">
        <v>20825</v>
      </c>
      <c r="B745" s="67" t="s">
        <v>318</v>
      </c>
      <c r="C745" s="67">
        <v>2079.9929999999999</v>
      </c>
    </row>
    <row r="746" spans="1:3">
      <c r="A746" s="67">
        <v>20839</v>
      </c>
      <c r="B746" s="67" t="s">
        <v>318</v>
      </c>
      <c r="C746" s="67">
        <v>1904.288</v>
      </c>
    </row>
    <row r="747" spans="1:3">
      <c r="A747" s="67">
        <v>20853</v>
      </c>
      <c r="B747" s="67" t="s">
        <v>319</v>
      </c>
      <c r="C747" s="67">
        <v>1612.692</v>
      </c>
    </row>
    <row r="748" spans="1:3">
      <c r="A748" s="67">
        <v>20859</v>
      </c>
      <c r="B748" s="67" t="s">
        <v>318</v>
      </c>
      <c r="C748" s="67">
        <v>2079.9929999999999</v>
      </c>
    </row>
    <row r="749" spans="1:3">
      <c r="A749" s="67">
        <v>20861</v>
      </c>
      <c r="B749" s="67" t="s">
        <v>321</v>
      </c>
      <c r="C749" s="67">
        <v>2130.886</v>
      </c>
    </row>
    <row r="750" spans="1:3">
      <c r="A750" s="67">
        <v>20863</v>
      </c>
      <c r="B750" s="67" t="s">
        <v>319</v>
      </c>
      <c r="C750" s="67">
        <v>8559.1039999999994</v>
      </c>
    </row>
    <row r="751" spans="1:3">
      <c r="A751" s="67">
        <v>20878</v>
      </c>
      <c r="B751" s="67" t="s">
        <v>318</v>
      </c>
      <c r="C751" s="67">
        <v>1904.288</v>
      </c>
    </row>
    <row r="752" spans="1:3">
      <c r="A752" s="67">
        <v>20894</v>
      </c>
      <c r="B752" s="67" t="s">
        <v>318</v>
      </c>
      <c r="C752" s="67">
        <v>2079.9929999999999</v>
      </c>
    </row>
    <row r="753" spans="1:3">
      <c r="A753" s="67">
        <v>20895</v>
      </c>
      <c r="B753" s="67" t="s">
        <v>319</v>
      </c>
      <c r="C753" s="67">
        <v>1612.692</v>
      </c>
    </row>
    <row r="754" spans="1:3">
      <c r="A754" s="67">
        <v>20902</v>
      </c>
      <c r="B754" s="67" t="s">
        <v>321</v>
      </c>
      <c r="C754" s="67">
        <v>2130.886</v>
      </c>
    </row>
    <row r="755" spans="1:3">
      <c r="A755" s="67">
        <v>20905</v>
      </c>
      <c r="B755" s="67" t="s">
        <v>319</v>
      </c>
      <c r="C755" s="67">
        <v>8264.9449999999997</v>
      </c>
    </row>
    <row r="756" spans="1:3">
      <c r="A756" s="67">
        <v>20920</v>
      </c>
      <c r="B756" s="67" t="s">
        <v>318</v>
      </c>
      <c r="C756" s="67">
        <v>2079.9929999999999</v>
      </c>
    </row>
    <row r="757" spans="1:3">
      <c r="A757" s="67">
        <v>20930</v>
      </c>
      <c r="B757" s="67" t="s">
        <v>318</v>
      </c>
      <c r="C757" s="67">
        <v>1904.288</v>
      </c>
    </row>
    <row r="758" spans="1:3">
      <c r="A758" s="67">
        <v>20936</v>
      </c>
      <c r="B758" s="67" t="s">
        <v>318</v>
      </c>
      <c r="C758" s="67">
        <v>1904.288</v>
      </c>
    </row>
    <row r="759" spans="1:3">
      <c r="A759" s="67">
        <v>20941</v>
      </c>
      <c r="B759" s="67" t="s">
        <v>320</v>
      </c>
      <c r="C759" s="67">
        <v>3785.7640000000001</v>
      </c>
    </row>
    <row r="760" spans="1:3">
      <c r="A760" s="67">
        <v>20946</v>
      </c>
      <c r="B760" s="67" t="s">
        <v>321</v>
      </c>
      <c r="C760" s="67">
        <v>2130.886</v>
      </c>
    </row>
    <row r="761" spans="1:3">
      <c r="A761" s="67">
        <v>20958</v>
      </c>
      <c r="B761" s="67" t="s">
        <v>320</v>
      </c>
      <c r="C761" s="67">
        <v>1192.4649999999999</v>
      </c>
    </row>
    <row r="762" spans="1:3">
      <c r="A762" s="67">
        <v>20965</v>
      </c>
      <c r="B762" s="67" t="s">
        <v>320</v>
      </c>
      <c r="C762" s="67">
        <v>3785.7640000000001</v>
      </c>
    </row>
    <row r="763" spans="1:3">
      <c r="A763" s="67">
        <v>20968</v>
      </c>
      <c r="B763" s="67" t="s">
        <v>319</v>
      </c>
      <c r="C763" s="67">
        <v>1612.692</v>
      </c>
    </row>
    <row r="764" spans="1:3">
      <c r="A764" s="67">
        <v>20970</v>
      </c>
      <c r="B764" s="67" t="s">
        <v>318</v>
      </c>
      <c r="C764" s="67">
        <v>2079.9929999999999</v>
      </c>
    </row>
    <row r="765" spans="1:3">
      <c r="A765" s="67">
        <v>20974</v>
      </c>
      <c r="B765" s="67" t="s">
        <v>320</v>
      </c>
      <c r="C765" s="67">
        <v>3785.7640000000001</v>
      </c>
    </row>
    <row r="766" spans="1:3">
      <c r="A766" s="67">
        <v>20976</v>
      </c>
      <c r="B766" s="67" t="s">
        <v>320</v>
      </c>
      <c r="C766" s="67">
        <v>1192.4649999999999</v>
      </c>
    </row>
    <row r="767" spans="1:3">
      <c r="A767" s="67">
        <v>20995</v>
      </c>
      <c r="B767" s="67" t="s">
        <v>321</v>
      </c>
      <c r="C767" s="67">
        <v>2130.886</v>
      </c>
    </row>
    <row r="768" spans="1:3">
      <c r="A768" s="67">
        <v>20998</v>
      </c>
      <c r="B768" s="67" t="s">
        <v>320</v>
      </c>
      <c r="C768" s="67">
        <v>3785.7640000000001</v>
      </c>
    </row>
    <row r="769" spans="1:3">
      <c r="A769" s="67">
        <v>21002</v>
      </c>
      <c r="B769" s="67" t="s">
        <v>321</v>
      </c>
      <c r="C769" s="67">
        <v>1144.6790000000001</v>
      </c>
    </row>
    <row r="770" spans="1:3">
      <c r="A770" s="67">
        <v>21003</v>
      </c>
      <c r="B770" s="67" t="s">
        <v>318</v>
      </c>
      <c r="C770" s="67">
        <v>2079.9929999999999</v>
      </c>
    </row>
    <row r="771" spans="1:3">
      <c r="A771" s="67">
        <v>21006</v>
      </c>
      <c r="B771" s="67" t="s">
        <v>320</v>
      </c>
      <c r="C771" s="67">
        <v>1192.4649999999999</v>
      </c>
    </row>
    <row r="772" spans="1:3">
      <c r="A772" s="67">
        <v>21012</v>
      </c>
      <c r="B772" s="67" t="s">
        <v>320</v>
      </c>
      <c r="C772" s="67">
        <v>3785.7640000000001</v>
      </c>
    </row>
    <row r="773" spans="1:3">
      <c r="A773" s="67">
        <v>21016</v>
      </c>
      <c r="B773" s="67" t="s">
        <v>320</v>
      </c>
      <c r="C773" s="67">
        <v>3785.7640000000001</v>
      </c>
    </row>
    <row r="774" spans="1:3">
      <c r="A774" s="67">
        <v>21018</v>
      </c>
      <c r="B774" s="67" t="s">
        <v>321</v>
      </c>
      <c r="C774" s="67">
        <v>2130.886</v>
      </c>
    </row>
    <row r="775" spans="1:3">
      <c r="A775" s="67">
        <v>21021</v>
      </c>
      <c r="B775" s="67" t="s">
        <v>319</v>
      </c>
      <c r="C775" s="67">
        <v>8264.9449999999997</v>
      </c>
    </row>
    <row r="776" spans="1:3">
      <c r="A776" s="67">
        <v>21026</v>
      </c>
      <c r="B776" s="67" t="s">
        <v>319</v>
      </c>
      <c r="C776" s="67">
        <v>8264.9449999999997</v>
      </c>
    </row>
    <row r="777" spans="1:3">
      <c r="A777" s="67">
        <v>21038</v>
      </c>
      <c r="B777" s="67" t="s">
        <v>318</v>
      </c>
      <c r="C777" s="67">
        <v>1904.288</v>
      </c>
    </row>
    <row r="778" spans="1:3">
      <c r="A778" s="67">
        <v>21045</v>
      </c>
      <c r="B778" s="67" t="s">
        <v>321</v>
      </c>
      <c r="C778" s="67">
        <v>2130.886</v>
      </c>
    </row>
    <row r="779" spans="1:3">
      <c r="A779" s="67">
        <v>21049</v>
      </c>
      <c r="B779" s="67" t="s">
        <v>321</v>
      </c>
      <c r="C779" s="67">
        <v>2130.886</v>
      </c>
    </row>
    <row r="780" spans="1:3">
      <c r="A780" s="67">
        <v>21070</v>
      </c>
      <c r="B780" s="67" t="s">
        <v>318</v>
      </c>
      <c r="C780" s="67">
        <v>1904.288</v>
      </c>
    </row>
    <row r="781" spans="1:3">
      <c r="A781" s="67">
        <v>21085</v>
      </c>
      <c r="B781" s="67" t="s">
        <v>320</v>
      </c>
      <c r="C781" s="67">
        <v>3785.7640000000001</v>
      </c>
    </row>
    <row r="782" spans="1:3">
      <c r="A782" s="67">
        <v>21089</v>
      </c>
      <c r="B782" s="67" t="s">
        <v>320</v>
      </c>
      <c r="C782" s="67">
        <v>3785.7640000000001</v>
      </c>
    </row>
    <row r="783" spans="1:3">
      <c r="A783" s="67">
        <v>21091</v>
      </c>
      <c r="B783" s="67" t="s">
        <v>319</v>
      </c>
      <c r="C783" s="67">
        <v>8559.1039999999994</v>
      </c>
    </row>
    <row r="784" spans="1:3">
      <c r="A784" s="67">
        <v>21103</v>
      </c>
      <c r="B784" s="67" t="s">
        <v>318</v>
      </c>
      <c r="C784" s="67">
        <v>2079.9929999999999</v>
      </c>
    </row>
    <row r="785" spans="1:3">
      <c r="A785" s="67">
        <v>21107</v>
      </c>
      <c r="B785" s="67" t="s">
        <v>321</v>
      </c>
      <c r="C785" s="67">
        <v>1144.6790000000001</v>
      </c>
    </row>
    <row r="786" spans="1:3">
      <c r="A786" s="67">
        <v>21109</v>
      </c>
      <c r="B786" s="67" t="s">
        <v>319</v>
      </c>
      <c r="C786" s="67">
        <v>1925.059</v>
      </c>
    </row>
    <row r="787" spans="1:3">
      <c r="A787" s="67">
        <v>21112</v>
      </c>
      <c r="B787" s="67" t="s">
        <v>319</v>
      </c>
      <c r="C787" s="67">
        <v>1612.692</v>
      </c>
    </row>
    <row r="788" spans="1:3">
      <c r="A788" s="67">
        <v>21122</v>
      </c>
      <c r="B788" s="67" t="s">
        <v>318</v>
      </c>
      <c r="C788" s="67">
        <v>1904.288</v>
      </c>
    </row>
    <row r="789" spans="1:3">
      <c r="A789" s="67">
        <v>21132</v>
      </c>
      <c r="B789" s="67" t="s">
        <v>318</v>
      </c>
      <c r="C789" s="67">
        <v>2079.9929999999999</v>
      </c>
    </row>
    <row r="790" spans="1:3">
      <c r="A790" s="67">
        <v>21137</v>
      </c>
      <c r="B790" s="67" t="s">
        <v>321</v>
      </c>
      <c r="C790" s="67">
        <v>2130.886</v>
      </c>
    </row>
    <row r="791" spans="1:3">
      <c r="A791" s="67">
        <v>21143</v>
      </c>
      <c r="B791" s="67" t="s">
        <v>319</v>
      </c>
      <c r="C791" s="67">
        <v>1612.692</v>
      </c>
    </row>
    <row r="792" spans="1:3">
      <c r="A792" s="67">
        <v>21155</v>
      </c>
      <c r="B792" s="67" t="s">
        <v>320</v>
      </c>
      <c r="C792" s="67">
        <v>1192.4649999999999</v>
      </c>
    </row>
    <row r="793" spans="1:3">
      <c r="A793" s="67">
        <v>21160</v>
      </c>
      <c r="B793" s="67" t="s">
        <v>319</v>
      </c>
      <c r="C793" s="67">
        <v>1925.059</v>
      </c>
    </row>
    <row r="794" spans="1:3">
      <c r="A794" s="67">
        <v>21176</v>
      </c>
      <c r="B794" s="67" t="s">
        <v>320</v>
      </c>
      <c r="C794" s="67">
        <v>1192.4649999999999</v>
      </c>
    </row>
    <row r="795" spans="1:3">
      <c r="A795" s="67">
        <v>21180</v>
      </c>
      <c r="B795" s="67" t="s">
        <v>318</v>
      </c>
      <c r="C795" s="67">
        <v>2079.9929999999999</v>
      </c>
    </row>
    <row r="796" spans="1:3">
      <c r="A796" s="67">
        <v>21188</v>
      </c>
      <c r="B796" s="67" t="s">
        <v>318</v>
      </c>
      <c r="C796" s="67">
        <v>4360.1880000000001</v>
      </c>
    </row>
    <row r="797" spans="1:3">
      <c r="A797" s="67">
        <v>21201</v>
      </c>
      <c r="B797" s="67" t="s">
        <v>318</v>
      </c>
      <c r="C797" s="67">
        <v>2079.9929999999999</v>
      </c>
    </row>
    <row r="798" spans="1:3">
      <c r="A798" s="67">
        <v>21203</v>
      </c>
      <c r="B798" s="67" t="s">
        <v>318</v>
      </c>
      <c r="C798" s="67">
        <v>2079.9929999999999</v>
      </c>
    </row>
    <row r="799" spans="1:3">
      <c r="A799" s="67">
        <v>21214</v>
      </c>
      <c r="B799" s="67" t="s">
        <v>321</v>
      </c>
      <c r="C799" s="67">
        <v>1144.6790000000001</v>
      </c>
    </row>
    <row r="800" spans="1:3">
      <c r="A800" s="67">
        <v>21218</v>
      </c>
      <c r="B800" s="67" t="s">
        <v>320</v>
      </c>
      <c r="C800" s="67">
        <v>1192.4649999999999</v>
      </c>
    </row>
    <row r="801" spans="1:3">
      <c r="A801" s="67">
        <v>21219</v>
      </c>
      <c r="B801" s="67" t="s">
        <v>319</v>
      </c>
      <c r="C801" s="67">
        <v>8559.1039999999994</v>
      </c>
    </row>
    <row r="802" spans="1:3">
      <c r="A802" s="67">
        <v>21225</v>
      </c>
      <c r="B802" s="67" t="s">
        <v>321</v>
      </c>
      <c r="C802" s="67">
        <v>2130.886</v>
      </c>
    </row>
    <row r="803" spans="1:3">
      <c r="A803" s="67">
        <v>21228</v>
      </c>
      <c r="B803" s="67" t="s">
        <v>320</v>
      </c>
      <c r="C803" s="67">
        <v>3785.7640000000001</v>
      </c>
    </row>
    <row r="804" spans="1:3">
      <c r="A804" s="67">
        <v>21231</v>
      </c>
      <c r="B804" s="67" t="s">
        <v>319</v>
      </c>
      <c r="C804" s="67">
        <v>1612.692</v>
      </c>
    </row>
    <row r="805" spans="1:3">
      <c r="A805" s="67">
        <v>21233</v>
      </c>
      <c r="B805" s="67" t="s">
        <v>321</v>
      </c>
      <c r="C805" s="67">
        <v>2130.886</v>
      </c>
    </row>
    <row r="806" spans="1:3">
      <c r="A806" s="67">
        <v>21238</v>
      </c>
      <c r="B806" s="67" t="s">
        <v>321</v>
      </c>
      <c r="C806" s="67">
        <v>2130.886</v>
      </c>
    </row>
    <row r="807" spans="1:3">
      <c r="A807" s="67">
        <v>21242</v>
      </c>
      <c r="B807" s="67" t="s">
        <v>319</v>
      </c>
      <c r="C807" s="67">
        <v>1925.059</v>
      </c>
    </row>
    <row r="808" spans="1:3">
      <c r="A808" s="67">
        <v>21252</v>
      </c>
      <c r="B808" s="67" t="s">
        <v>319</v>
      </c>
      <c r="C808" s="67">
        <v>1612.692</v>
      </c>
    </row>
    <row r="809" spans="1:3">
      <c r="A809" s="67">
        <v>21258</v>
      </c>
      <c r="B809" s="67" t="s">
        <v>319</v>
      </c>
      <c r="C809" s="67">
        <v>1612.692</v>
      </c>
    </row>
    <row r="810" spans="1:3">
      <c r="A810" s="67">
        <v>21259</v>
      </c>
      <c r="B810" s="67" t="s">
        <v>320</v>
      </c>
      <c r="C810" s="67">
        <v>3785.7640000000001</v>
      </c>
    </row>
    <row r="811" spans="1:3">
      <c r="A811" s="67">
        <v>21263</v>
      </c>
      <c r="B811" s="67" t="s">
        <v>318</v>
      </c>
      <c r="C811" s="67">
        <v>1904.288</v>
      </c>
    </row>
    <row r="812" spans="1:3">
      <c r="A812" s="67">
        <v>21264</v>
      </c>
      <c r="B812" s="67" t="s">
        <v>318</v>
      </c>
      <c r="C812" s="67">
        <v>1904.288</v>
      </c>
    </row>
    <row r="813" spans="1:3">
      <c r="A813" s="67">
        <v>21277</v>
      </c>
      <c r="B813" s="67" t="s">
        <v>319</v>
      </c>
      <c r="C813" s="67">
        <v>1612.692</v>
      </c>
    </row>
    <row r="814" spans="1:3">
      <c r="A814" s="67">
        <v>21291</v>
      </c>
      <c r="B814" s="67" t="s">
        <v>318</v>
      </c>
      <c r="C814" s="67">
        <v>2079.9929999999999</v>
      </c>
    </row>
    <row r="815" spans="1:3">
      <c r="A815" s="67">
        <v>21293</v>
      </c>
      <c r="B815" s="67" t="s">
        <v>320</v>
      </c>
      <c r="C815" s="67">
        <v>3785.7640000000001</v>
      </c>
    </row>
    <row r="816" spans="1:3">
      <c r="A816" s="67">
        <v>21294</v>
      </c>
      <c r="B816" s="67" t="s">
        <v>318</v>
      </c>
      <c r="C816" s="67">
        <v>2079.9929999999999</v>
      </c>
    </row>
    <row r="817" spans="1:3">
      <c r="A817" s="67">
        <v>21295</v>
      </c>
      <c r="B817" s="67" t="s">
        <v>319</v>
      </c>
      <c r="C817" s="67">
        <v>1612.692</v>
      </c>
    </row>
    <row r="818" spans="1:3">
      <c r="A818" s="67">
        <v>21296</v>
      </c>
      <c r="B818" s="67" t="s">
        <v>319</v>
      </c>
      <c r="C818" s="67">
        <v>1925.059</v>
      </c>
    </row>
    <row r="819" spans="1:3">
      <c r="A819" s="67">
        <v>21298</v>
      </c>
      <c r="B819" s="67" t="s">
        <v>320</v>
      </c>
      <c r="C819" s="67">
        <v>3785.7640000000001</v>
      </c>
    </row>
    <row r="820" spans="1:3">
      <c r="A820" s="67">
        <v>21305</v>
      </c>
      <c r="B820" s="67" t="s">
        <v>319</v>
      </c>
      <c r="C820" s="67">
        <v>1612.692</v>
      </c>
    </row>
    <row r="821" spans="1:3">
      <c r="A821" s="67">
        <v>21316</v>
      </c>
      <c r="B821" s="67" t="s">
        <v>320</v>
      </c>
      <c r="C821" s="67">
        <v>3785.7640000000001</v>
      </c>
    </row>
    <row r="822" spans="1:3">
      <c r="A822" s="67">
        <v>21319</v>
      </c>
      <c r="B822" s="67" t="s">
        <v>321</v>
      </c>
      <c r="C822" s="67">
        <v>2130.886</v>
      </c>
    </row>
    <row r="823" spans="1:3">
      <c r="A823" s="67">
        <v>21320</v>
      </c>
      <c r="B823" s="67" t="s">
        <v>318</v>
      </c>
      <c r="C823" s="67">
        <v>2079.9929999999999</v>
      </c>
    </row>
    <row r="824" spans="1:3">
      <c r="A824" s="67">
        <v>21326</v>
      </c>
      <c r="B824" s="67" t="s">
        <v>319</v>
      </c>
      <c r="C824" s="67">
        <v>1925.059</v>
      </c>
    </row>
    <row r="825" spans="1:3">
      <c r="A825" s="67">
        <v>21334</v>
      </c>
      <c r="B825" s="67" t="s">
        <v>318</v>
      </c>
      <c r="C825" s="67">
        <v>12271.31</v>
      </c>
    </row>
    <row r="826" spans="1:3">
      <c r="A826" s="67">
        <v>21343</v>
      </c>
      <c r="B826" s="67" t="s">
        <v>319</v>
      </c>
      <c r="C826" s="67">
        <v>8264.9449999999997</v>
      </c>
    </row>
    <row r="827" spans="1:3">
      <c r="A827" s="67">
        <v>21345</v>
      </c>
      <c r="B827" s="67" t="s">
        <v>319</v>
      </c>
      <c r="C827" s="67">
        <v>1612.692</v>
      </c>
    </row>
    <row r="828" spans="1:3">
      <c r="A828" s="67">
        <v>21350</v>
      </c>
      <c r="B828" s="67" t="s">
        <v>319</v>
      </c>
      <c r="C828" s="67">
        <v>8264.9449999999997</v>
      </c>
    </row>
    <row r="829" spans="1:3">
      <c r="A829" s="67">
        <v>21353</v>
      </c>
      <c r="B829" s="67" t="s">
        <v>320</v>
      </c>
      <c r="C829" s="67">
        <v>1192.4649999999999</v>
      </c>
    </row>
    <row r="830" spans="1:3">
      <c r="A830" s="67">
        <v>21355</v>
      </c>
      <c r="B830" s="67" t="s">
        <v>319</v>
      </c>
      <c r="C830" s="67">
        <v>8264.9449999999997</v>
      </c>
    </row>
    <row r="831" spans="1:3">
      <c r="A831" s="67">
        <v>21366</v>
      </c>
      <c r="B831" s="67" t="s">
        <v>321</v>
      </c>
      <c r="C831" s="67">
        <v>2130.886</v>
      </c>
    </row>
    <row r="832" spans="1:3">
      <c r="A832" s="67">
        <v>21367</v>
      </c>
      <c r="B832" s="67" t="s">
        <v>321</v>
      </c>
      <c r="C832" s="67">
        <v>2130.886</v>
      </c>
    </row>
    <row r="833" spans="1:3">
      <c r="A833" s="67">
        <v>21372</v>
      </c>
      <c r="B833" s="67" t="s">
        <v>319</v>
      </c>
      <c r="C833" s="67">
        <v>1612.692</v>
      </c>
    </row>
    <row r="834" spans="1:3">
      <c r="A834" s="67">
        <v>21374</v>
      </c>
      <c r="B834" s="67" t="s">
        <v>319</v>
      </c>
      <c r="C834" s="67">
        <v>1612.692</v>
      </c>
    </row>
    <row r="835" spans="1:3">
      <c r="A835" s="67">
        <v>21376</v>
      </c>
      <c r="B835" s="67" t="s">
        <v>320</v>
      </c>
      <c r="C835" s="67">
        <v>3785.7640000000001</v>
      </c>
    </row>
    <row r="836" spans="1:3">
      <c r="A836" s="67">
        <v>21384</v>
      </c>
      <c r="B836" s="67" t="s">
        <v>318</v>
      </c>
      <c r="C836" s="67">
        <v>1904.288</v>
      </c>
    </row>
    <row r="837" spans="1:3">
      <c r="A837" s="67">
        <v>21390</v>
      </c>
      <c r="B837" s="67" t="s">
        <v>321</v>
      </c>
      <c r="C837" s="67">
        <v>2130.886</v>
      </c>
    </row>
    <row r="838" spans="1:3">
      <c r="A838" s="67">
        <v>21391</v>
      </c>
      <c r="B838" s="67" t="s">
        <v>320</v>
      </c>
      <c r="C838" s="67">
        <v>3785.7640000000001</v>
      </c>
    </row>
    <row r="839" spans="1:3">
      <c r="A839" s="67">
        <v>21394</v>
      </c>
      <c r="B839" s="67" t="s">
        <v>318</v>
      </c>
      <c r="C839" s="67">
        <v>2079.9929999999999</v>
      </c>
    </row>
    <row r="840" spans="1:3">
      <c r="A840" s="67">
        <v>21401</v>
      </c>
      <c r="B840" s="67" t="s">
        <v>321</v>
      </c>
      <c r="C840" s="67">
        <v>2130.886</v>
      </c>
    </row>
    <row r="841" spans="1:3">
      <c r="A841" s="67">
        <v>21403</v>
      </c>
      <c r="B841" s="67" t="s">
        <v>318</v>
      </c>
      <c r="C841" s="67">
        <v>12271.31</v>
      </c>
    </row>
    <row r="842" spans="1:3">
      <c r="A842" s="67">
        <v>21405</v>
      </c>
      <c r="B842" s="67" t="s">
        <v>318</v>
      </c>
      <c r="C842" s="67">
        <v>12271.31</v>
      </c>
    </row>
    <row r="843" spans="1:3">
      <c r="A843" s="67">
        <v>21408</v>
      </c>
      <c r="B843" s="67" t="s">
        <v>320</v>
      </c>
      <c r="C843" s="67">
        <v>3785.7640000000001</v>
      </c>
    </row>
    <row r="844" spans="1:3">
      <c r="A844" s="67">
        <v>21411</v>
      </c>
      <c r="B844" s="67" t="s">
        <v>321</v>
      </c>
      <c r="C844" s="67">
        <v>2130.886</v>
      </c>
    </row>
    <row r="845" spans="1:3">
      <c r="A845" s="67">
        <v>21414</v>
      </c>
      <c r="B845" s="67" t="s">
        <v>318</v>
      </c>
      <c r="C845" s="67">
        <v>12271.31</v>
      </c>
    </row>
    <row r="846" spans="1:3">
      <c r="A846" s="67">
        <v>21417</v>
      </c>
      <c r="B846" s="67" t="s">
        <v>320</v>
      </c>
      <c r="C846" s="67">
        <v>1192.4649999999999</v>
      </c>
    </row>
    <row r="847" spans="1:3">
      <c r="A847" s="67">
        <v>21419</v>
      </c>
      <c r="B847" s="67" t="s">
        <v>321</v>
      </c>
      <c r="C847" s="67">
        <v>2130.886</v>
      </c>
    </row>
    <row r="848" spans="1:3">
      <c r="A848" s="67">
        <v>21427</v>
      </c>
      <c r="B848" s="67" t="s">
        <v>319</v>
      </c>
      <c r="C848" s="67">
        <v>1612.692</v>
      </c>
    </row>
    <row r="849" spans="1:3">
      <c r="A849" s="67">
        <v>21431</v>
      </c>
      <c r="B849" s="67" t="s">
        <v>321</v>
      </c>
      <c r="C849" s="67">
        <v>1144.6790000000001</v>
      </c>
    </row>
    <row r="850" spans="1:3">
      <c r="A850" s="67">
        <v>21436</v>
      </c>
      <c r="B850" s="67" t="s">
        <v>320</v>
      </c>
      <c r="C850" s="67">
        <v>3785.7640000000001</v>
      </c>
    </row>
    <row r="851" spans="1:3">
      <c r="A851" s="67">
        <v>21437</v>
      </c>
      <c r="B851" s="67" t="s">
        <v>318</v>
      </c>
      <c r="C851" s="67">
        <v>2079.9929999999999</v>
      </c>
    </row>
    <row r="852" spans="1:3">
      <c r="A852" s="67">
        <v>21438</v>
      </c>
      <c r="B852" s="67" t="s">
        <v>319</v>
      </c>
      <c r="C852" s="67">
        <v>1612.692</v>
      </c>
    </row>
    <row r="853" spans="1:3">
      <c r="A853" s="67">
        <v>21452</v>
      </c>
      <c r="B853" s="67" t="s">
        <v>318</v>
      </c>
      <c r="C853" s="67">
        <v>1904.288</v>
      </c>
    </row>
    <row r="854" spans="1:3">
      <c r="A854" s="67">
        <v>21456</v>
      </c>
      <c r="B854" s="67" t="s">
        <v>319</v>
      </c>
      <c r="C854" s="67">
        <v>1612.692</v>
      </c>
    </row>
    <row r="855" spans="1:3">
      <c r="A855" s="67">
        <v>21459</v>
      </c>
      <c r="B855" s="67" t="s">
        <v>321</v>
      </c>
      <c r="C855" s="67">
        <v>1144.6790000000001</v>
      </c>
    </row>
    <row r="856" spans="1:3">
      <c r="A856" s="67">
        <v>21460</v>
      </c>
      <c r="B856" s="67" t="s">
        <v>320</v>
      </c>
      <c r="C856" s="67">
        <v>3785.7640000000001</v>
      </c>
    </row>
    <row r="857" spans="1:3">
      <c r="A857" s="67">
        <v>21463</v>
      </c>
      <c r="B857" s="67" t="s">
        <v>318</v>
      </c>
      <c r="C857" s="67">
        <v>2079.9929999999999</v>
      </c>
    </row>
    <row r="858" spans="1:3">
      <c r="A858" s="67">
        <v>21464</v>
      </c>
      <c r="B858" s="67" t="s">
        <v>320</v>
      </c>
      <c r="C858" s="67">
        <v>1192.4649999999999</v>
      </c>
    </row>
    <row r="859" spans="1:3">
      <c r="A859" s="67">
        <v>21469</v>
      </c>
      <c r="B859" s="67" t="s">
        <v>318</v>
      </c>
      <c r="C859" s="67">
        <v>1904.288</v>
      </c>
    </row>
    <row r="860" spans="1:3">
      <c r="A860" s="67">
        <v>21471</v>
      </c>
      <c r="B860" s="67" t="s">
        <v>318</v>
      </c>
      <c r="C860" s="67">
        <v>2079.9929999999999</v>
      </c>
    </row>
    <row r="861" spans="1:3">
      <c r="A861" s="67">
        <v>21483</v>
      </c>
      <c r="B861" s="67" t="s">
        <v>318</v>
      </c>
      <c r="C861" s="67">
        <v>1904.288</v>
      </c>
    </row>
    <row r="862" spans="1:3">
      <c r="A862" s="67">
        <v>21484</v>
      </c>
      <c r="B862" s="67" t="s">
        <v>320</v>
      </c>
      <c r="C862" s="67">
        <v>3785.7640000000001</v>
      </c>
    </row>
    <row r="863" spans="1:3">
      <c r="A863" s="67">
        <v>21486</v>
      </c>
      <c r="B863" s="67" t="s">
        <v>319</v>
      </c>
      <c r="C863" s="67">
        <v>1612.692</v>
      </c>
    </row>
    <row r="864" spans="1:3">
      <c r="A864" s="67">
        <v>21487</v>
      </c>
      <c r="B864" s="67" t="s">
        <v>319</v>
      </c>
      <c r="C864" s="67">
        <v>8264.9449999999997</v>
      </c>
    </row>
    <row r="865" spans="1:3">
      <c r="A865" s="67">
        <v>21494</v>
      </c>
      <c r="B865" s="67" t="s">
        <v>321</v>
      </c>
      <c r="C865" s="67">
        <v>2130.886</v>
      </c>
    </row>
    <row r="866" spans="1:3">
      <c r="A866" s="67">
        <v>21499</v>
      </c>
      <c r="B866" s="67" t="s">
        <v>318</v>
      </c>
      <c r="C866" s="67">
        <v>1904.288</v>
      </c>
    </row>
    <row r="867" spans="1:3">
      <c r="A867" s="67">
        <v>21501</v>
      </c>
      <c r="B867" s="67" t="s">
        <v>320</v>
      </c>
      <c r="C867" s="67">
        <v>3785.7640000000001</v>
      </c>
    </row>
    <row r="868" spans="1:3">
      <c r="A868" s="67">
        <v>21503</v>
      </c>
      <c r="B868" s="67" t="s">
        <v>318</v>
      </c>
      <c r="C868" s="67">
        <v>2079.9929999999999</v>
      </c>
    </row>
    <row r="869" spans="1:3">
      <c r="A869" s="67">
        <v>21504</v>
      </c>
      <c r="B869" s="67" t="s">
        <v>321</v>
      </c>
      <c r="C869" s="67">
        <v>1144.6790000000001</v>
      </c>
    </row>
    <row r="870" spans="1:3">
      <c r="A870" s="67">
        <v>21524</v>
      </c>
      <c r="B870" s="67" t="s">
        <v>318</v>
      </c>
      <c r="C870" s="67">
        <v>1904.288</v>
      </c>
    </row>
    <row r="871" spans="1:3">
      <c r="A871" s="67">
        <v>21531</v>
      </c>
      <c r="B871" s="67" t="s">
        <v>318</v>
      </c>
      <c r="C871" s="67">
        <v>4360.1880000000001</v>
      </c>
    </row>
    <row r="872" spans="1:3">
      <c r="A872" s="67">
        <v>21532</v>
      </c>
      <c r="B872" s="67" t="s">
        <v>319</v>
      </c>
      <c r="C872" s="67">
        <v>1925.059</v>
      </c>
    </row>
    <row r="873" spans="1:3">
      <c r="A873" s="67">
        <v>21537</v>
      </c>
      <c r="B873" s="67" t="s">
        <v>319</v>
      </c>
      <c r="C873" s="67">
        <v>1612.692</v>
      </c>
    </row>
    <row r="874" spans="1:3">
      <c r="A874" s="67">
        <v>21546</v>
      </c>
      <c r="B874" s="67" t="s">
        <v>319</v>
      </c>
      <c r="C874" s="67">
        <v>1612.692</v>
      </c>
    </row>
    <row r="875" spans="1:3">
      <c r="A875" s="67">
        <v>21566</v>
      </c>
      <c r="B875" s="67" t="s">
        <v>321</v>
      </c>
      <c r="C875" s="67">
        <v>2130.886</v>
      </c>
    </row>
    <row r="876" spans="1:3">
      <c r="A876" s="67">
        <v>21578</v>
      </c>
      <c r="B876" s="67" t="s">
        <v>318</v>
      </c>
      <c r="C876" s="67">
        <v>2079.9929999999999</v>
      </c>
    </row>
    <row r="877" spans="1:3">
      <c r="A877" s="67">
        <v>21588</v>
      </c>
      <c r="B877" s="67" t="s">
        <v>320</v>
      </c>
      <c r="C877" s="67">
        <v>3785.7640000000001</v>
      </c>
    </row>
    <row r="878" spans="1:3">
      <c r="A878" s="67">
        <v>21598</v>
      </c>
      <c r="B878" s="67" t="s">
        <v>319</v>
      </c>
      <c r="C878" s="67">
        <v>8559.1039999999994</v>
      </c>
    </row>
    <row r="879" spans="1:3">
      <c r="A879" s="67">
        <v>21601</v>
      </c>
      <c r="B879" s="67" t="s">
        <v>318</v>
      </c>
      <c r="C879" s="67">
        <v>2079.9929999999999</v>
      </c>
    </row>
    <row r="880" spans="1:3">
      <c r="A880" s="67">
        <v>21605</v>
      </c>
      <c r="B880" s="67" t="s">
        <v>321</v>
      </c>
      <c r="C880" s="67">
        <v>2130.886</v>
      </c>
    </row>
    <row r="881" spans="1:3">
      <c r="A881" s="67">
        <v>21612</v>
      </c>
      <c r="B881" s="67" t="s">
        <v>321</v>
      </c>
      <c r="C881" s="67">
        <v>2130.886</v>
      </c>
    </row>
    <row r="882" spans="1:3">
      <c r="A882" s="67">
        <v>21615</v>
      </c>
      <c r="B882" s="67" t="s">
        <v>318</v>
      </c>
      <c r="C882" s="67">
        <v>12271.31</v>
      </c>
    </row>
    <row r="883" spans="1:3">
      <c r="A883" s="67">
        <v>21623</v>
      </c>
      <c r="B883" s="67" t="s">
        <v>318</v>
      </c>
      <c r="C883" s="67">
        <v>2079.9929999999999</v>
      </c>
    </row>
    <row r="884" spans="1:3">
      <c r="A884" s="67">
        <v>21638</v>
      </c>
      <c r="B884" s="67" t="s">
        <v>321</v>
      </c>
      <c r="C884" s="67">
        <v>2130.886</v>
      </c>
    </row>
    <row r="885" spans="1:3">
      <c r="A885" s="67">
        <v>21647</v>
      </c>
      <c r="B885" s="67" t="s">
        <v>319</v>
      </c>
      <c r="C885" s="67">
        <v>1612.692</v>
      </c>
    </row>
    <row r="886" spans="1:3">
      <c r="A886" s="67">
        <v>21654</v>
      </c>
      <c r="B886" s="67" t="s">
        <v>321</v>
      </c>
      <c r="C886" s="67">
        <v>1144.6790000000001</v>
      </c>
    </row>
    <row r="887" spans="1:3">
      <c r="A887" s="67">
        <v>21668</v>
      </c>
      <c r="B887" s="67" t="s">
        <v>320</v>
      </c>
      <c r="C887" s="67">
        <v>3785.7640000000001</v>
      </c>
    </row>
    <row r="888" spans="1:3">
      <c r="A888" s="67">
        <v>21672</v>
      </c>
      <c r="B888" s="67" t="s">
        <v>321</v>
      </c>
      <c r="C888" s="67">
        <v>1144.6790000000001</v>
      </c>
    </row>
    <row r="889" spans="1:3">
      <c r="A889" s="67">
        <v>21678</v>
      </c>
      <c r="B889" s="67" t="s">
        <v>320</v>
      </c>
      <c r="C889" s="67">
        <v>3785.7640000000001</v>
      </c>
    </row>
    <row r="890" spans="1:3">
      <c r="A890" s="67">
        <v>21680</v>
      </c>
      <c r="B890" s="67" t="s">
        <v>321</v>
      </c>
      <c r="C890" s="67">
        <v>1144.6790000000001</v>
      </c>
    </row>
    <row r="891" spans="1:3">
      <c r="A891" s="67">
        <v>21684</v>
      </c>
      <c r="B891" s="67" t="s">
        <v>319</v>
      </c>
      <c r="C891" s="67">
        <v>8264.9449999999997</v>
      </c>
    </row>
    <row r="892" spans="1:3">
      <c r="A892" s="67">
        <v>21689</v>
      </c>
      <c r="B892" s="67" t="s">
        <v>320</v>
      </c>
      <c r="C892" s="67">
        <v>3785.7640000000001</v>
      </c>
    </row>
    <row r="893" spans="1:3">
      <c r="A893" s="67">
        <v>21692</v>
      </c>
      <c r="B893" s="67" t="s">
        <v>319</v>
      </c>
      <c r="C893" s="67">
        <v>8559.1039999999994</v>
      </c>
    </row>
    <row r="894" spans="1:3">
      <c r="A894" s="67">
        <v>21700</v>
      </c>
      <c r="B894" s="67" t="s">
        <v>319</v>
      </c>
      <c r="C894" s="67">
        <v>8264.9449999999997</v>
      </c>
    </row>
    <row r="895" spans="1:3">
      <c r="A895" s="67">
        <v>21701</v>
      </c>
      <c r="B895" s="67" t="s">
        <v>321</v>
      </c>
      <c r="C895" s="67">
        <v>1144.6790000000001</v>
      </c>
    </row>
    <row r="896" spans="1:3">
      <c r="A896" s="67">
        <v>21703</v>
      </c>
      <c r="B896" s="67" t="s">
        <v>318</v>
      </c>
      <c r="C896" s="67">
        <v>1904.288</v>
      </c>
    </row>
    <row r="897" spans="1:3">
      <c r="A897" s="67">
        <v>21707</v>
      </c>
      <c r="B897" s="67" t="s">
        <v>318</v>
      </c>
      <c r="C897" s="67">
        <v>1904.288</v>
      </c>
    </row>
    <row r="898" spans="1:3">
      <c r="A898" s="67">
        <v>21708</v>
      </c>
      <c r="B898" s="67" t="s">
        <v>320</v>
      </c>
      <c r="C898" s="67">
        <v>3785.7640000000001</v>
      </c>
    </row>
    <row r="899" spans="1:3">
      <c r="A899" s="67">
        <v>21710</v>
      </c>
      <c r="B899" s="67" t="s">
        <v>318</v>
      </c>
      <c r="C899" s="67">
        <v>2079.9929999999999</v>
      </c>
    </row>
    <row r="900" spans="1:3">
      <c r="A900" s="67">
        <v>21719</v>
      </c>
      <c r="B900" s="67" t="s">
        <v>321</v>
      </c>
      <c r="C900" s="67">
        <v>2130.886</v>
      </c>
    </row>
    <row r="901" spans="1:3">
      <c r="A901" s="67">
        <v>21720</v>
      </c>
      <c r="B901" s="67" t="s">
        <v>320</v>
      </c>
      <c r="C901" s="67">
        <v>3785.7640000000001</v>
      </c>
    </row>
    <row r="902" spans="1:3">
      <c r="A902" s="67">
        <v>21722</v>
      </c>
      <c r="B902" s="67" t="s">
        <v>321</v>
      </c>
      <c r="C902" s="67">
        <v>2130.886</v>
      </c>
    </row>
    <row r="903" spans="1:3">
      <c r="A903" s="67">
        <v>21733</v>
      </c>
      <c r="B903" s="67" t="s">
        <v>320</v>
      </c>
      <c r="C903" s="67">
        <v>1192.4649999999999</v>
      </c>
    </row>
    <row r="904" spans="1:3">
      <c r="A904" s="67">
        <v>21741</v>
      </c>
      <c r="B904" s="67" t="s">
        <v>318</v>
      </c>
      <c r="C904" s="67">
        <v>4360.1880000000001</v>
      </c>
    </row>
    <row r="905" spans="1:3">
      <c r="A905" s="67">
        <v>21746</v>
      </c>
      <c r="B905" s="67" t="s">
        <v>319</v>
      </c>
      <c r="C905" s="67">
        <v>8264.9449999999997</v>
      </c>
    </row>
    <row r="906" spans="1:3">
      <c r="A906" s="67">
        <v>21748</v>
      </c>
      <c r="B906" s="67" t="s">
        <v>320</v>
      </c>
      <c r="C906" s="67">
        <v>1192.4649999999999</v>
      </c>
    </row>
    <row r="907" spans="1:3">
      <c r="A907" s="67">
        <v>21753</v>
      </c>
      <c r="B907" s="67" t="s">
        <v>319</v>
      </c>
      <c r="C907" s="67">
        <v>1612.692</v>
      </c>
    </row>
    <row r="908" spans="1:3">
      <c r="A908" s="67">
        <v>21768</v>
      </c>
      <c r="B908" s="67" t="s">
        <v>319</v>
      </c>
      <c r="C908" s="67">
        <v>1925.059</v>
      </c>
    </row>
    <row r="909" spans="1:3">
      <c r="A909" s="67">
        <v>21777</v>
      </c>
      <c r="B909" s="67" t="s">
        <v>321</v>
      </c>
      <c r="C909" s="67">
        <v>2130.886</v>
      </c>
    </row>
    <row r="910" spans="1:3">
      <c r="A910" s="67">
        <v>21781</v>
      </c>
      <c r="B910" s="67" t="s">
        <v>319</v>
      </c>
      <c r="C910" s="67">
        <v>1612.692</v>
      </c>
    </row>
    <row r="911" spans="1:3">
      <c r="A911" s="67">
        <v>21783</v>
      </c>
      <c r="B911" s="67" t="s">
        <v>319</v>
      </c>
      <c r="C911" s="67">
        <v>8264.9449999999997</v>
      </c>
    </row>
    <row r="912" spans="1:3">
      <c r="A912" s="67">
        <v>21787</v>
      </c>
      <c r="B912" s="67" t="s">
        <v>318</v>
      </c>
      <c r="C912" s="67">
        <v>4360.1880000000001</v>
      </c>
    </row>
    <row r="913" spans="1:3">
      <c r="A913" s="67">
        <v>21791</v>
      </c>
      <c r="B913" s="67" t="s">
        <v>319</v>
      </c>
      <c r="C913" s="67">
        <v>1612.692</v>
      </c>
    </row>
    <row r="914" spans="1:3">
      <c r="A914" s="67">
        <v>21796</v>
      </c>
      <c r="B914" s="67" t="s">
        <v>320</v>
      </c>
      <c r="C914" s="67">
        <v>1192.4649999999999</v>
      </c>
    </row>
    <row r="915" spans="1:3">
      <c r="A915" s="67">
        <v>21799</v>
      </c>
      <c r="B915" s="67" t="s">
        <v>318</v>
      </c>
      <c r="C915" s="67">
        <v>1904.288</v>
      </c>
    </row>
    <row r="916" spans="1:3">
      <c r="A916" s="67">
        <v>21816</v>
      </c>
      <c r="B916" s="67" t="s">
        <v>320</v>
      </c>
      <c r="C916" s="67">
        <v>1192.4649999999999</v>
      </c>
    </row>
    <row r="917" spans="1:3">
      <c r="A917" s="67">
        <v>21818</v>
      </c>
      <c r="B917" s="67" t="s">
        <v>321</v>
      </c>
      <c r="C917" s="67">
        <v>2130.886</v>
      </c>
    </row>
    <row r="918" spans="1:3">
      <c r="A918" s="67">
        <v>21828</v>
      </c>
      <c r="B918" s="67" t="s">
        <v>318</v>
      </c>
      <c r="C918" s="67">
        <v>1904.288</v>
      </c>
    </row>
    <row r="919" spans="1:3">
      <c r="A919" s="67">
        <v>21831</v>
      </c>
      <c r="B919" s="67" t="s">
        <v>321</v>
      </c>
      <c r="C919" s="67">
        <v>1144.6790000000001</v>
      </c>
    </row>
    <row r="920" spans="1:3">
      <c r="A920" s="67">
        <v>21856</v>
      </c>
      <c r="B920" s="67" t="s">
        <v>321</v>
      </c>
      <c r="C920" s="67">
        <v>2130.886</v>
      </c>
    </row>
    <row r="921" spans="1:3">
      <c r="A921" s="67">
        <v>21862</v>
      </c>
      <c r="B921" s="67" t="s">
        <v>320</v>
      </c>
      <c r="C921" s="67">
        <v>1192.4649999999999</v>
      </c>
    </row>
    <row r="922" spans="1:3">
      <c r="A922" s="67">
        <v>21877</v>
      </c>
      <c r="B922" s="67" t="s">
        <v>318</v>
      </c>
      <c r="C922" s="67">
        <v>1904.288</v>
      </c>
    </row>
    <row r="923" spans="1:3">
      <c r="A923" s="67">
        <v>21881</v>
      </c>
      <c r="B923" s="67" t="s">
        <v>320</v>
      </c>
      <c r="C923" s="67">
        <v>1192.4649999999999</v>
      </c>
    </row>
    <row r="924" spans="1:3">
      <c r="A924" s="67">
        <v>21883</v>
      </c>
      <c r="B924" s="67" t="s">
        <v>321</v>
      </c>
      <c r="C924" s="67">
        <v>1144.6790000000001</v>
      </c>
    </row>
    <row r="925" spans="1:3">
      <c r="A925" s="67">
        <v>21888</v>
      </c>
      <c r="B925" s="67" t="s">
        <v>319</v>
      </c>
      <c r="C925" s="67">
        <v>8559.1039999999994</v>
      </c>
    </row>
    <row r="926" spans="1:3">
      <c r="A926" s="67">
        <v>21889</v>
      </c>
      <c r="B926" s="67" t="s">
        <v>319</v>
      </c>
      <c r="C926" s="67">
        <v>1925.059</v>
      </c>
    </row>
    <row r="927" spans="1:3">
      <c r="A927" s="67">
        <v>21896</v>
      </c>
      <c r="B927" s="67" t="s">
        <v>321</v>
      </c>
      <c r="C927" s="67">
        <v>1144.6790000000001</v>
      </c>
    </row>
    <row r="928" spans="1:3">
      <c r="A928" s="67">
        <v>21898</v>
      </c>
      <c r="B928" s="67" t="s">
        <v>320</v>
      </c>
      <c r="C928" s="67">
        <v>3785.7640000000001</v>
      </c>
    </row>
    <row r="929" spans="1:3">
      <c r="A929" s="67">
        <v>21899</v>
      </c>
      <c r="B929" s="67" t="s">
        <v>319</v>
      </c>
      <c r="C929" s="67">
        <v>8264.9449999999997</v>
      </c>
    </row>
    <row r="930" spans="1:3">
      <c r="A930" s="67">
        <v>21905</v>
      </c>
      <c r="B930" s="67" t="s">
        <v>318</v>
      </c>
      <c r="C930" s="67">
        <v>12271.31</v>
      </c>
    </row>
    <row r="931" spans="1:3">
      <c r="A931" s="67">
        <v>21906</v>
      </c>
      <c r="B931" s="67" t="s">
        <v>321</v>
      </c>
      <c r="C931" s="67">
        <v>2130.886</v>
      </c>
    </row>
    <row r="932" spans="1:3">
      <c r="A932" s="67">
        <v>21914</v>
      </c>
      <c r="B932" s="67" t="s">
        <v>319</v>
      </c>
      <c r="C932" s="67">
        <v>1612.692</v>
      </c>
    </row>
    <row r="933" spans="1:3">
      <c r="A933" s="67">
        <v>21922</v>
      </c>
      <c r="B933" s="67" t="s">
        <v>318</v>
      </c>
      <c r="C933" s="67">
        <v>1904.288</v>
      </c>
    </row>
    <row r="934" spans="1:3">
      <c r="A934" s="67">
        <v>21934</v>
      </c>
      <c r="B934" s="67" t="s">
        <v>320</v>
      </c>
      <c r="C934" s="67">
        <v>3785.7640000000001</v>
      </c>
    </row>
    <row r="935" spans="1:3">
      <c r="A935" s="67">
        <v>21936</v>
      </c>
      <c r="B935" s="67" t="s">
        <v>321</v>
      </c>
      <c r="C935" s="67">
        <v>2130.886</v>
      </c>
    </row>
    <row r="936" spans="1:3">
      <c r="A936" s="67">
        <v>21950</v>
      </c>
      <c r="B936" s="67" t="s">
        <v>321</v>
      </c>
      <c r="C936" s="67">
        <v>2130.886</v>
      </c>
    </row>
    <row r="937" spans="1:3">
      <c r="A937" s="67">
        <v>21951</v>
      </c>
      <c r="B937" s="67" t="s">
        <v>320</v>
      </c>
      <c r="C937" s="67">
        <v>1192.4649999999999</v>
      </c>
    </row>
    <row r="938" spans="1:3">
      <c r="A938" s="67">
        <v>21961</v>
      </c>
      <c r="B938" s="67" t="s">
        <v>318</v>
      </c>
      <c r="C938" s="67">
        <v>2079.9929999999999</v>
      </c>
    </row>
    <row r="939" spans="1:3">
      <c r="A939" s="67">
        <v>21967</v>
      </c>
      <c r="B939" s="67" t="s">
        <v>318</v>
      </c>
      <c r="C939" s="67">
        <v>1904.288</v>
      </c>
    </row>
    <row r="940" spans="1:3">
      <c r="A940" s="67">
        <v>21974</v>
      </c>
      <c r="B940" s="67" t="s">
        <v>320</v>
      </c>
      <c r="C940" s="67">
        <v>3785.7640000000001</v>
      </c>
    </row>
    <row r="941" spans="1:3">
      <c r="A941" s="67">
        <v>21977</v>
      </c>
      <c r="B941" s="67" t="s">
        <v>319</v>
      </c>
      <c r="C941" s="67">
        <v>8559.1039999999994</v>
      </c>
    </row>
    <row r="942" spans="1:3">
      <c r="A942" s="67">
        <v>21978</v>
      </c>
      <c r="B942" s="67" t="s">
        <v>318</v>
      </c>
      <c r="C942" s="67">
        <v>1904.288</v>
      </c>
    </row>
    <row r="943" spans="1:3">
      <c r="A943" s="67">
        <v>21979</v>
      </c>
      <c r="B943" s="67" t="s">
        <v>319</v>
      </c>
      <c r="C943" s="67">
        <v>1612.692</v>
      </c>
    </row>
    <row r="944" spans="1:3">
      <c r="A944" s="67">
        <v>21981</v>
      </c>
      <c r="B944" s="67" t="s">
        <v>318</v>
      </c>
      <c r="C944" s="67">
        <v>2079.9929999999999</v>
      </c>
    </row>
    <row r="945" spans="1:3">
      <c r="A945" s="67">
        <v>21988</v>
      </c>
      <c r="B945" s="67" t="s">
        <v>318</v>
      </c>
      <c r="C945" s="67">
        <v>2079.9929999999999</v>
      </c>
    </row>
    <row r="946" spans="1:3">
      <c r="A946" s="67">
        <v>22000</v>
      </c>
      <c r="B946" s="67" t="s">
        <v>320</v>
      </c>
      <c r="C946" s="67">
        <v>3785.7640000000001</v>
      </c>
    </row>
    <row r="947" spans="1:3">
      <c r="A947" s="67">
        <v>22005</v>
      </c>
      <c r="B947" s="67" t="s">
        <v>321</v>
      </c>
      <c r="C947" s="67">
        <v>1144.6790000000001</v>
      </c>
    </row>
    <row r="948" spans="1:3">
      <c r="A948" s="67">
        <v>22015</v>
      </c>
      <c r="B948" s="67" t="s">
        <v>321</v>
      </c>
      <c r="C948" s="67">
        <v>2130.886</v>
      </c>
    </row>
    <row r="949" spans="1:3">
      <c r="A949" s="67">
        <v>22019</v>
      </c>
      <c r="B949" s="67" t="s">
        <v>318</v>
      </c>
      <c r="C949" s="67">
        <v>1904.288</v>
      </c>
    </row>
    <row r="950" spans="1:3">
      <c r="A950" s="67">
        <v>22021</v>
      </c>
      <c r="B950" s="67" t="s">
        <v>320</v>
      </c>
      <c r="C950" s="67">
        <v>1192.4649999999999</v>
      </c>
    </row>
    <row r="951" spans="1:3">
      <c r="A951" s="67">
        <v>22023</v>
      </c>
      <c r="B951" s="67" t="s">
        <v>318</v>
      </c>
      <c r="C951" s="67">
        <v>2079.9929999999999</v>
      </c>
    </row>
    <row r="952" spans="1:3">
      <c r="A952" s="67">
        <v>22024</v>
      </c>
      <c r="B952" s="67" t="s">
        <v>320</v>
      </c>
      <c r="C952" s="67">
        <v>1192.4649999999999</v>
      </c>
    </row>
    <row r="953" spans="1:3">
      <c r="A953" s="67">
        <v>22039</v>
      </c>
      <c r="B953" s="67" t="s">
        <v>318</v>
      </c>
      <c r="C953" s="67">
        <v>1904.288</v>
      </c>
    </row>
    <row r="954" spans="1:3">
      <c r="A954" s="67">
        <v>22041</v>
      </c>
      <c r="B954" s="67" t="s">
        <v>321</v>
      </c>
      <c r="C954" s="67">
        <v>2130.886</v>
      </c>
    </row>
    <row r="955" spans="1:3">
      <c r="A955" s="67">
        <v>22047</v>
      </c>
      <c r="B955" s="67" t="s">
        <v>320</v>
      </c>
      <c r="C955" s="67">
        <v>3785.7640000000001</v>
      </c>
    </row>
    <row r="956" spans="1:3">
      <c r="A956" s="67">
        <v>22052</v>
      </c>
      <c r="B956" s="67" t="s">
        <v>318</v>
      </c>
      <c r="C956" s="67">
        <v>1904.288</v>
      </c>
    </row>
    <row r="957" spans="1:3">
      <c r="A957" s="67">
        <v>22053</v>
      </c>
      <c r="B957" s="67" t="s">
        <v>318</v>
      </c>
      <c r="C957" s="67">
        <v>2079.9929999999999</v>
      </c>
    </row>
    <row r="958" spans="1:3">
      <c r="A958" s="67">
        <v>22059</v>
      </c>
      <c r="B958" s="67" t="s">
        <v>318</v>
      </c>
      <c r="C958" s="67">
        <v>1904.288</v>
      </c>
    </row>
    <row r="959" spans="1:3">
      <c r="A959" s="67">
        <v>22061</v>
      </c>
      <c r="B959" s="67" t="s">
        <v>318</v>
      </c>
      <c r="C959" s="67">
        <v>1904.288</v>
      </c>
    </row>
    <row r="960" spans="1:3">
      <c r="A960" s="67">
        <v>22077</v>
      </c>
      <c r="B960" s="67" t="s">
        <v>320</v>
      </c>
      <c r="C960" s="67">
        <v>3785.7640000000001</v>
      </c>
    </row>
    <row r="961" spans="1:3">
      <c r="A961" s="67">
        <v>22084</v>
      </c>
      <c r="B961" s="67" t="s">
        <v>321</v>
      </c>
      <c r="C961" s="67">
        <v>2130.886</v>
      </c>
    </row>
    <row r="962" spans="1:3">
      <c r="A962" s="67">
        <v>22086</v>
      </c>
      <c r="B962" s="67" t="s">
        <v>320</v>
      </c>
      <c r="C962" s="67">
        <v>3785.7640000000001</v>
      </c>
    </row>
    <row r="963" spans="1:3">
      <c r="A963" s="67">
        <v>22087</v>
      </c>
      <c r="B963" s="67" t="s">
        <v>319</v>
      </c>
      <c r="C963" s="67">
        <v>1612.692</v>
      </c>
    </row>
    <row r="964" spans="1:3">
      <c r="A964" s="67">
        <v>22095</v>
      </c>
      <c r="B964" s="67" t="s">
        <v>321</v>
      </c>
      <c r="C964" s="67">
        <v>2130.886</v>
      </c>
    </row>
    <row r="965" spans="1:3">
      <c r="A965" s="67">
        <v>22096</v>
      </c>
      <c r="B965" s="67" t="s">
        <v>320</v>
      </c>
      <c r="C965" s="67">
        <v>3785.7640000000001</v>
      </c>
    </row>
    <row r="966" spans="1:3">
      <c r="A966" s="67">
        <v>22108</v>
      </c>
      <c r="B966" s="67" t="s">
        <v>319</v>
      </c>
      <c r="C966" s="67">
        <v>1612.692</v>
      </c>
    </row>
    <row r="967" spans="1:3">
      <c r="A967" s="67">
        <v>22109</v>
      </c>
      <c r="B967" s="67" t="s">
        <v>318</v>
      </c>
      <c r="C967" s="67">
        <v>1904.288</v>
      </c>
    </row>
    <row r="968" spans="1:3">
      <c r="A968" s="67">
        <v>22123</v>
      </c>
      <c r="B968" s="67" t="s">
        <v>320</v>
      </c>
      <c r="C968" s="67">
        <v>1192.4649999999999</v>
      </c>
    </row>
    <row r="969" spans="1:3">
      <c r="A969" s="67">
        <v>22124</v>
      </c>
      <c r="B969" s="67" t="s">
        <v>318</v>
      </c>
      <c r="C969" s="67">
        <v>4360.1880000000001</v>
      </c>
    </row>
    <row r="970" spans="1:3">
      <c r="A970" s="67">
        <v>22125</v>
      </c>
      <c r="B970" s="67" t="s">
        <v>318</v>
      </c>
      <c r="C970" s="67">
        <v>2079.9929999999999</v>
      </c>
    </row>
    <row r="971" spans="1:3">
      <c r="A971" s="67">
        <v>22127</v>
      </c>
      <c r="B971" s="67" t="s">
        <v>320</v>
      </c>
      <c r="C971" s="67">
        <v>3785.7640000000001</v>
      </c>
    </row>
    <row r="972" spans="1:3">
      <c r="A972" s="67">
        <v>22129</v>
      </c>
      <c r="B972" s="67" t="s">
        <v>319</v>
      </c>
      <c r="C972" s="67">
        <v>1925.059</v>
      </c>
    </row>
    <row r="973" spans="1:3">
      <c r="A973" s="67">
        <v>22131</v>
      </c>
      <c r="B973" s="67" t="s">
        <v>319</v>
      </c>
      <c r="C973" s="67">
        <v>8264.9449999999997</v>
      </c>
    </row>
    <row r="974" spans="1:3">
      <c r="A974" s="67">
        <v>22138</v>
      </c>
      <c r="B974" s="67" t="s">
        <v>320</v>
      </c>
      <c r="C974" s="67">
        <v>3785.7640000000001</v>
      </c>
    </row>
    <row r="975" spans="1:3">
      <c r="A975" s="67">
        <v>22144</v>
      </c>
      <c r="B975" s="67" t="s">
        <v>320</v>
      </c>
      <c r="C975" s="67">
        <v>3785.7640000000001</v>
      </c>
    </row>
    <row r="976" spans="1:3">
      <c r="A976" s="67">
        <v>22153</v>
      </c>
      <c r="B976" s="67" t="s">
        <v>320</v>
      </c>
      <c r="C976" s="67">
        <v>1192.4649999999999</v>
      </c>
    </row>
    <row r="977" spans="1:3">
      <c r="A977" s="67">
        <v>22159</v>
      </c>
      <c r="B977" s="67" t="s">
        <v>320</v>
      </c>
      <c r="C977" s="67">
        <v>1192.4649999999999</v>
      </c>
    </row>
    <row r="978" spans="1:3">
      <c r="A978" s="67">
        <v>22172</v>
      </c>
      <c r="B978" s="67" t="s">
        <v>318</v>
      </c>
      <c r="C978" s="67">
        <v>1904.288</v>
      </c>
    </row>
    <row r="979" spans="1:3">
      <c r="A979" s="67">
        <v>22175</v>
      </c>
      <c r="B979" s="67" t="s">
        <v>318</v>
      </c>
      <c r="C979" s="67">
        <v>2079.9929999999999</v>
      </c>
    </row>
    <row r="980" spans="1:3">
      <c r="A980" s="67">
        <v>22176</v>
      </c>
      <c r="B980" s="67" t="s">
        <v>321</v>
      </c>
      <c r="C980" s="67">
        <v>2130.886</v>
      </c>
    </row>
    <row r="981" spans="1:3">
      <c r="A981" s="67">
        <v>22177</v>
      </c>
      <c r="B981" s="67" t="s">
        <v>319</v>
      </c>
      <c r="C981" s="67">
        <v>1612.692</v>
      </c>
    </row>
    <row r="982" spans="1:3">
      <c r="A982" s="67">
        <v>22179</v>
      </c>
      <c r="B982" s="67" t="s">
        <v>320</v>
      </c>
      <c r="C982" s="67">
        <v>3785.7640000000001</v>
      </c>
    </row>
    <row r="983" spans="1:3">
      <c r="A983" s="67">
        <v>22180</v>
      </c>
      <c r="B983" s="67" t="s">
        <v>318</v>
      </c>
      <c r="C983" s="67">
        <v>2079.9929999999999</v>
      </c>
    </row>
    <row r="984" spans="1:3">
      <c r="A984" s="67">
        <v>22181</v>
      </c>
      <c r="B984" s="67" t="s">
        <v>320</v>
      </c>
      <c r="C984" s="67">
        <v>1192.4649999999999</v>
      </c>
    </row>
    <row r="985" spans="1:3">
      <c r="A985" s="67">
        <v>22186</v>
      </c>
      <c r="B985" s="67" t="s">
        <v>320</v>
      </c>
      <c r="C985" s="67">
        <v>3785.7640000000001</v>
      </c>
    </row>
    <row r="986" spans="1:3">
      <c r="A986" s="67">
        <v>22187</v>
      </c>
      <c r="B986" s="67" t="s">
        <v>319</v>
      </c>
      <c r="C986" s="67">
        <v>1612.692</v>
      </c>
    </row>
    <row r="987" spans="1:3">
      <c r="A987" s="67">
        <v>22191</v>
      </c>
      <c r="B987" s="67" t="s">
        <v>319</v>
      </c>
      <c r="C987" s="67">
        <v>8559.1039999999994</v>
      </c>
    </row>
    <row r="988" spans="1:3">
      <c r="A988" s="67">
        <v>22198</v>
      </c>
      <c r="B988" s="67" t="s">
        <v>320</v>
      </c>
      <c r="C988" s="67">
        <v>3785.7640000000001</v>
      </c>
    </row>
    <row r="989" spans="1:3">
      <c r="A989" s="67">
        <v>22200</v>
      </c>
      <c r="B989" s="67" t="s">
        <v>320</v>
      </c>
      <c r="C989" s="67">
        <v>1192.4649999999999</v>
      </c>
    </row>
    <row r="990" spans="1:3">
      <c r="A990" s="67">
        <v>22203</v>
      </c>
      <c r="B990" s="67" t="s">
        <v>319</v>
      </c>
      <c r="C990" s="67">
        <v>1925.059</v>
      </c>
    </row>
    <row r="991" spans="1:3">
      <c r="A991" s="67">
        <v>22205</v>
      </c>
      <c r="B991" s="67" t="s">
        <v>318</v>
      </c>
      <c r="C991" s="67">
        <v>1904.288</v>
      </c>
    </row>
    <row r="992" spans="1:3">
      <c r="A992" s="67">
        <v>22212</v>
      </c>
      <c r="B992" s="67" t="s">
        <v>319</v>
      </c>
      <c r="C992" s="67">
        <v>1612.692</v>
      </c>
    </row>
    <row r="993" spans="1:3">
      <c r="A993" s="67">
        <v>22214</v>
      </c>
      <c r="B993" s="67" t="s">
        <v>321</v>
      </c>
      <c r="C993" s="67">
        <v>2130.886</v>
      </c>
    </row>
    <row r="994" spans="1:3">
      <c r="A994" s="67">
        <v>22215</v>
      </c>
      <c r="B994" s="67" t="s">
        <v>320</v>
      </c>
      <c r="C994" s="67">
        <v>3785.7640000000001</v>
      </c>
    </row>
    <row r="995" spans="1:3">
      <c r="A995" s="67">
        <v>22222</v>
      </c>
      <c r="B995" s="67" t="s">
        <v>318</v>
      </c>
      <c r="C995" s="67">
        <v>1904.288</v>
      </c>
    </row>
    <row r="996" spans="1:3">
      <c r="A996" s="67">
        <v>22225</v>
      </c>
      <c r="B996" s="67" t="s">
        <v>319</v>
      </c>
      <c r="C996" s="67">
        <v>1925.059</v>
      </c>
    </row>
    <row r="997" spans="1:3">
      <c r="A997" s="67">
        <v>22226</v>
      </c>
      <c r="B997" s="67" t="s">
        <v>320</v>
      </c>
      <c r="C997" s="67">
        <v>3785.7640000000001</v>
      </c>
    </row>
    <row r="998" spans="1:3">
      <c r="A998" s="67">
        <v>22228</v>
      </c>
      <c r="B998" s="67" t="s">
        <v>319</v>
      </c>
      <c r="C998" s="67">
        <v>1612.692</v>
      </c>
    </row>
    <row r="999" spans="1:3">
      <c r="A999" s="67">
        <v>22232</v>
      </c>
      <c r="B999" s="67" t="s">
        <v>318</v>
      </c>
      <c r="C999" s="67">
        <v>1904.288</v>
      </c>
    </row>
    <row r="1000" spans="1:3">
      <c r="A1000" s="67">
        <v>22233</v>
      </c>
      <c r="B1000" s="67" t="s">
        <v>319</v>
      </c>
      <c r="C1000" s="67">
        <v>1925.059</v>
      </c>
    </row>
    <row r="1001" spans="1:3">
      <c r="A1001" s="67">
        <v>22240</v>
      </c>
      <c r="B1001" s="67" t="s">
        <v>320</v>
      </c>
      <c r="C1001" s="67">
        <v>3785.7640000000001</v>
      </c>
    </row>
    <row r="1002" spans="1:3">
      <c r="A1002" s="67">
        <v>22245</v>
      </c>
      <c r="B1002" s="67" t="s">
        <v>318</v>
      </c>
      <c r="C1002" s="67">
        <v>12271.31</v>
      </c>
    </row>
    <row r="1003" spans="1:3">
      <c r="A1003" s="67">
        <v>22246</v>
      </c>
      <c r="B1003" s="67" t="s">
        <v>319</v>
      </c>
      <c r="C1003" s="67">
        <v>1925.059</v>
      </c>
    </row>
    <row r="1004" spans="1:3">
      <c r="A1004" s="67">
        <v>22250</v>
      </c>
      <c r="B1004" s="67" t="s">
        <v>318</v>
      </c>
      <c r="C1004" s="67">
        <v>1904.288</v>
      </c>
    </row>
    <row r="1005" spans="1:3">
      <c r="A1005" s="67">
        <v>22273</v>
      </c>
      <c r="B1005" s="67" t="s">
        <v>318</v>
      </c>
      <c r="C1005" s="67">
        <v>1904.288</v>
      </c>
    </row>
    <row r="1006" spans="1:3">
      <c r="A1006" s="67">
        <v>22280</v>
      </c>
      <c r="B1006" s="67" t="s">
        <v>318</v>
      </c>
      <c r="C1006" s="67">
        <v>12271.31</v>
      </c>
    </row>
    <row r="1007" spans="1:3">
      <c r="A1007" s="67">
        <v>22284</v>
      </c>
      <c r="B1007" s="67" t="s">
        <v>321</v>
      </c>
      <c r="C1007" s="67">
        <v>1144.6790000000001</v>
      </c>
    </row>
    <row r="1008" spans="1:3">
      <c r="A1008" s="67">
        <v>22288</v>
      </c>
      <c r="B1008" s="67" t="s">
        <v>318</v>
      </c>
      <c r="C1008" s="67">
        <v>2079.9929999999999</v>
      </c>
    </row>
    <row r="1009" spans="1:3">
      <c r="A1009" s="67">
        <v>22289</v>
      </c>
      <c r="B1009" s="67" t="s">
        <v>318</v>
      </c>
      <c r="C1009" s="67">
        <v>4360.1880000000001</v>
      </c>
    </row>
    <row r="1010" spans="1:3">
      <c r="A1010" s="67">
        <v>22291</v>
      </c>
      <c r="B1010" s="67" t="s">
        <v>320</v>
      </c>
      <c r="C1010" s="67">
        <v>1192.4649999999999</v>
      </c>
    </row>
    <row r="1011" spans="1:3">
      <c r="A1011" s="67">
        <v>22293</v>
      </c>
      <c r="B1011" s="67" t="s">
        <v>319</v>
      </c>
      <c r="C1011" s="67">
        <v>1925.059</v>
      </c>
    </row>
    <row r="1012" spans="1:3">
      <c r="A1012" s="67">
        <v>22295</v>
      </c>
      <c r="B1012" s="67" t="s">
        <v>319</v>
      </c>
      <c r="C1012" s="67">
        <v>1925.059</v>
      </c>
    </row>
    <row r="1013" spans="1:3">
      <c r="A1013" s="67">
        <v>22302</v>
      </c>
      <c r="B1013" s="67" t="s">
        <v>319</v>
      </c>
      <c r="C1013" s="67">
        <v>1612.692</v>
      </c>
    </row>
    <row r="1014" spans="1:3">
      <c r="A1014" s="67">
        <v>22306</v>
      </c>
      <c r="B1014" s="67" t="s">
        <v>321</v>
      </c>
      <c r="C1014" s="67">
        <v>2130.886</v>
      </c>
    </row>
    <row r="1015" spans="1:3">
      <c r="A1015" s="67">
        <v>22312</v>
      </c>
      <c r="B1015" s="67" t="s">
        <v>320</v>
      </c>
      <c r="C1015" s="67">
        <v>3785.7640000000001</v>
      </c>
    </row>
    <row r="1016" spans="1:3">
      <c r="A1016" s="67">
        <v>22319</v>
      </c>
      <c r="B1016" s="67" t="s">
        <v>320</v>
      </c>
      <c r="C1016" s="67">
        <v>3785.7640000000001</v>
      </c>
    </row>
    <row r="1017" spans="1:3">
      <c r="A1017" s="67">
        <v>22322</v>
      </c>
      <c r="B1017" s="67" t="s">
        <v>319</v>
      </c>
      <c r="C1017" s="67">
        <v>1612.692</v>
      </c>
    </row>
    <row r="1018" spans="1:3">
      <c r="A1018" s="67">
        <v>22333</v>
      </c>
      <c r="B1018" s="67" t="s">
        <v>321</v>
      </c>
      <c r="C1018" s="67">
        <v>1144.6790000000001</v>
      </c>
    </row>
    <row r="1019" spans="1:3">
      <c r="A1019" s="67">
        <v>22352</v>
      </c>
      <c r="B1019" s="67" t="s">
        <v>320</v>
      </c>
      <c r="C1019" s="67">
        <v>1192.4649999999999</v>
      </c>
    </row>
    <row r="1020" spans="1:3">
      <c r="A1020" s="67">
        <v>22369</v>
      </c>
      <c r="B1020" s="67" t="s">
        <v>321</v>
      </c>
      <c r="C1020" s="67">
        <v>2130.886</v>
      </c>
    </row>
    <row r="1021" spans="1:3">
      <c r="A1021" s="67">
        <v>22375</v>
      </c>
      <c r="B1021" s="67" t="s">
        <v>319</v>
      </c>
      <c r="C1021" s="67">
        <v>1612.692</v>
      </c>
    </row>
    <row r="1022" spans="1:3">
      <c r="A1022" s="67">
        <v>22398</v>
      </c>
      <c r="B1022" s="67" t="s">
        <v>321</v>
      </c>
      <c r="C1022" s="67">
        <v>1144.6790000000001</v>
      </c>
    </row>
    <row r="1023" spans="1:3">
      <c r="A1023" s="67">
        <v>22404</v>
      </c>
      <c r="B1023" s="67" t="s">
        <v>318</v>
      </c>
      <c r="C1023" s="67">
        <v>2079.9929999999999</v>
      </c>
    </row>
    <row r="1024" spans="1:3">
      <c r="A1024" s="67">
        <v>22411</v>
      </c>
      <c r="B1024" s="67" t="s">
        <v>318</v>
      </c>
      <c r="C1024" s="67">
        <v>2079.9929999999999</v>
      </c>
    </row>
    <row r="1025" spans="1:3">
      <c r="A1025" s="67">
        <v>22413</v>
      </c>
      <c r="B1025" s="67" t="s">
        <v>320</v>
      </c>
      <c r="C1025" s="67">
        <v>3785.7640000000001</v>
      </c>
    </row>
    <row r="1026" spans="1:3">
      <c r="A1026" s="67">
        <v>22425</v>
      </c>
      <c r="B1026" s="67" t="s">
        <v>320</v>
      </c>
      <c r="C1026" s="67">
        <v>3785.7640000000001</v>
      </c>
    </row>
    <row r="1027" spans="1:3">
      <c r="A1027" s="67">
        <v>22432</v>
      </c>
      <c r="B1027" s="67" t="s">
        <v>319</v>
      </c>
      <c r="C1027" s="67">
        <v>1925.059</v>
      </c>
    </row>
    <row r="1028" spans="1:3">
      <c r="A1028" s="67">
        <v>22439</v>
      </c>
      <c r="B1028" s="67" t="s">
        <v>318</v>
      </c>
      <c r="C1028" s="67">
        <v>2079.9929999999999</v>
      </c>
    </row>
    <row r="1029" spans="1:3">
      <c r="A1029" s="67">
        <v>22445</v>
      </c>
      <c r="B1029" s="67" t="s">
        <v>318</v>
      </c>
      <c r="C1029" s="67">
        <v>12271.31</v>
      </c>
    </row>
    <row r="1030" spans="1:3">
      <c r="A1030" s="67">
        <v>22458</v>
      </c>
      <c r="B1030" s="67" t="s">
        <v>320</v>
      </c>
      <c r="C1030" s="67">
        <v>3785.7640000000001</v>
      </c>
    </row>
    <row r="1031" spans="1:3">
      <c r="A1031" s="67">
        <v>22460</v>
      </c>
      <c r="B1031" s="67" t="s">
        <v>320</v>
      </c>
      <c r="C1031" s="67">
        <v>3785.7640000000001</v>
      </c>
    </row>
    <row r="1032" spans="1:3">
      <c r="A1032" s="67">
        <v>22474</v>
      </c>
      <c r="B1032" s="67" t="s">
        <v>318</v>
      </c>
      <c r="C1032" s="67">
        <v>1904.288</v>
      </c>
    </row>
    <row r="1033" spans="1:3">
      <c r="A1033" s="67">
        <v>22475</v>
      </c>
      <c r="B1033" s="67" t="s">
        <v>321</v>
      </c>
      <c r="C1033" s="67">
        <v>2130.886</v>
      </c>
    </row>
    <row r="1034" spans="1:3">
      <c r="A1034" s="67">
        <v>22479</v>
      </c>
      <c r="B1034" s="67" t="s">
        <v>318</v>
      </c>
      <c r="C1034" s="67">
        <v>1904.288</v>
      </c>
    </row>
    <row r="1035" spans="1:3">
      <c r="A1035" s="67">
        <v>22493</v>
      </c>
      <c r="B1035" s="67" t="s">
        <v>319</v>
      </c>
      <c r="C1035" s="67">
        <v>1925.059</v>
      </c>
    </row>
    <row r="1036" spans="1:3">
      <c r="A1036" s="67">
        <v>22509</v>
      </c>
      <c r="B1036" s="67" t="s">
        <v>318</v>
      </c>
      <c r="C1036" s="67">
        <v>2079.9929999999999</v>
      </c>
    </row>
    <row r="1037" spans="1:3">
      <c r="A1037" s="67">
        <v>22514</v>
      </c>
      <c r="B1037" s="67" t="s">
        <v>320</v>
      </c>
      <c r="C1037" s="67">
        <v>3785.7640000000001</v>
      </c>
    </row>
    <row r="1038" spans="1:3">
      <c r="A1038" s="67">
        <v>22515</v>
      </c>
      <c r="B1038" s="67" t="s">
        <v>318</v>
      </c>
      <c r="C1038" s="67">
        <v>2079.9929999999999</v>
      </c>
    </row>
    <row r="1039" spans="1:3">
      <c r="A1039" s="67">
        <v>22519</v>
      </c>
      <c r="B1039" s="67" t="s">
        <v>321</v>
      </c>
      <c r="C1039" s="67">
        <v>2130.886</v>
      </c>
    </row>
    <row r="1040" spans="1:3">
      <c r="A1040" s="67">
        <v>22521</v>
      </c>
      <c r="B1040" s="67" t="s">
        <v>319</v>
      </c>
      <c r="C1040" s="67">
        <v>1612.692</v>
      </c>
    </row>
    <row r="1041" spans="1:3">
      <c r="A1041" s="67">
        <v>22530</v>
      </c>
      <c r="B1041" s="67" t="s">
        <v>319</v>
      </c>
      <c r="C1041" s="67">
        <v>1612.692</v>
      </c>
    </row>
    <row r="1042" spans="1:3">
      <c r="A1042" s="67">
        <v>22533</v>
      </c>
      <c r="B1042" s="67" t="s">
        <v>321</v>
      </c>
      <c r="C1042" s="67">
        <v>1144.6790000000001</v>
      </c>
    </row>
    <row r="1043" spans="1:3">
      <c r="A1043" s="67">
        <v>22546</v>
      </c>
      <c r="B1043" s="67" t="s">
        <v>318</v>
      </c>
      <c r="C1043" s="67">
        <v>2079.9929999999999</v>
      </c>
    </row>
    <row r="1044" spans="1:3">
      <c r="A1044" s="67">
        <v>22557</v>
      </c>
      <c r="B1044" s="67" t="s">
        <v>318</v>
      </c>
      <c r="C1044" s="67">
        <v>2079.9929999999999</v>
      </c>
    </row>
    <row r="1045" spans="1:3">
      <c r="A1045" s="67">
        <v>22559</v>
      </c>
      <c r="B1045" s="67" t="s">
        <v>320</v>
      </c>
      <c r="C1045" s="67">
        <v>1192.4649999999999</v>
      </c>
    </row>
    <row r="1046" spans="1:3">
      <c r="A1046" s="67">
        <v>22566</v>
      </c>
      <c r="B1046" s="67" t="s">
        <v>321</v>
      </c>
      <c r="C1046" s="67">
        <v>1144.6790000000001</v>
      </c>
    </row>
    <row r="1047" spans="1:3">
      <c r="A1047" s="67">
        <v>22570</v>
      </c>
      <c r="B1047" s="67" t="s">
        <v>321</v>
      </c>
      <c r="C1047" s="67">
        <v>1144.6790000000001</v>
      </c>
    </row>
    <row r="1048" spans="1:3">
      <c r="A1048" s="67">
        <v>22571</v>
      </c>
      <c r="B1048" s="67" t="s">
        <v>320</v>
      </c>
      <c r="C1048" s="67">
        <v>3785.7640000000001</v>
      </c>
    </row>
    <row r="1049" spans="1:3">
      <c r="A1049" s="67">
        <v>22576</v>
      </c>
      <c r="B1049" s="67" t="s">
        <v>318</v>
      </c>
      <c r="C1049" s="67">
        <v>2079.9929999999999</v>
      </c>
    </row>
    <row r="1050" spans="1:3">
      <c r="A1050" s="67">
        <v>22577</v>
      </c>
      <c r="B1050" s="67" t="s">
        <v>319</v>
      </c>
      <c r="C1050" s="67">
        <v>1925.059</v>
      </c>
    </row>
    <row r="1051" spans="1:3">
      <c r="A1051" s="67">
        <v>22580</v>
      </c>
      <c r="B1051" s="67" t="s">
        <v>318</v>
      </c>
      <c r="C1051" s="67">
        <v>12271.31</v>
      </c>
    </row>
    <row r="1052" spans="1:3">
      <c r="A1052" s="67">
        <v>22583</v>
      </c>
      <c r="B1052" s="67" t="s">
        <v>321</v>
      </c>
      <c r="C1052" s="67">
        <v>2130.886</v>
      </c>
    </row>
    <row r="1053" spans="1:3">
      <c r="A1053" s="67">
        <v>22590</v>
      </c>
      <c r="B1053" s="67" t="s">
        <v>320</v>
      </c>
      <c r="C1053" s="67">
        <v>1192.4649999999999</v>
      </c>
    </row>
    <row r="1054" spans="1:3">
      <c r="A1054" s="67">
        <v>22597</v>
      </c>
      <c r="B1054" s="67" t="s">
        <v>319</v>
      </c>
      <c r="C1054" s="67">
        <v>8264.9449999999997</v>
      </c>
    </row>
    <row r="1055" spans="1:3">
      <c r="A1055" s="67">
        <v>22598</v>
      </c>
      <c r="B1055" s="67" t="s">
        <v>321</v>
      </c>
      <c r="C1055" s="67">
        <v>2130.886</v>
      </c>
    </row>
    <row r="1056" spans="1:3">
      <c r="A1056" s="67">
        <v>22602</v>
      </c>
      <c r="B1056" s="67" t="s">
        <v>318</v>
      </c>
      <c r="C1056" s="67">
        <v>1904.288</v>
      </c>
    </row>
    <row r="1057" spans="1:3">
      <c r="A1057" s="67">
        <v>22607</v>
      </c>
      <c r="B1057" s="67" t="s">
        <v>319</v>
      </c>
      <c r="C1057" s="67">
        <v>1612.692</v>
      </c>
    </row>
    <row r="1058" spans="1:3">
      <c r="A1058" s="67">
        <v>22612</v>
      </c>
      <c r="B1058" s="67" t="s">
        <v>320</v>
      </c>
      <c r="C1058" s="67">
        <v>3785.7640000000001</v>
      </c>
    </row>
    <row r="1059" spans="1:3">
      <c r="A1059" s="67">
        <v>22615</v>
      </c>
      <c r="B1059" s="67" t="s">
        <v>321</v>
      </c>
      <c r="C1059" s="67">
        <v>2130.886</v>
      </c>
    </row>
    <row r="1060" spans="1:3">
      <c r="A1060" s="67">
        <v>22618</v>
      </c>
      <c r="B1060" s="67" t="s">
        <v>321</v>
      </c>
      <c r="C1060" s="67">
        <v>2130.886</v>
      </c>
    </row>
    <row r="1061" spans="1:3">
      <c r="A1061" s="67">
        <v>22620</v>
      </c>
      <c r="B1061" s="67" t="s">
        <v>318</v>
      </c>
      <c r="C1061" s="67">
        <v>2079.9929999999999</v>
      </c>
    </row>
    <row r="1062" spans="1:3">
      <c r="A1062" s="67">
        <v>22625</v>
      </c>
      <c r="B1062" s="67" t="s">
        <v>318</v>
      </c>
      <c r="C1062" s="67">
        <v>1904.288</v>
      </c>
    </row>
    <row r="1063" spans="1:3">
      <c r="A1063" s="67">
        <v>22627</v>
      </c>
      <c r="B1063" s="67" t="s">
        <v>321</v>
      </c>
      <c r="C1063" s="67">
        <v>2130.886</v>
      </c>
    </row>
    <row r="1064" spans="1:3">
      <c r="A1064" s="67">
        <v>22632</v>
      </c>
      <c r="B1064" s="67" t="s">
        <v>321</v>
      </c>
      <c r="C1064" s="67">
        <v>1144.6790000000001</v>
      </c>
    </row>
    <row r="1065" spans="1:3">
      <c r="A1065" s="67">
        <v>22641</v>
      </c>
      <c r="B1065" s="67" t="s">
        <v>321</v>
      </c>
      <c r="C1065" s="67">
        <v>1144.6790000000001</v>
      </c>
    </row>
    <row r="1066" spans="1:3">
      <c r="A1066" s="67">
        <v>22649</v>
      </c>
      <c r="B1066" s="67" t="s">
        <v>319</v>
      </c>
      <c r="C1066" s="67">
        <v>1925.059</v>
      </c>
    </row>
    <row r="1067" spans="1:3">
      <c r="A1067" s="67">
        <v>22652</v>
      </c>
      <c r="B1067" s="67" t="s">
        <v>318</v>
      </c>
      <c r="C1067" s="67">
        <v>2079.9929999999999</v>
      </c>
    </row>
    <row r="1068" spans="1:3">
      <c r="A1068" s="67">
        <v>22663</v>
      </c>
      <c r="B1068" s="67" t="s">
        <v>318</v>
      </c>
      <c r="C1068" s="67">
        <v>1904.288</v>
      </c>
    </row>
    <row r="1069" spans="1:3">
      <c r="A1069" s="67">
        <v>22671</v>
      </c>
      <c r="B1069" s="67" t="s">
        <v>319</v>
      </c>
      <c r="C1069" s="67">
        <v>1612.692</v>
      </c>
    </row>
    <row r="1070" spans="1:3">
      <c r="A1070" s="67">
        <v>22673</v>
      </c>
      <c r="B1070" s="67" t="s">
        <v>321</v>
      </c>
      <c r="C1070" s="67">
        <v>1144.6790000000001</v>
      </c>
    </row>
    <row r="1071" spans="1:3">
      <c r="A1071" s="67">
        <v>22679</v>
      </c>
      <c r="B1071" s="67" t="s">
        <v>321</v>
      </c>
      <c r="C1071" s="67">
        <v>2130.886</v>
      </c>
    </row>
    <row r="1072" spans="1:3">
      <c r="A1072" s="67">
        <v>22681</v>
      </c>
      <c r="B1072" s="67" t="s">
        <v>320</v>
      </c>
      <c r="C1072" s="67">
        <v>1192.4649999999999</v>
      </c>
    </row>
    <row r="1073" spans="1:3">
      <c r="A1073" s="67">
        <v>22683</v>
      </c>
      <c r="B1073" s="67" t="s">
        <v>318</v>
      </c>
      <c r="C1073" s="67">
        <v>2079.9929999999999</v>
      </c>
    </row>
    <row r="1074" spans="1:3">
      <c r="A1074" s="67">
        <v>22688</v>
      </c>
      <c r="B1074" s="67" t="s">
        <v>319</v>
      </c>
      <c r="C1074" s="67">
        <v>1925.059</v>
      </c>
    </row>
    <row r="1075" spans="1:3">
      <c r="A1075" s="67">
        <v>22693</v>
      </c>
      <c r="B1075" s="67" t="s">
        <v>318</v>
      </c>
      <c r="C1075" s="67">
        <v>12271.31</v>
      </c>
    </row>
    <row r="1076" spans="1:3">
      <c r="A1076" s="67">
        <v>22694</v>
      </c>
      <c r="B1076" s="67" t="s">
        <v>318</v>
      </c>
      <c r="C1076" s="67">
        <v>2079.9929999999999</v>
      </c>
    </row>
    <row r="1077" spans="1:3">
      <c r="A1077" s="67">
        <v>22699</v>
      </c>
      <c r="B1077" s="67" t="s">
        <v>319</v>
      </c>
      <c r="C1077" s="67">
        <v>1612.692</v>
      </c>
    </row>
    <row r="1078" spans="1:3">
      <c r="A1078" s="67">
        <v>22701</v>
      </c>
      <c r="B1078" s="67" t="s">
        <v>319</v>
      </c>
      <c r="C1078" s="67">
        <v>1925.059</v>
      </c>
    </row>
    <row r="1079" spans="1:3">
      <c r="A1079" s="67">
        <v>22702</v>
      </c>
      <c r="B1079" s="67" t="s">
        <v>318</v>
      </c>
      <c r="C1079" s="67">
        <v>4360.1880000000001</v>
      </c>
    </row>
    <row r="1080" spans="1:3">
      <c r="A1080" s="67">
        <v>22703</v>
      </c>
      <c r="B1080" s="67" t="s">
        <v>318</v>
      </c>
      <c r="C1080" s="67">
        <v>2079.9929999999999</v>
      </c>
    </row>
    <row r="1081" spans="1:3">
      <c r="A1081" s="67">
        <v>22705</v>
      </c>
      <c r="B1081" s="67" t="s">
        <v>321</v>
      </c>
      <c r="C1081" s="67">
        <v>1144.6790000000001</v>
      </c>
    </row>
    <row r="1082" spans="1:3">
      <c r="A1082" s="67">
        <v>22721</v>
      </c>
      <c r="B1082" s="67" t="s">
        <v>321</v>
      </c>
      <c r="C1082" s="67">
        <v>2130.886</v>
      </c>
    </row>
    <row r="1083" spans="1:3">
      <c r="A1083" s="67">
        <v>22724</v>
      </c>
      <c r="B1083" s="67" t="s">
        <v>320</v>
      </c>
      <c r="C1083" s="67">
        <v>3785.7640000000001</v>
      </c>
    </row>
    <row r="1084" spans="1:3">
      <c r="A1084" s="67">
        <v>22728</v>
      </c>
      <c r="B1084" s="67" t="s">
        <v>321</v>
      </c>
      <c r="C1084" s="67">
        <v>1144.6790000000001</v>
      </c>
    </row>
    <row r="1085" spans="1:3">
      <c r="A1085" s="67">
        <v>22733</v>
      </c>
      <c r="B1085" s="67" t="s">
        <v>320</v>
      </c>
      <c r="C1085" s="67">
        <v>1192.4649999999999</v>
      </c>
    </row>
    <row r="1086" spans="1:3">
      <c r="A1086" s="67">
        <v>22739</v>
      </c>
      <c r="B1086" s="67" t="s">
        <v>320</v>
      </c>
      <c r="C1086" s="67">
        <v>1192.4649999999999</v>
      </c>
    </row>
    <row r="1087" spans="1:3">
      <c r="A1087" s="67">
        <v>22743</v>
      </c>
      <c r="B1087" s="67" t="s">
        <v>320</v>
      </c>
      <c r="C1087" s="67">
        <v>3785.7640000000001</v>
      </c>
    </row>
    <row r="1088" spans="1:3">
      <c r="A1088" s="67">
        <v>22751</v>
      </c>
      <c r="B1088" s="67" t="s">
        <v>319</v>
      </c>
      <c r="C1088" s="67">
        <v>1925.059</v>
      </c>
    </row>
    <row r="1089" spans="1:3">
      <c r="A1089" s="67">
        <v>22756</v>
      </c>
      <c r="B1089" s="67" t="s">
        <v>318</v>
      </c>
      <c r="C1089" s="67">
        <v>1904.288</v>
      </c>
    </row>
    <row r="1090" spans="1:3">
      <c r="A1090" s="67">
        <v>22767</v>
      </c>
      <c r="B1090" s="67" t="s">
        <v>318</v>
      </c>
      <c r="C1090" s="67">
        <v>2079.9929999999999</v>
      </c>
    </row>
    <row r="1091" spans="1:3">
      <c r="A1091" s="67">
        <v>22774</v>
      </c>
      <c r="B1091" s="67" t="s">
        <v>321</v>
      </c>
      <c r="C1091" s="67">
        <v>1144.6790000000001</v>
      </c>
    </row>
    <row r="1092" spans="1:3">
      <c r="A1092" s="67">
        <v>22785</v>
      </c>
      <c r="B1092" s="67" t="s">
        <v>318</v>
      </c>
      <c r="C1092" s="67">
        <v>2079.9929999999999</v>
      </c>
    </row>
    <row r="1093" spans="1:3">
      <c r="A1093" s="67">
        <v>22787</v>
      </c>
      <c r="B1093" s="67" t="s">
        <v>320</v>
      </c>
      <c r="C1093" s="67">
        <v>3785.7640000000001</v>
      </c>
    </row>
    <row r="1094" spans="1:3">
      <c r="A1094" s="67">
        <v>22822</v>
      </c>
      <c r="B1094" s="67" t="s">
        <v>318</v>
      </c>
      <c r="C1094" s="67">
        <v>1904.288</v>
      </c>
    </row>
    <row r="1095" spans="1:3">
      <c r="A1095" s="67">
        <v>22832</v>
      </c>
      <c r="B1095" s="67" t="s">
        <v>319</v>
      </c>
      <c r="C1095" s="67">
        <v>1612.692</v>
      </c>
    </row>
    <row r="1096" spans="1:3">
      <c r="A1096" s="67">
        <v>22833</v>
      </c>
      <c r="B1096" s="67" t="s">
        <v>320</v>
      </c>
      <c r="C1096" s="67">
        <v>3785.7640000000001</v>
      </c>
    </row>
    <row r="1097" spans="1:3">
      <c r="A1097" s="67">
        <v>22845</v>
      </c>
      <c r="B1097" s="67" t="s">
        <v>321</v>
      </c>
      <c r="C1097" s="67">
        <v>1144.6790000000001</v>
      </c>
    </row>
    <row r="1098" spans="1:3">
      <c r="A1098" s="67">
        <v>22854</v>
      </c>
      <c r="B1098" s="67" t="s">
        <v>321</v>
      </c>
      <c r="C1098" s="67">
        <v>1144.6790000000001</v>
      </c>
    </row>
    <row r="1099" spans="1:3">
      <c r="A1099" s="67">
        <v>22855</v>
      </c>
      <c r="B1099" s="67" t="s">
        <v>318</v>
      </c>
      <c r="C1099" s="67">
        <v>2079.9929999999999</v>
      </c>
    </row>
    <row r="1100" spans="1:3">
      <c r="A1100" s="67">
        <v>22869</v>
      </c>
      <c r="B1100" s="67" t="s">
        <v>318</v>
      </c>
      <c r="C1100" s="67">
        <v>2079.9929999999999</v>
      </c>
    </row>
    <row r="1101" spans="1:3">
      <c r="A1101" s="67">
        <v>22872</v>
      </c>
      <c r="B1101" s="67" t="s">
        <v>320</v>
      </c>
      <c r="C1101" s="67">
        <v>3785.7640000000001</v>
      </c>
    </row>
    <row r="1102" spans="1:3">
      <c r="A1102" s="67">
        <v>22878</v>
      </c>
      <c r="B1102" s="67" t="s">
        <v>320</v>
      </c>
      <c r="C1102" s="67">
        <v>3785.7640000000001</v>
      </c>
    </row>
    <row r="1103" spans="1:3">
      <c r="A1103" s="67">
        <v>22880</v>
      </c>
      <c r="B1103" s="67" t="s">
        <v>319</v>
      </c>
      <c r="C1103" s="67">
        <v>1612.692</v>
      </c>
    </row>
    <row r="1104" spans="1:3">
      <c r="A1104" s="67">
        <v>22890</v>
      </c>
      <c r="B1104" s="67" t="s">
        <v>318</v>
      </c>
      <c r="C1104" s="67">
        <v>1904.288</v>
      </c>
    </row>
    <row r="1105" spans="1:3">
      <c r="A1105" s="67">
        <v>22891</v>
      </c>
      <c r="B1105" s="67" t="s">
        <v>320</v>
      </c>
      <c r="C1105" s="67">
        <v>3785.7640000000001</v>
      </c>
    </row>
    <row r="1106" spans="1:3">
      <c r="A1106" s="67">
        <v>22897</v>
      </c>
      <c r="B1106" s="67" t="s">
        <v>318</v>
      </c>
      <c r="C1106" s="67">
        <v>2079.9929999999999</v>
      </c>
    </row>
    <row r="1107" spans="1:3">
      <c r="A1107" s="67">
        <v>22902</v>
      </c>
      <c r="B1107" s="67" t="s">
        <v>321</v>
      </c>
      <c r="C1107" s="67">
        <v>2130.886</v>
      </c>
    </row>
    <row r="1108" spans="1:3">
      <c r="A1108" s="67">
        <v>22903</v>
      </c>
      <c r="B1108" s="67" t="s">
        <v>318</v>
      </c>
      <c r="C1108" s="67">
        <v>1904.288</v>
      </c>
    </row>
    <row r="1109" spans="1:3">
      <c r="A1109" s="67">
        <v>22904</v>
      </c>
      <c r="B1109" s="67" t="s">
        <v>319</v>
      </c>
      <c r="C1109" s="67">
        <v>1612.692</v>
      </c>
    </row>
    <row r="1110" spans="1:3">
      <c r="A1110" s="67">
        <v>22909</v>
      </c>
      <c r="B1110" s="67" t="s">
        <v>320</v>
      </c>
      <c r="C1110" s="67">
        <v>3785.7640000000001</v>
      </c>
    </row>
    <row r="1111" spans="1:3">
      <c r="A1111" s="67">
        <v>22919</v>
      </c>
      <c r="B1111" s="67" t="s">
        <v>318</v>
      </c>
      <c r="C1111" s="67">
        <v>2079.9929999999999</v>
      </c>
    </row>
    <row r="1112" spans="1:3">
      <c r="A1112" s="67">
        <v>22935</v>
      </c>
      <c r="B1112" s="67" t="s">
        <v>320</v>
      </c>
      <c r="C1112" s="67">
        <v>1192.4649999999999</v>
      </c>
    </row>
    <row r="1113" spans="1:3">
      <c r="A1113" s="67">
        <v>22938</v>
      </c>
      <c r="B1113" s="67" t="s">
        <v>318</v>
      </c>
      <c r="C1113" s="67">
        <v>12271.31</v>
      </c>
    </row>
    <row r="1114" spans="1:3">
      <c r="A1114" s="67">
        <v>22944</v>
      </c>
      <c r="B1114" s="67" t="s">
        <v>318</v>
      </c>
      <c r="C1114" s="67">
        <v>2079.9929999999999</v>
      </c>
    </row>
    <row r="1115" spans="1:3">
      <c r="A1115" s="67">
        <v>22950</v>
      </c>
      <c r="B1115" s="67" t="s">
        <v>321</v>
      </c>
      <c r="C1115" s="67">
        <v>2130.886</v>
      </c>
    </row>
    <row r="1116" spans="1:3">
      <c r="A1116" s="67">
        <v>22953</v>
      </c>
      <c r="B1116" s="67" t="s">
        <v>321</v>
      </c>
      <c r="C1116" s="67">
        <v>1144.6790000000001</v>
      </c>
    </row>
    <row r="1117" spans="1:3">
      <c r="A1117" s="67">
        <v>22955</v>
      </c>
      <c r="B1117" s="67" t="s">
        <v>320</v>
      </c>
      <c r="C1117" s="67">
        <v>3785.7640000000001</v>
      </c>
    </row>
    <row r="1118" spans="1:3">
      <c r="A1118" s="67">
        <v>22957</v>
      </c>
      <c r="B1118" s="67" t="s">
        <v>319</v>
      </c>
      <c r="C1118" s="67">
        <v>1925.059</v>
      </c>
    </row>
    <row r="1119" spans="1:3">
      <c r="A1119" s="67">
        <v>22960</v>
      </c>
      <c r="B1119" s="67" t="s">
        <v>321</v>
      </c>
      <c r="C1119" s="67">
        <v>2130.886</v>
      </c>
    </row>
    <row r="1120" spans="1:3">
      <c r="A1120" s="67">
        <v>22965</v>
      </c>
      <c r="B1120" s="67" t="s">
        <v>319</v>
      </c>
      <c r="C1120" s="67">
        <v>1612.692</v>
      </c>
    </row>
    <row r="1121" spans="1:3">
      <c r="A1121" s="67">
        <v>22966</v>
      </c>
      <c r="B1121" s="67" t="s">
        <v>321</v>
      </c>
      <c r="C1121" s="67">
        <v>2130.886</v>
      </c>
    </row>
    <row r="1122" spans="1:3">
      <c r="A1122" s="67">
        <v>22969</v>
      </c>
      <c r="B1122" s="67" t="s">
        <v>318</v>
      </c>
      <c r="C1122" s="67">
        <v>2079.9929999999999</v>
      </c>
    </row>
    <row r="1123" spans="1:3">
      <c r="A1123" s="67">
        <v>22977</v>
      </c>
      <c r="B1123" s="67" t="s">
        <v>319</v>
      </c>
      <c r="C1123" s="67">
        <v>1925.059</v>
      </c>
    </row>
    <row r="1124" spans="1:3">
      <c r="A1124" s="67">
        <v>22982</v>
      </c>
      <c r="B1124" s="67" t="s">
        <v>318</v>
      </c>
      <c r="C1124" s="67">
        <v>2079.9929999999999</v>
      </c>
    </row>
    <row r="1125" spans="1:3">
      <c r="A1125" s="67">
        <v>22985</v>
      </c>
      <c r="B1125" s="67" t="s">
        <v>319</v>
      </c>
      <c r="C1125" s="67">
        <v>6932.7380000000003</v>
      </c>
    </row>
    <row r="1126" spans="1:3">
      <c r="A1126" s="67">
        <v>22993</v>
      </c>
      <c r="B1126" s="67" t="s">
        <v>319</v>
      </c>
      <c r="C1126" s="67">
        <v>8264.9449999999997</v>
      </c>
    </row>
    <row r="1127" spans="1:3">
      <c r="A1127" s="67">
        <v>22994</v>
      </c>
      <c r="B1127" s="67" t="s">
        <v>319</v>
      </c>
      <c r="C1127" s="67">
        <v>1612.692</v>
      </c>
    </row>
    <row r="1128" spans="1:3">
      <c r="A1128" s="67">
        <v>23003</v>
      </c>
      <c r="B1128" s="67" t="s">
        <v>318</v>
      </c>
      <c r="C1128" s="67">
        <v>2079.9929999999999</v>
      </c>
    </row>
    <row r="1129" spans="1:3">
      <c r="A1129" s="67">
        <v>23017</v>
      </c>
      <c r="B1129" s="67" t="s">
        <v>320</v>
      </c>
      <c r="C1129" s="67">
        <v>3785.7640000000001</v>
      </c>
    </row>
    <row r="1130" spans="1:3">
      <c r="A1130" s="67">
        <v>23021</v>
      </c>
      <c r="B1130" s="67" t="s">
        <v>321</v>
      </c>
      <c r="C1130" s="67">
        <v>1144.6790000000001</v>
      </c>
    </row>
    <row r="1131" spans="1:3">
      <c r="A1131" s="67">
        <v>23028</v>
      </c>
      <c r="B1131" s="67" t="s">
        <v>318</v>
      </c>
      <c r="C1131" s="67">
        <v>12271.31</v>
      </c>
    </row>
    <row r="1132" spans="1:3">
      <c r="A1132" s="67">
        <v>23029</v>
      </c>
      <c r="B1132" s="67" t="s">
        <v>319</v>
      </c>
      <c r="C1132" s="67">
        <v>1612.692</v>
      </c>
    </row>
    <row r="1133" spans="1:3">
      <c r="A1133" s="67">
        <v>23034</v>
      </c>
      <c r="B1133" s="67" t="s">
        <v>320</v>
      </c>
      <c r="C1133" s="67">
        <v>1192.4649999999999</v>
      </c>
    </row>
    <row r="1134" spans="1:3">
      <c r="A1134" s="67">
        <v>23049</v>
      </c>
      <c r="B1134" s="67" t="s">
        <v>320</v>
      </c>
      <c r="C1134" s="67">
        <v>3785.7640000000001</v>
      </c>
    </row>
    <row r="1135" spans="1:3">
      <c r="A1135" s="67">
        <v>23084</v>
      </c>
      <c r="B1135" s="67" t="s">
        <v>318</v>
      </c>
      <c r="C1135" s="67">
        <v>2079.9929999999999</v>
      </c>
    </row>
    <row r="1136" spans="1:3">
      <c r="A1136" s="67">
        <v>23110</v>
      </c>
      <c r="B1136" s="67" t="s">
        <v>320</v>
      </c>
      <c r="C1136" s="67">
        <v>3785.7640000000001</v>
      </c>
    </row>
    <row r="1137" spans="1:3">
      <c r="A1137" s="67">
        <v>23111</v>
      </c>
      <c r="B1137" s="67" t="s">
        <v>320</v>
      </c>
      <c r="C1137" s="67">
        <v>1192.4649999999999</v>
      </c>
    </row>
    <row r="1138" spans="1:3">
      <c r="A1138" s="67">
        <v>23112</v>
      </c>
      <c r="B1138" s="67" t="s">
        <v>318</v>
      </c>
      <c r="C1138" s="67">
        <v>1904.288</v>
      </c>
    </row>
    <row r="1139" spans="1:3">
      <c r="A1139" s="67">
        <v>23113</v>
      </c>
      <c r="B1139" s="67" t="s">
        <v>321</v>
      </c>
      <c r="C1139" s="67">
        <v>1144.6790000000001</v>
      </c>
    </row>
    <row r="1140" spans="1:3">
      <c r="A1140" s="67">
        <v>23119</v>
      </c>
      <c r="B1140" s="67" t="s">
        <v>319</v>
      </c>
      <c r="C1140" s="67">
        <v>1612.692</v>
      </c>
    </row>
    <row r="1141" spans="1:3">
      <c r="A1141" s="67">
        <v>23122</v>
      </c>
      <c r="B1141" s="67" t="s">
        <v>318</v>
      </c>
      <c r="C1141" s="67">
        <v>2079.9929999999999</v>
      </c>
    </row>
    <row r="1142" spans="1:3">
      <c r="A1142" s="67">
        <v>23123</v>
      </c>
      <c r="B1142" s="67" t="s">
        <v>321</v>
      </c>
      <c r="C1142" s="67">
        <v>2130.886</v>
      </c>
    </row>
    <row r="1143" spans="1:3">
      <c r="A1143" s="67">
        <v>23138</v>
      </c>
      <c r="B1143" s="67" t="s">
        <v>318</v>
      </c>
      <c r="C1143" s="67">
        <v>1904.288</v>
      </c>
    </row>
    <row r="1144" spans="1:3">
      <c r="A1144" s="67">
        <v>23145</v>
      </c>
      <c r="B1144" s="67" t="s">
        <v>320</v>
      </c>
      <c r="C1144" s="67">
        <v>3785.7640000000001</v>
      </c>
    </row>
    <row r="1145" spans="1:3">
      <c r="A1145" s="67">
        <v>23151</v>
      </c>
      <c r="B1145" s="67" t="s">
        <v>318</v>
      </c>
      <c r="C1145" s="67">
        <v>12271.31</v>
      </c>
    </row>
    <row r="1146" spans="1:3">
      <c r="A1146" s="67">
        <v>23155</v>
      </c>
      <c r="B1146" s="67" t="s">
        <v>318</v>
      </c>
      <c r="C1146" s="67">
        <v>2079.9929999999999</v>
      </c>
    </row>
    <row r="1147" spans="1:3">
      <c r="A1147" s="67">
        <v>23178</v>
      </c>
      <c r="B1147" s="67" t="s">
        <v>320</v>
      </c>
      <c r="C1147" s="67">
        <v>3785.7640000000001</v>
      </c>
    </row>
    <row r="1148" spans="1:3">
      <c r="A1148" s="67">
        <v>23183</v>
      </c>
      <c r="B1148" s="67" t="s">
        <v>320</v>
      </c>
      <c r="C1148" s="67">
        <v>3785.7640000000001</v>
      </c>
    </row>
    <row r="1149" spans="1:3">
      <c r="A1149" s="67">
        <v>23185</v>
      </c>
      <c r="B1149" s="67" t="s">
        <v>321</v>
      </c>
      <c r="C1149" s="67">
        <v>1144.6790000000001</v>
      </c>
    </row>
    <row r="1150" spans="1:3">
      <c r="A1150" s="67">
        <v>23188</v>
      </c>
      <c r="B1150" s="67" t="s">
        <v>318</v>
      </c>
      <c r="C1150" s="67">
        <v>2079.9929999999999</v>
      </c>
    </row>
    <row r="1151" spans="1:3">
      <c r="A1151" s="67">
        <v>23192</v>
      </c>
      <c r="B1151" s="67" t="s">
        <v>318</v>
      </c>
      <c r="C1151" s="67">
        <v>1904.288</v>
      </c>
    </row>
    <row r="1152" spans="1:3">
      <c r="A1152" s="67">
        <v>23196</v>
      </c>
      <c r="B1152" s="67" t="s">
        <v>318</v>
      </c>
      <c r="C1152" s="67">
        <v>2079.9929999999999</v>
      </c>
    </row>
    <row r="1153" spans="1:3">
      <c r="A1153" s="67">
        <v>23211</v>
      </c>
      <c r="B1153" s="67" t="s">
        <v>321</v>
      </c>
      <c r="C1153" s="67">
        <v>2130.886</v>
      </c>
    </row>
    <row r="1154" spans="1:3">
      <c r="A1154" s="67">
        <v>23213</v>
      </c>
      <c r="B1154" s="67" t="s">
        <v>321</v>
      </c>
      <c r="C1154" s="67">
        <v>2130.886</v>
      </c>
    </row>
    <row r="1155" spans="1:3">
      <c r="A1155" s="67">
        <v>23233</v>
      </c>
      <c r="B1155" s="67" t="s">
        <v>318</v>
      </c>
      <c r="C1155" s="67">
        <v>1904.288</v>
      </c>
    </row>
    <row r="1156" spans="1:3">
      <c r="A1156" s="67">
        <v>23235</v>
      </c>
      <c r="B1156" s="67" t="s">
        <v>319</v>
      </c>
      <c r="C1156" s="67">
        <v>1612.692</v>
      </c>
    </row>
    <row r="1157" spans="1:3">
      <c r="A1157" s="67">
        <v>23241</v>
      </c>
      <c r="B1157" s="67" t="s">
        <v>318</v>
      </c>
      <c r="C1157" s="67">
        <v>2079.9929999999999</v>
      </c>
    </row>
    <row r="1158" spans="1:3">
      <c r="A1158" s="67">
        <v>23260</v>
      </c>
      <c r="B1158" s="67" t="s">
        <v>318</v>
      </c>
      <c r="C1158" s="67">
        <v>1904.288</v>
      </c>
    </row>
    <row r="1159" spans="1:3">
      <c r="A1159" s="67">
        <v>23262</v>
      </c>
      <c r="B1159" s="67" t="s">
        <v>319</v>
      </c>
      <c r="C1159" s="67">
        <v>1612.692</v>
      </c>
    </row>
    <row r="1160" spans="1:3">
      <c r="A1160" s="67">
        <v>23267</v>
      </c>
      <c r="B1160" s="67" t="s">
        <v>319</v>
      </c>
      <c r="C1160" s="67">
        <v>8264.9449999999997</v>
      </c>
    </row>
    <row r="1161" spans="1:3">
      <c r="A1161" s="67">
        <v>23274</v>
      </c>
      <c r="B1161" s="67" t="s">
        <v>321</v>
      </c>
      <c r="C1161" s="67">
        <v>1144.6790000000001</v>
      </c>
    </row>
    <row r="1162" spans="1:3">
      <c r="A1162" s="67">
        <v>23278</v>
      </c>
      <c r="B1162" s="67" t="s">
        <v>319</v>
      </c>
      <c r="C1162" s="67">
        <v>1612.692</v>
      </c>
    </row>
    <row r="1163" spans="1:3">
      <c r="A1163" s="67">
        <v>23282</v>
      </c>
      <c r="B1163" s="67" t="s">
        <v>320</v>
      </c>
      <c r="C1163" s="67">
        <v>3785.7640000000001</v>
      </c>
    </row>
    <row r="1164" spans="1:3">
      <c r="A1164" s="67">
        <v>23283</v>
      </c>
      <c r="B1164" s="67" t="s">
        <v>319</v>
      </c>
      <c r="C1164" s="67">
        <v>1925.059</v>
      </c>
    </row>
    <row r="1165" spans="1:3">
      <c r="A1165" s="67">
        <v>23284</v>
      </c>
      <c r="B1165" s="67" t="s">
        <v>320</v>
      </c>
      <c r="C1165" s="67">
        <v>3785.7640000000001</v>
      </c>
    </row>
    <row r="1166" spans="1:3">
      <c r="A1166" s="67">
        <v>23287</v>
      </c>
      <c r="B1166" s="67" t="s">
        <v>319</v>
      </c>
      <c r="C1166" s="67">
        <v>1612.692</v>
      </c>
    </row>
    <row r="1167" spans="1:3">
      <c r="A1167" s="67">
        <v>23294</v>
      </c>
      <c r="B1167" s="67" t="s">
        <v>318</v>
      </c>
      <c r="C1167" s="67">
        <v>1904.288</v>
      </c>
    </row>
    <row r="1168" spans="1:3">
      <c r="A1168" s="67">
        <v>23300</v>
      </c>
      <c r="B1168" s="67" t="s">
        <v>319</v>
      </c>
      <c r="C1168" s="67">
        <v>1925.059</v>
      </c>
    </row>
    <row r="1169" spans="1:3">
      <c r="A1169" s="67">
        <v>23314</v>
      </c>
      <c r="B1169" s="67" t="s">
        <v>321</v>
      </c>
      <c r="C1169" s="67">
        <v>2130.886</v>
      </c>
    </row>
    <row r="1170" spans="1:3">
      <c r="A1170" s="67">
        <v>23318</v>
      </c>
      <c r="B1170" s="67" t="s">
        <v>321</v>
      </c>
      <c r="C1170" s="67">
        <v>1144.6790000000001</v>
      </c>
    </row>
    <row r="1171" spans="1:3">
      <c r="A1171" s="67">
        <v>23335</v>
      </c>
      <c r="B1171" s="67" t="s">
        <v>320</v>
      </c>
      <c r="C1171" s="67">
        <v>1192.4649999999999</v>
      </c>
    </row>
    <row r="1172" spans="1:3">
      <c r="A1172" s="67">
        <v>23345</v>
      </c>
      <c r="B1172" s="67" t="s">
        <v>318</v>
      </c>
      <c r="C1172" s="67">
        <v>2079.9929999999999</v>
      </c>
    </row>
    <row r="1173" spans="1:3">
      <c r="A1173" s="67">
        <v>23355</v>
      </c>
      <c r="B1173" s="67" t="s">
        <v>320</v>
      </c>
      <c r="C1173" s="67">
        <v>1192.4649999999999</v>
      </c>
    </row>
    <row r="1174" spans="1:3">
      <c r="A1174" s="67">
        <v>23358</v>
      </c>
      <c r="B1174" s="67" t="s">
        <v>321</v>
      </c>
      <c r="C1174" s="67">
        <v>2130.886</v>
      </c>
    </row>
    <row r="1175" spans="1:3">
      <c r="A1175" s="67">
        <v>23366</v>
      </c>
      <c r="B1175" s="67" t="s">
        <v>319</v>
      </c>
      <c r="C1175" s="67">
        <v>1925.059</v>
      </c>
    </row>
    <row r="1176" spans="1:3">
      <c r="A1176" s="67">
        <v>23368</v>
      </c>
      <c r="B1176" s="67" t="s">
        <v>319</v>
      </c>
      <c r="C1176" s="67">
        <v>1612.692</v>
      </c>
    </row>
    <row r="1177" spans="1:3">
      <c r="A1177" s="67">
        <v>23379</v>
      </c>
      <c r="B1177" s="67" t="s">
        <v>318</v>
      </c>
      <c r="C1177" s="67">
        <v>12271.31</v>
      </c>
    </row>
    <row r="1178" spans="1:3">
      <c r="A1178" s="67">
        <v>23380</v>
      </c>
      <c r="B1178" s="67" t="s">
        <v>320</v>
      </c>
      <c r="C1178" s="67">
        <v>3785.7640000000001</v>
      </c>
    </row>
    <row r="1179" spans="1:3">
      <c r="A1179" s="67">
        <v>23381</v>
      </c>
      <c r="B1179" s="67" t="s">
        <v>318</v>
      </c>
      <c r="C1179" s="67">
        <v>2079.9929999999999</v>
      </c>
    </row>
    <row r="1180" spans="1:3">
      <c r="A1180" s="67">
        <v>23384</v>
      </c>
      <c r="B1180" s="67" t="s">
        <v>319</v>
      </c>
      <c r="C1180" s="67">
        <v>8264.9449999999997</v>
      </c>
    </row>
    <row r="1181" spans="1:3">
      <c r="A1181" s="67">
        <v>23387</v>
      </c>
      <c r="B1181" s="67" t="s">
        <v>321</v>
      </c>
      <c r="C1181" s="67">
        <v>1144.6790000000001</v>
      </c>
    </row>
    <row r="1182" spans="1:3">
      <c r="A1182" s="67">
        <v>23390</v>
      </c>
      <c r="B1182" s="67" t="s">
        <v>321</v>
      </c>
      <c r="C1182" s="67">
        <v>2130.886</v>
      </c>
    </row>
    <row r="1183" spans="1:3">
      <c r="A1183" s="67">
        <v>23391</v>
      </c>
      <c r="B1183" s="67" t="s">
        <v>319</v>
      </c>
      <c r="C1183" s="67">
        <v>1612.692</v>
      </c>
    </row>
    <row r="1184" spans="1:3">
      <c r="A1184" s="67">
        <v>23392</v>
      </c>
      <c r="B1184" s="67" t="s">
        <v>319</v>
      </c>
      <c r="C1184" s="67">
        <v>1925.059</v>
      </c>
    </row>
    <row r="1185" spans="1:3">
      <c r="A1185" s="67">
        <v>23400</v>
      </c>
      <c r="B1185" s="67" t="s">
        <v>320</v>
      </c>
      <c r="C1185" s="67">
        <v>3785.7640000000001</v>
      </c>
    </row>
    <row r="1186" spans="1:3">
      <c r="A1186" s="67">
        <v>23403</v>
      </c>
      <c r="B1186" s="67" t="s">
        <v>320</v>
      </c>
      <c r="C1186" s="67">
        <v>3785.7640000000001</v>
      </c>
    </row>
    <row r="1187" spans="1:3">
      <c r="A1187" s="67">
        <v>23408</v>
      </c>
      <c r="B1187" s="67" t="s">
        <v>320</v>
      </c>
      <c r="C1187" s="67">
        <v>3785.7640000000001</v>
      </c>
    </row>
    <row r="1188" spans="1:3">
      <c r="A1188" s="67">
        <v>23414</v>
      </c>
      <c r="B1188" s="67" t="s">
        <v>318</v>
      </c>
      <c r="C1188" s="67">
        <v>2079.9929999999999</v>
      </c>
    </row>
    <row r="1189" spans="1:3">
      <c r="A1189" s="67">
        <v>23424</v>
      </c>
      <c r="B1189" s="67" t="s">
        <v>320</v>
      </c>
      <c r="C1189" s="67">
        <v>3785.7640000000001</v>
      </c>
    </row>
    <row r="1190" spans="1:3">
      <c r="A1190" s="67">
        <v>23427</v>
      </c>
      <c r="B1190" s="67" t="s">
        <v>321</v>
      </c>
      <c r="C1190" s="67">
        <v>2130.886</v>
      </c>
    </row>
    <row r="1191" spans="1:3">
      <c r="A1191" s="67">
        <v>23428</v>
      </c>
      <c r="B1191" s="67" t="s">
        <v>318</v>
      </c>
      <c r="C1191" s="67">
        <v>12271.31</v>
      </c>
    </row>
    <row r="1192" spans="1:3">
      <c r="A1192" s="67">
        <v>23439</v>
      </c>
      <c r="B1192" s="67" t="s">
        <v>319</v>
      </c>
      <c r="C1192" s="67">
        <v>1925.059</v>
      </c>
    </row>
    <row r="1193" spans="1:3">
      <c r="A1193" s="67">
        <v>23440</v>
      </c>
      <c r="B1193" s="67" t="s">
        <v>318</v>
      </c>
      <c r="C1193" s="67">
        <v>1904.288</v>
      </c>
    </row>
    <row r="1194" spans="1:3">
      <c r="A1194" s="67">
        <v>23444</v>
      </c>
      <c r="B1194" s="67" t="s">
        <v>318</v>
      </c>
      <c r="C1194" s="67">
        <v>2079.9929999999999</v>
      </c>
    </row>
    <row r="1195" spans="1:3">
      <c r="A1195" s="67">
        <v>23446</v>
      </c>
      <c r="B1195" s="67" t="s">
        <v>318</v>
      </c>
      <c r="C1195" s="67">
        <v>2079.9929999999999</v>
      </c>
    </row>
    <row r="1196" spans="1:3">
      <c r="A1196" s="67">
        <v>23449</v>
      </c>
      <c r="B1196" s="67" t="s">
        <v>319</v>
      </c>
      <c r="C1196" s="67">
        <v>8264.9449999999997</v>
      </c>
    </row>
    <row r="1197" spans="1:3">
      <c r="A1197" s="67">
        <v>23465</v>
      </c>
      <c r="B1197" s="67" t="s">
        <v>319</v>
      </c>
      <c r="C1197" s="67">
        <v>1925.059</v>
      </c>
    </row>
    <row r="1198" spans="1:3">
      <c r="A1198" s="67">
        <v>23480</v>
      </c>
      <c r="B1198" s="67" t="s">
        <v>319</v>
      </c>
      <c r="C1198" s="67">
        <v>1612.692</v>
      </c>
    </row>
    <row r="1199" spans="1:3">
      <c r="A1199" s="67">
        <v>23482</v>
      </c>
      <c r="B1199" s="67" t="s">
        <v>318</v>
      </c>
      <c r="C1199" s="67">
        <v>2079.9929999999999</v>
      </c>
    </row>
    <row r="1200" spans="1:3">
      <c r="A1200" s="67">
        <v>23486</v>
      </c>
      <c r="B1200" s="67" t="s">
        <v>319</v>
      </c>
      <c r="C1200" s="67">
        <v>1612.692</v>
      </c>
    </row>
    <row r="1201" spans="1:3">
      <c r="A1201" s="67">
        <v>23489</v>
      </c>
      <c r="B1201" s="67" t="s">
        <v>320</v>
      </c>
      <c r="C1201" s="67">
        <v>3785.7640000000001</v>
      </c>
    </row>
    <row r="1202" spans="1:3">
      <c r="A1202" s="67">
        <v>23501</v>
      </c>
      <c r="B1202" s="67" t="s">
        <v>318</v>
      </c>
      <c r="C1202" s="67">
        <v>2079.9929999999999</v>
      </c>
    </row>
    <row r="1203" spans="1:3">
      <c r="A1203" s="67">
        <v>23502</v>
      </c>
      <c r="B1203" s="67" t="s">
        <v>321</v>
      </c>
      <c r="C1203" s="67">
        <v>1144.6790000000001</v>
      </c>
    </row>
    <row r="1204" spans="1:3">
      <c r="A1204" s="67">
        <v>23504</v>
      </c>
      <c r="B1204" s="67" t="s">
        <v>319</v>
      </c>
      <c r="C1204" s="67">
        <v>1612.692</v>
      </c>
    </row>
    <row r="1205" spans="1:3">
      <c r="A1205" s="67">
        <v>23511</v>
      </c>
      <c r="B1205" s="67" t="s">
        <v>320</v>
      </c>
      <c r="C1205" s="67">
        <v>3785.7640000000001</v>
      </c>
    </row>
    <row r="1206" spans="1:3">
      <c r="A1206" s="67">
        <v>23526</v>
      </c>
      <c r="B1206" s="67" t="s">
        <v>319</v>
      </c>
      <c r="C1206" s="67">
        <v>1925.059</v>
      </c>
    </row>
    <row r="1207" spans="1:3">
      <c r="A1207" s="67">
        <v>23538</v>
      </c>
      <c r="B1207" s="67" t="s">
        <v>318</v>
      </c>
      <c r="C1207" s="67">
        <v>4360.1880000000001</v>
      </c>
    </row>
    <row r="1208" spans="1:3">
      <c r="A1208" s="67">
        <v>23539</v>
      </c>
      <c r="B1208" s="67" t="s">
        <v>318</v>
      </c>
      <c r="C1208" s="67">
        <v>2079.9929999999999</v>
      </c>
    </row>
    <row r="1209" spans="1:3">
      <c r="A1209" s="67">
        <v>23544</v>
      </c>
      <c r="B1209" s="67" t="s">
        <v>320</v>
      </c>
      <c r="C1209" s="67">
        <v>1192.4649999999999</v>
      </c>
    </row>
    <row r="1210" spans="1:3">
      <c r="A1210" s="67">
        <v>23545</v>
      </c>
      <c r="B1210" s="67" t="s">
        <v>319</v>
      </c>
      <c r="C1210" s="67">
        <v>1612.692</v>
      </c>
    </row>
    <row r="1211" spans="1:3">
      <c r="A1211" s="67">
        <v>23546</v>
      </c>
      <c r="B1211" s="67" t="s">
        <v>318</v>
      </c>
      <c r="C1211" s="67">
        <v>2079.9929999999999</v>
      </c>
    </row>
    <row r="1212" spans="1:3">
      <c r="A1212" s="67">
        <v>23547</v>
      </c>
      <c r="B1212" s="67" t="s">
        <v>321</v>
      </c>
      <c r="C1212" s="67">
        <v>2130.886</v>
      </c>
    </row>
    <row r="1213" spans="1:3">
      <c r="A1213" s="67">
        <v>23554</v>
      </c>
      <c r="B1213" s="67" t="s">
        <v>320</v>
      </c>
      <c r="C1213" s="67">
        <v>1192.4649999999999</v>
      </c>
    </row>
    <row r="1214" spans="1:3">
      <c r="A1214" s="67">
        <v>23556</v>
      </c>
      <c r="B1214" s="67" t="s">
        <v>319</v>
      </c>
      <c r="C1214" s="67">
        <v>8264.9449999999997</v>
      </c>
    </row>
    <row r="1215" spans="1:3">
      <c r="A1215" s="67">
        <v>23559</v>
      </c>
      <c r="B1215" s="67" t="s">
        <v>319</v>
      </c>
      <c r="C1215" s="67">
        <v>8264.9449999999997</v>
      </c>
    </row>
    <row r="1216" spans="1:3">
      <c r="A1216" s="67">
        <v>23564</v>
      </c>
      <c r="B1216" s="67" t="s">
        <v>321</v>
      </c>
      <c r="C1216" s="67">
        <v>2130.886</v>
      </c>
    </row>
    <row r="1217" spans="1:3">
      <c r="A1217" s="67">
        <v>23566</v>
      </c>
      <c r="B1217" s="67" t="s">
        <v>321</v>
      </c>
      <c r="C1217" s="67">
        <v>1144.6790000000001</v>
      </c>
    </row>
    <row r="1218" spans="1:3">
      <c r="A1218" s="67">
        <v>23581</v>
      </c>
      <c r="B1218" s="67" t="s">
        <v>319</v>
      </c>
      <c r="C1218" s="67">
        <v>1612.692</v>
      </c>
    </row>
    <row r="1219" spans="1:3">
      <c r="A1219" s="67">
        <v>23602</v>
      </c>
      <c r="B1219" s="67" t="s">
        <v>320</v>
      </c>
      <c r="C1219" s="67">
        <v>1192.4649999999999</v>
      </c>
    </row>
    <row r="1220" spans="1:3">
      <c r="A1220" s="67">
        <v>23607</v>
      </c>
      <c r="B1220" s="67" t="s">
        <v>318</v>
      </c>
      <c r="C1220" s="67">
        <v>2079.9929999999999</v>
      </c>
    </row>
    <row r="1221" spans="1:3">
      <c r="A1221" s="67">
        <v>23611</v>
      </c>
      <c r="B1221" s="67" t="s">
        <v>321</v>
      </c>
      <c r="C1221" s="67">
        <v>1144.6790000000001</v>
      </c>
    </row>
    <row r="1222" spans="1:3">
      <c r="A1222" s="67">
        <v>23618</v>
      </c>
      <c r="B1222" s="67" t="s">
        <v>320</v>
      </c>
      <c r="C1222" s="67">
        <v>3785.7640000000001</v>
      </c>
    </row>
    <row r="1223" spans="1:3">
      <c r="A1223" s="67">
        <v>23619</v>
      </c>
      <c r="B1223" s="67" t="s">
        <v>318</v>
      </c>
      <c r="C1223" s="67">
        <v>2079.9929999999999</v>
      </c>
    </row>
    <row r="1224" spans="1:3">
      <c r="A1224" s="67">
        <v>23621</v>
      </c>
      <c r="B1224" s="67" t="s">
        <v>321</v>
      </c>
      <c r="C1224" s="67">
        <v>2130.886</v>
      </c>
    </row>
    <row r="1225" spans="1:3">
      <c r="A1225" s="67">
        <v>23624</v>
      </c>
      <c r="B1225" s="67" t="s">
        <v>320</v>
      </c>
      <c r="C1225" s="67">
        <v>3785.7640000000001</v>
      </c>
    </row>
    <row r="1226" spans="1:3">
      <c r="A1226" s="67">
        <v>23627</v>
      </c>
      <c r="B1226" s="67" t="s">
        <v>320</v>
      </c>
      <c r="C1226" s="67">
        <v>1192.4649999999999</v>
      </c>
    </row>
    <row r="1227" spans="1:3">
      <c r="A1227" s="67">
        <v>23631</v>
      </c>
      <c r="B1227" s="67" t="s">
        <v>319</v>
      </c>
      <c r="C1227" s="67">
        <v>1925.059</v>
      </c>
    </row>
    <row r="1228" spans="1:3">
      <c r="A1228" s="67">
        <v>23640</v>
      </c>
      <c r="B1228" s="67" t="s">
        <v>321</v>
      </c>
      <c r="C1228" s="67">
        <v>2130.886</v>
      </c>
    </row>
    <row r="1229" spans="1:3">
      <c r="A1229" s="67">
        <v>23645</v>
      </c>
      <c r="B1229" s="67" t="s">
        <v>319</v>
      </c>
      <c r="C1229" s="67">
        <v>1612.692</v>
      </c>
    </row>
    <row r="1230" spans="1:3">
      <c r="A1230" s="67">
        <v>23666</v>
      </c>
      <c r="B1230" s="67" t="s">
        <v>318</v>
      </c>
      <c r="C1230" s="67">
        <v>1904.288</v>
      </c>
    </row>
    <row r="1231" spans="1:3">
      <c r="A1231" s="67">
        <v>23667</v>
      </c>
      <c r="B1231" s="67" t="s">
        <v>319</v>
      </c>
      <c r="C1231" s="67">
        <v>8264.9449999999997</v>
      </c>
    </row>
    <row r="1232" spans="1:3">
      <c r="A1232" s="67">
        <v>23674</v>
      </c>
      <c r="B1232" s="67" t="s">
        <v>321</v>
      </c>
      <c r="C1232" s="67">
        <v>1144.6790000000001</v>
      </c>
    </row>
    <row r="1233" spans="1:3">
      <c r="A1233" s="67">
        <v>23676</v>
      </c>
      <c r="B1233" s="67" t="s">
        <v>318</v>
      </c>
      <c r="C1233" s="67">
        <v>2079.9929999999999</v>
      </c>
    </row>
    <row r="1234" spans="1:3">
      <c r="A1234" s="67">
        <v>23696</v>
      </c>
      <c r="B1234" s="67" t="s">
        <v>320</v>
      </c>
      <c r="C1234" s="67">
        <v>3785.7640000000001</v>
      </c>
    </row>
    <row r="1235" spans="1:3">
      <c r="A1235" s="67">
        <v>23704</v>
      </c>
      <c r="B1235" s="67" t="s">
        <v>319</v>
      </c>
      <c r="C1235" s="67">
        <v>1612.692</v>
      </c>
    </row>
    <row r="1236" spans="1:3">
      <c r="A1236" s="67">
        <v>23705</v>
      </c>
      <c r="B1236" s="67" t="s">
        <v>319</v>
      </c>
      <c r="C1236" s="67">
        <v>1612.692</v>
      </c>
    </row>
    <row r="1237" spans="1:3">
      <c r="A1237" s="67">
        <v>23710</v>
      </c>
      <c r="B1237" s="67" t="s">
        <v>318</v>
      </c>
      <c r="C1237" s="67">
        <v>2079.9929999999999</v>
      </c>
    </row>
    <row r="1238" spans="1:3">
      <c r="A1238" s="67">
        <v>23714</v>
      </c>
      <c r="B1238" s="67" t="s">
        <v>319</v>
      </c>
      <c r="C1238" s="67">
        <v>8264.9449999999997</v>
      </c>
    </row>
    <row r="1239" spans="1:3">
      <c r="A1239" s="67">
        <v>23720</v>
      </c>
      <c r="B1239" s="67" t="s">
        <v>318</v>
      </c>
      <c r="C1239" s="67">
        <v>1904.288</v>
      </c>
    </row>
    <row r="1240" spans="1:3">
      <c r="A1240" s="67">
        <v>23721</v>
      </c>
      <c r="B1240" s="67" t="s">
        <v>321</v>
      </c>
      <c r="C1240" s="67">
        <v>1144.6790000000001</v>
      </c>
    </row>
    <row r="1241" spans="1:3">
      <c r="A1241" s="67">
        <v>23724</v>
      </c>
      <c r="B1241" s="67" t="s">
        <v>319</v>
      </c>
      <c r="C1241" s="67">
        <v>1612.692</v>
      </c>
    </row>
    <row r="1242" spans="1:3">
      <c r="A1242" s="67">
        <v>23734</v>
      </c>
      <c r="B1242" s="67" t="s">
        <v>318</v>
      </c>
      <c r="C1242" s="67">
        <v>2079.9929999999999</v>
      </c>
    </row>
    <row r="1243" spans="1:3">
      <c r="A1243" s="67">
        <v>23742</v>
      </c>
      <c r="B1243" s="67" t="s">
        <v>320</v>
      </c>
      <c r="C1243" s="67">
        <v>3785.7640000000001</v>
      </c>
    </row>
    <row r="1244" spans="1:3">
      <c r="A1244" s="67">
        <v>23744</v>
      </c>
      <c r="B1244" s="67" t="s">
        <v>318</v>
      </c>
      <c r="C1244" s="67">
        <v>1904.288</v>
      </c>
    </row>
    <row r="1245" spans="1:3">
      <c r="A1245" s="67">
        <v>23746</v>
      </c>
      <c r="B1245" s="67" t="s">
        <v>319</v>
      </c>
      <c r="C1245" s="67">
        <v>8559.1039999999994</v>
      </c>
    </row>
    <row r="1246" spans="1:3">
      <c r="A1246" s="67">
        <v>23756</v>
      </c>
      <c r="B1246" s="67" t="s">
        <v>318</v>
      </c>
      <c r="C1246" s="67">
        <v>1904.288</v>
      </c>
    </row>
    <row r="1247" spans="1:3">
      <c r="A1247" s="67">
        <v>23762</v>
      </c>
      <c r="B1247" s="67" t="s">
        <v>319</v>
      </c>
      <c r="C1247" s="67">
        <v>8264.9449999999997</v>
      </c>
    </row>
    <row r="1248" spans="1:3">
      <c r="A1248" s="67">
        <v>23763</v>
      </c>
      <c r="B1248" s="67" t="s">
        <v>318</v>
      </c>
      <c r="C1248" s="67">
        <v>2079.9929999999999</v>
      </c>
    </row>
    <row r="1249" spans="1:3">
      <c r="A1249" s="67">
        <v>23765</v>
      </c>
      <c r="B1249" s="67" t="s">
        <v>321</v>
      </c>
      <c r="C1249" s="67">
        <v>1144.6790000000001</v>
      </c>
    </row>
    <row r="1250" spans="1:3">
      <c r="A1250" s="67">
        <v>23788</v>
      </c>
      <c r="B1250" s="67" t="s">
        <v>320</v>
      </c>
      <c r="C1250" s="67">
        <v>1192.4649999999999</v>
      </c>
    </row>
    <row r="1251" spans="1:3">
      <c r="A1251" s="67">
        <v>23791</v>
      </c>
      <c r="B1251" s="67" t="s">
        <v>318</v>
      </c>
      <c r="C1251" s="67">
        <v>1904.288</v>
      </c>
    </row>
    <row r="1252" spans="1:3">
      <c r="A1252" s="67">
        <v>23813</v>
      </c>
      <c r="B1252" s="67" t="s">
        <v>318</v>
      </c>
      <c r="C1252" s="67">
        <v>1904.288</v>
      </c>
    </row>
    <row r="1253" spans="1:3">
      <c r="A1253" s="67">
        <v>23824</v>
      </c>
      <c r="B1253" s="67" t="s">
        <v>321</v>
      </c>
      <c r="C1253" s="67">
        <v>1144.6790000000001</v>
      </c>
    </row>
    <row r="1254" spans="1:3">
      <c r="A1254" s="67">
        <v>23830</v>
      </c>
      <c r="B1254" s="67" t="s">
        <v>319</v>
      </c>
      <c r="C1254" s="67">
        <v>1612.692</v>
      </c>
    </row>
    <row r="1255" spans="1:3">
      <c r="A1255" s="67">
        <v>23835</v>
      </c>
      <c r="B1255" s="67" t="s">
        <v>319</v>
      </c>
      <c r="C1255" s="67">
        <v>8264.9449999999997</v>
      </c>
    </row>
    <row r="1256" spans="1:3">
      <c r="A1256" s="67">
        <v>23840</v>
      </c>
      <c r="B1256" s="67" t="s">
        <v>321</v>
      </c>
      <c r="C1256" s="67">
        <v>1144.6790000000001</v>
      </c>
    </row>
    <row r="1257" spans="1:3">
      <c r="A1257" s="67">
        <v>23846</v>
      </c>
      <c r="B1257" s="67" t="s">
        <v>321</v>
      </c>
      <c r="C1257" s="67">
        <v>1144.6790000000001</v>
      </c>
    </row>
    <row r="1258" spans="1:3">
      <c r="A1258" s="67">
        <v>23847</v>
      </c>
      <c r="B1258" s="67" t="s">
        <v>318</v>
      </c>
      <c r="C1258" s="67">
        <v>2079.9929999999999</v>
      </c>
    </row>
    <row r="1259" spans="1:3">
      <c r="A1259" s="67">
        <v>23857</v>
      </c>
      <c r="B1259" s="67" t="s">
        <v>321</v>
      </c>
      <c r="C1259" s="67">
        <v>1144.6790000000001</v>
      </c>
    </row>
    <row r="1260" spans="1:3">
      <c r="A1260" s="67">
        <v>23859</v>
      </c>
      <c r="B1260" s="67" t="s">
        <v>321</v>
      </c>
      <c r="C1260" s="67">
        <v>2130.886</v>
      </c>
    </row>
    <row r="1261" spans="1:3">
      <c r="A1261" s="67">
        <v>23860</v>
      </c>
      <c r="B1261" s="67" t="s">
        <v>319</v>
      </c>
      <c r="C1261" s="67">
        <v>1925.059</v>
      </c>
    </row>
    <row r="1262" spans="1:3">
      <c r="A1262" s="67">
        <v>23870</v>
      </c>
      <c r="B1262" s="67" t="s">
        <v>321</v>
      </c>
      <c r="C1262" s="67">
        <v>2130.886</v>
      </c>
    </row>
    <row r="1263" spans="1:3">
      <c r="A1263" s="67">
        <v>23879</v>
      </c>
      <c r="B1263" s="67" t="s">
        <v>318</v>
      </c>
      <c r="C1263" s="67">
        <v>2079.9929999999999</v>
      </c>
    </row>
    <row r="1264" spans="1:3">
      <c r="A1264" s="67">
        <v>23882</v>
      </c>
      <c r="B1264" s="67" t="s">
        <v>321</v>
      </c>
      <c r="C1264" s="67">
        <v>1144.6790000000001</v>
      </c>
    </row>
    <row r="1265" spans="1:3">
      <c r="A1265" s="67">
        <v>23886</v>
      </c>
      <c r="B1265" s="67" t="s">
        <v>320</v>
      </c>
      <c r="C1265" s="67">
        <v>1192.4649999999999</v>
      </c>
    </row>
    <row r="1266" spans="1:3">
      <c r="A1266" s="67">
        <v>23889</v>
      </c>
      <c r="B1266" s="67" t="s">
        <v>319</v>
      </c>
      <c r="C1266" s="67">
        <v>1612.692</v>
      </c>
    </row>
    <row r="1267" spans="1:3">
      <c r="A1267" s="67">
        <v>23905</v>
      </c>
      <c r="B1267" s="67" t="s">
        <v>318</v>
      </c>
      <c r="C1267" s="67">
        <v>2079.9929999999999</v>
      </c>
    </row>
    <row r="1268" spans="1:3">
      <c r="A1268" s="67">
        <v>23909</v>
      </c>
      <c r="B1268" s="67" t="s">
        <v>320</v>
      </c>
      <c r="C1268" s="67">
        <v>1192.4649999999999</v>
      </c>
    </row>
    <row r="1269" spans="1:3">
      <c r="A1269" s="67">
        <v>23910</v>
      </c>
      <c r="B1269" s="67" t="s">
        <v>320</v>
      </c>
      <c r="C1269" s="67">
        <v>3785.7640000000001</v>
      </c>
    </row>
    <row r="1270" spans="1:3">
      <c r="A1270" s="67">
        <v>23913</v>
      </c>
      <c r="B1270" s="67" t="s">
        <v>318</v>
      </c>
      <c r="C1270" s="67">
        <v>2079.9929999999999</v>
      </c>
    </row>
    <row r="1271" spans="1:3">
      <c r="A1271" s="67">
        <v>23914</v>
      </c>
      <c r="B1271" s="67" t="s">
        <v>321</v>
      </c>
      <c r="C1271" s="67">
        <v>1144.6790000000001</v>
      </c>
    </row>
    <row r="1272" spans="1:3">
      <c r="A1272" s="67">
        <v>23926</v>
      </c>
      <c r="B1272" s="67" t="s">
        <v>320</v>
      </c>
      <c r="C1272" s="67">
        <v>3785.7640000000001</v>
      </c>
    </row>
    <row r="1273" spans="1:3">
      <c r="A1273" s="67">
        <v>23931</v>
      </c>
      <c r="B1273" s="67" t="s">
        <v>321</v>
      </c>
      <c r="C1273" s="67">
        <v>1144.6790000000001</v>
      </c>
    </row>
    <row r="1274" spans="1:3">
      <c r="A1274" s="67">
        <v>23932</v>
      </c>
      <c r="B1274" s="67" t="s">
        <v>320</v>
      </c>
      <c r="C1274" s="67">
        <v>3785.7640000000001</v>
      </c>
    </row>
    <row r="1275" spans="1:3">
      <c r="A1275" s="67">
        <v>23933</v>
      </c>
      <c r="B1275" s="67" t="s">
        <v>320</v>
      </c>
      <c r="C1275" s="67">
        <v>3785.7640000000001</v>
      </c>
    </row>
    <row r="1276" spans="1:3">
      <c r="A1276" s="67">
        <v>23936</v>
      </c>
      <c r="B1276" s="67" t="s">
        <v>320</v>
      </c>
      <c r="C1276" s="67">
        <v>3785.7640000000001</v>
      </c>
    </row>
    <row r="1277" spans="1:3">
      <c r="A1277" s="67">
        <v>23939</v>
      </c>
      <c r="B1277" s="67" t="s">
        <v>321</v>
      </c>
      <c r="C1277" s="67">
        <v>2130.886</v>
      </c>
    </row>
    <row r="1278" spans="1:3">
      <c r="A1278" s="67">
        <v>23946</v>
      </c>
      <c r="B1278" s="67" t="s">
        <v>318</v>
      </c>
      <c r="C1278" s="67">
        <v>2079.9929999999999</v>
      </c>
    </row>
    <row r="1279" spans="1:3">
      <c r="A1279" s="67">
        <v>23948</v>
      </c>
      <c r="B1279" s="67" t="s">
        <v>319</v>
      </c>
      <c r="C1279" s="67">
        <v>1612.692</v>
      </c>
    </row>
    <row r="1280" spans="1:3">
      <c r="A1280" s="67">
        <v>23952</v>
      </c>
      <c r="B1280" s="67" t="s">
        <v>319</v>
      </c>
      <c r="C1280" s="67">
        <v>1612.692</v>
      </c>
    </row>
    <row r="1281" spans="1:3">
      <c r="A1281" s="67">
        <v>23960</v>
      </c>
      <c r="B1281" s="67" t="s">
        <v>320</v>
      </c>
      <c r="C1281" s="67">
        <v>1192.4649999999999</v>
      </c>
    </row>
    <row r="1282" spans="1:3">
      <c r="A1282" s="67">
        <v>23965</v>
      </c>
      <c r="B1282" s="67" t="s">
        <v>318</v>
      </c>
      <c r="C1282" s="67">
        <v>1904.288</v>
      </c>
    </row>
    <row r="1283" spans="1:3">
      <c r="A1283" s="67">
        <v>23966</v>
      </c>
      <c r="B1283" s="67" t="s">
        <v>320</v>
      </c>
      <c r="C1283" s="67">
        <v>3785.7640000000001</v>
      </c>
    </row>
    <row r="1284" spans="1:3">
      <c r="A1284" s="67">
        <v>23972</v>
      </c>
      <c r="B1284" s="67" t="s">
        <v>321</v>
      </c>
      <c r="C1284" s="67">
        <v>2130.886</v>
      </c>
    </row>
    <row r="1285" spans="1:3">
      <c r="A1285" s="67">
        <v>23973</v>
      </c>
      <c r="B1285" s="67" t="s">
        <v>320</v>
      </c>
      <c r="C1285" s="67">
        <v>1192.4649999999999</v>
      </c>
    </row>
    <row r="1286" spans="1:3">
      <c r="A1286" s="67">
        <v>23986</v>
      </c>
      <c r="B1286" s="67" t="s">
        <v>321</v>
      </c>
      <c r="C1286" s="67">
        <v>2130.886</v>
      </c>
    </row>
    <row r="1287" spans="1:3">
      <c r="A1287" s="67">
        <v>23994</v>
      </c>
      <c r="B1287" s="67" t="s">
        <v>320</v>
      </c>
      <c r="C1287" s="67">
        <v>3785.7640000000001</v>
      </c>
    </row>
    <row r="1288" spans="1:3">
      <c r="A1288" s="67">
        <v>23995</v>
      </c>
      <c r="B1288" s="67" t="s">
        <v>321</v>
      </c>
      <c r="C1288" s="67">
        <v>2130.886</v>
      </c>
    </row>
    <row r="1289" spans="1:3">
      <c r="A1289" s="67">
        <v>24016</v>
      </c>
      <c r="B1289" s="67" t="s">
        <v>318</v>
      </c>
      <c r="C1289" s="67">
        <v>12271.31</v>
      </c>
    </row>
    <row r="1290" spans="1:3">
      <c r="A1290" s="67">
        <v>24027</v>
      </c>
      <c r="B1290" s="67" t="s">
        <v>319</v>
      </c>
      <c r="C1290" s="67">
        <v>1925.059</v>
      </c>
    </row>
    <row r="1291" spans="1:3">
      <c r="A1291" s="67">
        <v>24033</v>
      </c>
      <c r="B1291" s="67" t="s">
        <v>318</v>
      </c>
      <c r="C1291" s="67">
        <v>2079.9929999999999</v>
      </c>
    </row>
    <row r="1292" spans="1:3">
      <c r="A1292" s="67">
        <v>24040</v>
      </c>
      <c r="B1292" s="67" t="s">
        <v>318</v>
      </c>
      <c r="C1292" s="67">
        <v>2079.9929999999999</v>
      </c>
    </row>
    <row r="1293" spans="1:3">
      <c r="A1293" s="67">
        <v>24048</v>
      </c>
      <c r="B1293" s="67" t="s">
        <v>320</v>
      </c>
      <c r="C1293" s="67">
        <v>3785.7640000000001</v>
      </c>
    </row>
    <row r="1294" spans="1:3">
      <c r="A1294" s="67">
        <v>24083</v>
      </c>
      <c r="B1294" s="67" t="s">
        <v>318</v>
      </c>
      <c r="C1294" s="67">
        <v>1904.288</v>
      </c>
    </row>
    <row r="1295" spans="1:3">
      <c r="A1295" s="67">
        <v>24093</v>
      </c>
      <c r="B1295" s="67" t="s">
        <v>320</v>
      </c>
      <c r="C1295" s="67">
        <v>1192.4649999999999</v>
      </c>
    </row>
    <row r="1296" spans="1:3">
      <c r="A1296" s="67">
        <v>24119</v>
      </c>
      <c r="B1296" s="67" t="s">
        <v>318</v>
      </c>
      <c r="C1296" s="67">
        <v>2079.9929999999999</v>
      </c>
    </row>
    <row r="1297" spans="1:3">
      <c r="A1297" s="67">
        <v>24120</v>
      </c>
      <c r="B1297" s="67" t="s">
        <v>321</v>
      </c>
      <c r="C1297" s="67">
        <v>2130.886</v>
      </c>
    </row>
    <row r="1298" spans="1:3">
      <c r="A1298" s="67">
        <v>24151</v>
      </c>
      <c r="B1298" s="67" t="s">
        <v>319</v>
      </c>
      <c r="C1298" s="67">
        <v>1925.059</v>
      </c>
    </row>
    <row r="1299" spans="1:3">
      <c r="A1299" s="67">
        <v>24153</v>
      </c>
      <c r="B1299" s="67" t="s">
        <v>321</v>
      </c>
      <c r="C1299" s="67">
        <v>1144.6790000000001</v>
      </c>
    </row>
    <row r="1300" spans="1:3">
      <c r="A1300" s="67">
        <v>24158</v>
      </c>
      <c r="B1300" s="67" t="s">
        <v>318</v>
      </c>
      <c r="C1300" s="67">
        <v>2079.9929999999999</v>
      </c>
    </row>
    <row r="1301" spans="1:3">
      <c r="A1301" s="67">
        <v>24171</v>
      </c>
      <c r="B1301" s="67" t="s">
        <v>318</v>
      </c>
      <c r="C1301" s="67">
        <v>2079.9929999999999</v>
      </c>
    </row>
    <row r="1302" spans="1:3">
      <c r="A1302" s="67">
        <v>24184</v>
      </c>
      <c r="B1302" s="67" t="s">
        <v>318</v>
      </c>
      <c r="C1302" s="67">
        <v>4360.1880000000001</v>
      </c>
    </row>
    <row r="1303" spans="1:3">
      <c r="A1303" s="67">
        <v>24196</v>
      </c>
      <c r="B1303" s="67" t="s">
        <v>318</v>
      </c>
      <c r="C1303" s="67">
        <v>1904.288</v>
      </c>
    </row>
    <row r="1304" spans="1:3">
      <c r="A1304" s="67">
        <v>24202</v>
      </c>
      <c r="B1304" s="67" t="s">
        <v>320</v>
      </c>
      <c r="C1304" s="67">
        <v>1192.4649999999999</v>
      </c>
    </row>
    <row r="1305" spans="1:3">
      <c r="A1305" s="67">
        <v>24203</v>
      </c>
      <c r="B1305" s="67" t="s">
        <v>318</v>
      </c>
      <c r="C1305" s="67">
        <v>1904.288</v>
      </c>
    </row>
    <row r="1306" spans="1:3">
      <c r="A1306" s="67">
        <v>24205</v>
      </c>
      <c r="B1306" s="67" t="s">
        <v>320</v>
      </c>
      <c r="C1306" s="67">
        <v>1192.4649999999999</v>
      </c>
    </row>
    <row r="1307" spans="1:3">
      <c r="A1307" s="67">
        <v>24207</v>
      </c>
      <c r="B1307" s="67" t="s">
        <v>319</v>
      </c>
      <c r="C1307" s="67">
        <v>1925.059</v>
      </c>
    </row>
    <row r="1308" spans="1:3">
      <c r="A1308" s="67">
        <v>24209</v>
      </c>
      <c r="B1308" s="67" t="s">
        <v>318</v>
      </c>
      <c r="C1308" s="67">
        <v>1904.288</v>
      </c>
    </row>
    <row r="1309" spans="1:3">
      <c r="A1309" s="67">
        <v>24221</v>
      </c>
      <c r="B1309" s="67" t="s">
        <v>320</v>
      </c>
      <c r="C1309" s="67">
        <v>1192.4649999999999</v>
      </c>
    </row>
    <row r="1310" spans="1:3">
      <c r="A1310" s="67">
        <v>24224</v>
      </c>
      <c r="B1310" s="67" t="s">
        <v>318</v>
      </c>
      <c r="C1310" s="67">
        <v>1904.288</v>
      </c>
    </row>
    <row r="1311" spans="1:3">
      <c r="A1311" s="67">
        <v>24227</v>
      </c>
      <c r="B1311" s="67" t="s">
        <v>321</v>
      </c>
      <c r="C1311" s="67">
        <v>2130.886</v>
      </c>
    </row>
    <row r="1312" spans="1:3">
      <c r="A1312" s="67">
        <v>24232</v>
      </c>
      <c r="B1312" s="67" t="s">
        <v>318</v>
      </c>
      <c r="C1312" s="67">
        <v>2079.9929999999999</v>
      </c>
    </row>
    <row r="1313" spans="1:3">
      <c r="A1313" s="67">
        <v>24242</v>
      </c>
      <c r="B1313" s="67" t="s">
        <v>321</v>
      </c>
      <c r="C1313" s="67">
        <v>2130.886</v>
      </c>
    </row>
    <row r="1314" spans="1:3">
      <c r="A1314" s="67">
        <v>24245</v>
      </c>
      <c r="B1314" s="67" t="s">
        <v>319</v>
      </c>
      <c r="C1314" s="67">
        <v>1612.692</v>
      </c>
    </row>
    <row r="1315" spans="1:3">
      <c r="A1315" s="67">
        <v>24246</v>
      </c>
      <c r="B1315" s="67" t="s">
        <v>320</v>
      </c>
      <c r="C1315" s="67">
        <v>3785.7640000000001</v>
      </c>
    </row>
    <row r="1316" spans="1:3">
      <c r="A1316" s="67">
        <v>24247</v>
      </c>
      <c r="B1316" s="67" t="s">
        <v>319</v>
      </c>
      <c r="C1316" s="67">
        <v>1612.692</v>
      </c>
    </row>
    <row r="1317" spans="1:3">
      <c r="A1317" s="67">
        <v>24249</v>
      </c>
      <c r="B1317" s="67" t="s">
        <v>318</v>
      </c>
      <c r="C1317" s="67">
        <v>1904.288</v>
      </c>
    </row>
    <row r="1318" spans="1:3">
      <c r="A1318" s="67">
        <v>24259</v>
      </c>
      <c r="B1318" s="67" t="s">
        <v>321</v>
      </c>
      <c r="C1318" s="67">
        <v>1144.6790000000001</v>
      </c>
    </row>
    <row r="1319" spans="1:3">
      <c r="A1319" s="67">
        <v>24266</v>
      </c>
      <c r="B1319" s="67" t="s">
        <v>319</v>
      </c>
      <c r="C1319" s="67">
        <v>8264.9449999999997</v>
      </c>
    </row>
    <row r="1320" spans="1:3">
      <c r="A1320" s="67">
        <v>24288</v>
      </c>
      <c r="B1320" s="67" t="s">
        <v>321</v>
      </c>
      <c r="C1320" s="67">
        <v>2130.886</v>
      </c>
    </row>
    <row r="1321" spans="1:3">
      <c r="A1321" s="67">
        <v>24296</v>
      </c>
      <c r="B1321" s="67" t="s">
        <v>320</v>
      </c>
      <c r="C1321" s="67">
        <v>3785.7640000000001</v>
      </c>
    </row>
    <row r="1322" spans="1:3">
      <c r="A1322" s="67">
        <v>24310</v>
      </c>
      <c r="B1322" s="67" t="s">
        <v>318</v>
      </c>
      <c r="C1322" s="67">
        <v>1904.288</v>
      </c>
    </row>
    <row r="1323" spans="1:3">
      <c r="A1323" s="67">
        <v>24311</v>
      </c>
      <c r="B1323" s="67" t="s">
        <v>319</v>
      </c>
      <c r="C1323" s="67">
        <v>8264.9449999999997</v>
      </c>
    </row>
    <row r="1324" spans="1:3">
      <c r="A1324" s="67">
        <v>24312</v>
      </c>
      <c r="B1324" s="67" t="s">
        <v>318</v>
      </c>
      <c r="C1324" s="67">
        <v>2079.9929999999999</v>
      </c>
    </row>
    <row r="1325" spans="1:3">
      <c r="A1325" s="67">
        <v>24317</v>
      </c>
      <c r="B1325" s="67" t="s">
        <v>321</v>
      </c>
      <c r="C1325" s="67">
        <v>1144.6790000000001</v>
      </c>
    </row>
    <row r="1326" spans="1:3">
      <c r="A1326" s="67">
        <v>24332</v>
      </c>
      <c r="B1326" s="67" t="s">
        <v>321</v>
      </c>
      <c r="C1326" s="67">
        <v>2130.886</v>
      </c>
    </row>
    <row r="1327" spans="1:3">
      <c r="A1327" s="67">
        <v>24341</v>
      </c>
      <c r="B1327" s="67" t="s">
        <v>318</v>
      </c>
      <c r="C1327" s="67">
        <v>1904.288</v>
      </c>
    </row>
    <row r="1328" spans="1:3">
      <c r="A1328" s="67">
        <v>24342</v>
      </c>
      <c r="B1328" s="67" t="s">
        <v>321</v>
      </c>
      <c r="C1328" s="67">
        <v>2130.886</v>
      </c>
    </row>
    <row r="1329" spans="1:3">
      <c r="A1329" s="67">
        <v>24347</v>
      </c>
      <c r="B1329" s="67" t="s">
        <v>318</v>
      </c>
      <c r="C1329" s="67">
        <v>1904.288</v>
      </c>
    </row>
    <row r="1330" spans="1:3">
      <c r="A1330" s="67">
        <v>24349</v>
      </c>
      <c r="B1330" s="67" t="s">
        <v>319</v>
      </c>
      <c r="C1330" s="67">
        <v>8559.1039999999994</v>
      </c>
    </row>
    <row r="1331" spans="1:3">
      <c r="A1331" s="67">
        <v>24351</v>
      </c>
      <c r="B1331" s="67" t="s">
        <v>321</v>
      </c>
      <c r="C1331" s="67">
        <v>1144.6790000000001</v>
      </c>
    </row>
    <row r="1332" spans="1:3">
      <c r="A1332" s="67">
        <v>24363</v>
      </c>
      <c r="B1332" s="67" t="s">
        <v>320</v>
      </c>
      <c r="C1332" s="67">
        <v>3785.7640000000001</v>
      </c>
    </row>
    <row r="1333" spans="1:3">
      <c r="A1333" s="67">
        <v>24366</v>
      </c>
      <c r="B1333" s="67" t="s">
        <v>318</v>
      </c>
      <c r="C1333" s="67">
        <v>12271.31</v>
      </c>
    </row>
    <row r="1334" spans="1:3">
      <c r="A1334" s="67">
        <v>24373</v>
      </c>
      <c r="B1334" s="67" t="s">
        <v>318</v>
      </c>
      <c r="C1334" s="67">
        <v>1904.288</v>
      </c>
    </row>
    <row r="1335" spans="1:3">
      <c r="A1335" s="67">
        <v>24375</v>
      </c>
      <c r="B1335" s="67" t="s">
        <v>319</v>
      </c>
      <c r="C1335" s="67">
        <v>1612.692</v>
      </c>
    </row>
    <row r="1336" spans="1:3">
      <c r="A1336" s="67">
        <v>24378</v>
      </c>
      <c r="B1336" s="67" t="s">
        <v>318</v>
      </c>
      <c r="C1336" s="67">
        <v>12271.31</v>
      </c>
    </row>
    <row r="1337" spans="1:3">
      <c r="A1337" s="67">
        <v>24398</v>
      </c>
      <c r="B1337" s="67" t="s">
        <v>319</v>
      </c>
      <c r="C1337" s="67">
        <v>1612.692</v>
      </c>
    </row>
    <row r="1338" spans="1:3">
      <c r="A1338" s="67">
        <v>24400</v>
      </c>
      <c r="B1338" s="67" t="s">
        <v>319</v>
      </c>
      <c r="C1338" s="67">
        <v>1612.692</v>
      </c>
    </row>
    <row r="1339" spans="1:3">
      <c r="A1339" s="67">
        <v>24401</v>
      </c>
      <c r="B1339" s="67" t="s">
        <v>319</v>
      </c>
      <c r="C1339" s="67">
        <v>1612.692</v>
      </c>
    </row>
    <row r="1340" spans="1:3">
      <c r="A1340" s="67">
        <v>24402</v>
      </c>
      <c r="B1340" s="67" t="s">
        <v>318</v>
      </c>
      <c r="C1340" s="67">
        <v>4360.1880000000001</v>
      </c>
    </row>
    <row r="1341" spans="1:3">
      <c r="A1341" s="67">
        <v>24408</v>
      </c>
      <c r="B1341" s="67" t="s">
        <v>319</v>
      </c>
      <c r="C1341" s="67">
        <v>1612.692</v>
      </c>
    </row>
    <row r="1342" spans="1:3">
      <c r="A1342" s="67">
        <v>24410</v>
      </c>
      <c r="B1342" s="67" t="s">
        <v>321</v>
      </c>
      <c r="C1342" s="67">
        <v>1144.6790000000001</v>
      </c>
    </row>
    <row r="1343" spans="1:3">
      <c r="A1343" s="67">
        <v>24417</v>
      </c>
      <c r="B1343" s="67" t="s">
        <v>318</v>
      </c>
      <c r="C1343" s="67">
        <v>1904.288</v>
      </c>
    </row>
    <row r="1344" spans="1:3">
      <c r="A1344" s="67">
        <v>24418</v>
      </c>
      <c r="B1344" s="67" t="s">
        <v>321</v>
      </c>
      <c r="C1344" s="67">
        <v>1144.6790000000001</v>
      </c>
    </row>
    <row r="1345" spans="1:3">
      <c r="A1345" s="67">
        <v>24419</v>
      </c>
      <c r="B1345" s="67" t="s">
        <v>319</v>
      </c>
      <c r="C1345" s="67">
        <v>1612.692</v>
      </c>
    </row>
    <row r="1346" spans="1:3">
      <c r="A1346" s="67">
        <v>24436</v>
      </c>
      <c r="B1346" s="67" t="s">
        <v>318</v>
      </c>
      <c r="C1346" s="67">
        <v>2079.9929999999999</v>
      </c>
    </row>
    <row r="1347" spans="1:3">
      <c r="A1347" s="67">
        <v>24445</v>
      </c>
      <c r="B1347" s="67" t="s">
        <v>318</v>
      </c>
      <c r="C1347" s="67">
        <v>1904.288</v>
      </c>
    </row>
    <row r="1348" spans="1:3">
      <c r="A1348" s="67">
        <v>24451</v>
      </c>
      <c r="B1348" s="67" t="s">
        <v>318</v>
      </c>
      <c r="C1348" s="67">
        <v>2079.9929999999999</v>
      </c>
    </row>
    <row r="1349" spans="1:3">
      <c r="A1349" s="67">
        <v>24456</v>
      </c>
      <c r="B1349" s="67" t="s">
        <v>321</v>
      </c>
      <c r="C1349" s="67">
        <v>2130.886</v>
      </c>
    </row>
    <row r="1350" spans="1:3">
      <c r="A1350" s="67">
        <v>24462</v>
      </c>
      <c r="B1350" s="67" t="s">
        <v>320</v>
      </c>
      <c r="C1350" s="67">
        <v>3785.7640000000001</v>
      </c>
    </row>
    <row r="1351" spans="1:3">
      <c r="A1351" s="67">
        <v>24467</v>
      </c>
      <c r="B1351" s="67" t="s">
        <v>319</v>
      </c>
      <c r="C1351" s="67">
        <v>1612.692</v>
      </c>
    </row>
    <row r="1352" spans="1:3">
      <c r="A1352" s="67">
        <v>24479</v>
      </c>
      <c r="B1352" s="67" t="s">
        <v>319</v>
      </c>
      <c r="C1352" s="67">
        <v>8264.9449999999997</v>
      </c>
    </row>
    <row r="1353" spans="1:3">
      <c r="A1353" s="67">
        <v>24488</v>
      </c>
      <c r="B1353" s="67" t="s">
        <v>318</v>
      </c>
      <c r="C1353" s="67">
        <v>2079.9929999999999</v>
      </c>
    </row>
    <row r="1354" spans="1:3">
      <c r="A1354" s="67">
        <v>24495</v>
      </c>
      <c r="B1354" s="67" t="s">
        <v>318</v>
      </c>
      <c r="C1354" s="67">
        <v>4360.1880000000001</v>
      </c>
    </row>
    <row r="1355" spans="1:3">
      <c r="A1355" s="67">
        <v>24499</v>
      </c>
      <c r="B1355" s="67" t="s">
        <v>320</v>
      </c>
      <c r="C1355" s="67">
        <v>1192.4649999999999</v>
      </c>
    </row>
    <row r="1356" spans="1:3">
      <c r="A1356" s="67">
        <v>24500</v>
      </c>
      <c r="B1356" s="67" t="s">
        <v>320</v>
      </c>
      <c r="C1356" s="67">
        <v>1192.4649999999999</v>
      </c>
    </row>
    <row r="1357" spans="1:3">
      <c r="A1357" s="67">
        <v>24510</v>
      </c>
      <c r="B1357" s="67" t="s">
        <v>318</v>
      </c>
      <c r="C1357" s="67">
        <v>1904.288</v>
      </c>
    </row>
    <row r="1358" spans="1:3">
      <c r="A1358" s="67">
        <v>24521</v>
      </c>
      <c r="B1358" s="67" t="s">
        <v>321</v>
      </c>
      <c r="C1358" s="67">
        <v>2130.886</v>
      </c>
    </row>
    <row r="1359" spans="1:3">
      <c r="A1359" s="67">
        <v>24522</v>
      </c>
      <c r="B1359" s="67" t="s">
        <v>318</v>
      </c>
      <c r="C1359" s="67">
        <v>2079.9929999999999</v>
      </c>
    </row>
    <row r="1360" spans="1:3">
      <c r="A1360" s="67">
        <v>24524</v>
      </c>
      <c r="B1360" s="67" t="s">
        <v>319</v>
      </c>
      <c r="C1360" s="67">
        <v>1925.059</v>
      </c>
    </row>
    <row r="1361" spans="1:3">
      <c r="A1361" s="67">
        <v>24533</v>
      </c>
      <c r="B1361" s="67" t="s">
        <v>319</v>
      </c>
      <c r="C1361" s="67">
        <v>1612.692</v>
      </c>
    </row>
    <row r="1362" spans="1:3">
      <c r="A1362" s="67">
        <v>24536</v>
      </c>
      <c r="B1362" s="67" t="s">
        <v>320</v>
      </c>
      <c r="C1362" s="67">
        <v>1192.4649999999999</v>
      </c>
    </row>
    <row r="1363" spans="1:3">
      <c r="A1363" s="67">
        <v>24540</v>
      </c>
      <c r="B1363" s="67" t="s">
        <v>319</v>
      </c>
      <c r="C1363" s="67">
        <v>1612.692</v>
      </c>
    </row>
    <row r="1364" spans="1:3">
      <c r="A1364" s="67">
        <v>24547</v>
      </c>
      <c r="B1364" s="67" t="s">
        <v>321</v>
      </c>
      <c r="C1364" s="67">
        <v>1144.6790000000001</v>
      </c>
    </row>
    <row r="1365" spans="1:3">
      <c r="A1365" s="67">
        <v>24550</v>
      </c>
      <c r="B1365" s="67" t="s">
        <v>319</v>
      </c>
      <c r="C1365" s="67">
        <v>8264.9449999999997</v>
      </c>
    </row>
    <row r="1366" spans="1:3">
      <c r="A1366" s="67">
        <v>24551</v>
      </c>
      <c r="B1366" s="67" t="s">
        <v>321</v>
      </c>
      <c r="C1366" s="67">
        <v>2130.886</v>
      </c>
    </row>
    <row r="1367" spans="1:3">
      <c r="A1367" s="67">
        <v>24553</v>
      </c>
      <c r="B1367" s="67" t="s">
        <v>319</v>
      </c>
      <c r="C1367" s="67">
        <v>1925.059</v>
      </c>
    </row>
    <row r="1368" spans="1:3">
      <c r="A1368" s="67">
        <v>24559</v>
      </c>
      <c r="B1368" s="67" t="s">
        <v>321</v>
      </c>
      <c r="C1368" s="67">
        <v>2130.886</v>
      </c>
    </row>
    <row r="1369" spans="1:3">
      <c r="A1369" s="67">
        <v>24563</v>
      </c>
      <c r="B1369" s="67" t="s">
        <v>320</v>
      </c>
      <c r="C1369" s="67">
        <v>3785.7640000000001</v>
      </c>
    </row>
    <row r="1370" spans="1:3">
      <c r="A1370" s="67">
        <v>24572</v>
      </c>
      <c r="B1370" s="67" t="s">
        <v>318</v>
      </c>
      <c r="C1370" s="67">
        <v>4360.1880000000001</v>
      </c>
    </row>
    <row r="1371" spans="1:3">
      <c r="A1371" s="67">
        <v>24594</v>
      </c>
      <c r="B1371" s="67" t="s">
        <v>319</v>
      </c>
      <c r="C1371" s="67">
        <v>1612.692</v>
      </c>
    </row>
    <row r="1372" spans="1:3">
      <c r="A1372" s="67">
        <v>24607</v>
      </c>
      <c r="B1372" s="67" t="s">
        <v>320</v>
      </c>
      <c r="C1372" s="67">
        <v>1192.4649999999999</v>
      </c>
    </row>
    <row r="1373" spans="1:3">
      <c r="A1373" s="67">
        <v>24614</v>
      </c>
      <c r="B1373" s="67" t="s">
        <v>318</v>
      </c>
      <c r="C1373" s="67">
        <v>2079.9929999999999</v>
      </c>
    </row>
    <row r="1374" spans="1:3">
      <c r="A1374" s="67">
        <v>24622</v>
      </c>
      <c r="B1374" s="67" t="s">
        <v>321</v>
      </c>
      <c r="C1374" s="67">
        <v>2130.886</v>
      </c>
    </row>
    <row r="1375" spans="1:3">
      <c r="A1375" s="67">
        <v>24623</v>
      </c>
      <c r="B1375" s="67" t="s">
        <v>319</v>
      </c>
      <c r="C1375" s="67">
        <v>1612.692</v>
      </c>
    </row>
    <row r="1376" spans="1:3">
      <c r="A1376" s="67">
        <v>24647</v>
      </c>
      <c r="B1376" s="67" t="s">
        <v>318</v>
      </c>
      <c r="C1376" s="67">
        <v>1904.288</v>
      </c>
    </row>
    <row r="1377" spans="1:3">
      <c r="A1377" s="67">
        <v>24655</v>
      </c>
      <c r="B1377" s="67" t="s">
        <v>321</v>
      </c>
      <c r="C1377" s="67">
        <v>1144.6790000000001</v>
      </c>
    </row>
    <row r="1378" spans="1:3">
      <c r="A1378" s="67">
        <v>24662</v>
      </c>
      <c r="B1378" s="67" t="s">
        <v>318</v>
      </c>
      <c r="C1378" s="67">
        <v>2079.9929999999999</v>
      </c>
    </row>
    <row r="1379" spans="1:3">
      <c r="A1379" s="67">
        <v>24671</v>
      </c>
      <c r="B1379" s="67" t="s">
        <v>319</v>
      </c>
      <c r="C1379" s="67">
        <v>1925.059</v>
      </c>
    </row>
    <row r="1380" spans="1:3">
      <c r="A1380" s="67">
        <v>24672</v>
      </c>
      <c r="B1380" s="67" t="s">
        <v>320</v>
      </c>
      <c r="C1380" s="67">
        <v>3785.7640000000001</v>
      </c>
    </row>
    <row r="1381" spans="1:3">
      <c r="A1381" s="67">
        <v>24684</v>
      </c>
      <c r="B1381" s="67" t="s">
        <v>318</v>
      </c>
      <c r="C1381" s="67">
        <v>1904.288</v>
      </c>
    </row>
    <row r="1382" spans="1:3">
      <c r="A1382" s="67">
        <v>24686</v>
      </c>
      <c r="B1382" s="67" t="s">
        <v>321</v>
      </c>
      <c r="C1382" s="67">
        <v>1144.6790000000001</v>
      </c>
    </row>
    <row r="1383" spans="1:3">
      <c r="A1383" s="67">
        <v>24689</v>
      </c>
      <c r="B1383" s="67" t="s">
        <v>318</v>
      </c>
      <c r="C1383" s="67">
        <v>1904.288</v>
      </c>
    </row>
    <row r="1384" spans="1:3">
      <c r="A1384" s="67">
        <v>24696</v>
      </c>
      <c r="B1384" s="67" t="s">
        <v>318</v>
      </c>
      <c r="C1384" s="67">
        <v>2079.9929999999999</v>
      </c>
    </row>
    <row r="1385" spans="1:3">
      <c r="A1385" s="67">
        <v>24699</v>
      </c>
      <c r="B1385" s="67" t="s">
        <v>321</v>
      </c>
      <c r="C1385" s="67">
        <v>1144.6790000000001</v>
      </c>
    </row>
    <row r="1386" spans="1:3">
      <c r="A1386" s="67">
        <v>24706</v>
      </c>
      <c r="B1386" s="67" t="s">
        <v>319</v>
      </c>
      <c r="C1386" s="67">
        <v>1612.692</v>
      </c>
    </row>
    <row r="1387" spans="1:3">
      <c r="A1387" s="67">
        <v>24713</v>
      </c>
      <c r="B1387" s="67" t="s">
        <v>319</v>
      </c>
      <c r="C1387" s="67">
        <v>1925.059</v>
      </c>
    </row>
    <row r="1388" spans="1:3">
      <c r="A1388" s="67">
        <v>24733</v>
      </c>
      <c r="B1388" s="67" t="s">
        <v>318</v>
      </c>
      <c r="C1388" s="67">
        <v>4360.1880000000001</v>
      </c>
    </row>
    <row r="1389" spans="1:3">
      <c r="A1389" s="67">
        <v>24740</v>
      </c>
      <c r="B1389" s="67" t="s">
        <v>321</v>
      </c>
      <c r="C1389" s="67">
        <v>2130.886</v>
      </c>
    </row>
    <row r="1390" spans="1:3">
      <c r="A1390" s="67">
        <v>24765</v>
      </c>
      <c r="B1390" s="67" t="s">
        <v>321</v>
      </c>
      <c r="C1390" s="67">
        <v>1144.6790000000001</v>
      </c>
    </row>
    <row r="1391" spans="1:3">
      <c r="A1391" s="67">
        <v>24770</v>
      </c>
      <c r="B1391" s="67" t="s">
        <v>320</v>
      </c>
      <c r="C1391" s="67">
        <v>3785.7640000000001</v>
      </c>
    </row>
    <row r="1392" spans="1:3">
      <c r="A1392" s="67">
        <v>24781</v>
      </c>
      <c r="B1392" s="67" t="s">
        <v>318</v>
      </c>
      <c r="C1392" s="67">
        <v>2079.9929999999999</v>
      </c>
    </row>
    <row r="1393" spans="1:3">
      <c r="A1393" s="67">
        <v>24785</v>
      </c>
      <c r="B1393" s="67" t="s">
        <v>318</v>
      </c>
      <c r="C1393" s="67">
        <v>1904.288</v>
      </c>
    </row>
    <row r="1394" spans="1:3">
      <c r="A1394" s="67">
        <v>24790</v>
      </c>
      <c r="B1394" s="67" t="s">
        <v>318</v>
      </c>
      <c r="C1394" s="67">
        <v>2079.9929999999999</v>
      </c>
    </row>
    <row r="1395" spans="1:3">
      <c r="A1395" s="67">
        <v>24795</v>
      </c>
      <c r="B1395" s="67" t="s">
        <v>318</v>
      </c>
      <c r="C1395" s="67">
        <v>2079.9929999999999</v>
      </c>
    </row>
    <row r="1396" spans="1:3">
      <c r="A1396" s="67">
        <v>24807</v>
      </c>
      <c r="B1396" s="67" t="s">
        <v>318</v>
      </c>
      <c r="C1396" s="67">
        <v>2079.9929999999999</v>
      </c>
    </row>
    <row r="1397" spans="1:3">
      <c r="A1397" s="67">
        <v>24808</v>
      </c>
      <c r="B1397" s="67" t="s">
        <v>320</v>
      </c>
      <c r="C1397" s="67">
        <v>3785.7640000000001</v>
      </c>
    </row>
    <row r="1398" spans="1:3">
      <c r="A1398" s="67">
        <v>24816</v>
      </c>
      <c r="B1398" s="67" t="s">
        <v>318</v>
      </c>
      <c r="C1398" s="67">
        <v>2079.9929999999999</v>
      </c>
    </row>
    <row r="1399" spans="1:3">
      <c r="A1399" s="67">
        <v>24822</v>
      </c>
      <c r="B1399" s="67" t="s">
        <v>321</v>
      </c>
      <c r="C1399" s="67">
        <v>1144.6790000000001</v>
      </c>
    </row>
    <row r="1400" spans="1:3">
      <c r="A1400" s="67">
        <v>24826</v>
      </c>
      <c r="B1400" s="67" t="s">
        <v>319</v>
      </c>
      <c r="C1400" s="67">
        <v>1612.692</v>
      </c>
    </row>
    <row r="1401" spans="1:3">
      <c r="A1401" s="67">
        <v>24827</v>
      </c>
      <c r="B1401" s="67" t="s">
        <v>321</v>
      </c>
      <c r="C1401" s="67">
        <v>1144.6790000000001</v>
      </c>
    </row>
    <row r="1402" spans="1:3">
      <c r="A1402" s="67">
        <v>24833</v>
      </c>
      <c r="B1402" s="67" t="s">
        <v>318</v>
      </c>
      <c r="C1402" s="67">
        <v>12271.31</v>
      </c>
    </row>
    <row r="1403" spans="1:3">
      <c r="A1403" s="67">
        <v>24844</v>
      </c>
      <c r="B1403" s="67" t="s">
        <v>320</v>
      </c>
      <c r="C1403" s="67">
        <v>3785.7640000000001</v>
      </c>
    </row>
    <row r="1404" spans="1:3">
      <c r="A1404" s="67">
        <v>24850</v>
      </c>
      <c r="B1404" s="67" t="s">
        <v>320</v>
      </c>
      <c r="C1404" s="67">
        <v>1192.4649999999999</v>
      </c>
    </row>
    <row r="1405" spans="1:3">
      <c r="A1405" s="67">
        <v>24863</v>
      </c>
      <c r="B1405" s="67" t="s">
        <v>320</v>
      </c>
      <c r="C1405" s="67">
        <v>3785.7640000000001</v>
      </c>
    </row>
    <row r="1406" spans="1:3">
      <c r="A1406" s="67">
        <v>24866</v>
      </c>
      <c r="B1406" s="67" t="s">
        <v>318</v>
      </c>
      <c r="C1406" s="67">
        <v>4360.1880000000001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3:H16"/>
  <sheetViews>
    <sheetView workbookViewId="0">
      <selection activeCell="H16" sqref="H16"/>
    </sheetView>
  </sheetViews>
  <sheetFormatPr defaultRowHeight="12.75"/>
  <cols>
    <col min="3" max="3" width="10.140625" bestFit="1" customWidth="1"/>
    <col min="7" max="7" width="15" customWidth="1"/>
    <col min="8" max="8" width="14.7109375" customWidth="1"/>
  </cols>
  <sheetData>
    <row r="3" spans="1:8">
      <c r="A3" t="s">
        <v>1176</v>
      </c>
    </row>
    <row r="6" spans="1:8" ht="15">
      <c r="A6" s="226" t="s">
        <v>1163</v>
      </c>
      <c r="B6" s="227" t="s">
        <v>1164</v>
      </c>
      <c r="C6" s="227" t="s">
        <v>1165</v>
      </c>
      <c r="D6" s="227" t="s">
        <v>1166</v>
      </c>
      <c r="E6" s="227" t="s">
        <v>1167</v>
      </c>
      <c r="F6" s="227" t="s">
        <v>1168</v>
      </c>
      <c r="G6" s="227" t="s">
        <v>1169</v>
      </c>
      <c r="H6" s="227" t="s">
        <v>1170</v>
      </c>
    </row>
    <row r="7" spans="1:8">
      <c r="A7" s="228">
        <v>2010</v>
      </c>
      <c r="B7" s="229" t="s">
        <v>1171</v>
      </c>
      <c r="C7" s="229" t="s">
        <v>1172</v>
      </c>
      <c r="D7" s="229" t="s">
        <v>1173</v>
      </c>
      <c r="E7" s="229" t="s">
        <v>22</v>
      </c>
      <c r="F7" s="229" t="s">
        <v>65</v>
      </c>
      <c r="G7" s="230">
        <v>828347.14044999995</v>
      </c>
      <c r="H7" s="231">
        <v>9.4560175493825227E-2</v>
      </c>
    </row>
    <row r="8" spans="1:8">
      <c r="A8" s="232">
        <v>2011</v>
      </c>
      <c r="B8" s="233" t="s">
        <v>1171</v>
      </c>
      <c r="C8" s="233" t="s">
        <v>1172</v>
      </c>
      <c r="D8" s="233" t="s">
        <v>1173</v>
      </c>
      <c r="E8" s="233" t="s">
        <v>22</v>
      </c>
      <c r="F8" s="233" t="s">
        <v>65</v>
      </c>
      <c r="G8" s="234">
        <v>845608.93059999996</v>
      </c>
      <c r="H8" s="235">
        <v>9.653069959313143E-2</v>
      </c>
    </row>
    <row r="9" spans="1:8">
      <c r="A9" s="236">
        <v>2012</v>
      </c>
      <c r="B9" s="237" t="s">
        <v>1171</v>
      </c>
      <c r="C9" s="237" t="s">
        <v>1172</v>
      </c>
      <c r="D9" s="237" t="s">
        <v>1173</v>
      </c>
      <c r="E9" s="237" t="s">
        <v>22</v>
      </c>
      <c r="F9" s="237" t="s">
        <v>1174</v>
      </c>
      <c r="G9" s="238">
        <v>3655</v>
      </c>
      <c r="H9" s="239">
        <v>4.1723744652699679E-4</v>
      </c>
    </row>
    <row r="10" spans="1:8">
      <c r="A10" s="232">
        <v>2010</v>
      </c>
      <c r="B10" s="233" t="s">
        <v>1171</v>
      </c>
      <c r="C10" s="233" t="s">
        <v>1172</v>
      </c>
      <c r="D10" s="233" t="s">
        <v>1173</v>
      </c>
      <c r="E10" s="233" t="s">
        <v>22</v>
      </c>
      <c r="F10" s="233" t="s">
        <v>1175</v>
      </c>
      <c r="G10" s="234">
        <v>58927408.463170946</v>
      </c>
      <c r="H10" s="235">
        <v>6.7268730717772343</v>
      </c>
    </row>
    <row r="11" spans="1:8">
      <c r="A11" s="236">
        <v>2011</v>
      </c>
      <c r="B11" s="237" t="s">
        <v>1171</v>
      </c>
      <c r="C11" s="237" t="s">
        <v>1172</v>
      </c>
      <c r="D11" s="237" t="s">
        <v>1173</v>
      </c>
      <c r="E11" s="237" t="s">
        <v>22</v>
      </c>
      <c r="F11" s="237" t="s">
        <v>1175</v>
      </c>
      <c r="G11" s="238">
        <v>54274832.52118466</v>
      </c>
      <c r="H11" s="239">
        <v>6.1957571343155209</v>
      </c>
    </row>
    <row r="12" spans="1:8">
      <c r="A12" s="232">
        <v>2012</v>
      </c>
      <c r="B12" s="233" t="s">
        <v>1171</v>
      </c>
      <c r="C12" s="233" t="s">
        <v>1172</v>
      </c>
      <c r="D12" s="233" t="s">
        <v>1173</v>
      </c>
      <c r="E12" s="233" t="s">
        <v>22</v>
      </c>
      <c r="F12" s="233" t="s">
        <v>1175</v>
      </c>
      <c r="G12" s="234">
        <v>28845249.352341615</v>
      </c>
      <c r="H12" s="235">
        <v>3.2928366901961112</v>
      </c>
    </row>
    <row r="16" spans="1:8">
      <c r="F16" t="s">
        <v>1177</v>
      </c>
      <c r="G16" s="240">
        <f>G9+G12</f>
        <v>28848904.352341615</v>
      </c>
      <c r="H16" s="241">
        <f>H9+H12</f>
        <v>3.2932539276426382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P190"/>
  <sheetViews>
    <sheetView workbookViewId="0">
      <selection activeCell="E22" sqref="E22"/>
    </sheetView>
  </sheetViews>
  <sheetFormatPr defaultRowHeight="12.75"/>
  <sheetData>
    <row r="1" spans="1:16">
      <c r="A1" s="290" t="s">
        <v>1221</v>
      </c>
      <c r="B1" s="290" t="s">
        <v>1222</v>
      </c>
      <c r="C1" s="290" t="s">
        <v>32</v>
      </c>
      <c r="D1" s="290" t="s">
        <v>1178</v>
      </c>
      <c r="E1" s="290" t="s">
        <v>1180</v>
      </c>
      <c r="F1" s="290" t="s">
        <v>1223</v>
      </c>
      <c r="G1" s="291" t="s">
        <v>1224</v>
      </c>
      <c r="H1" s="291" t="s">
        <v>1225</v>
      </c>
      <c r="I1" s="297" t="s">
        <v>1226</v>
      </c>
      <c r="J1" s="291" t="s">
        <v>1227</v>
      </c>
      <c r="K1" s="283"/>
      <c r="L1" s="283" t="s">
        <v>1228</v>
      </c>
      <c r="M1" s="284" t="s">
        <v>1229</v>
      </c>
      <c r="N1" s="283">
        <v>1</v>
      </c>
      <c r="O1" s="295" t="s">
        <v>1230</v>
      </c>
      <c r="P1" s="295" t="s">
        <v>145</v>
      </c>
    </row>
    <row r="2" spans="1:16">
      <c r="A2" s="286" t="s">
        <v>227</v>
      </c>
      <c r="B2" s="286" t="s">
        <v>1231</v>
      </c>
      <c r="C2" s="286" t="s">
        <v>440</v>
      </c>
      <c r="D2" s="286" t="s">
        <v>67</v>
      </c>
      <c r="E2" s="287" t="s">
        <v>68</v>
      </c>
      <c r="F2" s="293">
        <v>2.512677464943962</v>
      </c>
      <c r="G2" s="293">
        <v>0.50380525534407883</v>
      </c>
      <c r="H2" s="283" t="s">
        <v>69</v>
      </c>
      <c r="I2" s="298">
        <v>0.11692525342820834</v>
      </c>
      <c r="J2" s="299">
        <v>9.5166570691198223E-3</v>
      </c>
      <c r="K2" s="283"/>
      <c r="L2" s="283" t="s">
        <v>1232</v>
      </c>
      <c r="M2" s="284" t="s">
        <v>1229</v>
      </c>
      <c r="N2" s="283">
        <v>2</v>
      </c>
      <c r="O2" s="295" t="s">
        <v>1233</v>
      </c>
      <c r="P2" s="295" t="s">
        <v>146</v>
      </c>
    </row>
    <row r="3" spans="1:16">
      <c r="A3" s="286" t="s">
        <v>227</v>
      </c>
      <c r="B3" s="286" t="s">
        <v>1231</v>
      </c>
      <c r="C3" s="286" t="s">
        <v>441</v>
      </c>
      <c r="D3" s="286" t="s">
        <v>70</v>
      </c>
      <c r="E3" s="287" t="s">
        <v>71</v>
      </c>
      <c r="F3" s="293">
        <v>2.5490082163743231</v>
      </c>
      <c r="G3" s="293">
        <v>0.51031255862808866</v>
      </c>
      <c r="H3" s="283" t="s">
        <v>69</v>
      </c>
      <c r="I3" s="298">
        <v>0.12106704775514808</v>
      </c>
      <c r="J3" s="299">
        <v>9.8537616304070277E-3</v>
      </c>
      <c r="K3" s="283"/>
      <c r="L3" s="283" t="s">
        <v>1234</v>
      </c>
      <c r="M3" s="284" t="s">
        <v>1229</v>
      </c>
      <c r="N3" s="283">
        <v>3</v>
      </c>
      <c r="O3" s="295" t="s">
        <v>1235</v>
      </c>
      <c r="P3" s="295" t="s">
        <v>147</v>
      </c>
    </row>
    <row r="4" spans="1:16">
      <c r="A4" s="286" t="s">
        <v>227</v>
      </c>
      <c r="B4" s="286" t="s">
        <v>1231</v>
      </c>
      <c r="C4" s="286" t="s">
        <v>442</v>
      </c>
      <c r="D4" s="286" t="s">
        <v>72</v>
      </c>
      <c r="E4" s="287" t="s">
        <v>73</v>
      </c>
      <c r="F4" s="293">
        <v>0.64022419195100277</v>
      </c>
      <c r="G4" s="293">
        <v>7.9384280330008411E-2</v>
      </c>
      <c r="H4" s="283" t="s">
        <v>69</v>
      </c>
      <c r="I4" s="298">
        <v>6.5553981292232083E-2</v>
      </c>
      <c r="J4" s="299">
        <v>5.3355005970264031E-3</v>
      </c>
      <c r="K4" s="283"/>
      <c r="L4" s="283" t="s">
        <v>1236</v>
      </c>
      <c r="M4" s="284" t="s">
        <v>227</v>
      </c>
      <c r="N4" s="283">
        <v>1</v>
      </c>
      <c r="O4" s="295" t="s">
        <v>1237</v>
      </c>
      <c r="P4" s="295" t="s">
        <v>69</v>
      </c>
    </row>
    <row r="5" spans="1:16">
      <c r="A5" s="286" t="s">
        <v>227</v>
      </c>
      <c r="B5" s="286" t="s">
        <v>1231</v>
      </c>
      <c r="C5" s="286" t="s">
        <v>443</v>
      </c>
      <c r="D5" s="287" t="s">
        <v>74</v>
      </c>
      <c r="E5" s="287" t="s">
        <v>75</v>
      </c>
      <c r="F5" s="293">
        <v>0.69493660662805767</v>
      </c>
      <c r="G5" s="293">
        <v>8.5891583614018122E-2</v>
      </c>
      <c r="H5" s="283" t="s">
        <v>69</v>
      </c>
      <c r="I5" s="298">
        <v>7.1834958188222706E-2</v>
      </c>
      <c r="J5" s="299">
        <v>5.8467152527629275E-3</v>
      </c>
      <c r="K5" s="283"/>
      <c r="L5" s="283" t="s">
        <v>1238</v>
      </c>
      <c r="M5" s="284" t="s">
        <v>227</v>
      </c>
      <c r="N5" s="283">
        <v>2</v>
      </c>
      <c r="O5" s="295" t="s">
        <v>1239</v>
      </c>
      <c r="P5" s="295" t="s">
        <v>106</v>
      </c>
    </row>
    <row r="6" spans="1:16">
      <c r="A6" s="286" t="s">
        <v>227</v>
      </c>
      <c r="B6" s="286" t="s">
        <v>1231</v>
      </c>
      <c r="C6" s="286" t="s">
        <v>444</v>
      </c>
      <c r="D6" s="287" t="s">
        <v>76</v>
      </c>
      <c r="E6" s="287" t="s">
        <v>77</v>
      </c>
      <c r="F6" s="293">
        <v>0.27320004465109565</v>
      </c>
      <c r="G6" s="293">
        <v>3.2312263341684529E-2</v>
      </c>
      <c r="H6" s="283" t="s">
        <v>69</v>
      </c>
      <c r="I6" s="298">
        <v>2.8980018635376099E-2</v>
      </c>
      <c r="J6" s="299">
        <v>2.3587111519831937E-3</v>
      </c>
      <c r="K6" s="283"/>
      <c r="L6" s="283" t="s">
        <v>1240</v>
      </c>
      <c r="M6" s="284" t="s">
        <v>227</v>
      </c>
      <c r="N6" s="283">
        <v>3</v>
      </c>
      <c r="O6" s="295" t="s">
        <v>1241</v>
      </c>
      <c r="P6" s="295" t="s">
        <v>126</v>
      </c>
    </row>
    <row r="7" spans="1:16">
      <c r="A7" s="286" t="s">
        <v>227</v>
      </c>
      <c r="B7" s="286" t="s">
        <v>1231</v>
      </c>
      <c r="C7" s="286" t="s">
        <v>445</v>
      </c>
      <c r="D7" s="287" t="s">
        <v>78</v>
      </c>
      <c r="E7" s="287" t="s">
        <v>79</v>
      </c>
      <c r="F7" s="293">
        <v>0.32943433787246418</v>
      </c>
      <c r="G7" s="293">
        <v>3.8819566625694232E-2</v>
      </c>
      <c r="H7" s="283" t="s">
        <v>69</v>
      </c>
      <c r="I7" s="298">
        <v>3.5263771768060913E-2</v>
      </c>
      <c r="J7" s="299">
        <v>2.870151768252509E-3</v>
      </c>
      <c r="K7" s="283"/>
      <c r="L7" s="283" t="s">
        <v>1242</v>
      </c>
      <c r="M7" s="284" t="s">
        <v>229</v>
      </c>
      <c r="N7" s="283">
        <v>1</v>
      </c>
      <c r="O7" s="295" t="s">
        <v>1243</v>
      </c>
      <c r="P7" s="295" t="s">
        <v>149</v>
      </c>
    </row>
    <row r="8" spans="1:16">
      <c r="A8" s="286" t="s">
        <v>227</v>
      </c>
      <c r="B8" s="286" t="s">
        <v>1231</v>
      </c>
      <c r="C8" s="286" t="s">
        <v>446</v>
      </c>
      <c r="D8" s="287" t="s">
        <v>1185</v>
      </c>
      <c r="E8" s="287" t="s">
        <v>1186</v>
      </c>
      <c r="F8" s="293">
        <v>9.0489991855724747E-2</v>
      </c>
      <c r="G8" s="293">
        <v>8.3370186071650212E-3</v>
      </c>
      <c r="H8" s="283" t="s">
        <v>69</v>
      </c>
      <c r="I8" s="298">
        <v>1.0137849162521662E-2</v>
      </c>
      <c r="J8" s="299">
        <v>8.251291407926658E-4</v>
      </c>
      <c r="K8" s="283"/>
      <c r="L8" s="283" t="s">
        <v>1244</v>
      </c>
      <c r="M8" s="284" t="s">
        <v>229</v>
      </c>
      <c r="N8" s="283">
        <v>2</v>
      </c>
      <c r="O8" s="295" t="s">
        <v>1245</v>
      </c>
      <c r="P8" s="295" t="s">
        <v>169</v>
      </c>
    </row>
    <row r="9" spans="1:16">
      <c r="A9" s="286" t="s">
        <v>227</v>
      </c>
      <c r="B9" s="286" t="s">
        <v>1231</v>
      </c>
      <c r="C9" s="286" t="s">
        <v>447</v>
      </c>
      <c r="D9" s="287" t="s">
        <v>80</v>
      </c>
      <c r="E9" s="287" t="s">
        <v>81</v>
      </c>
      <c r="F9" s="293">
        <v>0.16171799444719387</v>
      </c>
      <c r="G9" s="293">
        <v>1.4844321891174728E-2</v>
      </c>
      <c r="H9" s="283" t="s">
        <v>69</v>
      </c>
      <c r="I9" s="298">
        <v>1.8293259578067572E-2</v>
      </c>
      <c r="J9" s="299">
        <v>1.4889057152033601E-3</v>
      </c>
      <c r="K9" s="283"/>
      <c r="L9" s="283" t="s">
        <v>1246</v>
      </c>
      <c r="M9" s="284" t="s">
        <v>229</v>
      </c>
      <c r="N9" s="283">
        <v>3</v>
      </c>
      <c r="O9" s="295" t="s">
        <v>1247</v>
      </c>
      <c r="P9" s="295" t="s">
        <v>189</v>
      </c>
    </row>
    <row r="10" spans="1:16">
      <c r="A10" s="286" t="s">
        <v>227</v>
      </c>
      <c r="B10" s="286" t="s">
        <v>1231</v>
      </c>
      <c r="C10" s="286" t="s">
        <v>448</v>
      </c>
      <c r="D10" s="287" t="s">
        <v>82</v>
      </c>
      <c r="E10" s="287" t="s">
        <v>83</v>
      </c>
      <c r="F10" s="293">
        <v>7.1256201956237886E-2</v>
      </c>
      <c r="G10" s="293">
        <v>6.5073032840097071E-3</v>
      </c>
      <c r="H10" s="283" t="s">
        <v>69</v>
      </c>
      <c r="I10" s="298">
        <v>8.1250028573482836E-3</v>
      </c>
      <c r="J10" s="299">
        <v>6.6130167446229438E-4</v>
      </c>
      <c r="K10" s="283"/>
      <c r="L10" s="283"/>
      <c r="M10" s="284"/>
      <c r="N10" s="283"/>
      <c r="O10" s="283"/>
      <c r="P10" s="283"/>
    </row>
    <row r="11" spans="1:16">
      <c r="A11" s="286" t="s">
        <v>227</v>
      </c>
      <c r="B11" s="286" t="s">
        <v>1231</v>
      </c>
      <c r="C11" s="286" t="s">
        <v>449</v>
      </c>
      <c r="D11" s="287" t="s">
        <v>84</v>
      </c>
      <c r="E11" s="288" t="s">
        <v>85</v>
      </c>
      <c r="F11" s="293">
        <v>2.0207877623160515</v>
      </c>
      <c r="G11" s="293">
        <v>8.0894807195414892E-2</v>
      </c>
      <c r="H11" s="283" t="s">
        <v>69</v>
      </c>
      <c r="I11" s="298">
        <v>0.19238984203628989</v>
      </c>
      <c r="J11" s="299">
        <v>1.5658791377909435E-2</v>
      </c>
      <c r="K11" s="283"/>
      <c r="L11" s="283"/>
      <c r="M11" s="284"/>
      <c r="N11" s="283"/>
      <c r="O11" s="283"/>
      <c r="P11" s="283"/>
    </row>
    <row r="12" spans="1:16">
      <c r="A12" s="286" t="s">
        <v>227</v>
      </c>
      <c r="B12" s="286" t="s">
        <v>1231</v>
      </c>
      <c r="C12" s="286" t="s">
        <v>450</v>
      </c>
      <c r="D12" s="287" t="s">
        <v>86</v>
      </c>
      <c r="E12" s="289" t="s">
        <v>87</v>
      </c>
      <c r="F12" s="293">
        <v>1.1505537681307958</v>
      </c>
      <c r="G12" s="293">
        <v>-6.2795071530609481E-2</v>
      </c>
      <c r="H12" s="283" t="s">
        <v>69</v>
      </c>
      <c r="I12" s="298">
        <v>5.6782226547674876E-2</v>
      </c>
      <c r="J12" s="299">
        <v>4.6215591741871464E-3</v>
      </c>
      <c r="K12" s="283"/>
      <c r="L12" s="283"/>
      <c r="M12" s="284"/>
      <c r="N12" s="283"/>
      <c r="O12" s="283"/>
      <c r="P12" s="283"/>
    </row>
    <row r="13" spans="1:16">
      <c r="A13" s="286" t="s">
        <v>227</v>
      </c>
      <c r="B13" s="286" t="s">
        <v>1231</v>
      </c>
      <c r="C13" s="286" t="s">
        <v>451</v>
      </c>
      <c r="D13" s="287" t="s">
        <v>88</v>
      </c>
      <c r="E13" s="289" t="s">
        <v>89</v>
      </c>
      <c r="F13" s="293">
        <v>1.236379983852967</v>
      </c>
      <c r="G13" s="293">
        <v>-6.9245185250162225E-2</v>
      </c>
      <c r="H13" s="283" t="s">
        <v>69</v>
      </c>
      <c r="I13" s="298">
        <v>6.6596425622594685E-2</v>
      </c>
      <c r="J13" s="299">
        <v>5.4203461279518526E-3</v>
      </c>
      <c r="K13" s="283"/>
      <c r="L13" s="283"/>
      <c r="M13" s="283"/>
      <c r="N13" s="283"/>
      <c r="O13" s="296"/>
      <c r="P13" s="296"/>
    </row>
    <row r="14" spans="1:16">
      <c r="A14" s="286" t="s">
        <v>227</v>
      </c>
      <c r="B14" s="286" t="s">
        <v>1231</v>
      </c>
      <c r="C14" s="286" t="s">
        <v>452</v>
      </c>
      <c r="D14" s="287" t="s">
        <v>90</v>
      </c>
      <c r="E14" s="289" t="s">
        <v>91</v>
      </c>
      <c r="F14" s="293">
        <v>1.2901773640621106</v>
      </c>
      <c r="G14" s="293">
        <v>-7.3435817062985798E-2</v>
      </c>
      <c r="H14" s="283" t="s">
        <v>69</v>
      </c>
      <c r="I14" s="298">
        <v>7.3054860736960769E-2</v>
      </c>
      <c r="J14" s="299">
        <v>5.9460042760808331E-3</v>
      </c>
      <c r="K14" s="283"/>
      <c r="L14" s="283"/>
      <c r="M14" s="283"/>
      <c r="N14" s="283"/>
      <c r="O14" s="296"/>
      <c r="P14" s="296"/>
    </row>
    <row r="15" spans="1:16">
      <c r="A15" s="286" t="s">
        <v>227</v>
      </c>
      <c r="B15" s="286" t="s">
        <v>1231</v>
      </c>
      <c r="C15" s="286" t="s">
        <v>1248</v>
      </c>
      <c r="D15" s="287" t="s">
        <v>1187</v>
      </c>
      <c r="E15" s="289" t="s">
        <v>1188</v>
      </c>
      <c r="F15" s="293">
        <v>0.17698098930161074</v>
      </c>
      <c r="G15" s="293">
        <v>-1.0640745532376329E-2</v>
      </c>
      <c r="H15" s="283" t="s">
        <v>69</v>
      </c>
      <c r="I15" s="298">
        <v>1.6356593895441175E-2</v>
      </c>
      <c r="J15" s="299">
        <v>1.3312786618619313E-3</v>
      </c>
      <c r="K15" s="283"/>
      <c r="L15" s="283"/>
      <c r="M15" s="283"/>
      <c r="N15" s="283"/>
      <c r="O15" s="296"/>
      <c r="P15" s="296"/>
    </row>
    <row r="16" spans="1:16">
      <c r="A16" s="286" t="s">
        <v>227</v>
      </c>
      <c r="B16" s="286" t="s">
        <v>1231</v>
      </c>
      <c r="C16" s="286" t="s">
        <v>453</v>
      </c>
      <c r="D16" s="287" t="s">
        <v>92</v>
      </c>
      <c r="E16" s="289" t="s">
        <v>93</v>
      </c>
      <c r="F16" s="293">
        <v>17.100686762738139</v>
      </c>
      <c r="G16" s="293">
        <v>1.4194003991194934</v>
      </c>
      <c r="H16" s="283" t="s">
        <v>69</v>
      </c>
      <c r="I16" s="298">
        <v>1.9651160465191011</v>
      </c>
      <c r="J16" s="299">
        <v>0.15994265539248415</v>
      </c>
      <c r="K16" s="283"/>
      <c r="L16" s="283"/>
      <c r="M16" s="283"/>
      <c r="N16" s="283"/>
      <c r="O16" s="296"/>
      <c r="P16" s="296"/>
    </row>
    <row r="17" spans="1:16">
      <c r="A17" s="286" t="s">
        <v>227</v>
      </c>
      <c r="B17" s="286" t="s">
        <v>1231</v>
      </c>
      <c r="C17" s="286" t="s">
        <v>454</v>
      </c>
      <c r="D17" s="287" t="s">
        <v>94</v>
      </c>
      <c r="E17" s="289" t="s">
        <v>95</v>
      </c>
      <c r="F17" s="293">
        <v>6.2670489340329203</v>
      </c>
      <c r="G17" s="293">
        <v>1.6360446678440637</v>
      </c>
      <c r="H17" s="283" t="s">
        <v>69</v>
      </c>
      <c r="I17" s="298">
        <v>0.65559469666502468</v>
      </c>
      <c r="J17" s="299">
        <v>5.3359473010040882E-2</v>
      </c>
      <c r="K17" s="283"/>
      <c r="L17" s="283"/>
      <c r="M17" s="283"/>
      <c r="N17" s="283"/>
      <c r="O17" s="294" t="s">
        <v>1249</v>
      </c>
      <c r="P17" s="294" t="s">
        <v>209</v>
      </c>
    </row>
    <row r="18" spans="1:16">
      <c r="A18" s="286" t="s">
        <v>227</v>
      </c>
      <c r="B18" s="286" t="s">
        <v>1231</v>
      </c>
      <c r="C18" s="286" t="s">
        <v>455</v>
      </c>
      <c r="D18" s="287" t="s">
        <v>96</v>
      </c>
      <c r="E18" s="289" t="s">
        <v>97</v>
      </c>
      <c r="F18" s="293">
        <v>0.84740610708692787</v>
      </c>
      <c r="G18" s="293">
        <v>4.9601054806867516E-2</v>
      </c>
      <c r="H18" s="283" t="s">
        <v>69</v>
      </c>
      <c r="I18" s="298">
        <v>0.10751572259783027</v>
      </c>
      <c r="J18" s="299">
        <v>8.7508064468759285E-3</v>
      </c>
      <c r="K18" s="283"/>
      <c r="L18" s="283"/>
      <c r="M18" s="283"/>
      <c r="N18" s="283"/>
      <c r="O18" s="283"/>
      <c r="P18" s="283"/>
    </row>
    <row r="19" spans="1:16">
      <c r="A19" s="286" t="s">
        <v>227</v>
      </c>
      <c r="B19" s="286" t="s">
        <v>1231</v>
      </c>
      <c r="C19" s="286" t="s">
        <v>456</v>
      </c>
      <c r="D19" s="287" t="s">
        <v>98</v>
      </c>
      <c r="E19" s="289" t="s">
        <v>99</v>
      </c>
      <c r="F19" s="293">
        <v>18.659191916208641</v>
      </c>
      <c r="G19" s="293">
        <v>1.5336616397523612</v>
      </c>
      <c r="H19" s="283" t="s">
        <v>69</v>
      </c>
      <c r="I19" s="298">
        <v>2.1903955834415156</v>
      </c>
      <c r="J19" s="299">
        <v>0.17827837017369766</v>
      </c>
      <c r="K19" s="283"/>
      <c r="L19" s="283"/>
      <c r="M19" s="283"/>
      <c r="N19" s="283"/>
      <c r="O19" s="283"/>
      <c r="P19" s="283"/>
    </row>
    <row r="20" spans="1:16">
      <c r="A20" s="286" t="s">
        <v>227</v>
      </c>
      <c r="B20" s="286" t="s">
        <v>1231</v>
      </c>
      <c r="C20" s="286" t="s">
        <v>457</v>
      </c>
      <c r="D20" s="287" t="s">
        <v>100</v>
      </c>
      <c r="E20" s="289" t="s">
        <v>101</v>
      </c>
      <c r="F20" s="293">
        <v>7.3453786309303037</v>
      </c>
      <c r="G20" s="293">
        <v>1.7503059084769315</v>
      </c>
      <c r="H20" s="283" t="s">
        <v>69</v>
      </c>
      <c r="I20" s="298">
        <v>0.79464609224223193</v>
      </c>
      <c r="J20" s="299">
        <v>6.4676997735384406E-2</v>
      </c>
      <c r="K20" s="283"/>
      <c r="L20" s="283"/>
      <c r="M20" s="283"/>
      <c r="N20" s="283"/>
      <c r="O20" s="283"/>
      <c r="P20" s="283"/>
    </row>
    <row r="21" spans="1:16">
      <c r="A21" s="286" t="s">
        <v>227</v>
      </c>
      <c r="B21" s="286" t="s">
        <v>1231</v>
      </c>
      <c r="C21" s="286" t="s">
        <v>458</v>
      </c>
      <c r="D21" s="287" t="s">
        <v>102</v>
      </c>
      <c r="E21" s="289" t="s">
        <v>103</v>
      </c>
      <c r="F21" s="293">
        <v>2.2526858191363761</v>
      </c>
      <c r="G21" s="293">
        <v>0.16386229543973541</v>
      </c>
      <c r="H21" s="283" t="s">
        <v>69</v>
      </c>
      <c r="I21" s="298">
        <v>0.29129108218932787</v>
      </c>
      <c r="J21" s="299">
        <v>2.3708456943312934E-2</v>
      </c>
      <c r="K21" s="283"/>
      <c r="L21" s="283"/>
      <c r="M21" s="283"/>
      <c r="N21" s="283"/>
      <c r="O21" s="283"/>
      <c r="P21" s="283"/>
    </row>
    <row r="22" spans="1:16" ht="33.75">
      <c r="A22" s="286" t="s">
        <v>227</v>
      </c>
      <c r="B22" s="286" t="s">
        <v>1231</v>
      </c>
      <c r="C22" s="286" t="s">
        <v>459</v>
      </c>
      <c r="D22" s="287" t="s">
        <v>104</v>
      </c>
      <c r="E22" s="285" t="s">
        <v>1197</v>
      </c>
      <c r="F22" s="293">
        <v>0.59037225159561069</v>
      </c>
      <c r="G22" s="293">
        <v>2.0097603583862363E-2</v>
      </c>
      <c r="H22" s="283" t="s">
        <v>69</v>
      </c>
      <c r="I22" s="298">
        <v>6.9811648327506012E-2</v>
      </c>
      <c r="J22" s="299">
        <v>5.6820361477410864E-3</v>
      </c>
      <c r="K22" s="283"/>
      <c r="L22" s="283"/>
      <c r="M22" s="283"/>
      <c r="N22" s="283"/>
      <c r="O22" s="283"/>
      <c r="P22" s="283"/>
    </row>
    <row r="23" spans="1:16">
      <c r="A23" s="286" t="s">
        <v>227</v>
      </c>
      <c r="B23" s="286" t="s">
        <v>1250</v>
      </c>
      <c r="C23" s="286" t="s">
        <v>440</v>
      </c>
      <c r="D23" s="292" t="s">
        <v>105</v>
      </c>
      <c r="E23" s="287" t="s">
        <v>68</v>
      </c>
      <c r="F23" s="293">
        <v>3.5585424577414444</v>
      </c>
      <c r="G23" s="293">
        <v>3.7339142532908626E-2</v>
      </c>
      <c r="H23" s="283" t="s">
        <v>106</v>
      </c>
      <c r="I23" s="298">
        <v>0.14583046136579289</v>
      </c>
      <c r="J23" s="299">
        <v>1.1869279307586819E-2</v>
      </c>
      <c r="K23" s="283"/>
      <c r="L23" s="283"/>
      <c r="M23" s="283"/>
      <c r="N23" s="283"/>
      <c r="O23" s="283"/>
      <c r="P23" s="283"/>
    </row>
    <row r="24" spans="1:16">
      <c r="A24" s="286" t="s">
        <v>227</v>
      </c>
      <c r="B24" s="286" t="s">
        <v>1250</v>
      </c>
      <c r="C24" s="286" t="s">
        <v>441</v>
      </c>
      <c r="D24" s="292" t="s">
        <v>107</v>
      </c>
      <c r="E24" s="287" t="s">
        <v>71</v>
      </c>
      <c r="F24" s="293">
        <v>3.6117065173710174</v>
      </c>
      <c r="G24" s="293">
        <v>3.7668075873153059E-2</v>
      </c>
      <c r="H24" s="283" t="s">
        <v>106</v>
      </c>
      <c r="I24" s="298">
        <v>0.14953758083157814</v>
      </c>
      <c r="J24" s="299">
        <v>1.2171005270419975E-2</v>
      </c>
      <c r="K24" s="283"/>
      <c r="L24" s="283"/>
      <c r="M24" s="283"/>
      <c r="N24" s="283"/>
      <c r="O24" s="283"/>
      <c r="P24" s="283"/>
    </row>
    <row r="25" spans="1:16">
      <c r="A25" s="286" t="s">
        <v>227</v>
      </c>
      <c r="B25" s="286" t="s">
        <v>1250</v>
      </c>
      <c r="C25" s="286" t="s">
        <v>442</v>
      </c>
      <c r="D25" s="292" t="s">
        <v>108</v>
      </c>
      <c r="E25" s="287" t="s">
        <v>73</v>
      </c>
      <c r="F25" s="293">
        <v>0.69133307816520773</v>
      </c>
      <c r="G25" s="293">
        <v>4.2697639445848498E-3</v>
      </c>
      <c r="H25" s="283" t="s">
        <v>106</v>
      </c>
      <c r="I25" s="298">
        <v>4.3582936810104701E-2</v>
      </c>
      <c r="J25" s="299">
        <v>3.5472564867396151E-3</v>
      </c>
      <c r="K25" s="283"/>
      <c r="L25" s="283"/>
      <c r="M25" s="283"/>
      <c r="N25" s="283"/>
      <c r="O25" s="283"/>
      <c r="P25" s="283"/>
    </row>
    <row r="26" spans="1:16">
      <c r="A26" s="286" t="s">
        <v>227</v>
      </c>
      <c r="B26" s="286" t="s">
        <v>1250</v>
      </c>
      <c r="C26" s="286" t="s">
        <v>443</v>
      </c>
      <c r="D26" s="292" t="s">
        <v>109</v>
      </c>
      <c r="E26" s="287" t="s">
        <v>75</v>
      </c>
      <c r="F26" s="293">
        <v>0.75066511297131944</v>
      </c>
      <c r="G26" s="293">
        <v>4.5986972848292848E-3</v>
      </c>
      <c r="H26" s="283" t="s">
        <v>106</v>
      </c>
      <c r="I26" s="298">
        <v>4.7888039711696855E-2</v>
      </c>
      <c r="J26" s="299">
        <v>3.8976528875212541E-3</v>
      </c>
      <c r="K26" s="283"/>
      <c r="L26" s="283"/>
      <c r="M26" s="283"/>
      <c r="N26" s="283"/>
      <c r="O26" s="283"/>
      <c r="P26" s="283"/>
    </row>
    <row r="27" spans="1:16">
      <c r="A27" s="286" t="s">
        <v>227</v>
      </c>
      <c r="B27" s="286" t="s">
        <v>1250</v>
      </c>
      <c r="C27" s="286" t="s">
        <v>444</v>
      </c>
      <c r="D27" s="292" t="s">
        <v>110</v>
      </c>
      <c r="E27" s="287" t="s">
        <v>77</v>
      </c>
      <c r="F27" s="293">
        <v>0.29613604729256143</v>
      </c>
      <c r="G27" s="293">
        <v>1.6828309031034266E-3</v>
      </c>
      <c r="H27" s="283" t="s">
        <v>106</v>
      </c>
      <c r="I27" s="298">
        <v>1.9317713071461639E-2</v>
      </c>
      <c r="J27" s="299">
        <v>1.5722869548760988E-3</v>
      </c>
      <c r="K27" s="283"/>
      <c r="L27" s="283"/>
      <c r="M27" s="283"/>
      <c r="N27" s="283"/>
      <c r="O27" s="283"/>
      <c r="P27" s="283"/>
    </row>
    <row r="28" spans="1:16">
      <c r="A28" s="286" t="s">
        <v>227</v>
      </c>
      <c r="B28" s="286" t="s">
        <v>1250</v>
      </c>
      <c r="C28" s="286" t="s">
        <v>445</v>
      </c>
      <c r="D28" s="292" t="s">
        <v>111</v>
      </c>
      <c r="E28" s="287" t="s">
        <v>79</v>
      </c>
      <c r="F28" s="293">
        <v>0.3572137943292365</v>
      </c>
      <c r="G28" s="293">
        <v>2.011764243347861E-3</v>
      </c>
      <c r="H28" s="283" t="s">
        <v>106</v>
      </c>
      <c r="I28" s="298">
        <v>2.3561146106642328E-2</v>
      </c>
      <c r="J28" s="299">
        <v>1.9176639868479309E-3</v>
      </c>
      <c r="K28" s="283"/>
      <c r="L28" s="283"/>
      <c r="M28" s="283"/>
      <c r="N28" s="283"/>
      <c r="O28" s="283"/>
      <c r="P28" s="283"/>
    </row>
    <row r="29" spans="1:16">
      <c r="A29" s="286" t="s">
        <v>227</v>
      </c>
      <c r="B29" s="286" t="s">
        <v>1250</v>
      </c>
      <c r="C29" s="286" t="s">
        <v>446</v>
      </c>
      <c r="D29" s="292" t="s">
        <v>1251</v>
      </c>
      <c r="E29" s="287" t="s">
        <v>1186</v>
      </c>
      <c r="F29" s="293">
        <v>9.6427461149724655E-2</v>
      </c>
      <c r="G29" s="293">
        <v>4.2707253144033593E-4</v>
      </c>
      <c r="H29" s="283" t="s">
        <v>106</v>
      </c>
      <c r="I29" s="298">
        <v>6.6841128619613563E-3</v>
      </c>
      <c r="J29" s="299">
        <v>5.4402627365384175E-4</v>
      </c>
      <c r="K29" s="283"/>
      <c r="L29" s="283"/>
      <c r="M29" s="283"/>
      <c r="N29" s="283"/>
      <c r="O29" s="283"/>
      <c r="P29" s="283"/>
    </row>
    <row r="30" spans="1:16">
      <c r="A30" s="286" t="s">
        <v>227</v>
      </c>
      <c r="B30" s="286" t="s">
        <v>1250</v>
      </c>
      <c r="C30" s="286" t="s">
        <v>447</v>
      </c>
      <c r="D30" s="292" t="s">
        <v>112</v>
      </c>
      <c r="E30" s="287" t="s">
        <v>81</v>
      </c>
      <c r="F30" s="293">
        <v>0.17238786179741297</v>
      </c>
      <c r="G30" s="293">
        <v>7.5600587168477029E-4</v>
      </c>
      <c r="H30" s="283" t="s">
        <v>106</v>
      </c>
      <c r="I30" s="298">
        <v>1.2085811012791839E-2</v>
      </c>
      <c r="J30" s="299">
        <v>9.836755999126515E-4</v>
      </c>
      <c r="K30" s="283"/>
      <c r="L30" s="283"/>
      <c r="M30" s="283"/>
      <c r="N30" s="283"/>
      <c r="O30" s="283"/>
      <c r="P30" s="283"/>
    </row>
    <row r="31" spans="1:16">
      <c r="A31" s="286" t="s">
        <v>227</v>
      </c>
      <c r="B31" s="286" t="s">
        <v>1250</v>
      </c>
      <c r="C31" s="286" t="s">
        <v>448</v>
      </c>
      <c r="D31" s="292" t="s">
        <v>113</v>
      </c>
      <c r="E31" s="287" t="s">
        <v>83</v>
      </c>
      <c r="F31" s="293">
        <v>7.5964679496362875E-2</v>
      </c>
      <c r="G31" s="293">
        <v>3.2893334024443446E-4</v>
      </c>
      <c r="H31" s="283" t="s">
        <v>106</v>
      </c>
      <c r="I31" s="298">
        <v>5.3804605911976925E-3</v>
      </c>
      <c r="J31" s="299">
        <v>4.3792078117479727E-4</v>
      </c>
      <c r="K31" s="283"/>
      <c r="L31" s="283"/>
      <c r="M31" s="283"/>
      <c r="N31" s="283"/>
      <c r="O31" s="283"/>
      <c r="P31" s="283"/>
    </row>
    <row r="32" spans="1:16">
      <c r="A32" s="286" t="s">
        <v>227</v>
      </c>
      <c r="B32" s="286" t="s">
        <v>1250</v>
      </c>
      <c r="C32" s="286" t="s">
        <v>449</v>
      </c>
      <c r="D32" s="292" t="s">
        <v>114</v>
      </c>
      <c r="E32" s="288" t="s">
        <v>85</v>
      </c>
      <c r="F32" s="293">
        <v>2.2431334870127517</v>
      </c>
      <c r="G32" s="293">
        <v>1.1469205460095497E-3</v>
      </c>
      <c r="H32" s="283" t="s">
        <v>106</v>
      </c>
      <c r="I32" s="298">
        <v>0.12865993935669823</v>
      </c>
      <c r="J32" s="299">
        <v>1.0471754266012641E-2</v>
      </c>
      <c r="K32" s="283"/>
      <c r="L32" s="283"/>
      <c r="M32" s="283"/>
      <c r="N32" s="283"/>
      <c r="O32" s="283"/>
      <c r="P32" s="283"/>
    </row>
    <row r="33" spans="1:10">
      <c r="A33" s="286" t="s">
        <v>227</v>
      </c>
      <c r="B33" s="286" t="s">
        <v>1250</v>
      </c>
      <c r="C33" s="286" t="s">
        <v>450</v>
      </c>
      <c r="D33" s="292" t="s">
        <v>115</v>
      </c>
      <c r="E33" s="289" t="s">
        <v>87</v>
      </c>
      <c r="F33" s="293">
        <v>1.2787913226183845</v>
      </c>
      <c r="G33" s="293">
        <v>-5.6809073969380109E-3</v>
      </c>
      <c r="H33" s="283" t="s">
        <v>106</v>
      </c>
      <c r="I33" s="298">
        <v>2.3439690497327862E-2</v>
      </c>
      <c r="J33" s="299">
        <v>1.9077785998243616E-3</v>
      </c>
    </row>
    <row r="34" spans="1:10">
      <c r="A34" s="286" t="s">
        <v>227</v>
      </c>
      <c r="B34" s="286" t="s">
        <v>1250</v>
      </c>
      <c r="C34" s="286" t="s">
        <v>451</v>
      </c>
      <c r="D34" s="292" t="s">
        <v>116</v>
      </c>
      <c r="E34" s="289" t="s">
        <v>89</v>
      </c>
      <c r="F34" s="293">
        <v>1.377358808079906</v>
      </c>
      <c r="G34" s="293">
        <v>-6.4627674943288378E-3</v>
      </c>
      <c r="H34" s="283" t="s">
        <v>106</v>
      </c>
      <c r="I34" s="298">
        <v>3.0358017807788816E-2</v>
      </c>
      <c r="J34" s="299">
        <v>2.4708678091713231E-3</v>
      </c>
    </row>
    <row r="35" spans="1:10">
      <c r="A35" s="286" t="s">
        <v>227</v>
      </c>
      <c r="B35" s="286" t="s">
        <v>1250</v>
      </c>
      <c r="C35" s="286" t="s">
        <v>452</v>
      </c>
      <c r="D35" s="292" t="s">
        <v>117</v>
      </c>
      <c r="E35" s="289" t="s">
        <v>91</v>
      </c>
      <c r="F35" s="293">
        <v>1.439314391066026</v>
      </c>
      <c r="G35" s="293">
        <v>-6.9875423954603834E-3</v>
      </c>
      <c r="H35" s="283" t="s">
        <v>106</v>
      </c>
      <c r="I35" s="298">
        <v>3.4945546872880776E-2</v>
      </c>
      <c r="J35" s="299">
        <v>2.8442511427717574E-3</v>
      </c>
    </row>
    <row r="36" spans="1:10">
      <c r="A36" s="286" t="s">
        <v>227</v>
      </c>
      <c r="B36" s="286" t="s">
        <v>1250</v>
      </c>
      <c r="C36" s="286" t="s">
        <v>1248</v>
      </c>
      <c r="D36" s="292" t="s">
        <v>1252</v>
      </c>
      <c r="E36" s="289" t="s">
        <v>1188</v>
      </c>
      <c r="F36" s="293">
        <v>0.16570545395331726</v>
      </c>
      <c r="G36" s="293">
        <v>-1.3066349985223738E-3</v>
      </c>
      <c r="H36" s="283" t="s">
        <v>106</v>
      </c>
      <c r="I36" s="298">
        <v>1.139466541414888E-2</v>
      </c>
      <c r="J36" s="299">
        <v>9.2742260533475174E-4</v>
      </c>
    </row>
    <row r="37" spans="1:10">
      <c r="A37" s="286" t="s">
        <v>227</v>
      </c>
      <c r="B37" s="286" t="s">
        <v>1250</v>
      </c>
      <c r="C37" s="286" t="s">
        <v>453</v>
      </c>
      <c r="D37" s="292" t="s">
        <v>118</v>
      </c>
      <c r="E37" s="289" t="s">
        <v>93</v>
      </c>
      <c r="F37" s="293">
        <v>19.647278713919217</v>
      </c>
      <c r="G37" s="293">
        <v>7.2954710258433947E-2</v>
      </c>
      <c r="H37" s="283" t="s">
        <v>106</v>
      </c>
      <c r="I37" s="298">
        <v>1.4362143271692545</v>
      </c>
      <c r="J37" s="299">
        <v>0.11689484374578268</v>
      </c>
    </row>
    <row r="38" spans="1:10">
      <c r="A38" s="286" t="s">
        <v>227</v>
      </c>
      <c r="B38" s="286" t="s">
        <v>1250</v>
      </c>
      <c r="C38" s="286" t="s">
        <v>454</v>
      </c>
      <c r="D38" s="292" t="s">
        <v>119</v>
      </c>
      <c r="E38" s="289" t="s">
        <v>95</v>
      </c>
      <c r="F38" s="293">
        <v>7.6027305862956895</v>
      </c>
      <c r="G38" s="293">
        <v>0.10782852603666158</v>
      </c>
      <c r="H38" s="283" t="s">
        <v>106</v>
      </c>
      <c r="I38" s="298">
        <v>0.50670320103602373</v>
      </c>
      <c r="J38" s="299">
        <v>4.1241053225904545E-2</v>
      </c>
    </row>
    <row r="39" spans="1:10">
      <c r="A39" s="286" t="s">
        <v>227</v>
      </c>
      <c r="B39" s="286" t="s">
        <v>1250</v>
      </c>
      <c r="C39" s="286" t="s">
        <v>455</v>
      </c>
      <c r="D39" s="292" t="s">
        <v>120</v>
      </c>
      <c r="E39" s="289" t="s">
        <v>97</v>
      </c>
      <c r="F39" s="293">
        <v>0.97920364847537911</v>
      </c>
      <c r="G39" s="293">
        <v>1.1887674902055828E-3</v>
      </c>
      <c r="H39" s="283" t="s">
        <v>106</v>
      </c>
      <c r="I39" s="298">
        <v>8.0683511231930835E-2</v>
      </c>
      <c r="J39" s="299">
        <v>6.5669073618746729E-3</v>
      </c>
    </row>
    <row r="40" spans="1:10">
      <c r="A40" s="286" t="s">
        <v>227</v>
      </c>
      <c r="B40" s="286" t="s">
        <v>1250</v>
      </c>
      <c r="C40" s="286" t="s">
        <v>456</v>
      </c>
      <c r="D40" s="292" t="s">
        <v>121</v>
      </c>
      <c r="E40" s="289" t="s">
        <v>99</v>
      </c>
      <c r="F40" s="293">
        <v>21.450838593311666</v>
      </c>
      <c r="G40" s="293">
        <v>7.7512674172116311E-2</v>
      </c>
      <c r="H40" s="283" t="s">
        <v>106</v>
      </c>
      <c r="I40" s="298">
        <v>1.599766358159106</v>
      </c>
      <c r="J40" s="299">
        <v>0.13020649838199982</v>
      </c>
    </row>
    <row r="41" spans="1:10">
      <c r="A41" s="286" t="s">
        <v>227</v>
      </c>
      <c r="B41" s="286" t="s">
        <v>1250</v>
      </c>
      <c r="C41" s="286" t="s">
        <v>457</v>
      </c>
      <c r="D41" s="292" t="s">
        <v>122</v>
      </c>
      <c r="E41" s="289" t="s">
        <v>101</v>
      </c>
      <c r="F41" s="293">
        <v>8.8845933935457797</v>
      </c>
      <c r="G41" s="293">
        <v>0.11238648995034398</v>
      </c>
      <c r="H41" s="283" t="s">
        <v>106</v>
      </c>
      <c r="I41" s="298">
        <v>0.61204948582432106</v>
      </c>
      <c r="J41" s="299">
        <v>4.9815287075665821E-2</v>
      </c>
    </row>
    <row r="42" spans="1:10">
      <c r="A42" s="286" t="s">
        <v>227</v>
      </c>
      <c r="B42" s="286" t="s">
        <v>1250</v>
      </c>
      <c r="C42" s="286" t="s">
        <v>458</v>
      </c>
      <c r="D42" s="292" t="s">
        <v>123</v>
      </c>
      <c r="E42" s="289" t="s">
        <v>103</v>
      </c>
      <c r="F42" s="293">
        <v>2.5712101748653953</v>
      </c>
      <c r="G42" s="293">
        <v>5.7467314038879549E-3</v>
      </c>
      <c r="H42" s="283" t="s">
        <v>106</v>
      </c>
      <c r="I42" s="298">
        <v>0.2128884981031508</v>
      </c>
      <c r="J42" s="299">
        <v>1.7327196401174364E-2</v>
      </c>
    </row>
    <row r="43" spans="1:10" ht="33.75">
      <c r="A43" s="286" t="s">
        <v>227</v>
      </c>
      <c r="B43" s="286" t="s">
        <v>1250</v>
      </c>
      <c r="C43" s="286" t="s">
        <v>459</v>
      </c>
      <c r="D43" s="292" t="s">
        <v>124</v>
      </c>
      <c r="E43" s="285" t="s">
        <v>1197</v>
      </c>
      <c r="F43" s="293">
        <v>0.69739058303414003</v>
      </c>
      <c r="G43" s="293">
        <v>-1.0680551384509153E-3</v>
      </c>
      <c r="H43" s="283" t="s">
        <v>106</v>
      </c>
      <c r="I43" s="298">
        <v>5.1363181372472956E-2</v>
      </c>
      <c r="J43" s="299">
        <v>4.1804979571923974E-3</v>
      </c>
    </row>
    <row r="44" spans="1:10">
      <c r="A44" s="286" t="s">
        <v>227</v>
      </c>
      <c r="B44" s="286" t="s">
        <v>1253</v>
      </c>
      <c r="C44" s="286" t="s">
        <v>440</v>
      </c>
      <c r="D44" s="292" t="s">
        <v>125</v>
      </c>
      <c r="E44" s="287" t="s">
        <v>68</v>
      </c>
      <c r="F44" s="293">
        <v>4.4080540486595901</v>
      </c>
      <c r="G44" s="293">
        <v>0</v>
      </c>
      <c r="H44" s="283" t="s">
        <v>126</v>
      </c>
      <c r="I44" s="298">
        <v>0.20924863339038408</v>
      </c>
      <c r="J44" s="299">
        <v>1.7030944366359151E-2</v>
      </c>
    </row>
    <row r="45" spans="1:10">
      <c r="A45" s="286" t="s">
        <v>227</v>
      </c>
      <c r="B45" s="286" t="s">
        <v>1253</v>
      </c>
      <c r="C45" s="286" t="s">
        <v>441</v>
      </c>
      <c r="D45" s="292" t="s">
        <v>127</v>
      </c>
      <c r="E45" s="287" t="s">
        <v>71</v>
      </c>
      <c r="F45" s="293">
        <v>4.4745452341031546</v>
      </c>
      <c r="G45" s="293">
        <v>0</v>
      </c>
      <c r="H45" s="283" t="s">
        <v>126</v>
      </c>
      <c r="I45" s="298">
        <v>0.21286791074324626</v>
      </c>
      <c r="J45" s="299">
        <v>1.7325520776461774E-2</v>
      </c>
    </row>
    <row r="46" spans="1:10">
      <c r="A46" s="286" t="s">
        <v>227</v>
      </c>
      <c r="B46" s="286" t="s">
        <v>1253</v>
      </c>
      <c r="C46" s="286" t="s">
        <v>442</v>
      </c>
      <c r="D46" s="292" t="s">
        <v>128</v>
      </c>
      <c r="E46" s="287" t="s">
        <v>73</v>
      </c>
      <c r="F46" s="293">
        <v>0.72139947363359436</v>
      </c>
      <c r="G46" s="293">
        <v>0</v>
      </c>
      <c r="H46" s="283" t="s">
        <v>126</v>
      </c>
      <c r="I46" s="298">
        <v>3.5973803884045426E-2</v>
      </c>
      <c r="J46" s="299">
        <v>2.9279419543566166E-3</v>
      </c>
    </row>
    <row r="47" spans="1:10">
      <c r="A47" s="286" t="s">
        <v>227</v>
      </c>
      <c r="B47" s="286" t="s">
        <v>1253</v>
      </c>
      <c r="C47" s="286" t="s">
        <v>443</v>
      </c>
      <c r="D47" s="292" t="s">
        <v>129</v>
      </c>
      <c r="E47" s="287" t="s">
        <v>75</v>
      </c>
      <c r="F47" s="293">
        <v>0.78340276570854639</v>
      </c>
      <c r="G47" s="293">
        <v>0</v>
      </c>
      <c r="H47" s="283" t="s">
        <v>126</v>
      </c>
      <c r="I47" s="298">
        <v>3.9643056776377535E-2</v>
      </c>
      <c r="J47" s="299">
        <v>3.2265859209283107E-3</v>
      </c>
    </row>
    <row r="48" spans="1:10">
      <c r="A48" s="286" t="s">
        <v>227</v>
      </c>
      <c r="B48" s="286" t="s">
        <v>1253</v>
      </c>
      <c r="C48" s="286" t="s">
        <v>444</v>
      </c>
      <c r="D48" s="292" t="s">
        <v>130</v>
      </c>
      <c r="E48" s="287" t="s">
        <v>77</v>
      </c>
      <c r="F48" s="293">
        <v>0.30905442060190891</v>
      </c>
      <c r="G48" s="293">
        <v>0</v>
      </c>
      <c r="H48" s="283" t="s">
        <v>126</v>
      </c>
      <c r="I48" s="298">
        <v>1.5895814813102732E-2</v>
      </c>
      <c r="J48" s="299">
        <v>1.293775416132974E-3</v>
      </c>
    </row>
    <row r="49" spans="1:10">
      <c r="A49" s="286" t="s">
        <v>227</v>
      </c>
      <c r="B49" s="286" t="s">
        <v>1253</v>
      </c>
      <c r="C49" s="286" t="s">
        <v>445</v>
      </c>
      <c r="D49" s="292" t="s">
        <v>131</v>
      </c>
      <c r="E49" s="287" t="s">
        <v>79</v>
      </c>
      <c r="F49" s="293">
        <v>0.37281821135553284</v>
      </c>
      <c r="G49" s="293">
        <v>0</v>
      </c>
      <c r="H49" s="283" t="s">
        <v>126</v>
      </c>
      <c r="I49" s="298">
        <v>1.94459562432895E-2</v>
      </c>
      <c r="J49" s="299">
        <v>1.5827247880383873E-3</v>
      </c>
    </row>
    <row r="50" spans="1:10">
      <c r="A50" s="286" t="s">
        <v>227</v>
      </c>
      <c r="B50" s="286" t="s">
        <v>1253</v>
      </c>
      <c r="C50" s="286" t="s">
        <v>446</v>
      </c>
      <c r="D50" s="292" t="s">
        <v>1254</v>
      </c>
      <c r="E50" s="287" t="s">
        <v>1186</v>
      </c>
      <c r="F50" s="293">
        <v>9.3441827063146105E-2</v>
      </c>
      <c r="G50" s="293">
        <v>0</v>
      </c>
      <c r="H50" s="283" t="s">
        <v>126</v>
      </c>
      <c r="I50" s="298">
        <v>5.1325597111189806E-3</v>
      </c>
      <c r="J50" s="299">
        <v>4.1774389385857151E-4</v>
      </c>
    </row>
    <row r="51" spans="1:10">
      <c r="A51" s="286" t="s">
        <v>227</v>
      </c>
      <c r="B51" s="286" t="s">
        <v>1253</v>
      </c>
      <c r="C51" s="286" t="s">
        <v>447</v>
      </c>
      <c r="D51" s="292" t="s">
        <v>132</v>
      </c>
      <c r="E51" s="287" t="s">
        <v>81</v>
      </c>
      <c r="F51" s="293">
        <v>0.16707522708316658</v>
      </c>
      <c r="G51" s="293">
        <v>0</v>
      </c>
      <c r="H51" s="283" t="s">
        <v>126</v>
      </c>
      <c r="I51" s="298">
        <v>9.2924161766795473E-3</v>
      </c>
      <c r="J51" s="299">
        <v>7.5631854970746907E-4</v>
      </c>
    </row>
    <row r="52" spans="1:10">
      <c r="A52" s="286" t="s">
        <v>227</v>
      </c>
      <c r="B52" s="286" t="s">
        <v>1253</v>
      </c>
      <c r="C52" s="286" t="s">
        <v>448</v>
      </c>
      <c r="D52" s="292" t="s">
        <v>133</v>
      </c>
      <c r="E52" s="287" t="s">
        <v>83</v>
      </c>
      <c r="F52" s="293">
        <v>7.3678553496559121E-2</v>
      </c>
      <c r="G52" s="293">
        <v>0</v>
      </c>
      <c r="H52" s="283" t="s">
        <v>126</v>
      </c>
      <c r="I52" s="298">
        <v>4.1446224988252022E-3</v>
      </c>
      <c r="J52" s="299">
        <v>3.3733474887438021E-4</v>
      </c>
    </row>
    <row r="53" spans="1:10">
      <c r="A53" s="286" t="s">
        <v>227</v>
      </c>
      <c r="B53" s="286" t="s">
        <v>1253</v>
      </c>
      <c r="C53" s="286" t="s">
        <v>449</v>
      </c>
      <c r="D53" s="292" t="s">
        <v>134</v>
      </c>
      <c r="E53" s="288" t="s">
        <v>85</v>
      </c>
      <c r="F53" s="293">
        <v>2.5069577589275029</v>
      </c>
      <c r="G53" s="293">
        <v>0</v>
      </c>
      <c r="H53" s="283" t="s">
        <v>126</v>
      </c>
      <c r="I53" s="298">
        <v>0.11091360665088328</v>
      </c>
      <c r="J53" s="299">
        <v>9.0273634467150678E-3</v>
      </c>
    </row>
    <row r="54" spans="1:10">
      <c r="A54" s="286" t="s">
        <v>227</v>
      </c>
      <c r="B54" s="286" t="s">
        <v>1253</v>
      </c>
      <c r="C54" s="286" t="s">
        <v>450</v>
      </c>
      <c r="D54" s="292" t="s">
        <v>135</v>
      </c>
      <c r="E54" s="289" t="s">
        <v>87</v>
      </c>
      <c r="F54" s="293">
        <v>1.6914054175364666</v>
      </c>
      <c r="G54" s="293">
        <v>0</v>
      </c>
      <c r="H54" s="283" t="s">
        <v>126</v>
      </c>
      <c r="I54" s="298">
        <v>3.0743961430203384E-2</v>
      </c>
      <c r="J54" s="299">
        <v>2.5022801259706917E-3</v>
      </c>
    </row>
    <row r="55" spans="1:10">
      <c r="A55" s="286" t="s">
        <v>227</v>
      </c>
      <c r="B55" s="286" t="s">
        <v>1253</v>
      </c>
      <c r="C55" s="286" t="s">
        <v>451</v>
      </c>
      <c r="D55" s="292" t="s">
        <v>136</v>
      </c>
      <c r="E55" s="289" t="s">
        <v>89</v>
      </c>
      <c r="F55" s="293">
        <v>1.8226197758416549</v>
      </c>
      <c r="G55" s="293">
        <v>0</v>
      </c>
      <c r="H55" s="283" t="s">
        <v>126</v>
      </c>
      <c r="I55" s="298">
        <v>3.8128105333203599E-2</v>
      </c>
      <c r="J55" s="299">
        <v>3.1032825887708426E-3</v>
      </c>
    </row>
    <row r="56" spans="1:10">
      <c r="A56" s="286" t="s">
        <v>227</v>
      </c>
      <c r="B56" s="286" t="s">
        <v>1253</v>
      </c>
      <c r="C56" s="286" t="s">
        <v>452</v>
      </c>
      <c r="D56" s="292" t="s">
        <v>137</v>
      </c>
      <c r="E56" s="289" t="s">
        <v>91</v>
      </c>
      <c r="F56" s="293">
        <v>1.9051401398857231</v>
      </c>
      <c r="G56" s="293">
        <v>0</v>
      </c>
      <c r="H56" s="283" t="s">
        <v>126</v>
      </c>
      <c r="I56" s="298">
        <v>4.3076387142021888E-2</v>
      </c>
      <c r="J56" s="299">
        <v>3.5060279297061212E-3</v>
      </c>
    </row>
    <row r="57" spans="1:10">
      <c r="A57" s="286" t="s">
        <v>227</v>
      </c>
      <c r="B57" s="286" t="s">
        <v>1253</v>
      </c>
      <c r="C57" s="286" t="s">
        <v>1248</v>
      </c>
      <c r="D57" s="292" t="s">
        <v>1255</v>
      </c>
      <c r="E57" s="289" t="s">
        <v>1188</v>
      </c>
      <c r="F57" s="293">
        <v>0.17471003594470805</v>
      </c>
      <c r="G57" s="293">
        <v>0</v>
      </c>
      <c r="H57" s="283" t="s">
        <v>126</v>
      </c>
      <c r="I57" s="298">
        <v>9.6069476059881323E-3</v>
      </c>
      <c r="J57" s="299">
        <v>7.8191856050434773E-4</v>
      </c>
    </row>
    <row r="58" spans="1:10">
      <c r="A58" s="286" t="s">
        <v>227</v>
      </c>
      <c r="B58" s="286" t="s">
        <v>1253</v>
      </c>
      <c r="C58" s="286" t="s">
        <v>453</v>
      </c>
      <c r="D58" s="292" t="s">
        <v>138</v>
      </c>
      <c r="E58" s="289" t="s">
        <v>93</v>
      </c>
      <c r="F58" s="293">
        <v>20.255923666907545</v>
      </c>
      <c r="G58" s="293">
        <v>0</v>
      </c>
      <c r="H58" s="283" t="s">
        <v>126</v>
      </c>
      <c r="I58" s="298">
        <v>1.2082334524171348</v>
      </c>
      <c r="J58" s="299">
        <v>9.8339264521265402E-2</v>
      </c>
    </row>
    <row r="59" spans="1:10">
      <c r="A59" s="286" t="s">
        <v>227</v>
      </c>
      <c r="B59" s="286" t="s">
        <v>1253</v>
      </c>
      <c r="C59" s="286" t="s">
        <v>454</v>
      </c>
      <c r="D59" s="292" t="s">
        <v>139</v>
      </c>
      <c r="E59" s="289" t="s">
        <v>95</v>
      </c>
      <c r="F59" s="293">
        <v>8.8254364400802103</v>
      </c>
      <c r="G59" s="293">
        <v>0</v>
      </c>
      <c r="H59" s="283" t="s">
        <v>126</v>
      </c>
      <c r="I59" s="298">
        <v>0.48651491023149768</v>
      </c>
      <c r="J59" s="299">
        <v>3.9597909125162409E-2</v>
      </c>
    </row>
    <row r="60" spans="1:10">
      <c r="A60" s="286" t="s">
        <v>227</v>
      </c>
      <c r="B60" s="286" t="s">
        <v>1253</v>
      </c>
      <c r="C60" s="286" t="s">
        <v>455</v>
      </c>
      <c r="D60" s="292" t="s">
        <v>140</v>
      </c>
      <c r="E60" s="289" t="s">
        <v>97</v>
      </c>
      <c r="F60" s="293">
        <v>1.0476863712966733</v>
      </c>
      <c r="G60" s="293">
        <v>0</v>
      </c>
      <c r="H60" s="283" t="s">
        <v>126</v>
      </c>
      <c r="I60" s="298">
        <v>7.193151381286568E-2</v>
      </c>
      <c r="J60" s="299">
        <v>5.8545740064613839E-3</v>
      </c>
    </row>
    <row r="61" spans="1:10">
      <c r="A61" s="286" t="s">
        <v>227</v>
      </c>
      <c r="B61" s="286" t="s">
        <v>1253</v>
      </c>
      <c r="C61" s="286" t="s">
        <v>456</v>
      </c>
      <c r="D61" s="292" t="s">
        <v>141</v>
      </c>
      <c r="E61" s="289" t="s">
        <v>99</v>
      </c>
      <c r="F61" s="293">
        <v>22.11719930202791</v>
      </c>
      <c r="G61" s="293">
        <v>0</v>
      </c>
      <c r="H61" s="283" t="s">
        <v>126</v>
      </c>
      <c r="I61" s="298">
        <v>1.3508801670884141</v>
      </c>
      <c r="J61" s="299">
        <v>0.10994941567134746</v>
      </c>
    </row>
    <row r="62" spans="1:10">
      <c r="A62" s="286" t="s">
        <v>227</v>
      </c>
      <c r="B62" s="286" t="s">
        <v>1253</v>
      </c>
      <c r="C62" s="286" t="s">
        <v>457</v>
      </c>
      <c r="D62" s="292" t="s">
        <v>142</v>
      </c>
      <c r="E62" s="289" t="s">
        <v>101</v>
      </c>
      <c r="F62" s="293">
        <v>10.281566591691144</v>
      </c>
      <c r="G62" s="293">
        <v>0</v>
      </c>
      <c r="H62" s="283" t="s">
        <v>126</v>
      </c>
      <c r="I62" s="298">
        <v>0.58742143907437738</v>
      </c>
      <c r="J62" s="299">
        <v>4.7810787035429674E-2</v>
      </c>
    </row>
    <row r="63" spans="1:10">
      <c r="A63" s="286" t="s">
        <v>227</v>
      </c>
      <c r="B63" s="286" t="s">
        <v>1253</v>
      </c>
      <c r="C63" s="286" t="s">
        <v>458</v>
      </c>
      <c r="D63" s="292" t="s">
        <v>143</v>
      </c>
      <c r="E63" s="289" t="s">
        <v>103</v>
      </c>
      <c r="F63" s="293">
        <v>2.7111238606397108</v>
      </c>
      <c r="G63" s="293">
        <v>0</v>
      </c>
      <c r="H63" s="283" t="s">
        <v>126</v>
      </c>
      <c r="I63" s="298">
        <v>0.18755406767922481</v>
      </c>
      <c r="J63" s="299">
        <v>1.5265203124982633E-2</v>
      </c>
    </row>
    <row r="64" spans="1:10" ht="33.75">
      <c r="A64" s="286" t="s">
        <v>227</v>
      </c>
      <c r="B64" s="286" t="s">
        <v>1253</v>
      </c>
      <c r="C64" s="286" t="s">
        <v>459</v>
      </c>
      <c r="D64" s="292" t="s">
        <v>144</v>
      </c>
      <c r="E64" s="285" t="s">
        <v>1197</v>
      </c>
      <c r="F64" s="293">
        <v>0.66162089978426786</v>
      </c>
      <c r="G64" s="293">
        <v>0</v>
      </c>
      <c r="H64" s="283" t="s">
        <v>126</v>
      </c>
      <c r="I64" s="298">
        <v>3.9403157322863584E-2</v>
      </c>
      <c r="J64" s="299">
        <v>3.2070602772951047E-3</v>
      </c>
    </row>
    <row r="65" spans="1:10">
      <c r="A65" s="286" t="s">
        <v>1229</v>
      </c>
      <c r="B65" s="286" t="s">
        <v>1231</v>
      </c>
      <c r="C65" s="286" t="s">
        <v>440</v>
      </c>
      <c r="D65" s="292" t="s">
        <v>1256</v>
      </c>
      <c r="E65" s="287" t="s">
        <v>68</v>
      </c>
      <c r="F65" s="293">
        <v>1.8686078770519938</v>
      </c>
      <c r="G65" s="293">
        <v>0.14106341431694303</v>
      </c>
      <c r="H65" s="283" t="s">
        <v>145</v>
      </c>
      <c r="I65" s="298">
        <v>8.1335386669999912E-2</v>
      </c>
      <c r="J65" s="299">
        <v>6.619964120906585E-3</v>
      </c>
    </row>
    <row r="66" spans="1:10">
      <c r="A66" s="286" t="s">
        <v>1229</v>
      </c>
      <c r="B66" s="286" t="s">
        <v>1231</v>
      </c>
      <c r="C66" s="286" t="s">
        <v>441</v>
      </c>
      <c r="D66" s="292" t="s">
        <v>1257</v>
      </c>
      <c r="E66" s="287" t="s">
        <v>71</v>
      </c>
      <c r="F66" s="293">
        <v>1.8951860704282228</v>
      </c>
      <c r="G66" s="293">
        <v>0.14293064892378995</v>
      </c>
      <c r="H66" s="283" t="s">
        <v>145</v>
      </c>
      <c r="I66" s="298">
        <v>8.4348989539135763E-2</v>
      </c>
      <c r="J66" s="299">
        <v>6.8652441113894831E-3</v>
      </c>
    </row>
    <row r="67" spans="1:10">
      <c r="A67" s="286" t="s">
        <v>1229</v>
      </c>
      <c r="B67" s="286" t="s">
        <v>1231</v>
      </c>
      <c r="C67" s="286" t="s">
        <v>442</v>
      </c>
      <c r="D67" s="292" t="s">
        <v>1258</v>
      </c>
      <c r="E67" s="287" t="s">
        <v>73</v>
      </c>
      <c r="F67" s="293">
        <v>0.37907492034289397</v>
      </c>
      <c r="G67" s="293">
        <v>2.2642691546248817E-2</v>
      </c>
      <c r="H67" s="283" t="s">
        <v>145</v>
      </c>
      <c r="I67" s="298">
        <v>3.6634220189646197E-2</v>
      </c>
      <c r="J67" s="299">
        <v>2.9816938626825332E-3</v>
      </c>
    </row>
    <row r="68" spans="1:10">
      <c r="A68" s="286" t="s">
        <v>1229</v>
      </c>
      <c r="B68" s="286" t="s">
        <v>1231</v>
      </c>
      <c r="C68" s="286" t="s">
        <v>443</v>
      </c>
      <c r="D68" s="292" t="s">
        <v>1259</v>
      </c>
      <c r="E68" s="287" t="s">
        <v>75</v>
      </c>
      <c r="F68" s="293">
        <v>0.41134248692177616</v>
      </c>
      <c r="G68" s="293">
        <v>2.4509926153095742E-2</v>
      </c>
      <c r="H68" s="283" t="s">
        <v>145</v>
      </c>
      <c r="I68" s="298">
        <v>4.0208538961373635E-2</v>
      </c>
      <c r="J68" s="299">
        <v>3.2726110513045191E-3</v>
      </c>
    </row>
    <row r="69" spans="1:10">
      <c r="A69" s="286" t="s">
        <v>1229</v>
      </c>
      <c r="B69" s="286" t="s">
        <v>1231</v>
      </c>
      <c r="C69" s="286" t="s">
        <v>444</v>
      </c>
      <c r="D69" s="292" t="s">
        <v>1260</v>
      </c>
      <c r="E69" s="287" t="s">
        <v>77</v>
      </c>
      <c r="F69" s="293">
        <v>0.19676787286874683</v>
      </c>
      <c r="G69" s="293">
        <v>9.2425598306691437E-3</v>
      </c>
      <c r="H69" s="283" t="s">
        <v>145</v>
      </c>
      <c r="I69" s="298">
        <v>1.985982961326415E-2</v>
      </c>
      <c r="J69" s="299">
        <v>1.6164103334326339E-3</v>
      </c>
    </row>
    <row r="70" spans="1:10">
      <c r="A70" s="286" t="s">
        <v>1229</v>
      </c>
      <c r="B70" s="286" t="s">
        <v>1231</v>
      </c>
      <c r="C70" s="286" t="s">
        <v>445</v>
      </c>
      <c r="D70" s="292" t="s">
        <v>1261</v>
      </c>
      <c r="E70" s="287" t="s">
        <v>79</v>
      </c>
      <c r="F70" s="293">
        <v>0.23711908080250932</v>
      </c>
      <c r="G70" s="293">
        <v>1.1109794437516066E-2</v>
      </c>
      <c r="H70" s="283" t="s">
        <v>145</v>
      </c>
      <c r="I70" s="298">
        <v>2.4202818148293458E-2</v>
      </c>
      <c r="J70" s="299">
        <v>1.9698902817858774E-3</v>
      </c>
    </row>
    <row r="71" spans="1:10">
      <c r="A71" s="286" t="s">
        <v>1229</v>
      </c>
      <c r="B71" s="286" t="s">
        <v>1231</v>
      </c>
      <c r="C71" s="286" t="s">
        <v>446</v>
      </c>
      <c r="D71" s="292" t="s">
        <v>1262</v>
      </c>
      <c r="E71" s="287" t="s">
        <v>1186</v>
      </c>
      <c r="F71" s="293">
        <v>6.2389345772827141E-2</v>
      </c>
      <c r="G71" s="293">
        <v>2.3891845265509668E-3</v>
      </c>
      <c r="H71" s="283" t="s">
        <v>145</v>
      </c>
      <c r="I71" s="298">
        <v>6.4890831783898624E-3</v>
      </c>
      <c r="J71" s="299">
        <v>5.281526230742563E-4</v>
      </c>
    </row>
    <row r="72" spans="1:10">
      <c r="A72" s="286" t="s">
        <v>1229</v>
      </c>
      <c r="B72" s="286" t="s">
        <v>1231</v>
      </c>
      <c r="C72" s="286" t="s">
        <v>447</v>
      </c>
      <c r="D72" s="292" t="s">
        <v>1263</v>
      </c>
      <c r="E72" s="287" t="s">
        <v>81</v>
      </c>
      <c r="F72" s="293">
        <v>0.11143011847422608</v>
      </c>
      <c r="G72" s="293">
        <v>4.2564191333978882E-3</v>
      </c>
      <c r="H72" s="283" t="s">
        <v>145</v>
      </c>
      <c r="I72" s="298">
        <v>1.1741362641777399E-2</v>
      </c>
      <c r="J72" s="299">
        <v>9.5564062090810261E-4</v>
      </c>
    </row>
    <row r="73" spans="1:10">
      <c r="A73" s="286" t="s">
        <v>1229</v>
      </c>
      <c r="B73" s="286" t="s">
        <v>1231</v>
      </c>
      <c r="C73" s="286" t="s">
        <v>448</v>
      </c>
      <c r="D73" s="292" t="s">
        <v>1264</v>
      </c>
      <c r="E73" s="287" t="s">
        <v>83</v>
      </c>
      <c r="F73" s="293">
        <v>5.2490474822791532E-2</v>
      </c>
      <c r="G73" s="293">
        <v>1.8672346068469212E-3</v>
      </c>
      <c r="H73" s="283" t="s">
        <v>145</v>
      </c>
      <c r="I73" s="298">
        <v>5.6330360806435657E-3</v>
      </c>
      <c r="J73" s="299">
        <v>4.5847813937284742E-4</v>
      </c>
    </row>
    <row r="74" spans="1:10">
      <c r="A74" s="286" t="s">
        <v>1229</v>
      </c>
      <c r="B74" s="286" t="s">
        <v>1231</v>
      </c>
      <c r="C74" s="286" t="s">
        <v>449</v>
      </c>
      <c r="D74" s="292" t="s">
        <v>1265</v>
      </c>
      <c r="E74" s="288" t="s">
        <v>85</v>
      </c>
      <c r="F74" s="293">
        <v>1.1175335591170392</v>
      </c>
      <c r="G74" s="293">
        <v>2.4220953372531714E-2</v>
      </c>
      <c r="H74" s="283" t="s">
        <v>145</v>
      </c>
      <c r="I74" s="298">
        <v>9.5353070017173761E-2</v>
      </c>
      <c r="J74" s="299">
        <v>7.7608766390092135E-3</v>
      </c>
    </row>
    <row r="75" spans="1:10">
      <c r="A75" s="286" t="s">
        <v>1229</v>
      </c>
      <c r="B75" s="286" t="s">
        <v>1231</v>
      </c>
      <c r="C75" s="286" t="s">
        <v>450</v>
      </c>
      <c r="D75" s="292" t="s">
        <v>1266</v>
      </c>
      <c r="E75" s="289" t="s">
        <v>87</v>
      </c>
      <c r="F75" s="293">
        <v>0.93382453979899427</v>
      </c>
      <c r="G75" s="293">
        <v>-1.5558501609891589E-2</v>
      </c>
      <c r="H75" s="283" t="s">
        <v>145</v>
      </c>
      <c r="I75" s="298">
        <v>5.4147354750478598E-2</v>
      </c>
      <c r="J75" s="299">
        <v>4.4071044641923679E-3</v>
      </c>
    </row>
    <row r="76" spans="1:10">
      <c r="A76" s="286" t="s">
        <v>1229</v>
      </c>
      <c r="B76" s="286" t="s">
        <v>1231</v>
      </c>
      <c r="C76" s="286" t="s">
        <v>451</v>
      </c>
      <c r="D76" s="292" t="s">
        <v>1267</v>
      </c>
      <c r="E76" s="289" t="s">
        <v>89</v>
      </c>
      <c r="F76" s="293">
        <v>0.99995095839480841</v>
      </c>
      <c r="G76" s="293">
        <v>-1.7207523599342439E-2</v>
      </c>
      <c r="H76" s="283" t="s">
        <v>145</v>
      </c>
      <c r="I76" s="298">
        <v>6.1904753432651456E-2</v>
      </c>
      <c r="J76" s="299">
        <v>5.0384864868279582E-3</v>
      </c>
    </row>
    <row r="77" spans="1:10">
      <c r="A77" s="286" t="s">
        <v>1229</v>
      </c>
      <c r="B77" s="286" t="s">
        <v>1231</v>
      </c>
      <c r="C77" s="286" t="s">
        <v>452</v>
      </c>
      <c r="D77" s="292" t="s">
        <v>1268</v>
      </c>
      <c r="E77" s="289" t="s">
        <v>91</v>
      </c>
      <c r="F77" s="293">
        <v>1.0411213847572494</v>
      </c>
      <c r="G77" s="293">
        <v>-1.8284407837921436E-2</v>
      </c>
      <c r="H77" s="283" t="s">
        <v>145</v>
      </c>
      <c r="I77" s="298">
        <v>6.7013846531027196E-2</v>
      </c>
      <c r="J77" s="299">
        <v>5.4543204108596227E-3</v>
      </c>
    </row>
    <row r="78" spans="1:10">
      <c r="A78" s="286" t="s">
        <v>1229</v>
      </c>
      <c r="B78" s="286" t="s">
        <v>1231</v>
      </c>
      <c r="C78" s="286" t="s">
        <v>1248</v>
      </c>
      <c r="D78" s="292" t="s">
        <v>1269</v>
      </c>
      <c r="E78" s="289" t="s">
        <v>1188</v>
      </c>
      <c r="F78" s="293">
        <v>0.14492063311263251</v>
      </c>
      <c r="G78" s="293">
        <v>-2.7259062280298478E-3</v>
      </c>
      <c r="H78" s="283" t="s">
        <v>145</v>
      </c>
      <c r="I78" s="298">
        <v>1.643838127834019E-2</v>
      </c>
      <c r="J78" s="299">
        <v>1.3379354143838202E-3</v>
      </c>
    </row>
    <row r="79" spans="1:10">
      <c r="A79" s="286" t="s">
        <v>1229</v>
      </c>
      <c r="B79" s="286" t="s">
        <v>1231</v>
      </c>
      <c r="C79" s="286" t="s">
        <v>453</v>
      </c>
      <c r="D79" s="292" t="s">
        <v>1270</v>
      </c>
      <c r="E79" s="289" t="s">
        <v>93</v>
      </c>
      <c r="F79" s="293">
        <v>8.7968521798444996</v>
      </c>
      <c r="G79" s="293">
        <v>0.4019227533869757</v>
      </c>
      <c r="H79" s="283" t="s">
        <v>145</v>
      </c>
      <c r="I79" s="298">
        <v>0.89497234787459512</v>
      </c>
      <c r="J79" s="299">
        <v>7.2842646659705773E-2</v>
      </c>
    </row>
    <row r="80" spans="1:10">
      <c r="A80" s="286" t="s">
        <v>1229</v>
      </c>
      <c r="B80" s="286" t="s">
        <v>1231</v>
      </c>
      <c r="C80" s="286" t="s">
        <v>454</v>
      </c>
      <c r="D80" s="292" t="s">
        <v>1271</v>
      </c>
      <c r="E80" s="289" t="s">
        <v>95</v>
      </c>
      <c r="F80" s="293">
        <v>4.8648318525624124</v>
      </c>
      <c r="G80" s="293">
        <v>0.45781972135552196</v>
      </c>
      <c r="H80" s="283" t="s">
        <v>145</v>
      </c>
      <c r="I80" s="298">
        <v>0.49282202526799906</v>
      </c>
      <c r="J80" s="299">
        <v>4.0111251188899959E-2</v>
      </c>
    </row>
    <row r="81" spans="1:10">
      <c r="A81" s="286" t="s">
        <v>1229</v>
      </c>
      <c r="B81" s="286" t="s">
        <v>1231</v>
      </c>
      <c r="C81" s="286" t="s">
        <v>455</v>
      </c>
      <c r="D81" s="292" t="s">
        <v>1272</v>
      </c>
      <c r="E81" s="289" t="s">
        <v>97</v>
      </c>
      <c r="F81" s="293">
        <v>0.56757230404184911</v>
      </c>
      <c r="G81" s="293">
        <v>1.4587826939892187E-2</v>
      </c>
      <c r="H81" s="283" t="s">
        <v>145</v>
      </c>
      <c r="I81" s="298">
        <v>7.0178389655811357E-2</v>
      </c>
      <c r="J81" s="299">
        <v>5.7118855716441815E-3</v>
      </c>
    </row>
    <row r="82" spans="1:10">
      <c r="A82" s="286" t="s">
        <v>1229</v>
      </c>
      <c r="B82" s="286" t="s">
        <v>1231</v>
      </c>
      <c r="C82" s="286" t="s">
        <v>456</v>
      </c>
      <c r="D82" s="292" t="s">
        <v>1273</v>
      </c>
      <c r="E82" s="289" t="s">
        <v>99</v>
      </c>
      <c r="F82" s="293">
        <v>9.5971180907371192</v>
      </c>
      <c r="G82" s="293">
        <v>0.4347238016589281</v>
      </c>
      <c r="H82" s="283" t="s">
        <v>145</v>
      </c>
      <c r="I82" s="298">
        <v>0.99870247250614042</v>
      </c>
      <c r="J82" s="299">
        <v>8.1285339704297632E-2</v>
      </c>
    </row>
    <row r="83" spans="1:10">
      <c r="A83" s="286" t="s">
        <v>1229</v>
      </c>
      <c r="B83" s="286" t="s">
        <v>1231</v>
      </c>
      <c r="C83" s="286" t="s">
        <v>457</v>
      </c>
      <c r="D83" s="292" t="s">
        <v>1274</v>
      </c>
      <c r="E83" s="289" t="s">
        <v>101</v>
      </c>
      <c r="F83" s="293">
        <v>5.699551435512956</v>
      </c>
      <c r="G83" s="293">
        <v>0.49062076962747436</v>
      </c>
      <c r="H83" s="283" t="s">
        <v>145</v>
      </c>
      <c r="I83" s="298">
        <v>0.60147412082852303</v>
      </c>
      <c r="J83" s="299">
        <v>4.8954548107008569E-2</v>
      </c>
    </row>
    <row r="84" spans="1:10">
      <c r="A84" s="286" t="s">
        <v>1229</v>
      </c>
      <c r="B84" s="286" t="s">
        <v>1231</v>
      </c>
      <c r="C84" s="286" t="s">
        <v>458</v>
      </c>
      <c r="D84" s="292" t="s">
        <v>1275</v>
      </c>
      <c r="E84" s="289" t="s">
        <v>103</v>
      </c>
      <c r="F84" s="293">
        <v>1.5640449261169125</v>
      </c>
      <c r="G84" s="293">
        <v>4.7388875211844539E-2</v>
      </c>
      <c r="H84" s="283" t="s">
        <v>145</v>
      </c>
      <c r="I84" s="298">
        <v>0.19583512942721101</v>
      </c>
      <c r="J84" s="299">
        <v>1.5939206580294182E-2</v>
      </c>
    </row>
    <row r="85" spans="1:10" ht="33.75">
      <c r="A85" s="286" t="s">
        <v>1229</v>
      </c>
      <c r="B85" s="286" t="s">
        <v>1231</v>
      </c>
      <c r="C85" s="286" t="s">
        <v>459</v>
      </c>
      <c r="D85" s="292" t="s">
        <v>1276</v>
      </c>
      <c r="E85" s="285" t="s">
        <v>1197</v>
      </c>
      <c r="F85" s="293">
        <v>0.48287386969751273</v>
      </c>
      <c r="G85" s="293">
        <v>6.3474097248863793E-3</v>
      </c>
      <c r="H85" s="283" t="s">
        <v>145</v>
      </c>
      <c r="I85" s="298">
        <v>5.5705759052313904E-2</v>
      </c>
      <c r="J85" s="299">
        <v>4.5339444656529058E-3</v>
      </c>
    </row>
    <row r="86" spans="1:10">
      <c r="A86" s="286" t="s">
        <v>1229</v>
      </c>
      <c r="B86" s="286" t="s">
        <v>1250</v>
      </c>
      <c r="C86" s="286" t="s">
        <v>440</v>
      </c>
      <c r="D86" s="292" t="s">
        <v>1277</v>
      </c>
      <c r="E86" s="287" t="s">
        <v>68</v>
      </c>
      <c r="F86" s="293">
        <v>2.6185025541131099</v>
      </c>
      <c r="G86" s="293">
        <v>0.21428874572262369</v>
      </c>
      <c r="H86" s="283" t="s">
        <v>146</v>
      </c>
      <c r="I86" s="298">
        <v>0.10405099778985925</v>
      </c>
      <c r="J86" s="299">
        <v>8.4688092147161779E-3</v>
      </c>
    </row>
    <row r="87" spans="1:10">
      <c r="A87" s="286" t="s">
        <v>1229</v>
      </c>
      <c r="B87" s="286" t="s">
        <v>1250</v>
      </c>
      <c r="C87" s="286" t="s">
        <v>441</v>
      </c>
      <c r="D87" s="292" t="s">
        <v>1278</v>
      </c>
      <c r="E87" s="287" t="s">
        <v>71</v>
      </c>
      <c r="F87" s="293">
        <v>2.6567926172037488</v>
      </c>
      <c r="G87" s="293">
        <v>0.21708759604692832</v>
      </c>
      <c r="H87" s="283" t="s">
        <v>146</v>
      </c>
      <c r="I87" s="298">
        <v>0.10661335752936964</v>
      </c>
      <c r="J87" s="299">
        <v>8.6773620996890705E-3</v>
      </c>
    </row>
    <row r="88" spans="1:10">
      <c r="A88" s="286" t="s">
        <v>1229</v>
      </c>
      <c r="B88" s="286" t="s">
        <v>1250</v>
      </c>
      <c r="C88" s="286" t="s">
        <v>442</v>
      </c>
      <c r="D88" s="292" t="s">
        <v>1279</v>
      </c>
      <c r="E88" s="287" t="s">
        <v>73</v>
      </c>
      <c r="F88" s="293">
        <v>0.39825903919239319</v>
      </c>
      <c r="G88" s="293">
        <v>3.4071304963458948E-2</v>
      </c>
      <c r="H88" s="283" t="s">
        <v>146</v>
      </c>
      <c r="I88" s="298">
        <v>2.3927426671428449E-2</v>
      </c>
      <c r="J88" s="299">
        <v>1.947475908771994E-3</v>
      </c>
    </row>
    <row r="89" spans="1:10">
      <c r="A89" s="286" t="s">
        <v>1229</v>
      </c>
      <c r="B89" s="286" t="s">
        <v>1250</v>
      </c>
      <c r="C89" s="286" t="s">
        <v>443</v>
      </c>
      <c r="D89" s="292" t="s">
        <v>1280</v>
      </c>
      <c r="E89" s="287" t="s">
        <v>75</v>
      </c>
      <c r="F89" s="293">
        <v>0.43226548771791884</v>
      </c>
      <c r="G89" s="293">
        <v>3.6870155287763544E-2</v>
      </c>
      <c r="H89" s="283" t="s">
        <v>146</v>
      </c>
      <c r="I89" s="298">
        <v>2.6290849059971724E-2</v>
      </c>
      <c r="J89" s="299">
        <v>2.1398370944166016E-3</v>
      </c>
    </row>
    <row r="90" spans="1:10">
      <c r="A90" s="286" t="s">
        <v>1229</v>
      </c>
      <c r="B90" s="286" t="s">
        <v>1250</v>
      </c>
      <c r="C90" s="286" t="s">
        <v>444</v>
      </c>
      <c r="D90" s="292" t="s">
        <v>1281</v>
      </c>
      <c r="E90" s="287" t="s">
        <v>77</v>
      </c>
      <c r="F90" s="293">
        <v>0.19529421005983008</v>
      </c>
      <c r="G90" s="293">
        <v>1.3882782107439933E-2</v>
      </c>
      <c r="H90" s="283" t="s">
        <v>146</v>
      </c>
      <c r="I90" s="298">
        <v>1.2289244344062577E-2</v>
      </c>
      <c r="J90" s="299">
        <v>1.0002332313341731E-3</v>
      </c>
    </row>
    <row r="91" spans="1:10">
      <c r="A91" s="286" t="s">
        <v>1229</v>
      </c>
      <c r="B91" s="286" t="s">
        <v>1250</v>
      </c>
      <c r="C91" s="286" t="s">
        <v>445</v>
      </c>
      <c r="D91" s="292" t="s">
        <v>1282</v>
      </c>
      <c r="E91" s="287" t="s">
        <v>79</v>
      </c>
      <c r="F91" s="293">
        <v>0.23540431987449864</v>
      </c>
      <c r="G91" s="293">
        <v>1.6681632431744524E-2</v>
      </c>
      <c r="H91" s="283" t="s">
        <v>146</v>
      </c>
      <c r="I91" s="298">
        <v>1.4985791928819842E-2</v>
      </c>
      <c r="J91" s="299">
        <v>1.2197077920667238E-3</v>
      </c>
    </row>
    <row r="92" spans="1:10">
      <c r="A92" s="286" t="s">
        <v>1229</v>
      </c>
      <c r="B92" s="286" t="s">
        <v>1250</v>
      </c>
      <c r="C92" s="286" t="s">
        <v>446</v>
      </c>
      <c r="D92" s="292" t="s">
        <v>1283</v>
      </c>
      <c r="E92" s="287" t="s">
        <v>1186</v>
      </c>
      <c r="F92" s="293">
        <v>6.5101164236824854E-2</v>
      </c>
      <c r="G92" s="293">
        <v>3.5842033774149372E-3</v>
      </c>
      <c r="H92" s="283" t="s">
        <v>146</v>
      </c>
      <c r="I92" s="298">
        <v>4.1753648992228984E-3</v>
      </c>
      <c r="J92" s="299">
        <v>3.3983690194643734E-4</v>
      </c>
    </row>
    <row r="93" spans="1:10">
      <c r="A93" s="286" t="s">
        <v>1229</v>
      </c>
      <c r="B93" s="286" t="s">
        <v>1250</v>
      </c>
      <c r="C93" s="286" t="s">
        <v>447</v>
      </c>
      <c r="D93" s="292" t="s">
        <v>1284</v>
      </c>
      <c r="E93" s="287" t="s">
        <v>81</v>
      </c>
      <c r="F93" s="293">
        <v>0.11630195924660765</v>
      </c>
      <c r="G93" s="293">
        <v>6.3830537017195276E-3</v>
      </c>
      <c r="H93" s="283" t="s">
        <v>146</v>
      </c>
      <c r="I93" s="298">
        <v>7.5462517393987249E-3</v>
      </c>
      <c r="J93" s="299">
        <v>6.1419657307136674E-4</v>
      </c>
    </row>
    <row r="94" spans="1:10">
      <c r="A94" s="286" t="s">
        <v>1229</v>
      </c>
      <c r="B94" s="286" t="s">
        <v>1250</v>
      </c>
      <c r="C94" s="286" t="s">
        <v>448</v>
      </c>
      <c r="D94" s="292" t="s">
        <v>1285</v>
      </c>
      <c r="E94" s="287" t="s">
        <v>83</v>
      </c>
      <c r="F94" s="293">
        <v>5.5312818952700939E-2</v>
      </c>
      <c r="G94" s="293">
        <v>2.7988503243045904E-3</v>
      </c>
      <c r="H94" s="283" t="s">
        <v>146</v>
      </c>
      <c r="I94" s="298">
        <v>3.6658661021858677E-3</v>
      </c>
      <c r="J94" s="299">
        <v>2.9836831251543299E-4</v>
      </c>
    </row>
    <row r="95" spans="1:10">
      <c r="A95" s="286" t="s">
        <v>1229</v>
      </c>
      <c r="B95" s="286" t="s">
        <v>1250</v>
      </c>
      <c r="C95" s="286" t="s">
        <v>449</v>
      </c>
      <c r="D95" s="292" t="s">
        <v>1286</v>
      </c>
      <c r="E95" s="288" t="s">
        <v>85</v>
      </c>
      <c r="F95" s="293">
        <v>1.4335855437458747</v>
      </c>
      <c r="G95" s="293">
        <v>3.5437050561989279E-2</v>
      </c>
      <c r="H95" s="283" t="s">
        <v>146</v>
      </c>
      <c r="I95" s="298">
        <v>7.2988736976664803E-2</v>
      </c>
      <c r="J95" s="299">
        <v>5.9406224006312855E-3</v>
      </c>
    </row>
    <row r="96" spans="1:10">
      <c r="A96" s="286" t="s">
        <v>1229</v>
      </c>
      <c r="B96" s="286" t="s">
        <v>1250</v>
      </c>
      <c r="C96" s="286" t="s">
        <v>450</v>
      </c>
      <c r="D96" s="292" t="s">
        <v>1287</v>
      </c>
      <c r="E96" s="289" t="s">
        <v>87</v>
      </c>
      <c r="F96" s="293">
        <v>1.0608161326451631</v>
      </c>
      <c r="G96" s="293">
        <v>-2.5914909923433416E-2</v>
      </c>
      <c r="H96" s="283" t="s">
        <v>146</v>
      </c>
      <c r="I96" s="298">
        <v>2.9625878434365475E-2</v>
      </c>
      <c r="J96" s="299">
        <v>2.4112782924554307E-3</v>
      </c>
    </row>
    <row r="97" spans="1:10">
      <c r="A97" s="286" t="s">
        <v>1229</v>
      </c>
      <c r="B97" s="286" t="s">
        <v>1250</v>
      </c>
      <c r="C97" s="286" t="s">
        <v>451</v>
      </c>
      <c r="D97" s="292" t="s">
        <v>1288</v>
      </c>
      <c r="E97" s="289" t="s">
        <v>89</v>
      </c>
      <c r="F97" s="293">
        <v>1.1381186382555541</v>
      </c>
      <c r="G97" s="293">
        <v>-2.8573953958821598E-2</v>
      </c>
      <c r="H97" s="283" t="s">
        <v>146</v>
      </c>
      <c r="I97" s="298">
        <v>3.5346643798067637E-2</v>
      </c>
      <c r="J97" s="299">
        <v>2.8768968012293245E-3</v>
      </c>
    </row>
    <row r="98" spans="1:10">
      <c r="A98" s="286" t="s">
        <v>1229</v>
      </c>
      <c r="B98" s="286" t="s">
        <v>1250</v>
      </c>
      <c r="C98" s="286" t="s">
        <v>452</v>
      </c>
      <c r="D98" s="292" t="s">
        <v>1289</v>
      </c>
      <c r="E98" s="289" t="s">
        <v>91</v>
      </c>
      <c r="F98" s="293">
        <v>1.1863577499991322</v>
      </c>
      <c r="G98" s="293">
        <v>-3.0301700664959956E-2</v>
      </c>
      <c r="H98" s="283" t="s">
        <v>146</v>
      </c>
      <c r="I98" s="298">
        <v>3.9111813715723434E-2</v>
      </c>
      <c r="J98" s="299">
        <v>3.1833475452963194E-3</v>
      </c>
    </row>
    <row r="99" spans="1:10">
      <c r="A99" s="286" t="s">
        <v>1229</v>
      </c>
      <c r="B99" s="286" t="s">
        <v>1250</v>
      </c>
      <c r="C99" s="286" t="s">
        <v>1248</v>
      </c>
      <c r="D99" s="292" t="s">
        <v>1290</v>
      </c>
      <c r="E99" s="289" t="s">
        <v>1188</v>
      </c>
      <c r="F99" s="293">
        <v>0.15246138880058988</v>
      </c>
      <c r="G99" s="293">
        <v>-4.3867907415265431E-3</v>
      </c>
      <c r="H99" s="283" t="s">
        <v>146</v>
      </c>
      <c r="I99" s="298">
        <v>1.1137883758163181E-2</v>
      </c>
      <c r="J99" s="299">
        <v>9.0652290326006667E-4</v>
      </c>
    </row>
    <row r="100" spans="1:10">
      <c r="A100" s="286" t="s">
        <v>1229</v>
      </c>
      <c r="B100" s="286" t="s">
        <v>1250</v>
      </c>
      <c r="C100" s="286" t="s">
        <v>453</v>
      </c>
      <c r="D100" s="292" t="s">
        <v>1291</v>
      </c>
      <c r="E100" s="289" t="s">
        <v>93</v>
      </c>
      <c r="F100" s="293">
        <v>11.299641486298254</v>
      </c>
      <c r="G100" s="293">
        <v>0.60854518935392177</v>
      </c>
      <c r="H100" s="283" t="s">
        <v>146</v>
      </c>
      <c r="I100" s="298">
        <v>0.70289344705556556</v>
      </c>
      <c r="J100" s="299">
        <v>5.7209163081835768E-2</v>
      </c>
    </row>
    <row r="101" spans="1:10">
      <c r="A101" s="286" t="s">
        <v>1229</v>
      </c>
      <c r="B101" s="286" t="s">
        <v>1250</v>
      </c>
      <c r="C101" s="286" t="s">
        <v>454</v>
      </c>
      <c r="D101" s="292" t="s">
        <v>1292</v>
      </c>
      <c r="E101" s="289" t="s">
        <v>95</v>
      </c>
      <c r="F101" s="293">
        <v>5.5932716901394715</v>
      </c>
      <c r="G101" s="293">
        <v>0.69715281748301761</v>
      </c>
      <c r="H101" s="283" t="s">
        <v>146</v>
      </c>
      <c r="I101" s="298">
        <v>0.36255575269931417</v>
      </c>
      <c r="J101" s="299">
        <v>2.9508755942055487E-2</v>
      </c>
    </row>
    <row r="102" spans="1:10">
      <c r="A102" s="286" t="s">
        <v>1229</v>
      </c>
      <c r="B102" s="286" t="s">
        <v>1250</v>
      </c>
      <c r="C102" s="286" t="s">
        <v>455</v>
      </c>
      <c r="D102" s="292" t="s">
        <v>1293</v>
      </c>
      <c r="E102" s="289" t="s">
        <v>97</v>
      </c>
      <c r="F102" s="293">
        <v>0.65276867438714836</v>
      </c>
      <c r="G102" s="293">
        <v>2.1589185647707374E-2</v>
      </c>
      <c r="H102" s="283" t="s">
        <v>146</v>
      </c>
      <c r="I102" s="298">
        <v>5.2394087260553744E-2</v>
      </c>
      <c r="J102" s="299">
        <v>4.2644043633771403E-3</v>
      </c>
    </row>
    <row r="103" spans="1:10">
      <c r="A103" s="286" t="s">
        <v>1229</v>
      </c>
      <c r="B103" s="286" t="s">
        <v>1250</v>
      </c>
      <c r="C103" s="286" t="s">
        <v>456</v>
      </c>
      <c r="D103" s="292" t="s">
        <v>1294</v>
      </c>
      <c r="E103" s="289" t="s">
        <v>99</v>
      </c>
      <c r="F103" s="293">
        <v>12.336165675977515</v>
      </c>
      <c r="G103" s="293">
        <v>0.65781894455970047</v>
      </c>
      <c r="H103" s="283" t="s">
        <v>146</v>
      </c>
      <c r="I103" s="298">
        <v>0.78774378049233051</v>
      </c>
      <c r="J103" s="299">
        <v>6.4115212047673245E-2</v>
      </c>
    </row>
    <row r="104" spans="1:10">
      <c r="A104" s="286" t="s">
        <v>1229</v>
      </c>
      <c r="B104" s="286" t="s">
        <v>1250</v>
      </c>
      <c r="C104" s="286" t="s">
        <v>457</v>
      </c>
      <c r="D104" s="292" t="s">
        <v>1295</v>
      </c>
      <c r="E104" s="289" t="s">
        <v>101</v>
      </c>
      <c r="F104" s="293">
        <v>6.5357512213780833</v>
      </c>
      <c r="G104" s="293">
        <v>0.7464265726887962</v>
      </c>
      <c r="H104" s="283" t="s">
        <v>146</v>
      </c>
      <c r="I104" s="298">
        <v>0.44206673832034193</v>
      </c>
      <c r="J104" s="299">
        <v>3.598023033443417E-2</v>
      </c>
    </row>
    <row r="105" spans="1:10">
      <c r="A105" s="286" t="s">
        <v>1229</v>
      </c>
      <c r="B105" s="286" t="s">
        <v>1250</v>
      </c>
      <c r="C105" s="286" t="s">
        <v>458</v>
      </c>
      <c r="D105" s="292" t="s">
        <v>1296</v>
      </c>
      <c r="E105" s="289" t="s">
        <v>103</v>
      </c>
      <c r="F105" s="293">
        <v>1.737771421746362</v>
      </c>
      <c r="G105" s="293">
        <v>7.0862940853486003E-2</v>
      </c>
      <c r="H105" s="283" t="s">
        <v>146</v>
      </c>
      <c r="I105" s="298">
        <v>0.14081186691139816</v>
      </c>
      <c r="J105" s="299">
        <v>1.1460811153863418E-2</v>
      </c>
    </row>
    <row r="106" spans="1:10" ht="33.75">
      <c r="A106" s="286" t="s">
        <v>1229</v>
      </c>
      <c r="B106" s="286" t="s">
        <v>1250</v>
      </c>
      <c r="C106" s="286" t="s">
        <v>459</v>
      </c>
      <c r="D106" s="292" t="s">
        <v>1297</v>
      </c>
      <c r="E106" s="285" t="s">
        <v>1197</v>
      </c>
      <c r="F106" s="293">
        <v>0.57045176529467956</v>
      </c>
      <c r="G106" s="293">
        <v>9.0542877669268565E-3</v>
      </c>
      <c r="H106" s="283" t="s">
        <v>146</v>
      </c>
      <c r="I106" s="298">
        <v>4.1581919374130784E-2</v>
      </c>
      <c r="J106" s="299">
        <v>3.3843917832717236E-3</v>
      </c>
    </row>
    <row r="107" spans="1:10">
      <c r="A107" s="286" t="s">
        <v>1229</v>
      </c>
      <c r="B107" s="286" t="s">
        <v>1253</v>
      </c>
      <c r="C107" s="286" t="s">
        <v>440</v>
      </c>
      <c r="D107" s="292" t="s">
        <v>1298</v>
      </c>
      <c r="E107" s="287" t="s">
        <v>68</v>
      </c>
      <c r="F107" s="293">
        <v>3.2779709063193887</v>
      </c>
      <c r="G107" s="293">
        <v>2.0316627607489354E-2</v>
      </c>
      <c r="H107" s="283" t="s">
        <v>147</v>
      </c>
      <c r="I107" s="298">
        <v>0.15618993537784415</v>
      </c>
      <c r="J107" s="299">
        <v>1.2712446704693922E-2</v>
      </c>
    </row>
    <row r="108" spans="1:10">
      <c r="A108" s="286" t="s">
        <v>1229</v>
      </c>
      <c r="B108" s="286" t="s">
        <v>1253</v>
      </c>
      <c r="C108" s="286" t="s">
        <v>441</v>
      </c>
      <c r="D108" s="292" t="s">
        <v>1299</v>
      </c>
      <c r="E108" s="287" t="s">
        <v>71</v>
      </c>
      <c r="F108" s="293">
        <v>3.3263711940581162</v>
      </c>
      <c r="G108" s="293">
        <v>2.0495603763022223E-2</v>
      </c>
      <c r="H108" s="283" t="s">
        <v>147</v>
      </c>
      <c r="I108" s="298">
        <v>0.15865149829837813</v>
      </c>
      <c r="J108" s="299">
        <v>1.2912795641146443E-2</v>
      </c>
    </row>
    <row r="109" spans="1:10">
      <c r="A109" s="286" t="s">
        <v>1229</v>
      </c>
      <c r="B109" s="286" t="s">
        <v>1253</v>
      </c>
      <c r="C109" s="286" t="s">
        <v>442</v>
      </c>
      <c r="D109" s="292" t="s">
        <v>1300</v>
      </c>
      <c r="E109" s="287" t="s">
        <v>73</v>
      </c>
      <c r="F109" s="293">
        <v>0.43428573803999987</v>
      </c>
      <c r="G109" s="293">
        <v>2.3232243203646441E-3</v>
      </c>
      <c r="H109" s="283" t="s">
        <v>147</v>
      </c>
      <c r="I109" s="298">
        <v>2.0624967493767944E-2</v>
      </c>
      <c r="J109" s="299">
        <v>1.6786856298793389E-3</v>
      </c>
    </row>
    <row r="110" spans="1:10">
      <c r="A110" s="286" t="s">
        <v>1229</v>
      </c>
      <c r="B110" s="286" t="s">
        <v>1253</v>
      </c>
      <c r="C110" s="286" t="s">
        <v>443</v>
      </c>
      <c r="D110" s="292" t="s">
        <v>1301</v>
      </c>
      <c r="E110" s="287" t="s">
        <v>75</v>
      </c>
      <c r="F110" s="293">
        <v>0.47140664001095539</v>
      </c>
      <c r="G110" s="293">
        <v>2.5022004758975119E-3</v>
      </c>
      <c r="H110" s="283" t="s">
        <v>147</v>
      </c>
      <c r="I110" s="298">
        <v>2.2744728255630117E-2</v>
      </c>
      <c r="J110" s="299">
        <v>1.8512149650550343E-3</v>
      </c>
    </row>
    <row r="111" spans="1:10">
      <c r="A111" s="286" t="s">
        <v>1229</v>
      </c>
      <c r="B111" s="286" t="s">
        <v>1253</v>
      </c>
      <c r="C111" s="286" t="s">
        <v>444</v>
      </c>
      <c r="D111" s="292" t="s">
        <v>1302</v>
      </c>
      <c r="E111" s="287" t="s">
        <v>77</v>
      </c>
      <c r="F111" s="293">
        <v>0.18952038426041887</v>
      </c>
      <c r="G111" s="293">
        <v>9.1564632890524093E-4</v>
      </c>
      <c r="H111" s="283" t="s">
        <v>147</v>
      </c>
      <c r="I111" s="298">
        <v>9.5874043852685921E-3</v>
      </c>
      <c r="J111" s="299">
        <v>7.8032791926850749E-4</v>
      </c>
    </row>
    <row r="112" spans="1:10">
      <c r="A112" s="286" t="s">
        <v>1229</v>
      </c>
      <c r="B112" s="286" t="s">
        <v>1253</v>
      </c>
      <c r="C112" s="286" t="s">
        <v>445</v>
      </c>
      <c r="D112" s="292" t="s">
        <v>1303</v>
      </c>
      <c r="E112" s="287" t="s">
        <v>79</v>
      </c>
      <c r="F112" s="293">
        <v>0.22845810251408583</v>
      </c>
      <c r="G112" s="293">
        <v>1.0946224844381087E-3</v>
      </c>
      <c r="H112" s="283" t="s">
        <v>147</v>
      </c>
      <c r="I112" s="298">
        <v>1.1741288026445019E-2</v>
      </c>
      <c r="J112" s="299">
        <v>9.5563454789556227E-4</v>
      </c>
    </row>
    <row r="113" spans="1:10">
      <c r="A113" s="286" t="s">
        <v>1229</v>
      </c>
      <c r="B113" s="286" t="s">
        <v>1253</v>
      </c>
      <c r="C113" s="286" t="s">
        <v>446</v>
      </c>
      <c r="D113" s="292" t="s">
        <v>1304</v>
      </c>
      <c r="E113" s="287" t="s">
        <v>1186</v>
      </c>
      <c r="F113" s="293">
        <v>6.3628612557630929E-2</v>
      </c>
      <c r="G113" s="293">
        <v>2.323747411985683E-4</v>
      </c>
      <c r="H113" s="283" t="s">
        <v>147</v>
      </c>
      <c r="I113" s="298">
        <v>3.1822364738263976E-3</v>
      </c>
      <c r="J113" s="299">
        <v>2.5900523921331791E-4</v>
      </c>
    </row>
    <row r="114" spans="1:10">
      <c r="A114" s="286" t="s">
        <v>1229</v>
      </c>
      <c r="B114" s="286" t="s">
        <v>1253</v>
      </c>
      <c r="C114" s="286" t="s">
        <v>447</v>
      </c>
      <c r="D114" s="292" t="s">
        <v>1305</v>
      </c>
      <c r="E114" s="287" t="s">
        <v>81</v>
      </c>
      <c r="F114" s="293">
        <v>0.11367909433548061</v>
      </c>
      <c r="G114" s="293">
        <v>4.1135089673143585E-4</v>
      </c>
      <c r="H114" s="283" t="s">
        <v>147</v>
      </c>
      <c r="I114" s="298">
        <v>5.798562155832335E-3</v>
      </c>
      <c r="J114" s="299">
        <v>4.7195046333523303E-4</v>
      </c>
    </row>
    <row r="115" spans="1:10">
      <c r="A115" s="286" t="s">
        <v>1229</v>
      </c>
      <c r="B115" s="286" t="s">
        <v>1253</v>
      </c>
      <c r="C115" s="286" t="s">
        <v>448</v>
      </c>
      <c r="D115" s="292" t="s">
        <v>1306</v>
      </c>
      <c r="E115" s="287" t="s">
        <v>83</v>
      </c>
      <c r="F115" s="293">
        <v>5.3550245277665456E-2</v>
      </c>
      <c r="G115" s="293">
        <v>1.7897615553286763E-4</v>
      </c>
      <c r="H115" s="283" t="s">
        <v>147</v>
      </c>
      <c r="I115" s="298">
        <v>2.8134166795314411E-3</v>
      </c>
      <c r="J115" s="299">
        <v>2.2898664699565384E-4</v>
      </c>
    </row>
    <row r="116" spans="1:10">
      <c r="A116" s="286" t="s">
        <v>1229</v>
      </c>
      <c r="B116" s="286" t="s">
        <v>1253</v>
      </c>
      <c r="C116" s="286" t="s">
        <v>449</v>
      </c>
      <c r="D116" s="292" t="s">
        <v>1307</v>
      </c>
      <c r="E116" s="288" t="s">
        <v>85</v>
      </c>
      <c r="F116" s="293">
        <v>1.8291075881784706</v>
      </c>
      <c r="G116" s="293">
        <v>6.2405176037767069E-4</v>
      </c>
      <c r="H116" s="283" t="s">
        <v>147</v>
      </c>
      <c r="I116" s="298">
        <v>8.1117994440069272E-2</v>
      </c>
      <c r="J116" s="299">
        <v>6.6022703615083089E-3</v>
      </c>
    </row>
    <row r="117" spans="1:10">
      <c r="A117" s="286" t="s">
        <v>1229</v>
      </c>
      <c r="B117" s="286" t="s">
        <v>1253</v>
      </c>
      <c r="C117" s="286" t="s">
        <v>450</v>
      </c>
      <c r="D117" s="292" t="s">
        <v>1308</v>
      </c>
      <c r="E117" s="289" t="s">
        <v>87</v>
      </c>
      <c r="F117" s="293">
        <v>1.4080248638403403</v>
      </c>
      <c r="G117" s="293">
        <v>-3.0910425957023338E-3</v>
      </c>
      <c r="H117" s="283" t="s">
        <v>147</v>
      </c>
      <c r="I117" s="298">
        <v>3.5731294271815379E-2</v>
      </c>
      <c r="J117" s="299">
        <v>2.9082038674344821E-3</v>
      </c>
    </row>
    <row r="118" spans="1:10">
      <c r="A118" s="286" t="s">
        <v>1229</v>
      </c>
      <c r="B118" s="286" t="s">
        <v>1253</v>
      </c>
      <c r="C118" s="286" t="s">
        <v>451</v>
      </c>
      <c r="D118" s="292" t="s">
        <v>1309</v>
      </c>
      <c r="E118" s="289" t="s">
        <v>89</v>
      </c>
      <c r="F118" s="293">
        <v>1.5110613542432219</v>
      </c>
      <c r="G118" s="293">
        <v>-3.5164610537144546E-3</v>
      </c>
      <c r="H118" s="283" t="s">
        <v>147</v>
      </c>
      <c r="I118" s="298">
        <v>4.1920558326823357E-2</v>
      </c>
      <c r="J118" s="299">
        <v>3.4119539282193062E-3</v>
      </c>
    </row>
    <row r="119" spans="1:10">
      <c r="A119" s="286" t="s">
        <v>1229</v>
      </c>
      <c r="B119" s="286" t="s">
        <v>1253</v>
      </c>
      <c r="C119" s="286" t="s">
        <v>452</v>
      </c>
      <c r="D119" s="292" t="s">
        <v>1310</v>
      </c>
      <c r="E119" s="289" t="s">
        <v>91</v>
      </c>
      <c r="F119" s="293">
        <v>1.5753764575905433</v>
      </c>
      <c r="G119" s="293">
        <v>-3.8019967013167015E-3</v>
      </c>
      <c r="H119" s="283" t="s">
        <v>147</v>
      </c>
      <c r="I119" s="298">
        <v>4.6078918970017826E-2</v>
      </c>
      <c r="J119" s="299">
        <v>3.7504068376697391E-3</v>
      </c>
    </row>
    <row r="120" spans="1:10">
      <c r="A120" s="286" t="s">
        <v>1229</v>
      </c>
      <c r="B120" s="286" t="s">
        <v>1253</v>
      </c>
      <c r="C120" s="286" t="s">
        <v>1248</v>
      </c>
      <c r="D120" s="292" t="s">
        <v>1311</v>
      </c>
      <c r="E120" s="289" t="s">
        <v>1188</v>
      </c>
      <c r="F120" s="293">
        <v>0.14861250732412626</v>
      </c>
      <c r="G120" s="293">
        <v>-7.1095410561436835E-4</v>
      </c>
      <c r="H120" s="283" t="s">
        <v>147</v>
      </c>
      <c r="I120" s="298">
        <v>8.8792548166625532E-3</v>
      </c>
      <c r="J120" s="299">
        <v>7.2269095547773264E-4</v>
      </c>
    </row>
    <row r="121" spans="1:10">
      <c r="A121" s="286" t="s">
        <v>1229</v>
      </c>
      <c r="B121" s="286" t="s">
        <v>1253</v>
      </c>
      <c r="C121" s="286" t="s">
        <v>453</v>
      </c>
      <c r="D121" s="292" t="s">
        <v>1312</v>
      </c>
      <c r="E121" s="289" t="s">
        <v>93</v>
      </c>
      <c r="F121" s="293">
        <v>13.152351066730258</v>
      </c>
      <c r="G121" s="293">
        <v>3.9695439691111375E-2</v>
      </c>
      <c r="H121" s="283" t="s">
        <v>147</v>
      </c>
      <c r="I121" s="298">
        <v>0.70863278308548427</v>
      </c>
      <c r="J121" s="299">
        <v>5.7676293074713794E-2</v>
      </c>
    </row>
    <row r="122" spans="1:10">
      <c r="A122" s="286" t="s">
        <v>1229</v>
      </c>
      <c r="B122" s="286" t="s">
        <v>1253</v>
      </c>
      <c r="C122" s="286" t="s">
        <v>454</v>
      </c>
      <c r="D122" s="292" t="s">
        <v>1313</v>
      </c>
      <c r="E122" s="289" t="s">
        <v>95</v>
      </c>
      <c r="F122" s="293">
        <v>6.2457707273602336</v>
      </c>
      <c r="G122" s="293">
        <v>5.8670656591017133E-2</v>
      </c>
      <c r="H122" s="283" t="s">
        <v>147</v>
      </c>
      <c r="I122" s="298">
        <v>0.33204855849581977</v>
      </c>
      <c r="J122" s="299">
        <v>2.7025746524813078E-2</v>
      </c>
    </row>
    <row r="123" spans="1:10">
      <c r="A123" s="286" t="s">
        <v>1229</v>
      </c>
      <c r="B123" s="286" t="s">
        <v>1253</v>
      </c>
      <c r="C123" s="286" t="s">
        <v>455</v>
      </c>
      <c r="D123" s="292" t="s">
        <v>1314</v>
      </c>
      <c r="E123" s="289" t="s">
        <v>97</v>
      </c>
      <c r="F123" s="293">
        <v>0.7193409191262935</v>
      </c>
      <c r="G123" s="293">
        <v>6.4682113117917961E-4</v>
      </c>
      <c r="H123" s="283" t="s">
        <v>147</v>
      </c>
      <c r="I123" s="298">
        <v>4.7715776555516461E-2</v>
      </c>
      <c r="J123" s="299">
        <v>3.8836322261589966E-3</v>
      </c>
    </row>
    <row r="124" spans="1:10">
      <c r="A124" s="286" t="s">
        <v>1229</v>
      </c>
      <c r="B124" s="286" t="s">
        <v>1253</v>
      </c>
      <c r="C124" s="286" t="s">
        <v>456</v>
      </c>
      <c r="D124" s="292" t="s">
        <v>1315</v>
      </c>
      <c r="E124" s="289" t="s">
        <v>99</v>
      </c>
      <c r="F124" s="293">
        <v>14.361140548443627</v>
      </c>
      <c r="G124" s="293">
        <v>4.2175476703237319E-2</v>
      </c>
      <c r="H124" s="283" t="s">
        <v>147</v>
      </c>
      <c r="I124" s="298">
        <v>0.79059462972911521</v>
      </c>
      <c r="J124" s="299">
        <v>6.4347245365940969E-2</v>
      </c>
    </row>
    <row r="125" spans="1:10">
      <c r="A125" s="286" t="s">
        <v>1229</v>
      </c>
      <c r="B125" s="286" t="s">
        <v>1253</v>
      </c>
      <c r="C125" s="286" t="s">
        <v>457</v>
      </c>
      <c r="D125" s="292" t="s">
        <v>1316</v>
      </c>
      <c r="E125" s="289" t="s">
        <v>101</v>
      </c>
      <c r="F125" s="293">
        <v>7.2763321945885568</v>
      </c>
      <c r="G125" s="293">
        <v>6.115069360314309E-2</v>
      </c>
      <c r="H125" s="283" t="s">
        <v>147</v>
      </c>
      <c r="I125" s="298">
        <v>0.40578116592219493</v>
      </c>
      <c r="J125" s="299">
        <v>3.3026913245565011E-2</v>
      </c>
    </row>
    <row r="126" spans="1:10">
      <c r="A126" s="286" t="s">
        <v>1229</v>
      </c>
      <c r="B126" s="286" t="s">
        <v>1253</v>
      </c>
      <c r="C126" s="286" t="s">
        <v>458</v>
      </c>
      <c r="D126" s="292" t="s">
        <v>1317</v>
      </c>
      <c r="E126" s="289" t="s">
        <v>103</v>
      </c>
      <c r="F126" s="293">
        <v>1.8426858072757035</v>
      </c>
      <c r="G126" s="293">
        <v>3.1268581433051249E-3</v>
      </c>
      <c r="H126" s="283" t="s">
        <v>147</v>
      </c>
      <c r="I126" s="298">
        <v>0.12529138161989686</v>
      </c>
      <c r="J126" s="299">
        <v>1.019758416281631E-2</v>
      </c>
    </row>
    <row r="127" spans="1:10" ht="33.75">
      <c r="A127" s="286" t="s">
        <v>1229</v>
      </c>
      <c r="B127" s="286" t="s">
        <v>1253</v>
      </c>
      <c r="C127" s="286" t="s">
        <v>459</v>
      </c>
      <c r="D127" s="292" t="s">
        <v>1318</v>
      </c>
      <c r="E127" s="285" t="s">
        <v>1197</v>
      </c>
      <c r="F127" s="293">
        <v>0.56760205246326001</v>
      </c>
      <c r="G127" s="293">
        <v>-5.8114024694188421E-4</v>
      </c>
      <c r="H127" s="283" t="s">
        <v>147</v>
      </c>
      <c r="I127" s="298">
        <v>3.3963747226311729E-2</v>
      </c>
      <c r="J127" s="299">
        <v>2.7643415400723072E-3</v>
      </c>
    </row>
    <row r="128" spans="1:10">
      <c r="A128" s="286" t="s">
        <v>229</v>
      </c>
      <c r="B128" s="286" t="s">
        <v>1231</v>
      </c>
      <c r="C128" s="286" t="s">
        <v>440</v>
      </c>
      <c r="D128" s="292" t="s">
        <v>148</v>
      </c>
      <c r="E128" s="287" t="s">
        <v>68</v>
      </c>
      <c r="F128" s="293">
        <v>1.0803986594527768</v>
      </c>
      <c r="G128" s="293">
        <v>0.41289613922928159</v>
      </c>
      <c r="H128" s="283" t="s">
        <v>149</v>
      </c>
      <c r="I128" s="298">
        <v>5.0511323950455732E-2</v>
      </c>
      <c r="J128" s="299">
        <v>4.1111644751649244E-3</v>
      </c>
    </row>
    <row r="129" spans="1:10">
      <c r="A129" s="286" t="s">
        <v>229</v>
      </c>
      <c r="B129" s="286" t="s">
        <v>1231</v>
      </c>
      <c r="C129" s="286" t="s">
        <v>441</v>
      </c>
      <c r="D129" s="292" t="s">
        <v>150</v>
      </c>
      <c r="E129" s="287" t="s">
        <v>71</v>
      </c>
      <c r="F129" s="293">
        <v>1.0951056855432137</v>
      </c>
      <c r="G129" s="293">
        <v>0.41782598318049147</v>
      </c>
      <c r="H129" s="283" t="s">
        <v>149</v>
      </c>
      <c r="I129" s="298">
        <v>5.2476477191443847E-2</v>
      </c>
      <c r="J129" s="299">
        <v>4.2711101578504539E-3</v>
      </c>
    </row>
    <row r="130" spans="1:10">
      <c r="A130" s="286" t="s">
        <v>229</v>
      </c>
      <c r="B130" s="286" t="s">
        <v>1231</v>
      </c>
      <c r="C130" s="286" t="s">
        <v>442</v>
      </c>
      <c r="D130" s="292" t="s">
        <v>151</v>
      </c>
      <c r="E130" s="287" t="s">
        <v>73</v>
      </c>
      <c r="F130" s="293">
        <v>0.23484049878426216</v>
      </c>
      <c r="G130" s="293">
        <v>6.0726083470572276E-2</v>
      </c>
      <c r="H130" s="283" t="s">
        <v>149</v>
      </c>
      <c r="I130" s="298">
        <v>2.4324650577646392E-2</v>
      </c>
      <c r="J130" s="299">
        <v>1.9798063385491117E-3</v>
      </c>
    </row>
    <row r="131" spans="1:10">
      <c r="A131" s="286" t="s">
        <v>229</v>
      </c>
      <c r="B131" s="286" t="s">
        <v>1231</v>
      </c>
      <c r="C131" s="286" t="s">
        <v>443</v>
      </c>
      <c r="D131" s="292" t="s">
        <v>152</v>
      </c>
      <c r="E131" s="287" t="s">
        <v>75</v>
      </c>
      <c r="F131" s="293">
        <v>0.25468982986123767</v>
      </c>
      <c r="G131" s="293">
        <v>6.5655927421782098E-2</v>
      </c>
      <c r="H131" s="283" t="s">
        <v>149</v>
      </c>
      <c r="I131" s="298">
        <v>2.6676617982888066E-2</v>
      </c>
      <c r="J131" s="299">
        <v>2.1712351922584224E-3</v>
      </c>
    </row>
    <row r="132" spans="1:10">
      <c r="A132" s="286" t="s">
        <v>229</v>
      </c>
      <c r="B132" s="286" t="s">
        <v>1231</v>
      </c>
      <c r="C132" s="286" t="s">
        <v>444</v>
      </c>
      <c r="D132" s="292" t="s">
        <v>153</v>
      </c>
      <c r="E132" s="287" t="s">
        <v>77</v>
      </c>
      <c r="F132" s="293">
        <v>0.12221736055475954</v>
      </c>
      <c r="G132" s="293">
        <v>2.4587581730228299E-2</v>
      </c>
      <c r="H132" s="283" t="s">
        <v>149</v>
      </c>
      <c r="I132" s="298">
        <v>1.3553683435624684E-2</v>
      </c>
      <c r="J132" s="299">
        <v>1.103147126035067E-3</v>
      </c>
    </row>
    <row r="133" spans="1:10">
      <c r="A133" s="286" t="s">
        <v>229</v>
      </c>
      <c r="B133" s="286" t="s">
        <v>1231</v>
      </c>
      <c r="C133" s="286" t="s">
        <v>445</v>
      </c>
      <c r="D133" s="292" t="s">
        <v>154</v>
      </c>
      <c r="E133" s="287" t="s">
        <v>79</v>
      </c>
      <c r="F133" s="293">
        <v>0.14721319161967125</v>
      </c>
      <c r="G133" s="293">
        <v>2.9517425681438121E-2</v>
      </c>
      <c r="H133" s="283" t="s">
        <v>149</v>
      </c>
      <c r="I133" s="298">
        <v>1.6479515465605197E-2</v>
      </c>
      <c r="J133" s="299">
        <v>1.3412833648268644E-3</v>
      </c>
    </row>
    <row r="134" spans="1:10">
      <c r="A134" s="286" t="s">
        <v>229</v>
      </c>
      <c r="B134" s="286" t="s">
        <v>1231</v>
      </c>
      <c r="C134" s="286" t="s">
        <v>446</v>
      </c>
      <c r="D134" s="292" t="s">
        <v>1319</v>
      </c>
      <c r="E134" s="287" t="s">
        <v>1186</v>
      </c>
      <c r="F134" s="293">
        <v>6.2515828901650722E-2</v>
      </c>
      <c r="G134" s="293">
        <v>6.3287615927139097E-3</v>
      </c>
      <c r="H134" s="283" t="s">
        <v>149</v>
      </c>
      <c r="I134" s="298">
        <v>8.0433174160839758E-3</v>
      </c>
      <c r="J134" s="299">
        <v>6.5465321906656203E-4</v>
      </c>
    </row>
    <row r="135" spans="1:10">
      <c r="A135" s="286" t="s">
        <v>229</v>
      </c>
      <c r="B135" s="286" t="s">
        <v>1231</v>
      </c>
      <c r="C135" s="286" t="s">
        <v>447</v>
      </c>
      <c r="D135" s="292" t="s">
        <v>155</v>
      </c>
      <c r="E135" s="287" t="s">
        <v>81</v>
      </c>
      <c r="F135" s="293">
        <v>5.7104724463978483E-2</v>
      </c>
      <c r="G135" s="293">
        <v>1.1258605543923727E-2</v>
      </c>
      <c r="H135" s="283" t="s">
        <v>149</v>
      </c>
      <c r="I135" s="298">
        <v>6.5923590095842751E-3</v>
      </c>
      <c r="J135" s="299">
        <v>5.3655834074592239E-4</v>
      </c>
    </row>
    <row r="136" spans="1:10">
      <c r="A136" s="286" t="s">
        <v>229</v>
      </c>
      <c r="B136" s="286" t="s">
        <v>1231</v>
      </c>
      <c r="C136" s="286" t="s">
        <v>448</v>
      </c>
      <c r="D136" s="292" t="s">
        <v>156</v>
      </c>
      <c r="E136" s="287" t="s">
        <v>83</v>
      </c>
      <c r="F136" s="293">
        <v>2.6854312757018259E-2</v>
      </c>
      <c r="G136" s="293">
        <v>4.9298439512098172E-3</v>
      </c>
      <c r="H136" s="283" t="s">
        <v>149</v>
      </c>
      <c r="I136" s="298">
        <v>3.1665859897484858E-3</v>
      </c>
      <c r="J136" s="299">
        <v>2.5773143149797562E-4</v>
      </c>
    </row>
    <row r="137" spans="1:10">
      <c r="A137" s="286" t="s">
        <v>229</v>
      </c>
      <c r="B137" s="286" t="s">
        <v>1231</v>
      </c>
      <c r="C137" s="286" t="s">
        <v>449</v>
      </c>
      <c r="D137" s="292" t="s">
        <v>157</v>
      </c>
      <c r="E137" s="288" t="s">
        <v>85</v>
      </c>
      <c r="F137" s="293">
        <v>0.79612518262562126</v>
      </c>
      <c r="G137" s="293">
        <v>5.3758853769693138E-2</v>
      </c>
      <c r="H137" s="283" t="s">
        <v>149</v>
      </c>
      <c r="I137" s="298">
        <v>7.9838313238162817E-2</v>
      </c>
      <c r="J137" s="299">
        <v>6.4981158970168528E-3</v>
      </c>
    </row>
    <row r="138" spans="1:10">
      <c r="A138" s="286" t="s">
        <v>229</v>
      </c>
      <c r="B138" s="286" t="s">
        <v>1231</v>
      </c>
      <c r="C138" s="286" t="s">
        <v>450</v>
      </c>
      <c r="D138" s="292" t="s">
        <v>158</v>
      </c>
      <c r="E138" s="289" t="s">
        <v>87</v>
      </c>
      <c r="F138" s="293">
        <v>0.26828216931478577</v>
      </c>
      <c r="G138" s="293">
        <v>-5.1593671238092234E-2</v>
      </c>
      <c r="H138" s="283" t="s">
        <v>149</v>
      </c>
      <c r="I138" s="298">
        <v>2.3182342544530695E-3</v>
      </c>
      <c r="J138" s="299">
        <v>1.8868328063160805E-4</v>
      </c>
    </row>
    <row r="139" spans="1:10">
      <c r="A139" s="286" t="s">
        <v>229</v>
      </c>
      <c r="B139" s="286" t="s">
        <v>1231</v>
      </c>
      <c r="C139" s="286" t="s">
        <v>451</v>
      </c>
      <c r="D139" s="292" t="s">
        <v>159</v>
      </c>
      <c r="E139" s="289" t="s">
        <v>89</v>
      </c>
      <c r="F139" s="293">
        <v>0.28858431794255734</v>
      </c>
      <c r="G139" s="293">
        <v>-5.7578129231293268E-2</v>
      </c>
      <c r="H139" s="283" t="s">
        <v>149</v>
      </c>
      <c r="I139" s="298">
        <v>4.4917065825095448E-3</v>
      </c>
      <c r="J139" s="299">
        <v>3.6558425102834949E-4</v>
      </c>
    </row>
    <row r="140" spans="1:10">
      <c r="A140" s="286" t="s">
        <v>229</v>
      </c>
      <c r="B140" s="286" t="s">
        <v>1231</v>
      </c>
      <c r="C140" s="286" t="s">
        <v>452</v>
      </c>
      <c r="D140" s="292" t="s">
        <v>160</v>
      </c>
      <c r="E140" s="289" t="s">
        <v>91</v>
      </c>
      <c r="F140" s="293">
        <v>0.30132878386657025</v>
      </c>
      <c r="G140" s="293">
        <v>-6.1526044521389017E-2</v>
      </c>
      <c r="H140" s="283" t="s">
        <v>149</v>
      </c>
      <c r="I140" s="298">
        <v>5.9337274920276831E-3</v>
      </c>
      <c r="J140" s="299">
        <v>4.8295169800857256E-4</v>
      </c>
    </row>
    <row r="141" spans="1:10">
      <c r="A141" s="286" t="s">
        <v>229</v>
      </c>
      <c r="B141" s="286" t="s">
        <v>1231</v>
      </c>
      <c r="C141" s="286" t="s">
        <v>1248</v>
      </c>
      <c r="D141" s="292" t="s">
        <v>1320</v>
      </c>
      <c r="E141" s="289" t="s">
        <v>1188</v>
      </c>
      <c r="F141" s="293">
        <v>4.5908394282993786E-2</v>
      </c>
      <c r="G141" s="293">
        <v>-9.9323732832967901E-3</v>
      </c>
      <c r="H141" s="283" t="s">
        <v>149</v>
      </c>
      <c r="I141" s="298">
        <v>5.3138214220288527E-3</v>
      </c>
      <c r="J141" s="299">
        <v>4.3249695610915142E-4</v>
      </c>
    </row>
    <row r="142" spans="1:10">
      <c r="A142" s="286" t="s">
        <v>229</v>
      </c>
      <c r="B142" s="286" t="s">
        <v>1231</v>
      </c>
      <c r="C142" s="286" t="s">
        <v>453</v>
      </c>
      <c r="D142" s="292" t="s">
        <v>161</v>
      </c>
      <c r="E142" s="289" t="s">
        <v>93</v>
      </c>
      <c r="F142" s="293">
        <v>7.4082554643416394</v>
      </c>
      <c r="G142" s="293">
        <v>1.0710065593572087</v>
      </c>
      <c r="H142" s="283" t="s">
        <v>149</v>
      </c>
      <c r="I142" s="298">
        <v>0.93448347816522392</v>
      </c>
      <c r="J142" s="299">
        <v>7.605849495906479E-2</v>
      </c>
    </row>
    <row r="143" spans="1:10">
      <c r="A143" s="286" t="s">
        <v>229</v>
      </c>
      <c r="B143" s="286" t="s">
        <v>1231</v>
      </c>
      <c r="C143" s="286" t="s">
        <v>454</v>
      </c>
      <c r="D143" s="292" t="s">
        <v>162</v>
      </c>
      <c r="E143" s="289" t="s">
        <v>95</v>
      </c>
      <c r="F143" s="293">
        <v>3.214155477063144</v>
      </c>
      <c r="G143" s="293">
        <v>1.299214345677949</v>
      </c>
      <c r="H143" s="283" t="s">
        <v>149</v>
      </c>
      <c r="I143" s="298">
        <v>0.39704702039014794</v>
      </c>
      <c r="J143" s="299">
        <v>3.2316032872136434E-2</v>
      </c>
    </row>
    <row r="144" spans="1:10">
      <c r="A144" s="286" t="s">
        <v>229</v>
      </c>
      <c r="B144" s="286" t="s">
        <v>1231</v>
      </c>
      <c r="C144" s="286" t="s">
        <v>455</v>
      </c>
      <c r="D144" s="292" t="s">
        <v>163</v>
      </c>
      <c r="E144" s="289" t="s">
        <v>97</v>
      </c>
      <c r="F144" s="293">
        <v>0.349566022210548</v>
      </c>
      <c r="G144" s="293">
        <v>3.4059696569231648E-2</v>
      </c>
      <c r="H144" s="283" t="s">
        <v>149</v>
      </c>
      <c r="I144" s="298">
        <v>5.2225577836431038E-2</v>
      </c>
      <c r="J144" s="299">
        <v>4.2506892218206992E-3</v>
      </c>
    </row>
    <row r="145" spans="1:10">
      <c r="A145" s="286" t="s">
        <v>229</v>
      </c>
      <c r="B145" s="286" t="s">
        <v>1231</v>
      </c>
      <c r="C145" s="286" t="s">
        <v>456</v>
      </c>
      <c r="D145" s="292" t="s">
        <v>164</v>
      </c>
      <c r="E145" s="289" t="s">
        <v>99</v>
      </c>
      <c r="F145" s="293">
        <v>8.1314363544779429</v>
      </c>
      <c r="G145" s="293">
        <v>1.153852349659386</v>
      </c>
      <c r="H145" s="283" t="s">
        <v>149</v>
      </c>
      <c r="I145" s="298">
        <v>1.0471086208144087</v>
      </c>
      <c r="J145" s="299">
        <v>8.5225161940984853E-2</v>
      </c>
    </row>
    <row r="146" spans="1:10">
      <c r="A146" s="286" t="s">
        <v>229</v>
      </c>
      <c r="B146" s="286" t="s">
        <v>1231</v>
      </c>
      <c r="C146" s="286" t="s">
        <v>457</v>
      </c>
      <c r="D146" s="292" t="s">
        <v>165</v>
      </c>
      <c r="E146" s="289" t="s">
        <v>101</v>
      </c>
      <c r="F146" s="293">
        <v>3.7803884703880826</v>
      </c>
      <c r="G146" s="293">
        <v>1.3820601359801266</v>
      </c>
      <c r="H146" s="283" t="s">
        <v>149</v>
      </c>
      <c r="I146" s="298">
        <v>0.48380254153461455</v>
      </c>
      <c r="J146" s="299">
        <v>3.9377146869136161E-2</v>
      </c>
    </row>
    <row r="147" spans="1:10">
      <c r="A147" s="286" t="s">
        <v>229</v>
      </c>
      <c r="B147" s="286" t="s">
        <v>1231</v>
      </c>
      <c r="C147" s="286" t="s">
        <v>458</v>
      </c>
      <c r="D147" s="292" t="s">
        <v>166</v>
      </c>
      <c r="E147" s="289" t="s">
        <v>103</v>
      </c>
      <c r="F147" s="293">
        <v>1.0415479955569551</v>
      </c>
      <c r="G147" s="293">
        <v>0.11690548687140909</v>
      </c>
      <c r="H147" s="283" t="s">
        <v>149</v>
      </c>
      <c r="I147" s="298">
        <v>0.15857231188160772</v>
      </c>
      <c r="J147" s="299">
        <v>1.2906350583720083E-2</v>
      </c>
    </row>
    <row r="148" spans="1:10" ht="33.75">
      <c r="A148" s="286" t="s">
        <v>229</v>
      </c>
      <c r="B148" s="286" t="s">
        <v>1231</v>
      </c>
      <c r="C148" s="286" t="s">
        <v>459</v>
      </c>
      <c r="D148" s="292" t="s">
        <v>167</v>
      </c>
      <c r="E148" s="285" t="s">
        <v>1197</v>
      </c>
      <c r="F148" s="293">
        <v>0.28859607870056397</v>
      </c>
      <c r="G148" s="293">
        <v>9.6950029888208441E-3</v>
      </c>
      <c r="H148" s="283" t="s">
        <v>149</v>
      </c>
      <c r="I148" s="298">
        <v>3.7427364125342033E-2</v>
      </c>
      <c r="J148" s="299">
        <v>3.0462485984745213E-3</v>
      </c>
    </row>
    <row r="149" spans="1:10">
      <c r="A149" s="286" t="s">
        <v>229</v>
      </c>
      <c r="B149" s="286" t="s">
        <v>1250</v>
      </c>
      <c r="C149" s="286" t="s">
        <v>440</v>
      </c>
      <c r="D149" s="292" t="s">
        <v>168</v>
      </c>
      <c r="E149" s="287" t="s">
        <v>68</v>
      </c>
      <c r="F149" s="293">
        <v>1.8839759921970363</v>
      </c>
      <c r="G149" s="293">
        <v>0.5710941806117269</v>
      </c>
      <c r="H149" s="283" t="s">
        <v>169</v>
      </c>
      <c r="I149" s="298">
        <v>9.5802181196962932E-2</v>
      </c>
      <c r="J149" s="299">
        <v>7.7974302231037362E-3</v>
      </c>
    </row>
    <row r="150" spans="1:10">
      <c r="A150" s="286" t="s">
        <v>229</v>
      </c>
      <c r="B150" s="286" t="s">
        <v>1250</v>
      </c>
      <c r="C150" s="286" t="s">
        <v>441</v>
      </c>
      <c r="D150" s="292" t="s">
        <v>170</v>
      </c>
      <c r="E150" s="287" t="s">
        <v>71</v>
      </c>
      <c r="F150" s="293">
        <v>1.9087486898480066</v>
      </c>
      <c r="G150" s="293">
        <v>0.57843329163729118</v>
      </c>
      <c r="H150" s="283" t="s">
        <v>169</v>
      </c>
      <c r="I150" s="298">
        <v>9.7810624431226151E-2</v>
      </c>
      <c r="J150" s="299">
        <v>7.9608993193243625E-3</v>
      </c>
    </row>
    <row r="151" spans="1:10">
      <c r="A151" s="286" t="s">
        <v>229</v>
      </c>
      <c r="B151" s="286" t="s">
        <v>1250</v>
      </c>
      <c r="C151" s="286" t="s">
        <v>442</v>
      </c>
      <c r="D151" s="292" t="s">
        <v>171</v>
      </c>
      <c r="E151" s="287" t="s">
        <v>73</v>
      </c>
      <c r="F151" s="293">
        <v>0.31903360365507649</v>
      </c>
      <c r="G151" s="293">
        <v>8.9612186329205465E-2</v>
      </c>
      <c r="H151" s="283" t="s">
        <v>169</v>
      </c>
      <c r="I151" s="298">
        <v>1.9710728373773041E-2</v>
      </c>
      <c r="J151" s="299">
        <v>1.6042748423969969E-3</v>
      </c>
    </row>
    <row r="152" spans="1:10">
      <c r="A152" s="286" t="s">
        <v>229</v>
      </c>
      <c r="B152" s="286" t="s">
        <v>1250</v>
      </c>
      <c r="C152" s="286" t="s">
        <v>443</v>
      </c>
      <c r="D152" s="292" t="s">
        <v>172</v>
      </c>
      <c r="E152" s="287" t="s">
        <v>75</v>
      </c>
      <c r="F152" s="293">
        <v>0.34579995242763517</v>
      </c>
      <c r="G152" s="293">
        <v>9.6951297354769747E-2</v>
      </c>
      <c r="H152" s="283" t="s">
        <v>169</v>
      </c>
      <c r="I152" s="298">
        <v>2.1632176390235319E-2</v>
      </c>
      <c r="J152" s="299">
        <v>1.7606633154828339E-3</v>
      </c>
    </row>
    <row r="153" spans="1:10">
      <c r="A153" s="286" t="s">
        <v>229</v>
      </c>
      <c r="B153" s="286" t="s">
        <v>1250</v>
      </c>
      <c r="C153" s="286" t="s">
        <v>444</v>
      </c>
      <c r="D153" s="292" t="s">
        <v>173</v>
      </c>
      <c r="E153" s="287" t="s">
        <v>77</v>
      </c>
      <c r="F153" s="293">
        <v>0.1540389820861772</v>
      </c>
      <c r="G153" s="293">
        <v>3.6459034853049729E-2</v>
      </c>
      <c r="H153" s="283" t="s">
        <v>169</v>
      </c>
      <c r="I153" s="298">
        <v>1.0139979023620002E-2</v>
      </c>
      <c r="J153" s="299">
        <v>8.2530249220378932E-4</v>
      </c>
    </row>
    <row r="154" spans="1:10">
      <c r="A154" s="286" t="s">
        <v>229</v>
      </c>
      <c r="B154" s="286" t="s">
        <v>1250</v>
      </c>
      <c r="C154" s="286" t="s">
        <v>445</v>
      </c>
      <c r="D154" s="292" t="s">
        <v>174</v>
      </c>
      <c r="E154" s="287" t="s">
        <v>79</v>
      </c>
      <c r="F154" s="293">
        <v>0.18542750162681945</v>
      </c>
      <c r="G154" s="293">
        <v>4.3798145878613998E-2</v>
      </c>
      <c r="H154" s="283" t="s">
        <v>169</v>
      </c>
      <c r="I154" s="298">
        <v>1.2332258061272243E-2</v>
      </c>
      <c r="J154" s="299">
        <v>1.0037341584987554E-3</v>
      </c>
    </row>
    <row r="155" spans="1:10">
      <c r="A155" s="286" t="s">
        <v>229</v>
      </c>
      <c r="B155" s="286" t="s">
        <v>1250</v>
      </c>
      <c r="C155" s="286" t="s">
        <v>446</v>
      </c>
      <c r="D155" s="292" t="s">
        <v>1321</v>
      </c>
      <c r="E155" s="287" t="s">
        <v>1186</v>
      </c>
      <c r="F155" s="293">
        <v>7.4797394318081134E-2</v>
      </c>
      <c r="G155" s="293">
        <v>9.4045065359290667E-3</v>
      </c>
      <c r="H155" s="283" t="s">
        <v>169</v>
      </c>
      <c r="I155" s="298">
        <v>5.7938910552308535E-3</v>
      </c>
      <c r="J155" s="299">
        <v>4.7157027803516904E-4</v>
      </c>
    </row>
    <row r="156" spans="1:10">
      <c r="A156" s="286" t="s">
        <v>229</v>
      </c>
      <c r="B156" s="286" t="s">
        <v>1250</v>
      </c>
      <c r="C156" s="286" t="s">
        <v>447</v>
      </c>
      <c r="D156" s="292" t="s">
        <v>175</v>
      </c>
      <c r="E156" s="287" t="s">
        <v>81</v>
      </c>
      <c r="F156" s="293">
        <v>7.2685266609061522E-2</v>
      </c>
      <c r="G156" s="293">
        <v>1.674361756149334E-2</v>
      </c>
      <c r="H156" s="283" t="s">
        <v>169</v>
      </c>
      <c r="I156" s="298">
        <v>5.0153795862892822E-3</v>
      </c>
      <c r="J156" s="299">
        <v>4.0820649256479883E-4</v>
      </c>
    </row>
    <row r="157" spans="1:10">
      <c r="A157" s="286" t="s">
        <v>229</v>
      </c>
      <c r="B157" s="286" t="s">
        <v>1250</v>
      </c>
      <c r="C157" s="286" t="s">
        <v>448</v>
      </c>
      <c r="D157" s="292" t="s">
        <v>176</v>
      </c>
      <c r="E157" s="287" t="s">
        <v>83</v>
      </c>
      <c r="F157" s="293">
        <v>3.3297590749197761E-2</v>
      </c>
      <c r="G157" s="293">
        <v>7.3391110255642735E-3</v>
      </c>
      <c r="H157" s="283" t="s">
        <v>169</v>
      </c>
      <c r="I157" s="298">
        <v>2.3442392889703352E-3</v>
      </c>
      <c r="J157" s="299">
        <v>1.9079985500981451E-4</v>
      </c>
    </row>
    <row r="158" spans="1:10">
      <c r="A158" s="286" t="s">
        <v>229</v>
      </c>
      <c r="B158" s="286" t="s">
        <v>1250</v>
      </c>
      <c r="C158" s="286" t="s">
        <v>449</v>
      </c>
      <c r="D158" s="292" t="s">
        <v>177</v>
      </c>
      <c r="E158" s="288" t="s">
        <v>85</v>
      </c>
      <c r="F158" s="293">
        <v>1.1938884181808074</v>
      </c>
      <c r="G158" s="293">
        <v>9.0477500678880246E-2</v>
      </c>
      <c r="H158" s="283" t="s">
        <v>169</v>
      </c>
      <c r="I158" s="298">
        <v>7.3943648596065933E-2</v>
      </c>
      <c r="J158" s="299">
        <v>6.0183435613447682E-3</v>
      </c>
    </row>
    <row r="159" spans="1:10">
      <c r="A159" s="286" t="s">
        <v>229</v>
      </c>
      <c r="B159" s="286" t="s">
        <v>1250</v>
      </c>
      <c r="C159" s="286" t="s">
        <v>450</v>
      </c>
      <c r="D159" s="292" t="s">
        <v>178</v>
      </c>
      <c r="E159" s="289" t="s">
        <v>87</v>
      </c>
      <c r="F159" s="293">
        <v>0.35411942330449875</v>
      </c>
      <c r="G159" s="293">
        <v>-7.1942651288407877E-2</v>
      </c>
      <c r="H159" s="283" t="s">
        <v>169</v>
      </c>
      <c r="I159" s="298">
        <v>-8.1365526888011984E-3</v>
      </c>
      <c r="J159" s="299">
        <v>-6.622417261784192E-4</v>
      </c>
    </row>
    <row r="160" spans="1:10">
      <c r="A160" s="286" t="s">
        <v>229</v>
      </c>
      <c r="B160" s="286" t="s">
        <v>1250</v>
      </c>
      <c r="C160" s="286" t="s">
        <v>451</v>
      </c>
      <c r="D160" s="292" t="s">
        <v>179</v>
      </c>
      <c r="E160" s="289" t="s">
        <v>89</v>
      </c>
      <c r="F160" s="293">
        <v>0.38080426580860638</v>
      </c>
      <c r="G160" s="293">
        <v>-7.9348182337882364E-2</v>
      </c>
      <c r="H160" s="283" t="s">
        <v>169</v>
      </c>
      <c r="I160" s="298">
        <v>-6.6634932384473915E-3</v>
      </c>
      <c r="J160" s="299">
        <v>-5.4234802297553771E-4</v>
      </c>
    </row>
    <row r="161" spans="1:10">
      <c r="A161" s="286" t="s">
        <v>229</v>
      </c>
      <c r="B161" s="286" t="s">
        <v>1250</v>
      </c>
      <c r="C161" s="286" t="s">
        <v>452</v>
      </c>
      <c r="D161" s="292" t="s">
        <v>180</v>
      </c>
      <c r="E161" s="289" t="s">
        <v>91</v>
      </c>
      <c r="F161" s="293">
        <v>0.39757018333663635</v>
      </c>
      <c r="G161" s="293">
        <v>-8.4160529310990856E-2</v>
      </c>
      <c r="H161" s="283" t="s">
        <v>169</v>
      </c>
      <c r="I161" s="298">
        <v>-5.6620269513076556E-3</v>
      </c>
      <c r="J161" s="299">
        <v>-4.6083773378172117E-4</v>
      </c>
    </row>
    <row r="162" spans="1:10">
      <c r="A162" s="286" t="s">
        <v>229</v>
      </c>
      <c r="B162" s="286" t="s">
        <v>1250</v>
      </c>
      <c r="C162" s="286" t="s">
        <v>1248</v>
      </c>
      <c r="D162" s="292" t="s">
        <v>1322</v>
      </c>
      <c r="E162" s="289" t="s">
        <v>1188</v>
      </c>
      <c r="F162" s="293">
        <v>5.3196449550246286E-2</v>
      </c>
      <c r="G162" s="293">
        <v>-1.2217878022582986E-2</v>
      </c>
      <c r="H162" s="283" t="s">
        <v>169</v>
      </c>
      <c r="I162" s="298">
        <v>3.3044359494580032E-3</v>
      </c>
      <c r="J162" s="299">
        <v>2.6895117022065411E-4</v>
      </c>
    </row>
    <row r="163" spans="1:10">
      <c r="A163" s="286" t="s">
        <v>229</v>
      </c>
      <c r="B163" s="286" t="s">
        <v>1250</v>
      </c>
      <c r="C163" s="286" t="s">
        <v>453</v>
      </c>
      <c r="D163" s="292" t="s">
        <v>181</v>
      </c>
      <c r="E163" s="289" t="s">
        <v>93</v>
      </c>
      <c r="F163" s="293">
        <v>9.5583534608805216</v>
      </c>
      <c r="G163" s="293">
        <v>1.6026181733246574</v>
      </c>
      <c r="H163" s="283" t="s">
        <v>169</v>
      </c>
      <c r="I163" s="298">
        <v>0.78042174651771568</v>
      </c>
      <c r="J163" s="299">
        <v>6.3519264770743558E-2</v>
      </c>
    </row>
    <row r="164" spans="1:10">
      <c r="A164" s="286" t="s">
        <v>229</v>
      </c>
      <c r="B164" s="286" t="s">
        <v>1250</v>
      </c>
      <c r="C164" s="286" t="s">
        <v>454</v>
      </c>
      <c r="D164" s="292" t="s">
        <v>182</v>
      </c>
      <c r="E164" s="289" t="s">
        <v>95</v>
      </c>
      <c r="F164" s="293">
        <v>4.846586652330652</v>
      </c>
      <c r="G164" s="293">
        <v>1.8525436256235628</v>
      </c>
      <c r="H164" s="283" t="s">
        <v>169</v>
      </c>
      <c r="I164" s="298">
        <v>0.39556592254887574</v>
      </c>
      <c r="J164" s="299">
        <v>3.2195484916686792E-2</v>
      </c>
    </row>
    <row r="165" spans="1:10">
      <c r="A165" s="286" t="s">
        <v>229</v>
      </c>
      <c r="B165" s="286" t="s">
        <v>1250</v>
      </c>
      <c r="C165" s="286" t="s">
        <v>455</v>
      </c>
      <c r="D165" s="292" t="s">
        <v>183</v>
      </c>
      <c r="E165" s="289" t="s">
        <v>97</v>
      </c>
      <c r="F165" s="293">
        <v>0.48694116599466364</v>
      </c>
      <c r="G165" s="293">
        <v>5.5630550799001581E-2</v>
      </c>
      <c r="H165" s="283" t="s">
        <v>169</v>
      </c>
      <c r="I165" s="298">
        <v>4.7436964860487194E-2</v>
      </c>
      <c r="J165" s="299">
        <v>3.8609394783508193E-3</v>
      </c>
    </row>
    <row r="166" spans="1:10">
      <c r="A166" s="286" t="s">
        <v>229</v>
      </c>
      <c r="B166" s="286" t="s">
        <v>1250</v>
      </c>
      <c r="C166" s="286" t="s">
        <v>456</v>
      </c>
      <c r="D166" s="292" t="s">
        <v>184</v>
      </c>
      <c r="E166" s="289" t="s">
        <v>99</v>
      </c>
      <c r="F166" s="293">
        <v>10.451106290255426</v>
      </c>
      <c r="G166" s="293">
        <v>1.7312909978361088</v>
      </c>
      <c r="H166" s="283" t="s">
        <v>169</v>
      </c>
      <c r="I166" s="298">
        <v>0.87081329454226042</v>
      </c>
      <c r="J166" s="299">
        <v>7.0876318437722727E-2</v>
      </c>
    </row>
    <row r="167" spans="1:10">
      <c r="A167" s="286" t="s">
        <v>229</v>
      </c>
      <c r="B167" s="286" t="s">
        <v>1250</v>
      </c>
      <c r="C167" s="286" t="s">
        <v>457</v>
      </c>
      <c r="D167" s="292" t="s">
        <v>185</v>
      </c>
      <c r="E167" s="289" t="s">
        <v>101</v>
      </c>
      <c r="F167" s="293">
        <v>5.641657426765728</v>
      </c>
      <c r="G167" s="293">
        <v>1.9812164501350136</v>
      </c>
      <c r="H167" s="283" t="s">
        <v>169</v>
      </c>
      <c r="I167" s="298">
        <v>0.47482832004289272</v>
      </c>
      <c r="J167" s="299">
        <v>3.8646726486070843E-2</v>
      </c>
    </row>
    <row r="168" spans="1:10">
      <c r="A168" s="286" t="s">
        <v>229</v>
      </c>
      <c r="B168" s="286" t="s">
        <v>1250</v>
      </c>
      <c r="C168" s="286" t="s">
        <v>458</v>
      </c>
      <c r="D168" s="292" t="s">
        <v>186</v>
      </c>
      <c r="E168" s="289" t="s">
        <v>103</v>
      </c>
      <c r="F168" s="293">
        <v>1.3788878048034559</v>
      </c>
      <c r="G168" s="293">
        <v>0.1843033753104526</v>
      </c>
      <c r="H168" s="283" t="s">
        <v>169</v>
      </c>
      <c r="I168" s="298">
        <v>0.13469500594120226</v>
      </c>
      <c r="J168" s="299">
        <v>1.0962954048695114E-2</v>
      </c>
    </row>
    <row r="169" spans="1:10" ht="33.75">
      <c r="A169" s="286" t="s">
        <v>229</v>
      </c>
      <c r="B169" s="286" t="s">
        <v>1250</v>
      </c>
      <c r="C169" s="286" t="s">
        <v>459</v>
      </c>
      <c r="D169" s="292" t="s">
        <v>187</v>
      </c>
      <c r="E169" s="285" t="s">
        <v>1197</v>
      </c>
      <c r="F169" s="293">
        <v>0.3898736984829021</v>
      </c>
      <c r="G169" s="293">
        <v>2.2169575950888993E-2</v>
      </c>
      <c r="H169" s="283" t="s">
        <v>169</v>
      </c>
      <c r="I169" s="298">
        <v>3.022598035134234E-2</v>
      </c>
      <c r="J169" s="299">
        <v>2.4601211555918935E-3</v>
      </c>
    </row>
    <row r="170" spans="1:10">
      <c r="A170" s="286" t="s">
        <v>229</v>
      </c>
      <c r="B170" s="286" t="s">
        <v>1253</v>
      </c>
      <c r="C170" s="286" t="s">
        <v>440</v>
      </c>
      <c r="D170" s="292" t="s">
        <v>188</v>
      </c>
      <c r="E170" s="287" t="s">
        <v>68</v>
      </c>
      <c r="F170" s="293">
        <v>2.5739456362168123</v>
      </c>
      <c r="G170" s="293">
        <v>0.23389394674860148</v>
      </c>
      <c r="H170" s="283" t="s">
        <v>189</v>
      </c>
      <c r="I170" s="298">
        <v>0.15842840081084272</v>
      </c>
      <c r="J170" s="299">
        <v>1.2894637525430573E-2</v>
      </c>
    </row>
    <row r="171" spans="1:10">
      <c r="A171" s="286" t="s">
        <v>229</v>
      </c>
      <c r="B171" s="286" t="s">
        <v>1253</v>
      </c>
      <c r="C171" s="286" t="s">
        <v>441</v>
      </c>
      <c r="D171" s="292" t="s">
        <v>190</v>
      </c>
      <c r="E171" s="287" t="s">
        <v>71</v>
      </c>
      <c r="F171" s="293">
        <v>2.6084792546122371</v>
      </c>
      <c r="G171" s="293">
        <v>0.23595439891616704</v>
      </c>
      <c r="H171" s="283" t="s">
        <v>189</v>
      </c>
      <c r="I171" s="298">
        <v>0.16066203445931637</v>
      </c>
      <c r="J171" s="299">
        <v>1.3076435082650512E-2</v>
      </c>
    </row>
    <row r="172" spans="1:10">
      <c r="A172" s="286" t="s">
        <v>229</v>
      </c>
      <c r="B172" s="286" t="s">
        <v>1253</v>
      </c>
      <c r="C172" s="286" t="s">
        <v>442</v>
      </c>
      <c r="D172" s="292" t="s">
        <v>191</v>
      </c>
      <c r="E172" s="287" t="s">
        <v>73</v>
      </c>
      <c r="F172" s="293">
        <v>0.3879202552512685</v>
      </c>
      <c r="G172" s="293">
        <v>2.6745979498689721E-2</v>
      </c>
      <c r="H172" s="283" t="s">
        <v>189</v>
      </c>
      <c r="I172" s="298">
        <v>1.8407442528484683E-2</v>
      </c>
      <c r="J172" s="299">
        <v>1.498199173634281E-3</v>
      </c>
    </row>
    <row r="173" spans="1:10">
      <c r="A173" s="286" t="s">
        <v>229</v>
      </c>
      <c r="B173" s="286" t="s">
        <v>1253</v>
      </c>
      <c r="C173" s="286" t="s">
        <v>443</v>
      </c>
      <c r="D173" s="292" t="s">
        <v>192</v>
      </c>
      <c r="E173" s="287" t="s">
        <v>75</v>
      </c>
      <c r="F173" s="293">
        <v>0.420440992830664</v>
      </c>
      <c r="G173" s="293">
        <v>2.8806431666255294E-2</v>
      </c>
      <c r="H173" s="283" t="s">
        <v>189</v>
      </c>
      <c r="I173" s="298">
        <v>2.0239116429491378E-2</v>
      </c>
      <c r="J173" s="299">
        <v>1.6472808464744468E-3</v>
      </c>
    </row>
    <row r="174" spans="1:10">
      <c r="A174" s="286" t="s">
        <v>229</v>
      </c>
      <c r="B174" s="286" t="s">
        <v>1253</v>
      </c>
      <c r="C174" s="286" t="s">
        <v>444</v>
      </c>
      <c r="D174" s="292" t="s">
        <v>193</v>
      </c>
      <c r="E174" s="287" t="s">
        <v>77</v>
      </c>
      <c r="F174" s="293">
        <v>0.17643291444809331</v>
      </c>
      <c r="G174" s="293">
        <v>1.0541322990758916E-2</v>
      </c>
      <c r="H174" s="283" t="s">
        <v>189</v>
      </c>
      <c r="I174" s="298">
        <v>8.9064869367015652E-3</v>
      </c>
      <c r="J174" s="299">
        <v>7.249074035082302E-4</v>
      </c>
    </row>
    <row r="175" spans="1:10">
      <c r="A175" s="286" t="s">
        <v>229</v>
      </c>
      <c r="B175" s="286" t="s">
        <v>1253</v>
      </c>
      <c r="C175" s="286" t="s">
        <v>445</v>
      </c>
      <c r="D175" s="292" t="s">
        <v>194</v>
      </c>
      <c r="E175" s="287" t="s">
        <v>79</v>
      </c>
      <c r="F175" s="293">
        <v>0.21240978828290469</v>
      </c>
      <c r="G175" s="293">
        <v>1.2601775158324488E-2</v>
      </c>
      <c r="H175" s="283" t="s">
        <v>189</v>
      </c>
      <c r="I175" s="298">
        <v>1.0839551219344807E-2</v>
      </c>
      <c r="J175" s="299">
        <v>8.8224133549560122E-4</v>
      </c>
    </row>
    <row r="176" spans="1:10">
      <c r="A176" s="286" t="s">
        <v>229</v>
      </c>
      <c r="B176" s="286" t="s">
        <v>1253</v>
      </c>
      <c r="C176" s="286" t="s">
        <v>446</v>
      </c>
      <c r="D176" s="292" t="s">
        <v>1323</v>
      </c>
      <c r="E176" s="287" t="s">
        <v>1186</v>
      </c>
      <c r="F176" s="293">
        <v>8.24719720960123E-2</v>
      </c>
      <c r="G176" s="293">
        <v>2.675200155934465E-3</v>
      </c>
      <c r="H176" s="283" t="s">
        <v>189</v>
      </c>
      <c r="I176" s="298">
        <v>5.0879034572723011E-3</v>
      </c>
      <c r="J176" s="299">
        <v>4.1410927908212082E-4</v>
      </c>
    </row>
    <row r="177" spans="1:10">
      <c r="A177" s="286" t="s">
        <v>229</v>
      </c>
      <c r="B177" s="286" t="s">
        <v>1253</v>
      </c>
      <c r="C177" s="286" t="s">
        <v>447</v>
      </c>
      <c r="D177" s="292" t="s">
        <v>195</v>
      </c>
      <c r="E177" s="287" t="s">
        <v>81</v>
      </c>
      <c r="F177" s="293">
        <v>8.4596779183441356E-2</v>
      </c>
      <c r="G177" s="293">
        <v>4.7356523235000348E-3</v>
      </c>
      <c r="H177" s="283" t="s">
        <v>189</v>
      </c>
      <c r="I177" s="298">
        <v>4.5302976153343737E-3</v>
      </c>
      <c r="J177" s="299">
        <v>3.6872521172391502E-4</v>
      </c>
    </row>
    <row r="178" spans="1:10">
      <c r="A178" s="286" t="s">
        <v>229</v>
      </c>
      <c r="B178" s="286" t="s">
        <v>1253</v>
      </c>
      <c r="C178" s="286" t="s">
        <v>448</v>
      </c>
      <c r="D178" s="292" t="s">
        <v>196</v>
      </c>
      <c r="E178" s="287" t="s">
        <v>83</v>
      </c>
      <c r="F178" s="293">
        <v>3.7899479168644896E-2</v>
      </c>
      <c r="G178" s="293">
        <v>2.0604521675655707E-3</v>
      </c>
      <c r="H178" s="283" t="s">
        <v>189</v>
      </c>
      <c r="I178" s="298">
        <v>2.049992184942174E-3</v>
      </c>
      <c r="J178" s="299">
        <v>1.6685080465058668E-4</v>
      </c>
    </row>
    <row r="179" spans="1:10">
      <c r="A179" s="286" t="s">
        <v>229</v>
      </c>
      <c r="B179" s="286" t="s">
        <v>1253</v>
      </c>
      <c r="C179" s="286" t="s">
        <v>449</v>
      </c>
      <c r="D179" s="292" t="s">
        <v>197</v>
      </c>
      <c r="E179" s="288" t="s">
        <v>85</v>
      </c>
      <c r="F179" s="293">
        <v>1.7193799474723779</v>
      </c>
      <c r="G179" s="293">
        <v>7.1843581538276408E-3</v>
      </c>
      <c r="H179" s="283" t="s">
        <v>189</v>
      </c>
      <c r="I179" s="298">
        <v>0.10115180413801605</v>
      </c>
      <c r="J179" s="299">
        <v>8.232841098739405E-3</v>
      </c>
    </row>
    <row r="180" spans="1:10">
      <c r="A180" s="286" t="s">
        <v>229</v>
      </c>
      <c r="B180" s="286" t="s">
        <v>1253</v>
      </c>
      <c r="C180" s="286" t="s">
        <v>450</v>
      </c>
      <c r="D180" s="292" t="s">
        <v>198</v>
      </c>
      <c r="E180" s="289" t="s">
        <v>87</v>
      </c>
      <c r="F180" s="293">
        <v>0.54983430584896564</v>
      </c>
      <c r="G180" s="293">
        <v>-3.5585440962177625E-2</v>
      </c>
      <c r="H180" s="283" t="s">
        <v>189</v>
      </c>
      <c r="I180" s="298">
        <v>7.7501213503179125E-4</v>
      </c>
      <c r="J180" s="299">
        <v>6.307897137064994E-5</v>
      </c>
    </row>
    <row r="181" spans="1:10">
      <c r="A181" s="286" t="s">
        <v>229</v>
      </c>
      <c r="B181" s="286" t="s">
        <v>1253</v>
      </c>
      <c r="C181" s="286" t="s">
        <v>451</v>
      </c>
      <c r="D181" s="292" t="s">
        <v>199</v>
      </c>
      <c r="E181" s="289" t="s">
        <v>89</v>
      </c>
      <c r="F181" s="293">
        <v>0.59057933579507471</v>
      </c>
      <c r="G181" s="293">
        <v>-4.0483045234231088E-2</v>
      </c>
      <c r="H181" s="283" t="s">
        <v>189</v>
      </c>
      <c r="I181" s="298">
        <v>2.3273560770616388E-3</v>
      </c>
      <c r="J181" s="299">
        <v>1.8942571440930687E-4</v>
      </c>
    </row>
    <row r="182" spans="1:10">
      <c r="A182" s="286" t="s">
        <v>229</v>
      </c>
      <c r="B182" s="286" t="s">
        <v>1253</v>
      </c>
      <c r="C182" s="286" t="s">
        <v>452</v>
      </c>
      <c r="D182" s="292" t="s">
        <v>200</v>
      </c>
      <c r="E182" s="289" t="s">
        <v>91</v>
      </c>
      <c r="F182" s="293">
        <v>0.61631879586470006</v>
      </c>
      <c r="G182" s="293">
        <v>-4.3770257110403304E-2</v>
      </c>
      <c r="H182" s="283" t="s">
        <v>189</v>
      </c>
      <c r="I182" s="298">
        <v>3.360406755778153E-3</v>
      </c>
      <c r="J182" s="299">
        <v>2.7350668713435519E-4</v>
      </c>
    </row>
    <row r="183" spans="1:10">
      <c r="A183" s="286" t="s">
        <v>229</v>
      </c>
      <c r="B183" s="286" t="s">
        <v>1253</v>
      </c>
      <c r="C183" s="286" t="s">
        <v>1248</v>
      </c>
      <c r="D183" s="292" t="s">
        <v>1324</v>
      </c>
      <c r="E183" s="289" t="s">
        <v>1188</v>
      </c>
      <c r="F183" s="293">
        <v>5.739089234249363E-2</v>
      </c>
      <c r="G183" s="293">
        <v>-8.1848161482256862E-3</v>
      </c>
      <c r="H183" s="283" t="s">
        <v>189</v>
      </c>
      <c r="I183" s="298">
        <v>2.518619331522805E-3</v>
      </c>
      <c r="J183" s="299">
        <v>2.0499281175794174E-4</v>
      </c>
    </row>
    <row r="184" spans="1:10">
      <c r="A184" s="286" t="s">
        <v>229</v>
      </c>
      <c r="B184" s="286" t="s">
        <v>1253</v>
      </c>
      <c r="C184" s="286" t="s">
        <v>453</v>
      </c>
      <c r="D184" s="292" t="s">
        <v>201</v>
      </c>
      <c r="E184" s="289" t="s">
        <v>93</v>
      </c>
      <c r="F184" s="293">
        <v>12.153958729349329</v>
      </c>
      <c r="G184" s="293">
        <v>0.45699134899005361</v>
      </c>
      <c r="H184" s="283" t="s">
        <v>189</v>
      </c>
      <c r="I184" s="298">
        <v>0.80884839224463267</v>
      </c>
      <c r="J184" s="299">
        <v>6.5832936377831691E-2</v>
      </c>
    </row>
    <row r="185" spans="1:10">
      <c r="A185" s="286" t="s">
        <v>229</v>
      </c>
      <c r="B185" s="286" t="s">
        <v>1253</v>
      </c>
      <c r="C185" s="286" t="s">
        <v>454</v>
      </c>
      <c r="D185" s="292" t="s">
        <v>202</v>
      </c>
      <c r="E185" s="289" t="s">
        <v>95</v>
      </c>
      <c r="F185" s="293">
        <v>6.2722066063644348</v>
      </c>
      <c r="G185" s="293">
        <v>0.67544238608509111</v>
      </c>
      <c r="H185" s="283" t="s">
        <v>189</v>
      </c>
      <c r="I185" s="298">
        <v>0.42749611466778026</v>
      </c>
      <c r="J185" s="299">
        <v>3.4794313481409989E-2</v>
      </c>
    </row>
    <row r="186" spans="1:10">
      <c r="A186" s="286" t="s">
        <v>229</v>
      </c>
      <c r="B186" s="286" t="s">
        <v>1253</v>
      </c>
      <c r="C186" s="286" t="s">
        <v>455</v>
      </c>
      <c r="D186" s="292" t="s">
        <v>203</v>
      </c>
      <c r="E186" s="289" t="s">
        <v>97</v>
      </c>
      <c r="F186" s="293">
        <v>0.61950198917523558</v>
      </c>
      <c r="G186" s="293">
        <v>7.4464891582756484E-3</v>
      </c>
      <c r="H186" s="283" t="s">
        <v>189</v>
      </c>
      <c r="I186" s="298">
        <v>5.0665045265171668E-2</v>
      </c>
      <c r="J186" s="299">
        <v>4.1236759984969139E-3</v>
      </c>
    </row>
    <row r="187" spans="1:10">
      <c r="A187" s="286" t="s">
        <v>229</v>
      </c>
      <c r="B187" s="286" t="s">
        <v>1253</v>
      </c>
      <c r="C187" s="286" t="s">
        <v>456</v>
      </c>
      <c r="D187" s="292" t="s">
        <v>204</v>
      </c>
      <c r="E187" s="289" t="s">
        <v>99</v>
      </c>
      <c r="F187" s="293">
        <v>13.313656826794587</v>
      </c>
      <c r="G187" s="293">
        <v>0.48554262511990276</v>
      </c>
      <c r="H187" s="283" t="s">
        <v>189</v>
      </c>
      <c r="I187" s="298">
        <v>0.90698721351916167</v>
      </c>
      <c r="J187" s="299">
        <v>7.3820547948934917E-2</v>
      </c>
    </row>
    <row r="188" spans="1:10">
      <c r="A188" s="286" t="s">
        <v>229</v>
      </c>
      <c r="B188" s="286" t="s">
        <v>1253</v>
      </c>
      <c r="C188" s="286" t="s">
        <v>457</v>
      </c>
      <c r="D188" s="292" t="s">
        <v>205</v>
      </c>
      <c r="E188" s="289" t="s">
        <v>101</v>
      </c>
      <c r="F188" s="293">
        <v>7.2909642388961613</v>
      </c>
      <c r="G188" s="293">
        <v>0.70399366221494042</v>
      </c>
      <c r="H188" s="283" t="s">
        <v>189</v>
      </c>
      <c r="I188" s="298">
        <v>0.51283666794546767</v>
      </c>
      <c r="J188" s="299">
        <v>4.1740261904189009E-2</v>
      </c>
    </row>
    <row r="189" spans="1:10">
      <c r="A189" s="286" t="s">
        <v>229</v>
      </c>
      <c r="B189" s="286" t="s">
        <v>1253</v>
      </c>
      <c r="C189" s="286" t="s">
        <v>458</v>
      </c>
      <c r="D189" s="292" t="s">
        <v>206</v>
      </c>
      <c r="E189" s="289" t="s">
        <v>103</v>
      </c>
      <c r="F189" s="293">
        <v>1.6903551780196482</v>
      </c>
      <c r="G189" s="293">
        <v>3.5997765288124872E-2</v>
      </c>
      <c r="H189" s="283" t="s">
        <v>189</v>
      </c>
      <c r="I189" s="298">
        <v>0.13882901739371459</v>
      </c>
      <c r="J189" s="299">
        <v>1.1299425154464662E-2</v>
      </c>
    </row>
    <row r="190" spans="1:10" ht="33.75">
      <c r="A190" s="286" t="s">
        <v>229</v>
      </c>
      <c r="B190" s="286" t="s">
        <v>1253</v>
      </c>
      <c r="C190" s="286" t="s">
        <v>459</v>
      </c>
      <c r="D190" s="292" t="s">
        <v>207</v>
      </c>
      <c r="E190" s="285" t="s">
        <v>1197</v>
      </c>
      <c r="F190" s="293">
        <v>0.44846591964259186</v>
      </c>
      <c r="G190" s="293">
        <v>-6.6903419503337178E-3</v>
      </c>
      <c r="H190" s="283" t="s">
        <v>189</v>
      </c>
      <c r="I190" s="298">
        <v>2.8367695723519354E-2</v>
      </c>
      <c r="J190" s="299">
        <v>2.3088736105038978E-3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I41"/>
  <sheetViews>
    <sheetView topLeftCell="A3" workbookViewId="0">
      <selection activeCell="G23" sqref="G23"/>
    </sheetView>
  </sheetViews>
  <sheetFormatPr defaultRowHeight="12.75"/>
  <sheetData>
    <row r="1" spans="1:9" ht="13.5" thickBot="1">
      <c r="A1" s="251" t="s">
        <v>1178</v>
      </c>
      <c r="B1" s="252" t="s">
        <v>1179</v>
      </c>
      <c r="C1" s="251" t="s">
        <v>1180</v>
      </c>
      <c r="D1" s="253" t="s">
        <v>1181</v>
      </c>
      <c r="E1" s="257" t="s">
        <v>1182</v>
      </c>
      <c r="F1" s="257" t="s">
        <v>342</v>
      </c>
      <c r="G1" s="257" t="s">
        <v>323</v>
      </c>
      <c r="H1" s="242"/>
      <c r="I1" s="242"/>
    </row>
    <row r="2" spans="1:9">
      <c r="A2" s="246" t="s">
        <v>67</v>
      </c>
      <c r="B2" s="248" t="s">
        <v>1183</v>
      </c>
      <c r="C2" s="247" t="s">
        <v>68</v>
      </c>
      <c r="D2" s="255">
        <v>0.98066043810604342</v>
      </c>
      <c r="E2" s="255" t="s">
        <v>1184</v>
      </c>
      <c r="F2" s="255">
        <v>0.8392786868898171</v>
      </c>
      <c r="G2" s="280" t="s">
        <v>68</v>
      </c>
      <c r="H2" s="242"/>
      <c r="I2" s="242"/>
    </row>
    <row r="3" spans="1:9">
      <c r="A3" s="246" t="s">
        <v>70</v>
      </c>
      <c r="B3" s="247" t="s">
        <v>1183</v>
      </c>
      <c r="C3" s="247" t="s">
        <v>71</v>
      </c>
      <c r="D3" s="255">
        <v>1.1198946019755947</v>
      </c>
      <c r="E3" s="255" t="s">
        <v>1184</v>
      </c>
      <c r="F3" s="262">
        <v>1.0822277804631852</v>
      </c>
      <c r="G3" s="280" t="s">
        <v>71</v>
      </c>
      <c r="H3" s="259"/>
      <c r="I3" s="259"/>
    </row>
    <row r="4" spans="1:9">
      <c r="A4" s="246" t="s">
        <v>72</v>
      </c>
      <c r="B4" s="247" t="s">
        <v>1183</v>
      </c>
      <c r="C4" s="247" t="s">
        <v>73</v>
      </c>
      <c r="D4" s="256">
        <v>0.84142627423649186</v>
      </c>
      <c r="E4" s="255" t="s">
        <v>1184</v>
      </c>
      <c r="F4" s="261" t="s">
        <v>330</v>
      </c>
      <c r="G4" s="280" t="s">
        <v>73</v>
      </c>
      <c r="H4" s="260"/>
      <c r="I4" s="260"/>
    </row>
    <row r="5" spans="1:9">
      <c r="A5" s="247" t="s">
        <v>74</v>
      </c>
      <c r="B5" s="247" t="s">
        <v>1183</v>
      </c>
      <c r="C5" s="247" t="s">
        <v>75</v>
      </c>
      <c r="D5" s="256">
        <v>0.98066043810604342</v>
      </c>
      <c r="E5" s="255" t="s">
        <v>1184</v>
      </c>
      <c r="F5" s="261" t="s">
        <v>330</v>
      </c>
      <c r="G5" s="280" t="s">
        <v>75</v>
      </c>
      <c r="H5" s="260"/>
      <c r="I5" s="260"/>
    </row>
    <row r="6" spans="1:9">
      <c r="A6" s="247" t="s">
        <v>76</v>
      </c>
      <c r="B6" s="247" t="s">
        <v>1183</v>
      </c>
      <c r="C6" s="247" t="s">
        <v>77</v>
      </c>
      <c r="D6" s="255">
        <v>0.7401650641495453</v>
      </c>
      <c r="E6" s="255" t="s">
        <v>1184</v>
      </c>
      <c r="F6" s="262">
        <v>0.41963934344490855</v>
      </c>
      <c r="G6" s="280" t="s">
        <v>77</v>
      </c>
      <c r="H6" s="259"/>
      <c r="I6" s="259"/>
    </row>
    <row r="7" spans="1:9">
      <c r="A7" s="247" t="s">
        <v>78</v>
      </c>
      <c r="B7" s="247" t="s">
        <v>1183</v>
      </c>
      <c r="C7" s="247" t="s">
        <v>79</v>
      </c>
      <c r="D7" s="255">
        <v>0.87939922801909687</v>
      </c>
      <c r="E7" s="255" t="s">
        <v>1184</v>
      </c>
      <c r="F7" s="255">
        <v>0.66258843701827663</v>
      </c>
      <c r="G7" s="280" t="s">
        <v>79</v>
      </c>
      <c r="H7" s="242"/>
      <c r="I7" s="242"/>
    </row>
    <row r="8" spans="1:9">
      <c r="A8" s="247" t="s">
        <v>1185</v>
      </c>
      <c r="B8" s="247" t="s">
        <v>1183</v>
      </c>
      <c r="C8" s="247" t="s">
        <v>1186</v>
      </c>
      <c r="D8" s="255">
        <v>0.60093090027999396</v>
      </c>
      <c r="E8" s="255" t="s">
        <v>1184</v>
      </c>
      <c r="F8" s="255">
        <v>0.17669024987154044</v>
      </c>
      <c r="G8" s="280" t="s">
        <v>1186</v>
      </c>
      <c r="H8" s="242"/>
      <c r="I8" s="242"/>
    </row>
    <row r="9" spans="1:9">
      <c r="A9" s="247" t="s">
        <v>80</v>
      </c>
      <c r="B9" s="247" t="s">
        <v>1183</v>
      </c>
      <c r="C9" s="247" t="s">
        <v>81</v>
      </c>
      <c r="D9" s="255">
        <v>0.7401650641495453</v>
      </c>
      <c r="E9" s="255" t="s">
        <v>1184</v>
      </c>
      <c r="F9" s="255">
        <v>0.41963934344490855</v>
      </c>
      <c r="G9" s="280" t="s">
        <v>81</v>
      </c>
      <c r="H9" s="242"/>
      <c r="I9" s="242"/>
    </row>
    <row r="10" spans="1:9">
      <c r="A10" s="247" t="s">
        <v>82</v>
      </c>
      <c r="B10" s="247" t="s">
        <v>1183</v>
      </c>
      <c r="C10" s="247" t="s">
        <v>83</v>
      </c>
      <c r="D10" s="255">
        <v>0.63890385406259886</v>
      </c>
      <c r="E10" s="255" t="s">
        <v>1184</v>
      </c>
      <c r="F10" s="255">
        <v>0.24294909357336811</v>
      </c>
      <c r="G10" s="280" t="s">
        <v>83</v>
      </c>
      <c r="H10" s="242"/>
      <c r="I10" s="242"/>
    </row>
    <row r="11" spans="1:9">
      <c r="A11" s="247" t="s">
        <v>84</v>
      </c>
      <c r="B11" s="247" t="s">
        <v>1183</v>
      </c>
      <c r="C11" s="249" t="s">
        <v>85</v>
      </c>
      <c r="D11" s="255">
        <v>1.3863525086966677</v>
      </c>
      <c r="E11" s="255" t="s">
        <v>1184</v>
      </c>
      <c r="F11" s="255">
        <v>0.97400704264204274</v>
      </c>
      <c r="G11" s="258" t="s">
        <v>85</v>
      </c>
      <c r="H11" s="242"/>
      <c r="I11" s="242"/>
    </row>
    <row r="12" spans="1:9">
      <c r="A12" s="247" t="s">
        <v>86</v>
      </c>
      <c r="B12" s="247" t="s">
        <v>1183</v>
      </c>
      <c r="C12" s="250" t="s">
        <v>87</v>
      </c>
      <c r="D12" s="255">
        <v>1.2290592529494864</v>
      </c>
      <c r="E12" s="255" t="s">
        <v>1184</v>
      </c>
      <c r="F12" s="255">
        <v>0.86705182176063811</v>
      </c>
      <c r="G12" s="258" t="s">
        <v>87</v>
      </c>
      <c r="H12" s="242"/>
      <c r="I12" s="242"/>
    </row>
    <row r="13" spans="1:9">
      <c r="A13" s="247" t="s">
        <v>88</v>
      </c>
      <c r="B13" s="247" t="s">
        <v>1183</v>
      </c>
      <c r="C13" s="250" t="s">
        <v>89</v>
      </c>
      <c r="D13" s="256">
        <v>1.2761252113477823</v>
      </c>
      <c r="E13" s="255" t="s">
        <v>1184</v>
      </c>
      <c r="F13" s="261" t="s">
        <v>330</v>
      </c>
      <c r="G13" s="258" t="s">
        <v>89</v>
      </c>
      <c r="H13" s="242"/>
      <c r="I13" s="242"/>
    </row>
    <row r="14" spans="1:9">
      <c r="A14" s="247" t="s">
        <v>90</v>
      </c>
      <c r="B14" s="247" t="s">
        <v>1183</v>
      </c>
      <c r="C14" s="250" t="s">
        <v>91</v>
      </c>
      <c r="D14" s="255">
        <v>1.3153468433463626</v>
      </c>
      <c r="E14" s="255" t="s">
        <v>1184</v>
      </c>
      <c r="F14" s="255">
        <v>1.3690291922536391</v>
      </c>
      <c r="G14" s="258" t="s">
        <v>91</v>
      </c>
      <c r="H14" s="242"/>
      <c r="I14" s="242"/>
    </row>
    <row r="15" spans="1:9">
      <c r="A15" s="247" t="s">
        <v>1187</v>
      </c>
      <c r="B15" s="247" t="s">
        <v>1183</v>
      </c>
      <c r="C15" s="250" t="s">
        <v>1188</v>
      </c>
      <c r="D15" s="256">
        <v>1.1663046417517582</v>
      </c>
      <c r="E15" s="255" t="s">
        <v>1184</v>
      </c>
      <c r="F15" s="261">
        <v>0.50197737049300106</v>
      </c>
      <c r="G15" s="258" t="s">
        <v>1188</v>
      </c>
      <c r="H15" s="242"/>
      <c r="I15" s="242"/>
    </row>
    <row r="16" spans="1:9">
      <c r="A16" s="247" t="s">
        <v>92</v>
      </c>
      <c r="B16" s="247" t="s">
        <v>1189</v>
      </c>
      <c r="C16" s="250" t="s">
        <v>93</v>
      </c>
      <c r="D16" s="255">
        <v>18.513985646792214</v>
      </c>
      <c r="E16" s="255" t="s">
        <v>1184</v>
      </c>
      <c r="F16" s="255">
        <v>20.605937224457286</v>
      </c>
      <c r="G16" s="245" t="s">
        <v>1190</v>
      </c>
      <c r="H16" s="242"/>
      <c r="I16" s="242"/>
    </row>
    <row r="17" spans="1:7">
      <c r="A17" s="247" t="s">
        <v>94</v>
      </c>
      <c r="B17" s="247" t="s">
        <v>1189</v>
      </c>
      <c r="C17" s="250" t="s">
        <v>95</v>
      </c>
      <c r="D17" s="255">
        <v>18.513985646792214</v>
      </c>
      <c r="E17" s="255" t="s">
        <v>1184</v>
      </c>
      <c r="F17" s="255">
        <v>20.605937224457286</v>
      </c>
      <c r="G17" s="245" t="s">
        <v>1191</v>
      </c>
    </row>
    <row r="18" spans="1:7">
      <c r="A18" s="247" t="s">
        <v>96</v>
      </c>
      <c r="B18" s="247" t="s">
        <v>1189</v>
      </c>
      <c r="C18" s="250" t="s">
        <v>97</v>
      </c>
      <c r="D18" s="256">
        <v>1.1251515151515155</v>
      </c>
      <c r="E18" s="255" t="s">
        <v>1184</v>
      </c>
      <c r="F18" s="255">
        <v>0.89355377781611622</v>
      </c>
      <c r="G18" s="245" t="s">
        <v>1192</v>
      </c>
    </row>
    <row r="19" spans="1:7">
      <c r="A19" s="247" t="s">
        <v>98</v>
      </c>
      <c r="B19" s="247" t="s">
        <v>1189</v>
      </c>
      <c r="C19" s="250" t="s">
        <v>99</v>
      </c>
      <c r="D19" s="256">
        <v>21.803985646792214</v>
      </c>
      <c r="E19" s="255" t="s">
        <v>1184</v>
      </c>
      <c r="F19" s="255">
        <v>20.605937224457286</v>
      </c>
      <c r="G19" s="245" t="s">
        <v>1193</v>
      </c>
    </row>
    <row r="20" spans="1:7">
      <c r="A20" s="247" t="s">
        <v>100</v>
      </c>
      <c r="B20" s="247" t="s">
        <v>1189</v>
      </c>
      <c r="C20" s="250" t="s">
        <v>101</v>
      </c>
      <c r="D20" s="256">
        <v>21.803985646792214</v>
      </c>
      <c r="E20" s="255" t="s">
        <v>1184</v>
      </c>
      <c r="F20" s="255">
        <v>21.965937224457285</v>
      </c>
      <c r="G20" s="245" t="s">
        <v>1194</v>
      </c>
    </row>
    <row r="21" spans="1:7">
      <c r="A21" s="247" t="s">
        <v>102</v>
      </c>
      <c r="B21" s="247" t="s">
        <v>1189</v>
      </c>
      <c r="C21" s="250" t="s">
        <v>103</v>
      </c>
      <c r="D21" s="256">
        <v>4.415151515151515</v>
      </c>
      <c r="E21" s="255" t="s">
        <v>1184</v>
      </c>
      <c r="F21" s="255">
        <v>2.2535537778161165</v>
      </c>
      <c r="G21" s="245" t="s">
        <v>1195</v>
      </c>
    </row>
    <row r="22" spans="1:7" ht="33.75">
      <c r="A22" s="247" t="s">
        <v>104</v>
      </c>
      <c r="B22" s="247" t="s">
        <v>1196</v>
      </c>
      <c r="C22" s="244" t="s">
        <v>1197</v>
      </c>
      <c r="D22" s="275">
        <v>0.6607178075171779</v>
      </c>
      <c r="E22" s="255" t="s">
        <v>1612</v>
      </c>
      <c r="F22" s="275">
        <v>0.6607178075171779</v>
      </c>
      <c r="G22" s="245" t="s">
        <v>1613</v>
      </c>
    </row>
    <row r="24" spans="1:7">
      <c r="A24" s="263" t="s">
        <v>1198</v>
      </c>
      <c r="B24" s="242"/>
      <c r="C24" s="242"/>
      <c r="D24" s="242"/>
      <c r="E24" s="242"/>
      <c r="F24" s="242"/>
      <c r="G24" s="242"/>
    </row>
    <row r="25" spans="1:7">
      <c r="A25" s="258" t="s">
        <v>1199</v>
      </c>
      <c r="B25" s="281">
        <v>0.18191763633639632</v>
      </c>
      <c r="C25" s="273">
        <v>7500</v>
      </c>
      <c r="D25" s="242"/>
      <c r="E25" s="242"/>
      <c r="F25" s="242"/>
      <c r="G25" s="242"/>
    </row>
    <row r="26" spans="1:7" ht="15.75" thickBot="1">
      <c r="A26" s="258" t="s">
        <v>1200</v>
      </c>
      <c r="B26" s="264">
        <v>9.0958818168198161E-2</v>
      </c>
      <c r="C26" s="265" t="s">
        <v>1201</v>
      </c>
      <c r="D26" s="266"/>
      <c r="E26" s="242"/>
      <c r="F26" s="242"/>
      <c r="G26" s="242"/>
    </row>
    <row r="27" spans="1:7">
      <c r="A27" s="258" t="s">
        <v>1202</v>
      </c>
      <c r="B27" s="271">
        <v>1601.92</v>
      </c>
      <c r="C27" s="243" t="s">
        <v>1203</v>
      </c>
      <c r="D27" s="267" t="s">
        <v>1204</v>
      </c>
      <c r="E27" s="268" t="s">
        <v>1205</v>
      </c>
      <c r="F27" s="269" t="s">
        <v>1206</v>
      </c>
      <c r="G27" s="242"/>
    </row>
    <row r="28" spans="1:7">
      <c r="A28" s="258" t="s">
        <v>1207</v>
      </c>
      <c r="B28" s="242">
        <v>8.26</v>
      </c>
      <c r="C28" s="242"/>
      <c r="D28" s="270">
        <v>1344</v>
      </c>
      <c r="E28" s="282">
        <v>0.75</v>
      </c>
      <c r="F28" s="269">
        <v>8</v>
      </c>
      <c r="G28" s="242"/>
    </row>
    <row r="29" spans="1:7">
      <c r="A29" s="258" t="s">
        <v>1208</v>
      </c>
      <c r="B29" s="271">
        <v>13231.859200000001</v>
      </c>
      <c r="C29" s="243" t="s">
        <v>1209</v>
      </c>
      <c r="D29" s="270">
        <v>2200</v>
      </c>
      <c r="E29" s="282">
        <v>0.16</v>
      </c>
      <c r="F29" s="269">
        <v>8.5</v>
      </c>
      <c r="G29" s="242"/>
    </row>
    <row r="30" spans="1:7">
      <c r="A30" s="258" t="s">
        <v>1210</v>
      </c>
      <c r="B30" s="254">
        <v>5.4575290900918896</v>
      </c>
      <c r="C30" s="242"/>
      <c r="D30" s="270">
        <v>2688</v>
      </c>
      <c r="E30" s="282">
        <v>0.09</v>
      </c>
      <c r="F30" s="269">
        <v>10</v>
      </c>
      <c r="G30" s="242"/>
    </row>
    <row r="31" spans="1:7">
      <c r="A31" s="258" t="s">
        <v>1211</v>
      </c>
      <c r="B31" s="274">
        <v>0.6607178075171779</v>
      </c>
      <c r="C31" s="242"/>
      <c r="D31" s="269">
        <v>1601.92</v>
      </c>
      <c r="E31" s="245" t="s">
        <v>1212</v>
      </c>
      <c r="F31" s="242"/>
      <c r="G31" s="242"/>
    </row>
    <row r="32" spans="1:7">
      <c r="A32" s="242"/>
      <c r="B32" s="272"/>
      <c r="C32" s="242"/>
      <c r="D32" s="245">
        <v>8.26</v>
      </c>
      <c r="E32" s="245" t="s">
        <v>1213</v>
      </c>
      <c r="F32" s="242"/>
      <c r="G32" s="242"/>
    </row>
    <row r="34" spans="1:4">
      <c r="A34" s="263" t="s">
        <v>1214</v>
      </c>
      <c r="B34" s="272"/>
      <c r="C34" s="242"/>
      <c r="D34" s="242"/>
    </row>
    <row r="36" spans="1:4">
      <c r="A36" s="437" t="s">
        <v>1215</v>
      </c>
      <c r="B36" s="277" t="s">
        <v>1216</v>
      </c>
      <c r="C36" s="277" t="s">
        <v>1217</v>
      </c>
      <c r="D36" s="277" t="s">
        <v>1218</v>
      </c>
    </row>
    <row r="37" spans="1:4">
      <c r="A37" s="437"/>
      <c r="B37" s="276" t="s">
        <v>57</v>
      </c>
      <c r="C37" s="278">
        <v>0.55331043579252415</v>
      </c>
      <c r="D37" s="278">
        <v>1.401648063254546E-2</v>
      </c>
    </row>
    <row r="38" spans="1:4">
      <c r="A38" s="279" t="s">
        <v>1219</v>
      </c>
      <c r="B38" s="276" t="s">
        <v>56</v>
      </c>
      <c r="C38" s="278">
        <v>1.1959594849902737</v>
      </c>
      <c r="D38" s="278">
        <v>8.6864337459588142E-3</v>
      </c>
    </row>
    <row r="39" spans="1:4">
      <c r="A39" s="242"/>
      <c r="B39" s="276" t="s">
        <v>63</v>
      </c>
      <c r="C39" s="278">
        <v>1.3129172993678984</v>
      </c>
      <c r="D39" s="278">
        <v>2.0205772061112591E-2</v>
      </c>
    </row>
    <row r="41" spans="1:4">
      <c r="A41" s="243" t="s">
        <v>1220</v>
      </c>
      <c r="B41" s="271">
        <v>0.90305488179949944</v>
      </c>
      <c r="C41" s="242"/>
      <c r="D41" s="242"/>
    </row>
  </sheetData>
  <mergeCells count="1">
    <mergeCell ref="A36:A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E11"/>
  <sheetViews>
    <sheetView workbookViewId="0">
      <selection activeCell="B9" sqref="B9"/>
    </sheetView>
  </sheetViews>
  <sheetFormatPr defaultRowHeight="12.75"/>
  <cols>
    <col min="1" max="1" width="12.5703125" style="219" customWidth="1"/>
    <col min="2" max="2" width="60.28515625" style="219" customWidth="1"/>
    <col min="3" max="3" width="29.140625" style="219" customWidth="1"/>
    <col min="4" max="4" width="15" style="219" customWidth="1"/>
    <col min="5" max="5" width="46.85546875" style="219" customWidth="1"/>
    <col min="6" max="256" width="9.140625" style="219"/>
    <col min="257" max="257" width="12.5703125" style="219" customWidth="1"/>
    <col min="258" max="258" width="60.28515625" style="219" customWidth="1"/>
    <col min="259" max="259" width="29.140625" style="219" customWidth="1"/>
    <col min="260" max="260" width="15" style="219" customWidth="1"/>
    <col min="261" max="261" width="46.85546875" style="219" customWidth="1"/>
    <col min="262" max="512" width="9.140625" style="219"/>
    <col min="513" max="513" width="12.5703125" style="219" customWidth="1"/>
    <col min="514" max="514" width="60.28515625" style="219" customWidth="1"/>
    <col min="515" max="515" width="29.140625" style="219" customWidth="1"/>
    <col min="516" max="516" width="15" style="219" customWidth="1"/>
    <col min="517" max="517" width="46.85546875" style="219" customWidth="1"/>
    <col min="518" max="768" width="9.140625" style="219"/>
    <col min="769" max="769" width="12.5703125" style="219" customWidth="1"/>
    <col min="770" max="770" width="60.28515625" style="219" customWidth="1"/>
    <col min="771" max="771" width="29.140625" style="219" customWidth="1"/>
    <col min="772" max="772" width="15" style="219" customWidth="1"/>
    <col min="773" max="773" width="46.85546875" style="219" customWidth="1"/>
    <col min="774" max="1024" width="9.140625" style="219"/>
    <col min="1025" max="1025" width="12.5703125" style="219" customWidth="1"/>
    <col min="1026" max="1026" width="60.28515625" style="219" customWidth="1"/>
    <col min="1027" max="1027" width="29.140625" style="219" customWidth="1"/>
    <col min="1028" max="1028" width="15" style="219" customWidth="1"/>
    <col min="1029" max="1029" width="46.85546875" style="219" customWidth="1"/>
    <col min="1030" max="1280" width="9.140625" style="219"/>
    <col min="1281" max="1281" width="12.5703125" style="219" customWidth="1"/>
    <col min="1282" max="1282" width="60.28515625" style="219" customWidth="1"/>
    <col min="1283" max="1283" width="29.140625" style="219" customWidth="1"/>
    <col min="1284" max="1284" width="15" style="219" customWidth="1"/>
    <col min="1285" max="1285" width="46.85546875" style="219" customWidth="1"/>
    <col min="1286" max="1536" width="9.140625" style="219"/>
    <col min="1537" max="1537" width="12.5703125" style="219" customWidth="1"/>
    <col min="1538" max="1538" width="60.28515625" style="219" customWidth="1"/>
    <col min="1539" max="1539" width="29.140625" style="219" customWidth="1"/>
    <col min="1540" max="1540" width="15" style="219" customWidth="1"/>
    <col min="1541" max="1541" width="46.85546875" style="219" customWidth="1"/>
    <col min="1542" max="1792" width="9.140625" style="219"/>
    <col min="1793" max="1793" width="12.5703125" style="219" customWidth="1"/>
    <col min="1794" max="1794" width="60.28515625" style="219" customWidth="1"/>
    <col min="1795" max="1795" width="29.140625" style="219" customWidth="1"/>
    <col min="1796" max="1796" width="15" style="219" customWidth="1"/>
    <col min="1797" max="1797" width="46.85546875" style="219" customWidth="1"/>
    <col min="1798" max="2048" width="9.140625" style="219"/>
    <col min="2049" max="2049" width="12.5703125" style="219" customWidth="1"/>
    <col min="2050" max="2050" width="60.28515625" style="219" customWidth="1"/>
    <col min="2051" max="2051" width="29.140625" style="219" customWidth="1"/>
    <col min="2052" max="2052" width="15" style="219" customWidth="1"/>
    <col min="2053" max="2053" width="46.85546875" style="219" customWidth="1"/>
    <col min="2054" max="2304" width="9.140625" style="219"/>
    <col min="2305" max="2305" width="12.5703125" style="219" customWidth="1"/>
    <col min="2306" max="2306" width="60.28515625" style="219" customWidth="1"/>
    <col min="2307" max="2307" width="29.140625" style="219" customWidth="1"/>
    <col min="2308" max="2308" width="15" style="219" customWidth="1"/>
    <col min="2309" max="2309" width="46.85546875" style="219" customWidth="1"/>
    <col min="2310" max="2560" width="9.140625" style="219"/>
    <col min="2561" max="2561" width="12.5703125" style="219" customWidth="1"/>
    <col min="2562" max="2562" width="60.28515625" style="219" customWidth="1"/>
    <col min="2563" max="2563" width="29.140625" style="219" customWidth="1"/>
    <col min="2564" max="2564" width="15" style="219" customWidth="1"/>
    <col min="2565" max="2565" width="46.85546875" style="219" customWidth="1"/>
    <col min="2566" max="2816" width="9.140625" style="219"/>
    <col min="2817" max="2817" width="12.5703125" style="219" customWidth="1"/>
    <col min="2818" max="2818" width="60.28515625" style="219" customWidth="1"/>
    <col min="2819" max="2819" width="29.140625" style="219" customWidth="1"/>
    <col min="2820" max="2820" width="15" style="219" customWidth="1"/>
    <col min="2821" max="2821" width="46.85546875" style="219" customWidth="1"/>
    <col min="2822" max="3072" width="9.140625" style="219"/>
    <col min="3073" max="3073" width="12.5703125" style="219" customWidth="1"/>
    <col min="3074" max="3074" width="60.28515625" style="219" customWidth="1"/>
    <col min="3075" max="3075" width="29.140625" style="219" customWidth="1"/>
    <col min="3076" max="3076" width="15" style="219" customWidth="1"/>
    <col min="3077" max="3077" width="46.85546875" style="219" customWidth="1"/>
    <col min="3078" max="3328" width="9.140625" style="219"/>
    <col min="3329" max="3329" width="12.5703125" style="219" customWidth="1"/>
    <col min="3330" max="3330" width="60.28515625" style="219" customWidth="1"/>
    <col min="3331" max="3331" width="29.140625" style="219" customWidth="1"/>
    <col min="3332" max="3332" width="15" style="219" customWidth="1"/>
    <col min="3333" max="3333" width="46.85546875" style="219" customWidth="1"/>
    <col min="3334" max="3584" width="9.140625" style="219"/>
    <col min="3585" max="3585" width="12.5703125" style="219" customWidth="1"/>
    <col min="3586" max="3586" width="60.28515625" style="219" customWidth="1"/>
    <col min="3587" max="3587" width="29.140625" style="219" customWidth="1"/>
    <col min="3588" max="3588" width="15" style="219" customWidth="1"/>
    <col min="3589" max="3589" width="46.85546875" style="219" customWidth="1"/>
    <col min="3590" max="3840" width="9.140625" style="219"/>
    <col min="3841" max="3841" width="12.5703125" style="219" customWidth="1"/>
    <col min="3842" max="3842" width="60.28515625" style="219" customWidth="1"/>
    <col min="3843" max="3843" width="29.140625" style="219" customWidth="1"/>
    <col min="3844" max="3844" width="15" style="219" customWidth="1"/>
    <col min="3845" max="3845" width="46.85546875" style="219" customWidth="1"/>
    <col min="3846" max="4096" width="9.140625" style="219"/>
    <col min="4097" max="4097" width="12.5703125" style="219" customWidth="1"/>
    <col min="4098" max="4098" width="60.28515625" style="219" customWidth="1"/>
    <col min="4099" max="4099" width="29.140625" style="219" customWidth="1"/>
    <col min="4100" max="4100" width="15" style="219" customWidth="1"/>
    <col min="4101" max="4101" width="46.85546875" style="219" customWidth="1"/>
    <col min="4102" max="4352" width="9.140625" style="219"/>
    <col min="4353" max="4353" width="12.5703125" style="219" customWidth="1"/>
    <col min="4354" max="4354" width="60.28515625" style="219" customWidth="1"/>
    <col min="4355" max="4355" width="29.140625" style="219" customWidth="1"/>
    <col min="4356" max="4356" width="15" style="219" customWidth="1"/>
    <col min="4357" max="4357" width="46.85546875" style="219" customWidth="1"/>
    <col min="4358" max="4608" width="9.140625" style="219"/>
    <col min="4609" max="4609" width="12.5703125" style="219" customWidth="1"/>
    <col min="4610" max="4610" width="60.28515625" style="219" customWidth="1"/>
    <col min="4611" max="4611" width="29.140625" style="219" customWidth="1"/>
    <col min="4612" max="4612" width="15" style="219" customWidth="1"/>
    <col min="4613" max="4613" width="46.85546875" style="219" customWidth="1"/>
    <col min="4614" max="4864" width="9.140625" style="219"/>
    <col min="4865" max="4865" width="12.5703125" style="219" customWidth="1"/>
    <col min="4866" max="4866" width="60.28515625" style="219" customWidth="1"/>
    <col min="4867" max="4867" width="29.140625" style="219" customWidth="1"/>
    <col min="4868" max="4868" width="15" style="219" customWidth="1"/>
    <col min="4869" max="4869" width="46.85546875" style="219" customWidth="1"/>
    <col min="4870" max="5120" width="9.140625" style="219"/>
    <col min="5121" max="5121" width="12.5703125" style="219" customWidth="1"/>
    <col min="5122" max="5122" width="60.28515625" style="219" customWidth="1"/>
    <col min="5123" max="5123" width="29.140625" style="219" customWidth="1"/>
    <col min="5124" max="5124" width="15" style="219" customWidth="1"/>
    <col min="5125" max="5125" width="46.85546875" style="219" customWidth="1"/>
    <col min="5126" max="5376" width="9.140625" style="219"/>
    <col min="5377" max="5377" width="12.5703125" style="219" customWidth="1"/>
    <col min="5378" max="5378" width="60.28515625" style="219" customWidth="1"/>
    <col min="5379" max="5379" width="29.140625" style="219" customWidth="1"/>
    <col min="5380" max="5380" width="15" style="219" customWidth="1"/>
    <col min="5381" max="5381" width="46.85546875" style="219" customWidth="1"/>
    <col min="5382" max="5632" width="9.140625" style="219"/>
    <col min="5633" max="5633" width="12.5703125" style="219" customWidth="1"/>
    <col min="5634" max="5634" width="60.28515625" style="219" customWidth="1"/>
    <col min="5635" max="5635" width="29.140625" style="219" customWidth="1"/>
    <col min="5636" max="5636" width="15" style="219" customWidth="1"/>
    <col min="5637" max="5637" width="46.85546875" style="219" customWidth="1"/>
    <col min="5638" max="5888" width="9.140625" style="219"/>
    <col min="5889" max="5889" width="12.5703125" style="219" customWidth="1"/>
    <col min="5890" max="5890" width="60.28515625" style="219" customWidth="1"/>
    <col min="5891" max="5891" width="29.140625" style="219" customWidth="1"/>
    <col min="5892" max="5892" width="15" style="219" customWidth="1"/>
    <col min="5893" max="5893" width="46.85546875" style="219" customWidth="1"/>
    <col min="5894" max="6144" width="9.140625" style="219"/>
    <col min="6145" max="6145" width="12.5703125" style="219" customWidth="1"/>
    <col min="6146" max="6146" width="60.28515625" style="219" customWidth="1"/>
    <col min="6147" max="6147" width="29.140625" style="219" customWidth="1"/>
    <col min="6148" max="6148" width="15" style="219" customWidth="1"/>
    <col min="6149" max="6149" width="46.85546875" style="219" customWidth="1"/>
    <col min="6150" max="6400" width="9.140625" style="219"/>
    <col min="6401" max="6401" width="12.5703125" style="219" customWidth="1"/>
    <col min="6402" max="6402" width="60.28515625" style="219" customWidth="1"/>
    <col min="6403" max="6403" width="29.140625" style="219" customWidth="1"/>
    <col min="6404" max="6404" width="15" style="219" customWidth="1"/>
    <col min="6405" max="6405" width="46.85546875" style="219" customWidth="1"/>
    <col min="6406" max="6656" width="9.140625" style="219"/>
    <col min="6657" max="6657" width="12.5703125" style="219" customWidth="1"/>
    <col min="6658" max="6658" width="60.28515625" style="219" customWidth="1"/>
    <col min="6659" max="6659" width="29.140625" style="219" customWidth="1"/>
    <col min="6660" max="6660" width="15" style="219" customWidth="1"/>
    <col min="6661" max="6661" width="46.85546875" style="219" customWidth="1"/>
    <col min="6662" max="6912" width="9.140625" style="219"/>
    <col min="6913" max="6913" width="12.5703125" style="219" customWidth="1"/>
    <col min="6914" max="6914" width="60.28515625" style="219" customWidth="1"/>
    <col min="6915" max="6915" width="29.140625" style="219" customWidth="1"/>
    <col min="6916" max="6916" width="15" style="219" customWidth="1"/>
    <col min="6917" max="6917" width="46.85546875" style="219" customWidth="1"/>
    <col min="6918" max="7168" width="9.140625" style="219"/>
    <col min="7169" max="7169" width="12.5703125" style="219" customWidth="1"/>
    <col min="7170" max="7170" width="60.28515625" style="219" customWidth="1"/>
    <col min="7171" max="7171" width="29.140625" style="219" customWidth="1"/>
    <col min="7172" max="7172" width="15" style="219" customWidth="1"/>
    <col min="7173" max="7173" width="46.85546875" style="219" customWidth="1"/>
    <col min="7174" max="7424" width="9.140625" style="219"/>
    <col min="7425" max="7425" width="12.5703125" style="219" customWidth="1"/>
    <col min="7426" max="7426" width="60.28515625" style="219" customWidth="1"/>
    <col min="7427" max="7427" width="29.140625" style="219" customWidth="1"/>
    <col min="7428" max="7428" width="15" style="219" customWidth="1"/>
    <col min="7429" max="7429" width="46.85546875" style="219" customWidth="1"/>
    <col min="7430" max="7680" width="9.140625" style="219"/>
    <col min="7681" max="7681" width="12.5703125" style="219" customWidth="1"/>
    <col min="7682" max="7682" width="60.28515625" style="219" customWidth="1"/>
    <col min="7683" max="7683" width="29.140625" style="219" customWidth="1"/>
    <col min="7684" max="7684" width="15" style="219" customWidth="1"/>
    <col min="7685" max="7685" width="46.85546875" style="219" customWidth="1"/>
    <col min="7686" max="7936" width="9.140625" style="219"/>
    <col min="7937" max="7937" width="12.5703125" style="219" customWidth="1"/>
    <col min="7938" max="7938" width="60.28515625" style="219" customWidth="1"/>
    <col min="7939" max="7939" width="29.140625" style="219" customWidth="1"/>
    <col min="7940" max="7940" width="15" style="219" customWidth="1"/>
    <col min="7941" max="7941" width="46.85546875" style="219" customWidth="1"/>
    <col min="7942" max="8192" width="9.140625" style="219"/>
    <col min="8193" max="8193" width="12.5703125" style="219" customWidth="1"/>
    <col min="8194" max="8194" width="60.28515625" style="219" customWidth="1"/>
    <col min="8195" max="8195" width="29.140625" style="219" customWidth="1"/>
    <col min="8196" max="8196" width="15" style="219" customWidth="1"/>
    <col min="8197" max="8197" width="46.85546875" style="219" customWidth="1"/>
    <col min="8198" max="8448" width="9.140625" style="219"/>
    <col min="8449" max="8449" width="12.5703125" style="219" customWidth="1"/>
    <col min="8450" max="8450" width="60.28515625" style="219" customWidth="1"/>
    <col min="8451" max="8451" width="29.140625" style="219" customWidth="1"/>
    <col min="8452" max="8452" width="15" style="219" customWidth="1"/>
    <col min="8453" max="8453" width="46.85546875" style="219" customWidth="1"/>
    <col min="8454" max="8704" width="9.140625" style="219"/>
    <col min="8705" max="8705" width="12.5703125" style="219" customWidth="1"/>
    <col min="8706" max="8706" width="60.28515625" style="219" customWidth="1"/>
    <col min="8707" max="8707" width="29.140625" style="219" customWidth="1"/>
    <col min="8708" max="8708" width="15" style="219" customWidth="1"/>
    <col min="8709" max="8709" width="46.85546875" style="219" customWidth="1"/>
    <col min="8710" max="8960" width="9.140625" style="219"/>
    <col min="8961" max="8961" width="12.5703125" style="219" customWidth="1"/>
    <col min="8962" max="8962" width="60.28515625" style="219" customWidth="1"/>
    <col min="8963" max="8963" width="29.140625" style="219" customWidth="1"/>
    <col min="8964" max="8964" width="15" style="219" customWidth="1"/>
    <col min="8965" max="8965" width="46.85546875" style="219" customWidth="1"/>
    <col min="8966" max="9216" width="9.140625" style="219"/>
    <col min="9217" max="9217" width="12.5703125" style="219" customWidth="1"/>
    <col min="9218" max="9218" width="60.28515625" style="219" customWidth="1"/>
    <col min="9219" max="9219" width="29.140625" style="219" customWidth="1"/>
    <col min="9220" max="9220" width="15" style="219" customWidth="1"/>
    <col min="9221" max="9221" width="46.85546875" style="219" customWidth="1"/>
    <col min="9222" max="9472" width="9.140625" style="219"/>
    <col min="9473" max="9473" width="12.5703125" style="219" customWidth="1"/>
    <col min="9474" max="9474" width="60.28515625" style="219" customWidth="1"/>
    <col min="9475" max="9475" width="29.140625" style="219" customWidth="1"/>
    <col min="9476" max="9476" width="15" style="219" customWidth="1"/>
    <col min="9477" max="9477" width="46.85546875" style="219" customWidth="1"/>
    <col min="9478" max="9728" width="9.140625" style="219"/>
    <col min="9729" max="9729" width="12.5703125" style="219" customWidth="1"/>
    <col min="9730" max="9730" width="60.28515625" style="219" customWidth="1"/>
    <col min="9731" max="9731" width="29.140625" style="219" customWidth="1"/>
    <col min="9732" max="9732" width="15" style="219" customWidth="1"/>
    <col min="9733" max="9733" width="46.85546875" style="219" customWidth="1"/>
    <col min="9734" max="9984" width="9.140625" style="219"/>
    <col min="9985" max="9985" width="12.5703125" style="219" customWidth="1"/>
    <col min="9986" max="9986" width="60.28515625" style="219" customWidth="1"/>
    <col min="9987" max="9987" width="29.140625" style="219" customWidth="1"/>
    <col min="9988" max="9988" width="15" style="219" customWidth="1"/>
    <col min="9989" max="9989" width="46.85546875" style="219" customWidth="1"/>
    <col min="9990" max="10240" width="9.140625" style="219"/>
    <col min="10241" max="10241" width="12.5703125" style="219" customWidth="1"/>
    <col min="10242" max="10242" width="60.28515625" style="219" customWidth="1"/>
    <col min="10243" max="10243" width="29.140625" style="219" customWidth="1"/>
    <col min="10244" max="10244" width="15" style="219" customWidth="1"/>
    <col min="10245" max="10245" width="46.85546875" style="219" customWidth="1"/>
    <col min="10246" max="10496" width="9.140625" style="219"/>
    <col min="10497" max="10497" width="12.5703125" style="219" customWidth="1"/>
    <col min="10498" max="10498" width="60.28515625" style="219" customWidth="1"/>
    <col min="10499" max="10499" width="29.140625" style="219" customWidth="1"/>
    <col min="10500" max="10500" width="15" style="219" customWidth="1"/>
    <col min="10501" max="10501" width="46.85546875" style="219" customWidth="1"/>
    <col min="10502" max="10752" width="9.140625" style="219"/>
    <col min="10753" max="10753" width="12.5703125" style="219" customWidth="1"/>
    <col min="10754" max="10754" width="60.28515625" style="219" customWidth="1"/>
    <col min="10755" max="10755" width="29.140625" style="219" customWidth="1"/>
    <col min="10756" max="10756" width="15" style="219" customWidth="1"/>
    <col min="10757" max="10757" width="46.85546875" style="219" customWidth="1"/>
    <col min="10758" max="11008" width="9.140625" style="219"/>
    <col min="11009" max="11009" width="12.5703125" style="219" customWidth="1"/>
    <col min="11010" max="11010" width="60.28515625" style="219" customWidth="1"/>
    <col min="11011" max="11011" width="29.140625" style="219" customWidth="1"/>
    <col min="11012" max="11012" width="15" style="219" customWidth="1"/>
    <col min="11013" max="11013" width="46.85546875" style="219" customWidth="1"/>
    <col min="11014" max="11264" width="9.140625" style="219"/>
    <col min="11265" max="11265" width="12.5703125" style="219" customWidth="1"/>
    <col min="11266" max="11266" width="60.28515625" style="219" customWidth="1"/>
    <col min="11267" max="11267" width="29.140625" style="219" customWidth="1"/>
    <col min="11268" max="11268" width="15" style="219" customWidth="1"/>
    <col min="11269" max="11269" width="46.85546875" style="219" customWidth="1"/>
    <col min="11270" max="11520" width="9.140625" style="219"/>
    <col min="11521" max="11521" width="12.5703125" style="219" customWidth="1"/>
    <col min="11522" max="11522" width="60.28515625" style="219" customWidth="1"/>
    <col min="11523" max="11523" width="29.140625" style="219" customWidth="1"/>
    <col min="11524" max="11524" width="15" style="219" customWidth="1"/>
    <col min="11525" max="11525" width="46.85546875" style="219" customWidth="1"/>
    <col min="11526" max="11776" width="9.140625" style="219"/>
    <col min="11777" max="11777" width="12.5703125" style="219" customWidth="1"/>
    <col min="11778" max="11778" width="60.28515625" style="219" customWidth="1"/>
    <col min="11779" max="11779" width="29.140625" style="219" customWidth="1"/>
    <col min="11780" max="11780" width="15" style="219" customWidth="1"/>
    <col min="11781" max="11781" width="46.85546875" style="219" customWidth="1"/>
    <col min="11782" max="12032" width="9.140625" style="219"/>
    <col min="12033" max="12033" width="12.5703125" style="219" customWidth="1"/>
    <col min="12034" max="12034" width="60.28515625" style="219" customWidth="1"/>
    <col min="12035" max="12035" width="29.140625" style="219" customWidth="1"/>
    <col min="12036" max="12036" width="15" style="219" customWidth="1"/>
    <col min="12037" max="12037" width="46.85546875" style="219" customWidth="1"/>
    <col min="12038" max="12288" width="9.140625" style="219"/>
    <col min="12289" max="12289" width="12.5703125" style="219" customWidth="1"/>
    <col min="12290" max="12290" width="60.28515625" style="219" customWidth="1"/>
    <col min="12291" max="12291" width="29.140625" style="219" customWidth="1"/>
    <col min="12292" max="12292" width="15" style="219" customWidth="1"/>
    <col min="12293" max="12293" width="46.85546875" style="219" customWidth="1"/>
    <col min="12294" max="12544" width="9.140625" style="219"/>
    <col min="12545" max="12545" width="12.5703125" style="219" customWidth="1"/>
    <col min="12546" max="12546" width="60.28515625" style="219" customWidth="1"/>
    <col min="12547" max="12547" width="29.140625" style="219" customWidth="1"/>
    <col min="12548" max="12548" width="15" style="219" customWidth="1"/>
    <col min="12549" max="12549" width="46.85546875" style="219" customWidth="1"/>
    <col min="12550" max="12800" width="9.140625" style="219"/>
    <col min="12801" max="12801" width="12.5703125" style="219" customWidth="1"/>
    <col min="12802" max="12802" width="60.28515625" style="219" customWidth="1"/>
    <col min="12803" max="12803" width="29.140625" style="219" customWidth="1"/>
    <col min="12804" max="12804" width="15" style="219" customWidth="1"/>
    <col min="12805" max="12805" width="46.85546875" style="219" customWidth="1"/>
    <col min="12806" max="13056" width="9.140625" style="219"/>
    <col min="13057" max="13057" width="12.5703125" style="219" customWidth="1"/>
    <col min="13058" max="13058" width="60.28515625" style="219" customWidth="1"/>
    <col min="13059" max="13059" width="29.140625" style="219" customWidth="1"/>
    <col min="13060" max="13060" width="15" style="219" customWidth="1"/>
    <col min="13061" max="13061" width="46.85546875" style="219" customWidth="1"/>
    <col min="13062" max="13312" width="9.140625" style="219"/>
    <col min="13313" max="13313" width="12.5703125" style="219" customWidth="1"/>
    <col min="13314" max="13314" width="60.28515625" style="219" customWidth="1"/>
    <col min="13315" max="13315" width="29.140625" style="219" customWidth="1"/>
    <col min="13316" max="13316" width="15" style="219" customWidth="1"/>
    <col min="13317" max="13317" width="46.85546875" style="219" customWidth="1"/>
    <col min="13318" max="13568" width="9.140625" style="219"/>
    <col min="13569" max="13569" width="12.5703125" style="219" customWidth="1"/>
    <col min="13570" max="13570" width="60.28515625" style="219" customWidth="1"/>
    <col min="13571" max="13571" width="29.140625" style="219" customWidth="1"/>
    <col min="13572" max="13572" width="15" style="219" customWidth="1"/>
    <col min="13573" max="13573" width="46.85546875" style="219" customWidth="1"/>
    <col min="13574" max="13824" width="9.140625" style="219"/>
    <col min="13825" max="13825" width="12.5703125" style="219" customWidth="1"/>
    <col min="13826" max="13826" width="60.28515625" style="219" customWidth="1"/>
    <col min="13827" max="13827" width="29.140625" style="219" customWidth="1"/>
    <col min="13828" max="13828" width="15" style="219" customWidth="1"/>
    <col min="13829" max="13829" width="46.85546875" style="219" customWidth="1"/>
    <col min="13830" max="14080" width="9.140625" style="219"/>
    <col min="14081" max="14081" width="12.5703125" style="219" customWidth="1"/>
    <col min="14082" max="14082" width="60.28515625" style="219" customWidth="1"/>
    <col min="14083" max="14083" width="29.140625" style="219" customWidth="1"/>
    <col min="14084" max="14084" width="15" style="219" customWidth="1"/>
    <col min="14085" max="14085" width="46.85546875" style="219" customWidth="1"/>
    <col min="14086" max="14336" width="9.140625" style="219"/>
    <col min="14337" max="14337" width="12.5703125" style="219" customWidth="1"/>
    <col min="14338" max="14338" width="60.28515625" style="219" customWidth="1"/>
    <col min="14339" max="14339" width="29.140625" style="219" customWidth="1"/>
    <col min="14340" max="14340" width="15" style="219" customWidth="1"/>
    <col min="14341" max="14341" width="46.85546875" style="219" customWidth="1"/>
    <col min="14342" max="14592" width="9.140625" style="219"/>
    <col min="14593" max="14593" width="12.5703125" style="219" customWidth="1"/>
    <col min="14594" max="14594" width="60.28515625" style="219" customWidth="1"/>
    <col min="14595" max="14595" width="29.140625" style="219" customWidth="1"/>
    <col min="14596" max="14596" width="15" style="219" customWidth="1"/>
    <col min="14597" max="14597" width="46.85546875" style="219" customWidth="1"/>
    <col min="14598" max="14848" width="9.140625" style="219"/>
    <col min="14849" max="14849" width="12.5703125" style="219" customWidth="1"/>
    <col min="14850" max="14850" width="60.28515625" style="219" customWidth="1"/>
    <col min="14851" max="14851" width="29.140625" style="219" customWidth="1"/>
    <col min="14852" max="14852" width="15" style="219" customWidth="1"/>
    <col min="14853" max="14853" width="46.85546875" style="219" customWidth="1"/>
    <col min="14854" max="15104" width="9.140625" style="219"/>
    <col min="15105" max="15105" width="12.5703125" style="219" customWidth="1"/>
    <col min="15106" max="15106" width="60.28515625" style="219" customWidth="1"/>
    <col min="15107" max="15107" width="29.140625" style="219" customWidth="1"/>
    <col min="15108" max="15108" width="15" style="219" customWidth="1"/>
    <col min="15109" max="15109" width="46.85546875" style="219" customWidth="1"/>
    <col min="15110" max="15360" width="9.140625" style="219"/>
    <col min="15361" max="15361" width="12.5703125" style="219" customWidth="1"/>
    <col min="15362" max="15362" width="60.28515625" style="219" customWidth="1"/>
    <col min="15363" max="15363" width="29.140625" style="219" customWidth="1"/>
    <col min="15364" max="15364" width="15" style="219" customWidth="1"/>
    <col min="15365" max="15365" width="46.85546875" style="219" customWidth="1"/>
    <col min="15366" max="15616" width="9.140625" style="219"/>
    <col min="15617" max="15617" width="12.5703125" style="219" customWidth="1"/>
    <col min="15618" max="15618" width="60.28515625" style="219" customWidth="1"/>
    <col min="15619" max="15619" width="29.140625" style="219" customWidth="1"/>
    <col min="15620" max="15620" width="15" style="219" customWidth="1"/>
    <col min="15621" max="15621" width="46.85546875" style="219" customWidth="1"/>
    <col min="15622" max="15872" width="9.140625" style="219"/>
    <col min="15873" max="15873" width="12.5703125" style="219" customWidth="1"/>
    <col min="15874" max="15874" width="60.28515625" style="219" customWidth="1"/>
    <col min="15875" max="15875" width="29.140625" style="219" customWidth="1"/>
    <col min="15876" max="15876" width="15" style="219" customWidth="1"/>
    <col min="15877" max="15877" width="46.85546875" style="219" customWidth="1"/>
    <col min="15878" max="16128" width="9.140625" style="219"/>
    <col min="16129" max="16129" width="12.5703125" style="219" customWidth="1"/>
    <col min="16130" max="16130" width="60.28515625" style="219" customWidth="1"/>
    <col min="16131" max="16131" width="29.140625" style="219" customWidth="1"/>
    <col min="16132" max="16132" width="15" style="219" customWidth="1"/>
    <col min="16133" max="16133" width="46.85546875" style="219" customWidth="1"/>
    <col min="16134" max="16384" width="9.140625" style="219"/>
  </cols>
  <sheetData>
    <row r="1" spans="1:5" s="221" customFormat="1">
      <c r="A1" s="220" t="str">
        <f ca="1">CELL("filename")</f>
        <v>\\nas2\Q\SeventhPlan\Conservation Analysis\Res\[Res-SF_Wx-7P_v5.xlsx]Raw RTF</v>
      </c>
    </row>
    <row r="2" spans="1:5" s="221" customFormat="1"/>
    <row r="3" spans="1:5" s="221" customFormat="1">
      <c r="A3" s="222" t="s">
        <v>1140</v>
      </c>
      <c r="B3" s="222" t="s">
        <v>1151</v>
      </c>
      <c r="C3" s="222" t="s">
        <v>1152</v>
      </c>
      <c r="D3" s="222" t="s">
        <v>1153</v>
      </c>
      <c r="E3" s="222" t="s">
        <v>1154</v>
      </c>
    </row>
    <row r="4" spans="1:5">
      <c r="B4" s="219" t="s">
        <v>1155</v>
      </c>
    </row>
    <row r="5" spans="1:5" s="223" customFormat="1">
      <c r="B5" s="223" t="s">
        <v>1156</v>
      </c>
      <c r="C5" s="223" t="s">
        <v>1157</v>
      </c>
      <c r="D5" s="224">
        <v>41852</v>
      </c>
    </row>
    <row r="6" spans="1:5">
      <c r="B6" s="223"/>
      <c r="C6" s="223"/>
      <c r="D6" s="223"/>
    </row>
    <row r="7" spans="1:5">
      <c r="B7" s="219" t="s">
        <v>1158</v>
      </c>
      <c r="C7" s="223" t="s">
        <v>1159</v>
      </c>
      <c r="D7" s="225"/>
    </row>
    <row r="8" spans="1:5">
      <c r="B8" s="219" t="s">
        <v>1160</v>
      </c>
      <c r="D8" s="225"/>
    </row>
    <row r="9" spans="1:5">
      <c r="B9" s="223"/>
    </row>
    <row r="10" spans="1:5">
      <c r="B10" s="223" t="s">
        <v>1161</v>
      </c>
    </row>
    <row r="11" spans="1:5">
      <c r="B11" s="219" t="s">
        <v>1162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BD63"/>
  <sheetViews>
    <sheetView workbookViewId="0">
      <selection activeCell="C27" sqref="C27"/>
    </sheetView>
  </sheetViews>
  <sheetFormatPr defaultRowHeight="12.75"/>
  <cols>
    <col min="1" max="2" width="21.85546875" style="384" customWidth="1"/>
    <col min="3" max="3" width="40.28515625" style="384" bestFit="1" customWidth="1"/>
    <col min="4" max="4" width="12.28515625" style="384" bestFit="1" customWidth="1"/>
    <col min="5" max="5" width="30.5703125" style="384" bestFit="1" customWidth="1"/>
    <col min="6" max="16384" width="9.140625" style="384"/>
  </cols>
  <sheetData>
    <row r="1" spans="1:56" ht="15.75" thickBot="1">
      <c r="A1" s="376" t="s">
        <v>1599</v>
      </c>
      <c r="B1" s="376" t="s">
        <v>1600</v>
      </c>
      <c r="C1" s="376" t="s">
        <v>1601</v>
      </c>
      <c r="D1" s="376" t="s">
        <v>1164</v>
      </c>
      <c r="E1" s="376" t="s">
        <v>1602</v>
      </c>
      <c r="F1" s="376" t="s">
        <v>1603</v>
      </c>
      <c r="G1" s="376" t="s">
        <v>1604</v>
      </c>
      <c r="H1" s="376" t="s">
        <v>1370</v>
      </c>
      <c r="I1" s="376" t="s">
        <v>247</v>
      </c>
      <c r="J1" s="376" t="s">
        <v>248</v>
      </c>
      <c r="K1" s="377">
        <v>2016</v>
      </c>
      <c r="L1" s="378">
        <v>2017</v>
      </c>
      <c r="M1" s="378">
        <v>2018</v>
      </c>
      <c r="N1" s="378">
        <v>2019</v>
      </c>
      <c r="O1" s="378">
        <v>2020</v>
      </c>
      <c r="P1" s="378">
        <v>2021</v>
      </c>
      <c r="Q1" s="378">
        <v>2022</v>
      </c>
      <c r="R1" s="378">
        <v>2023</v>
      </c>
      <c r="S1" s="378">
        <v>2024</v>
      </c>
      <c r="T1" s="378">
        <v>2025</v>
      </c>
      <c r="U1" s="378">
        <v>2026</v>
      </c>
      <c r="V1" s="378">
        <v>2027</v>
      </c>
      <c r="W1" s="378">
        <v>2028</v>
      </c>
      <c r="X1" s="378">
        <v>2029</v>
      </c>
      <c r="Y1" s="378">
        <v>2030</v>
      </c>
      <c r="Z1" s="378">
        <v>2031</v>
      </c>
      <c r="AA1" s="378">
        <v>2032</v>
      </c>
      <c r="AB1" s="378">
        <v>2033</v>
      </c>
      <c r="AC1" s="378">
        <v>2034</v>
      </c>
      <c r="AD1" s="378">
        <v>2035</v>
      </c>
      <c r="AE1" s="379" t="s">
        <v>1363</v>
      </c>
      <c r="AF1" s="380" t="s">
        <v>1409</v>
      </c>
      <c r="AG1" s="381"/>
      <c r="AH1" s="381"/>
      <c r="AI1" s="381"/>
      <c r="AJ1" s="381"/>
      <c r="AK1" s="381"/>
      <c r="AL1" s="381"/>
      <c r="AM1" s="381"/>
      <c r="AN1" s="381"/>
      <c r="AO1" s="381"/>
      <c r="AP1" s="381"/>
      <c r="AQ1" s="382"/>
      <c r="AR1" s="383"/>
      <c r="AS1" s="380" t="s">
        <v>1410</v>
      </c>
      <c r="AT1" s="381"/>
      <c r="AU1" s="381"/>
      <c r="AV1" s="381"/>
      <c r="AW1" s="381"/>
      <c r="AX1" s="381"/>
      <c r="AY1" s="381"/>
      <c r="AZ1" s="381"/>
      <c r="BA1" s="381"/>
      <c r="BB1" s="381"/>
      <c r="BC1" s="381"/>
      <c r="BD1" s="382"/>
    </row>
    <row r="2" spans="1:56" ht="15">
      <c r="A2" s="376"/>
      <c r="B2" s="376"/>
      <c r="C2" s="376"/>
      <c r="D2" s="376"/>
      <c r="E2" s="376"/>
      <c r="F2" s="376" t="s">
        <v>1411</v>
      </c>
      <c r="G2" s="376" t="s">
        <v>33</v>
      </c>
      <c r="H2" s="376" t="s">
        <v>246</v>
      </c>
      <c r="I2" s="376">
        <v>1</v>
      </c>
      <c r="J2" s="376"/>
      <c r="K2" s="385" t="str">
        <f t="shared" ref="K2:AD2" si="0">CONCATENATE("aMW_",K$1)</f>
        <v>aMW_2016</v>
      </c>
      <c r="L2" s="386" t="str">
        <f t="shared" si="0"/>
        <v>aMW_2017</v>
      </c>
      <c r="M2" s="386" t="str">
        <f t="shared" si="0"/>
        <v>aMW_2018</v>
      </c>
      <c r="N2" s="386" t="str">
        <f t="shared" si="0"/>
        <v>aMW_2019</v>
      </c>
      <c r="O2" s="386" t="str">
        <f t="shared" si="0"/>
        <v>aMW_2020</v>
      </c>
      <c r="P2" s="386" t="str">
        <f t="shared" si="0"/>
        <v>aMW_2021</v>
      </c>
      <c r="Q2" s="386" t="str">
        <f t="shared" si="0"/>
        <v>aMW_2022</v>
      </c>
      <c r="R2" s="386" t="str">
        <f t="shared" si="0"/>
        <v>aMW_2023</v>
      </c>
      <c r="S2" s="386" t="str">
        <f t="shared" si="0"/>
        <v>aMW_2024</v>
      </c>
      <c r="T2" s="386" t="str">
        <f t="shared" si="0"/>
        <v>aMW_2025</v>
      </c>
      <c r="U2" s="386" t="str">
        <f t="shared" si="0"/>
        <v>aMW_2026</v>
      </c>
      <c r="V2" s="386" t="str">
        <f t="shared" si="0"/>
        <v>aMW_2027</v>
      </c>
      <c r="W2" s="386" t="str">
        <f t="shared" si="0"/>
        <v>aMW_2028</v>
      </c>
      <c r="X2" s="386" t="str">
        <f t="shared" si="0"/>
        <v>aMW_2029</v>
      </c>
      <c r="Y2" s="386" t="str">
        <f t="shared" si="0"/>
        <v>aMW_2030</v>
      </c>
      <c r="Z2" s="386" t="str">
        <f t="shared" si="0"/>
        <v>aMW_2031</v>
      </c>
      <c r="AA2" s="386" t="str">
        <f t="shared" si="0"/>
        <v>aMW_2032</v>
      </c>
      <c r="AB2" s="386" t="str">
        <f t="shared" si="0"/>
        <v>aMW_2033</v>
      </c>
      <c r="AC2" s="386" t="str">
        <f t="shared" si="0"/>
        <v>aMW_2034</v>
      </c>
      <c r="AD2" s="386" t="str">
        <f t="shared" si="0"/>
        <v>aMW_2035</v>
      </c>
      <c r="AE2" s="387" t="s">
        <v>1363</v>
      </c>
      <c r="AF2" s="388" t="s">
        <v>44</v>
      </c>
      <c r="AG2" s="388" t="s">
        <v>45</v>
      </c>
      <c r="AH2" s="388" t="s">
        <v>46</v>
      </c>
      <c r="AI2" s="388" t="s">
        <v>47</v>
      </c>
      <c r="AJ2" s="388" t="s">
        <v>48</v>
      </c>
      <c r="AK2" s="388" t="s">
        <v>49</v>
      </c>
      <c r="AL2" s="388" t="s">
        <v>50</v>
      </c>
      <c r="AM2" s="388" t="s">
        <v>51</v>
      </c>
      <c r="AN2" s="388" t="s">
        <v>52</v>
      </c>
      <c r="AO2" s="388" t="s">
        <v>53</v>
      </c>
      <c r="AP2" s="388" t="s">
        <v>54</v>
      </c>
      <c r="AQ2" s="388" t="s">
        <v>55</v>
      </c>
      <c r="AR2" s="388"/>
      <c r="AS2" s="388" t="s">
        <v>44</v>
      </c>
      <c r="AT2" s="388" t="s">
        <v>45</v>
      </c>
      <c r="AU2" s="388" t="s">
        <v>46</v>
      </c>
      <c r="AV2" s="388" t="s">
        <v>47</v>
      </c>
      <c r="AW2" s="388" t="s">
        <v>48</v>
      </c>
      <c r="AX2" s="388" t="s">
        <v>49</v>
      </c>
      <c r="AY2" s="388" t="s">
        <v>50</v>
      </c>
      <c r="AZ2" s="388" t="s">
        <v>51</v>
      </c>
      <c r="BA2" s="388" t="s">
        <v>52</v>
      </c>
      <c r="BB2" s="388" t="s">
        <v>53</v>
      </c>
      <c r="BC2" s="388" t="s">
        <v>54</v>
      </c>
      <c r="BD2" s="388" t="s">
        <v>55</v>
      </c>
    </row>
    <row r="3" spans="1:56" ht="15">
      <c r="A3" s="389" t="str">
        <f>VLOOKUP(CONCATENATE($C3," - ",$B3),[2]ACHIEV!$B$12:$C$100,2,FALSE)</f>
        <v>Retro12Med</v>
      </c>
      <c r="B3" s="389" t="str">
        <f>'SC-Retro'!$C$7</f>
        <v>Retro</v>
      </c>
      <c r="C3" s="389" t="str">
        <f>'SC-Retro'!$C$8</f>
        <v>ResWx</v>
      </c>
      <c r="D3" s="389" t="s">
        <v>1171</v>
      </c>
      <c r="E3" s="389" t="str">
        <f>'SC-Retro'!$A$9</f>
        <v>HVAC</v>
      </c>
      <c r="F3" s="390">
        <f t="shared" ref="F3:F62" si="1">VLOOKUP($J3,MeasureOutput,14,FALSE)</f>
        <v>0.92069704234190197</v>
      </c>
      <c r="G3" s="391">
        <f>'SC-Retro'!A158</f>
        <v>1989.2959574313022</v>
      </c>
      <c r="H3" s="391">
        <f>'SC-Retro'!B158</f>
        <v>-10.428816981598308</v>
      </c>
      <c r="I3" s="219" t="str">
        <f>'SC-Retro'!C158</f>
        <v>Single Family</v>
      </c>
      <c r="J3" s="394" t="str">
        <f>'SC-Retro'!D158</f>
        <v>ATTIC R0 - R38_Electric FAF</v>
      </c>
      <c r="K3" s="392">
        <f>'SC-Retro'!E158</f>
        <v>0.14673044360596785</v>
      </c>
      <c r="L3" s="392">
        <f>'SC-Retro'!F158</f>
        <v>0.14639725085822264</v>
      </c>
      <c r="M3" s="392">
        <f>'SC-Retro'!G158</f>
        <v>0.14606481471833888</v>
      </c>
      <c r="N3" s="392">
        <f>'SC-Retro'!H158</f>
        <v>0.14573313346822561</v>
      </c>
      <c r="O3" s="392">
        <f>'SC-Retro'!I158</f>
        <v>0.14540220539369331</v>
      </c>
      <c r="P3" s="392">
        <f>'SC-Retro'!J158</f>
        <v>0.13056482590600038</v>
      </c>
      <c r="Q3" s="392">
        <f>'SC-Retro'!K158</f>
        <v>0.10421467339252824</v>
      </c>
      <c r="R3" s="392">
        <f>'SC-Retro'!L158</f>
        <v>8.3182419728652243E-2</v>
      </c>
      <c r="S3" s="392">
        <f>'SC-Retro'!M158</f>
        <v>6.6394824516235171E-2</v>
      </c>
      <c r="T3" s="392">
        <f>'SC-Retro'!N158</f>
        <v>5.2995245112149945E-2</v>
      </c>
      <c r="U3" s="392">
        <f>'SC-Retro'!O158</f>
        <v>4.2299923600371984E-2</v>
      </c>
      <c r="V3" s="392">
        <f>'SC-Retro'!P158</f>
        <v>3.3763095779834155E-2</v>
      </c>
      <c r="W3" s="392">
        <f>'SC-Retro'!Q158</f>
        <v>2.6949141738597145E-2</v>
      </c>
      <c r="X3" s="392">
        <f>'SC-Retro'!R158</f>
        <v>2.1510356905150064E-2</v>
      </c>
      <c r="Y3" s="392">
        <f>'SC-Retro'!S158</f>
        <v>1.716920927111585E-2</v>
      </c>
      <c r="Z3" s="392">
        <f>'SC-Retro'!T158</f>
        <v>1.3704177401389048E-2</v>
      </c>
      <c r="AA3" s="392">
        <f>'SC-Retro'!U158</f>
        <v>9.326074135408592E-5</v>
      </c>
      <c r="AB3" s="392">
        <f>'SC-Retro'!V158</f>
        <v>3.3231773788019906E-5</v>
      </c>
      <c r="AC3" s="392">
        <f>'SC-Retro'!W158</f>
        <v>1.1303288078750133E-5</v>
      </c>
      <c r="AD3" s="392">
        <f>'SC-Retro'!X158</f>
        <v>3.6774850381361873E-6</v>
      </c>
      <c r="AE3" s="392">
        <f>'SC-Retro'!Y158</f>
        <v>1.2848277238439725</v>
      </c>
      <c r="AF3" s="393">
        <f t="shared" ref="AF3:AF62" si="2">VLOOKUP($J3,MeasureOutput,15,FALSE)</f>
        <v>196.13210495703711</v>
      </c>
      <c r="AG3" s="393">
        <f t="shared" ref="AG3:AG62" si="3">VLOOKUP($J3,MeasureOutput,16,FALSE)</f>
        <v>143.09794574569767</v>
      </c>
      <c r="AH3" s="393">
        <f t="shared" ref="AH3:AH62" si="4">VLOOKUP($J3,MeasureOutput,17,FALSE)</f>
        <v>129.66878003429974</v>
      </c>
      <c r="AI3" s="393">
        <f t="shared" ref="AI3:AI62" si="5">VLOOKUP($J3,MeasureOutput,18,FALSE)</f>
        <v>105.67339098893628</v>
      </c>
      <c r="AJ3" s="393">
        <f t="shared" ref="AJ3:AJ62" si="6">VLOOKUP($J3,MeasureOutput,19,FALSE)</f>
        <v>51.545293544306183</v>
      </c>
      <c r="AK3" s="393">
        <f t="shared" ref="AK3:AK62" si="7">VLOOKUP($J3,MeasureOutput,20,FALSE)</f>
        <v>21.616528815031014</v>
      </c>
      <c r="AL3" s="393">
        <f t="shared" ref="AL3:AL62" si="8">VLOOKUP($J3,MeasureOutput,21,FALSE)</f>
        <v>68.972350255587386</v>
      </c>
      <c r="AM3" s="393">
        <f t="shared" ref="AM3:AM62" si="9">VLOOKUP($J3,MeasureOutput,22,FALSE)</f>
        <v>68.610731835967727</v>
      </c>
      <c r="AN3" s="393">
        <f t="shared" ref="AN3:AN62" si="10">VLOOKUP($J3,MeasureOutput,23,FALSE)</f>
        <v>50.573694352717872</v>
      </c>
      <c r="AO3" s="393">
        <f t="shared" ref="AO3:AO62" si="11">VLOOKUP($J3,MeasureOutput,24,FALSE)</f>
        <v>84.785209782594578</v>
      </c>
      <c r="AP3" s="393">
        <f t="shared" ref="AP3:AP62" si="12">VLOOKUP($J3,MeasureOutput,25,FALSE)</f>
        <v>126.24355288931609</v>
      </c>
      <c r="AQ3" s="393">
        <f t="shared" ref="AQ3:AQ62" si="13">VLOOKUP($J3,MeasureOutput,26,FALSE)</f>
        <v>228.57301821866594</v>
      </c>
      <c r="AR3" s="393"/>
      <c r="AS3" s="393">
        <f t="shared" ref="AS3:AS62" si="14">VLOOKUP($J3,MeasureOutput,28,FALSE)</f>
        <v>124.67013708828867</v>
      </c>
      <c r="AT3" s="393">
        <f t="shared" ref="AT3:AT62" si="15">VLOOKUP($J3,MeasureOutput,29,FALSE)</f>
        <v>93.400466571445349</v>
      </c>
      <c r="AU3" s="393">
        <f t="shared" ref="AU3:AU62" si="16">VLOOKUP($J3,MeasureOutput,30,FALSE)</f>
        <v>72.348942406654032</v>
      </c>
      <c r="AV3" s="393">
        <f t="shared" ref="AV3:AV62" si="17">VLOOKUP($J3,MeasureOutput,31,FALSE)</f>
        <v>62.499002144256728</v>
      </c>
      <c r="AW3" s="393">
        <f t="shared" ref="AW3:AW62" si="18">VLOOKUP($J3,MeasureOutput,32,FALSE)</f>
        <v>26.583906409018482</v>
      </c>
      <c r="AX3" s="393">
        <f t="shared" ref="AX3:AX62" si="19">VLOOKUP($J3,MeasureOutput,33,FALSE)</f>
        <v>7.8052262088575493</v>
      </c>
      <c r="AY3" s="393">
        <f t="shared" ref="AY3:AY62" si="20">VLOOKUP($J3,MeasureOutput,34,FALSE)</f>
        <v>19.65746818121848</v>
      </c>
      <c r="AZ3" s="393">
        <f t="shared" ref="AZ3:AZ62" si="21">VLOOKUP($J3,MeasureOutput,35,FALSE)</f>
        <v>12.813201234150894</v>
      </c>
      <c r="BA3" s="393">
        <f t="shared" ref="BA3:BA62" si="22">VLOOKUP($J3,MeasureOutput,36,FALSE)</f>
        <v>21.959426889943956</v>
      </c>
      <c r="BB3" s="393">
        <f t="shared" ref="BB3:BB62" si="23">VLOOKUP($J3,MeasureOutput,37,FALSE)</f>
        <v>42.337618765560407</v>
      </c>
      <c r="BC3" s="393">
        <f t="shared" ref="BC3:BC62" si="24">VLOOKUP($J3,MeasureOutput,38,FALSE)</f>
        <v>82.598255251760492</v>
      </c>
      <c r="BD3" s="393">
        <f t="shared" ref="BD3:BD62" si="25">VLOOKUP($J3,MeasureOutput,39,FALSE)</f>
        <v>147.12970485998986</v>
      </c>
    </row>
    <row r="4" spans="1:56" ht="15">
      <c r="A4" s="389" t="str">
        <f>VLOOKUP(CONCATENATE($C4," - ",$B4),[2]ACHIEV!$B$12:$C$100,2,FALSE)</f>
        <v>Retro12Med</v>
      </c>
      <c r="B4" s="389" t="str">
        <f>'SC-Retro'!$C$7</f>
        <v>Retro</v>
      </c>
      <c r="C4" s="389" t="str">
        <f>'SC-Retro'!$C$8</f>
        <v>ResWx</v>
      </c>
      <c r="D4" s="389" t="s">
        <v>1171</v>
      </c>
      <c r="E4" s="389" t="str">
        <f>'SC-Retro'!$A$9</f>
        <v>HVAC</v>
      </c>
      <c r="F4" s="390">
        <f t="shared" si="1"/>
        <v>0.93411288852968544</v>
      </c>
      <c r="G4" s="391">
        <f>'SC-Retro'!A159</f>
        <v>2017.4633697725581</v>
      </c>
      <c r="H4" s="391">
        <f>'SC-Retro'!B159</f>
        <v>-8.1179366910875217</v>
      </c>
      <c r="I4" s="219" t="str">
        <f>'SC-Retro'!C159</f>
        <v>Single Family</v>
      </c>
      <c r="J4" s="394" t="str">
        <f>'SC-Retro'!D159</f>
        <v>ATTIC R0 - R49_Electric FAF</v>
      </c>
      <c r="K4" s="392">
        <f>'SC-Retro'!E159</f>
        <v>7.9288178459009581E-2</v>
      </c>
      <c r="L4" s="392">
        <f>'SC-Retro'!F159</f>
        <v>7.9108132345911089E-2</v>
      </c>
      <c r="M4" s="392">
        <f>'SC-Retro'!G159</f>
        <v>7.8928495078159716E-2</v>
      </c>
      <c r="N4" s="392">
        <f>'SC-Retro'!H159</f>
        <v>7.8749265727357007E-2</v>
      </c>
      <c r="O4" s="392">
        <f>'SC-Retro'!I159</f>
        <v>7.8570443367212889E-2</v>
      </c>
      <c r="P4" s="392">
        <f>'SC-Retro'!J159</f>
        <v>7.0552824366186456E-2</v>
      </c>
      <c r="Q4" s="392">
        <f>'SC-Retro'!K159</f>
        <v>5.631409146546125E-2</v>
      </c>
      <c r="R4" s="392">
        <f>'SC-Retro'!L159</f>
        <v>4.4948971583626908E-2</v>
      </c>
      <c r="S4" s="392">
        <f>'SC-Retro'!M159</f>
        <v>3.5877521839535728E-2</v>
      </c>
      <c r="T4" s="392">
        <f>'SC-Retro'!N159</f>
        <v>2.8636841467030098E-2</v>
      </c>
      <c r="U4" s="392">
        <f>'SC-Retro'!O159</f>
        <v>2.2857450770307323E-2</v>
      </c>
      <c r="V4" s="392">
        <f>'SC-Retro'!P159</f>
        <v>1.8244437198793036E-2</v>
      </c>
      <c r="W4" s="392">
        <f>'SC-Retro'!Q159</f>
        <v>1.4562406457552126E-2</v>
      </c>
      <c r="X4" s="392">
        <f>'SC-Retro'!R159</f>
        <v>1.1623470733807286E-2</v>
      </c>
      <c r="Y4" s="392">
        <f>'SC-Retro'!S159</f>
        <v>9.2776610990423503E-3</v>
      </c>
      <c r="Z4" s="392">
        <f>'SC-Retro'!T159</f>
        <v>7.4052748477553675E-3</v>
      </c>
      <c r="AA4" s="392">
        <f>'SC-Retro'!U159</f>
        <v>5.0394956370196306E-5</v>
      </c>
      <c r="AB4" s="392">
        <f>'SC-Retro'!V159</f>
        <v>1.7957328730564767E-5</v>
      </c>
      <c r="AC4" s="392">
        <f>'SC-Retro'!W159</f>
        <v>6.1079153060304998E-6</v>
      </c>
      <c r="AD4" s="392">
        <f>'SC-Retro'!X159</f>
        <v>1.9871887715891862E-6</v>
      </c>
      <c r="AE4" s="392">
        <f>'SC-Retro'!Y159</f>
        <v>0.6942775292821417</v>
      </c>
      <c r="AF4" s="393">
        <f t="shared" si="2"/>
        <v>198.99002458920717</v>
      </c>
      <c r="AG4" s="393">
        <f t="shared" si="3"/>
        <v>145.18308335516463</v>
      </c>
      <c r="AH4" s="393">
        <f t="shared" si="4"/>
        <v>131.55823587948501</v>
      </c>
      <c r="AI4" s="393">
        <f t="shared" si="5"/>
        <v>107.20699828739455</v>
      </c>
      <c r="AJ4" s="393">
        <f t="shared" si="6"/>
        <v>52.265126360535831</v>
      </c>
      <c r="AK4" s="393">
        <f t="shared" si="7"/>
        <v>21.89690772941935</v>
      </c>
      <c r="AL4" s="393">
        <f t="shared" si="8"/>
        <v>69.740591915961758</v>
      </c>
      <c r="AM4" s="393">
        <f t="shared" si="9"/>
        <v>69.37333655498206</v>
      </c>
      <c r="AN4" s="393">
        <f t="shared" si="10"/>
        <v>51.21263693822808</v>
      </c>
      <c r="AO4" s="393">
        <f t="shared" si="11"/>
        <v>86.002819932688666</v>
      </c>
      <c r="AP4" s="393">
        <f t="shared" si="12"/>
        <v>128.08309837482599</v>
      </c>
      <c r="AQ4" s="393">
        <f t="shared" si="13"/>
        <v>231.90364742031846</v>
      </c>
      <c r="AR4" s="393"/>
      <c r="AS4" s="393">
        <f t="shared" si="14"/>
        <v>126.48675570056531</v>
      </c>
      <c r="AT4" s="393">
        <f t="shared" si="15"/>
        <v>94.761442262431004</v>
      </c>
      <c r="AU4" s="393">
        <f t="shared" si="16"/>
        <v>73.403167888586268</v>
      </c>
      <c r="AV4" s="393">
        <f t="shared" si="17"/>
        <v>63.408077818310232</v>
      </c>
      <c r="AW4" s="393">
        <f t="shared" si="18"/>
        <v>26.963355257388681</v>
      </c>
      <c r="AX4" s="393">
        <f t="shared" si="19"/>
        <v>7.9126724909846038</v>
      </c>
      <c r="AY4" s="393">
        <f t="shared" si="20"/>
        <v>19.879287161607586</v>
      </c>
      <c r="AZ4" s="393">
        <f t="shared" si="21"/>
        <v>12.957886459144456</v>
      </c>
      <c r="BA4" s="393">
        <f t="shared" si="22"/>
        <v>22.24852415788726</v>
      </c>
      <c r="BB4" s="393">
        <f t="shared" si="23"/>
        <v>42.950274802100409</v>
      </c>
      <c r="BC4" s="393">
        <f t="shared" si="24"/>
        <v>83.80182758541136</v>
      </c>
      <c r="BD4" s="393">
        <f t="shared" si="25"/>
        <v>149.27359084992943</v>
      </c>
    </row>
    <row r="5" spans="1:56" ht="15">
      <c r="A5" s="389" t="str">
        <f>VLOOKUP(CONCATENATE($C5," - ",$B5),[2]ACHIEV!$B$12:$C$100,2,FALSE)</f>
        <v>Retro12Med</v>
      </c>
      <c r="B5" s="389" t="str">
        <f>'SC-Retro'!$C$7</f>
        <v>Retro</v>
      </c>
      <c r="C5" s="389" t="str">
        <f>'SC-Retro'!$C$8</f>
        <v>ResWx</v>
      </c>
      <c r="D5" s="389" t="s">
        <v>1171</v>
      </c>
      <c r="E5" s="389" t="str">
        <f>'SC-Retro'!$A$9</f>
        <v>HVAC</v>
      </c>
      <c r="F5" s="390">
        <f t="shared" si="1"/>
        <v>0.68928093337822249</v>
      </c>
      <c r="G5" s="391">
        <f>'SC-Retro'!A160</f>
        <v>1472.3208251380622</v>
      </c>
      <c r="H5" s="391">
        <f>'SC-Retro'!B160</f>
        <v>-4.2774845005057509</v>
      </c>
      <c r="I5" s="219" t="str">
        <f>'SC-Retro'!C160</f>
        <v>Single Family</v>
      </c>
      <c r="J5" s="394" t="str">
        <f>'SC-Retro'!D160</f>
        <v>ATTIC R0 - R38_Electric Zonal</v>
      </c>
      <c r="K5" s="392">
        <f>'SC-Retro'!E160</f>
        <v>0.38724972659650897</v>
      </c>
      <c r="L5" s="392">
        <f>'SC-Retro'!F160</f>
        <v>0.38637036715822642</v>
      </c>
      <c r="M5" s="392">
        <f>'SC-Retro'!G160</f>
        <v>0.38549300455291413</v>
      </c>
      <c r="N5" s="392">
        <f>'SC-Retro'!H160</f>
        <v>0.38461763424620066</v>
      </c>
      <c r="O5" s="392">
        <f>'SC-Retro'!I160</f>
        <v>0.383744251714012</v>
      </c>
      <c r="P5" s="392">
        <f>'SC-Retro'!J160</f>
        <v>0.34458556719829203</v>
      </c>
      <c r="Q5" s="392">
        <f>'SC-Retro'!K160</f>
        <v>0.27504247098834245</v>
      </c>
      <c r="R5" s="392">
        <f>'SC-Retro'!L160</f>
        <v>0.21953432775041704</v>
      </c>
      <c r="S5" s="392">
        <f>'SC-Retro'!M160</f>
        <v>0.1752286506430866</v>
      </c>
      <c r="T5" s="392">
        <f>'SC-Retro'!N160</f>
        <v>0.1398645957597334</v>
      </c>
      <c r="U5" s="392">
        <f>'SC-Retro'!O160</f>
        <v>0.11163759508071869</v>
      </c>
      <c r="V5" s="392">
        <f>'SC-Retro'!P160</f>
        <v>8.9107272413785202E-2</v>
      </c>
      <c r="W5" s="392">
        <f>'SC-Retro'!Q160</f>
        <v>7.1123943428586855E-2</v>
      </c>
      <c r="X5" s="392">
        <f>'SC-Retro'!R160</f>
        <v>5.6769949206191155E-2</v>
      </c>
      <c r="Y5" s="392">
        <f>'SC-Retro'!S160</f>
        <v>4.5312829653623703E-2</v>
      </c>
      <c r="Z5" s="392">
        <f>'SC-Retro'!T160</f>
        <v>3.6167947301851681E-2</v>
      </c>
      <c r="AA5" s="392">
        <f>'SC-Retro'!U160</f>
        <v>2.461329476283859E-4</v>
      </c>
      <c r="AB5" s="392">
        <f>'SC-Retro'!V160</f>
        <v>8.7705011976153618E-5</v>
      </c>
      <c r="AC5" s="392">
        <f>'SC-Retro'!W160</f>
        <v>2.9831540821154708E-5</v>
      </c>
      <c r="AD5" s="392">
        <f>'SC-Retro'!X160</f>
        <v>9.7055869292217492E-6</v>
      </c>
      <c r="AE5" s="392">
        <f>'SC-Retro'!Y160</f>
        <v>3.3909062942542407</v>
      </c>
      <c r="AF5" s="393">
        <f t="shared" si="2"/>
        <v>146.83453313410237</v>
      </c>
      <c r="AG5" s="393">
        <f t="shared" si="3"/>
        <v>107.13044690272029</v>
      </c>
      <c r="AH5" s="393">
        <f t="shared" si="4"/>
        <v>97.076686055940272</v>
      </c>
      <c r="AI5" s="393">
        <f t="shared" si="5"/>
        <v>78.984080595443288</v>
      </c>
      <c r="AJ5" s="393">
        <f t="shared" si="6"/>
        <v>37.942250961595022</v>
      </c>
      <c r="AK5" s="393">
        <f t="shared" si="7"/>
        <v>15.466679119039974</v>
      </c>
      <c r="AL5" s="393">
        <f t="shared" si="8"/>
        <v>46.733104858381694</v>
      </c>
      <c r="AM5" s="393">
        <f t="shared" si="9"/>
        <v>46.454765660729059</v>
      </c>
      <c r="AN5" s="393">
        <f t="shared" si="10"/>
        <v>35.833006378062187</v>
      </c>
      <c r="AO5" s="393">
        <f t="shared" si="11"/>
        <v>63.10535321269866</v>
      </c>
      <c r="AP5" s="393">
        <f t="shared" si="12"/>
        <v>94.512385688990648</v>
      </c>
      <c r="AQ5" s="393">
        <f t="shared" si="13"/>
        <v>171.12146134638365</v>
      </c>
      <c r="AR5" s="393"/>
      <c r="AS5" s="393">
        <f t="shared" si="14"/>
        <v>93.334446082314386</v>
      </c>
      <c r="AT5" s="393">
        <f t="shared" si="15"/>
        <v>69.924370140878594</v>
      </c>
      <c r="AU5" s="393">
        <f t="shared" si="16"/>
        <v>54.164121592200068</v>
      </c>
      <c r="AV5" s="393">
        <f t="shared" si="17"/>
        <v>46.756357076523436</v>
      </c>
      <c r="AW5" s="393">
        <f t="shared" si="18"/>
        <v>19.738155412714235</v>
      </c>
      <c r="AX5" s="393">
        <f t="shared" si="19"/>
        <v>5.7132089497797454</v>
      </c>
      <c r="AY5" s="393">
        <f t="shared" si="20"/>
        <v>13.378522841114712</v>
      </c>
      <c r="AZ5" s="393">
        <f t="shared" si="21"/>
        <v>8.7224738827357378</v>
      </c>
      <c r="BA5" s="393">
        <f t="shared" si="22"/>
        <v>15.800459722444225</v>
      </c>
      <c r="BB5" s="393">
        <f t="shared" si="23"/>
        <v>31.607845558011778</v>
      </c>
      <c r="BC5" s="393">
        <f t="shared" si="24"/>
        <v>61.837281816969117</v>
      </c>
      <c r="BD5" s="393">
        <f t="shared" si="25"/>
        <v>110.1488281482891</v>
      </c>
    </row>
    <row r="6" spans="1:56" ht="15">
      <c r="A6" s="389" t="str">
        <f>VLOOKUP(CONCATENATE($C6," - ",$B6),[2]ACHIEV!$B$12:$C$100,2,FALSE)</f>
        <v>Retro12Med</v>
      </c>
      <c r="B6" s="389" t="str">
        <f>'SC-Retro'!$C$7</f>
        <v>Retro</v>
      </c>
      <c r="C6" s="389" t="str">
        <f>'SC-Retro'!$C$8</f>
        <v>ResWx</v>
      </c>
      <c r="D6" s="389" t="s">
        <v>1171</v>
      </c>
      <c r="E6" s="389" t="str">
        <f>'SC-Retro'!$A$9</f>
        <v>HVAC</v>
      </c>
      <c r="F6" s="390">
        <f t="shared" si="1"/>
        <v>0.66170245511314385</v>
      </c>
      <c r="G6" s="391">
        <f>'SC-Retro'!A161</f>
        <v>1410.4445457359341</v>
      </c>
      <c r="H6" s="391">
        <f>'SC-Retro'!B161</f>
        <v>-2.2723506639345135</v>
      </c>
      <c r="I6" s="219" t="str">
        <f>'SC-Retro'!C161</f>
        <v>Single Family</v>
      </c>
      <c r="J6" s="394" t="str">
        <f>'SC-Retro'!D161</f>
        <v>ATTIC R0 - R38_DHP</v>
      </c>
      <c r="K6" s="392">
        <f>'SC-Retro'!E161</f>
        <v>3.2375370461901878E-2</v>
      </c>
      <c r="L6" s="392">
        <f>'SC-Retro'!F161</f>
        <v>3.2301853076018149E-2</v>
      </c>
      <c r="M6" s="392">
        <f>'SC-Retro'!G161</f>
        <v>3.2228502632039649E-2</v>
      </c>
      <c r="N6" s="392">
        <f>'SC-Retro'!H161</f>
        <v>3.21553187508778E-2</v>
      </c>
      <c r="O6" s="392">
        <f>'SC-Retro'!I161</f>
        <v>3.2082301054304901E-2</v>
      </c>
      <c r="P6" s="392">
        <f>'SC-Retro'!J161</f>
        <v>2.8808504248456872E-2</v>
      </c>
      <c r="Q6" s="392">
        <f>'SC-Retro'!K161</f>
        <v>2.2994469148541325E-2</v>
      </c>
      <c r="R6" s="392">
        <f>'SC-Retro'!L161</f>
        <v>1.83538029903632E-2</v>
      </c>
      <c r="S6" s="392">
        <f>'SC-Retro'!M161</f>
        <v>1.4649700414172616E-2</v>
      </c>
      <c r="T6" s="392">
        <f>'SC-Retro'!N161</f>
        <v>1.1693147318716119E-2</v>
      </c>
      <c r="U6" s="392">
        <f>'SC-Retro'!O161</f>
        <v>9.3332757907404716E-3</v>
      </c>
      <c r="V6" s="392">
        <f>'SC-Retro'!P161</f>
        <v>7.4496655700722501E-3</v>
      </c>
      <c r="W6" s="392">
        <f>'SC-Retro'!Q161</f>
        <v>5.9461992070328545E-3</v>
      </c>
      <c r="X6" s="392">
        <f>'SC-Retro'!R161</f>
        <v>4.7461573512453973E-3</v>
      </c>
      <c r="Y6" s="392">
        <f>'SC-Retro'!S161</f>
        <v>3.7883038927014326E-3</v>
      </c>
      <c r="Z6" s="392">
        <f>'SC-Retro'!T161</f>
        <v>3.0237611864450797E-3</v>
      </c>
      <c r="AA6" s="392">
        <f>'SC-Retro'!U161</f>
        <v>2.0577536444981765E-5</v>
      </c>
      <c r="AB6" s="392">
        <f>'SC-Retro'!V161</f>
        <v>7.3324319142827572E-6</v>
      </c>
      <c r="AC6" s="392">
        <f>'SC-Retro'!W161</f>
        <v>2.494016442626299E-6</v>
      </c>
      <c r="AD6" s="392">
        <f>'SC-Retro'!X161</f>
        <v>8.1141948154594113E-7</v>
      </c>
      <c r="AE6" s="392">
        <f>'SC-Retro'!Y161</f>
        <v>0.2834910909891023</v>
      </c>
      <c r="AF6" s="393">
        <f t="shared" si="2"/>
        <v>140.95960930477924</v>
      </c>
      <c r="AG6" s="393">
        <f t="shared" si="3"/>
        <v>102.84410361602207</v>
      </c>
      <c r="AH6" s="393">
        <f t="shared" si="4"/>
        <v>93.192598818363138</v>
      </c>
      <c r="AI6" s="393">
        <f t="shared" si="5"/>
        <v>75.801423259528022</v>
      </c>
      <c r="AJ6" s="393">
        <f t="shared" si="6"/>
        <v>36.310957220636148</v>
      </c>
      <c r="AK6" s="393">
        <f t="shared" si="7"/>
        <v>14.722510975932712</v>
      </c>
      <c r="AL6" s="393">
        <f t="shared" si="8"/>
        <v>44.005650631843835</v>
      </c>
      <c r="AM6" s="393">
        <f t="shared" si="9"/>
        <v>43.737116260504926</v>
      </c>
      <c r="AN6" s="393">
        <f t="shared" si="10"/>
        <v>34.044394854909264</v>
      </c>
      <c r="AO6" s="393">
        <f t="shared" si="11"/>
        <v>60.515897816455904</v>
      </c>
      <c r="AP6" s="393">
        <f t="shared" si="12"/>
        <v>90.73089740419239</v>
      </c>
      <c r="AQ6" s="393">
        <f t="shared" si="13"/>
        <v>164.27480525319939</v>
      </c>
      <c r="AR6" s="393"/>
      <c r="AS6" s="393">
        <f t="shared" si="14"/>
        <v>89.600087756096414</v>
      </c>
      <c r="AT6" s="393">
        <f t="shared" si="15"/>
        <v>67.12666077631188</v>
      </c>
      <c r="AU6" s="393">
        <f t="shared" si="16"/>
        <v>51.99698773176307</v>
      </c>
      <c r="AV6" s="393">
        <f t="shared" si="17"/>
        <v>44.879735278483174</v>
      </c>
      <c r="AW6" s="393">
        <f t="shared" si="18"/>
        <v>18.919749898159189</v>
      </c>
      <c r="AX6" s="393">
        <f t="shared" si="19"/>
        <v>5.4618494004739375</v>
      </c>
      <c r="AY6" s="393">
        <f t="shared" si="20"/>
        <v>12.609191556592352</v>
      </c>
      <c r="AZ6" s="393">
        <f t="shared" si="21"/>
        <v>8.2212804521125573</v>
      </c>
      <c r="BA6" s="393">
        <f t="shared" si="22"/>
        <v>15.056417605391397</v>
      </c>
      <c r="BB6" s="393">
        <f t="shared" si="23"/>
        <v>30.327761020040125</v>
      </c>
      <c r="BC6" s="393">
        <f t="shared" si="24"/>
        <v>59.363140940617548</v>
      </c>
      <c r="BD6" s="393">
        <f t="shared" si="25"/>
        <v>105.74171790352537</v>
      </c>
    </row>
    <row r="7" spans="1:56" ht="15">
      <c r="A7" s="389" t="str">
        <f>VLOOKUP(CONCATENATE($C7," - ",$B7),[2]ACHIEV!$B$12:$C$100,2,FALSE)</f>
        <v>Retro12Med</v>
      </c>
      <c r="B7" s="389" t="str">
        <f>'SC-Retro'!$C$7</f>
        <v>Retro</v>
      </c>
      <c r="C7" s="389" t="str">
        <f>'SC-Retro'!$C$8</f>
        <v>ResWx</v>
      </c>
      <c r="D7" s="389" t="s">
        <v>1171</v>
      </c>
      <c r="E7" s="389" t="str">
        <f>'SC-Retro'!$A$9</f>
        <v>HVAC</v>
      </c>
      <c r="F7" s="390">
        <f t="shared" si="1"/>
        <v>0.69916353553121158</v>
      </c>
      <c r="G7" s="391">
        <f>'SC-Retro'!A162</f>
        <v>1493.0432070782967</v>
      </c>
      <c r="H7" s="391">
        <f>'SC-Retro'!B162</f>
        <v>-1.1654223661305556</v>
      </c>
      <c r="I7" s="384" t="str">
        <f>'SC-Retro'!C162</f>
        <v>Single Family</v>
      </c>
      <c r="J7" s="395" t="str">
        <f>'SC-Retro'!D162</f>
        <v>ATTIC R0 - R49_Electric Zonal</v>
      </c>
      <c r="K7" s="392">
        <f>'SC-Retro'!E162</f>
        <v>0.20923917199707029</v>
      </c>
      <c r="L7" s="392">
        <f>'SC-Retro'!F162</f>
        <v>0.20876403559769519</v>
      </c>
      <c r="M7" s="392">
        <f>'SC-Retro'!G162</f>
        <v>0.20828997812917172</v>
      </c>
      <c r="N7" s="392">
        <f>'SC-Retro'!H162</f>
        <v>0.20781699714148372</v>
      </c>
      <c r="O7" s="392">
        <f>'SC-Retro'!I162</f>
        <v>0.20734509019017872</v>
      </c>
      <c r="P7" s="392">
        <f>'SC-Retro'!J162</f>
        <v>0.18618682935271938</v>
      </c>
      <c r="Q7" s="392">
        <f>'SC-Retro'!K162</f>
        <v>0.14861123182558708</v>
      </c>
      <c r="R7" s="392">
        <f>'SC-Retro'!L162</f>
        <v>0.11861901457529608</v>
      </c>
      <c r="S7" s="392">
        <f>'SC-Retro'!M162</f>
        <v>9.4679725387968428E-2</v>
      </c>
      <c r="T7" s="392">
        <f>'SC-Retro'!N162</f>
        <v>7.5571782750318353E-2</v>
      </c>
      <c r="U7" s="392">
        <f>'SC-Retro'!O162</f>
        <v>6.032014060728421E-2</v>
      </c>
      <c r="V7" s="392">
        <f>'SC-Retro'!P162</f>
        <v>4.8146533407896971E-2</v>
      </c>
      <c r="W7" s="392">
        <f>'SC-Retro'!Q162</f>
        <v>3.8429762528070274E-2</v>
      </c>
      <c r="X7" s="392">
        <f>'SC-Retro'!R162</f>
        <v>3.0673997553511145E-2</v>
      </c>
      <c r="Y7" s="392">
        <f>'SC-Retro'!S162</f>
        <v>2.4483474890732146E-2</v>
      </c>
      <c r="Z7" s="392">
        <f>'SC-Retro'!T162</f>
        <v>1.9542302618997746E-2</v>
      </c>
      <c r="AA7" s="392">
        <f>'SC-Retro'!U162</f>
        <v>1.3299080832308068E-4</v>
      </c>
      <c r="AB7" s="392">
        <f>'SC-Retro'!V162</f>
        <v>4.7388862600810802E-5</v>
      </c>
      <c r="AC7" s="392">
        <f>'SC-Retro'!W162</f>
        <v>1.6118608928855165E-5</v>
      </c>
      <c r="AD7" s="392">
        <f>'SC-Retro'!X162</f>
        <v>5.2441327477860481E-6</v>
      </c>
      <c r="AE7" s="392">
        <f>'SC-Retro'!Y162</f>
        <v>1.8321779890336207</v>
      </c>
      <c r="AF7" s="393">
        <f t="shared" si="2"/>
        <v>148.93978108601107</v>
      </c>
      <c r="AG7" s="393">
        <f t="shared" si="3"/>
        <v>108.66643540021519</v>
      </c>
      <c r="AH7" s="393">
        <f t="shared" si="4"/>
        <v>98.468528220962185</v>
      </c>
      <c r="AI7" s="393">
        <f t="shared" si="5"/>
        <v>80.113589165126228</v>
      </c>
      <c r="AJ7" s="393">
        <f t="shared" si="6"/>
        <v>38.471485319348353</v>
      </c>
      <c r="AK7" s="393">
        <f t="shared" si="7"/>
        <v>15.672086279477517</v>
      </c>
      <c r="AL7" s="393">
        <f t="shared" si="8"/>
        <v>47.291286329050756</v>
      </c>
      <c r="AM7" s="393">
        <f t="shared" si="9"/>
        <v>47.00878274685715</v>
      </c>
      <c r="AN7" s="393">
        <f t="shared" si="10"/>
        <v>36.300474526167704</v>
      </c>
      <c r="AO7" s="393">
        <f t="shared" si="11"/>
        <v>64.001707000617458</v>
      </c>
      <c r="AP7" s="393">
        <f t="shared" si="12"/>
        <v>95.867462060705151</v>
      </c>
      <c r="AQ7" s="393">
        <f t="shared" si="13"/>
        <v>173.5749244271569</v>
      </c>
      <c r="AR7" s="393"/>
      <c r="AS7" s="393">
        <f t="shared" si="14"/>
        <v>94.67263368207928</v>
      </c>
      <c r="AT7" s="393">
        <f t="shared" si="15"/>
        <v>70.926914527989126</v>
      </c>
      <c r="AU7" s="393">
        <f t="shared" si="16"/>
        <v>54.940702574990894</v>
      </c>
      <c r="AV7" s="393">
        <f t="shared" si="17"/>
        <v>47.425962423683302</v>
      </c>
      <c r="AW7" s="393">
        <f t="shared" si="18"/>
        <v>20.017412752388438</v>
      </c>
      <c r="AX7" s="393">
        <f t="shared" si="19"/>
        <v>5.7921524752241158</v>
      </c>
      <c r="AY7" s="393">
        <f t="shared" si="20"/>
        <v>13.539812358913977</v>
      </c>
      <c r="AZ7" s="393">
        <f t="shared" si="21"/>
        <v>8.8276818794656169</v>
      </c>
      <c r="BA7" s="393">
        <f t="shared" si="22"/>
        <v>16.012410697294026</v>
      </c>
      <c r="BB7" s="393">
        <f t="shared" si="23"/>
        <v>32.059011152841812</v>
      </c>
      <c r="BC7" s="393">
        <f t="shared" si="24"/>
        <v>62.723877143818285</v>
      </c>
      <c r="BD7" s="393">
        <f t="shared" si="25"/>
        <v>111.72809284791221</v>
      </c>
    </row>
    <row r="8" spans="1:56" ht="15">
      <c r="A8" s="389" t="str">
        <f>VLOOKUP(CONCATENATE($C8," - ",$B8),[2]ACHIEV!$B$12:$C$100,2,FALSE)</f>
        <v>Retro12Med</v>
      </c>
      <c r="B8" s="389" t="str">
        <f>'SC-Retro'!$C$7</f>
        <v>Retro</v>
      </c>
      <c r="C8" s="389" t="str">
        <f>'SC-Retro'!$C$8</f>
        <v>ResWx</v>
      </c>
      <c r="D8" s="389" t="s">
        <v>1171</v>
      </c>
      <c r="E8" s="389" t="str">
        <f>'SC-Retro'!$A$9</f>
        <v>HVAC</v>
      </c>
      <c r="F8" s="390">
        <f t="shared" si="1"/>
        <v>0.67112157068610512</v>
      </c>
      <c r="G8" s="391">
        <f>'SC-Retro'!A163</f>
        <v>1430.1806332760389</v>
      </c>
      <c r="H8" s="391">
        <f>'SC-Retro'!B163</f>
        <v>1.0991025649408628</v>
      </c>
      <c r="I8" s="384" t="str">
        <f>'SC-Retro'!C163</f>
        <v>Single Family</v>
      </c>
      <c r="J8" s="384" t="str">
        <f>'SC-Retro'!D163</f>
        <v>ATTIC R0 - R49_DHP</v>
      </c>
      <c r="K8" s="392">
        <f>'SC-Retro'!E163</f>
        <v>1.749168209763597E-2</v>
      </c>
      <c r="L8" s="392">
        <f>'SC-Retro'!F163</f>
        <v>1.7451962312991634E-2</v>
      </c>
      <c r="M8" s="392">
        <f>'SC-Retro'!G163</f>
        <v>1.7412332723291579E-2</v>
      </c>
      <c r="N8" s="392">
        <f>'SC-Retro'!H163</f>
        <v>1.7372793123722807E-2</v>
      </c>
      <c r="O8" s="392">
        <f>'SC-Retro'!I163</f>
        <v>1.7333343309937431E-2</v>
      </c>
      <c r="P8" s="392">
        <f>'SC-Retro'!J163</f>
        <v>1.556458477024639E-2</v>
      </c>
      <c r="Q8" s="392">
        <f>'SC-Retro'!K163</f>
        <v>1.2423392801743871E-2</v>
      </c>
      <c r="R8" s="392">
        <f>'SC-Retro'!L163</f>
        <v>9.9161455949318047E-3</v>
      </c>
      <c r="S8" s="392">
        <f>'SC-Retro'!M163</f>
        <v>7.9149025575431277E-3</v>
      </c>
      <c r="T8" s="392">
        <f>'SC-Retro'!N163</f>
        <v>6.3175436358479144E-3</v>
      </c>
      <c r="U8" s="392">
        <f>'SC-Retro'!O163</f>
        <v>5.0425583007090618E-3</v>
      </c>
      <c r="V8" s="392">
        <f>'SC-Retro'!P163</f>
        <v>4.0248862028852599E-3</v>
      </c>
      <c r="W8" s="392">
        <f>'SC-Retro'!Q163</f>
        <v>3.2125972532431012E-3</v>
      </c>
      <c r="X8" s="392">
        <f>'SC-Retro'!R163</f>
        <v>2.5642417179761782E-3</v>
      </c>
      <c r="Y8" s="392">
        <f>'SC-Retro'!S163</f>
        <v>2.0467351086637621E-3</v>
      </c>
      <c r="Z8" s="392">
        <f>'SC-Retro'!T163</f>
        <v>1.6336699366794167E-3</v>
      </c>
      <c r="AA8" s="392">
        <f>'SC-Retro'!U163</f>
        <v>1.1117578601044833E-5</v>
      </c>
      <c r="AB8" s="392">
        <f>'SC-Retro'!V163</f>
        <v>3.9615475040856092E-6</v>
      </c>
      <c r="AC8" s="392">
        <f>'SC-Retro'!W163</f>
        <v>1.3474608054919991E-6</v>
      </c>
      <c r="AD8" s="392">
        <f>'SC-Retro'!X163</f>
        <v>4.3839163588049429E-7</v>
      </c>
      <c r="AE8" s="392">
        <f>'SC-Retro'!Y163</f>
        <v>0.15316383937378028</v>
      </c>
      <c r="AF8" s="393">
        <f t="shared" si="2"/>
        <v>142.96612271711675</v>
      </c>
      <c r="AG8" s="393">
        <f t="shared" si="3"/>
        <v>104.30805541259093</v>
      </c>
      <c r="AH8" s="393">
        <f t="shared" si="4"/>
        <v>94.519164636627607</v>
      </c>
      <c r="AI8" s="393">
        <f t="shared" si="5"/>
        <v>76.87784950809376</v>
      </c>
      <c r="AJ8" s="393">
        <f t="shared" si="6"/>
        <v>36.814820482713046</v>
      </c>
      <c r="AK8" s="393">
        <f t="shared" si="7"/>
        <v>14.917675299203953</v>
      </c>
      <c r="AL8" s="393">
        <f t="shared" si="8"/>
        <v>44.533483967347806</v>
      </c>
      <c r="AM8" s="393">
        <f t="shared" si="9"/>
        <v>44.260974043394356</v>
      </c>
      <c r="AN8" s="393">
        <f t="shared" si="10"/>
        <v>34.488213502054599</v>
      </c>
      <c r="AO8" s="393">
        <f t="shared" si="11"/>
        <v>61.369899308203827</v>
      </c>
      <c r="AP8" s="393">
        <f t="shared" si="12"/>
        <v>92.022421717098936</v>
      </c>
      <c r="AQ8" s="393">
        <f t="shared" si="13"/>
        <v>166.61320276774543</v>
      </c>
      <c r="AR8" s="393"/>
      <c r="AS8" s="393">
        <f t="shared" si="14"/>
        <v>90.875515367707493</v>
      </c>
      <c r="AT8" s="393">
        <f t="shared" si="15"/>
        <v>68.082186588545625</v>
      </c>
      <c r="AU8" s="393">
        <f t="shared" si="16"/>
        <v>52.737147652746863</v>
      </c>
      <c r="AV8" s="393">
        <f t="shared" si="17"/>
        <v>45.517908069604303</v>
      </c>
      <c r="AW8" s="393">
        <f t="shared" si="18"/>
        <v>19.185770876276543</v>
      </c>
      <c r="AX8" s="393">
        <f t="shared" si="19"/>
        <v>5.5369798206130252</v>
      </c>
      <c r="AY8" s="393">
        <f t="shared" si="20"/>
        <v>12.761778766333265</v>
      </c>
      <c r="AZ8" s="393">
        <f t="shared" si="21"/>
        <v>8.3208142622270689</v>
      </c>
      <c r="BA8" s="393">
        <f t="shared" si="22"/>
        <v>15.257884386625253</v>
      </c>
      <c r="BB8" s="393">
        <f t="shared" si="23"/>
        <v>30.757692226174807</v>
      </c>
      <c r="BC8" s="393">
        <f t="shared" si="24"/>
        <v>60.208155615979535</v>
      </c>
      <c r="BD8" s="393">
        <f t="shared" si="25"/>
        <v>107.24691628101434</v>
      </c>
    </row>
    <row r="9" spans="1:56" ht="15">
      <c r="A9" s="389" t="str">
        <f>VLOOKUP(CONCATENATE($C9," - ",$B9),[2]ACHIEV!$B$12:$C$100,2,FALSE)</f>
        <v>Retro12Med</v>
      </c>
      <c r="B9" s="389" t="str">
        <f>'SC-Retro'!$C$7</f>
        <v>Retro</v>
      </c>
      <c r="C9" s="389" t="str">
        <f>'SC-Retro'!$C$8</f>
        <v>ResWx</v>
      </c>
      <c r="D9" s="389" t="s">
        <v>1171</v>
      </c>
      <c r="E9" s="389" t="str">
        <f>'SC-Retro'!$A$9</f>
        <v>HVAC</v>
      </c>
      <c r="F9" s="390">
        <f t="shared" si="1"/>
        <v>1.1354316849352235</v>
      </c>
      <c r="G9" s="391">
        <f>'SC-Retro'!A164</f>
        <v>2203.2727260729475</v>
      </c>
      <c r="H9" s="391">
        <f>'SC-Retro'!B164</f>
        <v>-3.9919083317794515</v>
      </c>
      <c r="I9" s="384" t="str">
        <f>'SC-Retro'!C164</f>
        <v>Single Family</v>
      </c>
      <c r="J9" s="384" t="str">
        <f>'SC-Retro'!D164</f>
        <v>WALL R0 - R11_Electric FAF</v>
      </c>
      <c r="K9" s="392">
        <f>'SC-Retro'!E164</f>
        <v>0.45640854677826287</v>
      </c>
      <c r="L9" s="392">
        <f>'SC-Retro'!F164</f>
        <v>0.45537214278425714</v>
      </c>
      <c r="M9" s="392">
        <f>'SC-Retro'!G164</f>
        <v>0.45433809223706206</v>
      </c>
      <c r="N9" s="392">
        <f>'SC-Retro'!H164</f>
        <v>0.45330638979251481</v>
      </c>
      <c r="O9" s="392">
        <f>'SC-Retro'!I164</f>
        <v>0.45227703011858766</v>
      </c>
      <c r="P9" s="392">
        <f>'SC-Retro'!J164</f>
        <v>0.40612500710582478</v>
      </c>
      <c r="Q9" s="392">
        <f>'SC-Retro'!K164</f>
        <v>0.32416222882679646</v>
      </c>
      <c r="R9" s="392">
        <f>'SC-Retro'!L164</f>
        <v>0.25874090183906145</v>
      </c>
      <c r="S9" s="392">
        <f>'SC-Retro'!M164</f>
        <v>0.20652268626972362</v>
      </c>
      <c r="T9" s="392">
        <f>'SC-Retro'!N164</f>
        <v>0.16484297473227594</v>
      </c>
      <c r="U9" s="392">
        <f>'SC-Retro'!O164</f>
        <v>0.13157492191001666</v>
      </c>
      <c r="V9" s="392">
        <f>'SC-Retro'!P164</f>
        <v>0.10502091523004607</v>
      </c>
      <c r="W9" s="392">
        <f>'SC-Retro'!Q164</f>
        <v>8.3825948559555011E-2</v>
      </c>
      <c r="X9" s="392">
        <f>'SC-Retro'!R164</f>
        <v>6.6908478530368271E-2</v>
      </c>
      <c r="Y9" s="392">
        <f>'SC-Retro'!S164</f>
        <v>5.3405235206711713E-2</v>
      </c>
      <c r="Z9" s="392">
        <f>'SC-Retro'!T164</f>
        <v>4.2627170877748879E-2</v>
      </c>
      <c r="AA9" s="392">
        <f>'SC-Retro'!U164</f>
        <v>2.9008976178922008E-4</v>
      </c>
      <c r="AB9" s="392">
        <f>'SC-Retro'!V164</f>
        <v>1.033682254937124E-4</v>
      </c>
      <c r="AC9" s="392">
        <f>'SC-Retro'!W164</f>
        <v>3.5159147338859321E-5</v>
      </c>
      <c r="AD9" s="392">
        <f>'SC-Retro'!X164</f>
        <v>1.143890497981344E-5</v>
      </c>
      <c r="AE9" s="392">
        <f>'SC-Retro'!Y164</f>
        <v>3.9964872993555112</v>
      </c>
      <c r="AF9" s="393">
        <f t="shared" si="2"/>
        <v>241.87609621815517</v>
      </c>
      <c r="AG9" s="393">
        <f t="shared" si="3"/>
        <v>176.47275289982994</v>
      </c>
      <c r="AH9" s="393">
        <f t="shared" si="4"/>
        <v>159.91149599366889</v>
      </c>
      <c r="AI9" s="393">
        <f t="shared" si="5"/>
        <v>128.42751447925554</v>
      </c>
      <c r="AJ9" s="393">
        <f t="shared" si="6"/>
        <v>54.032159112150715</v>
      </c>
      <c r="AK9" s="393">
        <f t="shared" si="7"/>
        <v>16.101119581738438</v>
      </c>
      <c r="AL9" s="393">
        <f t="shared" si="8"/>
        <v>12.821360979058218</v>
      </c>
      <c r="AM9" s="393">
        <f t="shared" si="9"/>
        <v>12.263238242203046</v>
      </c>
      <c r="AN9" s="393">
        <f t="shared" si="10"/>
        <v>32.475164815542463</v>
      </c>
      <c r="AO9" s="393">
        <f t="shared" si="11"/>
        <v>99.120386451118904</v>
      </c>
      <c r="AP9" s="393">
        <f t="shared" si="12"/>
        <v>155.68740136790333</v>
      </c>
      <c r="AQ9" s="393">
        <f t="shared" si="13"/>
        <v>281.88322028993008</v>
      </c>
      <c r="AR9" s="393"/>
      <c r="AS9" s="393">
        <f t="shared" si="14"/>
        <v>153.74701699399452</v>
      </c>
      <c r="AT9" s="393">
        <f t="shared" si="15"/>
        <v>115.18430521206179</v>
      </c>
      <c r="AU9" s="393">
        <f t="shared" si="16"/>
        <v>89.222923287683528</v>
      </c>
      <c r="AV9" s="393">
        <f t="shared" si="17"/>
        <v>76.580722782059226</v>
      </c>
      <c r="AW9" s="393">
        <f t="shared" si="18"/>
        <v>30.369096346810274</v>
      </c>
      <c r="AX9" s="393">
        <f t="shared" si="19"/>
        <v>7.7076668522250014</v>
      </c>
      <c r="AY9" s="393">
        <f t="shared" si="20"/>
        <v>4.5285805719495409</v>
      </c>
      <c r="AZ9" s="393">
        <f t="shared" si="21"/>
        <v>2.9818504502303695</v>
      </c>
      <c r="BA9" s="393">
        <f t="shared" si="22"/>
        <v>17.659452570342815</v>
      </c>
      <c r="BB9" s="393">
        <f t="shared" si="23"/>
        <v>50.911670702953174</v>
      </c>
      <c r="BC9" s="393">
        <f t="shared" si="24"/>
        <v>101.86268861542517</v>
      </c>
      <c r="BD9" s="393">
        <f t="shared" si="25"/>
        <v>181.44484125665747</v>
      </c>
    </row>
    <row r="10" spans="1:56" ht="15">
      <c r="A10" s="389" t="str">
        <f>VLOOKUP(CONCATENATE($C10," - ",$B10),[2]ACHIEV!$B$12:$C$100,2,FALSE)</f>
        <v>Retro12Med</v>
      </c>
      <c r="B10" s="389" t="str">
        <f>'SC-Retro'!$C$7</f>
        <v>Retro</v>
      </c>
      <c r="C10" s="389" t="str">
        <f>'SC-Retro'!$C$8</f>
        <v>ResWx</v>
      </c>
      <c r="D10" s="389" t="s">
        <v>1171</v>
      </c>
      <c r="E10" s="389" t="str">
        <f>'SC-Retro'!$A$9</f>
        <v>HVAC</v>
      </c>
      <c r="F10" s="390">
        <f t="shared" si="1"/>
        <v>0.38415491752086445</v>
      </c>
      <c r="G10" s="391">
        <f>'SC-Retro'!A165</f>
        <v>810.85108095413966</v>
      </c>
      <c r="H10" s="391">
        <f>'SC-Retro'!B165</f>
        <v>16.447363051407777</v>
      </c>
      <c r="I10" s="384" t="str">
        <f>'SC-Retro'!C165</f>
        <v>Single Family</v>
      </c>
      <c r="J10" s="395" t="str">
        <f>'SC-Retro'!D165</f>
        <v>ATTIC R0 - R38_Heat Pump</v>
      </c>
      <c r="K10" s="392">
        <f>'SC-Retro'!E165</f>
        <v>0.15345310269166132</v>
      </c>
      <c r="L10" s="392">
        <f>'SC-Retro'!F165</f>
        <v>0.15310464425536591</v>
      </c>
      <c r="M10" s="392">
        <f>'SC-Retro'!G165</f>
        <v>0.15275697709197208</v>
      </c>
      <c r="N10" s="392">
        <f>'SC-Retro'!H165</f>
        <v>0.15241009940467223</v>
      </c>
      <c r="O10" s="392">
        <f>'SC-Retro'!I165</f>
        <v>0.15206400940073864</v>
      </c>
      <c r="P10" s="392">
        <f>'SC-Retro'!J165</f>
        <v>0.13654683476236329</v>
      </c>
      <c r="Q10" s="392">
        <f>'SC-Retro'!K165</f>
        <v>0.10898941341053198</v>
      </c>
      <c r="R10" s="392">
        <f>'SC-Retro'!L165</f>
        <v>8.6993537830772155E-2</v>
      </c>
      <c r="S10" s="392">
        <f>'SC-Retro'!M165</f>
        <v>6.9436795625350906E-2</v>
      </c>
      <c r="T10" s="392">
        <f>'SC-Retro'!N165</f>
        <v>5.5423295878550397E-2</v>
      </c>
      <c r="U10" s="392">
        <f>'SC-Retro'!O165</f>
        <v>4.4237953355668214E-2</v>
      </c>
      <c r="V10" s="392">
        <f>'SC-Retro'!P165</f>
        <v>3.5309998910686605E-2</v>
      </c>
      <c r="W10" s="392">
        <f>'SC-Retro'!Q165</f>
        <v>2.8183854100314914E-2</v>
      </c>
      <c r="X10" s="392">
        <f>'SC-Retro'!R165</f>
        <v>2.2495883785129015E-2</v>
      </c>
      <c r="Y10" s="392">
        <f>'SC-Retro'!S165</f>
        <v>1.7955840442289824E-2</v>
      </c>
      <c r="Z10" s="392">
        <f>'SC-Retro'!T165</f>
        <v>1.4332053324444295E-2</v>
      </c>
      <c r="AA10" s="392">
        <f>'SC-Retro'!U165</f>
        <v>9.7533611760490494E-5</v>
      </c>
      <c r="AB10" s="392">
        <f>'SC-Retro'!V165</f>
        <v>3.4754333663799193E-5</v>
      </c>
      <c r="AC10" s="392">
        <f>'SC-Retro'!W165</f>
        <v>1.1821163922599416E-5</v>
      </c>
      <c r="AD10" s="392">
        <f>'SC-Retro'!X165</f>
        <v>3.8459741232678169E-6</v>
      </c>
      <c r="AE10" s="392">
        <f>'SC-Retro'!Y165</f>
        <v>1.3436938906664875</v>
      </c>
      <c r="AF10" s="393">
        <f t="shared" si="2"/>
        <v>81.83485895785536</v>
      </c>
      <c r="AG10" s="393">
        <f t="shared" si="3"/>
        <v>59.706697227479303</v>
      </c>
      <c r="AH10" s="393">
        <f t="shared" si="4"/>
        <v>54.10346423227616</v>
      </c>
      <c r="AI10" s="393">
        <f t="shared" si="5"/>
        <v>43.946447527918281</v>
      </c>
      <c r="AJ10" s="393">
        <f t="shared" si="6"/>
        <v>20.775762510126249</v>
      </c>
      <c r="AK10" s="393">
        <f t="shared" si="7"/>
        <v>8.2098097701090982</v>
      </c>
      <c r="AL10" s="393">
        <f t="shared" si="8"/>
        <v>23.238871294939905</v>
      </c>
      <c r="AM10" s="393">
        <f t="shared" si="9"/>
        <v>23.079387252151786</v>
      </c>
      <c r="AN10" s="393">
        <f t="shared" si="10"/>
        <v>18.809192058093117</v>
      </c>
      <c r="AO10" s="393">
        <f t="shared" si="11"/>
        <v>34.9589787806799</v>
      </c>
      <c r="AP10" s="393">
        <f t="shared" si="12"/>
        <v>52.674310242572346</v>
      </c>
      <c r="AQ10" s="393">
        <f t="shared" si="13"/>
        <v>95.370621304417384</v>
      </c>
      <c r="AR10" s="393"/>
      <c r="AS10" s="393">
        <f t="shared" si="14"/>
        <v>52.017812622321216</v>
      </c>
      <c r="AT10" s="393">
        <f t="shared" si="15"/>
        <v>38.970743775713871</v>
      </c>
      <c r="AU10" s="393">
        <f t="shared" si="16"/>
        <v>30.187130755036044</v>
      </c>
      <c r="AV10" s="393">
        <f t="shared" si="17"/>
        <v>26.039351925458082</v>
      </c>
      <c r="AW10" s="393">
        <f t="shared" si="18"/>
        <v>10.906774911787352</v>
      </c>
      <c r="AX10" s="393">
        <f t="shared" si="19"/>
        <v>3.1096038732468969</v>
      </c>
      <c r="AY10" s="393">
        <f t="shared" si="20"/>
        <v>6.6902496190235965</v>
      </c>
      <c r="AZ10" s="393">
        <f t="shared" si="21"/>
        <v>4.3631640763458002</v>
      </c>
      <c r="BA10" s="393">
        <f t="shared" si="22"/>
        <v>8.4399525333620886</v>
      </c>
      <c r="BB10" s="393">
        <f t="shared" si="23"/>
        <v>17.565382324352914</v>
      </c>
      <c r="BC10" s="393">
        <f t="shared" si="24"/>
        <v>34.46359059967979</v>
      </c>
      <c r="BD10" s="393">
        <f t="shared" si="25"/>
        <v>61.388922779193138</v>
      </c>
    </row>
    <row r="11" spans="1:56" ht="15">
      <c r="A11" s="389" t="str">
        <f>VLOOKUP(CONCATENATE($C11," - ",$B11),[2]ACHIEV!$B$12:$C$100,2,FALSE)</f>
        <v>Retro12Med</v>
      </c>
      <c r="B11" s="389" t="str">
        <f>'SC-Retro'!$C$7</f>
        <v>Retro</v>
      </c>
      <c r="C11" s="389" t="str">
        <f>'SC-Retro'!$C$8</f>
        <v>ResWx</v>
      </c>
      <c r="D11" s="389" t="s">
        <v>1171</v>
      </c>
      <c r="E11" s="389" t="str">
        <f>'SC-Retro'!$A$9</f>
        <v>HVAC</v>
      </c>
      <c r="F11" s="390">
        <f t="shared" si="1"/>
        <v>0.38934340794320083</v>
      </c>
      <c r="G11" s="391">
        <f>'SC-Retro'!A166</f>
        <v>821.68425829354476</v>
      </c>
      <c r="H11" s="391">
        <f>'SC-Retro'!B166</f>
        <v>22.318173045115</v>
      </c>
      <c r="I11" s="384" t="str">
        <f>'SC-Retro'!C166</f>
        <v>Single Family</v>
      </c>
      <c r="J11" s="384" t="str">
        <f>'SC-Retro'!D166</f>
        <v>ATTIC R0 - R49_Heat Pump</v>
      </c>
      <c r="K11" s="392">
        <f>'SC-Retro'!E166</f>
        <v>8.2855528687755808E-2</v>
      </c>
      <c r="L11" s="392">
        <f>'SC-Retro'!F166</f>
        <v>8.266738190246091E-2</v>
      </c>
      <c r="M11" s="392">
        <f>'SC-Retro'!G166</f>
        <v>8.2479662357368061E-2</v>
      </c>
      <c r="N11" s="392">
        <f>'SC-Retro'!H166</f>
        <v>8.2292369082308178E-2</v>
      </c>
      <c r="O11" s="392">
        <f>'SC-Retro'!I166</f>
        <v>8.210550110931529E-2</v>
      </c>
      <c r="P11" s="392">
        <f>'SC-Retro'!J166</f>
        <v>7.3727151725359222E-2</v>
      </c>
      <c r="Q11" s="392">
        <f>'SC-Retro'!K166</f>
        <v>5.8847786790229055E-2</v>
      </c>
      <c r="R11" s="392">
        <f>'SC-Retro'!L166</f>
        <v>4.6971325069066795E-2</v>
      </c>
      <c r="S11" s="392">
        <f>'SC-Retro'!M166</f>
        <v>3.7491730769903371E-2</v>
      </c>
      <c r="T11" s="392">
        <f>'SC-Retro'!N166</f>
        <v>2.9925276198959173E-2</v>
      </c>
      <c r="U11" s="392">
        <f>'SC-Retro'!O166</f>
        <v>2.38858579530523E-2</v>
      </c>
      <c r="V11" s="392">
        <f>'SC-Retro'!P166</f>
        <v>1.9065294714748045E-2</v>
      </c>
      <c r="W11" s="392">
        <f>'SC-Retro'!Q166</f>
        <v>1.5217601279997195E-2</v>
      </c>
      <c r="X11" s="392">
        <f>'SC-Retro'!R166</f>
        <v>1.2146436348441867E-2</v>
      </c>
      <c r="Y11" s="392">
        <f>'SC-Retro'!S166</f>
        <v>9.6950835583186571E-3</v>
      </c>
      <c r="Z11" s="392">
        <f>'SC-Retro'!T166</f>
        <v>7.7384545150840341E-3</v>
      </c>
      <c r="AA11" s="392">
        <f>'SC-Retro'!U166</f>
        <v>5.2662336736713585E-5</v>
      </c>
      <c r="AB11" s="392">
        <f>'SC-Retro'!V166</f>
        <v>1.8765268602556766E-5</v>
      </c>
      <c r="AC11" s="392">
        <f>'SC-Retro'!W166</f>
        <v>6.3827239028176616E-6</v>
      </c>
      <c r="AD11" s="392">
        <f>'SC-Retro'!X166</f>
        <v>2.0765967824259531E-6</v>
      </c>
      <c r="AE11" s="392">
        <f>'SC-Retro'!Y166</f>
        <v>0.72551460839070558</v>
      </c>
      <c r="AF11" s="393">
        <f t="shared" si="2"/>
        <v>82.940140609997727</v>
      </c>
      <c r="AG11" s="393">
        <f t="shared" si="3"/>
        <v>60.513110506562967</v>
      </c>
      <c r="AH11" s="393">
        <f t="shared" si="4"/>
        <v>54.834198873904519</v>
      </c>
      <c r="AI11" s="393">
        <f t="shared" si="5"/>
        <v>44.539103036132687</v>
      </c>
      <c r="AJ11" s="393">
        <f t="shared" si="6"/>
        <v>21.051849933327656</v>
      </c>
      <c r="AK11" s="393">
        <f t="shared" si="7"/>
        <v>8.3156944250062672</v>
      </c>
      <c r="AL11" s="393">
        <f t="shared" si="8"/>
        <v>23.51853478902855</v>
      </c>
      <c r="AM11" s="393">
        <f t="shared" si="9"/>
        <v>23.356843603048986</v>
      </c>
      <c r="AN11" s="393">
        <f t="shared" si="10"/>
        <v>19.049078059181095</v>
      </c>
      <c r="AO11" s="393">
        <f t="shared" si="11"/>
        <v>35.428567645510846</v>
      </c>
      <c r="AP11" s="393">
        <f t="shared" si="12"/>
        <v>53.385742380316408</v>
      </c>
      <c r="AQ11" s="393">
        <f t="shared" si="13"/>
        <v>96.658720278663523</v>
      </c>
      <c r="AR11" s="393"/>
      <c r="AS11" s="393">
        <f t="shared" si="14"/>
        <v>52.720377942384161</v>
      </c>
      <c r="AT11" s="393">
        <f t="shared" si="15"/>
        <v>39.497092187798522</v>
      </c>
      <c r="AU11" s="393">
        <f t="shared" si="16"/>
        <v>30.594845537944721</v>
      </c>
      <c r="AV11" s="393">
        <f t="shared" si="17"/>
        <v>26.39081141741379</v>
      </c>
      <c r="AW11" s="393">
        <f t="shared" si="18"/>
        <v>11.052940923025238</v>
      </c>
      <c r="AX11" s="393">
        <f t="shared" si="19"/>
        <v>3.1506947310159266</v>
      </c>
      <c r="AY11" s="393">
        <f t="shared" si="20"/>
        <v>6.7712748395048106</v>
      </c>
      <c r="AZ11" s="393">
        <f t="shared" si="21"/>
        <v>4.4160235247306314</v>
      </c>
      <c r="BA11" s="393">
        <f t="shared" si="22"/>
        <v>8.5494832242697836</v>
      </c>
      <c r="BB11" s="393">
        <f t="shared" si="23"/>
        <v>17.802008919250316</v>
      </c>
      <c r="BC11" s="393">
        <f t="shared" si="24"/>
        <v>34.929064296853142</v>
      </c>
      <c r="BD11" s="393">
        <f t="shared" si="25"/>
        <v>62.21805660867247</v>
      </c>
    </row>
    <row r="12" spans="1:56" ht="15">
      <c r="A12" s="389" t="str">
        <f>VLOOKUP(CONCATENATE($C12," - ",$B12),[2]ACHIEV!$B$12:$C$100,2,FALSE)</f>
        <v>Retro12Med</v>
      </c>
      <c r="B12" s="389" t="str">
        <f>'SC-Retro'!$C$7</f>
        <v>Retro</v>
      </c>
      <c r="C12" s="389" t="str">
        <f>'SC-Retro'!$C$8</f>
        <v>ResWx</v>
      </c>
      <c r="D12" s="389" t="s">
        <v>1171</v>
      </c>
      <c r="E12" s="389" t="str">
        <f>'SC-Retro'!$A$9</f>
        <v>HVAC</v>
      </c>
      <c r="F12" s="390">
        <f t="shared" si="1"/>
        <v>0.4278636079896535</v>
      </c>
      <c r="G12" s="391">
        <f>'SC-Retro'!A167</f>
        <v>778.80226042812978</v>
      </c>
      <c r="H12" s="391">
        <f>'SC-Retro'!B167</f>
        <v>29.256890208988256</v>
      </c>
      <c r="I12" s="384" t="str">
        <f>'SC-Retro'!C167</f>
        <v>Single Family</v>
      </c>
      <c r="J12" s="384" t="str">
        <f>'SC-Retro'!D167</f>
        <v>FLOOR R0 - R30_Electric FAF</v>
      </c>
      <c r="K12" s="392">
        <f>'SC-Retro'!E167</f>
        <v>0.20029294519581634</v>
      </c>
      <c r="L12" s="392">
        <f>'SC-Retro'!F167</f>
        <v>0.19983812372098322</v>
      </c>
      <c r="M12" s="392">
        <f>'SC-Retro'!G167</f>
        <v>0.19938433504625086</v>
      </c>
      <c r="N12" s="392">
        <f>'SC-Retro'!H167</f>
        <v>0.19893157682635607</v>
      </c>
      <c r="O12" s="392">
        <f>'SC-Retro'!I167</f>
        <v>0.19847984672136126</v>
      </c>
      <c r="P12" s="392">
        <f>'SC-Retro'!J167</f>
        <v>0.17822622815697806</v>
      </c>
      <c r="Q12" s="392">
        <f>'SC-Retro'!K167</f>
        <v>0.14225721229647115</v>
      </c>
      <c r="R12" s="392">
        <f>'SC-Retro'!L167</f>
        <v>0.1135473418229937</v>
      </c>
      <c r="S12" s="392">
        <f>'SC-Retro'!M167</f>
        <v>9.0631600513850386E-2</v>
      </c>
      <c r="T12" s="392">
        <f>'SC-Retro'!N167</f>
        <v>7.2340636776041106E-2</v>
      </c>
      <c r="U12" s="392">
        <f>'SC-Retro'!O167</f>
        <v>5.7741093608551813E-2</v>
      </c>
      <c r="V12" s="392">
        <f>'SC-Retro'!P167</f>
        <v>4.6087980970272044E-2</v>
      </c>
      <c r="W12" s="392">
        <f>'SC-Retro'!Q167</f>
        <v>3.6786660195877625E-2</v>
      </c>
      <c r="X12" s="392">
        <f>'SC-Retro'!R167</f>
        <v>2.9362500588599322E-2</v>
      </c>
      <c r="Y12" s="392">
        <f>'SC-Retro'!S167</f>
        <v>2.3436659817030921E-2</v>
      </c>
      <c r="Z12" s="392">
        <f>'SC-Retro'!T167</f>
        <v>1.8706752230513407E-2</v>
      </c>
      <c r="AA12" s="392">
        <f>'SC-Retro'!U167</f>
        <v>1.2730465537961065E-4</v>
      </c>
      <c r="AB12" s="392">
        <f>'SC-Retro'!V167</f>
        <v>4.5362705124493459E-5</v>
      </c>
      <c r="AC12" s="392">
        <f>'SC-Retro'!W167</f>
        <v>1.5429441934826561E-5</v>
      </c>
      <c r="AD12" s="392">
        <f>'SC-Retro'!X167</f>
        <v>5.0199146891414929E-6</v>
      </c>
      <c r="AE12" s="392">
        <f>'SC-Retro'!Y167</f>
        <v>1.753841415275865</v>
      </c>
      <c r="AF12" s="393">
        <f t="shared" si="2"/>
        <v>91.145932060418559</v>
      </c>
      <c r="AG12" s="393">
        <f t="shared" si="3"/>
        <v>66.500054357647656</v>
      </c>
      <c r="AH12" s="393">
        <f t="shared" si="4"/>
        <v>60.25929216408786</v>
      </c>
      <c r="AI12" s="393">
        <f t="shared" si="5"/>
        <v>48.00575707181163</v>
      </c>
      <c r="AJ12" s="393">
        <f t="shared" si="6"/>
        <v>18.398287401744604</v>
      </c>
      <c r="AK12" s="393">
        <f t="shared" si="7"/>
        <v>3.8944187079806136</v>
      </c>
      <c r="AL12" s="393">
        <f t="shared" si="8"/>
        <v>-10.037132658043289</v>
      </c>
      <c r="AM12" s="393">
        <f t="shared" si="9"/>
        <v>-10.27053612841247</v>
      </c>
      <c r="AN12" s="393">
        <f t="shared" si="10"/>
        <v>6.0845482015238348</v>
      </c>
      <c r="AO12" s="393">
        <f t="shared" si="11"/>
        <v>36.231865511105944</v>
      </c>
      <c r="AP12" s="393">
        <f t="shared" si="12"/>
        <v>58.667530730045385</v>
      </c>
      <c r="AQ12" s="393">
        <f t="shared" si="13"/>
        <v>106.22177737788994</v>
      </c>
      <c r="AR12" s="393"/>
      <c r="AS12" s="393">
        <f t="shared" si="14"/>
        <v>57.936337589918487</v>
      </c>
      <c r="AT12" s="393">
        <f t="shared" si="15"/>
        <v>43.404788738677681</v>
      </c>
      <c r="AU12" s="393">
        <f t="shared" si="16"/>
        <v>33.621786655909865</v>
      </c>
      <c r="AV12" s="393">
        <f t="shared" si="17"/>
        <v>28.755962608687199</v>
      </c>
      <c r="AW12" s="393">
        <f t="shared" si="18"/>
        <v>10.946881105825243</v>
      </c>
      <c r="AX12" s="393">
        <f t="shared" si="19"/>
        <v>2.5096965452824653</v>
      </c>
      <c r="AY12" s="393">
        <f t="shared" si="20"/>
        <v>-2.351140662053421</v>
      </c>
      <c r="AZ12" s="393">
        <f t="shared" si="21"/>
        <v>-1.5150405046939885</v>
      </c>
      <c r="BA12" s="393">
        <f t="shared" si="22"/>
        <v>4.7153550310241528</v>
      </c>
      <c r="BB12" s="393">
        <f t="shared" si="23"/>
        <v>18.917339961249489</v>
      </c>
      <c r="BC12" s="393">
        <f t="shared" si="24"/>
        <v>38.38481702490877</v>
      </c>
      <c r="BD12" s="393">
        <f t="shared" si="25"/>
        <v>68.373681535593576</v>
      </c>
    </row>
    <row r="13" spans="1:56" ht="15">
      <c r="A13" s="389" t="str">
        <f>VLOOKUP(CONCATENATE($C13," - ",$B13),[2]ACHIEV!$B$12:$C$100,2,FALSE)</f>
        <v>Retro12Med</v>
      </c>
      <c r="B13" s="389" t="str">
        <f>'SC-Retro'!$C$7</f>
        <v>Retro</v>
      </c>
      <c r="C13" s="389" t="str">
        <f>'SC-Retro'!$C$8</f>
        <v>ResWx</v>
      </c>
      <c r="D13" s="389" t="s">
        <v>1171</v>
      </c>
      <c r="E13" s="389" t="str">
        <f>'SC-Retro'!$A$9</f>
        <v>HVAC</v>
      </c>
      <c r="F13" s="390">
        <f t="shared" si="1"/>
        <v>0.40990583729839319</v>
      </c>
      <c r="G13" s="391">
        <f>'SC-Retro'!A168</f>
        <v>747.03411883358774</v>
      </c>
      <c r="H13" s="391">
        <f>'SC-Retro'!B168</f>
        <v>30.258643525641588</v>
      </c>
      <c r="I13" s="384" t="str">
        <f>'SC-Retro'!C168</f>
        <v>Single Family</v>
      </c>
      <c r="J13" s="384" t="str">
        <f>'SC-Retro'!D168</f>
        <v>FLOOR R0 - R25_Electric FAF</v>
      </c>
      <c r="K13" s="392">
        <f>'SC-Retro'!E168</f>
        <v>8.3247439219584496E-2</v>
      </c>
      <c r="L13" s="392">
        <f>'SC-Retro'!F168</f>
        <v>8.3058402491181918E-2</v>
      </c>
      <c r="M13" s="392">
        <f>'SC-Retro'!G168</f>
        <v>8.2869795023847587E-2</v>
      </c>
      <c r="N13" s="392">
        <f>'SC-Retro'!H168</f>
        <v>8.2681615842823464E-2</v>
      </c>
      <c r="O13" s="392">
        <f>'SC-Retro'!I168</f>
        <v>8.2493863975564991E-2</v>
      </c>
      <c r="P13" s="392">
        <f>'SC-Retro'!J168</f>
        <v>7.4075884606562462E-2</v>
      </c>
      <c r="Q13" s="392">
        <f>'SC-Retro'!K168</f>
        <v>5.912613957830689E-2</v>
      </c>
      <c r="R13" s="392">
        <f>'SC-Retro'!L168</f>
        <v>4.7193501636883885E-2</v>
      </c>
      <c r="S13" s="392">
        <f>'SC-Retro'!M168</f>
        <v>3.7669068412640325E-2</v>
      </c>
      <c r="T13" s="392">
        <f>'SC-Retro'!N168</f>
        <v>3.0066824157146142E-2</v>
      </c>
      <c r="U13" s="392">
        <f>'SC-Retro'!O168</f>
        <v>2.3998839180036473E-2</v>
      </c>
      <c r="V13" s="392">
        <f>'SC-Retro'!P168</f>
        <v>1.9155474451809231E-2</v>
      </c>
      <c r="W13" s="392">
        <f>'SC-Retro'!Q168</f>
        <v>1.5289581246877569E-2</v>
      </c>
      <c r="X13" s="392">
        <f>'SC-Retro'!R168</f>
        <v>1.220388956133585E-2</v>
      </c>
      <c r="Y13" s="392">
        <f>'SC-Retro'!S168</f>
        <v>9.7409417576885919E-3</v>
      </c>
      <c r="Z13" s="392">
        <f>'SC-Retro'!T168</f>
        <v>7.7750577674266476E-3</v>
      </c>
      <c r="AA13" s="392">
        <f>'SC-Retro'!U168</f>
        <v>5.2911432056298171E-5</v>
      </c>
      <c r="AB13" s="392">
        <f>'SC-Retro'!V168</f>
        <v>1.8854029202053403E-5</v>
      </c>
      <c r="AC13" s="392">
        <f>'SC-Retro'!W168</f>
        <v>6.4129144858588448E-6</v>
      </c>
      <c r="AD13" s="392">
        <f>'SC-Retro'!X168</f>
        <v>2.0864191824791978E-6</v>
      </c>
      <c r="AE13" s="392">
        <f>'SC-Retro'!Y168</f>
        <v>0.72894632647309698</v>
      </c>
      <c r="AF13" s="393">
        <f t="shared" si="2"/>
        <v>87.320465914623398</v>
      </c>
      <c r="AG13" s="393">
        <f t="shared" si="3"/>
        <v>63.708994999451754</v>
      </c>
      <c r="AH13" s="393">
        <f t="shared" si="4"/>
        <v>57.730162482354054</v>
      </c>
      <c r="AI13" s="393">
        <f t="shared" si="5"/>
        <v>45.997872165034664</v>
      </c>
      <c r="AJ13" s="393">
        <f t="shared" si="6"/>
        <v>17.661141845383938</v>
      </c>
      <c r="AK13" s="393">
        <f t="shared" si="7"/>
        <v>3.7697680171650587</v>
      </c>
      <c r="AL13" s="393">
        <f t="shared" si="8"/>
        <v>-9.3503665074682303</v>
      </c>
      <c r="AM13" s="393">
        <f t="shared" si="9"/>
        <v>-9.5735616069267628</v>
      </c>
      <c r="AN13" s="393">
        <f t="shared" si="10"/>
        <v>5.939046141490393</v>
      </c>
      <c r="AO13" s="393">
        <f t="shared" si="11"/>
        <v>34.731177297132959</v>
      </c>
      <c r="AP13" s="393">
        <f t="shared" si="12"/>
        <v>56.20520852222139</v>
      </c>
      <c r="AQ13" s="393">
        <f t="shared" si="13"/>
        <v>101.7635661980871</v>
      </c>
      <c r="AR13" s="393"/>
      <c r="AS13" s="393">
        <f t="shared" si="14"/>
        <v>55.504704130789705</v>
      </c>
      <c r="AT13" s="393">
        <f t="shared" si="15"/>
        <v>41.5830557646253</v>
      </c>
      <c r="AU13" s="393">
        <f t="shared" si="16"/>
        <v>32.21065394043034</v>
      </c>
      <c r="AV13" s="393">
        <f t="shared" si="17"/>
        <v>27.550871480040819</v>
      </c>
      <c r="AW13" s="393">
        <f t="shared" si="18"/>
        <v>10.496307924692161</v>
      </c>
      <c r="AX13" s="393">
        <f t="shared" si="19"/>
        <v>2.4114119013712085</v>
      </c>
      <c r="AY13" s="393">
        <f t="shared" si="20"/>
        <v>-2.1800065061278113</v>
      </c>
      <c r="AZ13" s="393">
        <f t="shared" si="21"/>
        <v>-1.40433554525351</v>
      </c>
      <c r="BA13" s="393">
        <f t="shared" si="22"/>
        <v>4.5520757542238952</v>
      </c>
      <c r="BB13" s="393">
        <f t="shared" si="23"/>
        <v>18.12814374789189</v>
      </c>
      <c r="BC13" s="393">
        <f t="shared" si="24"/>
        <v>36.773776194869384</v>
      </c>
      <c r="BD13" s="393">
        <f t="shared" si="25"/>
        <v>65.503984577484573</v>
      </c>
    </row>
    <row r="14" spans="1:56" ht="15">
      <c r="A14" s="389" t="str">
        <f>VLOOKUP(CONCATENATE($C14," - ",$B14),[2]ACHIEV!$B$12:$C$100,2,FALSE)</f>
        <v>Retro12Med</v>
      </c>
      <c r="B14" s="389" t="str">
        <f>'SC-Retro'!$C$7</f>
        <v>Retro</v>
      </c>
      <c r="C14" s="389" t="str">
        <f>'SC-Retro'!$C$8</f>
        <v>ResWx</v>
      </c>
      <c r="D14" s="389" t="s">
        <v>1171</v>
      </c>
      <c r="E14" s="389" t="str">
        <f>'SC-Retro'!$A$9</f>
        <v>HVAC</v>
      </c>
      <c r="F14" s="390">
        <f t="shared" si="1"/>
        <v>0.38127328102225538</v>
      </c>
      <c r="G14" s="391">
        <f>'SC-Retro'!A169</f>
        <v>696.18068172704102</v>
      </c>
      <c r="H14" s="391">
        <f>'SC-Retro'!B169</f>
        <v>32.871622467373534</v>
      </c>
      <c r="I14" s="384" t="str">
        <f>'SC-Retro'!C169</f>
        <v>Single Family</v>
      </c>
      <c r="J14" s="384" t="str">
        <f>'SC-Retro'!D169</f>
        <v>FLOOR R0 - R19_Electric FAF</v>
      </c>
      <c r="K14" s="392">
        <f>'SC-Retro'!E169</f>
        <v>0.134176478373879</v>
      </c>
      <c r="L14" s="392">
        <f>'SC-Retro'!F169</f>
        <v>0.13387179293564627</v>
      </c>
      <c r="M14" s="392">
        <f>'SC-Retro'!G169</f>
        <v>0.13356779937140958</v>
      </c>
      <c r="N14" s="392">
        <f>'SC-Retro'!H169</f>
        <v>0.13326449611007446</v>
      </c>
      <c r="O14" s="392">
        <f>'SC-Retro'!I169</f>
        <v>0.13296188158411393</v>
      </c>
      <c r="P14" s="392">
        <f>'SC-Retro'!J169</f>
        <v>0.11939395880660456</v>
      </c>
      <c r="Q14" s="392">
        <f>'SC-Retro'!K169</f>
        <v>9.5298272989918928E-2</v>
      </c>
      <c r="R14" s="392">
        <f>'SC-Retro'!L169</f>
        <v>7.6065497162815701E-2</v>
      </c>
      <c r="S14" s="392">
        <f>'SC-Retro'!M169</f>
        <v>6.0714215243317028E-2</v>
      </c>
      <c r="T14" s="392">
        <f>'SC-Retro'!N169</f>
        <v>4.8461077230871237E-2</v>
      </c>
      <c r="U14" s="392">
        <f>'SC-Retro'!O169</f>
        <v>3.8680826178264238E-2</v>
      </c>
      <c r="V14" s="392">
        <f>'SC-Retro'!P169</f>
        <v>3.0874392385152369E-2</v>
      </c>
      <c r="W14" s="392">
        <f>'SC-Retro'!Q169</f>
        <v>2.4643426713775788E-2</v>
      </c>
      <c r="X14" s="392">
        <f>'SC-Retro'!R169</f>
        <v>1.9669973504945499E-2</v>
      </c>
      <c r="Y14" s="392">
        <f>'SC-Retro'!S169</f>
        <v>1.5700245837522858E-2</v>
      </c>
      <c r="Z14" s="392">
        <f>'SC-Retro'!T169</f>
        <v>1.2531675210273081E-2</v>
      </c>
      <c r="AA14" s="392">
        <f>'SC-Retro'!U169</f>
        <v>8.5281537613503722E-5</v>
      </c>
      <c r="AB14" s="392">
        <f>'SC-Retro'!V169</f>
        <v>3.0388529247331589E-5</v>
      </c>
      <c r="AC14" s="392">
        <f>'SC-Retro'!W169</f>
        <v>1.0336201208012002E-5</v>
      </c>
      <c r="AD14" s="392">
        <f>'SC-Retro'!X169</f>
        <v>3.3628467246702621E-6</v>
      </c>
      <c r="AE14" s="392">
        <f>'SC-Retro'!Y169</f>
        <v>1.17490041647703</v>
      </c>
      <c r="AF14" s="393">
        <f t="shared" si="2"/>
        <v>81.220996410023531</v>
      </c>
      <c r="AG14" s="393">
        <f t="shared" si="3"/>
        <v>59.258823231612098</v>
      </c>
      <c r="AH14" s="393">
        <f t="shared" si="4"/>
        <v>53.697621406576935</v>
      </c>
      <c r="AI14" s="393">
        <f t="shared" si="5"/>
        <v>42.794901601730594</v>
      </c>
      <c r="AJ14" s="393">
        <f t="shared" si="6"/>
        <v>16.478138497052743</v>
      </c>
      <c r="AK14" s="393">
        <f t="shared" si="7"/>
        <v>3.5625277984431514</v>
      </c>
      <c r="AL14" s="393">
        <f t="shared" si="8"/>
        <v>-8.3134701851134096</v>
      </c>
      <c r="AM14" s="393">
        <f t="shared" si="9"/>
        <v>-8.5204788954921646</v>
      </c>
      <c r="AN14" s="393">
        <f t="shared" si="10"/>
        <v>5.6830046095935991</v>
      </c>
      <c r="AO14" s="393">
        <f t="shared" si="11"/>
        <v>32.33404707685505</v>
      </c>
      <c r="AP14" s="393">
        <f t="shared" si="12"/>
        <v>52.2791878374926</v>
      </c>
      <c r="AQ14" s="393">
        <f t="shared" si="13"/>
        <v>94.655223815770341</v>
      </c>
      <c r="AR14" s="393"/>
      <c r="AS14" s="393">
        <f t="shared" si="14"/>
        <v>51.627614760485571</v>
      </c>
      <c r="AT14" s="393">
        <f t="shared" si="15"/>
        <v>38.678415049670839</v>
      </c>
      <c r="AU14" s="393">
        <f t="shared" si="16"/>
        <v>29.96068997866027</v>
      </c>
      <c r="AV14" s="393">
        <f t="shared" si="17"/>
        <v>25.629029948120209</v>
      </c>
      <c r="AW14" s="393">
        <f t="shared" si="18"/>
        <v>9.7759541289748544</v>
      </c>
      <c r="AX14" s="393">
        <f t="shared" si="19"/>
        <v>2.253160231278649</v>
      </c>
      <c r="AY14" s="393">
        <f t="shared" si="20"/>
        <v>-1.9230018607804791</v>
      </c>
      <c r="AZ14" s="393">
        <f t="shared" si="21"/>
        <v>-1.2381359264623415</v>
      </c>
      <c r="BA14" s="393">
        <f t="shared" si="22"/>
        <v>4.2841580382333095</v>
      </c>
      <c r="BB14" s="393">
        <f t="shared" si="23"/>
        <v>16.86877307001739</v>
      </c>
      <c r="BC14" s="393">
        <f t="shared" si="24"/>
        <v>34.205071090972048</v>
      </c>
      <c r="BD14" s="393">
        <f t="shared" si="25"/>
        <v>60.928430013325553</v>
      </c>
    </row>
    <row r="15" spans="1:56" ht="15">
      <c r="A15" s="389" t="str">
        <f>VLOOKUP(CONCATENATE($C15," - ",$B15),[2]ACHIEV!$B$12:$C$100,2,FALSE)</f>
        <v>Retro12Med</v>
      </c>
      <c r="B15" s="389" t="str">
        <f>'SC-Retro'!$C$7</f>
        <v>Retro</v>
      </c>
      <c r="C15" s="389" t="str">
        <f>'SC-Retro'!$C$8</f>
        <v>ResWx</v>
      </c>
      <c r="D15" s="389" t="s">
        <v>1171</v>
      </c>
      <c r="E15" s="389" t="str">
        <f>'SC-Retro'!$A$9</f>
        <v>HVAC</v>
      </c>
      <c r="F15" s="390">
        <f t="shared" si="1"/>
        <v>0.65850115617751936</v>
      </c>
      <c r="G15" s="391">
        <f>'SC-Retro'!A170</f>
        <v>1286.2683666714556</v>
      </c>
      <c r="H15" s="391">
        <f>'SC-Retro'!B170</f>
        <v>17.914039421903194</v>
      </c>
      <c r="I15" s="384" t="str">
        <f>'SC-Retro'!C170</f>
        <v>Single Family</v>
      </c>
      <c r="J15" s="384" t="str">
        <f>'SC-Retro'!D170</f>
        <v>WALL R0 - R11_Electric Zonal</v>
      </c>
      <c r="K15" s="392">
        <f>'SC-Retro'!E170</f>
        <v>0.95013416235608072</v>
      </c>
      <c r="L15" s="392">
        <f>'SC-Retro'!F170</f>
        <v>0.9479766154660012</v>
      </c>
      <c r="M15" s="392">
        <f>'SC-Retro'!G170</f>
        <v>0.94582396789305756</v>
      </c>
      <c r="N15" s="392">
        <f>'SC-Retro'!H170</f>
        <v>0.94367620851197187</v>
      </c>
      <c r="O15" s="392">
        <f>'SC-Retro'!I170</f>
        <v>0.94153332622272967</v>
      </c>
      <c r="P15" s="392">
        <f>'SC-Retro'!J170</f>
        <v>0.84545577895546953</v>
      </c>
      <c r="Q15" s="392">
        <f>'SC-Retro'!K170</f>
        <v>0.67482874702489526</v>
      </c>
      <c r="R15" s="392">
        <f>'SC-Retro'!L170</f>
        <v>0.53863708681938738</v>
      </c>
      <c r="S15" s="392">
        <f>'SC-Retro'!M170</f>
        <v>0.42993116783534557</v>
      </c>
      <c r="T15" s="392">
        <f>'SC-Retro'!N170</f>
        <v>0.34316391054269141</v>
      </c>
      <c r="U15" s="392">
        <f>'SC-Retro'!O170</f>
        <v>0.27390772828094284</v>
      </c>
      <c r="V15" s="392">
        <f>'SC-Retro'!P170</f>
        <v>0.21862859498651507</v>
      </c>
      <c r="W15" s="392">
        <f>'SC-Retro'!Q170</f>
        <v>0.1745057098087848</v>
      </c>
      <c r="X15" s="392">
        <f>'SC-Retro'!R170</f>
        <v>0.13928755640471496</v>
      </c>
      <c r="Y15" s="392">
        <f>'SC-Retro'!S170</f>
        <v>0.11117701186084619</v>
      </c>
      <c r="Z15" s="392">
        <f>'SC-Retro'!T170</f>
        <v>8.8739642544898079E-2</v>
      </c>
      <c r="AA15" s="392">
        <f>'SC-Retro'!U170</f>
        <v>6.0389796547693087E-4</v>
      </c>
      <c r="AB15" s="392">
        <f>'SC-Retro'!V170</f>
        <v>2.1518808759604161E-4</v>
      </c>
      <c r="AC15" s="392">
        <f>'SC-Retro'!W170</f>
        <v>7.3192991765315746E-5</v>
      </c>
      <c r="AD15" s="392">
        <f>'SC-Retro'!X170</f>
        <v>2.3813082550678198E-5</v>
      </c>
      <c r="AE15" s="392">
        <f>'SC-Retro'!Y170</f>
        <v>8.3197370849951646</v>
      </c>
      <c r="AF15" s="393">
        <f t="shared" si="2"/>
        <v>140.27765045190438</v>
      </c>
      <c r="AG15" s="393">
        <f t="shared" si="3"/>
        <v>102.34654656919967</v>
      </c>
      <c r="AH15" s="393">
        <f t="shared" si="4"/>
        <v>92.741735495883404</v>
      </c>
      <c r="AI15" s="393">
        <f t="shared" si="5"/>
        <v>74.54646718376182</v>
      </c>
      <c r="AJ15" s="393">
        <f t="shared" si="6"/>
        <v>31.659209879130568</v>
      </c>
      <c r="AK15" s="393">
        <f t="shared" si="7"/>
        <v>9.6954598432118626</v>
      </c>
      <c r="AL15" s="393">
        <f t="shared" si="8"/>
        <v>9.8821149710136655</v>
      </c>
      <c r="AM15" s="393">
        <f t="shared" si="9"/>
        <v>9.5622263460787362</v>
      </c>
      <c r="AN15" s="393">
        <f t="shared" si="10"/>
        <v>19.846526871902395</v>
      </c>
      <c r="AO15" s="393">
        <f t="shared" si="11"/>
        <v>57.669726886632972</v>
      </c>
      <c r="AP15" s="393">
        <f t="shared" si="12"/>
        <v>90.291943727892928</v>
      </c>
      <c r="AQ15" s="393">
        <f t="shared" si="13"/>
        <v>163.48004810042886</v>
      </c>
      <c r="AR15" s="393"/>
      <c r="AS15" s="393">
        <f t="shared" si="14"/>
        <v>89.166604906895856</v>
      </c>
      <c r="AT15" s="393">
        <f t="shared" si="15"/>
        <v>66.801903771052636</v>
      </c>
      <c r="AU15" s="393">
        <f t="shared" si="16"/>
        <v>51.745427683594727</v>
      </c>
      <c r="AV15" s="393">
        <f t="shared" si="17"/>
        <v>44.430260763875758</v>
      </c>
      <c r="AW15" s="393">
        <f t="shared" si="18"/>
        <v>17.694541624810864</v>
      </c>
      <c r="AX15" s="393">
        <f t="shared" si="19"/>
        <v>4.5350638583250724</v>
      </c>
      <c r="AY15" s="393">
        <f t="shared" si="20"/>
        <v>3.2939709531255938</v>
      </c>
      <c r="AZ15" s="393">
        <f t="shared" si="21"/>
        <v>2.1634788121957693</v>
      </c>
      <c r="BA15" s="393">
        <f t="shared" si="22"/>
        <v>10.560773672711321</v>
      </c>
      <c r="BB15" s="393">
        <f t="shared" si="23"/>
        <v>29.570598383722167</v>
      </c>
      <c r="BC15" s="393">
        <f t="shared" si="24"/>
        <v>59.075943638506843</v>
      </c>
      <c r="BD15" s="393">
        <f t="shared" si="25"/>
        <v>105.23014227559788</v>
      </c>
    </row>
    <row r="16" spans="1:56" ht="15">
      <c r="A16" s="389" t="str">
        <f>VLOOKUP(CONCATENATE($C16," - ",$B16),[2]ACHIEV!$B$12:$C$100,2,FALSE)</f>
        <v>Retro12Med</v>
      </c>
      <c r="B16" s="389" t="str">
        <f>'SC-Retro'!$C$7</f>
        <v>Retro</v>
      </c>
      <c r="C16" s="389" t="str">
        <f>'SC-Retro'!$C$8</f>
        <v>ResWx</v>
      </c>
      <c r="D16" s="389" t="s">
        <v>1171</v>
      </c>
      <c r="E16" s="389" t="str">
        <f>'SC-Retro'!$A$9</f>
        <v>HVAC</v>
      </c>
      <c r="F16" s="390">
        <f t="shared" si="1"/>
        <v>0.22039383296775392</v>
      </c>
      <c r="G16" s="391">
        <f>'SC-Retro'!A171</f>
        <v>452.46669970672536</v>
      </c>
      <c r="H16" s="391">
        <f>'SC-Retro'!B171</f>
        <v>36.853078252497284</v>
      </c>
      <c r="I16" s="384" t="str">
        <f>'SC-Retro'!C171</f>
        <v>Single Family</v>
      </c>
      <c r="J16" s="384" t="str">
        <f>'SC-Retro'!D171</f>
        <v>ATTIC R11 - R38_Electric FAF</v>
      </c>
      <c r="K16" s="392">
        <f>'SC-Retro'!E171</f>
        <v>2.750270171621242E-2</v>
      </c>
      <c r="L16" s="392">
        <f>'SC-Retro'!F171</f>
        <v>2.7440249095406259E-2</v>
      </c>
      <c r="M16" s="392">
        <f>'SC-Retro'!G171</f>
        <v>2.7377938290843687E-2</v>
      </c>
      <c r="N16" s="392">
        <f>'SC-Retro'!H171</f>
        <v>2.7315768980491009E-2</v>
      </c>
      <c r="O16" s="392">
        <f>'SC-Retro'!I171</f>
        <v>2.7253740843045826E-2</v>
      </c>
      <c r="P16" s="392">
        <f>'SC-Retro'!J171</f>
        <v>2.447266820214181E-2</v>
      </c>
      <c r="Q16" s="392">
        <f>'SC-Retro'!K171</f>
        <v>1.9533676899826595E-2</v>
      </c>
      <c r="R16" s="392">
        <f>'SC-Retro'!L171</f>
        <v>1.5591456153253651E-2</v>
      </c>
      <c r="S16" s="392">
        <f>'SC-Retro'!M171</f>
        <v>1.2444841092922411E-2</v>
      </c>
      <c r="T16" s="392">
        <f>'SC-Retro'!N171</f>
        <v>9.9332652643717868E-3</v>
      </c>
      <c r="U16" s="392">
        <f>'SC-Retro'!O171</f>
        <v>7.928567193074906E-3</v>
      </c>
      <c r="V16" s="392">
        <f>'SC-Retro'!P171</f>
        <v>6.3284505207542464E-3</v>
      </c>
      <c r="W16" s="392">
        <f>'SC-Retro'!Q171</f>
        <v>5.0512639949138825E-3</v>
      </c>
      <c r="X16" s="392">
        <f>'SC-Retro'!R171</f>
        <v>4.0318349432670207E-3</v>
      </c>
      <c r="Y16" s="392">
        <f>'SC-Retro'!S171</f>
        <v>3.2181436222927266E-3</v>
      </c>
      <c r="Z16" s="392">
        <f>'SC-Retro'!T171</f>
        <v>2.5686687375429738E-3</v>
      </c>
      <c r="AA16" s="392">
        <f>'SC-Retro'!U171</f>
        <v>1.7480505669172119E-5</v>
      </c>
      <c r="AB16" s="392">
        <f>'SC-Retro'!V171</f>
        <v>6.2288611656278329E-6</v>
      </c>
      <c r="AC16" s="392">
        <f>'SC-Retro'!W171</f>
        <v>2.1186534491581183E-6</v>
      </c>
      <c r="AD16" s="392">
        <f>'SC-Retro'!X171</f>
        <v>6.8929645126200619E-7</v>
      </c>
      <c r="AE16" s="392">
        <f>'SC-Retro'!Y171</f>
        <v>0.24082414512760125</v>
      </c>
      <c r="AF16" s="393">
        <f t="shared" si="2"/>
        <v>46.949544086254463</v>
      </c>
      <c r="AG16" s="393">
        <f t="shared" si="3"/>
        <v>34.254378261589295</v>
      </c>
      <c r="AH16" s="393">
        <f t="shared" si="4"/>
        <v>31.039742861908024</v>
      </c>
      <c r="AI16" s="393">
        <f t="shared" si="5"/>
        <v>25.116220344663656</v>
      </c>
      <c r="AJ16" s="393">
        <f t="shared" si="6"/>
        <v>11.433831696366548</v>
      </c>
      <c r="AK16" s="393">
        <f t="shared" si="7"/>
        <v>4.1725780647525728</v>
      </c>
      <c r="AL16" s="393">
        <f t="shared" si="8"/>
        <v>9.6546497106177576</v>
      </c>
      <c r="AM16" s="393">
        <f t="shared" si="9"/>
        <v>9.5574415192158497</v>
      </c>
      <c r="AN16" s="393">
        <f t="shared" si="10"/>
        <v>9.2690853037082555</v>
      </c>
      <c r="AO16" s="393">
        <f t="shared" si="11"/>
        <v>19.779418482216293</v>
      </c>
      <c r="AP16" s="393">
        <f t="shared" si="12"/>
        <v>30.21982175371377</v>
      </c>
      <c r="AQ16" s="393">
        <f t="shared" si="13"/>
        <v>54.715157409523655</v>
      </c>
      <c r="AR16" s="393"/>
      <c r="AS16" s="393">
        <f t="shared" si="14"/>
        <v>29.843181965278685</v>
      </c>
      <c r="AT16" s="393">
        <f t="shared" si="15"/>
        <v>22.357937390889528</v>
      </c>
      <c r="AU16" s="393">
        <f t="shared" si="16"/>
        <v>17.318683556978847</v>
      </c>
      <c r="AV16" s="393">
        <f t="shared" si="17"/>
        <v>14.913858954515687</v>
      </c>
      <c r="AW16" s="393">
        <f t="shared" si="18"/>
        <v>6.1343832627231718</v>
      </c>
      <c r="AX16" s="393">
        <f t="shared" si="19"/>
        <v>1.6863656647345879</v>
      </c>
      <c r="AY16" s="393">
        <f t="shared" si="20"/>
        <v>2.8346122403655949</v>
      </c>
      <c r="AZ16" s="393">
        <f t="shared" si="21"/>
        <v>1.8505156766170554</v>
      </c>
      <c r="BA16" s="393">
        <f t="shared" si="22"/>
        <v>4.362421862271729</v>
      </c>
      <c r="BB16" s="393">
        <f t="shared" si="23"/>
        <v>10.011245530821018</v>
      </c>
      <c r="BC16" s="393">
        <f t="shared" si="24"/>
        <v>19.77213484370494</v>
      </c>
      <c r="BD16" s="393">
        <f t="shared" si="25"/>
        <v>35.219489263294413</v>
      </c>
    </row>
    <row r="17" spans="1:56" ht="15">
      <c r="A17" s="389" t="str">
        <f>VLOOKUP(CONCATENATE($C17," - ",$B17),[2]ACHIEV!$B$12:$C$100,2,FALSE)</f>
        <v>Retro12Med</v>
      </c>
      <c r="B17" s="389" t="str">
        <f>'SC-Retro'!$C$7</f>
        <v>Retro</v>
      </c>
      <c r="C17" s="389" t="str">
        <f>'SC-Retro'!$C$8</f>
        <v>ResWx</v>
      </c>
      <c r="D17" s="389" t="s">
        <v>1171</v>
      </c>
      <c r="E17" s="389" t="str">
        <f>'SC-Retro'!$A$9</f>
        <v>HVAC</v>
      </c>
      <c r="F17" s="390">
        <f t="shared" si="1"/>
        <v>0.6447752331267802</v>
      </c>
      <c r="G17" s="391">
        <f>'SC-Retro'!A172</f>
        <v>1259.0493800803215</v>
      </c>
      <c r="H17" s="391">
        <f>'SC-Retro'!B172</f>
        <v>20.563825946152182</v>
      </c>
      <c r="I17" s="384" t="str">
        <f>'SC-Retro'!C172</f>
        <v>Single Family</v>
      </c>
      <c r="J17" s="384" t="str">
        <f>'SC-Retro'!D172</f>
        <v>WALL R0 - R11_DHP</v>
      </c>
      <c r="K17" s="392">
        <f>'SC-Retro'!E172</f>
        <v>8.1164510545336147E-2</v>
      </c>
      <c r="L17" s="392">
        <f>'SC-Retro'!F172</f>
        <v>8.0980203692420039E-2</v>
      </c>
      <c r="M17" s="392">
        <f>'SC-Retro'!G172</f>
        <v>8.0796315360059351E-2</v>
      </c>
      <c r="N17" s="392">
        <f>'SC-Retro'!H172</f>
        <v>8.0612844597885425E-2</v>
      </c>
      <c r="O17" s="392">
        <f>'SC-Retro'!I172</f>
        <v>8.0429790457687667E-2</v>
      </c>
      <c r="P17" s="392">
        <f>'SC-Retro'!J172</f>
        <v>7.2222436794067812E-2</v>
      </c>
      <c r="Q17" s="392">
        <f>'SC-Retro'!K172</f>
        <v>5.7646748348020353E-2</v>
      </c>
      <c r="R17" s="392">
        <f>'SC-Retro'!L172</f>
        <v>4.6012676151809671E-2</v>
      </c>
      <c r="S17" s="392">
        <f>'SC-Retro'!M172</f>
        <v>3.6726553141726702E-2</v>
      </c>
      <c r="T17" s="392">
        <f>'SC-Retro'!N172</f>
        <v>2.9314524137258342E-2</v>
      </c>
      <c r="U17" s="392">
        <f>'SC-Retro'!O172</f>
        <v>2.3398365811181029E-2</v>
      </c>
      <c r="V17" s="392">
        <f>'SC-Retro'!P172</f>
        <v>1.8676186591683457E-2</v>
      </c>
      <c r="W17" s="392">
        <f>'SC-Retro'!Q172</f>
        <v>1.4907021645105713E-2</v>
      </c>
      <c r="X17" s="392">
        <f>'SC-Retro'!R172</f>
        <v>1.1898536847270786E-2</v>
      </c>
      <c r="Y17" s="392">
        <f>'SC-Retro'!S172</f>
        <v>9.4972142978233809E-3</v>
      </c>
      <c r="Z17" s="392">
        <f>'SC-Retro'!T172</f>
        <v>7.580518560941359E-3</v>
      </c>
      <c r="AA17" s="392">
        <f>'SC-Retro'!U172</f>
        <v>5.1587538612141879E-5</v>
      </c>
      <c r="AB17" s="392">
        <f>'SC-Retro'!V172</f>
        <v>1.8382283783596934E-5</v>
      </c>
      <c r="AC17" s="392">
        <f>'SC-Retro'!W172</f>
        <v>6.2524573763871155E-6</v>
      </c>
      <c r="AD17" s="392">
        <f>'SC-Retro'!X172</f>
        <v>2.0342150260219102E-6</v>
      </c>
      <c r="AE17" s="392">
        <f>'SC-Retro'!Y172</f>
        <v>0.71070740862009463</v>
      </c>
      <c r="AF17" s="393">
        <f t="shared" si="2"/>
        <v>137.35367648803441</v>
      </c>
      <c r="AG17" s="393">
        <f t="shared" si="3"/>
        <v>100.21321573213274</v>
      </c>
      <c r="AH17" s="393">
        <f t="shared" si="4"/>
        <v>90.808609163352955</v>
      </c>
      <c r="AI17" s="393">
        <f t="shared" si="5"/>
        <v>72.989520140920405</v>
      </c>
      <c r="AJ17" s="393">
        <f t="shared" si="6"/>
        <v>30.983746280014437</v>
      </c>
      <c r="AK17" s="393">
        <f t="shared" si="7"/>
        <v>9.4761458366805691</v>
      </c>
      <c r="AL17" s="393">
        <f t="shared" si="8"/>
        <v>9.5583009984417</v>
      </c>
      <c r="AM17" s="393">
        <f t="shared" si="9"/>
        <v>9.2448972378790231</v>
      </c>
      <c r="AN17" s="393">
        <f t="shared" si="10"/>
        <v>19.384081071154988</v>
      </c>
      <c r="AO17" s="393">
        <f t="shared" si="11"/>
        <v>56.458775869204835</v>
      </c>
      <c r="AP17" s="393">
        <f t="shared" si="12"/>
        <v>88.409881319825374</v>
      </c>
      <c r="AQ17" s="393">
        <f t="shared" si="13"/>
        <v>160.07243895729061</v>
      </c>
      <c r="AR17" s="393"/>
      <c r="AS17" s="393">
        <f t="shared" si="14"/>
        <v>87.30799927474753</v>
      </c>
      <c r="AT17" s="393">
        <f t="shared" si="15"/>
        <v>65.409472213108387</v>
      </c>
      <c r="AU17" s="393">
        <f t="shared" si="16"/>
        <v>50.666836170201634</v>
      </c>
      <c r="AV17" s="393">
        <f t="shared" si="17"/>
        <v>43.503340639797763</v>
      </c>
      <c r="AW17" s="393">
        <f t="shared" si="18"/>
        <v>17.3217740609843</v>
      </c>
      <c r="AX17" s="393">
        <f t="shared" si="19"/>
        <v>4.4374056414362855</v>
      </c>
      <c r="AY17" s="393">
        <f t="shared" si="20"/>
        <v>3.1931551671670464</v>
      </c>
      <c r="AZ17" s="393">
        <f t="shared" si="21"/>
        <v>2.0974720096842785</v>
      </c>
      <c r="BA17" s="393">
        <f t="shared" si="22"/>
        <v>10.325274994275114</v>
      </c>
      <c r="BB17" s="393">
        <f t="shared" si="23"/>
        <v>28.952102131950621</v>
      </c>
      <c r="BC17" s="393">
        <f t="shared" si="24"/>
        <v>57.844553459575465</v>
      </c>
      <c r="BD17" s="393">
        <f t="shared" si="25"/>
        <v>103.03670522246108</v>
      </c>
    </row>
    <row r="18" spans="1:56" ht="15">
      <c r="A18" s="389" t="str">
        <f>VLOOKUP(CONCATENATE($C18," - ",$B18),[2]ACHIEV!$B$12:$C$100,2,FALSE)</f>
        <v>Retro12Med</v>
      </c>
      <c r="B18" s="389" t="str">
        <f>'SC-Retro'!$C$7</f>
        <v>Retro</v>
      </c>
      <c r="C18" s="389" t="str">
        <f>'SC-Retro'!$C$8</f>
        <v>ResWx</v>
      </c>
      <c r="D18" s="389" t="s">
        <v>1171</v>
      </c>
      <c r="E18" s="389" t="str">
        <f>'SC-Retro'!$A$9</f>
        <v>HVAC</v>
      </c>
      <c r="F18" s="390">
        <f t="shared" si="1"/>
        <v>0.72399088979316295</v>
      </c>
      <c r="G18" s="391">
        <f>'SC-Retro'!A173</f>
        <v>1451.4464353474798</v>
      </c>
      <c r="H18" s="391">
        <f>'SC-Retro'!B173</f>
        <v>24.826671733747755</v>
      </c>
      <c r="I18" s="384" t="str">
        <f>'SC-Retro'!C173</f>
        <v>Single Family</v>
      </c>
      <c r="J18" s="384" t="str">
        <f>'SC-Retro'!D173</f>
        <v>WINDOW CL30 Prime Window Replacement of Single Pane Base_Electric FAF</v>
      </c>
      <c r="K18" s="392">
        <f>'SC-Retro'!E173</f>
        <v>0.12585025645395431</v>
      </c>
      <c r="L18" s="392">
        <f>'SC-Retro'!F173</f>
        <v>0.125564478044772</v>
      </c>
      <c r="M18" s="392">
        <f>'SC-Retro'!G173</f>
        <v>0.12527934857585765</v>
      </c>
      <c r="N18" s="392">
        <f>'SC-Retro'!H173</f>
        <v>0.12499486657360993</v>
      </c>
      <c r="O18" s="392">
        <f>'SC-Retro'!I173</f>
        <v>0.12471103056777366</v>
      </c>
      <c r="P18" s="392">
        <f>'SC-Retro'!J173</f>
        <v>0.11198505518228895</v>
      </c>
      <c r="Q18" s="392">
        <f>'SC-Retro'!K173</f>
        <v>8.9384609290319994E-2</v>
      </c>
      <c r="R18" s="392">
        <f>'SC-Retro'!L173</f>
        <v>7.1345309112699887E-2</v>
      </c>
      <c r="S18" s="392">
        <f>'SC-Retro'!M173</f>
        <v>5.6946639615036515E-2</v>
      </c>
      <c r="T18" s="392">
        <f>'SC-Retro'!N173</f>
        <v>4.5453861000478692E-2</v>
      </c>
      <c r="U18" s="392">
        <f>'SC-Retro'!O173</f>
        <v>3.6280516178259364E-2</v>
      </c>
      <c r="V18" s="392">
        <f>'SC-Retro'!P173</f>
        <v>2.8958504848401696E-2</v>
      </c>
      <c r="W18" s="392">
        <f>'SC-Retro'!Q173</f>
        <v>2.3114197133651086E-2</v>
      </c>
      <c r="X18" s="392">
        <f>'SC-Retro'!R173</f>
        <v>1.8449367877595109E-2</v>
      </c>
      <c r="Y18" s="392">
        <f>'SC-Retro'!S173</f>
        <v>1.4725978718390908E-2</v>
      </c>
      <c r="Z18" s="392">
        <f>'SC-Retro'!T173</f>
        <v>1.1754031393013186E-2</v>
      </c>
      <c r="AA18" s="392">
        <f>'SC-Retro'!U173</f>
        <v>7.9989455003734867E-5</v>
      </c>
      <c r="AB18" s="392">
        <f>'SC-Retro'!V173</f>
        <v>2.8502791587498494E-5</v>
      </c>
      <c r="AC18" s="392">
        <f>'SC-Retro'!W173</f>
        <v>9.6947959027759081E-6</v>
      </c>
      <c r="AD18" s="392">
        <f>'SC-Retro'!X173</f>
        <v>3.1541677635614772E-6</v>
      </c>
      <c r="AE18" s="392">
        <f>'SC-Retro'!Y173</f>
        <v>1.1019928419158531</v>
      </c>
      <c r="AF18" s="393">
        <f t="shared" si="2"/>
        <v>154.22864487938722</v>
      </c>
      <c r="AG18" s="393">
        <f t="shared" si="3"/>
        <v>112.52518939832636</v>
      </c>
      <c r="AH18" s="393">
        <f t="shared" si="4"/>
        <v>101.96515370206274</v>
      </c>
      <c r="AI18" s="393">
        <f t="shared" si="5"/>
        <v>82.242297596346376</v>
      </c>
      <c r="AJ18" s="393">
        <f t="shared" si="6"/>
        <v>36.228796978622789</v>
      </c>
      <c r="AK18" s="393">
        <f t="shared" si="7"/>
        <v>12.232994879138973</v>
      </c>
      <c r="AL18" s="393">
        <f t="shared" si="8"/>
        <v>21.630320947343872</v>
      </c>
      <c r="AM18" s="393">
        <f t="shared" si="9"/>
        <v>21.295334085277883</v>
      </c>
      <c r="AN18" s="393">
        <f t="shared" si="10"/>
        <v>26.27534018978583</v>
      </c>
      <c r="AO18" s="393">
        <f t="shared" si="11"/>
        <v>64.215749518519345</v>
      </c>
      <c r="AP18" s="393">
        <f t="shared" si="12"/>
        <v>99.271723469971761</v>
      </c>
      <c r="AQ18" s="393">
        <f t="shared" si="13"/>
        <v>179.73858417304203</v>
      </c>
      <c r="AR18" s="393"/>
      <c r="AS18" s="393">
        <f t="shared" si="14"/>
        <v>98.034466638014393</v>
      </c>
      <c r="AT18" s="393">
        <f t="shared" si="15"/>
        <v>73.445535056955379</v>
      </c>
      <c r="AU18" s="393">
        <f t="shared" si="16"/>
        <v>56.89165141157951</v>
      </c>
      <c r="AV18" s="393">
        <f t="shared" si="17"/>
        <v>48.922733170930762</v>
      </c>
      <c r="AW18" s="393">
        <f t="shared" si="18"/>
        <v>19.814212863924045</v>
      </c>
      <c r="AX18" s="393">
        <f t="shared" si="19"/>
        <v>5.271920495195296</v>
      </c>
      <c r="AY18" s="393">
        <f t="shared" si="20"/>
        <v>6.5594452318078265</v>
      </c>
      <c r="AZ18" s="393">
        <f t="shared" si="21"/>
        <v>4.289149001549287</v>
      </c>
      <c r="BA18" s="393">
        <f t="shared" si="22"/>
        <v>13.015151090477477</v>
      </c>
      <c r="BB18" s="393">
        <f t="shared" si="23"/>
        <v>32.705266871960518</v>
      </c>
      <c r="BC18" s="393">
        <f t="shared" si="24"/>
        <v>64.951207145159827</v>
      </c>
      <c r="BD18" s="393">
        <f t="shared" si="25"/>
        <v>115.69556655210039</v>
      </c>
    </row>
    <row r="19" spans="1:56" ht="15">
      <c r="A19" s="389" t="str">
        <f>VLOOKUP(CONCATENATE($C19," - ",$B19),[2]ACHIEV!$B$12:$C$100,2,FALSE)</f>
        <v>Retro12Med</v>
      </c>
      <c r="B19" s="389" t="str">
        <f>'SC-Retro'!$C$7</f>
        <v>Retro</v>
      </c>
      <c r="C19" s="389" t="str">
        <f>'SC-Retro'!$C$8</f>
        <v>ResWx</v>
      </c>
      <c r="D19" s="389" t="s">
        <v>1171</v>
      </c>
      <c r="E19" s="389" t="str">
        <f>'SC-Retro'!$A$9</f>
        <v>HVAC</v>
      </c>
      <c r="F19" s="390">
        <f t="shared" si="1"/>
        <v>0.34761004959546665</v>
      </c>
      <c r="G19" s="391">
        <f>'SC-Retro'!A174</f>
        <v>639.13948315058769</v>
      </c>
      <c r="H19" s="391">
        <f>'SC-Retro'!B174</f>
        <v>42.214748463118696</v>
      </c>
      <c r="I19" s="384" t="str">
        <f>'SC-Retro'!C174</f>
        <v>Single Family</v>
      </c>
      <c r="J19" s="384" t="str">
        <f>'SC-Retro'!D174</f>
        <v>FLOOR R0 - R30_Electric Zonal</v>
      </c>
      <c r="K19" s="392">
        <f>'SC-Retro'!E174</f>
        <v>0.58614077039095036</v>
      </c>
      <c r="L19" s="392">
        <f>'SC-Retro'!F174</f>
        <v>0.58480977288932423</v>
      </c>
      <c r="M19" s="392">
        <f>'SC-Retro'!G174</f>
        <v>0.58348179779193732</v>
      </c>
      <c r="N19" s="392">
        <f>'SC-Retro'!H174</f>
        <v>0.58215683823557085</v>
      </c>
      <c r="O19" s="392">
        <f>'SC-Retro'!I174</f>
        <v>0.58083488737259059</v>
      </c>
      <c r="P19" s="392">
        <f>'SC-Retro'!J174</f>
        <v>0.52156434453382072</v>
      </c>
      <c r="Q19" s="392">
        <f>'SC-Retro'!K174</f>
        <v>0.41630398877805447</v>
      </c>
      <c r="R19" s="392">
        <f>'SC-Retro'!L174</f>
        <v>0.33228692277157806</v>
      </c>
      <c r="S19" s="392">
        <f>'SC-Retro'!M174</f>
        <v>0.2652258974724126</v>
      </c>
      <c r="T19" s="392">
        <f>'SC-Retro'!N174</f>
        <v>0.21169890197094338</v>
      </c>
      <c r="U19" s="392">
        <f>'SC-Retro'!O174</f>
        <v>0.16897454405018897</v>
      </c>
      <c r="V19" s="392">
        <f>'SC-Retro'!P174</f>
        <v>0.1348726718520637</v>
      </c>
      <c r="W19" s="392">
        <f>'SC-Retro'!Q174</f>
        <v>0.10765312440855861</v>
      </c>
      <c r="X19" s="392">
        <f>'SC-Retro'!R174</f>
        <v>8.5926934165257055E-2</v>
      </c>
      <c r="Y19" s="392">
        <f>'SC-Retro'!S174</f>
        <v>6.8585450311866886E-2</v>
      </c>
      <c r="Z19" s="392">
        <f>'SC-Retro'!T174</f>
        <v>5.4743766202978543E-2</v>
      </c>
      <c r="AA19" s="392">
        <f>'SC-Retro'!U174</f>
        <v>3.7254656526024298E-4</v>
      </c>
      <c r="AB19" s="392">
        <f>'SC-Retro'!V174</f>
        <v>1.327502119592553E-4</v>
      </c>
      <c r="AC19" s="392">
        <f>'SC-Retro'!W174</f>
        <v>4.5152988157121488E-5</v>
      </c>
      <c r="AD19" s="392">
        <f>'SC-Retro'!X174</f>
        <v>1.469036595529428E-5</v>
      </c>
      <c r="AE19" s="392">
        <f>'SC-Retro'!Y174</f>
        <v>5.1324721262065855</v>
      </c>
      <c r="AF19" s="393">
        <f t="shared" si="2"/>
        <v>74.049863957378875</v>
      </c>
      <c r="AG19" s="393">
        <f t="shared" si="3"/>
        <v>54.026766384679568</v>
      </c>
      <c r="AH19" s="393">
        <f t="shared" si="4"/>
        <v>48.956572016409545</v>
      </c>
      <c r="AI19" s="393">
        <f t="shared" si="5"/>
        <v>39.049968730288143</v>
      </c>
      <c r="AJ19" s="393">
        <f t="shared" si="6"/>
        <v>15.19206337289237</v>
      </c>
      <c r="AK19" s="393">
        <f t="shared" si="7"/>
        <v>3.4348854626960721</v>
      </c>
      <c r="AL19" s="393">
        <f t="shared" si="8"/>
        <v>-6.3005887617597676</v>
      </c>
      <c r="AM19" s="393">
        <f t="shared" si="9"/>
        <v>-6.487334621931927</v>
      </c>
      <c r="AN19" s="393">
        <f t="shared" si="10"/>
        <v>5.7104755872081574</v>
      </c>
      <c r="AO19" s="393">
        <f t="shared" si="11"/>
        <v>29.575518275647308</v>
      </c>
      <c r="AP19" s="393">
        <f t="shared" si="12"/>
        <v>47.663374229312318</v>
      </c>
      <c r="AQ19" s="393">
        <f t="shared" si="13"/>
        <v>86.297961810624045</v>
      </c>
      <c r="AR19" s="393"/>
      <c r="AS19" s="393">
        <f t="shared" si="14"/>
        <v>47.069329587615371</v>
      </c>
      <c r="AT19" s="393">
        <f t="shared" si="15"/>
        <v>35.263435553736912</v>
      </c>
      <c r="AU19" s="393">
        <f t="shared" si="16"/>
        <v>27.315412455531028</v>
      </c>
      <c r="AV19" s="393">
        <f t="shared" si="17"/>
        <v>23.374964180700264</v>
      </c>
      <c r="AW19" s="393">
        <f t="shared" si="18"/>
        <v>8.9555736926609821</v>
      </c>
      <c r="AX19" s="393">
        <f t="shared" si="19"/>
        <v>2.0881804106079587</v>
      </c>
      <c r="AY19" s="393">
        <f t="shared" si="20"/>
        <v>-1.4042126506957526</v>
      </c>
      <c r="AZ19" s="393">
        <f t="shared" si="21"/>
        <v>-0.90186106870456295</v>
      </c>
      <c r="BA19" s="393">
        <f t="shared" si="22"/>
        <v>4.0726999267347894</v>
      </c>
      <c r="BB19" s="393">
        <f t="shared" si="23"/>
        <v>15.402423391127591</v>
      </c>
      <c r="BC19" s="393">
        <f t="shared" si="24"/>
        <v>31.185050330487808</v>
      </c>
      <c r="BD19" s="393">
        <f t="shared" si="25"/>
        <v>55.548960897340592</v>
      </c>
    </row>
    <row r="20" spans="1:56" ht="15">
      <c r="A20" s="389" t="str">
        <f>VLOOKUP(CONCATENATE($C20," - ",$B20),[2]ACHIEV!$B$12:$C$100,2,FALSE)</f>
        <v>Retro12Med</v>
      </c>
      <c r="B20" s="389" t="str">
        <f>'SC-Retro'!$C$7</f>
        <v>Retro</v>
      </c>
      <c r="C20" s="389" t="str">
        <f>'SC-Retro'!$C$8</f>
        <v>ResWx</v>
      </c>
      <c r="D20" s="389" t="s">
        <v>1171</v>
      </c>
      <c r="E20" s="389" t="str">
        <f>'SC-Retro'!$A$9</f>
        <v>HVAC</v>
      </c>
      <c r="F20" s="390">
        <f t="shared" si="1"/>
        <v>0.3337706270689636</v>
      </c>
      <c r="G20" s="391">
        <f>'SC-Retro'!A175</f>
        <v>614.24096297616722</v>
      </c>
      <c r="H20" s="391">
        <f>'SC-Retro'!B175</f>
        <v>43.173805867537062</v>
      </c>
      <c r="I20" s="384" t="str">
        <f>'SC-Retro'!C175</f>
        <v>Single Family</v>
      </c>
      <c r="J20" s="384" t="str">
        <f>'SC-Retro'!D175</f>
        <v>FLOOR R0 - R25_Electric Zonal</v>
      </c>
      <c r="K20" s="392">
        <f>'SC-Retro'!E175</f>
        <v>0.24408273189623655</v>
      </c>
      <c r="L20" s="392">
        <f>'SC-Retro'!F175</f>
        <v>0.24352847339255437</v>
      </c>
      <c r="M20" s="392">
        <f>'SC-Retro'!G175</f>
        <v>0.2429754734887187</v>
      </c>
      <c r="N20" s="392">
        <f>'SC-Retro'!H175</f>
        <v>0.2424237293267246</v>
      </c>
      <c r="O20" s="392">
        <f>'SC-Retro'!I175</f>
        <v>0.24187323805505689</v>
      </c>
      <c r="P20" s="392">
        <f>'SC-Retro'!J175</f>
        <v>0.21719159714580813</v>
      </c>
      <c r="Q20" s="392">
        <f>'SC-Retro'!K175</f>
        <v>0.17335872202248112</v>
      </c>
      <c r="R20" s="392">
        <f>'SC-Retro'!L175</f>
        <v>0.13837204982240686</v>
      </c>
      <c r="S20" s="392">
        <f>'SC-Retro'!M175</f>
        <v>0.11044626972718276</v>
      </c>
      <c r="T20" s="392">
        <f>'SC-Retro'!N175</f>
        <v>8.8156376322426191E-2</v>
      </c>
      <c r="U20" s="392">
        <f>'SC-Retro'!O175</f>
        <v>7.0364953977151048E-2</v>
      </c>
      <c r="V20" s="392">
        <f>'SC-Retro'!P175</f>
        <v>5.6164136444286167E-2</v>
      </c>
      <c r="W20" s="392">
        <f>'SC-Retro'!Q175</f>
        <v>4.48292799787334E-2</v>
      </c>
      <c r="X20" s="392">
        <f>'SC-Retro'!R175</f>
        <v>3.5781985990387635E-2</v>
      </c>
      <c r="Y20" s="392">
        <f>'SC-Retro'!S175</f>
        <v>2.8560586340527518E-2</v>
      </c>
      <c r="Z20" s="392">
        <f>'SC-Retro'!T175</f>
        <v>2.2796585196077603E-2</v>
      </c>
      <c r="AA20" s="392">
        <f>'SC-Retro'!U175</f>
        <v>1.5513710698989382E-4</v>
      </c>
      <c r="AB20" s="392">
        <f>'SC-Retro'!V175</f>
        <v>5.5280294481490556E-5</v>
      </c>
      <c r="AC20" s="392">
        <f>'SC-Retro'!W175</f>
        <v>1.8802760803207194E-5</v>
      </c>
      <c r="AD20" s="392">
        <f>'SC-Retro'!X175</f>
        <v>6.1174121235963342E-6</v>
      </c>
      <c r="AE20" s="392">
        <f>'SC-Retro'!Y175</f>
        <v>2.1372814880463245</v>
      </c>
      <c r="AF20" s="393">
        <f t="shared" si="2"/>
        <v>71.101711691560155</v>
      </c>
      <c r="AG20" s="393">
        <f t="shared" si="3"/>
        <v>51.875795063199099</v>
      </c>
      <c r="AH20" s="393">
        <f t="shared" si="4"/>
        <v>47.00746068785979</v>
      </c>
      <c r="AI20" s="393">
        <f t="shared" si="5"/>
        <v>37.499414283664471</v>
      </c>
      <c r="AJ20" s="393">
        <f t="shared" si="6"/>
        <v>14.608106732454331</v>
      </c>
      <c r="AK20" s="393">
        <f t="shared" si="7"/>
        <v>3.3212567187871942</v>
      </c>
      <c r="AL20" s="393">
        <f t="shared" si="8"/>
        <v>-5.8915111033242935</v>
      </c>
      <c r="AM20" s="393">
        <f t="shared" si="9"/>
        <v>-6.0705763494980802</v>
      </c>
      <c r="AN20" s="393">
        <f t="shared" si="10"/>
        <v>5.548604778261093</v>
      </c>
      <c r="AO20" s="393">
        <f t="shared" si="11"/>
        <v>28.409940670955191</v>
      </c>
      <c r="AP20" s="393">
        <f t="shared" si="12"/>
        <v>45.765749072139961</v>
      </c>
      <c r="AQ20" s="393">
        <f t="shared" si="13"/>
        <v>82.862175192650426</v>
      </c>
      <c r="AR20" s="393"/>
      <c r="AS20" s="393">
        <f t="shared" si="14"/>
        <v>45.1953551701314</v>
      </c>
      <c r="AT20" s="393">
        <f t="shared" si="15"/>
        <v>33.859489997697267</v>
      </c>
      <c r="AU20" s="393">
        <f t="shared" si="16"/>
        <v>26.227902083210861</v>
      </c>
      <c r="AV20" s="393">
        <f t="shared" si="17"/>
        <v>22.445419310233866</v>
      </c>
      <c r="AW20" s="393">
        <f t="shared" si="18"/>
        <v>8.6043147186436464</v>
      </c>
      <c r="AX20" s="393">
        <f t="shared" si="19"/>
        <v>2.0092447565695921</v>
      </c>
      <c r="AY20" s="393">
        <f t="shared" si="20"/>
        <v>-1.3051251323330055</v>
      </c>
      <c r="AZ20" s="393">
        <f t="shared" si="21"/>
        <v>-0.83787423562342522</v>
      </c>
      <c r="BA20" s="393">
        <f t="shared" si="22"/>
        <v>3.9311906723088272</v>
      </c>
      <c r="BB20" s="393">
        <f t="shared" si="23"/>
        <v>14.792054051843063</v>
      </c>
      <c r="BC20" s="393">
        <f t="shared" si="24"/>
        <v>29.943477802489433</v>
      </c>
      <c r="BD20" s="393">
        <f t="shared" si="25"/>
        <v>53.337386342286301</v>
      </c>
    </row>
    <row r="21" spans="1:56" ht="15">
      <c r="A21" s="389" t="str">
        <f>VLOOKUP(CONCATENATE($C21," - ",$B21),[2]ACHIEV!$B$12:$C$100,2,FALSE)</f>
        <v>Retro12Med</v>
      </c>
      <c r="B21" s="389" t="str">
        <f>'SC-Retro'!$C$7</f>
        <v>Retro</v>
      </c>
      <c r="C21" s="389" t="str">
        <f>'SC-Retro'!$C$8</f>
        <v>ResWx</v>
      </c>
      <c r="D21" s="389" t="s">
        <v>1171</v>
      </c>
      <c r="E21" s="389" t="str">
        <f>'SC-Retro'!$A$9</f>
        <v>HVAC</v>
      </c>
      <c r="F21" s="390">
        <f t="shared" si="1"/>
        <v>0.34696638564699878</v>
      </c>
      <c r="G21" s="391">
        <f>'SC-Retro'!A176</f>
        <v>639.94300129168926</v>
      </c>
      <c r="H21" s="391">
        <f>'SC-Retro'!B176</f>
        <v>44.626389319123021</v>
      </c>
      <c r="I21" s="384" t="str">
        <f>'SC-Retro'!C176</f>
        <v>Single Family</v>
      </c>
      <c r="J21" s="384" t="str">
        <f>'SC-Retro'!D176</f>
        <v>FLOOR R0 - R30_DHP</v>
      </c>
      <c r="K21" s="392">
        <f>'SC-Retro'!E176</f>
        <v>5.1217413603296617E-2</v>
      </c>
      <c r="L21" s="392">
        <f>'SC-Retro'!F176</f>
        <v>5.1101110058159697E-2</v>
      </c>
      <c r="M21" s="392">
        <f>'SC-Retro'!G176</f>
        <v>5.0985070612938423E-2</v>
      </c>
      <c r="N21" s="392">
        <f>'SC-Retro'!H176</f>
        <v>5.0869294667919618E-2</v>
      </c>
      <c r="O21" s="392">
        <f>'SC-Retro'!I176</f>
        <v>5.0753781624751963E-2</v>
      </c>
      <c r="P21" s="392">
        <f>'SC-Retro'!J176</f>
        <v>4.5574677797798571E-2</v>
      </c>
      <c r="Q21" s="392">
        <f>'SC-Retro'!K176</f>
        <v>3.6376950137295819E-2</v>
      </c>
      <c r="R21" s="392">
        <f>'SC-Retro'!L176</f>
        <v>2.9035476831286038E-2</v>
      </c>
      <c r="S21" s="392">
        <f>'SC-Retro'!M176</f>
        <v>2.3175634890726972E-2</v>
      </c>
      <c r="T21" s="392">
        <f>'SC-Retro'!N176</f>
        <v>1.8498406473887823E-2</v>
      </c>
      <c r="U21" s="392">
        <f>'SC-Retro'!O176</f>
        <v>1.4765120510683058E-2</v>
      </c>
      <c r="V21" s="392">
        <f>'SC-Retro'!P176</f>
        <v>1.1785273720886861E-2</v>
      </c>
      <c r="W21" s="392">
        <f>'SC-Retro'!Q176</f>
        <v>9.4068095533479043E-3</v>
      </c>
      <c r="X21" s="392">
        <f>'SC-Retro'!R176</f>
        <v>7.5083589968836534E-3</v>
      </c>
      <c r="Y21" s="392">
        <f>'SC-Retro'!S176</f>
        <v>5.993047324533065E-3</v>
      </c>
      <c r="Z21" s="392">
        <f>'SC-Retro'!T176</f>
        <v>4.7835507397821705E-3</v>
      </c>
      <c r="AA21" s="392">
        <f>'SC-Retro'!U176</f>
        <v>3.2553394138910757E-5</v>
      </c>
      <c r="AB21" s="392">
        <f>'SC-Retro'!V176</f>
        <v>1.1599811607214286E-5</v>
      </c>
      <c r="AC21" s="392">
        <f>'SC-Retro'!W176</f>
        <v>3.9455014677200323E-6</v>
      </c>
      <c r="AD21" s="392">
        <f>'SC-Retro'!X176</f>
        <v>1.2836550315622119E-6</v>
      </c>
      <c r="AE21" s="392">
        <f>'SC-Retro'!Y176</f>
        <v>0.44847920665880442</v>
      </c>
      <c r="AF21" s="393">
        <f t="shared" si="2"/>
        <v>73.912747013050648</v>
      </c>
      <c r="AG21" s="393">
        <f t="shared" si="3"/>
        <v>53.926725888685326</v>
      </c>
      <c r="AH21" s="393">
        <f t="shared" si="4"/>
        <v>48.865919917932516</v>
      </c>
      <c r="AI21" s="393">
        <f t="shared" si="5"/>
        <v>38.992699979598889</v>
      </c>
      <c r="AJ21" s="393">
        <f t="shared" si="6"/>
        <v>15.239721015229662</v>
      </c>
      <c r="AK21" s="393">
        <f t="shared" si="7"/>
        <v>3.5124367376504035</v>
      </c>
      <c r="AL21" s="393">
        <f t="shared" si="8"/>
        <v>-5.7147499883730273</v>
      </c>
      <c r="AM21" s="393">
        <f t="shared" si="9"/>
        <v>-5.9002585310072533</v>
      </c>
      <c r="AN21" s="393">
        <f t="shared" si="10"/>
        <v>5.9375099168418393</v>
      </c>
      <c r="AO21" s="393">
        <f t="shared" si="11"/>
        <v>29.563987661006578</v>
      </c>
      <c r="AP21" s="393">
        <f t="shared" si="12"/>
        <v>47.575116724417271</v>
      </c>
      <c r="AQ21" s="393">
        <f t="shared" si="13"/>
        <v>86.138165260126158</v>
      </c>
      <c r="AR21" s="393"/>
      <c r="AS21" s="393">
        <f t="shared" si="14"/>
        <v>46.982172065646843</v>
      </c>
      <c r="AT21" s="393">
        <f t="shared" si="15"/>
        <v>35.198138816224649</v>
      </c>
      <c r="AU21" s="393">
        <f t="shared" si="16"/>
        <v>27.264832944795891</v>
      </c>
      <c r="AV21" s="393">
        <f t="shared" si="17"/>
        <v>23.335615223954967</v>
      </c>
      <c r="AW21" s="393">
        <f t="shared" si="18"/>
        <v>8.9581860912116191</v>
      </c>
      <c r="AX21" s="393">
        <f t="shared" si="19"/>
        <v>2.09955860191535</v>
      </c>
      <c r="AY21" s="393">
        <f t="shared" si="20"/>
        <v>-1.2449208540430983</v>
      </c>
      <c r="AZ21" s="393">
        <f t="shared" si="21"/>
        <v>-0.79829437269184644</v>
      </c>
      <c r="BA21" s="393">
        <f t="shared" si="22"/>
        <v>4.1400450763242498</v>
      </c>
      <c r="BB21" s="393">
        <f t="shared" si="23"/>
        <v>15.384238851566806</v>
      </c>
      <c r="BC21" s="393">
        <f t="shared" si="24"/>
        <v>31.127305473420957</v>
      </c>
      <c r="BD21" s="393">
        <f t="shared" si="25"/>
        <v>55.446101778203847</v>
      </c>
    </row>
    <row r="22" spans="1:56" ht="15">
      <c r="A22" s="389" t="str">
        <f>VLOOKUP(CONCATENATE($C22," - ",$B22),[2]ACHIEV!$B$12:$C$100,2,FALSE)</f>
        <v>Retro12Med</v>
      </c>
      <c r="B22" s="389" t="str">
        <f>'SC-Retro'!$C$7</f>
        <v>Retro</v>
      </c>
      <c r="C22" s="389" t="str">
        <f>'SC-Retro'!$C$8</f>
        <v>ResWx</v>
      </c>
      <c r="D22" s="389" t="s">
        <v>1171</v>
      </c>
      <c r="E22" s="389" t="str">
        <f>'SC-Retro'!$A$9</f>
        <v>HVAC</v>
      </c>
      <c r="F22" s="390">
        <f t="shared" si="1"/>
        <v>0.23924423568170797</v>
      </c>
      <c r="G22" s="391">
        <f>'SC-Retro'!A177</f>
        <v>491.02684582146389</v>
      </c>
      <c r="H22" s="391">
        <f>'SC-Retro'!B177</f>
        <v>42.040973396789774</v>
      </c>
      <c r="I22" s="384" t="str">
        <f>'SC-Retro'!C177</f>
        <v>Single Family</v>
      </c>
      <c r="J22" s="384" t="str">
        <f>'SC-Retro'!D177</f>
        <v>ATTIC R11 - R49_Electric FAF</v>
      </c>
      <c r="K22" s="392">
        <f>'SC-Retro'!E177</f>
        <v>2.342196238520184E-2</v>
      </c>
      <c r="L22" s="392">
        <f>'SC-Retro'!F177</f>
        <v>2.3368776230966063E-2</v>
      </c>
      <c r="M22" s="392">
        <f>'SC-Retro'!G177</f>
        <v>2.3315710850854845E-2</v>
      </c>
      <c r="N22" s="392">
        <f>'SC-Retro'!H177</f>
        <v>2.3262765970616561E-2</v>
      </c>
      <c r="O22" s="392">
        <f>'SC-Retro'!I177</f>
        <v>2.3209941316622334E-2</v>
      </c>
      <c r="P22" s="392">
        <f>'SC-Retro'!J177</f>
        <v>2.0841512954278212E-2</v>
      </c>
      <c r="Q22" s="392">
        <f>'SC-Retro'!K177</f>
        <v>1.663534914908834E-2</v>
      </c>
      <c r="R22" s="392">
        <f>'SC-Retro'!L177</f>
        <v>1.3278059127433342E-2</v>
      </c>
      <c r="S22" s="392">
        <f>'SC-Retro'!M177</f>
        <v>1.059832604723406E-2</v>
      </c>
      <c r="T22" s="392">
        <f>'SC-Retro'!N177</f>
        <v>8.4594076532925003E-3</v>
      </c>
      <c r="U22" s="392">
        <f>'SC-Retro'!O177</f>
        <v>6.752158550855281E-3</v>
      </c>
      <c r="V22" s="392">
        <f>'SC-Retro'!P177</f>
        <v>5.3894607003769669E-3</v>
      </c>
      <c r="W22" s="392">
        <f>'SC-Retro'!Q177</f>
        <v>4.3017779310334124E-3</v>
      </c>
      <c r="X22" s="392">
        <f>'SC-Retro'!R177</f>
        <v>3.4336076273145024E-3</v>
      </c>
      <c r="Y22" s="392">
        <f>'SC-Retro'!S177</f>
        <v>2.7406485242533435E-3</v>
      </c>
      <c r="Z22" s="392">
        <f>'SC-Retro'!T177</f>
        <v>2.1875400886637304E-3</v>
      </c>
      <c r="AA22" s="392">
        <f>'SC-Retro'!U177</f>
        <v>1.4886819138074197E-5</v>
      </c>
      <c r="AB22" s="392">
        <f>'SC-Retro'!V177</f>
        <v>5.3046480098345561E-6</v>
      </c>
      <c r="AC22" s="392">
        <f>'SC-Retro'!W177</f>
        <v>1.8042962435289622E-6</v>
      </c>
      <c r="AD22" s="392">
        <f>'SC-Retro'!X177</f>
        <v>5.8702143957714485E-7</v>
      </c>
      <c r="AE22" s="392">
        <f>'SC-Retro'!Y177</f>
        <v>0.20509163524476709</v>
      </c>
      <c r="AF22" s="393">
        <f t="shared" si="2"/>
        <v>50.965163767372879</v>
      </c>
      <c r="AG22" s="393">
        <f t="shared" si="3"/>
        <v>37.184173602285362</v>
      </c>
      <c r="AH22" s="393">
        <f t="shared" si="4"/>
        <v>33.69458871310821</v>
      </c>
      <c r="AI22" s="393">
        <f t="shared" si="5"/>
        <v>27.263367720158765</v>
      </c>
      <c r="AJ22" s="393">
        <f t="shared" si="6"/>
        <v>12.406449825653565</v>
      </c>
      <c r="AK22" s="393">
        <f t="shared" si="7"/>
        <v>4.5235666882136689</v>
      </c>
      <c r="AL22" s="393">
        <f t="shared" si="8"/>
        <v>10.440085415846143</v>
      </c>
      <c r="AM22" s="393">
        <f t="shared" si="9"/>
        <v>10.334500332298665</v>
      </c>
      <c r="AN22" s="393">
        <f t="shared" si="10"/>
        <v>10.045184780115715</v>
      </c>
      <c r="AO22" s="393">
        <f t="shared" si="11"/>
        <v>21.468125865528584</v>
      </c>
      <c r="AP22" s="393">
        <f t="shared" si="12"/>
        <v>32.804539312869615</v>
      </c>
      <c r="AQ22" s="393">
        <f t="shared" si="13"/>
        <v>59.394974162281045</v>
      </c>
      <c r="AR22" s="393"/>
      <c r="AS22" s="393">
        <f t="shared" si="14"/>
        <v>32.395685321366798</v>
      </c>
      <c r="AT22" s="393">
        <f t="shared" si="15"/>
        <v>24.27022376477052</v>
      </c>
      <c r="AU22" s="393">
        <f t="shared" si="16"/>
        <v>18.799959848282114</v>
      </c>
      <c r="AV22" s="393">
        <f t="shared" si="17"/>
        <v>16.189172965188028</v>
      </c>
      <c r="AW22" s="393">
        <f t="shared" si="18"/>
        <v>6.6577120146898823</v>
      </c>
      <c r="AX22" s="393">
        <f t="shared" si="19"/>
        <v>1.8295305784519398</v>
      </c>
      <c r="AY22" s="393">
        <f t="shared" si="20"/>
        <v>3.0660516292393281</v>
      </c>
      <c r="AZ22" s="393">
        <f t="shared" si="21"/>
        <v>2.0016337259917627</v>
      </c>
      <c r="BA22" s="393">
        <f t="shared" si="22"/>
        <v>4.7302818787051963</v>
      </c>
      <c r="BB22" s="393">
        <f t="shared" si="23"/>
        <v>10.866786704406506</v>
      </c>
      <c r="BC22" s="393">
        <f t="shared" si="24"/>
        <v>21.463256139158673</v>
      </c>
      <c r="BD22" s="393">
        <f t="shared" si="25"/>
        <v>38.231831065480939</v>
      </c>
    </row>
    <row r="23" spans="1:56" ht="15">
      <c r="A23" s="389" t="str">
        <f>VLOOKUP(CONCATENATE($C23," - ",$B23),[2]ACHIEV!$B$12:$C$100,2,FALSE)</f>
        <v>Retro12Med</v>
      </c>
      <c r="B23" s="389" t="str">
        <f>'SC-Retro'!$C$7</f>
        <v>Retro</v>
      </c>
      <c r="C23" s="389" t="str">
        <f>'SC-Retro'!$C$8</f>
        <v>ResWx</v>
      </c>
      <c r="D23" s="389" t="s">
        <v>1171</v>
      </c>
      <c r="E23" s="389" t="str">
        <f>'SC-Retro'!$A$9</f>
        <v>HVAC</v>
      </c>
      <c r="F23" s="390">
        <f t="shared" si="1"/>
        <v>0.33323935997760962</v>
      </c>
      <c r="G23" s="391">
        <f>'SC-Retro'!A178</f>
        <v>615.13839465377009</v>
      </c>
      <c r="H23" s="391">
        <f>'SC-Retro'!B178</f>
        <v>45.606532666050889</v>
      </c>
      <c r="I23" s="384" t="str">
        <f>'SC-Retro'!C178</f>
        <v>Single Family</v>
      </c>
      <c r="J23" s="384" t="str">
        <f>'SC-Retro'!D178</f>
        <v>FLOOR R0 - R25_DHP</v>
      </c>
      <c r="K23" s="392">
        <f>'SC-Retro'!E178</f>
        <v>2.1332471831569475E-2</v>
      </c>
      <c r="L23" s="392">
        <f>'SC-Retro'!F178</f>
        <v>2.1284030453413181E-2</v>
      </c>
      <c r="M23" s="392">
        <f>'SC-Retro'!G178</f>
        <v>2.1235699075032626E-2</v>
      </c>
      <c r="N23" s="392">
        <f>'SC-Retro'!H178</f>
        <v>2.11874774466424E-2</v>
      </c>
      <c r="O23" s="392">
        <f>'SC-Retro'!I178</f>
        <v>2.1139365319024266E-2</v>
      </c>
      <c r="P23" s="392">
        <f>'SC-Retro'!J178</f>
        <v>1.8982226199173311E-2</v>
      </c>
      <c r="Q23" s="392">
        <f>'SC-Retro'!K178</f>
        <v>1.515129737188296E-2</v>
      </c>
      <c r="R23" s="392">
        <f>'SC-Retro'!L178</f>
        <v>1.2093513671290303E-2</v>
      </c>
      <c r="S23" s="392">
        <f>'SC-Retro'!M178</f>
        <v>9.6528415572579834E-3</v>
      </c>
      <c r="T23" s="392">
        <f>'SC-Retro'!N178</f>
        <v>7.7047376521124219E-3</v>
      </c>
      <c r="U23" s="392">
        <f>'SC-Retro'!O178</f>
        <v>6.1497935023333864E-3</v>
      </c>
      <c r="V23" s="392">
        <f>'SC-Retro'!P178</f>
        <v>4.9086629329906841E-3</v>
      </c>
      <c r="W23" s="392">
        <f>'SC-Retro'!Q178</f>
        <v>3.9180131463884896E-3</v>
      </c>
      <c r="X23" s="392">
        <f>'SC-Retro'!R178</f>
        <v>3.1272929563163714E-3</v>
      </c>
      <c r="Y23" s="392">
        <f>'SC-Retro'!S178</f>
        <v>2.4961532463567341E-3</v>
      </c>
      <c r="Z23" s="392">
        <f>'SC-Retro'!T178</f>
        <v>1.9923880225907842E-3</v>
      </c>
      <c r="AA23" s="392">
        <f>'SC-Retro'!U178</f>
        <v>1.3558755013853229E-5</v>
      </c>
      <c r="AB23" s="392">
        <f>'SC-Retro'!V178</f>
        <v>4.8314164451772326E-6</v>
      </c>
      <c r="AC23" s="392">
        <f>'SC-Retro'!W178</f>
        <v>1.6433336437772829E-6</v>
      </c>
      <c r="AD23" s="392">
        <f>'SC-Retro'!X178</f>
        <v>5.3465282363439719E-7</v>
      </c>
      <c r="AE23" s="392">
        <f>'SC-Retro'!Y178</f>
        <v>0.18679525907332775</v>
      </c>
      <c r="AF23" s="393">
        <f t="shared" si="2"/>
        <v>70.988538163103257</v>
      </c>
      <c r="AG23" s="393">
        <f t="shared" si="3"/>
        <v>51.793223678781843</v>
      </c>
      <c r="AH23" s="393">
        <f t="shared" si="4"/>
        <v>46.932638295215831</v>
      </c>
      <c r="AI23" s="393">
        <f t="shared" si="5"/>
        <v>37.453918647872172</v>
      </c>
      <c r="AJ23" s="393">
        <f t="shared" si="6"/>
        <v>14.656376192163254</v>
      </c>
      <c r="AK23" s="393">
        <f t="shared" si="7"/>
        <v>3.395157303774675</v>
      </c>
      <c r="AL23" s="393">
        <f t="shared" si="8"/>
        <v>-5.3402893833009273</v>
      </c>
      <c r="AM23" s="393">
        <f t="shared" si="9"/>
        <v>-5.5182282817032258</v>
      </c>
      <c r="AN23" s="393">
        <f t="shared" si="10"/>
        <v>5.7640031146602171</v>
      </c>
      <c r="AO23" s="393">
        <f t="shared" si="11"/>
        <v>28.405519869251503</v>
      </c>
      <c r="AP23" s="393">
        <f t="shared" si="12"/>
        <v>45.692903128185257</v>
      </c>
      <c r="AQ23" s="393">
        <f t="shared" si="13"/>
        <v>82.730282379959135</v>
      </c>
      <c r="AR23" s="393"/>
      <c r="AS23" s="393">
        <f t="shared" si="14"/>
        <v>45.123417129642938</v>
      </c>
      <c r="AT23" s="393">
        <f t="shared" si="15"/>
        <v>33.805595402706174</v>
      </c>
      <c r="AU23" s="393">
        <f t="shared" si="16"/>
        <v>26.186154786948073</v>
      </c>
      <c r="AV23" s="393">
        <f t="shared" si="17"/>
        <v>22.413405227313227</v>
      </c>
      <c r="AW23" s="393">
        <f t="shared" si="18"/>
        <v>8.60873364467305</v>
      </c>
      <c r="AX23" s="393">
        <f t="shared" si="19"/>
        <v>2.0204331174239343</v>
      </c>
      <c r="AY23" s="393">
        <f t="shared" si="20"/>
        <v>-1.1551784108959777</v>
      </c>
      <c r="AZ23" s="393">
        <f t="shared" si="21"/>
        <v>-0.74038099795065881</v>
      </c>
      <c r="BA23" s="393">
        <f t="shared" si="22"/>
        <v>3.9956034680869239</v>
      </c>
      <c r="BB23" s="393">
        <f t="shared" si="23"/>
        <v>14.778263278479699</v>
      </c>
      <c r="BC23" s="393">
        <f t="shared" si="24"/>
        <v>29.895816375548279</v>
      </c>
      <c r="BD23" s="393">
        <f t="shared" si="25"/>
        <v>53.252488523831374</v>
      </c>
    </row>
    <row r="24" spans="1:56" ht="15">
      <c r="A24" s="389" t="str">
        <f>VLOOKUP(CONCATENATE($C24," - ",$B24),[2]ACHIEV!$B$12:$C$100,2,FALSE)</f>
        <v>Retro12Med</v>
      </c>
      <c r="B24" s="389" t="str">
        <f>'SC-Retro'!$C$7</f>
        <v>Retro</v>
      </c>
      <c r="C24" s="389" t="str">
        <f>'SC-Retro'!$C$8</f>
        <v>ResWx</v>
      </c>
      <c r="D24" s="389" t="s">
        <v>1171</v>
      </c>
      <c r="E24" s="389" t="str">
        <f>'SC-Retro'!$A$9</f>
        <v>HVAC</v>
      </c>
      <c r="F24" s="390">
        <f t="shared" si="1"/>
        <v>0.31155448827652776</v>
      </c>
      <c r="G24" s="391">
        <f>'SC-Retro'!A179</f>
        <v>574.15335241032233</v>
      </c>
      <c r="H24" s="391">
        <f>'SC-Retro'!B179</f>
        <v>45.906735026032656</v>
      </c>
      <c r="I24" s="384" t="str">
        <f>'SC-Retro'!C179</f>
        <v>Single Family</v>
      </c>
      <c r="J24" s="384" t="str">
        <f>'SC-Retro'!D179</f>
        <v>FLOOR R0 - R19_Electric Zonal</v>
      </c>
      <c r="K24" s="392">
        <f>'SC-Retro'!E179</f>
        <v>0.39459371218820927</v>
      </c>
      <c r="L24" s="392">
        <f>'SC-Retro'!F179</f>
        <v>0.39369767616476453</v>
      </c>
      <c r="M24" s="392">
        <f>'SC-Retro'!G179</f>
        <v>0.39280367484316764</v>
      </c>
      <c r="N24" s="392">
        <f>'SC-Retro'!H179</f>
        <v>0.39191170360305544</v>
      </c>
      <c r="O24" s="392">
        <f>'SC-Retro'!I179</f>
        <v>0.39102175783455723</v>
      </c>
      <c r="P24" s="392">
        <f>'SC-Retro'!J179</f>
        <v>0.35112044964444261</v>
      </c>
      <c r="Q24" s="392">
        <f>'SC-Retro'!K179</f>
        <v>0.28025850551416842</v>
      </c>
      <c r="R24" s="392">
        <f>'SC-Retro'!L179</f>
        <v>0.2236976797921412</v>
      </c>
      <c r="S24" s="392">
        <f>'SC-Retro'!M179</f>
        <v>0.1785517690268906</v>
      </c>
      <c r="T24" s="392">
        <f>'SC-Retro'!N179</f>
        <v>0.14251705360670489</v>
      </c>
      <c r="U24" s="392">
        <f>'SC-Retro'!O179</f>
        <v>0.11375474283694974</v>
      </c>
      <c r="V24" s="392">
        <f>'SC-Retro'!P179</f>
        <v>9.0797144555139597E-2</v>
      </c>
      <c r="W24" s="392">
        <f>'SC-Retro'!Q179</f>
        <v>7.247277127762157E-2</v>
      </c>
      <c r="X24" s="392">
        <f>'SC-Retro'!R179</f>
        <v>5.784656117097179E-2</v>
      </c>
      <c r="Y24" s="392">
        <f>'SC-Retro'!S179</f>
        <v>4.617216342519307E-2</v>
      </c>
      <c r="Z24" s="392">
        <f>'SC-Retro'!T179</f>
        <v>3.6853853231858795E-2</v>
      </c>
      <c r="AA24" s="392">
        <f>'SC-Retro'!U179</f>
        <v>2.5080072838297126E-4</v>
      </c>
      <c r="AB24" s="392">
        <f>'SC-Retro'!V179</f>
        <v>8.9368290992342299E-5</v>
      </c>
      <c r="AC24" s="392">
        <f>'SC-Retro'!W179</f>
        <v>3.0397280164328081E-5</v>
      </c>
      <c r="AD24" s="392">
        <f>'SC-Retro'!X179</f>
        <v>9.8896482355876697E-6</v>
      </c>
      <c r="AE24" s="392">
        <f>'SC-Retro'!Y179</f>
        <v>3.4552130329230488</v>
      </c>
      <c r="AF24" s="393">
        <f t="shared" si="2"/>
        <v>66.369103824921609</v>
      </c>
      <c r="AG24" s="393">
        <f t="shared" si="3"/>
        <v>48.422885281375002</v>
      </c>
      <c r="AH24" s="393">
        <f t="shared" si="4"/>
        <v>43.878592578367083</v>
      </c>
      <c r="AI24" s="393">
        <f t="shared" si="5"/>
        <v>35.009444143882838</v>
      </c>
      <c r="AJ24" s="393">
        <f t="shared" si="6"/>
        <v>13.666172185893906</v>
      </c>
      <c r="AK24" s="393">
        <f t="shared" si="7"/>
        <v>3.1338452524254135</v>
      </c>
      <c r="AL24" s="393">
        <f t="shared" si="8"/>
        <v>-5.26907838717477</v>
      </c>
      <c r="AM24" s="393">
        <f t="shared" si="9"/>
        <v>-5.435867284721156</v>
      </c>
      <c r="AN24" s="393">
        <f t="shared" si="10"/>
        <v>5.2745828240611683</v>
      </c>
      <c r="AO24" s="393">
        <f t="shared" si="11"/>
        <v>26.536284006013993</v>
      </c>
      <c r="AP24" s="393">
        <f t="shared" si="12"/>
        <v>42.719530648862182</v>
      </c>
      <c r="AQ24" s="393">
        <f t="shared" si="13"/>
        <v>77.346777984427277</v>
      </c>
      <c r="AR24" s="393"/>
      <c r="AS24" s="393">
        <f t="shared" si="14"/>
        <v>42.187102790195006</v>
      </c>
      <c r="AT24" s="393">
        <f t="shared" si="15"/>
        <v>31.605765229176789</v>
      </c>
      <c r="AU24" s="393">
        <f t="shared" si="16"/>
        <v>24.482144171461979</v>
      </c>
      <c r="AV24" s="393">
        <f t="shared" si="17"/>
        <v>20.953005471071499</v>
      </c>
      <c r="AW24" s="393">
        <f t="shared" si="18"/>
        <v>8.0393008913332888</v>
      </c>
      <c r="AX24" s="393">
        <f t="shared" si="19"/>
        <v>1.8816215802193719</v>
      </c>
      <c r="AY24" s="393">
        <f t="shared" si="20"/>
        <v>-1.1554091425250539</v>
      </c>
      <c r="AZ24" s="393">
        <f t="shared" si="21"/>
        <v>-0.74123595980984835</v>
      </c>
      <c r="BA24" s="393">
        <f t="shared" si="22"/>
        <v>3.6995615745439654</v>
      </c>
      <c r="BB24" s="393">
        <f t="shared" si="23"/>
        <v>13.811624205357683</v>
      </c>
      <c r="BC24" s="393">
        <f t="shared" si="24"/>
        <v>27.950407098125513</v>
      </c>
      <c r="BD24" s="393">
        <f t="shared" si="25"/>
        <v>49.787191442837681</v>
      </c>
    </row>
    <row r="25" spans="1:56" ht="15">
      <c r="A25" s="389" t="str">
        <f>VLOOKUP(CONCATENATE($C25," - ",$B25),[2]ACHIEV!$B$12:$C$100,2,FALSE)</f>
        <v>Retro12Med</v>
      </c>
      <c r="B25" s="389" t="str">
        <f>'SC-Retro'!$C$7</f>
        <v>Retro</v>
      </c>
      <c r="C25" s="389" t="str">
        <f>'SC-Retro'!$C$8</f>
        <v>ResWx</v>
      </c>
      <c r="D25" s="389" t="s">
        <v>1171</v>
      </c>
      <c r="E25" s="389" t="str">
        <f>'SC-Retro'!$A$9</f>
        <v>HVAC</v>
      </c>
      <c r="F25" s="390">
        <f t="shared" si="1"/>
        <v>0.79006507718862173</v>
      </c>
      <c r="G25" s="391">
        <f>'SC-Retro'!A180</f>
        <v>1582.757261387319</v>
      </c>
      <c r="H25" s="391">
        <f>'SC-Retro'!B180</f>
        <v>29.513409727402735</v>
      </c>
      <c r="I25" s="384" t="str">
        <f>'SC-Retro'!C180</f>
        <v>Single Family</v>
      </c>
      <c r="J25" s="384" t="str">
        <f>'SC-Retro'!D180</f>
        <v>WINDOW CL22 Prime Window Replacement of Single Pane Base_Electric FAF</v>
      </c>
      <c r="K25" s="392">
        <f>'SC-Retro'!E180</f>
        <v>3.4308949059195876E-2</v>
      </c>
      <c r="L25" s="392">
        <f>'SC-Retro'!F180</f>
        <v>3.4231040939187857E-2</v>
      </c>
      <c r="M25" s="392">
        <f>'SC-Retro'!G180</f>
        <v>3.4153309731482007E-2</v>
      </c>
      <c r="N25" s="392">
        <f>'SC-Retro'!H180</f>
        <v>3.4075755034349176E-2</v>
      </c>
      <c r="O25" s="392">
        <f>'SC-Retro'!I180</f>
        <v>3.399837644697247E-2</v>
      </c>
      <c r="P25" s="392">
        <f>'SC-Retro'!J180</f>
        <v>3.0529056212500627E-2</v>
      </c>
      <c r="Q25" s="392">
        <f>'SC-Retro'!K180</f>
        <v>2.4367785121993345E-2</v>
      </c>
      <c r="R25" s="392">
        <f>'SC-Retro'!L180</f>
        <v>1.9449960968937637E-2</v>
      </c>
      <c r="S25" s="392">
        <f>'SC-Retro'!M180</f>
        <v>1.5524635488998914E-2</v>
      </c>
      <c r="T25" s="392">
        <f>'SC-Retro'!N180</f>
        <v>1.239150594961059E-2</v>
      </c>
      <c r="U25" s="392">
        <f>'SC-Retro'!O180</f>
        <v>9.8906940396792584E-3</v>
      </c>
      <c r="V25" s="392">
        <f>'SC-Retro'!P180</f>
        <v>7.8945875492737062E-3</v>
      </c>
      <c r="W25" s="392">
        <f>'SC-Retro'!Q180</f>
        <v>6.3013285339851141E-3</v>
      </c>
      <c r="X25" s="392">
        <f>'SC-Retro'!R180</f>
        <v>5.0296156759789146E-3</v>
      </c>
      <c r="Y25" s="392">
        <f>'SC-Retro'!S180</f>
        <v>4.0145556149973304E-3</v>
      </c>
      <c r="Z25" s="392">
        <f>'SC-Retro'!T180</f>
        <v>3.204351549737406E-3</v>
      </c>
      <c r="AA25" s="392">
        <f>'SC-Retro'!U180</f>
        <v>2.1806504128977083E-5</v>
      </c>
      <c r="AB25" s="392">
        <f>'SC-Retro'!V180</f>
        <v>7.7703522596964558E-6</v>
      </c>
      <c r="AC25" s="392">
        <f>'SC-Retro'!W180</f>
        <v>2.6429684622004475E-6</v>
      </c>
      <c r="AD25" s="392">
        <f>'SC-Retro'!X180</f>
        <v>8.5988049745279861E-7</v>
      </c>
      <c r="AE25" s="392">
        <f>'SC-Retro'!Y180</f>
        <v>0.30042224260959416</v>
      </c>
      <c r="AF25" s="393">
        <f t="shared" si="2"/>
        <v>168.30414296530876</v>
      </c>
      <c r="AG25" s="393">
        <f t="shared" si="3"/>
        <v>122.79467007250808</v>
      </c>
      <c r="AH25" s="393">
        <f t="shared" si="4"/>
        <v>111.27088498749593</v>
      </c>
      <c r="AI25" s="393">
        <f t="shared" si="5"/>
        <v>89.739312726515848</v>
      </c>
      <c r="AJ25" s="393">
        <f t="shared" si="6"/>
        <v>39.491169671635284</v>
      </c>
      <c r="AK25" s="393">
        <f t="shared" si="7"/>
        <v>13.300701947272715</v>
      </c>
      <c r="AL25" s="393">
        <f t="shared" si="8"/>
        <v>23.270995905219532</v>
      </c>
      <c r="AM25" s="393">
        <f t="shared" si="9"/>
        <v>22.904919196318673</v>
      </c>
      <c r="AN25" s="393">
        <f t="shared" si="10"/>
        <v>28.535362080976622</v>
      </c>
      <c r="AO25" s="393">
        <f t="shared" si="11"/>
        <v>70.051221667417707</v>
      </c>
      <c r="AP25" s="393">
        <f t="shared" si="12"/>
        <v>108.33164197460793</v>
      </c>
      <c r="AQ25" s="393">
        <f t="shared" si="13"/>
        <v>196.14221723013327</v>
      </c>
      <c r="AR25" s="393"/>
      <c r="AS25" s="393">
        <f t="shared" si="14"/>
        <v>106.98146833537635</v>
      </c>
      <c r="AT25" s="393">
        <f t="shared" si="15"/>
        <v>80.148456481974165</v>
      </c>
      <c r="AU25" s="393">
        <f t="shared" si="16"/>
        <v>62.083801878665852</v>
      </c>
      <c r="AV25" s="393">
        <f t="shared" si="17"/>
        <v>53.385325257272406</v>
      </c>
      <c r="AW25" s="393">
        <f t="shared" si="18"/>
        <v>21.611388296793425</v>
      </c>
      <c r="AX25" s="393">
        <f t="shared" si="19"/>
        <v>5.7442043263254394</v>
      </c>
      <c r="AY25" s="393">
        <f t="shared" si="20"/>
        <v>7.0671028881810818</v>
      </c>
      <c r="AZ25" s="393">
        <f t="shared" si="21"/>
        <v>4.6214271936111908</v>
      </c>
      <c r="BA25" s="393">
        <f t="shared" si="22"/>
        <v>14.159481128379278</v>
      </c>
      <c r="BB25" s="393">
        <f t="shared" si="23"/>
        <v>35.684073559221225</v>
      </c>
      <c r="BC25" s="393">
        <f t="shared" si="24"/>
        <v>70.878903602357823</v>
      </c>
      <c r="BD25" s="393">
        <f t="shared" si="25"/>
        <v>126.25438801375057</v>
      </c>
    </row>
    <row r="26" spans="1:56" ht="15">
      <c r="A26" s="389" t="str">
        <f>VLOOKUP(CONCATENATE($C26," - ",$B26),[2]ACHIEV!$B$12:$C$100,2,FALSE)</f>
        <v>Retro12Med</v>
      </c>
      <c r="B26" s="389" t="str">
        <f>'SC-Retro'!$C$7</f>
        <v>Retro</v>
      </c>
      <c r="C26" s="389" t="str">
        <f>'SC-Retro'!$C$8</f>
        <v>ResWx</v>
      </c>
      <c r="D26" s="389" t="s">
        <v>1171</v>
      </c>
      <c r="E26" s="389" t="str">
        <f>'SC-Retro'!$A$9</f>
        <v>HVAC</v>
      </c>
      <c r="F26" s="390">
        <f t="shared" si="1"/>
        <v>0.31119227975864489</v>
      </c>
      <c r="G26" s="391">
        <f>'SC-Retro'!A181</f>
        <v>575.18700719783692</v>
      </c>
      <c r="H26" s="391">
        <f>'SC-Retro'!B181</f>
        <v>48.414238863463837</v>
      </c>
      <c r="I26" s="384" t="str">
        <f>'SC-Retro'!C181</f>
        <v>Single Family</v>
      </c>
      <c r="J26" s="384" t="str">
        <f>'SC-Retro'!D181</f>
        <v>FLOOR R0 - R19_DHP</v>
      </c>
      <c r="K26" s="392">
        <f>'SC-Retro'!E181</f>
        <v>3.449859346563551E-2</v>
      </c>
      <c r="L26" s="392">
        <f>'SC-Retro'!F181</f>
        <v>3.4420254704655345E-2</v>
      </c>
      <c r="M26" s="392">
        <f>'SC-Retro'!G181</f>
        <v>3.4342093833868832E-2</v>
      </c>
      <c r="N26" s="392">
        <f>'SC-Retro'!H181</f>
        <v>3.4264110449326216E-2</v>
      </c>
      <c r="O26" s="392">
        <f>'SC-Retro'!I181</f>
        <v>3.4186304147995096E-2</v>
      </c>
      <c r="P26" s="392">
        <f>'SC-Retro'!J181</f>
        <v>3.0697807074982368E-2</v>
      </c>
      <c r="Q26" s="392">
        <f>'SC-Retro'!K181</f>
        <v>2.4502479254936194E-2</v>
      </c>
      <c r="R26" s="392">
        <f>'SC-Retro'!L181</f>
        <v>1.9557471586557074E-2</v>
      </c>
      <c r="S26" s="392">
        <f>'SC-Retro'!M181</f>
        <v>1.5610448676614276E-2</v>
      </c>
      <c r="T26" s="392">
        <f>'SC-Retro'!N181</f>
        <v>1.2460000609317371E-2</v>
      </c>
      <c r="U26" s="392">
        <f>'SC-Retro'!O181</f>
        <v>9.9453653383306563E-3</v>
      </c>
      <c r="V26" s="392">
        <f>'SC-Retro'!P181</f>
        <v>7.9382252709446436E-3</v>
      </c>
      <c r="W26" s="392">
        <f>'SC-Retro'!Q181</f>
        <v>6.3361594379439277E-3</v>
      </c>
      <c r="X26" s="392">
        <f>'SC-Retro'!R181</f>
        <v>5.0574171244536174E-3</v>
      </c>
      <c r="Y26" s="392">
        <f>'SC-Retro'!S181</f>
        <v>4.0367462689696052E-3</v>
      </c>
      <c r="Z26" s="392">
        <f>'SC-Retro'!T181</f>
        <v>3.2220637608175342E-3</v>
      </c>
      <c r="AA26" s="392">
        <f>'SC-Retro'!U181</f>
        <v>2.1927040655028276E-5</v>
      </c>
      <c r="AB26" s="392">
        <f>'SC-Retro'!V181</f>
        <v>7.8133032646827765E-6</v>
      </c>
      <c r="AC26" s="392">
        <f>'SC-Retro'!W181</f>
        <v>2.6575776006030212E-6</v>
      </c>
      <c r="AD26" s="392">
        <f>'SC-Retro'!X181</f>
        <v>8.6463352927161278E-7</v>
      </c>
      <c r="AE26" s="392">
        <f>'SC-Retro'!Y181</f>
        <v>0.30208284135841196</v>
      </c>
      <c r="AF26" s="393">
        <f t="shared" si="2"/>
        <v>66.291944112466098</v>
      </c>
      <c r="AG26" s="393">
        <f t="shared" si="3"/>
        <v>48.366589570129094</v>
      </c>
      <c r="AH26" s="393">
        <f t="shared" si="4"/>
        <v>43.827579992823807</v>
      </c>
      <c r="AI26" s="393">
        <f t="shared" si="5"/>
        <v>34.98161860380074</v>
      </c>
      <c r="AJ26" s="393">
        <f t="shared" si="6"/>
        <v>13.715169874627966</v>
      </c>
      <c r="AK26" s="393">
        <f t="shared" si="7"/>
        <v>3.2020421551495186</v>
      </c>
      <c r="AL26" s="393">
        <f t="shared" si="8"/>
        <v>-4.7713796651320335</v>
      </c>
      <c r="AM26" s="393">
        <f t="shared" si="9"/>
        <v>-4.9372113857374176</v>
      </c>
      <c r="AN26" s="393">
        <f t="shared" si="10"/>
        <v>5.4718772006163956</v>
      </c>
      <c r="AO26" s="393">
        <f t="shared" si="11"/>
        <v>26.542447691613411</v>
      </c>
      <c r="AP26" s="393">
        <f t="shared" si="12"/>
        <v>42.669865571120646</v>
      </c>
      <c r="AQ26" s="393">
        <f t="shared" si="13"/>
        <v>77.256855794662854</v>
      </c>
      <c r="AR26" s="393"/>
      <c r="AS26" s="393">
        <f t="shared" si="14"/>
        <v>42.138056704998355</v>
      </c>
      <c r="AT26" s="393">
        <f t="shared" si="15"/>
        <v>31.569020846377029</v>
      </c>
      <c r="AU26" s="393">
        <f t="shared" si="16"/>
        <v>24.453681602349281</v>
      </c>
      <c r="AV26" s="393">
        <f t="shared" si="17"/>
        <v>20.932013964990048</v>
      </c>
      <c r="AW26" s="393">
        <f t="shared" si="18"/>
        <v>8.0463884214450534</v>
      </c>
      <c r="AX26" s="393">
        <f t="shared" si="19"/>
        <v>1.8924857883963881</v>
      </c>
      <c r="AY26" s="393">
        <f t="shared" si="20"/>
        <v>-1.0199155493698822</v>
      </c>
      <c r="AZ26" s="393">
        <f t="shared" si="21"/>
        <v>-0.65313611073894651</v>
      </c>
      <c r="BA26" s="393">
        <f t="shared" si="22"/>
        <v>3.759374019298503</v>
      </c>
      <c r="BB26" s="393">
        <f t="shared" si="23"/>
        <v>13.804416004796735</v>
      </c>
      <c r="BC26" s="393">
        <f t="shared" si="24"/>
        <v>27.917912379191307</v>
      </c>
      <c r="BD26" s="393">
        <f t="shared" si="25"/>
        <v>49.729309609962087</v>
      </c>
    </row>
    <row r="27" spans="1:56" ht="15">
      <c r="A27" s="389" t="str">
        <f>VLOOKUP(CONCATENATE($C27," - ",$B27),[2]ACHIEV!$B$12:$C$100,2,FALSE)</f>
        <v>Retro12Med</v>
      </c>
      <c r="B27" s="389" t="str">
        <f>'SC-Retro'!$C$7</f>
        <v>Retro</v>
      </c>
      <c r="C27" s="389" t="str">
        <f>'SC-Retro'!$C$8</f>
        <v>ResWx</v>
      </c>
      <c r="D27" s="389" t="s">
        <v>1171</v>
      </c>
      <c r="E27" s="389" t="str">
        <f>'SC-Retro'!$A$9</f>
        <v>HVAC</v>
      </c>
      <c r="F27" s="390">
        <f t="shared" si="1"/>
        <v>0.44940424956184161</v>
      </c>
      <c r="G27" s="391">
        <f>'SC-Retro'!A182</f>
        <v>873.35078334878551</v>
      </c>
      <c r="H27" s="391">
        <f>'SC-Retro'!B182</f>
        <v>42.594319944428157</v>
      </c>
      <c r="I27" s="384" t="str">
        <f>'SC-Retro'!C182</f>
        <v>Single Family</v>
      </c>
      <c r="J27" s="384" t="str">
        <f>'SC-Retro'!D182</f>
        <v>WALL R0 - R11_Heat Pump</v>
      </c>
      <c r="K27" s="392">
        <f>'SC-Retro'!E182</f>
        <v>0.46418164966130399</v>
      </c>
      <c r="L27" s="392">
        <f>'SC-Retro'!F182</f>
        <v>0.46312759465061443</v>
      </c>
      <c r="M27" s="392">
        <f>'SC-Retro'!G182</f>
        <v>0.46207593316833434</v>
      </c>
      <c r="N27" s="392">
        <f>'SC-Retro'!H182</f>
        <v>0.46102665977928403</v>
      </c>
      <c r="O27" s="392">
        <f>'SC-Retro'!I182</f>
        <v>0.45997976906062615</v>
      </c>
      <c r="P27" s="392">
        <f>'SC-Retro'!J182</f>
        <v>0.41304173004165334</v>
      </c>
      <c r="Q27" s="392">
        <f>'SC-Retro'!K182</f>
        <v>0.32968304208336946</v>
      </c>
      <c r="R27" s="392">
        <f>'SC-Retro'!L182</f>
        <v>0.26314752319670881</v>
      </c>
      <c r="S27" s="392">
        <f>'SC-Retro'!M182</f>
        <v>0.21003997817713504</v>
      </c>
      <c r="T27" s="392">
        <f>'SC-Retro'!N182</f>
        <v>0.16765041865764801</v>
      </c>
      <c r="U27" s="392">
        <f>'SC-Retro'!O182</f>
        <v>0.13381577697737704</v>
      </c>
      <c r="V27" s="392">
        <f>'SC-Retro'!P182</f>
        <v>0.10680952849050479</v>
      </c>
      <c r="W27" s="392">
        <f>'SC-Retro'!Q182</f>
        <v>8.5253589928283594E-2</v>
      </c>
      <c r="X27" s="392">
        <f>'SC-Retro'!R182</f>
        <v>6.8047998136290505E-2</v>
      </c>
      <c r="Y27" s="392">
        <f>'SC-Retro'!S182</f>
        <v>5.4314780811598164E-2</v>
      </c>
      <c r="Z27" s="392">
        <f>'SC-Retro'!T182</f>
        <v>4.3353155058335868E-2</v>
      </c>
      <c r="AA27" s="392">
        <f>'SC-Retro'!U182</f>
        <v>2.9503028619355383E-4</v>
      </c>
      <c r="AB27" s="392">
        <f>'SC-Retro'!V182</f>
        <v>1.0512869176296126E-4</v>
      </c>
      <c r="AC27" s="392">
        <f>'SC-Retro'!W182</f>
        <v>3.575794346455441E-5</v>
      </c>
      <c r="AD27" s="392">
        <f>'SC-Retro'!X182</f>
        <v>1.1633721194157079E-5</v>
      </c>
      <c r="AE27" s="392">
        <f>'SC-Retro'!Y182</f>
        <v>4.0645515526828051</v>
      </c>
      <c r="AF27" s="393">
        <f t="shared" si="2"/>
        <v>95.734641678657383</v>
      </c>
      <c r="AG27" s="393">
        <f t="shared" si="3"/>
        <v>69.847976005341863</v>
      </c>
      <c r="AH27" s="393">
        <f t="shared" si="4"/>
        <v>63.293024852874439</v>
      </c>
      <c r="AI27" s="393">
        <f t="shared" si="5"/>
        <v>50.841453544719798</v>
      </c>
      <c r="AJ27" s="393">
        <f t="shared" si="6"/>
        <v>21.435329107728748</v>
      </c>
      <c r="AK27" s="393">
        <f t="shared" si="7"/>
        <v>6.4275034696270179</v>
      </c>
      <c r="AL27" s="393">
        <f t="shared" si="8"/>
        <v>5.4488161143873848</v>
      </c>
      <c r="AM27" s="393">
        <f t="shared" si="9"/>
        <v>5.2284918397055149</v>
      </c>
      <c r="AN27" s="393">
        <f t="shared" si="10"/>
        <v>13.008501359643814</v>
      </c>
      <c r="AO27" s="393">
        <f t="shared" si="11"/>
        <v>39.260053080052671</v>
      </c>
      <c r="AP27" s="393">
        <f t="shared" si="12"/>
        <v>61.621126754065727</v>
      </c>
      <c r="AQ27" s="393">
        <f t="shared" si="13"/>
        <v>111.56947508092341</v>
      </c>
      <c r="AR27" s="393"/>
      <c r="AS27" s="393">
        <f t="shared" si="14"/>
        <v>60.853121954668431</v>
      </c>
      <c r="AT27" s="393">
        <f t="shared" si="15"/>
        <v>45.589987431152153</v>
      </c>
      <c r="AU27" s="393">
        <f t="shared" si="16"/>
        <v>35.314463578760112</v>
      </c>
      <c r="AV27" s="393">
        <f t="shared" si="17"/>
        <v>30.313239651329905</v>
      </c>
      <c r="AW27" s="393">
        <f t="shared" si="18"/>
        <v>12.032605930484584</v>
      </c>
      <c r="AX27" s="393">
        <f t="shared" si="19"/>
        <v>3.0606303594398501</v>
      </c>
      <c r="AY27" s="393">
        <f t="shared" si="20"/>
        <v>1.8945103353263379</v>
      </c>
      <c r="AZ27" s="393">
        <f t="shared" si="21"/>
        <v>1.2466109498890892</v>
      </c>
      <c r="BA27" s="393">
        <f t="shared" si="22"/>
        <v>7.0384116601103068</v>
      </c>
      <c r="BB27" s="393">
        <f t="shared" si="23"/>
        <v>20.15759130880863</v>
      </c>
      <c r="BC27" s="393">
        <f t="shared" si="24"/>
        <v>40.317287022141109</v>
      </c>
      <c r="BD27" s="393">
        <f t="shared" si="25"/>
        <v>71.815930278947263</v>
      </c>
    </row>
    <row r="28" spans="1:56" ht="15">
      <c r="A28" s="389" t="str">
        <f>VLOOKUP(CONCATENATE($C28," - ",$B28),[2]ACHIEV!$B$12:$C$100,2,FALSE)</f>
        <v>Retro12Med</v>
      </c>
      <c r="B28" s="389" t="str">
        <f>'SC-Retro'!$C$7</f>
        <v>Retro</v>
      </c>
      <c r="C28" s="389" t="str">
        <f>'SC-Retro'!$C$8</f>
        <v>ResWx</v>
      </c>
      <c r="D28" s="389" t="s">
        <v>1171</v>
      </c>
      <c r="E28" s="389" t="str">
        <f>'SC-Retro'!$A$9</f>
        <v>HVAC</v>
      </c>
      <c r="F28" s="390">
        <f t="shared" si="1"/>
        <v>0.28204248829858275</v>
      </c>
      <c r="G28" s="391">
        <f>'SC-Retro'!A183</f>
        <v>541.31676816379593</v>
      </c>
      <c r="H28" s="391">
        <f>'SC-Retro'!B183</f>
        <v>70.994917943067094</v>
      </c>
      <c r="I28" s="384" t="str">
        <f>'SC-Retro'!C183</f>
        <v>Single Family</v>
      </c>
      <c r="J28" s="384" t="str">
        <f>'SC-Retro'!D183</f>
        <v>CFM50 Infiltration Reduction_Electric FAF</v>
      </c>
      <c r="K28" s="392">
        <f>'SC-Retro'!E183</f>
        <v>0.46206614190565148</v>
      </c>
      <c r="L28" s="392">
        <f>'SC-Retro'!F183</f>
        <v>0.46101689075041746</v>
      </c>
      <c r="M28" s="392">
        <f>'SC-Retro'!G183</f>
        <v>0.45997002221508759</v>
      </c>
      <c r="N28" s="392">
        <f>'SC-Retro'!H183</f>
        <v>0.45892553088925309</v>
      </c>
      <c r="O28" s="392">
        <f>'SC-Retro'!I183</f>
        <v>0.45788341137479122</v>
      </c>
      <c r="P28" s="392">
        <f>'SC-Retro'!J183</f>
        <v>0.41115929245725347</v>
      </c>
      <c r="Q28" s="392">
        <f>'SC-Retro'!K183</f>
        <v>0.32818051169910423</v>
      </c>
      <c r="R28" s="392">
        <f>'SC-Retro'!L183</f>
        <v>0.26194822842361826</v>
      </c>
      <c r="S28" s="392">
        <f>'SC-Retro'!M183</f>
        <v>0.20908272102757949</v>
      </c>
      <c r="T28" s="392">
        <f>'SC-Retro'!N183</f>
        <v>0.16688635191531254</v>
      </c>
      <c r="U28" s="392">
        <f>'SC-Retro'!O183</f>
        <v>0.13320591160628609</v>
      </c>
      <c r="V28" s="392">
        <f>'SC-Retro'!P183</f>
        <v>0.10632274409033705</v>
      </c>
      <c r="W28" s="392">
        <f>'SC-Retro'!Q183</f>
        <v>8.4865046712880532E-2</v>
      </c>
      <c r="X28" s="392">
        <f>'SC-Retro'!R183</f>
        <v>6.7737869401302858E-2</v>
      </c>
      <c r="Y28" s="392">
        <f>'SC-Retro'!S183</f>
        <v>5.4067241211234095E-2</v>
      </c>
      <c r="Z28" s="392">
        <f>'SC-Retro'!T183</f>
        <v>4.3155573064681374E-2</v>
      </c>
      <c r="AA28" s="392">
        <f>'SC-Retro'!U183</f>
        <v>2.9368568573584459E-4</v>
      </c>
      <c r="AB28" s="392">
        <f>'SC-Retro'!V183</f>
        <v>1.046495677757713E-4</v>
      </c>
      <c r="AC28" s="392">
        <f>'SC-Retro'!W183</f>
        <v>3.5594976645894859E-5</v>
      </c>
      <c r="AD28" s="392">
        <f>'SC-Retro'!X183</f>
        <v>1.1580700512638765E-5</v>
      </c>
      <c r="AE28" s="392">
        <f>'SC-Retro'!Y183</f>
        <v>4.0460273599681136</v>
      </c>
      <c r="AF28" s="393">
        <f t="shared" si="2"/>
        <v>60.082290235900736</v>
      </c>
      <c r="AG28" s="393">
        <f t="shared" si="3"/>
        <v>43.836027305868704</v>
      </c>
      <c r="AH28" s="393">
        <f t="shared" si="4"/>
        <v>39.722192744846886</v>
      </c>
      <c r="AI28" s="393">
        <f t="shared" si="5"/>
        <v>31.856285221605336</v>
      </c>
      <c r="AJ28" s="393">
        <f t="shared" si="6"/>
        <v>13.193610857317926</v>
      </c>
      <c r="AK28" s="393">
        <f t="shared" si="7"/>
        <v>3.7470574628364783</v>
      </c>
      <c r="AL28" s="393">
        <f t="shared" si="8"/>
        <v>1.4572353176968644</v>
      </c>
      <c r="AM28" s="393">
        <f t="shared" si="9"/>
        <v>1.3159145406033488</v>
      </c>
      <c r="AN28" s="393">
        <f t="shared" si="10"/>
        <v>7.3519360800703479</v>
      </c>
      <c r="AO28" s="393">
        <f t="shared" si="11"/>
        <v>24.491528930437294</v>
      </c>
      <c r="AP28" s="393">
        <f t="shared" si="12"/>
        <v>38.67292296061715</v>
      </c>
      <c r="AQ28" s="393">
        <f t="shared" si="13"/>
        <v>70.020104172735913</v>
      </c>
      <c r="AR28" s="393"/>
      <c r="AS28" s="393">
        <f t="shared" si="14"/>
        <v>38.190929332700961</v>
      </c>
      <c r="AT28" s="393">
        <f t="shared" si="15"/>
        <v>28.611909008692759</v>
      </c>
      <c r="AU28" s="393">
        <f t="shared" si="16"/>
        <v>22.163072980271352</v>
      </c>
      <c r="AV28" s="393">
        <f t="shared" si="17"/>
        <v>19.010899236146965</v>
      </c>
      <c r="AW28" s="393">
        <f t="shared" si="18"/>
        <v>7.485961179196214</v>
      </c>
      <c r="AX28" s="393">
        <f t="shared" si="19"/>
        <v>1.8687233489754458</v>
      </c>
      <c r="AY28" s="393">
        <f t="shared" si="20"/>
        <v>0.6534407997484879</v>
      </c>
      <c r="AZ28" s="393">
        <f t="shared" si="21"/>
        <v>0.43410166915411236</v>
      </c>
      <c r="BA28" s="393">
        <f t="shared" si="22"/>
        <v>4.1613043740450602</v>
      </c>
      <c r="BB28" s="393">
        <f t="shared" si="23"/>
        <v>12.6154161536233</v>
      </c>
      <c r="BC28" s="393">
        <f t="shared" si="24"/>
        <v>25.302804689229063</v>
      </c>
      <c r="BD28" s="393">
        <f t="shared" si="25"/>
        <v>45.071099561475208</v>
      </c>
    </row>
    <row r="29" spans="1:56" ht="15">
      <c r="A29" s="389" t="str">
        <f>VLOOKUP(CONCATENATE($C29," - ",$B29),[2]ACHIEV!$B$12:$C$100,2,FALSE)</f>
        <v>Retro12Med</v>
      </c>
      <c r="B29" s="389" t="str">
        <f>'SC-Retro'!$C$7</f>
        <v>Retro</v>
      </c>
      <c r="C29" s="389" t="str">
        <f>'SC-Retro'!$C$8</f>
        <v>ResWx</v>
      </c>
      <c r="D29" s="389" t="s">
        <v>1171</v>
      </c>
      <c r="E29" s="389" t="str">
        <f>'SC-Retro'!$A$9</f>
        <v>HVAC</v>
      </c>
      <c r="F29" s="390">
        <f t="shared" si="1"/>
        <v>0.11959126374110536</v>
      </c>
      <c r="G29" s="391">
        <f>'SC-Retro'!A184</f>
        <v>250.87117127065753</v>
      </c>
      <c r="H29" s="391">
        <f>'SC-Retro'!B184</f>
        <v>93.100705743060303</v>
      </c>
      <c r="I29" s="384" t="str">
        <f>'SC-Retro'!C184</f>
        <v>Single Family</v>
      </c>
      <c r="J29" s="384" t="str">
        <f>'SC-Retro'!D184</f>
        <v>ATTIC R11 - R38_Electric Zonal</v>
      </c>
      <c r="K29" s="392">
        <f>'SC-Retro'!E184</f>
        <v>5.4376008981543843E-2</v>
      </c>
      <c r="L29" s="392">
        <f>'SC-Retro'!F184</f>
        <v>5.4252532957082059E-2</v>
      </c>
      <c r="M29" s="392">
        <f>'SC-Retro'!G184</f>
        <v>5.412933731966784E-2</v>
      </c>
      <c r="N29" s="392">
        <f>'SC-Retro'!H184</f>
        <v>5.4006421432603521E-2</v>
      </c>
      <c r="O29" s="392">
        <f>'SC-Retro'!I184</f>
        <v>5.3883784660637271E-2</v>
      </c>
      <c r="P29" s="392">
        <f>'SC-Retro'!J184</f>
        <v>4.8385283732963705E-2</v>
      </c>
      <c r="Q29" s="392">
        <f>'SC-Retro'!K184</f>
        <v>3.8620329068304496E-2</v>
      </c>
      <c r="R29" s="392">
        <f>'SC-Retro'!L184</f>
        <v>3.0826104597749468E-2</v>
      </c>
      <c r="S29" s="392">
        <f>'SC-Retro'!M184</f>
        <v>2.4604884204657257E-2</v>
      </c>
      <c r="T29" s="392">
        <f>'SC-Retro'!N184</f>
        <v>1.9639209514937903E-2</v>
      </c>
      <c r="U29" s="392">
        <f>'SC-Retro'!O184</f>
        <v>1.5675690532151402E-2</v>
      </c>
      <c r="V29" s="392">
        <f>'SC-Retro'!P184</f>
        <v>1.251207557375855E-2</v>
      </c>
      <c r="W29" s="392">
        <f>'SC-Retro'!Q184</f>
        <v>9.9869307091991644E-3</v>
      </c>
      <c r="X29" s="392">
        <f>'SC-Retro'!R184</f>
        <v>7.9714020589458732E-3</v>
      </c>
      <c r="Y29" s="392">
        <f>'SC-Retro'!S184</f>
        <v>6.3626405985610342E-3</v>
      </c>
      <c r="Z29" s="392">
        <f>'SC-Retro'!T184</f>
        <v>5.0785539466077995E-3</v>
      </c>
      <c r="AA29" s="392">
        <f>'SC-Retro'!U184</f>
        <v>3.456097306645749E-5</v>
      </c>
      <c r="AB29" s="392">
        <f>'SC-Retro'!V184</f>
        <v>1.2315175948234569E-5</v>
      </c>
      <c r="AC29" s="392">
        <f>'SC-Retro'!W184</f>
        <v>4.1888218898978131E-6</v>
      </c>
      <c r="AD29" s="392">
        <f>'SC-Retro'!X184</f>
        <v>1.3628184754908847E-6</v>
      </c>
      <c r="AE29" s="392">
        <f>'SC-Retro'!Y184</f>
        <v>0.47613707240666225</v>
      </c>
      <c r="AF29" s="393">
        <f t="shared" si="2"/>
        <v>25.47600916839362</v>
      </c>
      <c r="AG29" s="393">
        <f t="shared" si="3"/>
        <v>18.587291349339523</v>
      </c>
      <c r="AH29" s="393">
        <f t="shared" si="4"/>
        <v>16.842948938583298</v>
      </c>
      <c r="AI29" s="393">
        <f t="shared" si="5"/>
        <v>13.669199479908382</v>
      </c>
      <c r="AJ29" s="393">
        <f t="shared" si="6"/>
        <v>6.4083963077672292</v>
      </c>
      <c r="AK29" s="393">
        <f t="shared" si="7"/>
        <v>2.4901332182694493</v>
      </c>
      <c r="AL29" s="393">
        <f t="shared" si="8"/>
        <v>6.7851911201400874</v>
      </c>
      <c r="AM29" s="393">
        <f t="shared" si="9"/>
        <v>6.7348445086763302</v>
      </c>
      <c r="AN29" s="393">
        <f t="shared" si="10"/>
        <v>5.6695559066383456</v>
      </c>
      <c r="AO29" s="393">
        <f t="shared" si="11"/>
        <v>10.849247922474257</v>
      </c>
      <c r="AP29" s="393">
        <f t="shared" si="12"/>
        <v>16.39803902356174</v>
      </c>
      <c r="AQ29" s="393">
        <f t="shared" si="13"/>
        <v>29.689827216516623</v>
      </c>
      <c r="AR29" s="393"/>
      <c r="AS29" s="393">
        <f t="shared" si="14"/>
        <v>16.193664755608769</v>
      </c>
      <c r="AT29" s="393">
        <f t="shared" si="15"/>
        <v>12.131981876335894</v>
      </c>
      <c r="AU29" s="393">
        <f t="shared" si="16"/>
        <v>9.3975553899207185</v>
      </c>
      <c r="AV29" s="393">
        <f t="shared" si="17"/>
        <v>8.103231894462569</v>
      </c>
      <c r="AW29" s="393">
        <f t="shared" si="18"/>
        <v>3.3803672774371916</v>
      </c>
      <c r="AX29" s="393">
        <f t="shared" si="19"/>
        <v>0.95612134440678487</v>
      </c>
      <c r="AY29" s="393">
        <f t="shared" si="20"/>
        <v>1.9601270541136182</v>
      </c>
      <c r="AZ29" s="393">
        <f t="shared" si="21"/>
        <v>1.2785602369408013</v>
      </c>
      <c r="BA29" s="393">
        <f t="shared" si="22"/>
        <v>2.5688412853839955</v>
      </c>
      <c r="BB29" s="393">
        <f t="shared" si="23"/>
        <v>5.4601909621193894</v>
      </c>
      <c r="BC29" s="393">
        <f t="shared" si="24"/>
        <v>10.728860063721385</v>
      </c>
      <c r="BD29" s="393">
        <f t="shared" si="25"/>
        <v>19.110984969937544</v>
      </c>
    </row>
    <row r="30" spans="1:56" ht="15">
      <c r="A30" s="389" t="str">
        <f>VLOOKUP(CONCATENATE($C30," - ",$B30),[2]ACHIEV!$B$12:$C$100,2,FALSE)</f>
        <v>Retro12Med</v>
      </c>
      <c r="B30" s="389" t="str">
        <f>'SC-Retro'!$C$7</f>
        <v>Retro</v>
      </c>
      <c r="C30" s="389" t="str">
        <f>'SC-Retro'!$C$8</f>
        <v>ResWx</v>
      </c>
      <c r="D30" s="389" t="s">
        <v>1171</v>
      </c>
      <c r="E30" s="389" t="str">
        <f>'SC-Retro'!$A$9</f>
        <v>HVAC</v>
      </c>
      <c r="F30" s="390">
        <f t="shared" si="1"/>
        <v>0.12233959347922661</v>
      </c>
      <c r="G30" s="391">
        <f>'SC-Retro'!A185</f>
        <v>254.89161364580158</v>
      </c>
      <c r="H30" s="391">
        <f>'SC-Retro'!B185</f>
        <v>95.091000531406678</v>
      </c>
      <c r="I30" s="384" t="str">
        <f>'SC-Retro'!C185</f>
        <v>Single Family</v>
      </c>
      <c r="J30" s="384" t="str">
        <f>'SC-Retro'!D185</f>
        <v>ATTIC R11 - R38_DHP</v>
      </c>
      <c r="K30" s="392">
        <f>'SC-Retro'!E185</f>
        <v>4.8215001426798968E-3</v>
      </c>
      <c r="L30" s="392">
        <f>'SC-Retro'!F185</f>
        <v>4.8105515703092735E-3</v>
      </c>
      <c r="M30" s="392">
        <f>'SC-Retro'!G185</f>
        <v>4.7996278597520732E-3</v>
      </c>
      <c r="N30" s="392">
        <f>'SC-Retro'!H185</f>
        <v>4.7887289545525489E-3</v>
      </c>
      <c r="O30" s="392">
        <f>'SC-Retro'!I185</f>
        <v>4.7778547983831649E-3</v>
      </c>
      <c r="P30" s="392">
        <f>'SC-Retro'!J185</f>
        <v>4.2903048015398536E-3</v>
      </c>
      <c r="Q30" s="392">
        <f>'SC-Retro'!K185</f>
        <v>3.4244499660939969E-3</v>
      </c>
      <c r="R30" s="392">
        <f>'SC-Retro'!L185</f>
        <v>2.7333390313136331E-3</v>
      </c>
      <c r="S30" s="392">
        <f>'SC-Retro'!M185</f>
        <v>2.1817057729198769E-3</v>
      </c>
      <c r="T30" s="392">
        <f>'SC-Retro'!N185</f>
        <v>1.7414012769957619E-3</v>
      </c>
      <c r="U30" s="392">
        <f>'SC-Retro'!O185</f>
        <v>1.3899575484296236E-3</v>
      </c>
      <c r="V30" s="392">
        <f>'SC-Retro'!P185</f>
        <v>1.1094410070546831E-3</v>
      </c>
      <c r="W30" s="392">
        <f>'SC-Retro'!Q185</f>
        <v>8.8553736732833077E-4</v>
      </c>
      <c r="X30" s="392">
        <f>'SC-Retro'!R185</f>
        <v>7.0682120450604529E-4</v>
      </c>
      <c r="Y30" s="392">
        <f>'SC-Retro'!S185</f>
        <v>5.6417293450490992E-4</v>
      </c>
      <c r="Z30" s="392">
        <f>'SC-Retro'!T185</f>
        <v>4.5031345692340361E-4</v>
      </c>
      <c r="AA30" s="392">
        <f>'SC-Retro'!U185</f>
        <v>3.0645084053086693E-6</v>
      </c>
      <c r="AB30" s="392">
        <f>'SC-Retro'!V185</f>
        <v>1.0919819917584387E-6</v>
      </c>
      <c r="AC30" s="392">
        <f>'SC-Retro'!W185</f>
        <v>3.7142125209406202E-7</v>
      </c>
      <c r="AD30" s="392">
        <f>'SC-Retro'!X185</f>
        <v>1.2084059858560696E-7</v>
      </c>
      <c r="AE30" s="392">
        <f>'SC-Retro'!Y185</f>
        <v>4.2218894059016139E-2</v>
      </c>
      <c r="AF30" s="393">
        <f t="shared" si="2"/>
        <v>26.061473954163588</v>
      </c>
      <c r="AG30" s="393">
        <f t="shared" si="3"/>
        <v>19.014446343512859</v>
      </c>
      <c r="AH30" s="393">
        <f t="shared" si="4"/>
        <v>17.230017157427245</v>
      </c>
      <c r="AI30" s="393">
        <f t="shared" si="5"/>
        <v>13.970125187092769</v>
      </c>
      <c r="AJ30" s="393">
        <f t="shared" si="6"/>
        <v>6.4891160980534748</v>
      </c>
      <c r="AK30" s="393">
        <f t="shared" si="7"/>
        <v>2.4736742615159559</v>
      </c>
      <c r="AL30" s="393">
        <f t="shared" si="8"/>
        <v>6.4369276111550304</v>
      </c>
      <c r="AM30" s="393">
        <f t="shared" si="9"/>
        <v>6.3846411152460929</v>
      </c>
      <c r="AN30" s="393">
        <f t="shared" si="10"/>
        <v>5.5911985881884299</v>
      </c>
      <c r="AO30" s="393">
        <f t="shared" si="11"/>
        <v>11.060610038991125</v>
      </c>
      <c r="AP30" s="393">
        <f t="shared" si="12"/>
        <v>16.774882756837194</v>
      </c>
      <c r="AQ30" s="393">
        <f t="shared" si="13"/>
        <v>30.372129857246961</v>
      </c>
      <c r="AR30" s="393"/>
      <c r="AS30" s="393">
        <f t="shared" si="14"/>
        <v>16.565811758866065</v>
      </c>
      <c r="AT30" s="393">
        <f t="shared" si="15"/>
        <v>12.410787246645077</v>
      </c>
      <c r="AU30" s="393">
        <f t="shared" si="16"/>
        <v>9.6135208386985909</v>
      </c>
      <c r="AV30" s="393">
        <f t="shared" si="17"/>
        <v>8.2859978462884527</v>
      </c>
      <c r="AW30" s="393">
        <f t="shared" si="18"/>
        <v>3.4411957388961207</v>
      </c>
      <c r="AX30" s="393">
        <f t="shared" si="19"/>
        <v>0.9647071344899083</v>
      </c>
      <c r="AY30" s="393">
        <f t="shared" si="20"/>
        <v>1.8675781279159818</v>
      </c>
      <c r="AZ30" s="393">
        <f t="shared" si="21"/>
        <v>1.2184649155048313</v>
      </c>
      <c r="BA30" s="393">
        <f t="shared" si="22"/>
        <v>2.5621162707641578</v>
      </c>
      <c r="BB30" s="393">
        <f t="shared" si="23"/>
        <v>5.5765955608112057</v>
      </c>
      <c r="BC30" s="393">
        <f t="shared" si="24"/>
        <v>10.975420257558788</v>
      </c>
      <c r="BD30" s="393">
        <f t="shared" si="25"/>
        <v>19.550174979931679</v>
      </c>
    </row>
    <row r="31" spans="1:56" ht="15">
      <c r="A31" s="389" t="str">
        <f>VLOOKUP(CONCATENATE($C31," - ",$B31),[2]ACHIEV!$B$12:$C$100,2,FALSE)</f>
        <v>Retro12Med</v>
      </c>
      <c r="B31" s="389" t="str">
        <f>'SC-Retro'!$C$7</f>
        <v>Retro</v>
      </c>
      <c r="C31" s="389" t="str">
        <f>'SC-Retro'!$C$8</f>
        <v>ResWx</v>
      </c>
      <c r="D31" s="389" t="s">
        <v>1171</v>
      </c>
      <c r="E31" s="389" t="str">
        <f>'SC-Retro'!$A$9</f>
        <v>HVAC</v>
      </c>
      <c r="F31" s="390">
        <f t="shared" si="1"/>
        <v>0.22594816964288897</v>
      </c>
      <c r="G31" s="391">
        <f>'SC-Retro'!A186</f>
        <v>436.32229192874519</v>
      </c>
      <c r="H31" s="391">
        <f>'SC-Retro'!B186</f>
        <v>95.9020646212862</v>
      </c>
      <c r="I31" s="384" t="str">
        <f>'SC-Retro'!C186</f>
        <v>Single Family</v>
      </c>
      <c r="J31" s="384" t="str">
        <f>'SC-Retro'!D186</f>
        <v>CFM50 Infiltration Reduction_Electric Zonal</v>
      </c>
      <c r="K31" s="392">
        <f>'SC-Retro'!E186</f>
        <v>1.3280912107181131</v>
      </c>
      <c r="L31" s="392">
        <f>'SC-Retro'!F186</f>
        <v>1.3250754060297294</v>
      </c>
      <c r="M31" s="392">
        <f>'SC-Retro'!G186</f>
        <v>1.3220664495742425</v>
      </c>
      <c r="N31" s="392">
        <f>'SC-Retro'!H186</f>
        <v>1.3190643258008123</v>
      </c>
      <c r="O31" s="392">
        <f>'SC-Retro'!I186</f>
        <v>1.3160690191939131</v>
      </c>
      <c r="P31" s="392">
        <f>'SC-Retro'!J186</f>
        <v>1.1817724628459245</v>
      </c>
      <c r="Q31" s="392">
        <f>'SC-Retro'!K186</f>
        <v>0.94327113282744979</v>
      </c>
      <c r="R31" s="392">
        <f>'SC-Retro'!L186</f>
        <v>0.7529033363011981</v>
      </c>
      <c r="S31" s="392">
        <f>'SC-Retro'!M186</f>
        <v>0.60095492598645028</v>
      </c>
      <c r="T31" s="392">
        <f>'SC-Retro'!N186</f>
        <v>0.47967223102183659</v>
      </c>
      <c r="U31" s="392">
        <f>'SC-Retro'!O186</f>
        <v>0.38286640023091173</v>
      </c>
      <c r="V31" s="392">
        <f>'SC-Retro'!P186</f>
        <v>0.30559759549454396</v>
      </c>
      <c r="W31" s="392">
        <f>'SC-Retro'!Q186</f>
        <v>0.24392292015105593</v>
      </c>
      <c r="X31" s="392">
        <f>'SC-Retro'!R186</f>
        <v>0.19469521963591718</v>
      </c>
      <c r="Y31" s="392">
        <f>'SC-Retro'!S186</f>
        <v>0.15540248749729454</v>
      </c>
      <c r="Z31" s="392">
        <f>'SC-Retro'!T186</f>
        <v>0.12403968194754598</v>
      </c>
      <c r="AA31" s="392">
        <f>'SC-Retro'!U186</f>
        <v>8.4412455829567979E-4</v>
      </c>
      <c r="AB31" s="392">
        <f>'SC-Retro'!V186</f>
        <v>3.0078847715448982E-4</v>
      </c>
      <c r="AC31" s="392">
        <f>'SC-Retro'!W186</f>
        <v>1.0230867692266907E-4</v>
      </c>
      <c r="AD31" s="392">
        <f>'SC-Retro'!X186</f>
        <v>3.3285768356372556E-5</v>
      </c>
      <c r="AE31" s="392">
        <f>'SC-Retro'!Y186</f>
        <v>11.629273144613711</v>
      </c>
      <c r="AF31" s="393">
        <f t="shared" si="2"/>
        <v>48.13276038177262</v>
      </c>
      <c r="AG31" s="393">
        <f t="shared" si="3"/>
        <v>35.117652641368025</v>
      </c>
      <c r="AH31" s="393">
        <f t="shared" si="4"/>
        <v>31.822002419006804</v>
      </c>
      <c r="AI31" s="393">
        <f t="shared" si="5"/>
        <v>25.540692063653083</v>
      </c>
      <c r="AJ31" s="393">
        <f t="shared" si="6"/>
        <v>10.671268065151706</v>
      </c>
      <c r="AK31" s="393">
        <f t="shared" si="7"/>
        <v>3.1144008145118627</v>
      </c>
      <c r="AL31" s="393">
        <f t="shared" si="8"/>
        <v>1.9377552736445485</v>
      </c>
      <c r="AM31" s="393">
        <f t="shared" si="9"/>
        <v>1.8257373499172727</v>
      </c>
      <c r="AN31" s="393">
        <f t="shared" si="10"/>
        <v>6.2085280972836596</v>
      </c>
      <c r="AO31" s="393">
        <f t="shared" si="11"/>
        <v>19.678510483883851</v>
      </c>
      <c r="AP31" s="393">
        <f t="shared" si="12"/>
        <v>30.98141776582748</v>
      </c>
      <c r="AQ31" s="393">
        <f t="shared" si="13"/>
        <v>56.094081680648657</v>
      </c>
      <c r="AR31" s="393"/>
      <c r="AS31" s="393">
        <f t="shared" si="14"/>
        <v>30.595285950496496</v>
      </c>
      <c r="AT31" s="393">
        <f t="shared" si="15"/>
        <v>22.921399217195532</v>
      </c>
      <c r="AU31" s="393">
        <f t="shared" si="16"/>
        <v>17.755146764457347</v>
      </c>
      <c r="AV31" s="393">
        <f t="shared" si="17"/>
        <v>15.235174640441205</v>
      </c>
      <c r="AW31" s="393">
        <f t="shared" si="18"/>
        <v>6.0228614255923603</v>
      </c>
      <c r="AX31" s="393">
        <f t="shared" si="19"/>
        <v>1.5175137238099852</v>
      </c>
      <c r="AY31" s="393">
        <f t="shared" si="20"/>
        <v>0.7337074494031558</v>
      </c>
      <c r="AZ31" s="393">
        <f t="shared" si="21"/>
        <v>0.48447567888653048</v>
      </c>
      <c r="BA31" s="393">
        <f t="shared" si="22"/>
        <v>3.4341511815829664</v>
      </c>
      <c r="BB31" s="393">
        <f t="shared" si="23"/>
        <v>10.120253004381984</v>
      </c>
      <c r="BC31" s="393">
        <f t="shared" si="24"/>
        <v>20.270429610982635</v>
      </c>
      <c r="BD31" s="393">
        <f t="shared" si="25"/>
        <v>36.107086244845448</v>
      </c>
    </row>
    <row r="32" spans="1:56" ht="15">
      <c r="A32" s="389" t="str">
        <f>VLOOKUP(CONCATENATE($C32," - ",$B32),[2]ACHIEV!$B$12:$C$100,2,FALSE)</f>
        <v>Retro12Med</v>
      </c>
      <c r="B32" s="389" t="str">
        <f>'SC-Retro'!$C$7</f>
        <v>Retro</v>
      </c>
      <c r="C32" s="389" t="str">
        <f>'SC-Retro'!$C$8</f>
        <v>ResWx</v>
      </c>
      <c r="D32" s="389" t="s">
        <v>1171</v>
      </c>
      <c r="E32" s="389" t="str">
        <f>'SC-Retro'!$A$9</f>
        <v>HVAC</v>
      </c>
      <c r="F32" s="390">
        <f t="shared" si="1"/>
        <v>0.2269030696801565</v>
      </c>
      <c r="G32" s="391">
        <f>'SC-Retro'!A187</f>
        <v>438.23635218758727</v>
      </c>
      <c r="H32" s="391">
        <f>'SC-Retro'!B187</f>
        <v>99.714717551795005</v>
      </c>
      <c r="I32" s="384" t="str">
        <f>'SC-Retro'!C187</f>
        <v>Single Family</v>
      </c>
      <c r="J32" s="384" t="str">
        <f>'SC-Retro'!D187</f>
        <v>CFM50 Infiltration Reduction_DHP</v>
      </c>
      <c r="K32" s="392">
        <f>'SC-Retro'!E187</f>
        <v>0.11641232595423724</v>
      </c>
      <c r="L32" s="392">
        <f>'SC-Retro'!F187</f>
        <v>0.11614797902116135</v>
      </c>
      <c r="M32" s="392">
        <f>'SC-Retro'!G187</f>
        <v>0.11588423236215822</v>
      </c>
      <c r="N32" s="392">
        <f>'SC-Retro'!H187</f>
        <v>0.11562108461413685</v>
      </c>
      <c r="O32" s="392">
        <f>'SC-Retro'!I187</f>
        <v>0.11535853441710127</v>
      </c>
      <c r="P32" s="392">
        <f>'SC-Retro'!J187</f>
        <v>0.10358692237272951</v>
      </c>
      <c r="Q32" s="392">
        <f>'SC-Retro'!K187</f>
        <v>8.2681359301035609E-2</v>
      </c>
      <c r="R32" s="392">
        <f>'SC-Retro'!L187</f>
        <v>6.5994886413061948E-2</v>
      </c>
      <c r="S32" s="392">
        <f>'SC-Retro'!M187</f>
        <v>5.2676021167184624E-2</v>
      </c>
      <c r="T32" s="392">
        <f>'SC-Retro'!N187</f>
        <v>4.2045124354611982E-2</v>
      </c>
      <c r="U32" s="392">
        <f>'SC-Retro'!O187</f>
        <v>3.3559719257916544E-2</v>
      </c>
      <c r="V32" s="392">
        <f>'SC-Retro'!P187</f>
        <v>2.6786809979945609E-2</v>
      </c>
      <c r="W32" s="392">
        <f>'SC-Retro'!Q187</f>
        <v>2.1380786394166622E-2</v>
      </c>
      <c r="X32" s="392">
        <f>'SC-Retro'!R187</f>
        <v>1.7065788243363984E-2</v>
      </c>
      <c r="Y32" s="392">
        <f>'SC-Retro'!S187</f>
        <v>1.3621628456416379E-2</v>
      </c>
      <c r="Z32" s="392">
        <f>'SC-Retro'!T187</f>
        <v>1.0872557373773989E-2</v>
      </c>
      <c r="AA32" s="392">
        <f>'SC-Retro'!U187</f>
        <v>7.3990778971543304E-5</v>
      </c>
      <c r="AB32" s="392">
        <f>'SC-Retro'!V187</f>
        <v>2.6365272176489946E-5</v>
      </c>
      <c r="AC32" s="392">
        <f>'SC-Retro'!W187</f>
        <v>8.967750821442934E-6</v>
      </c>
      <c r="AD32" s="392">
        <f>'SC-Retro'!X187</f>
        <v>2.9176262023781437E-6</v>
      </c>
      <c r="AE32" s="392">
        <f>'SC-Retro'!Y187</f>
        <v>1.0193507230498273</v>
      </c>
      <c r="AF32" s="393">
        <f t="shared" si="2"/>
        <v>48.336178602663658</v>
      </c>
      <c r="AG32" s="393">
        <f t="shared" si="3"/>
        <v>35.26606653588636</v>
      </c>
      <c r="AH32" s="393">
        <f t="shared" si="4"/>
        <v>31.956488267437724</v>
      </c>
      <c r="AI32" s="393">
        <f t="shared" si="5"/>
        <v>25.649162319585994</v>
      </c>
      <c r="AJ32" s="393">
        <f t="shared" si="6"/>
        <v>10.719039844798699</v>
      </c>
      <c r="AK32" s="393">
        <f t="shared" si="7"/>
        <v>3.1305223225293117</v>
      </c>
      <c r="AL32" s="393">
        <f t="shared" si="8"/>
        <v>1.9661949236164833</v>
      </c>
      <c r="AM32" s="393">
        <f t="shared" si="9"/>
        <v>1.853735033692357</v>
      </c>
      <c r="AN32" s="393">
        <f t="shared" si="10"/>
        <v>6.24314666729975</v>
      </c>
      <c r="AO32" s="393">
        <f t="shared" si="11"/>
        <v>19.76320042567944</v>
      </c>
      <c r="AP32" s="393">
        <f t="shared" si="12"/>
        <v>31.112351143273941</v>
      </c>
      <c r="AQ32" s="393">
        <f t="shared" si="13"/>
        <v>56.331145963010393</v>
      </c>
      <c r="AR32" s="393"/>
      <c r="AS32" s="393">
        <f t="shared" si="14"/>
        <v>30.724587461283306</v>
      </c>
      <c r="AT32" s="393">
        <f t="shared" si="15"/>
        <v>23.018269419779237</v>
      </c>
      <c r="AU32" s="393">
        <f t="shared" si="16"/>
        <v>17.830183399336342</v>
      </c>
      <c r="AV32" s="393">
        <f t="shared" si="17"/>
        <v>15.299700143119891</v>
      </c>
      <c r="AW32" s="393">
        <f t="shared" si="18"/>
        <v>6.048992179863891</v>
      </c>
      <c r="AX32" s="393">
        <f t="shared" si="19"/>
        <v>1.5244646924705054</v>
      </c>
      <c r="AY32" s="393">
        <f t="shared" si="20"/>
        <v>0.74233455393770686</v>
      </c>
      <c r="AZ32" s="393">
        <f t="shared" si="21"/>
        <v>0.4901169351022413</v>
      </c>
      <c r="BA32" s="393">
        <f t="shared" si="22"/>
        <v>3.4513057118732502</v>
      </c>
      <c r="BB32" s="393">
        <f t="shared" si="23"/>
        <v>10.163387656301785</v>
      </c>
      <c r="BC32" s="393">
        <f t="shared" si="24"/>
        <v>20.356096310657826</v>
      </c>
      <c r="BD32" s="393">
        <f t="shared" si="25"/>
        <v>36.259681674387181</v>
      </c>
    </row>
    <row r="33" spans="1:56" ht="15">
      <c r="A33" s="389" t="str">
        <f>VLOOKUP(CONCATENATE($C33," - ",$B33),[2]ACHIEV!$B$12:$C$100,2,FALSE)</f>
        <v>Retro12Med</v>
      </c>
      <c r="B33" s="389" t="str">
        <f>'SC-Retro'!$C$7</f>
        <v>Retro</v>
      </c>
      <c r="C33" s="389" t="str">
        <f>'SC-Retro'!$C$8</f>
        <v>ResWx</v>
      </c>
      <c r="D33" s="389" t="s">
        <v>1171</v>
      </c>
      <c r="E33" s="389" t="str">
        <f>'SC-Retro'!$A$9</f>
        <v>HVAC</v>
      </c>
      <c r="F33" s="390">
        <f t="shared" si="1"/>
        <v>0.12977849773666439</v>
      </c>
      <c r="G33" s="391">
        <f>'SC-Retro'!A188</f>
        <v>272.17611365046236</v>
      </c>
      <c r="H33" s="391">
        <f>'SC-Retro'!B188</f>
        <v>102.42359603296441</v>
      </c>
      <c r="I33" s="384" t="str">
        <f>'SC-Retro'!C188</f>
        <v>Single Family</v>
      </c>
      <c r="J33" s="384" t="str">
        <f>'SC-Retro'!D188</f>
        <v>ATTIC R11 - R49_Electric Zonal</v>
      </c>
      <c r="K33" s="392">
        <f>'SC-Retro'!E188</f>
        <v>4.6295191539141911E-2</v>
      </c>
      <c r="L33" s="392">
        <f>'SC-Retro'!F188</f>
        <v>4.6190065283831579E-2</v>
      </c>
      <c r="M33" s="392">
        <f>'SC-Retro'!G188</f>
        <v>4.6085177747256151E-2</v>
      </c>
      <c r="N33" s="392">
        <f>'SC-Retro'!H188</f>
        <v>4.5980528387337558E-2</v>
      </c>
      <c r="O33" s="392">
        <f>'SC-Retro'!I188</f>
        <v>4.5876116663228723E-2</v>
      </c>
      <c r="P33" s="392">
        <f>'SC-Retro'!J188</f>
        <v>4.1194747831779614E-2</v>
      </c>
      <c r="Q33" s="392">
        <f>'SC-Retro'!K188</f>
        <v>3.2880962854936691E-2</v>
      </c>
      <c r="R33" s="392">
        <f>'SC-Retro'!L188</f>
        <v>2.6245037903440415E-2</v>
      </c>
      <c r="S33" s="392">
        <f>'SC-Retro'!M188</f>
        <v>2.0948352929683407E-2</v>
      </c>
      <c r="T33" s="392">
        <f>'SC-Retro'!N188</f>
        <v>1.6720627041237744E-2</v>
      </c>
      <c r="U33" s="392">
        <f>'SC-Retro'!O188</f>
        <v>1.3346126523198507E-2</v>
      </c>
      <c r="V33" s="392">
        <f>'SC-Retro'!P188</f>
        <v>1.0652656310910537E-2</v>
      </c>
      <c r="W33" s="392">
        <f>'SC-Retro'!Q188</f>
        <v>8.5027731665161758E-3</v>
      </c>
      <c r="X33" s="392">
        <f>'SC-Retro'!R188</f>
        <v>6.7867721825569643E-3</v>
      </c>
      <c r="Y33" s="392">
        <f>'SC-Retro'!S188</f>
        <v>5.4170887257481929E-3</v>
      </c>
      <c r="Z33" s="392">
        <f>'SC-Retro'!T188</f>
        <v>4.3238301615676567E-3</v>
      </c>
      <c r="AA33" s="392">
        <f>'SC-Retro'!U188</f>
        <v>2.9424867655032276E-5</v>
      </c>
      <c r="AB33" s="392">
        <f>'SC-Retro'!V188</f>
        <v>1.0485017934200834E-5</v>
      </c>
      <c r="AC33" s="392">
        <f>'SC-Retro'!W188</f>
        <v>3.566321165313736E-6</v>
      </c>
      <c r="AD33" s="392">
        <f>'SC-Retro'!X188</f>
        <v>1.1602900532355431E-6</v>
      </c>
      <c r="AE33" s="392">
        <f>'SC-Retro'!Y188</f>
        <v>0.40537835304232112</v>
      </c>
      <c r="AF33" s="393">
        <f t="shared" si="2"/>
        <v>27.646151522882583</v>
      </c>
      <c r="AG33" s="393">
        <f t="shared" si="3"/>
        <v>20.17062679037365</v>
      </c>
      <c r="AH33" s="393">
        <f t="shared" si="4"/>
        <v>18.277694727239304</v>
      </c>
      <c r="AI33" s="393">
        <f t="shared" si="5"/>
        <v>14.833099787584699</v>
      </c>
      <c r="AJ33" s="393">
        <f t="shared" si="6"/>
        <v>6.9518004428189384</v>
      </c>
      <c r="AK33" s="393">
        <f t="shared" si="7"/>
        <v>2.6994983770596779</v>
      </c>
      <c r="AL33" s="393">
        <f t="shared" si="8"/>
        <v>7.3443363959586305</v>
      </c>
      <c r="AM33" s="393">
        <f t="shared" si="9"/>
        <v>7.2896718131336558</v>
      </c>
      <c r="AN33" s="393">
        <f t="shared" si="10"/>
        <v>6.1447123281464862</v>
      </c>
      <c r="AO33" s="393">
        <f t="shared" si="11"/>
        <v>11.77200887305551</v>
      </c>
      <c r="AP33" s="393">
        <f t="shared" si="12"/>
        <v>17.794885710983387</v>
      </c>
      <c r="AQ33" s="393">
        <f t="shared" si="13"/>
        <v>32.218918453457974</v>
      </c>
      <c r="AR33" s="393"/>
      <c r="AS33" s="393">
        <f t="shared" si="14"/>
        <v>17.573102073606783</v>
      </c>
      <c r="AT33" s="393">
        <f t="shared" si="15"/>
        <v>13.165429758211857</v>
      </c>
      <c r="AU33" s="393">
        <f t="shared" si="16"/>
        <v>10.198074531106476</v>
      </c>
      <c r="AV33" s="393">
        <f t="shared" si="17"/>
        <v>8.7933665817381748</v>
      </c>
      <c r="AW33" s="393">
        <f t="shared" si="18"/>
        <v>3.6676897462402107</v>
      </c>
      <c r="AX33" s="393">
        <f t="shared" si="19"/>
        <v>1.0370670631309629</v>
      </c>
      <c r="AY33" s="393">
        <f t="shared" si="20"/>
        <v>2.1219558399743774</v>
      </c>
      <c r="AZ33" s="393">
        <f t="shared" si="21"/>
        <v>1.3841288230094277</v>
      </c>
      <c r="BA33" s="393">
        <f t="shared" si="22"/>
        <v>2.7852072738752738</v>
      </c>
      <c r="BB33" s="393">
        <f t="shared" si="23"/>
        <v>5.9249713839320384</v>
      </c>
      <c r="BC33" s="393">
        <f t="shared" si="24"/>
        <v>11.642784748147735</v>
      </c>
      <c r="BD33" s="393">
        <f t="shared" si="25"/>
        <v>20.738930604794547</v>
      </c>
    </row>
    <row r="34" spans="1:56" ht="15">
      <c r="A34" s="389" t="str">
        <f>VLOOKUP(CONCATENATE($C34," - ",$B34),[2]ACHIEV!$B$12:$C$100,2,FALSE)</f>
        <v>Retro12Med</v>
      </c>
      <c r="B34" s="389" t="str">
        <f>'SC-Retro'!$C$7</f>
        <v>Retro</v>
      </c>
      <c r="C34" s="389" t="str">
        <f>'SC-Retro'!$C$8</f>
        <v>ResWx</v>
      </c>
      <c r="D34" s="389" t="s">
        <v>1171</v>
      </c>
      <c r="E34" s="389" t="str">
        <f>'SC-Retro'!$A$9</f>
        <v>HVAC</v>
      </c>
      <c r="F34" s="390">
        <f t="shared" si="1"/>
        <v>0.13275406115599428</v>
      </c>
      <c r="G34" s="391">
        <f>'SC-Retro'!A189</f>
        <v>276.53115538238461</v>
      </c>
      <c r="H34" s="391">
        <f>'SC-Retro'!B189</f>
        <v>104.62001156125437</v>
      </c>
      <c r="I34" s="384" t="str">
        <f>'SC-Retro'!C189</f>
        <v>Single Family</v>
      </c>
      <c r="J34" s="384" t="str">
        <f>'SC-Retro'!D189</f>
        <v>ATTIC R11 - R49_DHP</v>
      </c>
      <c r="K34" s="392">
        <f>'SC-Retro'!E189</f>
        <v>4.1048757016279736E-3</v>
      </c>
      <c r="L34" s="392">
        <f>'SC-Retro'!F189</f>
        <v>4.0955544266385027E-3</v>
      </c>
      <c r="M34" s="392">
        <f>'SC-Retro'!G189</f>
        <v>4.0862543182259908E-3</v>
      </c>
      <c r="N34" s="392">
        <f>'SC-Retro'!H189</f>
        <v>4.0769753283257642E-3</v>
      </c>
      <c r="O34" s="392">
        <f>'SC-Retro'!I189</f>
        <v>4.0677174089823031E-3</v>
      </c>
      <c r="P34" s="392">
        <f>'SC-Retro'!J189</f>
        <v>3.6526324611140825E-3</v>
      </c>
      <c r="Q34" s="392">
        <f>'SC-Retro'!K189</f>
        <v>2.9154705052952309E-3</v>
      </c>
      <c r="R34" s="392">
        <f>'SC-Retro'!L189</f>
        <v>2.3270800875086857E-3</v>
      </c>
      <c r="S34" s="392">
        <f>'SC-Retro'!M189</f>
        <v>1.8574366380465443E-3</v>
      </c>
      <c r="T34" s="392">
        <f>'SC-Retro'!N189</f>
        <v>1.4825750445276726E-3</v>
      </c>
      <c r="U34" s="392">
        <f>'SC-Retro'!O189</f>
        <v>1.1833667526704355E-3</v>
      </c>
      <c r="V34" s="392">
        <f>'SC-Retro'!P189</f>
        <v>9.4454366846023947E-4</v>
      </c>
      <c r="W34" s="392">
        <f>'SC-Retro'!Q189</f>
        <v>7.5391905308733328E-4</v>
      </c>
      <c r="X34" s="392">
        <f>'SC-Retro'!R189</f>
        <v>6.017656542388097E-4</v>
      </c>
      <c r="Y34" s="392">
        <f>'SC-Retro'!S189</f>
        <v>4.8031934083447907E-4</v>
      </c>
      <c r="Z34" s="392">
        <f>'SC-Retro'!T189</f>
        <v>3.8338291252513535E-4</v>
      </c>
      <c r="AA34" s="392">
        <f>'SC-Retro'!U189</f>
        <v>2.6090274226133951E-6</v>
      </c>
      <c r="AB34" s="392">
        <f>'SC-Retro'!V189</f>
        <v>9.2967960425965847E-7</v>
      </c>
      <c r="AC34" s="392">
        <f>'SC-Retro'!W189</f>
        <v>3.1621653586465021E-7</v>
      </c>
      <c r="AD34" s="392">
        <f>'SC-Retro'!X189</f>
        <v>1.0287993824024449E-7</v>
      </c>
      <c r="AE34" s="392">
        <f>'SC-Retro'!Y189</f>
        <v>3.5943857149019008E-2</v>
      </c>
      <c r="AF34" s="393">
        <f t="shared" si="2"/>
        <v>28.280022915997815</v>
      </c>
      <c r="AG34" s="393">
        <f t="shared" si="3"/>
        <v>20.633099235879815</v>
      </c>
      <c r="AH34" s="393">
        <f t="shared" si="4"/>
        <v>18.69676599689145</v>
      </c>
      <c r="AI34" s="393">
        <f t="shared" si="5"/>
        <v>15.158922777001141</v>
      </c>
      <c r="AJ34" s="393">
        <f t="shared" si="6"/>
        <v>7.039277598441334</v>
      </c>
      <c r="AK34" s="393">
        <f t="shared" si="7"/>
        <v>2.681770922897269</v>
      </c>
      <c r="AL34" s="393">
        <f t="shared" si="8"/>
        <v>6.9679100773444533</v>
      </c>
      <c r="AM34" s="393">
        <f t="shared" si="9"/>
        <v>6.911146200242027</v>
      </c>
      <c r="AN34" s="393">
        <f t="shared" si="10"/>
        <v>6.0601378499135814</v>
      </c>
      <c r="AO34" s="393">
        <f t="shared" si="11"/>
        <v>12.000894122505848</v>
      </c>
      <c r="AP34" s="393">
        <f t="shared" si="12"/>
        <v>18.202887127983914</v>
      </c>
      <c r="AQ34" s="393">
        <f t="shared" si="13"/>
        <v>32.957634318046061</v>
      </c>
      <c r="AR34" s="393"/>
      <c r="AS34" s="393">
        <f t="shared" si="14"/>
        <v>17.976018431911971</v>
      </c>
      <c r="AT34" s="393">
        <f t="shared" si="15"/>
        <v>13.467286936954844</v>
      </c>
      <c r="AU34" s="393">
        <f t="shared" si="16"/>
        <v>10.431896142941852</v>
      </c>
      <c r="AV34" s="393">
        <f t="shared" si="17"/>
        <v>8.9912480699641417</v>
      </c>
      <c r="AW34" s="393">
        <f t="shared" si="18"/>
        <v>3.7335686675453346</v>
      </c>
      <c r="AX34" s="393">
        <f t="shared" si="19"/>
        <v>1.0463795079470424</v>
      </c>
      <c r="AY34" s="393">
        <f t="shared" si="20"/>
        <v>2.0219273386184335</v>
      </c>
      <c r="AZ34" s="393">
        <f t="shared" si="21"/>
        <v>1.3191769128827093</v>
      </c>
      <c r="BA34" s="393">
        <f t="shared" si="22"/>
        <v>2.7780086388943386</v>
      </c>
      <c r="BB34" s="393">
        <f t="shared" si="23"/>
        <v>6.0510117641995427</v>
      </c>
      <c r="BC34" s="393">
        <f t="shared" si="24"/>
        <v>11.909730698362207</v>
      </c>
      <c r="BD34" s="393">
        <f t="shared" si="25"/>
        <v>21.214433129017511</v>
      </c>
    </row>
    <row r="35" spans="1:56" ht="15">
      <c r="A35" s="389" t="str">
        <f>VLOOKUP(CONCATENATE($C35," - ",$B35),[2]ACHIEV!$B$12:$C$100,2,FALSE)</f>
        <v>Retro12Med</v>
      </c>
      <c r="B35" s="389" t="str">
        <f>'SC-Retro'!$C$7</f>
        <v>Retro</v>
      </c>
      <c r="C35" s="389" t="str">
        <f>'SC-Retro'!$C$8</f>
        <v>ResWx</v>
      </c>
      <c r="D35" s="389" t="s">
        <v>1171</v>
      </c>
      <c r="E35" s="389" t="str">
        <f>'SC-Retro'!$A$9</f>
        <v>HVAC</v>
      </c>
      <c r="F35" s="390">
        <f t="shared" si="1"/>
        <v>0.36991186919010871</v>
      </c>
      <c r="G35" s="391">
        <f>'SC-Retro'!A190</f>
        <v>755.41778328775206</v>
      </c>
      <c r="H35" s="391">
        <f>'SC-Retro'!B190</f>
        <v>81.09109981605944</v>
      </c>
      <c r="I35" s="384" t="str">
        <f>'SC-Retro'!C190</f>
        <v>Single Family</v>
      </c>
      <c r="J35" s="384" t="str">
        <f>'SC-Retro'!D190</f>
        <v>WINDOW CL30 Prime Window Replacement of Single Pane Base_Electric Zonal</v>
      </c>
      <c r="K35" s="392">
        <f>'SC-Retro'!E190</f>
        <v>0.23356519722176108</v>
      </c>
      <c r="L35" s="392">
        <f>'SC-Retro'!F190</f>
        <v>0.23303482173915868</v>
      </c>
      <c r="M35" s="392">
        <f>'SC-Retro'!G190</f>
        <v>0.23250565062328521</v>
      </c>
      <c r="N35" s="392">
        <f>'SC-Retro'!H190</f>
        <v>0.23197768113928702</v>
      </c>
      <c r="O35" s="392">
        <f>'SC-Retro'!I190</f>
        <v>0.23145091055852107</v>
      </c>
      <c r="P35" s="392">
        <f>'SC-Retro'!J190</f>
        <v>0.20783280254268627</v>
      </c>
      <c r="Q35" s="392">
        <f>'SC-Retro'!K190</f>
        <v>0.16588868776061733</v>
      </c>
      <c r="R35" s="392">
        <f>'SC-Retro'!L190</f>
        <v>0.13240959266421634</v>
      </c>
      <c r="S35" s="392">
        <f>'SC-Retro'!M190</f>
        <v>0.10568713554961243</v>
      </c>
      <c r="T35" s="392">
        <f>'SC-Retro'!N190</f>
        <v>8.4357714542692488E-2</v>
      </c>
      <c r="U35" s="392">
        <f>'SC-Retro'!O190</f>
        <v>6.7332925297477086E-2</v>
      </c>
      <c r="V35" s="392">
        <f>'SC-Retro'!P190</f>
        <v>5.3744021559772863E-2</v>
      </c>
      <c r="W35" s="392">
        <f>'SC-Retro'!Q190</f>
        <v>4.2897584512425119E-2</v>
      </c>
      <c r="X35" s="392">
        <f>'SC-Retro'!R190</f>
        <v>3.4240138783697548E-2</v>
      </c>
      <c r="Y35" s="392">
        <f>'SC-Retro'!S190</f>
        <v>2.7329909533421196E-2</v>
      </c>
      <c r="Z35" s="392">
        <f>'SC-Retro'!T190</f>
        <v>2.1814279428698256E-2</v>
      </c>
      <c r="AA35" s="392">
        <f>'SC-Retro'!U190</f>
        <v>1.4845224284818279E-4</v>
      </c>
      <c r="AB35" s="392">
        <f>'SC-Retro'!V190</f>
        <v>5.2898264382485177E-5</v>
      </c>
      <c r="AC35" s="392">
        <f>'SC-Retro'!W190</f>
        <v>1.7992549088567454E-5</v>
      </c>
      <c r="AD35" s="392">
        <f>'SC-Retro'!X190</f>
        <v>5.8538125906505432E-6</v>
      </c>
      <c r="AE35" s="392">
        <f>'SC-Retro'!Y190</f>
        <v>2.0451859432898112</v>
      </c>
      <c r="AF35" s="393">
        <f t="shared" si="2"/>
        <v>78.800724034373587</v>
      </c>
      <c r="AG35" s="393">
        <f t="shared" si="3"/>
        <v>57.492992975640327</v>
      </c>
      <c r="AH35" s="393">
        <f t="shared" si="4"/>
        <v>52.097507206150695</v>
      </c>
      <c r="AI35" s="393">
        <f t="shared" si="5"/>
        <v>42.125052451361427</v>
      </c>
      <c r="AJ35" s="393">
        <f t="shared" si="6"/>
        <v>19.037810249249649</v>
      </c>
      <c r="AK35" s="393">
        <f t="shared" si="7"/>
        <v>6.8340420381953102</v>
      </c>
      <c r="AL35" s="393">
        <f t="shared" si="8"/>
        <v>15.046264952723138</v>
      </c>
      <c r="AM35" s="393">
        <f t="shared" si="9"/>
        <v>14.881311075218967</v>
      </c>
      <c r="AN35" s="393">
        <f t="shared" si="10"/>
        <v>15.07804767862709</v>
      </c>
      <c r="AO35" s="393">
        <f t="shared" si="11"/>
        <v>33.110820890710045</v>
      </c>
      <c r="AP35" s="393">
        <f t="shared" si="12"/>
        <v>50.721340978464376</v>
      </c>
      <c r="AQ35" s="393">
        <f t="shared" si="13"/>
        <v>91.834630206505054</v>
      </c>
      <c r="AR35" s="393"/>
      <c r="AS35" s="393">
        <f t="shared" si="14"/>
        <v>50.089183870094772</v>
      </c>
      <c r="AT35" s="393">
        <f t="shared" si="15"/>
        <v>37.525852244284117</v>
      </c>
      <c r="AU35" s="393">
        <f t="shared" si="16"/>
        <v>29.067903217652066</v>
      </c>
      <c r="AV35" s="393">
        <f t="shared" si="17"/>
        <v>25.023678523211355</v>
      </c>
      <c r="AW35" s="393">
        <f t="shared" si="18"/>
        <v>10.257307580375738</v>
      </c>
      <c r="AX35" s="393">
        <f t="shared" si="19"/>
        <v>2.7996660012216177</v>
      </c>
      <c r="AY35" s="393">
        <f t="shared" si="20"/>
        <v>4.4415703669464719</v>
      </c>
      <c r="AZ35" s="393">
        <f t="shared" si="21"/>
        <v>2.9003826342807097</v>
      </c>
      <c r="BA35" s="393">
        <f t="shared" si="22"/>
        <v>7.1708838228853811</v>
      </c>
      <c r="BB35" s="393">
        <f t="shared" si="23"/>
        <v>16.782154790466265</v>
      </c>
      <c r="BC35" s="393">
        <f t="shared" si="24"/>
        <v>33.185807694464323</v>
      </c>
      <c r="BD35" s="393">
        <f t="shared" si="25"/>
        <v>59.11284780464959</v>
      </c>
    </row>
    <row r="36" spans="1:56" ht="15">
      <c r="A36" s="389" t="str">
        <f>VLOOKUP(CONCATENATE($C36," - ",$B36),[2]ACHIEV!$B$12:$C$100,2,FALSE)</f>
        <v>Retro12Med</v>
      </c>
      <c r="B36" s="389" t="str">
        <f>'SC-Retro'!$C$7</f>
        <v>Retro</v>
      </c>
      <c r="C36" s="389" t="str">
        <f>'SC-Retro'!$C$8</f>
        <v>ResWx</v>
      </c>
      <c r="D36" s="389" t="s">
        <v>1171</v>
      </c>
      <c r="E36" s="389" t="str">
        <f>'SC-Retro'!$A$9</f>
        <v>HVAC</v>
      </c>
      <c r="F36" s="390">
        <f t="shared" si="1"/>
        <v>0.10927348820846707</v>
      </c>
      <c r="G36" s="391">
        <f>'SC-Retro'!A191</f>
        <v>224.01460250228615</v>
      </c>
      <c r="H36" s="391">
        <f>'SC-Retro'!B191</f>
        <v>115.30126296869003</v>
      </c>
      <c r="I36" s="384" t="str">
        <f>'SC-Retro'!C191</f>
        <v>Single Family</v>
      </c>
      <c r="J36" s="384" t="str">
        <f>'SC-Retro'!D191</f>
        <v>ATTIC R19 - R49_Electric FAF</v>
      </c>
      <c r="K36" s="392">
        <f>'SC-Retro'!E191</f>
        <v>9.6797596443544444E-3</v>
      </c>
      <c r="L36" s="392">
        <f>'SC-Retro'!F191</f>
        <v>9.6577790271481275E-3</v>
      </c>
      <c r="M36" s="392">
        <f>'SC-Retro'!G191</f>
        <v>9.6358483231163642E-3</v>
      </c>
      <c r="N36" s="392">
        <f>'SC-Retro'!H191</f>
        <v>9.6139674189172526E-3</v>
      </c>
      <c r="O36" s="392">
        <f>'SC-Retro'!I191</f>
        <v>9.5921362014662667E-3</v>
      </c>
      <c r="P36" s="392">
        <f>'SC-Retro'!J191</f>
        <v>8.6133191021420946E-3</v>
      </c>
      <c r="Q36" s="392">
        <f>'SC-Retro'!K191</f>
        <v>6.875008110542812E-3</v>
      </c>
      <c r="R36" s="392">
        <f>'SC-Retro'!L191</f>
        <v>5.4875171765405347E-3</v>
      </c>
      <c r="S36" s="392">
        <f>'SC-Retro'!M191</f>
        <v>4.3800449801141943E-3</v>
      </c>
      <c r="T36" s="392">
        <f>'SC-Retro'!N191</f>
        <v>3.4960790846978469E-3</v>
      </c>
      <c r="U36" s="392">
        <f>'SC-Retro'!O191</f>
        <v>2.7905122029461609E-3</v>
      </c>
      <c r="V36" s="392">
        <f>'SC-Retro'!P191</f>
        <v>2.2273404480106134E-3</v>
      </c>
      <c r="W36" s="392">
        <f>'SC-Retro'!Q191</f>
        <v>1.7778261159748226E-3</v>
      </c>
      <c r="X36" s="392">
        <f>'SC-Retro'!R191</f>
        <v>1.4190312493382526E-3</v>
      </c>
      <c r="Y36" s="392">
        <f>'SC-Retro'!S191</f>
        <v>1.1326471517684683E-3</v>
      </c>
      <c r="Z36" s="392">
        <f>'SC-Retro'!T191</f>
        <v>9.0406012623575659E-4</v>
      </c>
      <c r="AA36" s="392">
        <f>'SC-Retro'!U191</f>
        <v>6.1523807764535526E-6</v>
      </c>
      <c r="AB36" s="392">
        <f>'SC-Retro'!V191</f>
        <v>2.1922893090095429E-6</v>
      </c>
      <c r="AC36" s="392">
        <f>'SC-Retro'!W191</f>
        <v>7.4567423844923287E-7</v>
      </c>
      <c r="AD36" s="392">
        <f>'SC-Retro'!X191</f>
        <v>2.4260249195770918E-7</v>
      </c>
      <c r="AE36" s="392">
        <f>'SC-Retro'!Y191</f>
        <v>8.4759667084566961E-2</v>
      </c>
      <c r="AF36" s="393">
        <f t="shared" si="2"/>
        <v>23.278058115414044</v>
      </c>
      <c r="AG36" s="393">
        <f t="shared" si="3"/>
        <v>16.983666687278884</v>
      </c>
      <c r="AH36" s="393">
        <f t="shared" si="4"/>
        <v>15.389817990555198</v>
      </c>
      <c r="AI36" s="393">
        <f t="shared" si="5"/>
        <v>12.450431270975855</v>
      </c>
      <c r="AJ36" s="393">
        <f t="shared" si="6"/>
        <v>5.6566909623114743</v>
      </c>
      <c r="AK36" s="393">
        <f t="shared" si="7"/>
        <v>2.0551678000452145</v>
      </c>
      <c r="AL36" s="393">
        <f t="shared" si="8"/>
        <v>4.6935499575755388</v>
      </c>
      <c r="AM36" s="393">
        <f t="shared" si="9"/>
        <v>4.6452082511019643</v>
      </c>
      <c r="AN36" s="393">
        <f t="shared" si="10"/>
        <v>4.5570865117629626</v>
      </c>
      <c r="AO36" s="393">
        <f t="shared" si="11"/>
        <v>9.7998084340094529</v>
      </c>
      <c r="AP36" s="393">
        <f t="shared" si="12"/>
        <v>14.983292824484661</v>
      </c>
      <c r="AQ36" s="393">
        <f t="shared" si="13"/>
        <v>27.128327628336066</v>
      </c>
      <c r="AR36" s="393"/>
      <c r="AS36" s="393">
        <f t="shared" si="14"/>
        <v>14.796551013580984</v>
      </c>
      <c r="AT36" s="393">
        <f t="shared" si="15"/>
        <v>11.085291157881306</v>
      </c>
      <c r="AU36" s="393">
        <f t="shared" si="16"/>
        <v>8.5867782141008941</v>
      </c>
      <c r="AV36" s="393">
        <f t="shared" si="17"/>
        <v>7.3938024632347519</v>
      </c>
      <c r="AW36" s="393">
        <f t="shared" si="18"/>
        <v>3.0383692742186952</v>
      </c>
      <c r="AX36" s="393">
        <f t="shared" si="19"/>
        <v>0.83363931226442911</v>
      </c>
      <c r="AY36" s="393">
        <f t="shared" si="20"/>
        <v>1.3799615510869145</v>
      </c>
      <c r="AZ36" s="393">
        <f t="shared" si="21"/>
        <v>0.90094260830658512</v>
      </c>
      <c r="BA36" s="393">
        <f t="shared" si="22"/>
        <v>2.1507611629971821</v>
      </c>
      <c r="BB36" s="393">
        <f t="shared" si="23"/>
        <v>4.9619967016989452</v>
      </c>
      <c r="BC36" s="393">
        <f t="shared" si="24"/>
        <v>9.8032241401960114</v>
      </c>
      <c r="BD36" s="393">
        <f t="shared" si="25"/>
        <v>17.462178468868142</v>
      </c>
    </row>
    <row r="37" spans="1:56" ht="15">
      <c r="A37" s="389" t="str">
        <f>VLOOKUP(CONCATENATE($C37," - ",$B37),[2]ACHIEV!$B$12:$C$100,2,FALSE)</f>
        <v>Retro12Med</v>
      </c>
      <c r="B37" s="389" t="str">
        <f>'SC-Retro'!$C$7</f>
        <v>Retro</v>
      </c>
      <c r="C37" s="389" t="str">
        <f>'SC-Retro'!$C$8</f>
        <v>ResWx</v>
      </c>
      <c r="D37" s="389" t="s">
        <v>1171</v>
      </c>
      <c r="E37" s="389" t="str">
        <f>'SC-Retro'!$A$9</f>
        <v>HVAC</v>
      </c>
      <c r="F37" s="390">
        <f t="shared" si="1"/>
        <v>9.0614503024016732E-2</v>
      </c>
      <c r="G37" s="391">
        <f>'SC-Retro'!A192</f>
        <v>185.82051227713686</v>
      </c>
      <c r="H37" s="391">
        <f>'SC-Retro'!B192</f>
        <v>117.58335406700746</v>
      </c>
      <c r="I37" s="384" t="str">
        <f>'SC-Retro'!C192</f>
        <v>Single Family</v>
      </c>
      <c r="J37" s="384" t="str">
        <f>'SC-Retro'!D192</f>
        <v>ATTIC R19 - R38_Electric FAF</v>
      </c>
      <c r="K37" s="392">
        <f>'SC-Retro'!E192</f>
        <v>3.7291862867265325E-3</v>
      </c>
      <c r="L37" s="392">
        <f>'SC-Retro'!F192</f>
        <v>3.7207181202357051E-3</v>
      </c>
      <c r="M37" s="392">
        <f>'SC-Retro'!G192</f>
        <v>3.7122691830990063E-3</v>
      </c>
      <c r="N37" s="392">
        <f>'SC-Retro'!H192</f>
        <v>3.7038394316507772E-3</v>
      </c>
      <c r="O37" s="392">
        <f>'SC-Retro'!I192</f>
        <v>3.6954288223245168E-3</v>
      </c>
      <c r="P37" s="392">
        <f>'SC-Retro'!J192</f>
        <v>3.3183335804873857E-3</v>
      </c>
      <c r="Q37" s="392">
        <f>'SC-Retro'!K192</f>
        <v>2.6486386965117437E-3</v>
      </c>
      <c r="R37" s="392">
        <f>'SC-Retro'!L192</f>
        <v>2.1140993738275856E-3</v>
      </c>
      <c r="S37" s="392">
        <f>'SC-Retro'!M192</f>
        <v>1.6874389731994812E-3</v>
      </c>
      <c r="T37" s="392">
        <f>'SC-Retro'!N192</f>
        <v>1.3468857346649694E-3</v>
      </c>
      <c r="U37" s="392">
        <f>'SC-Retro'!O192</f>
        <v>1.075061801378425E-3</v>
      </c>
      <c r="V37" s="392">
        <f>'SC-Retro'!P192</f>
        <v>8.580964569132603E-4</v>
      </c>
      <c r="W37" s="392">
        <f>'SC-Retro'!Q192</f>
        <v>6.8491832601900884E-4</v>
      </c>
      <c r="X37" s="392">
        <f>'SC-Retro'!R192</f>
        <v>5.4669042103281979E-4</v>
      </c>
      <c r="Y37" s="392">
        <f>'SC-Retro'!S192</f>
        <v>4.3635920531749238E-4</v>
      </c>
      <c r="Z37" s="392">
        <f>'SC-Retro'!T192</f>
        <v>3.4829466319455138E-4</v>
      </c>
      <c r="AA37" s="392">
        <f>'SC-Retro'!U192</f>
        <v>2.3702421201803135E-6</v>
      </c>
      <c r="AB37" s="392">
        <f>'SC-Retro'!V192</f>
        <v>8.4459279239064242E-7</v>
      </c>
      <c r="AC37" s="392">
        <f>'SC-Retro'!W192</f>
        <v>2.8727553643462205E-7</v>
      </c>
      <c r="AD37" s="392">
        <f>'SC-Retro'!X192</f>
        <v>9.3464085821803369E-8</v>
      </c>
      <c r="AE37" s="392">
        <f>'SC-Retro'!Y192</f>
        <v>3.2654177352804861E-2</v>
      </c>
      <c r="AF37" s="393">
        <f t="shared" si="2"/>
        <v>19.303215281902038</v>
      </c>
      <c r="AG37" s="393">
        <f t="shared" si="3"/>
        <v>14.083622126689626</v>
      </c>
      <c r="AH37" s="393">
        <f t="shared" si="4"/>
        <v>12.761930928605381</v>
      </c>
      <c r="AI37" s="393">
        <f t="shared" si="5"/>
        <v>10.324894182397882</v>
      </c>
      <c r="AJ37" s="393">
        <f t="shared" si="6"/>
        <v>4.6929765107923229</v>
      </c>
      <c r="AK37" s="393">
        <f t="shared" si="7"/>
        <v>1.7066662122795979</v>
      </c>
      <c r="AL37" s="393">
        <f t="shared" si="8"/>
        <v>3.9087198659924041</v>
      </c>
      <c r="AM37" s="393">
        <f t="shared" si="9"/>
        <v>3.8686585443214732</v>
      </c>
      <c r="AN37" s="393">
        <f t="shared" si="10"/>
        <v>3.7858180152309604</v>
      </c>
      <c r="AO37" s="393">
        <f t="shared" si="11"/>
        <v>8.1276941743686901</v>
      </c>
      <c r="AP37" s="393">
        <f t="shared" si="12"/>
        <v>12.424821932688992</v>
      </c>
      <c r="AQ37" s="393">
        <f t="shared" si="13"/>
        <v>22.496032351641357</v>
      </c>
      <c r="AR37" s="393"/>
      <c r="AS37" s="393">
        <f t="shared" si="14"/>
        <v>12.269967203822285</v>
      </c>
      <c r="AT37" s="393">
        <f t="shared" si="15"/>
        <v>9.1924232091101921</v>
      </c>
      <c r="AU37" s="393">
        <f t="shared" si="16"/>
        <v>7.1205436305264422</v>
      </c>
      <c r="AV37" s="393">
        <f t="shared" si="17"/>
        <v>6.1313882057009703</v>
      </c>
      <c r="AW37" s="393">
        <f t="shared" si="18"/>
        <v>2.5201083020347608</v>
      </c>
      <c r="AX37" s="393">
        <f t="shared" si="19"/>
        <v>0.69173249057047315</v>
      </c>
      <c r="AY37" s="393">
        <f t="shared" si="20"/>
        <v>1.1488610150369725</v>
      </c>
      <c r="AZ37" s="393">
        <f t="shared" si="21"/>
        <v>0.75005113774191323</v>
      </c>
      <c r="BA37" s="393">
        <f t="shared" si="22"/>
        <v>1.7856753509832128</v>
      </c>
      <c r="BB37" s="393">
        <f t="shared" si="23"/>
        <v>4.1150104990043737</v>
      </c>
      <c r="BC37" s="393">
        <f t="shared" si="24"/>
        <v>8.12927543597967</v>
      </c>
      <c r="BD37" s="393">
        <f t="shared" si="25"/>
        <v>14.480425669714876</v>
      </c>
    </row>
    <row r="38" spans="1:56" ht="15">
      <c r="A38" s="389" t="str">
        <f>VLOOKUP(CONCATENATE($C38," - ",$B38),[2]ACHIEV!$B$12:$C$100,2,FALSE)</f>
        <v>Retro12Med</v>
      </c>
      <c r="B38" s="389" t="str">
        <f>'SC-Retro'!$C$7</f>
        <v>Retro</v>
      </c>
      <c r="C38" s="389" t="str">
        <f>'SC-Retro'!$C$8</f>
        <v>ResWx</v>
      </c>
      <c r="D38" s="389" t="s">
        <v>1171</v>
      </c>
      <c r="E38" s="389" t="str">
        <f>'SC-Retro'!$A$9</f>
        <v>HVAC</v>
      </c>
      <c r="F38" s="390">
        <f t="shared" si="1"/>
        <v>0.36198212290439746</v>
      </c>
      <c r="G38" s="391">
        <f>'SC-Retro'!A193</f>
        <v>737.561580957091</v>
      </c>
      <c r="H38" s="391">
        <f>'SC-Retro'!B193</f>
        <v>87.652713083604795</v>
      </c>
      <c r="I38" s="384" t="str">
        <f>'SC-Retro'!C193</f>
        <v>Single Family</v>
      </c>
      <c r="J38" s="384" t="str">
        <f>'SC-Retro'!D193</f>
        <v>WINDOW CL30 Prime Window Replacement of Single Pane Base_DHP</v>
      </c>
      <c r="K38" s="392">
        <f>'SC-Retro'!E193</f>
        <v>1.9901658912671798E-2</v>
      </c>
      <c r="L38" s="392">
        <f>'SC-Retro'!F193</f>
        <v>1.9856466597738109E-2</v>
      </c>
      <c r="M38" s="392">
        <f>'SC-Retro'!G193</f>
        <v>1.9811376904668151E-2</v>
      </c>
      <c r="N38" s="392">
        <f>'SC-Retro'!H193</f>
        <v>1.9766389600430125E-2</v>
      </c>
      <c r="O38" s="392">
        <f>'SC-Retro'!I193</f>
        <v>1.9721504452521379E-2</v>
      </c>
      <c r="P38" s="392">
        <f>'SC-Retro'!J193</f>
        <v>1.7709049106070508E-2</v>
      </c>
      <c r="Q38" s="392">
        <f>'SC-Retro'!K193</f>
        <v>1.4135068582790237E-2</v>
      </c>
      <c r="R38" s="392">
        <f>'SC-Retro'!L193</f>
        <v>1.1282376746682221E-2</v>
      </c>
      <c r="S38" s="392">
        <f>'SC-Retro'!M193</f>
        <v>9.0054055492207966E-3</v>
      </c>
      <c r="T38" s="392">
        <f>'SC-Retro'!N193</f>
        <v>7.1879649941476026E-3</v>
      </c>
      <c r="U38" s="392">
        <f>'SC-Retro'!O193</f>
        <v>5.7373141581127194E-3</v>
      </c>
      <c r="V38" s="392">
        <f>'SC-Retro'!P193</f>
        <v>4.5794287779199402E-3</v>
      </c>
      <c r="W38" s="392">
        <f>'SC-Retro'!Q193</f>
        <v>3.6552239173424919E-3</v>
      </c>
      <c r="X38" s="392">
        <f>'SC-Retro'!R193</f>
        <v>2.91753896257368E-3</v>
      </c>
      <c r="Y38" s="392">
        <f>'SC-Retro'!S193</f>
        <v>2.3287310957201559E-3</v>
      </c>
      <c r="Z38" s="392">
        <f>'SC-Retro'!T193</f>
        <v>1.8587544453528592E-3</v>
      </c>
      <c r="AA38" s="392">
        <f>'SC-Retro'!U193</f>
        <v>1.2649341327939898E-5</v>
      </c>
      <c r="AB38" s="392">
        <f>'SC-Retro'!V193</f>
        <v>4.5073633714915057E-6</v>
      </c>
      <c r="AC38" s="392">
        <f>'SC-Retro'!W193</f>
        <v>1.5331118642226003E-6</v>
      </c>
      <c r="AD38" s="392">
        <f>'SC-Retro'!X193</f>
        <v>4.9879255515631462E-7</v>
      </c>
      <c r="AE38" s="392">
        <f>'SC-Retro'!Y193</f>
        <v>0.17426651547618729</v>
      </c>
      <c r="AF38" s="393">
        <f t="shared" si="2"/>
        <v>77.11148451337354</v>
      </c>
      <c r="AG38" s="393">
        <f t="shared" si="3"/>
        <v>56.260524148670349</v>
      </c>
      <c r="AH38" s="393">
        <f t="shared" si="4"/>
        <v>50.980700613360689</v>
      </c>
      <c r="AI38" s="393">
        <f t="shared" si="5"/>
        <v>41.209441171109901</v>
      </c>
      <c r="AJ38" s="393">
        <f t="shared" si="6"/>
        <v>18.566291147694905</v>
      </c>
      <c r="AK38" s="393">
        <f t="shared" si="7"/>
        <v>6.6173371779518924</v>
      </c>
      <c r="AL38" s="393">
        <f t="shared" si="8"/>
        <v>14.243340214336454</v>
      </c>
      <c r="AM38" s="393">
        <f t="shared" si="9"/>
        <v>14.081176537303055</v>
      </c>
      <c r="AN38" s="393">
        <f t="shared" si="10"/>
        <v>14.556027154686159</v>
      </c>
      <c r="AO38" s="393">
        <f t="shared" si="11"/>
        <v>32.364857524255619</v>
      </c>
      <c r="AP38" s="393">
        <f t="shared" si="12"/>
        <v>49.634035058514115</v>
      </c>
      <c r="AQ38" s="393">
        <f t="shared" si="13"/>
        <v>89.865984757592884</v>
      </c>
      <c r="AR38" s="393"/>
      <c r="AS38" s="393">
        <f t="shared" si="14"/>
        <v>49.015429409017827</v>
      </c>
      <c r="AT38" s="393">
        <f t="shared" si="15"/>
        <v>36.721416073842313</v>
      </c>
      <c r="AU38" s="393">
        <f t="shared" si="16"/>
        <v>28.444778855413428</v>
      </c>
      <c r="AV38" s="393">
        <f t="shared" si="17"/>
        <v>24.483958160822052</v>
      </c>
      <c r="AW38" s="393">
        <f t="shared" si="18"/>
        <v>10.021363477768116</v>
      </c>
      <c r="AX38" s="393">
        <f t="shared" si="19"/>
        <v>2.726895400436212</v>
      </c>
      <c r="AY38" s="393">
        <f t="shared" si="20"/>
        <v>4.2152612614627136</v>
      </c>
      <c r="AZ38" s="393">
        <f t="shared" si="21"/>
        <v>2.7529558146522293</v>
      </c>
      <c r="BA38" s="393">
        <f t="shared" si="22"/>
        <v>6.9545089661945436</v>
      </c>
      <c r="BB38" s="393">
        <f t="shared" si="23"/>
        <v>16.413750710319444</v>
      </c>
      <c r="BC38" s="393">
        <f t="shared" si="24"/>
        <v>32.474408420146197</v>
      </c>
      <c r="BD38" s="393">
        <f t="shared" si="25"/>
        <v>57.845654388166302</v>
      </c>
    </row>
    <row r="39" spans="1:56" ht="15">
      <c r="A39" s="389" t="str">
        <f>VLOOKUP(CONCATENATE($C39," - ",$B39),[2]ACHIEV!$B$12:$C$100,2,FALSE)</f>
        <v>Retro12Med</v>
      </c>
      <c r="B39" s="389" t="str">
        <f>'SC-Retro'!$C$7</f>
        <v>Retro</v>
      </c>
      <c r="C39" s="389" t="str">
        <f>'SC-Retro'!$C$8</f>
        <v>ResWx</v>
      </c>
      <c r="D39" s="389" t="s">
        <v>1171</v>
      </c>
      <c r="E39" s="389" t="str">
        <f>'SC-Retro'!$A$9</f>
        <v>HVAC</v>
      </c>
      <c r="F39" s="390">
        <f t="shared" si="1"/>
        <v>0.4036371720549527</v>
      </c>
      <c r="G39" s="391">
        <f>'SC-Retro'!A194</f>
        <v>823.63357390767669</v>
      </c>
      <c r="H39" s="391">
        <f>'SC-Retro'!B194</f>
        <v>90.181282369419662</v>
      </c>
      <c r="I39" s="384" t="str">
        <f>'SC-Retro'!C194</f>
        <v>Single Family</v>
      </c>
      <c r="J39" s="384" t="str">
        <f>'SC-Retro'!D194</f>
        <v>WINDOW CL22 Prime Window Replacement of Single Pane Base_Electric Zonal</v>
      </c>
      <c r="K39" s="392">
        <f>'SC-Retro'!E194</f>
        <v>6.3664154585745467E-2</v>
      </c>
      <c r="L39" s="392">
        <f>'SC-Retro'!F194</f>
        <v>6.3519587213917247E-2</v>
      </c>
      <c r="M39" s="392">
        <f>'SC-Retro'!G194</f>
        <v>6.3375348122973851E-2</v>
      </c>
      <c r="N39" s="392">
        <f>'SC-Retro'!H194</f>
        <v>6.3231436567461149E-2</v>
      </c>
      <c r="O39" s="392">
        <f>'SC-Retro'!I194</f>
        <v>6.3087851803617825E-2</v>
      </c>
      <c r="P39" s="392">
        <f>'SC-Retro'!J194</f>
        <v>5.6650133780434313E-2</v>
      </c>
      <c r="Q39" s="392">
        <f>'SC-Retro'!K194</f>
        <v>4.5217194972720989E-2</v>
      </c>
      <c r="R39" s="392">
        <f>'SC-Retro'!L194</f>
        <v>3.6091613289485687E-2</v>
      </c>
      <c r="S39" s="392">
        <f>'SC-Retro'!M194</f>
        <v>2.8807725703100907E-2</v>
      </c>
      <c r="T39" s="392">
        <f>'SC-Retro'!N194</f>
        <v>2.2993847726581553E-2</v>
      </c>
      <c r="U39" s="392">
        <f>'SC-Retro'!O194</f>
        <v>1.8353306981686076E-2</v>
      </c>
      <c r="V39" s="392">
        <f>'SC-Retro'!P194</f>
        <v>1.4649304508292693E-2</v>
      </c>
      <c r="W39" s="392">
        <f>'SC-Retro'!Q194</f>
        <v>1.1692831313224711E-2</v>
      </c>
      <c r="X39" s="392">
        <f>'SC-Retro'!R194</f>
        <v>9.3330235604108334E-3</v>
      </c>
      <c r="Y39" s="392">
        <f>'SC-Retro'!S194</f>
        <v>7.4494642440164757E-3</v>
      </c>
      <c r="Z39" s="392">
        <f>'SC-Retro'!T194</f>
        <v>5.9460385119221894E-3</v>
      </c>
      <c r="AA39" s="392">
        <f>'SC-Retro'!U194</f>
        <v>4.04644469711551E-5</v>
      </c>
      <c r="AB39" s="392">
        <f>'SC-Retro'!V194</f>
        <v>1.4418771807713489E-5</v>
      </c>
      <c r="AC39" s="392">
        <f>'SC-Retro'!W194</f>
        <v>4.9043283853569292E-6</v>
      </c>
      <c r="AD39" s="392">
        <f>'SC-Retro'!X194</f>
        <v>1.5956059983256661E-6</v>
      </c>
      <c r="AE39" s="392">
        <f>'SC-Retro'!Y194</f>
        <v>0.55746761760302666</v>
      </c>
      <c r="AF39" s="393">
        <f t="shared" si="2"/>
        <v>85.985079296741304</v>
      </c>
      <c r="AG39" s="393">
        <f t="shared" si="3"/>
        <v>62.734697181982852</v>
      </c>
      <c r="AH39" s="393">
        <f t="shared" si="4"/>
        <v>56.847298589913642</v>
      </c>
      <c r="AI39" s="393">
        <f t="shared" si="5"/>
        <v>45.960674019449577</v>
      </c>
      <c r="AJ39" s="393">
        <f t="shared" si="6"/>
        <v>20.748467992330056</v>
      </c>
      <c r="AK39" s="393">
        <f t="shared" si="7"/>
        <v>7.4293837828909988</v>
      </c>
      <c r="AL39" s="393">
        <f t="shared" si="8"/>
        <v>16.228333581980937</v>
      </c>
      <c r="AM39" s="393">
        <f t="shared" si="9"/>
        <v>16.048046088373457</v>
      </c>
      <c r="AN39" s="393">
        <f t="shared" si="10"/>
        <v>16.374220910507852</v>
      </c>
      <c r="AO39" s="393">
        <f t="shared" si="11"/>
        <v>36.115288328987354</v>
      </c>
      <c r="AP39" s="393">
        <f t="shared" si="12"/>
        <v>55.345665658704924</v>
      </c>
      <c r="AQ39" s="393">
        <f t="shared" si="13"/>
        <v>100.20730211880753</v>
      </c>
      <c r="AR39" s="393"/>
      <c r="AS39" s="393">
        <f t="shared" si="14"/>
        <v>54.655874038675542</v>
      </c>
      <c r="AT39" s="393">
        <f t="shared" si="15"/>
        <v>40.947128601192404</v>
      </c>
      <c r="AU39" s="393">
        <f t="shared" si="16"/>
        <v>31.718058352732289</v>
      </c>
      <c r="AV39" s="393">
        <f t="shared" si="17"/>
        <v>27.303817010626346</v>
      </c>
      <c r="AW39" s="393">
        <f t="shared" si="18"/>
        <v>11.186135969211955</v>
      </c>
      <c r="AX39" s="393">
        <f t="shared" si="19"/>
        <v>3.0498776839775186</v>
      </c>
      <c r="AY39" s="393">
        <f t="shared" si="20"/>
        <v>4.7947397563247653</v>
      </c>
      <c r="AZ39" s="393">
        <f t="shared" si="21"/>
        <v>3.1311453716299553</v>
      </c>
      <c r="BA39" s="393">
        <f t="shared" si="22"/>
        <v>7.7999178911179801</v>
      </c>
      <c r="BB39" s="393">
        <f t="shared" si="23"/>
        <v>18.308788535050077</v>
      </c>
      <c r="BC39" s="393">
        <f t="shared" si="24"/>
        <v>36.211397053791124</v>
      </c>
      <c r="BD39" s="393">
        <f t="shared" si="25"/>
        <v>64.502236092676284</v>
      </c>
    </row>
    <row r="40" spans="1:56" ht="15">
      <c r="A40" s="389" t="str">
        <f>VLOOKUP(CONCATENATE($C40," - ",$B40),[2]ACHIEV!$B$12:$C$100,2,FALSE)</f>
        <v>Retro12Med</v>
      </c>
      <c r="B40" s="389" t="str">
        <f>'SC-Retro'!$C$7</f>
        <v>Retro</v>
      </c>
      <c r="C40" s="389" t="str">
        <f>'SC-Retro'!$C$8</f>
        <v>ResWx</v>
      </c>
      <c r="D40" s="389" t="s">
        <v>1171</v>
      </c>
      <c r="E40" s="389" t="str">
        <f>'SC-Retro'!$A$9</f>
        <v>HVAC</v>
      </c>
      <c r="F40" s="390">
        <f t="shared" si="1"/>
        <v>0.29212297541532162</v>
      </c>
      <c r="G40" s="391">
        <f>'SC-Retro'!A195</f>
        <v>582.5730862074488</v>
      </c>
      <c r="H40" s="391">
        <f>'SC-Retro'!B195</f>
        <v>115.75151545553935</v>
      </c>
      <c r="I40" s="384" t="str">
        <f>'SC-Retro'!C195</f>
        <v>Single Family</v>
      </c>
      <c r="J40" s="384" t="str">
        <f>'SC-Retro'!D195</f>
        <v>WINDOW CL30 Prime Window Replacement of Single Pane Base_Heat Pump</v>
      </c>
      <c r="K40" s="392">
        <f>'SC-Retro'!E195</f>
        <v>0.12960365588666561</v>
      </c>
      <c r="L40" s="392">
        <f>'SC-Retro'!F195</f>
        <v>0.12930935432823329</v>
      </c>
      <c r="M40" s="392">
        <f>'SC-Retro'!G195</f>
        <v>0.12901572106427694</v>
      </c>
      <c r="N40" s="392">
        <f>'SC-Retro'!H195</f>
        <v>0.12872275457724591</v>
      </c>
      <c r="O40" s="392">
        <f>'SC-Retro'!I195</f>
        <v>0.12843045335303577</v>
      </c>
      <c r="P40" s="392">
        <f>'SC-Retro'!J195</f>
        <v>0.11532493429288206</v>
      </c>
      <c r="Q40" s="392">
        <f>'SC-Retro'!K195</f>
        <v>9.2050445270766793E-2</v>
      </c>
      <c r="R40" s="392">
        <f>'SC-Retro'!L195</f>
        <v>7.347313507265886E-2</v>
      </c>
      <c r="S40" s="392">
        <f>'SC-Retro'!M195</f>
        <v>5.8645034921081023E-2</v>
      </c>
      <c r="T40" s="392">
        <f>'SC-Retro'!N195</f>
        <v>4.6809491897871071E-2</v>
      </c>
      <c r="U40" s="392">
        <f>'SC-Retro'!O195</f>
        <v>3.7362558223138109E-2</v>
      </c>
      <c r="V40" s="392">
        <f>'SC-Retro'!P195</f>
        <v>2.9822172819630073E-2</v>
      </c>
      <c r="W40" s="392">
        <f>'SC-Retro'!Q195</f>
        <v>2.3803562549769768E-2</v>
      </c>
      <c r="X40" s="392">
        <f>'SC-Retro'!R195</f>
        <v>1.8999607892012424E-2</v>
      </c>
      <c r="Y40" s="392">
        <f>'SC-Retro'!S195</f>
        <v>1.5165171150135775E-2</v>
      </c>
      <c r="Z40" s="392">
        <f>'SC-Retro'!T195</f>
        <v>1.2104587490439557E-2</v>
      </c>
      <c r="AA40" s="392">
        <f>'SC-Retro'!U195</f>
        <v>8.2375086813263578E-5</v>
      </c>
      <c r="AB40" s="392">
        <f>'SC-Retro'!V195</f>
        <v>2.9352868216578292E-5</v>
      </c>
      <c r="AC40" s="392">
        <f>'SC-Retro'!W195</f>
        <v>9.9839366837884983E-6</v>
      </c>
      <c r="AD40" s="392">
        <f>'SC-Retro'!X195</f>
        <v>3.248238700149195E-6</v>
      </c>
      <c r="AE40" s="392">
        <f>'SC-Retro'!Y195</f>
        <v>1.1348590388092403</v>
      </c>
      <c r="AF40" s="393">
        <f t="shared" si="2"/>
        <v>62.229692764933837</v>
      </c>
      <c r="AG40" s="393">
        <f t="shared" si="3"/>
        <v>45.402771774659591</v>
      </c>
      <c r="AH40" s="393">
        <f t="shared" si="4"/>
        <v>41.14190455716485</v>
      </c>
      <c r="AI40" s="393">
        <f t="shared" si="5"/>
        <v>33.160689552585076</v>
      </c>
      <c r="AJ40" s="393">
        <f t="shared" si="6"/>
        <v>14.500824256013438</v>
      </c>
      <c r="AK40" s="393">
        <f t="shared" si="7"/>
        <v>4.8062078736206439</v>
      </c>
      <c r="AL40" s="393">
        <f t="shared" si="8"/>
        <v>7.8402592447627795</v>
      </c>
      <c r="AM40" s="393">
        <f t="shared" si="9"/>
        <v>7.703717639226527</v>
      </c>
      <c r="AN40" s="393">
        <f t="shared" si="10"/>
        <v>10.23462067105026</v>
      </c>
      <c r="AO40" s="393">
        <f t="shared" si="11"/>
        <v>25.843587192927494</v>
      </c>
      <c r="AP40" s="393">
        <f t="shared" si="12"/>
        <v>40.055132797237349</v>
      </c>
      <c r="AQ40" s="393">
        <f t="shared" si="13"/>
        <v>72.52269434021008</v>
      </c>
      <c r="AR40" s="393"/>
      <c r="AS40" s="393">
        <f t="shared" si="14"/>
        <v>39.555912223885137</v>
      </c>
      <c r="AT40" s="393">
        <f t="shared" si="15"/>
        <v>29.634527912274748</v>
      </c>
      <c r="AU40" s="393">
        <f t="shared" si="16"/>
        <v>22.95520388576972</v>
      </c>
      <c r="AV40" s="393">
        <f t="shared" si="17"/>
        <v>19.733746313164129</v>
      </c>
      <c r="AW40" s="393">
        <f t="shared" si="18"/>
        <v>7.965168362232669</v>
      </c>
      <c r="AX40" s="393">
        <f t="shared" si="19"/>
        <v>2.1036062296642277</v>
      </c>
      <c r="AY40" s="393">
        <f t="shared" si="20"/>
        <v>2.4045100764444154</v>
      </c>
      <c r="AZ40" s="393">
        <f t="shared" si="21"/>
        <v>1.573151516891653</v>
      </c>
      <c r="BA40" s="393">
        <f t="shared" si="22"/>
        <v>5.135747821454534</v>
      </c>
      <c r="BB40" s="393">
        <f t="shared" si="23"/>
        <v>13.180269606303618</v>
      </c>
      <c r="BC40" s="393">
        <f t="shared" si="24"/>
        <v>26.207152818568751</v>
      </c>
      <c r="BD40" s="393">
        <f t="shared" si="25"/>
        <v>46.681986776403356</v>
      </c>
    </row>
    <row r="41" spans="1:56" ht="15">
      <c r="A41" s="389" t="str">
        <f>VLOOKUP(CONCATENATE($C41," - ",$B41),[2]ACHIEV!$B$12:$C$100,2,FALSE)</f>
        <v>Retro12Med</v>
      </c>
      <c r="B41" s="389" t="str">
        <f>'SC-Retro'!$C$7</f>
        <v>Retro</v>
      </c>
      <c r="C41" s="389" t="str">
        <f>'SC-Retro'!$C$8</f>
        <v>ResWx</v>
      </c>
      <c r="D41" s="389" t="s">
        <v>1171</v>
      </c>
      <c r="E41" s="389" t="str">
        <f>'SC-Retro'!$A$9</f>
        <v>HVAC</v>
      </c>
      <c r="F41" s="390">
        <f t="shared" si="1"/>
        <v>0.39491889156164106</v>
      </c>
      <c r="G41" s="391">
        <f>'SC-Retro'!A196</f>
        <v>804.07204601148794</v>
      </c>
      <c r="H41" s="391">
        <f>'SC-Retro'!B196</f>
        <v>97.336128859188079</v>
      </c>
      <c r="I41" s="384" t="str">
        <f>'SC-Retro'!C196</f>
        <v>Single Family</v>
      </c>
      <c r="J41" s="384" t="str">
        <f>'SC-Retro'!D196</f>
        <v>WINDOW CL22 Prime Window Replacement of Single Pane Base_DHP</v>
      </c>
      <c r="K41" s="392">
        <f>'SC-Retro'!E196</f>
        <v>5.42407848174841E-3</v>
      </c>
      <c r="L41" s="392">
        <f>'SC-Retro'!F196</f>
        <v>5.4117615857525612E-3</v>
      </c>
      <c r="M41" s="392">
        <f>'SC-Retro'!G196</f>
        <v>5.3994726587338346E-3</v>
      </c>
      <c r="N41" s="392">
        <f>'SC-Retro'!H196</f>
        <v>5.387211637180804E-3</v>
      </c>
      <c r="O41" s="392">
        <f>'SC-Retro'!I196</f>
        <v>5.3749784577262552E-3</v>
      </c>
      <c r="P41" s="392">
        <f>'SC-Retro'!J196</f>
        <v>4.8264957514321865E-3</v>
      </c>
      <c r="Q41" s="392">
        <f>'SC-Retro'!K196</f>
        <v>3.8524286681012958E-3</v>
      </c>
      <c r="R41" s="392">
        <f>'SC-Retro'!L196</f>
        <v>3.0749445160922024E-3</v>
      </c>
      <c r="S41" s="392">
        <f>'SC-Retro'!M196</f>
        <v>2.454369591664791E-3</v>
      </c>
      <c r="T41" s="392">
        <f>'SC-Retro'!N196</f>
        <v>1.9590370040706668E-3</v>
      </c>
      <c r="U41" s="392">
        <f>'SC-Retro'!O196</f>
        <v>1.563670767577831E-3</v>
      </c>
      <c r="V41" s="392">
        <f>'SC-Retro'!P196</f>
        <v>1.2480960105893152E-3</v>
      </c>
      <c r="W41" s="392">
        <f>'SC-Retro'!Q196</f>
        <v>9.9620948600449453E-4</v>
      </c>
      <c r="X41" s="392">
        <f>'SC-Retro'!R196</f>
        <v>7.9515784970479991E-4</v>
      </c>
      <c r="Y41" s="392">
        <f>'SC-Retro'!S196</f>
        <v>6.3468177610216865E-4</v>
      </c>
      <c r="Z41" s="392">
        <f>'SC-Retro'!T196</f>
        <v>5.0659244207392222E-4</v>
      </c>
      <c r="AA41" s="392">
        <f>'SC-Retro'!U196</f>
        <v>3.4475025627880492E-6</v>
      </c>
      <c r="AB41" s="392">
        <f>'SC-Retro'!V196</f>
        <v>1.2284550137255794E-6</v>
      </c>
      <c r="AC41" s="392">
        <f>'SC-Retro'!W196</f>
        <v>4.1784049808773498E-7</v>
      </c>
      <c r="AD41" s="392">
        <f>'SC-Retro'!X196</f>
        <v>1.3594293707631735E-7</v>
      </c>
      <c r="AE41" s="392">
        <f>'SC-Retro'!Y196</f>
        <v>4.7495299805475649E-2</v>
      </c>
      <c r="AF41" s="393">
        <f t="shared" si="2"/>
        <v>84.127861747296748</v>
      </c>
      <c r="AG41" s="393">
        <f t="shared" si="3"/>
        <v>61.379671618031495</v>
      </c>
      <c r="AH41" s="393">
        <f t="shared" si="4"/>
        <v>55.619436716165225</v>
      </c>
      <c r="AI41" s="393">
        <f t="shared" si="5"/>
        <v>44.954546388405106</v>
      </c>
      <c r="AJ41" s="393">
        <f t="shared" si="6"/>
        <v>20.232742247288758</v>
      </c>
      <c r="AK41" s="393">
        <f t="shared" si="7"/>
        <v>7.194098390551428</v>
      </c>
      <c r="AL41" s="393">
        <f t="shared" si="8"/>
        <v>15.365878914589175</v>
      </c>
      <c r="AM41" s="393">
        <f t="shared" si="9"/>
        <v>15.188690619179573</v>
      </c>
      <c r="AN41" s="393">
        <f t="shared" si="10"/>
        <v>15.808696704162482</v>
      </c>
      <c r="AO41" s="393">
        <f t="shared" si="11"/>
        <v>35.296675862228625</v>
      </c>
      <c r="AP41" s="393">
        <f t="shared" si="12"/>
        <v>54.150238005584953</v>
      </c>
      <c r="AQ41" s="393">
        <f t="shared" si="13"/>
        <v>98.042894507630322</v>
      </c>
      <c r="AR41" s="393"/>
      <c r="AS41" s="393">
        <f t="shared" si="14"/>
        <v>53.475345401904171</v>
      </c>
      <c r="AT41" s="393">
        <f t="shared" si="15"/>
        <v>40.062699273924451</v>
      </c>
      <c r="AU41" s="393">
        <f t="shared" si="16"/>
        <v>31.032970485293017</v>
      </c>
      <c r="AV41" s="393">
        <f t="shared" si="17"/>
        <v>26.710566018598914</v>
      </c>
      <c r="AW41" s="393">
        <f t="shared" si="18"/>
        <v>10.927408664679517</v>
      </c>
      <c r="AX41" s="393">
        <f t="shared" si="19"/>
        <v>2.9704101010600059</v>
      </c>
      <c r="AY41" s="393">
        <f t="shared" si="20"/>
        <v>4.5514698683058974</v>
      </c>
      <c r="AZ41" s="393">
        <f t="shared" si="21"/>
        <v>2.9726633044849229</v>
      </c>
      <c r="BA41" s="393">
        <f t="shared" si="22"/>
        <v>7.5646760301212819</v>
      </c>
      <c r="BB41" s="393">
        <f t="shared" si="23"/>
        <v>17.904116002631639</v>
      </c>
      <c r="BC41" s="393">
        <f t="shared" si="24"/>
        <v>35.429256214377432</v>
      </c>
      <c r="BD41" s="393">
        <f t="shared" si="25"/>
        <v>63.10903292499281</v>
      </c>
    </row>
    <row r="42" spans="1:56" ht="15">
      <c r="A42" s="389" t="str">
        <f>VLOOKUP(CONCATENATE($C42," - ",$B42),[2]ACHIEV!$B$12:$C$100,2,FALSE)</f>
        <v>Retro12Med</v>
      </c>
      <c r="B42" s="389" t="str">
        <f>'SC-Retro'!$C$7</f>
        <v>Retro</v>
      </c>
      <c r="C42" s="389" t="str">
        <f>'SC-Retro'!$C$8</f>
        <v>ResWx</v>
      </c>
      <c r="D42" s="389" t="s">
        <v>1171</v>
      </c>
      <c r="E42" s="389" t="str">
        <f>'SC-Retro'!$A$9</f>
        <v>HVAC</v>
      </c>
      <c r="F42" s="390">
        <f t="shared" si="1"/>
        <v>0.32052429492895801</v>
      </c>
      <c r="G42" s="391">
        <f>'SC-Retro'!A197</f>
        <v>638.75356520811931</v>
      </c>
      <c r="H42" s="391">
        <f>'SC-Retro'!B197</f>
        <v>126.93044494164164</v>
      </c>
      <c r="I42" s="384" t="str">
        <f>'SC-Retro'!C197</f>
        <v>Single Family</v>
      </c>
      <c r="J42" s="384" t="str">
        <f>'SC-Retro'!D197</f>
        <v>WINDOW CL22 Prime Window Replacement of Single Pane Base_Heat Pump</v>
      </c>
      <c r="K42" s="392">
        <f>'SC-Retro'!E197</f>
        <v>3.5525498526091819E-2</v>
      </c>
      <c r="L42" s="392">
        <f>'SC-Retro'!F197</f>
        <v>3.5444827888301646E-2</v>
      </c>
      <c r="M42" s="392">
        <f>'SC-Retro'!G197</f>
        <v>3.5364340435887383E-2</v>
      </c>
      <c r="N42" s="392">
        <f>'SC-Retro'!H197</f>
        <v>3.528403575287508E-2</v>
      </c>
      <c r="O42" s="392">
        <f>'SC-Retro'!I197</f>
        <v>3.5203913424235421E-2</v>
      </c>
      <c r="P42" s="392">
        <f>'SC-Retro'!J197</f>
        <v>3.1611575732293354E-2</v>
      </c>
      <c r="Q42" s="392">
        <f>'SC-Retro'!K197</f>
        <v>2.5231834205760022E-2</v>
      </c>
      <c r="R42" s="392">
        <f>'SC-Retro'!L197</f>
        <v>2.0139630582748376E-2</v>
      </c>
      <c r="S42" s="392">
        <f>'SC-Retro'!M197</f>
        <v>1.6075118308956735E-2</v>
      </c>
      <c r="T42" s="392">
        <f>'SC-Retro'!N197</f>
        <v>1.2830892184701228E-2</v>
      </c>
      <c r="U42" s="392">
        <f>'SC-Retro'!O197</f>
        <v>1.0241404827714242E-2</v>
      </c>
      <c r="V42" s="392">
        <f>'SC-Retro'!P197</f>
        <v>8.1745190697018414E-3</v>
      </c>
      <c r="W42" s="392">
        <f>'SC-Retro'!Q197</f>
        <v>6.5247652197177241E-3</v>
      </c>
      <c r="X42" s="392">
        <f>'SC-Retro'!R197</f>
        <v>5.2079591238865259E-3</v>
      </c>
      <c r="Y42" s="392">
        <f>'SC-Retro'!S197</f>
        <v>4.1569063901499732E-3</v>
      </c>
      <c r="Z42" s="392">
        <f>'SC-Retro'!T197</f>
        <v>3.3179735718767097E-3</v>
      </c>
      <c r="AA42" s="392">
        <f>'SC-Retro'!U197</f>
        <v>2.2579733612841453E-5</v>
      </c>
      <c r="AB42" s="392">
        <f>'SC-Retro'!V197</f>
        <v>8.0458785628431174E-6</v>
      </c>
      <c r="AC42" s="392">
        <f>'SC-Retro'!W197</f>
        <v>2.7366845905541643E-6</v>
      </c>
      <c r="AD42" s="392">
        <f>'SC-Retro'!X197</f>
        <v>8.9037071034056488E-7</v>
      </c>
      <c r="AE42" s="392">
        <f>'SC-Retro'!Y197</f>
        <v>0.31107481370583484</v>
      </c>
      <c r="AF42" s="393">
        <f t="shared" si="2"/>
        <v>68.279902903111193</v>
      </c>
      <c r="AG42" s="393">
        <f t="shared" si="3"/>
        <v>49.817003918309005</v>
      </c>
      <c r="AH42" s="393">
        <f t="shared" si="4"/>
        <v>45.141878797692478</v>
      </c>
      <c r="AI42" s="393">
        <f t="shared" si="5"/>
        <v>36.381221315749407</v>
      </c>
      <c r="AJ42" s="393">
        <f t="shared" si="6"/>
        <v>15.893123185294289</v>
      </c>
      <c r="AK42" s="393">
        <f t="shared" si="7"/>
        <v>5.2540803494419404</v>
      </c>
      <c r="AL42" s="393">
        <f t="shared" si="8"/>
        <v>8.4697353651526122</v>
      </c>
      <c r="AM42" s="393">
        <f t="shared" si="9"/>
        <v>8.3197124841957084</v>
      </c>
      <c r="AN42" s="393">
        <f t="shared" si="10"/>
        <v>11.174720146651484</v>
      </c>
      <c r="AO42" s="393">
        <f t="shared" si="11"/>
        <v>28.346201816820106</v>
      </c>
      <c r="AP42" s="393">
        <f t="shared" si="12"/>
        <v>43.94944690628023</v>
      </c>
      <c r="AQ42" s="393">
        <f t="shared" si="13"/>
        <v>79.573629690357365</v>
      </c>
      <c r="AR42" s="393"/>
      <c r="AS42" s="393">
        <f t="shared" si="14"/>
        <v>43.401690188205407</v>
      </c>
      <c r="AT42" s="393">
        <f t="shared" si="15"/>
        <v>32.515710724669681</v>
      </c>
      <c r="AU42" s="393">
        <f t="shared" si="16"/>
        <v>25.186997119881148</v>
      </c>
      <c r="AV42" s="393">
        <f t="shared" si="17"/>
        <v>21.651427244206289</v>
      </c>
      <c r="AW42" s="393">
        <f t="shared" si="18"/>
        <v>8.7351335369432732</v>
      </c>
      <c r="AX42" s="393">
        <f t="shared" si="19"/>
        <v>2.3046013713123408</v>
      </c>
      <c r="AY42" s="393">
        <f t="shared" si="20"/>
        <v>2.6020490120295245</v>
      </c>
      <c r="AZ42" s="393">
        <f t="shared" si="21"/>
        <v>1.7025345411095871</v>
      </c>
      <c r="BA42" s="393">
        <f t="shared" si="22"/>
        <v>5.6177465980755832</v>
      </c>
      <c r="BB42" s="393">
        <f t="shared" si="23"/>
        <v>14.459315830069855</v>
      </c>
      <c r="BC42" s="393">
        <f t="shared" si="24"/>
        <v>28.755113038694009</v>
      </c>
      <c r="BD42" s="393">
        <f t="shared" si="25"/>
        <v>51.220589123866787</v>
      </c>
    </row>
    <row r="43" spans="1:56" ht="15">
      <c r="A43" s="389" t="str">
        <f>VLOOKUP(CONCATENATE($C43," - ",$B43),[2]ACHIEV!$B$12:$C$100,2,FALSE)</f>
        <v>Retro12Med</v>
      </c>
      <c r="B43" s="389" t="str">
        <f>'SC-Retro'!$C$7</f>
        <v>Retro</v>
      </c>
      <c r="C43" s="389" t="str">
        <f>'SC-Retro'!$C$8</f>
        <v>ResWx</v>
      </c>
      <c r="D43" s="389" t="s">
        <v>1171</v>
      </c>
      <c r="E43" s="389" t="str">
        <f>'SC-Retro'!$A$9</f>
        <v>HVAC</v>
      </c>
      <c r="F43" s="390">
        <f t="shared" si="1"/>
        <v>7.3812699729113154E-2</v>
      </c>
      <c r="G43" s="391">
        <f>'SC-Retro'!A198</f>
        <v>152.20883549304395</v>
      </c>
      <c r="H43" s="391">
        <f>'SC-Retro'!B198</f>
        <v>178.95655386408794</v>
      </c>
      <c r="I43" s="384" t="str">
        <f>'SC-Retro'!C198</f>
        <v>Single Family</v>
      </c>
      <c r="J43" s="384" t="str">
        <f>'SC-Retro'!D198</f>
        <v>ATTIC R11 - R38_Heat Pump</v>
      </c>
      <c r="K43" s="392">
        <f>'SC-Retro'!E198</f>
        <v>2.3737902602043393E-2</v>
      </c>
      <c r="L43" s="392">
        <f>'SC-Retro'!F198</f>
        <v>2.3683999016670728E-2</v>
      </c>
      <c r="M43" s="392">
        <f>'SC-Retro'!G198</f>
        <v>2.3630217834551832E-2</v>
      </c>
      <c r="N43" s="392">
        <f>'SC-Retro'!H198</f>
        <v>2.3576558777735672E-2</v>
      </c>
      <c r="O43" s="392">
        <f>'SC-Retro'!I198</f>
        <v>2.3523021568902406E-2</v>
      </c>
      <c r="P43" s="392">
        <f>'SC-Retro'!J198</f>
        <v>2.1122645338225717E-2</v>
      </c>
      <c r="Q43" s="392">
        <f>'SC-Retro'!K198</f>
        <v>1.6859744344117703E-2</v>
      </c>
      <c r="R43" s="392">
        <f>'SC-Retro'!L198</f>
        <v>1.3457167641526362E-2</v>
      </c>
      <c r="S43" s="392">
        <f>'SC-Retro'!M198</f>
        <v>1.0741287485496642E-2</v>
      </c>
      <c r="T43" s="392">
        <f>'SC-Retro'!N198</f>
        <v>8.5735170965738558E-3</v>
      </c>
      <c r="U43" s="392">
        <f>'SC-Retro'!O198</f>
        <v>6.8432388114082372E-3</v>
      </c>
      <c r="V43" s="392">
        <f>'SC-Retro'!P198</f>
        <v>5.4621594501372316E-3</v>
      </c>
      <c r="W43" s="392">
        <f>'SC-Retro'!Q198</f>
        <v>4.3598048644723289E-3</v>
      </c>
      <c r="X43" s="392">
        <f>'SC-Retro'!R198</f>
        <v>3.4799237608852704E-3</v>
      </c>
      <c r="Y43" s="392">
        <f>'SC-Retro'!S198</f>
        <v>2.7776172920618912E-3</v>
      </c>
      <c r="Z43" s="392">
        <f>'SC-Retro'!T198</f>
        <v>2.2170479445212162E-3</v>
      </c>
      <c r="AA43" s="392">
        <f>'SC-Retro'!U198</f>
        <v>1.5087628309791409E-5</v>
      </c>
      <c r="AB43" s="392">
        <f>'SC-Retro'!V198</f>
        <v>5.3762027162648812E-6</v>
      </c>
      <c r="AC43" s="392">
        <f>'SC-Retro'!W198</f>
        <v>1.8286345008044115E-6</v>
      </c>
      <c r="AD43" s="392">
        <f>'SC-Retro'!X198</f>
        <v>5.9493980601717538E-7</v>
      </c>
      <c r="AE43" s="392">
        <f>'SC-Retro'!Y198</f>
        <v>0.20785812827579331</v>
      </c>
      <c r="AF43" s="393">
        <f t="shared" si="2"/>
        <v>15.72399986602392</v>
      </c>
      <c r="AG43" s="393">
        <f t="shared" si="3"/>
        <v>11.472227253292003</v>
      </c>
      <c r="AH43" s="393">
        <f t="shared" si="4"/>
        <v>10.395604943583507</v>
      </c>
      <c r="AI43" s="393">
        <f t="shared" si="5"/>
        <v>8.4168280114626182</v>
      </c>
      <c r="AJ43" s="393">
        <f t="shared" si="6"/>
        <v>3.8549664812743232</v>
      </c>
      <c r="AK43" s="393">
        <f t="shared" si="7"/>
        <v>1.4258273362265441</v>
      </c>
      <c r="AL43" s="393">
        <f t="shared" si="8"/>
        <v>3.4276427662532378</v>
      </c>
      <c r="AM43" s="393">
        <f t="shared" si="9"/>
        <v>3.395388007557798</v>
      </c>
      <c r="AN43" s="393">
        <f t="shared" si="10"/>
        <v>3.1846907566821945</v>
      </c>
      <c r="AO43" s="393">
        <f t="shared" si="11"/>
        <v>6.6390001475157474</v>
      </c>
      <c r="AP43" s="393">
        <f t="shared" si="12"/>
        <v>10.121002928882129</v>
      </c>
      <c r="AQ43" s="393">
        <f t="shared" si="13"/>
        <v>18.324802605031302</v>
      </c>
      <c r="AR43" s="393"/>
      <c r="AS43" s="393">
        <f t="shared" si="14"/>
        <v>9.9948614700425651</v>
      </c>
      <c r="AT43" s="393">
        <f t="shared" si="15"/>
        <v>7.4879577934356156</v>
      </c>
      <c r="AU43" s="393">
        <f t="shared" si="16"/>
        <v>5.8002475472253536</v>
      </c>
      <c r="AV43" s="393">
        <f t="shared" si="17"/>
        <v>4.9961716393544142</v>
      </c>
      <c r="AW43" s="393">
        <f t="shared" si="18"/>
        <v>2.0609746335312193</v>
      </c>
      <c r="AX43" s="393">
        <f t="shared" si="19"/>
        <v>0.56994093601377638</v>
      </c>
      <c r="AY43" s="393">
        <f t="shared" si="20"/>
        <v>1.0023388376842508</v>
      </c>
      <c r="AZ43" s="393">
        <f t="shared" si="21"/>
        <v>0.65422143313319991</v>
      </c>
      <c r="BA43" s="393">
        <f t="shared" si="22"/>
        <v>1.4863562679772697</v>
      </c>
      <c r="BB43" s="393">
        <f t="shared" si="23"/>
        <v>3.3563890101079963</v>
      </c>
      <c r="BC43" s="393">
        <f t="shared" si="24"/>
        <v>6.6219396095146639</v>
      </c>
      <c r="BD43" s="393">
        <f t="shared" si="25"/>
        <v>11.795455211238293</v>
      </c>
    </row>
    <row r="44" spans="1:56" ht="15">
      <c r="A44" s="389" t="str">
        <f>VLOOKUP(CONCATENATE($C44," - ",$B44),[2]ACHIEV!$B$12:$C$100,2,FALSE)</f>
        <v>Retro12Med</v>
      </c>
      <c r="B44" s="389" t="str">
        <f>'SC-Retro'!$C$7</f>
        <v>Retro</v>
      </c>
      <c r="C44" s="389" t="str">
        <f>'SC-Retro'!$C$8</f>
        <v>ResWx</v>
      </c>
      <c r="D44" s="389" t="s">
        <v>1171</v>
      </c>
      <c r="E44" s="389" t="str">
        <f>'SC-Retro'!$A$9</f>
        <v>HVAC</v>
      </c>
      <c r="F44" s="390">
        <f t="shared" si="1"/>
        <v>0.2634319918938765</v>
      </c>
      <c r="G44" s="391">
        <f>'SC-Retro'!A199</f>
        <v>590.32056679253151</v>
      </c>
      <c r="H44" s="391">
        <f>'SC-Retro'!B199</f>
        <v>118.1826823416875</v>
      </c>
      <c r="I44" s="384" t="str">
        <f>'SC-Retro'!C199</f>
        <v>Single Family</v>
      </c>
      <c r="J44" s="384" t="str">
        <f>'SC-Retro'!D199</f>
        <v>WINDOW CL30 Prime Window Replacement of Double Pane Base_Electric FAF</v>
      </c>
      <c r="K44" s="392">
        <f>'SC-Retro'!E199</f>
        <v>1.0721546904420975</v>
      </c>
      <c r="L44" s="392">
        <f>'SC-Retro'!F199</f>
        <v>1.0697200616184048</v>
      </c>
      <c r="M44" s="392">
        <f>'SC-Retro'!G199</f>
        <v>1.0672909613043213</v>
      </c>
      <c r="N44" s="392">
        <f>'SC-Retro'!H199</f>
        <v>1.0648673769458119</v>
      </c>
      <c r="O44" s="392">
        <f>'SC-Retro'!I199</f>
        <v>1.0624492960173466</v>
      </c>
      <c r="P44" s="392">
        <f>'SC-Retro'!J199</f>
        <v>0.95403303541965612</v>
      </c>
      <c r="Q44" s="392">
        <f>'SC-Retro'!K199</f>
        <v>0.76149330803322079</v>
      </c>
      <c r="R44" s="392">
        <f>'SC-Retro'!L199</f>
        <v>0.60781129861431471</v>
      </c>
      <c r="S44" s="392">
        <f>'SC-Retro'!M199</f>
        <v>0.48514487366591885</v>
      </c>
      <c r="T44" s="392">
        <f>'SC-Retro'!N199</f>
        <v>0.38723457260650751</v>
      </c>
      <c r="U44" s="392">
        <f>'SC-Retro'!O199</f>
        <v>0.30908419806369775</v>
      </c>
      <c r="V44" s="392">
        <f>'SC-Retro'!P199</f>
        <v>0.24670586835684236</v>
      </c>
      <c r="W44" s="392">
        <f>'SC-Retro'!Q199</f>
        <v>0.1969165226271466</v>
      </c>
      <c r="X44" s="392">
        <f>'SC-Retro'!R199</f>
        <v>0.15717549461563957</v>
      </c>
      <c r="Y44" s="392">
        <f>'SC-Retro'!S199</f>
        <v>0.12545486675309223</v>
      </c>
      <c r="Z44" s="392">
        <f>'SC-Retro'!T199</f>
        <v>0.10013598894995959</v>
      </c>
      <c r="AA44" s="392">
        <f>'SC-Retro'!U199</f>
        <v>6.8145327458700412E-4</v>
      </c>
      <c r="AB44" s="392">
        <f>'SC-Retro'!V199</f>
        <v>2.4282351544043974E-4</v>
      </c>
      <c r="AC44" s="392">
        <f>'SC-Retro'!W199</f>
        <v>8.259276693522721E-5</v>
      </c>
      <c r="AD44" s="392">
        <f>'SC-Retro'!X199</f>
        <v>2.6871266355988742E-5</v>
      </c>
      <c r="AE44" s="392">
        <f>'SC-Retro'!Y199</f>
        <v>9.3881953647506844</v>
      </c>
      <c r="AF44" s="393">
        <f t="shared" si="2"/>
        <v>56.117776757215175</v>
      </c>
      <c r="AG44" s="393">
        <f t="shared" si="3"/>
        <v>40.943519040557909</v>
      </c>
      <c r="AH44" s="393">
        <f t="shared" si="4"/>
        <v>37.10113472722503</v>
      </c>
      <c r="AI44" s="393">
        <f t="shared" si="5"/>
        <v>30.395513749603996</v>
      </c>
      <c r="AJ44" s="393">
        <f t="shared" si="6"/>
        <v>15.554529813017712</v>
      </c>
      <c r="AK44" s="393">
        <f t="shared" si="7"/>
        <v>7.0776580403153782</v>
      </c>
      <c r="AL44" s="393">
        <f t="shared" si="8"/>
        <v>25.842809978482613</v>
      </c>
      <c r="AM44" s="393">
        <f t="shared" si="9"/>
        <v>25.74882726261221</v>
      </c>
      <c r="AN44" s="393">
        <f t="shared" si="10"/>
        <v>16.998039291962147</v>
      </c>
      <c r="AO44" s="393">
        <f t="shared" si="11"/>
        <v>24.718882660242382</v>
      </c>
      <c r="AP44" s="393">
        <f t="shared" si="12"/>
        <v>36.121100722557351</v>
      </c>
      <c r="AQ44" s="393">
        <f t="shared" si="13"/>
        <v>65.399846761078393</v>
      </c>
      <c r="AR44" s="393"/>
      <c r="AS44" s="393">
        <f t="shared" si="14"/>
        <v>35.670911312273532</v>
      </c>
      <c r="AT44" s="393">
        <f t="shared" si="15"/>
        <v>26.723960022884818</v>
      </c>
      <c r="AU44" s="393">
        <f t="shared" si="16"/>
        <v>20.700648674966235</v>
      </c>
      <c r="AV44" s="393">
        <f t="shared" si="17"/>
        <v>17.924213187420047</v>
      </c>
      <c r="AW44" s="393">
        <f t="shared" si="18"/>
        <v>7.8104569316107435</v>
      </c>
      <c r="AX44" s="393">
        <f t="shared" si="19"/>
        <v>2.3954305065027555</v>
      </c>
      <c r="AY44" s="393">
        <f t="shared" si="20"/>
        <v>7.2913911782619518</v>
      </c>
      <c r="AZ44" s="393">
        <f t="shared" si="21"/>
        <v>4.7501626753169122</v>
      </c>
      <c r="BA44" s="393">
        <f t="shared" si="22"/>
        <v>7.0797561550603145</v>
      </c>
      <c r="BB44" s="393">
        <f t="shared" si="23"/>
        <v>12.223695905638577</v>
      </c>
      <c r="BC44" s="393">
        <f t="shared" si="24"/>
        <v>23.633206046348821</v>
      </c>
      <c r="BD44" s="393">
        <f t="shared" si="25"/>
        <v>42.097095391376541</v>
      </c>
    </row>
    <row r="45" spans="1:56" ht="15">
      <c r="A45" s="389" t="str">
        <f>VLOOKUP(CONCATENATE($C45," - ",$B45),[2]ACHIEV!$B$12:$C$100,2,FALSE)</f>
        <v>Retro12Med</v>
      </c>
      <c r="B45" s="389" t="str">
        <f>'SC-Retro'!$C$7</f>
        <v>Retro</v>
      </c>
      <c r="C45" s="389" t="str">
        <f>'SC-Retro'!$C$8</f>
        <v>ResWx</v>
      </c>
      <c r="D45" s="389" t="s">
        <v>1171</v>
      </c>
      <c r="E45" s="389" t="str">
        <f>'SC-Retro'!$A$9</f>
        <v>HVAC</v>
      </c>
      <c r="F45" s="390">
        <f t="shared" si="1"/>
        <v>8.004554720630265E-2</v>
      </c>
      <c r="G45" s="391">
        <f>'SC-Retro'!A200</f>
        <v>165.03918128276874</v>
      </c>
      <c r="H45" s="391">
        <f>'SC-Retro'!B200</f>
        <v>194.89902724657949</v>
      </c>
      <c r="I45" s="384" t="str">
        <f>'SC-Retro'!C200</f>
        <v>Single Family</v>
      </c>
      <c r="J45" s="384" t="str">
        <f>'SC-Retro'!D200</f>
        <v>ATTIC R11 - R49_Heat Pump</v>
      </c>
      <c r="K45" s="392">
        <f>'SC-Retro'!E200</f>
        <v>2.0198487333371061E-2</v>
      </c>
      <c r="L45" s="392">
        <f>'SC-Retro'!F200</f>
        <v>2.0152620986009801E-2</v>
      </c>
      <c r="M45" s="392">
        <f>'SC-Retro'!G200</f>
        <v>2.0106858791092516E-2</v>
      </c>
      <c r="N45" s="392">
        <f>'SC-Retro'!H200</f>
        <v>2.0061200512111771E-2</v>
      </c>
      <c r="O45" s="392">
        <f>'SC-Retro'!I200</f>
        <v>2.0015645913097214E-2</v>
      </c>
      <c r="P45" s="392">
        <f>'SC-Retro'!J200</f>
        <v>1.7973175282752881E-2</v>
      </c>
      <c r="Q45" s="392">
        <f>'SC-Retro'!K200</f>
        <v>1.4345889705909469E-2</v>
      </c>
      <c r="R45" s="392">
        <f>'SC-Retro'!L200</f>
        <v>1.1450650662246084E-2</v>
      </c>
      <c r="S45" s="392">
        <f>'SC-Retro'!M200</f>
        <v>9.1397189910630543E-3</v>
      </c>
      <c r="T45" s="392">
        <f>'SC-Retro'!N200</f>
        <v>7.2951717504595535E-3</v>
      </c>
      <c r="U45" s="392">
        <f>'SC-Retro'!O200</f>
        <v>5.8228848086841556E-3</v>
      </c>
      <c r="V45" s="392">
        <f>'SC-Retro'!P200</f>
        <v>4.6477298485904459E-3</v>
      </c>
      <c r="W45" s="392">
        <f>'SC-Retro'!Q200</f>
        <v>3.7097406964435608E-3</v>
      </c>
      <c r="X45" s="392">
        <f>'SC-Retro'!R200</f>
        <v>2.9610533493084411E-3</v>
      </c>
      <c r="Y45" s="392">
        <f>'SC-Retro'!S200</f>
        <v>2.36346355578336E-3</v>
      </c>
      <c r="Z45" s="392">
        <f>'SC-Retro'!T200</f>
        <v>1.886477317546721E-3</v>
      </c>
      <c r="AA45" s="392">
        <f>'SC-Retro'!U200</f>
        <v>1.2838003189030667E-5</v>
      </c>
      <c r="AB45" s="392">
        <f>'SC-Retro'!V200</f>
        <v>4.5745896040858978E-6</v>
      </c>
      <c r="AC45" s="392">
        <f>'SC-Retro'!W200</f>
        <v>1.5559778562190132E-6</v>
      </c>
      <c r="AD45" s="392">
        <f>'SC-Retro'!X200</f>
        <v>5.0623192526376468E-7</v>
      </c>
      <c r="AE45" s="392">
        <f>'SC-Retro'!Y200</f>
        <v>0.17686565833139037</v>
      </c>
      <c r="AF45" s="393">
        <f t="shared" si="2"/>
        <v>17.051756380227395</v>
      </c>
      <c r="AG45" s="393">
        <f t="shared" si="3"/>
        <v>12.440958148596497</v>
      </c>
      <c r="AH45" s="393">
        <f t="shared" si="4"/>
        <v>11.273424347077254</v>
      </c>
      <c r="AI45" s="393">
        <f t="shared" si="5"/>
        <v>9.1273873274307764</v>
      </c>
      <c r="AJ45" s="393">
        <f t="shared" si="6"/>
        <v>4.1796315802775021</v>
      </c>
      <c r="AK45" s="393">
        <f t="shared" si="7"/>
        <v>1.5452810371822376</v>
      </c>
      <c r="AL45" s="393">
        <f t="shared" si="8"/>
        <v>3.7106104346490731</v>
      </c>
      <c r="AM45" s="393">
        <f t="shared" si="9"/>
        <v>3.6756219972631001</v>
      </c>
      <c r="AN45" s="393">
        <f t="shared" si="10"/>
        <v>3.4509341552763861</v>
      </c>
      <c r="AO45" s="393">
        <f t="shared" si="11"/>
        <v>7.199119622648376</v>
      </c>
      <c r="AP45" s="393">
        <f t="shared" si="12"/>
        <v>10.975634554651393</v>
      </c>
      <c r="AQ45" s="393">
        <f t="shared" si="13"/>
        <v>19.87217453568724</v>
      </c>
      <c r="AR45" s="393"/>
      <c r="AS45" s="393">
        <f t="shared" si="14"/>
        <v>10.83884153481511</v>
      </c>
      <c r="AT45" s="393">
        <f t="shared" si="15"/>
        <v>8.1202514097563387</v>
      </c>
      <c r="AU45" s="393">
        <f t="shared" si="16"/>
        <v>6.290028552722692</v>
      </c>
      <c r="AV45" s="393">
        <f t="shared" si="17"/>
        <v>5.418011039728345</v>
      </c>
      <c r="AW45" s="393">
        <f t="shared" si="18"/>
        <v>2.2347900015563615</v>
      </c>
      <c r="AX45" s="393">
        <f t="shared" si="19"/>
        <v>0.61789583222115696</v>
      </c>
      <c r="AY45" s="393">
        <f t="shared" si="20"/>
        <v>1.0852128091027504</v>
      </c>
      <c r="AZ45" s="393">
        <f t="shared" si="21"/>
        <v>0.70831707539930233</v>
      </c>
      <c r="BA45" s="393">
        <f t="shared" si="22"/>
        <v>1.61102277201879</v>
      </c>
      <c r="BB45" s="393">
        <f t="shared" si="23"/>
        <v>3.639690767030284</v>
      </c>
      <c r="BC45" s="393">
        <f t="shared" si="24"/>
        <v>7.1811054406078956</v>
      </c>
      <c r="BD45" s="393">
        <f t="shared" si="25"/>
        <v>12.791479926842497</v>
      </c>
    </row>
    <row r="46" spans="1:56" ht="15">
      <c r="A46" s="389" t="str">
        <f>VLOOKUP(CONCATENATE($C46," - ",$B46),[2]ACHIEV!$B$12:$C$100,2,FALSE)</f>
        <v>Retro12Med</v>
      </c>
      <c r="B46" s="389" t="str">
        <f>'SC-Retro'!$C$7</f>
        <v>Retro</v>
      </c>
      <c r="C46" s="389" t="str">
        <f>'SC-Retro'!$C$8</f>
        <v>ResWx</v>
      </c>
      <c r="D46" s="389" t="s">
        <v>1171</v>
      </c>
      <c r="E46" s="389" t="str">
        <f>'SC-Retro'!$A$9</f>
        <v>HVAC</v>
      </c>
      <c r="F46" s="390">
        <f t="shared" si="1"/>
        <v>0.30855389378615189</v>
      </c>
      <c r="G46" s="391">
        <f>'SC-Retro'!A201</f>
        <v>681.56344540520035</v>
      </c>
      <c r="H46" s="391">
        <f>'SC-Retro'!B201</f>
        <v>120.50107493823872</v>
      </c>
      <c r="I46" s="384" t="str">
        <f>'SC-Retro'!C201</f>
        <v>Single Family</v>
      </c>
      <c r="J46" s="384" t="str">
        <f>'SC-Retro'!D201</f>
        <v>WINDOW CL22 Prime Window Replacement of Double Pane Base_Electric FAF</v>
      </c>
      <c r="K46" s="392">
        <f>'SC-Retro'!E201</f>
        <v>0.30946806105515617</v>
      </c>
      <c r="L46" s="392">
        <f>'SC-Retro'!F201</f>
        <v>0.30876532676860791</v>
      </c>
      <c r="M46" s="392">
        <f>'SC-Retro'!G201</f>
        <v>0.30806418823793763</v>
      </c>
      <c r="N46" s="392">
        <f>'SC-Retro'!H201</f>
        <v>0.30736464183953277</v>
      </c>
      <c r="O46" s="392">
        <f>'SC-Retro'!I201</f>
        <v>0.30666668395800917</v>
      </c>
      <c r="P46" s="392">
        <f>'SC-Retro'!J201</f>
        <v>0.27537327988757315</v>
      </c>
      <c r="Q46" s="392">
        <f>'SC-Retro'!K201</f>
        <v>0.21979837391407137</v>
      </c>
      <c r="R46" s="392">
        <f>'SC-Retro'!L201</f>
        <v>0.17543940790113705</v>
      </c>
      <c r="S46" s="392">
        <f>'SC-Retro'!M201</f>
        <v>0.14003281869926104</v>
      </c>
      <c r="T46" s="392">
        <f>'SC-Retro'!N201</f>
        <v>0.11177186783433637</v>
      </c>
      <c r="U46" s="392">
        <f>'SC-Retro'!O201</f>
        <v>8.9214446693432731E-2</v>
      </c>
      <c r="V46" s="392">
        <f>'SC-Retro'!P201</f>
        <v>7.1209488156824707E-2</v>
      </c>
      <c r="W46" s="392">
        <f>'SC-Retro'!Q201</f>
        <v>5.6838229586085934E-2</v>
      </c>
      <c r="X46" s="392">
        <f>'SC-Retro'!R201</f>
        <v>4.5367329917691566E-2</v>
      </c>
      <c r="Y46" s="392">
        <f>'SC-Retro'!S201</f>
        <v>3.6211448506561515E-2</v>
      </c>
      <c r="Z46" s="392">
        <f>'SC-Retro'!T201</f>
        <v>2.8903376181105379E-2</v>
      </c>
      <c r="AA46" s="392">
        <f>'SC-Retro'!U201</f>
        <v>1.9669551928105491E-4</v>
      </c>
      <c r="AB46" s="392">
        <f>'SC-Retro'!V201</f>
        <v>7.008888099063721E-5</v>
      </c>
      <c r="AC46" s="392">
        <f>'SC-Retro'!W201</f>
        <v>2.3839678796802831E-5</v>
      </c>
      <c r="AD46" s="392">
        <f>'SC-Retro'!X201</f>
        <v>7.7561556848252084E-6</v>
      </c>
      <c r="AE46" s="392">
        <f>'SC-Retro'!Y201</f>
        <v>2.7098203666286196</v>
      </c>
      <c r="AF46" s="393">
        <f t="shared" si="2"/>
        <v>65.729900171108454</v>
      </c>
      <c r="AG46" s="393">
        <f t="shared" si="3"/>
        <v>47.956522419497574</v>
      </c>
      <c r="AH46" s="393">
        <f t="shared" si="4"/>
        <v>43.455995992246848</v>
      </c>
      <c r="AI46" s="393">
        <f t="shared" si="5"/>
        <v>35.52709817722841</v>
      </c>
      <c r="AJ46" s="393">
        <f t="shared" si="6"/>
        <v>17.842318834909285</v>
      </c>
      <c r="AK46" s="393">
        <f t="shared" si="7"/>
        <v>7.8731377837971666</v>
      </c>
      <c r="AL46" s="393">
        <f t="shared" si="8"/>
        <v>27.41719534400594</v>
      </c>
      <c r="AM46" s="393">
        <f t="shared" si="9"/>
        <v>27.302686335262546</v>
      </c>
      <c r="AN46" s="393">
        <f t="shared" si="10"/>
        <v>18.729269123861744</v>
      </c>
      <c r="AO46" s="393">
        <f t="shared" si="11"/>
        <v>28.738095527888426</v>
      </c>
      <c r="AP46" s="393">
        <f t="shared" si="12"/>
        <v>42.30809703734365</v>
      </c>
      <c r="AQ46" s="393">
        <f t="shared" si="13"/>
        <v>76.601847885194019</v>
      </c>
      <c r="AR46" s="393"/>
      <c r="AS46" s="393">
        <f t="shared" si="14"/>
        <v>41.780797013964857</v>
      </c>
      <c r="AT46" s="393">
        <f t="shared" si="15"/>
        <v>31.301368763777106</v>
      </c>
      <c r="AU46" s="393">
        <f t="shared" si="16"/>
        <v>24.246355602599266</v>
      </c>
      <c r="AV46" s="393">
        <f t="shared" si="17"/>
        <v>20.974816981047038</v>
      </c>
      <c r="AW46" s="393">
        <f t="shared" si="18"/>
        <v>9.0529205303484126</v>
      </c>
      <c r="AX46" s="393">
        <f t="shared" si="19"/>
        <v>2.730005407150899</v>
      </c>
      <c r="AY46" s="393">
        <f t="shared" si="20"/>
        <v>7.7619584953855512</v>
      </c>
      <c r="AZ46" s="393">
        <f t="shared" si="21"/>
        <v>5.0576398790412238</v>
      </c>
      <c r="BA46" s="393">
        <f t="shared" si="22"/>
        <v>7.9204257957550253</v>
      </c>
      <c r="BB46" s="393">
        <f t="shared" si="23"/>
        <v>14.266087871412727</v>
      </c>
      <c r="BC46" s="393">
        <f t="shared" si="24"/>
        <v>27.681215541918625</v>
      </c>
      <c r="BD46" s="393">
        <f t="shared" si="25"/>
        <v>49.307688890455658</v>
      </c>
    </row>
    <row r="47" spans="1:56" ht="15">
      <c r="A47" s="389" t="str">
        <f>VLOOKUP(CONCATENATE($C47," - ",$B47),[2]ACHIEV!$B$12:$C$100,2,FALSE)</f>
        <v>Retro12Med</v>
      </c>
      <c r="B47" s="389" t="str">
        <f>'SC-Retro'!$C$7</f>
        <v>Retro</v>
      </c>
      <c r="C47" s="389" t="str">
        <f>'SC-Retro'!$C$8</f>
        <v>ResWx</v>
      </c>
      <c r="D47" s="389" t="s">
        <v>1171</v>
      </c>
      <c r="E47" s="389" t="str">
        <f>'SC-Retro'!$A$9</f>
        <v>HVAC</v>
      </c>
      <c r="F47" s="390">
        <f t="shared" si="1"/>
        <v>0.1260769360878535</v>
      </c>
      <c r="G47" s="391">
        <f>'SC-Retro'!A202</f>
        <v>243.51386470524091</v>
      </c>
      <c r="H47" s="391">
        <f>'SC-Retro'!B202</f>
        <v>205.50305810789797</v>
      </c>
      <c r="I47" s="384" t="str">
        <f>'SC-Retro'!C202</f>
        <v>Single Family</v>
      </c>
      <c r="J47" s="384" t="str">
        <f>'SC-Retro'!D202</f>
        <v>CFM50 Infiltration Reduction_Heat Pump</v>
      </c>
      <c r="K47" s="392">
        <f>'SC-Retro'!E202</f>
        <v>0.53332274162402371</v>
      </c>
      <c r="L47" s="392">
        <f>'SC-Retro'!F202</f>
        <v>0.53211168231451911</v>
      </c>
      <c r="M47" s="392">
        <f>'SC-Retro'!G202</f>
        <v>0.53090337305585011</v>
      </c>
      <c r="N47" s="392">
        <f>'SC-Retro'!H202</f>
        <v>0.52969780760325247</v>
      </c>
      <c r="O47" s="392">
        <f>'SC-Retro'!I202</f>
        <v>0.52849497972614279</v>
      </c>
      <c r="P47" s="392">
        <f>'SC-Retro'!J202</f>
        <v>0.47456539488727706</v>
      </c>
      <c r="Q47" s="392">
        <f>'SC-Retro'!K202</f>
        <v>0.37879020852966866</v>
      </c>
      <c r="R47" s="392">
        <f>'SC-Retro'!L202</f>
        <v>0.30234404704546775</v>
      </c>
      <c r="S47" s="392">
        <f>'SC-Retro'!M202</f>
        <v>0.24132599186938114</v>
      </c>
      <c r="T47" s="392">
        <f>'SC-Retro'!N202</f>
        <v>0.19262239465552475</v>
      </c>
      <c r="U47" s="392">
        <f>'SC-Retro'!O202</f>
        <v>0.15374799305874642</v>
      </c>
      <c r="V47" s="392">
        <f>'SC-Retro'!P202</f>
        <v>0.12271909199273548</v>
      </c>
      <c r="W47" s="392">
        <f>'SC-Retro'!Q202</f>
        <v>9.7952339018611598E-2</v>
      </c>
      <c r="X47" s="392">
        <f>'SC-Retro'!R202</f>
        <v>7.8183928542960468E-2</v>
      </c>
      <c r="Y47" s="392">
        <f>'SC-Retro'!S202</f>
        <v>6.240511195193911E-2</v>
      </c>
      <c r="Z47" s="392">
        <f>'SC-Retro'!T202</f>
        <v>4.9810722872465525E-2</v>
      </c>
      <c r="AA47" s="392">
        <f>'SC-Retro'!U202</f>
        <v>3.3897583243472931E-4</v>
      </c>
      <c r="AB47" s="392">
        <f>'SC-Retro'!V202</f>
        <v>1.207878901617067E-4</v>
      </c>
      <c r="AC47" s="392">
        <f>'SC-Retro'!W202</f>
        <v>4.1084184299978356E-5</v>
      </c>
      <c r="AD47" s="392">
        <f>'SC-Retro'!X202</f>
        <v>1.3366594924820003E-5</v>
      </c>
      <c r="AE47" s="392">
        <f>'SC-Retro'!Y202</f>
        <v>4.6699773227370764</v>
      </c>
      <c r="AF47" s="393">
        <f t="shared" si="2"/>
        <v>26.857623870004648</v>
      </c>
      <c r="AG47" s="393">
        <f t="shared" si="3"/>
        <v>19.595317167733203</v>
      </c>
      <c r="AH47" s="393">
        <f t="shared" si="4"/>
        <v>17.756375594941257</v>
      </c>
      <c r="AI47" s="393">
        <f t="shared" si="5"/>
        <v>14.251843661182113</v>
      </c>
      <c r="AJ47" s="393">
        <f t="shared" si="6"/>
        <v>5.9563797241113372</v>
      </c>
      <c r="AK47" s="393">
        <f t="shared" si="7"/>
        <v>1.7399245291240386</v>
      </c>
      <c r="AL47" s="393">
        <f t="shared" si="8"/>
        <v>1.0957444449930065</v>
      </c>
      <c r="AM47" s="393">
        <f t="shared" si="9"/>
        <v>1.0332620129026755</v>
      </c>
      <c r="AN47" s="393">
        <f t="shared" si="10"/>
        <v>3.4702983944254542</v>
      </c>
      <c r="AO47" s="393">
        <f t="shared" si="11"/>
        <v>10.981513716955426</v>
      </c>
      <c r="AP47" s="393">
        <f t="shared" si="12"/>
        <v>17.287337329383192</v>
      </c>
      <c r="AQ47" s="393">
        <f t="shared" si="13"/>
        <v>31.299965660866107</v>
      </c>
      <c r="AR47" s="393"/>
      <c r="AS47" s="393">
        <f t="shared" si="14"/>
        <v>17.071879437956525</v>
      </c>
      <c r="AT47" s="393">
        <f t="shared" si="15"/>
        <v>12.789923409063057</v>
      </c>
      <c r="AU47" s="393">
        <f t="shared" si="16"/>
        <v>9.9072035298666918</v>
      </c>
      <c r="AV47" s="393">
        <f t="shared" si="17"/>
        <v>8.5011822993612771</v>
      </c>
      <c r="AW47" s="393">
        <f t="shared" si="18"/>
        <v>3.3611841617718565</v>
      </c>
      <c r="AX47" s="393">
        <f t="shared" si="19"/>
        <v>0.84714313466021252</v>
      </c>
      <c r="AY47" s="393">
        <f t="shared" si="20"/>
        <v>0.41335758977743076</v>
      </c>
      <c r="AZ47" s="393">
        <f t="shared" si="21"/>
        <v>0.27290528935239239</v>
      </c>
      <c r="BA47" s="393">
        <f t="shared" si="22"/>
        <v>1.9181143570393793</v>
      </c>
      <c r="BB47" s="393">
        <f t="shared" si="23"/>
        <v>5.6472661468422656</v>
      </c>
      <c r="BC47" s="393">
        <f t="shared" si="24"/>
        <v>11.310707506842695</v>
      </c>
      <c r="BD47" s="393">
        <f t="shared" si="25"/>
        <v>20.147411736084681</v>
      </c>
    </row>
    <row r="48" spans="1:56" ht="15">
      <c r="A48" s="389" t="str">
        <f>VLOOKUP(CONCATENATE($C48," - ",$B48),[2]ACHIEV!$B$12:$C$100,2,FALSE)</f>
        <v>Retro12Med</v>
      </c>
      <c r="B48" s="389" t="str">
        <f>'SC-Retro'!$C$7</f>
        <v>Retro</v>
      </c>
      <c r="C48" s="389" t="str">
        <f>'SC-Retro'!$C$8</f>
        <v>ResWx</v>
      </c>
      <c r="D48" s="389" t="s">
        <v>1171</v>
      </c>
      <c r="E48" s="389" t="str">
        <f>'SC-Retro'!$A$9</f>
        <v>HVAC</v>
      </c>
      <c r="F48" s="390">
        <f t="shared" si="1"/>
        <v>7.8341830715264196E-2</v>
      </c>
      <c r="G48" s="391">
        <f>'SC-Retro'!A203</f>
        <v>160.0762961366737</v>
      </c>
      <c r="H48" s="391">
        <f>'SC-Retro'!B203</f>
        <v>180.20354833551988</v>
      </c>
      <c r="I48" s="384" t="str">
        <f>'SC-Retro'!C203</f>
        <v>Single Family</v>
      </c>
      <c r="J48" s="384" t="str">
        <f>'SC-Retro'!D203</f>
        <v>ATTIC R19 - R49_DHP</v>
      </c>
      <c r="K48" s="392">
        <f>'SC-Retro'!E203</f>
        <v>2.1525496228570768E-3</v>
      </c>
      <c r="L48" s="392">
        <f>'SC-Retro'!F203</f>
        <v>2.1476616534222971E-3</v>
      </c>
      <c r="M48" s="392">
        <f>'SC-Retro'!G203</f>
        <v>2.1427847834971127E-3</v>
      </c>
      <c r="N48" s="392">
        <f>'SC-Retro'!H203</f>
        <v>2.1379189878769659E-3</v>
      </c>
      <c r="O48" s="392">
        <f>'SC-Retro'!I203</f>
        <v>2.1330642414145334E-3</v>
      </c>
      <c r="P48" s="392">
        <f>'SC-Retro'!J203</f>
        <v>1.9153984671176323E-3</v>
      </c>
      <c r="Q48" s="392">
        <f>'SC-Retro'!K203</f>
        <v>1.5288392128744047E-3</v>
      </c>
      <c r="R48" s="392">
        <f>'SC-Retro'!L203</f>
        <v>1.220294042701081E-3</v>
      </c>
      <c r="S48" s="392">
        <f>'SC-Retro'!M203</f>
        <v>9.7401841744497409E-4</v>
      </c>
      <c r="T48" s="392">
        <f>'SC-Retro'!N203</f>
        <v>7.7744530770802516E-4</v>
      </c>
      <c r="U48" s="392">
        <f>'SC-Retro'!O203</f>
        <v>6.2054391955208778E-4</v>
      </c>
      <c r="V48" s="392">
        <f>'SC-Retro'!P203</f>
        <v>4.9530784001809854E-4</v>
      </c>
      <c r="W48" s="392">
        <f>'SC-Retro'!Q203</f>
        <v>3.9534648338908053E-4</v>
      </c>
      <c r="X48" s="392">
        <f>'SC-Retro'!R203</f>
        <v>3.1555899038949472E-4</v>
      </c>
      <c r="Y48" s="392">
        <f>'SC-Retro'!S203</f>
        <v>2.5187393994760267E-4</v>
      </c>
      <c r="Z48" s="392">
        <f>'SC-Retro'!T203</f>
        <v>2.0104159145148723E-4</v>
      </c>
      <c r="AA48" s="392">
        <f>'SC-Retro'!U203</f>
        <v>1.3681439835907655E-6</v>
      </c>
      <c r="AB48" s="392">
        <f>'SC-Retro'!V203</f>
        <v>4.875132956482423E-7</v>
      </c>
      <c r="AC48" s="392">
        <f>'SC-Retro'!W203</f>
        <v>1.6582031576417109E-7</v>
      </c>
      <c r="AD48" s="392">
        <f>'SC-Retro'!X203</f>
        <v>5.3949056769433976E-8</v>
      </c>
      <c r="AE48" s="392">
        <f>'SC-Retro'!Y203</f>
        <v>1.8848545430855453E-2</v>
      </c>
      <c r="AF48" s="393">
        <f t="shared" si="2"/>
        <v>16.688821032040082</v>
      </c>
      <c r="AG48" s="393">
        <f t="shared" si="3"/>
        <v>12.176160588933939</v>
      </c>
      <c r="AH48" s="393">
        <f t="shared" si="4"/>
        <v>11.033476971602537</v>
      </c>
      <c r="AI48" s="393">
        <f t="shared" si="5"/>
        <v>8.9221409801725979</v>
      </c>
      <c r="AJ48" s="393">
        <f t="shared" si="6"/>
        <v>4.0353596089424535</v>
      </c>
      <c r="AK48" s="393">
        <f t="shared" si="7"/>
        <v>1.451151182047226</v>
      </c>
      <c r="AL48" s="393">
        <f t="shared" si="8"/>
        <v>3.2125956955481865</v>
      </c>
      <c r="AM48" s="393">
        <f t="shared" si="9"/>
        <v>3.1777013208144367</v>
      </c>
      <c r="AN48" s="393">
        <f t="shared" si="10"/>
        <v>3.2040742370570001</v>
      </c>
      <c r="AO48" s="393">
        <f t="shared" si="11"/>
        <v>7.0143385706911845</v>
      </c>
      <c r="AP48" s="393">
        <f t="shared" si="12"/>
        <v>10.742025437804745</v>
      </c>
      <c r="AQ48" s="393">
        <f t="shared" si="13"/>
        <v>19.449208453864028</v>
      </c>
      <c r="AR48" s="393"/>
      <c r="AS48" s="393">
        <f t="shared" si="14"/>
        <v>10.608143966853914</v>
      </c>
      <c r="AT48" s="393">
        <f t="shared" si="15"/>
        <v>7.947417233202783</v>
      </c>
      <c r="AU48" s="393">
        <f t="shared" si="16"/>
        <v>6.1561494582771656</v>
      </c>
      <c r="AV48" s="393">
        <f t="shared" si="17"/>
        <v>5.2998211209815791</v>
      </c>
      <c r="AW48" s="393">
        <f t="shared" si="18"/>
        <v>2.1732150494836979</v>
      </c>
      <c r="AX48" s="393">
        <f t="shared" si="19"/>
        <v>0.59361848189749722</v>
      </c>
      <c r="AY48" s="393">
        <f t="shared" si="20"/>
        <v>0.94775955778311238</v>
      </c>
      <c r="AZ48" s="393">
        <f t="shared" si="21"/>
        <v>0.6188757009368292</v>
      </c>
      <c r="BA48" s="393">
        <f t="shared" si="22"/>
        <v>1.522080257027193</v>
      </c>
      <c r="BB48" s="393">
        <f t="shared" si="23"/>
        <v>3.5546791231776198</v>
      </c>
      <c r="BC48" s="393">
        <f t="shared" si="24"/>
        <v>7.0282603643975055</v>
      </c>
      <c r="BD48" s="393">
        <f t="shared" si="25"/>
        <v>12.519221743136395</v>
      </c>
    </row>
    <row r="49" spans="1:56" ht="15">
      <c r="A49" s="389" t="str">
        <f>VLOOKUP(CONCATENATE($C49," - ",$B49),[2]ACHIEV!$B$12:$C$100,2,FALSE)</f>
        <v>Retro12Med</v>
      </c>
      <c r="B49" s="389" t="str">
        <f>'SC-Retro'!$C$7</f>
        <v>Retro</v>
      </c>
      <c r="C49" s="389" t="str">
        <f>'SC-Retro'!$C$8</f>
        <v>ResWx</v>
      </c>
      <c r="D49" s="389" t="s">
        <v>1171</v>
      </c>
      <c r="E49" s="389" t="str">
        <f>'SC-Retro'!$A$9</f>
        <v>HVAC</v>
      </c>
      <c r="F49" s="390">
        <f t="shared" si="1"/>
        <v>7.5268453028015742E-2</v>
      </c>
      <c r="G49" s="391">
        <f>'SC-Retro'!A204</f>
        <v>154.79735270397916</v>
      </c>
      <c r="H49" s="391">
        <f>'SC-Retro'!B204</f>
        <v>180.06047621908655</v>
      </c>
      <c r="I49" s="384" t="str">
        <f>'SC-Retro'!C204</f>
        <v>Single Family</v>
      </c>
      <c r="J49" s="384" t="str">
        <f>'SC-Retro'!D204</f>
        <v>ATTIC R19 - R49_Electric Zonal</v>
      </c>
      <c r="K49" s="392">
        <f>'SC-Retro'!E204</f>
        <v>2.3851714827287707E-2</v>
      </c>
      <c r="L49" s="392">
        <f>'SC-Retro'!F204</f>
        <v>2.3797552799242033E-2</v>
      </c>
      <c r="M49" s="392">
        <f>'SC-Retro'!G204</f>
        <v>2.3743513761316927E-2</v>
      </c>
      <c r="N49" s="392">
        <f>'SC-Retro'!H204</f>
        <v>2.3689597434228698E-2</v>
      </c>
      <c r="O49" s="392">
        <f>'SC-Retro'!I204</f>
        <v>2.3635803539327892E-2</v>
      </c>
      <c r="P49" s="392">
        <f>'SC-Retro'!J204</f>
        <v>2.1223918618737996E-2</v>
      </c>
      <c r="Q49" s="392">
        <f>'SC-Retro'!K204</f>
        <v>1.6940578992950123E-2</v>
      </c>
      <c r="R49" s="392">
        <f>'SC-Retro'!L204</f>
        <v>1.3521688514345013E-2</v>
      </c>
      <c r="S49" s="392">
        <f>'SC-Retro'!M204</f>
        <v>1.0792786973518303E-2</v>
      </c>
      <c r="T49" s="392">
        <f>'SC-Retro'!N204</f>
        <v>8.6146231317316239E-3</v>
      </c>
      <c r="U49" s="392">
        <f>'SC-Retro'!O204</f>
        <v>6.876048965281629E-3</v>
      </c>
      <c r="V49" s="392">
        <f>'SC-Retro'!P204</f>
        <v>5.4883479694888045E-3</v>
      </c>
      <c r="W49" s="392">
        <f>'SC-Retro'!Q204</f>
        <v>4.3807081052335351E-3</v>
      </c>
      <c r="X49" s="392">
        <f>'SC-Retro'!R204</f>
        <v>3.4966083801436219E-3</v>
      </c>
      <c r="Y49" s="392">
        <f>'SC-Retro'!S204</f>
        <v>2.7909346777714203E-3</v>
      </c>
      <c r="Z49" s="392">
        <f>'SC-Retro'!T204</f>
        <v>2.2276776603924733E-3</v>
      </c>
      <c r="AA49" s="392">
        <f>'SC-Retro'!U204</f>
        <v>1.5159966484750834E-5</v>
      </c>
      <c r="AB49" s="392">
        <f>'SC-Retro'!V204</f>
        <v>5.4019791129735752E-6</v>
      </c>
      <c r="AC49" s="392">
        <f>'SC-Retro'!W204</f>
        <v>1.837401954491628E-6</v>
      </c>
      <c r="AD49" s="392">
        <f>'SC-Retro'!X204</f>
        <v>5.9779226625110559E-7</v>
      </c>
      <c r="AE49" s="392">
        <f>'SC-Retro'!Y204</f>
        <v>0.20885471152540822</v>
      </c>
      <c r="AF49" s="393">
        <f t="shared" si="2"/>
        <v>16.034112688897405</v>
      </c>
      <c r="AG49" s="393">
        <f t="shared" si="3"/>
        <v>11.698485508728133</v>
      </c>
      <c r="AH49" s="393">
        <f t="shared" si="4"/>
        <v>10.600629773270652</v>
      </c>
      <c r="AI49" s="393">
        <f t="shared" si="5"/>
        <v>8.5796980107794063</v>
      </c>
      <c r="AJ49" s="393">
        <f t="shared" si="6"/>
        <v>3.9152277388127064</v>
      </c>
      <c r="AK49" s="393">
        <f t="shared" si="7"/>
        <v>1.436490520908263</v>
      </c>
      <c r="AL49" s="393">
        <f t="shared" si="8"/>
        <v>3.3757902379558558</v>
      </c>
      <c r="AM49" s="393">
        <f t="shared" si="9"/>
        <v>3.3427138659225704</v>
      </c>
      <c r="AN49" s="393">
        <f t="shared" si="10"/>
        <v>3.1980669316852413</v>
      </c>
      <c r="AO49" s="393">
        <f t="shared" si="11"/>
        <v>6.7609416600723877</v>
      </c>
      <c r="AP49" s="393">
        <f t="shared" si="12"/>
        <v>10.320611986076818</v>
      </c>
      <c r="AQ49" s="393">
        <f t="shared" si="13"/>
        <v>18.686209137266449</v>
      </c>
      <c r="AR49" s="393"/>
      <c r="AS49" s="393">
        <f t="shared" si="14"/>
        <v>10.191982732514829</v>
      </c>
      <c r="AT49" s="393">
        <f t="shared" si="15"/>
        <v>7.6356372483240254</v>
      </c>
      <c r="AU49" s="393">
        <f t="shared" si="16"/>
        <v>5.9146415408377377</v>
      </c>
      <c r="AV49" s="393">
        <f t="shared" si="17"/>
        <v>5.0938889724190561</v>
      </c>
      <c r="AW49" s="393">
        <f t="shared" si="18"/>
        <v>2.0976282360175946</v>
      </c>
      <c r="AX49" s="393">
        <f t="shared" si="19"/>
        <v>0.57800985292919593</v>
      </c>
      <c r="AY49" s="393">
        <f t="shared" si="20"/>
        <v>0.98950837817540049</v>
      </c>
      <c r="AZ49" s="393">
        <f t="shared" si="21"/>
        <v>0.64592509469353399</v>
      </c>
      <c r="BA49" s="393">
        <f t="shared" si="22"/>
        <v>1.5000908420959298</v>
      </c>
      <c r="BB49" s="393">
        <f t="shared" si="23"/>
        <v>3.4204342648008286</v>
      </c>
      <c r="BC49" s="393">
        <f t="shared" si="24"/>
        <v>6.7525392281041805</v>
      </c>
      <c r="BD49" s="393">
        <f t="shared" si="25"/>
        <v>12.028088252690987</v>
      </c>
    </row>
    <row r="50" spans="1:56" ht="15">
      <c r="A50" s="389" t="str">
        <f>VLOOKUP(CONCATENATE($C50," - ",$B50),[2]ACHIEV!$B$12:$C$100,2,FALSE)</f>
        <v>Retro12Med</v>
      </c>
      <c r="B50" s="389" t="str">
        <f>'SC-Retro'!$C$7</f>
        <v>Retro</v>
      </c>
      <c r="C50" s="389" t="str">
        <f>'SC-Retro'!$C$8</f>
        <v>ResWx</v>
      </c>
      <c r="D50" s="389" t="s">
        <v>1171</v>
      </c>
      <c r="E50" s="389" t="str">
        <f>'SC-Retro'!$A$9</f>
        <v>HVAC</v>
      </c>
      <c r="F50" s="390">
        <f t="shared" si="1"/>
        <v>6.5009942246611968E-2</v>
      </c>
      <c r="G50" s="391">
        <f>'SC-Retro'!A205</f>
        <v>132.85764643621707</v>
      </c>
      <c r="H50" s="391">
        <f>'SC-Retro'!B205</f>
        <v>183.33374014386877</v>
      </c>
      <c r="I50" s="384" t="str">
        <f>'SC-Retro'!C205</f>
        <v>Single Family</v>
      </c>
      <c r="J50" s="384" t="str">
        <f>'SC-Retro'!D205</f>
        <v>ATTIC R19 - R38_DHP</v>
      </c>
      <c r="K50" s="392">
        <f>'SC-Retro'!E205</f>
        <v>8.297454519802294E-4</v>
      </c>
      <c r="L50" s="392">
        <f>'SC-Retro'!F205</f>
        <v>8.2786128152261918E-4</v>
      </c>
      <c r="M50" s="392">
        <f>'SC-Retro'!G205</f>
        <v>8.259813896040536E-4</v>
      </c>
      <c r="N50" s="392">
        <f>'SC-Retro'!H205</f>
        <v>8.2410576650890615E-4</v>
      </c>
      <c r="O50" s="392">
        <f>'SC-Retro'!I205</f>
        <v>8.222344025436124E-4</v>
      </c>
      <c r="P50" s="392">
        <f>'SC-Retro'!J205</f>
        <v>7.3833055923295794E-4</v>
      </c>
      <c r="Q50" s="392">
        <f>'SC-Retro'!K205</f>
        <v>5.8932317760360359E-4</v>
      </c>
      <c r="R50" s="392">
        <f>'SC-Retro'!L205</f>
        <v>4.7038796284094722E-4</v>
      </c>
      <c r="S50" s="392">
        <f>'SC-Retro'!M205</f>
        <v>3.7545585172026914E-4</v>
      </c>
      <c r="T50" s="392">
        <f>'SC-Retro'!N205</f>
        <v>2.9968261887402517E-4</v>
      </c>
      <c r="U50" s="392">
        <f>'SC-Retro'!O205</f>
        <v>2.3920168414928923E-4</v>
      </c>
      <c r="V50" s="392">
        <f>'SC-Retro'!P205</f>
        <v>1.9092680755005117E-4</v>
      </c>
      <c r="W50" s="392">
        <f>'SC-Retro'!Q205</f>
        <v>1.5239460362036336E-4</v>
      </c>
      <c r="X50" s="392">
        <f>'SC-Retro'!R205</f>
        <v>1.2163883904317363E-4</v>
      </c>
      <c r="Y50" s="392">
        <f>'SC-Retro'!S205</f>
        <v>9.7090099073521407E-5</v>
      </c>
      <c r="Z50" s="392">
        <f>'SC-Retro'!T205</f>
        <v>7.7495702953564297E-5</v>
      </c>
      <c r="AA50" s="392">
        <f>'SC-Retro'!U205</f>
        <v>5.2737982715203872E-7</v>
      </c>
      <c r="AB50" s="392">
        <f>'SC-Retro'!V205</f>
        <v>1.8792223675062775E-7</v>
      </c>
      <c r="AC50" s="392">
        <f>'SC-Retro'!W205</f>
        <v>6.3918922653511356E-8</v>
      </c>
      <c r="AD50" s="392">
        <f>'SC-Retro'!X205</f>
        <v>2.0795796769435611E-8</v>
      </c>
      <c r="AE50" s="392">
        <f>'SC-Retro'!Y205</f>
        <v>7.2655676234477514E-3</v>
      </c>
      <c r="AF50" s="393">
        <f t="shared" si="2"/>
        <v>13.848786549298474</v>
      </c>
      <c r="AG50" s="393">
        <f t="shared" si="3"/>
        <v>10.104071981021979</v>
      </c>
      <c r="AH50" s="393">
        <f t="shared" si="4"/>
        <v>9.1558455317466478</v>
      </c>
      <c r="AI50" s="393">
        <f t="shared" si="5"/>
        <v>7.4039780466925933</v>
      </c>
      <c r="AJ50" s="393">
        <f t="shared" si="6"/>
        <v>3.3494959358666878</v>
      </c>
      <c r="AK50" s="393">
        <f t="shared" si="7"/>
        <v>1.2051492689005132</v>
      </c>
      <c r="AL50" s="393">
        <f t="shared" si="8"/>
        <v>2.6723829888208122</v>
      </c>
      <c r="AM50" s="393">
        <f t="shared" si="9"/>
        <v>2.6434368769158696</v>
      </c>
      <c r="AN50" s="393">
        <f t="shared" si="10"/>
        <v>2.6615053491927263</v>
      </c>
      <c r="AO50" s="393">
        <f t="shared" si="11"/>
        <v>5.8211564159959375</v>
      </c>
      <c r="AP50" s="393">
        <f t="shared" si="12"/>
        <v>8.9139920135573014</v>
      </c>
      <c r="AQ50" s="393">
        <f t="shared" si="13"/>
        <v>16.139422665823179</v>
      </c>
      <c r="AR50" s="393"/>
      <c r="AS50" s="393">
        <f t="shared" si="14"/>
        <v>8.8028939371536676</v>
      </c>
      <c r="AT50" s="393">
        <f t="shared" si="15"/>
        <v>6.5949586654167227</v>
      </c>
      <c r="AU50" s="393">
        <f t="shared" si="16"/>
        <v>5.1085214257845095</v>
      </c>
      <c r="AV50" s="393">
        <f t="shared" si="17"/>
        <v>4.3979639924201512</v>
      </c>
      <c r="AW50" s="393">
        <f t="shared" si="18"/>
        <v>1.8036033948656929</v>
      </c>
      <c r="AX50" s="393">
        <f t="shared" si="19"/>
        <v>0.49277135554978585</v>
      </c>
      <c r="AY50" s="393">
        <f t="shared" si="20"/>
        <v>0.78824584476951431</v>
      </c>
      <c r="AZ50" s="393">
        <f t="shared" si="21"/>
        <v>0.51471038487329379</v>
      </c>
      <c r="BA50" s="393">
        <f t="shared" si="22"/>
        <v>1.2639058592659598</v>
      </c>
      <c r="BB50" s="393">
        <f t="shared" si="23"/>
        <v>2.9498754363867401</v>
      </c>
      <c r="BC50" s="393">
        <f t="shared" si="24"/>
        <v>5.8322201078536917</v>
      </c>
      <c r="BD50" s="393">
        <f t="shared" si="25"/>
        <v>10.388752408044633</v>
      </c>
    </row>
    <row r="51" spans="1:56" ht="15">
      <c r="A51" s="389" t="str">
        <f>VLOOKUP(CONCATENATE($C51," - ",$B51),[2]ACHIEV!$B$12:$C$100,2,FALSE)</f>
        <v>Retro12Med</v>
      </c>
      <c r="B51" s="389" t="str">
        <f>'SC-Retro'!$C$7</f>
        <v>Retro</v>
      </c>
      <c r="C51" s="389" t="str">
        <f>'SC-Retro'!$C$8</f>
        <v>ResWx</v>
      </c>
      <c r="D51" s="389" t="s">
        <v>1171</v>
      </c>
      <c r="E51" s="389" t="str">
        <f>'SC-Retro'!$A$9</f>
        <v>HVAC</v>
      </c>
      <c r="F51" s="390">
        <f t="shared" si="1"/>
        <v>6.2456419423885523E-2</v>
      </c>
      <c r="G51" s="391">
        <f>'SC-Retro'!A206</f>
        <v>128.47289430492631</v>
      </c>
      <c r="H51" s="391">
        <f>'SC-Retro'!B206</f>
        <v>183.17801518961477</v>
      </c>
      <c r="I51" s="384" t="str">
        <f>'SC-Retro'!C206</f>
        <v>Single Family</v>
      </c>
      <c r="J51" s="384" t="str">
        <f>'SC-Retro'!D206</f>
        <v>ATTIC R19 - R38_Electric Zonal</v>
      </c>
      <c r="K51" s="392">
        <f>'SC-Retro'!E206</f>
        <v>9.193899839453349E-3</v>
      </c>
      <c r="L51" s="392">
        <f>'SC-Retro'!F206</f>
        <v>9.1730225036072977E-3</v>
      </c>
      <c r="M51" s="392">
        <f>'SC-Retro'!G206</f>
        <v>9.1521925756251187E-3</v>
      </c>
      <c r="N51" s="392">
        <f>'SC-Retro'!H206</f>
        <v>9.1314099478539169E-3</v>
      </c>
      <c r="O51" s="392">
        <f>'SC-Retro'!I206</f>
        <v>9.1106745128852629E-3</v>
      </c>
      <c r="P51" s="392">
        <f>'SC-Retro'!J206</f>
        <v>8.1809875471991565E-3</v>
      </c>
      <c r="Q51" s="392">
        <f>'SC-Retro'!K206</f>
        <v>6.5299282509173762E-3</v>
      </c>
      <c r="R51" s="392">
        <f>'SC-Retro'!L206</f>
        <v>5.2120801695544798E-3</v>
      </c>
      <c r="S51" s="392">
        <f>'SC-Retro'!M206</f>
        <v>4.1601957402895798E-3</v>
      </c>
      <c r="T51" s="392">
        <f>'SC-Retro'!N206</f>
        <v>3.3205990764725627E-3</v>
      </c>
      <c r="U51" s="392">
        <f>'SC-Retro'!O206</f>
        <v>2.650446977743148E-3</v>
      </c>
      <c r="V51" s="392">
        <f>'SC-Retro'!P206</f>
        <v>2.1155427138437408E-3</v>
      </c>
      <c r="W51" s="392">
        <f>'SC-Retro'!Q206</f>
        <v>1.6885910232047889E-3</v>
      </c>
      <c r="X51" s="392">
        <f>'SC-Retro'!R206</f>
        <v>1.3478052818263267E-3</v>
      </c>
      <c r="Y51" s="392">
        <f>'SC-Retro'!S206</f>
        <v>1.0757957686351107E-3</v>
      </c>
      <c r="Z51" s="392">
        <f>'SC-Retro'!T206</f>
        <v>8.5868229737531094E-4</v>
      </c>
      <c r="AA51" s="392">
        <f>'SC-Retro'!U206</f>
        <v>5.8435720215307596E-6</v>
      </c>
      <c r="AB51" s="392">
        <f>'SC-Retro'!V206</f>
        <v>2.0822509098036946E-6</v>
      </c>
      <c r="AC51" s="392">
        <f>'SC-Retro'!W206</f>
        <v>7.0824633183545463E-7</v>
      </c>
      <c r="AD51" s="392">
        <f>'SC-Retro'!X206</f>
        <v>2.3042545412394038E-7</v>
      </c>
      <c r="AE51" s="392">
        <f>'SC-Retro'!Y206</f>
        <v>8.0505293337052683E-2</v>
      </c>
      <c r="AF51" s="393">
        <f t="shared" si="2"/>
        <v>13.304820637337622</v>
      </c>
      <c r="AG51" s="393">
        <f t="shared" si="3"/>
        <v>9.7071945571329437</v>
      </c>
      <c r="AH51" s="393">
        <f t="shared" si="4"/>
        <v>8.7962134551946747</v>
      </c>
      <c r="AI51" s="393">
        <f t="shared" si="5"/>
        <v>7.1194681412899321</v>
      </c>
      <c r="AJ51" s="393">
        <f t="shared" si="6"/>
        <v>3.2497325393714145</v>
      </c>
      <c r="AK51" s="393">
        <f t="shared" si="7"/>
        <v>1.1930220574890353</v>
      </c>
      <c r="AL51" s="393">
        <f t="shared" si="8"/>
        <v>2.8083405269943138</v>
      </c>
      <c r="AM51" s="393">
        <f t="shared" si="9"/>
        <v>2.780905476574421</v>
      </c>
      <c r="AN51" s="393">
        <f t="shared" si="10"/>
        <v>2.6566660334095333</v>
      </c>
      <c r="AO51" s="393">
        <f t="shared" si="11"/>
        <v>5.6106486510066045</v>
      </c>
      <c r="AP51" s="393">
        <f t="shared" si="12"/>
        <v>8.5638596913061438</v>
      </c>
      <c r="AQ51" s="393">
        <f t="shared" si="13"/>
        <v>15.505482952933253</v>
      </c>
      <c r="AR51" s="393"/>
      <c r="AS51" s="393">
        <f t="shared" si="14"/>
        <v>8.4571254316335196</v>
      </c>
      <c r="AT51" s="393">
        <f t="shared" si="15"/>
        <v>6.3359155577764179</v>
      </c>
      <c r="AU51" s="393">
        <f t="shared" si="16"/>
        <v>4.9078640247727803</v>
      </c>
      <c r="AV51" s="393">
        <f t="shared" si="17"/>
        <v>4.2268673141511242</v>
      </c>
      <c r="AW51" s="393">
        <f t="shared" si="18"/>
        <v>1.7408141881275352</v>
      </c>
      <c r="AX51" s="393">
        <f t="shared" si="19"/>
        <v>0.47981263451678619</v>
      </c>
      <c r="AY51" s="393">
        <f t="shared" si="20"/>
        <v>0.82303309645005041</v>
      </c>
      <c r="AZ51" s="393">
        <f t="shared" si="21"/>
        <v>0.53724956239363364</v>
      </c>
      <c r="BA51" s="393">
        <f t="shared" si="22"/>
        <v>1.2456837677476147</v>
      </c>
      <c r="BB51" s="393">
        <f t="shared" si="23"/>
        <v>2.8383443974842621</v>
      </c>
      <c r="BC51" s="393">
        <f t="shared" si="24"/>
        <v>5.6031365763520986</v>
      </c>
      <c r="BD51" s="393">
        <f t="shared" si="25"/>
        <v>9.9806930334806001</v>
      </c>
    </row>
    <row r="52" spans="1:56" ht="15">
      <c r="A52" s="389" t="str">
        <f>VLOOKUP(CONCATENATE($C52," - ",$B52),[2]ACHIEV!$B$12:$C$100,2,FALSE)</f>
        <v>Retro12Med</v>
      </c>
      <c r="B52" s="389" t="str">
        <f>'SC-Retro'!$C$7</f>
        <v>Retro</v>
      </c>
      <c r="C52" s="389" t="str">
        <f>'SC-Retro'!$C$8</f>
        <v>ResWx</v>
      </c>
      <c r="D52" s="389" t="s">
        <v>1171</v>
      </c>
      <c r="E52" s="389" t="str">
        <f>'SC-Retro'!$A$9</f>
        <v>HVAC</v>
      </c>
      <c r="F52" s="390">
        <f t="shared" si="1"/>
        <v>0.19853142158497575</v>
      </c>
      <c r="G52" s="391">
        <f>'SC-Retro'!A207</f>
        <v>439.06031889213284</v>
      </c>
      <c r="H52" s="391">
        <f>'SC-Retro'!B207</f>
        <v>167.04548665953993</v>
      </c>
      <c r="I52" s="384" t="str">
        <f>'SC-Retro'!C207</f>
        <v>Single Family</v>
      </c>
      <c r="J52" s="384" t="str">
        <f>'SC-Retro'!D207</f>
        <v>WINDOW CL30 Prime Window Replacement of Double Pane Base_Electric Zonal</v>
      </c>
      <c r="K52" s="392">
        <f>'SC-Retro'!E207</f>
        <v>2.8435545130873101</v>
      </c>
      <c r="L52" s="392">
        <f>'SC-Retro'!F207</f>
        <v>2.8370974226683439</v>
      </c>
      <c r="M52" s="392">
        <f>'SC-Retro'!G207</f>
        <v>2.8306549948895641</v>
      </c>
      <c r="N52" s="392">
        <f>'SC-Retro'!H207</f>
        <v>2.8242271964553218</v>
      </c>
      <c r="O52" s="392">
        <f>'SC-Retro'!I207</f>
        <v>2.8178139941455767</v>
      </c>
      <c r="P52" s="392">
        <f>'SC-Retro'!J207</f>
        <v>2.5302738193341496</v>
      </c>
      <c r="Q52" s="392">
        <f>'SC-Retro'!K207</f>
        <v>2.0196224966854177</v>
      </c>
      <c r="R52" s="392">
        <f>'SC-Retro'!L207</f>
        <v>1.6120291005466001</v>
      </c>
      <c r="S52" s="392">
        <f>'SC-Retro'!M207</f>
        <v>1.2866948280056976</v>
      </c>
      <c r="T52" s="392">
        <f>'SC-Retro'!N207</f>
        <v>1.0270184203593122</v>
      </c>
      <c r="U52" s="392">
        <f>'SC-Retro'!O207</f>
        <v>0.81974902890700485</v>
      </c>
      <c r="V52" s="392">
        <f>'SC-Retro'!P207</f>
        <v>0.6543100465119952</v>
      </c>
      <c r="W52" s="392">
        <f>'SC-Retro'!Q207</f>
        <v>0.52225940119423686</v>
      </c>
      <c r="X52" s="392">
        <f>'SC-Retro'!R207</f>
        <v>0.41685877144905259</v>
      </c>
      <c r="Y52" s="392">
        <f>'SC-Retro'!S207</f>
        <v>0.33272974107628395</v>
      </c>
      <c r="Z52" s="392">
        <f>'SC-Retro'!T207</f>
        <v>0.26557934768135616</v>
      </c>
      <c r="AA52" s="392">
        <f>'SC-Retro'!U207</f>
        <v>1.8073413768408552E-3</v>
      </c>
      <c r="AB52" s="392">
        <f>'SC-Retro'!V207</f>
        <v>6.4401332137032545E-4</v>
      </c>
      <c r="AC52" s="392">
        <f>'SC-Retro'!W207</f>
        <v>2.1905144589741201E-4</v>
      </c>
      <c r="AD52" s="392">
        <f>'SC-Retro'!X207</f>
        <v>7.1267617816824318E-5</v>
      </c>
      <c r="AE52" s="392">
        <f>'SC-Retro'!Y207</f>
        <v>24.899247783148041</v>
      </c>
      <c r="AF52" s="393">
        <f t="shared" si="2"/>
        <v>42.292289238303461</v>
      </c>
      <c r="AG52" s="393">
        <f t="shared" si="3"/>
        <v>30.856446027588319</v>
      </c>
      <c r="AH52" s="393">
        <f t="shared" si="4"/>
        <v>27.960692878862574</v>
      </c>
      <c r="AI52" s="393">
        <f t="shared" si="5"/>
        <v>22.863012580170142</v>
      </c>
      <c r="AJ52" s="393">
        <f t="shared" si="6"/>
        <v>11.500228817519057</v>
      </c>
      <c r="AK52" s="393">
        <f t="shared" si="7"/>
        <v>5.0879507409106015</v>
      </c>
      <c r="AL52" s="393">
        <f t="shared" si="8"/>
        <v>17.792645947224841</v>
      </c>
      <c r="AM52" s="393">
        <f t="shared" si="9"/>
        <v>17.719203524574841</v>
      </c>
      <c r="AN52" s="393">
        <f t="shared" si="10"/>
        <v>12.113676147764989</v>
      </c>
      <c r="AO52" s="393">
        <f t="shared" si="11"/>
        <v>18.502246032939613</v>
      </c>
      <c r="AP52" s="393">
        <f t="shared" si="12"/>
        <v>27.222105500960982</v>
      </c>
      <c r="AQ52" s="393">
        <f t="shared" si="13"/>
        <v>49.287576864039487</v>
      </c>
      <c r="AR52" s="393"/>
      <c r="AS52" s="393">
        <f t="shared" si="14"/>
        <v>26.882827257025625</v>
      </c>
      <c r="AT52" s="393">
        <f t="shared" si="15"/>
        <v>20.14009663587375</v>
      </c>
      <c r="AU52" s="393">
        <f t="shared" si="16"/>
        <v>15.600721763618573</v>
      </c>
      <c r="AV52" s="393">
        <f t="shared" si="17"/>
        <v>13.496770206491167</v>
      </c>
      <c r="AW52" s="393">
        <f t="shared" si="18"/>
        <v>5.8299516443180224</v>
      </c>
      <c r="AX52" s="393">
        <f t="shared" si="19"/>
        <v>1.7605833582852941</v>
      </c>
      <c r="AY52" s="393">
        <f t="shared" si="20"/>
        <v>5.0356473223544951</v>
      </c>
      <c r="AZ52" s="393">
        <f t="shared" si="21"/>
        <v>3.2811403743270882</v>
      </c>
      <c r="BA52" s="393">
        <f t="shared" si="22"/>
        <v>5.115992164496018</v>
      </c>
      <c r="BB52" s="393">
        <f t="shared" si="23"/>
        <v>9.1818949753947372</v>
      </c>
      <c r="BC52" s="393">
        <f t="shared" si="24"/>
        <v>17.810797994810059</v>
      </c>
      <c r="BD52" s="393">
        <f t="shared" si="25"/>
        <v>31.725820894279121</v>
      </c>
    </row>
    <row r="53" spans="1:56" ht="15">
      <c r="A53" s="389" t="str">
        <f>VLOOKUP(CONCATENATE($C53," - ",$B53),[2]ACHIEV!$B$12:$C$100,2,FALSE)</f>
        <v>Retro12Med</v>
      </c>
      <c r="B53" s="389" t="str">
        <f>'SC-Retro'!$C$7</f>
        <v>Retro</v>
      </c>
      <c r="C53" s="389" t="str">
        <f>'SC-Retro'!$C$8</f>
        <v>ResWx</v>
      </c>
      <c r="D53" s="389" t="s">
        <v>1171</v>
      </c>
      <c r="E53" s="389" t="str">
        <f>'SC-Retro'!$A$9</f>
        <v>HVAC</v>
      </c>
      <c r="F53" s="390">
        <f t="shared" si="1"/>
        <v>0.23241708303730066</v>
      </c>
      <c r="G53" s="391">
        <f>'SC-Retro'!A208</f>
        <v>507.58277006475492</v>
      </c>
      <c r="H53" s="391">
        <f>'SC-Retro'!B208</f>
        <v>170.09200247778341</v>
      </c>
      <c r="I53" s="384" t="str">
        <f>'SC-Retro'!C208</f>
        <v>Single Family</v>
      </c>
      <c r="J53" s="384" t="str">
        <f>'SC-Retro'!D208</f>
        <v>WINDOW CL22 Prime Window Replacement of Double Pane Base_Electric Zonal</v>
      </c>
      <c r="K53" s="392">
        <f>'SC-Retro'!E208</f>
        <v>0.82183427565540712</v>
      </c>
      <c r="L53" s="392">
        <f>'SC-Retro'!F208</f>
        <v>0.81996806974907088</v>
      </c>
      <c r="M53" s="392">
        <f>'SC-Retro'!G208</f>
        <v>0.81810610158821173</v>
      </c>
      <c r="N53" s="392">
        <f>'SC-Retro'!H208</f>
        <v>0.81624836154983682</v>
      </c>
      <c r="O53" s="392">
        <f>'SC-Retro'!I208</f>
        <v>0.8143948400328046</v>
      </c>
      <c r="P53" s="392">
        <f>'SC-Retro'!J208</f>
        <v>0.73129097471199855</v>
      </c>
      <c r="Q53" s="392">
        <f>'SC-Retro'!K208</f>
        <v>0.58370429827235804</v>
      </c>
      <c r="R53" s="392">
        <f>'SC-Retro'!L208</f>
        <v>0.46590306677284876</v>
      </c>
      <c r="S53" s="392">
        <f>'SC-Retro'!M208</f>
        <v>0.37187608224029595</v>
      </c>
      <c r="T53" s="392">
        <f>'SC-Retro'!N208</f>
        <v>0.29682530638892657</v>
      </c>
      <c r="U53" s="392">
        <f>'SC-Retro'!O208</f>
        <v>0.23692102482662203</v>
      </c>
      <c r="V53" s="392">
        <f>'SC-Retro'!P208</f>
        <v>0.18910642319475396</v>
      </c>
      <c r="W53" s="392">
        <f>'SC-Retro'!Q208</f>
        <v>0.15094160309193047</v>
      </c>
      <c r="X53" s="392">
        <f>'SC-Retro'!R208</f>
        <v>0.12047907817757246</v>
      </c>
      <c r="Y53" s="392">
        <f>'SC-Retro'!S208</f>
        <v>9.6164397231671028E-2</v>
      </c>
      <c r="Z53" s="392">
        <f>'SC-Retro'!T208</f>
        <v>7.6756823133230789E-2</v>
      </c>
      <c r="AA53" s="392">
        <f>'SC-Retro'!U208</f>
        <v>5.2235154433012405E-4</v>
      </c>
      <c r="AB53" s="392">
        <f>'SC-Retro'!V208</f>
        <v>1.8613049936087623E-4</v>
      </c>
      <c r="AC53" s="392">
        <f>'SC-Retro'!W208</f>
        <v>6.3309490126466119E-5</v>
      </c>
      <c r="AD53" s="392">
        <f>'SC-Retro'!X208</f>
        <v>2.0597520039306461E-5</v>
      </c>
      <c r="AE53" s="392">
        <f>'SC-Retro'!Y208</f>
        <v>7.1962943464061748</v>
      </c>
      <c r="AF53" s="393">
        <f t="shared" si="2"/>
        <v>49.51080499632193</v>
      </c>
      <c r="AG53" s="393">
        <f t="shared" si="3"/>
        <v>36.123073724933739</v>
      </c>
      <c r="AH53" s="393">
        <f t="shared" si="4"/>
        <v>32.73306878440674</v>
      </c>
      <c r="AI53" s="393">
        <f t="shared" si="5"/>
        <v>26.716738002665327</v>
      </c>
      <c r="AJ53" s="393">
        <f t="shared" si="6"/>
        <v>13.218345549303066</v>
      </c>
      <c r="AK53" s="393">
        <f t="shared" si="7"/>
        <v>5.6853759809485176</v>
      </c>
      <c r="AL53" s="393">
        <f t="shared" si="8"/>
        <v>18.975221924733152</v>
      </c>
      <c r="AM53" s="393">
        <f t="shared" si="9"/>
        <v>18.886365037683277</v>
      </c>
      <c r="AN53" s="393">
        <f t="shared" si="10"/>
        <v>13.413896496495422</v>
      </c>
      <c r="AO53" s="393">
        <f t="shared" si="11"/>
        <v>21.520614235064208</v>
      </c>
      <c r="AP53" s="393">
        <f t="shared" si="12"/>
        <v>31.868418128255659</v>
      </c>
      <c r="AQ53" s="393">
        <f t="shared" si="13"/>
        <v>57.700059533466337</v>
      </c>
      <c r="AR53" s="393"/>
      <c r="AS53" s="393">
        <f t="shared" si="14"/>
        <v>31.471231329491303</v>
      </c>
      <c r="AT53" s="393">
        <f t="shared" si="15"/>
        <v>23.57764063153903</v>
      </c>
      <c r="AU53" s="393">
        <f t="shared" si="16"/>
        <v>18.263477975574808</v>
      </c>
      <c r="AV53" s="393">
        <f t="shared" si="17"/>
        <v>15.787715364525694</v>
      </c>
      <c r="AW53" s="393">
        <f t="shared" si="18"/>
        <v>6.7630255273351381</v>
      </c>
      <c r="AX53" s="393">
        <f t="shared" si="19"/>
        <v>2.0118489981177272</v>
      </c>
      <c r="AY53" s="393">
        <f t="shared" si="20"/>
        <v>5.3891005831228744</v>
      </c>
      <c r="AZ53" s="393">
        <f t="shared" si="21"/>
        <v>3.5120929263606242</v>
      </c>
      <c r="BA53" s="393">
        <f t="shared" si="22"/>
        <v>5.7473503014972769</v>
      </c>
      <c r="BB53" s="393">
        <f t="shared" si="23"/>
        <v>10.715695582133566</v>
      </c>
      <c r="BC53" s="393">
        <f t="shared" si="24"/>
        <v>20.850773562554416</v>
      </c>
      <c r="BD53" s="393">
        <f t="shared" si="25"/>
        <v>37.140834888225129</v>
      </c>
    </row>
    <row r="54" spans="1:56" ht="15">
      <c r="A54" s="389" t="str">
        <f>VLOOKUP(CONCATENATE($C54," - ",$B54),[2]ACHIEV!$B$12:$C$100,2,FALSE)</f>
        <v>Retro12Med</v>
      </c>
      <c r="B54" s="389" t="str">
        <f>'SC-Retro'!$C$7</f>
        <v>Retro</v>
      </c>
      <c r="C54" s="389" t="str">
        <f>'SC-Retro'!$C$8</f>
        <v>ResWx</v>
      </c>
      <c r="D54" s="389" t="s">
        <v>1171</v>
      </c>
      <c r="E54" s="389" t="str">
        <f>'SC-Retro'!$A$9</f>
        <v>HVAC</v>
      </c>
      <c r="F54" s="390">
        <f t="shared" si="1"/>
        <v>0.19965122834119201</v>
      </c>
      <c r="G54" s="391">
        <f>'SC-Retro'!A209</f>
        <v>437.59839445869</v>
      </c>
      <c r="H54" s="391">
        <f>'SC-Retro'!B209</f>
        <v>174.54591942439049</v>
      </c>
      <c r="I54" s="384" t="str">
        <f>'SC-Retro'!C209</f>
        <v>Single Family</v>
      </c>
      <c r="J54" s="384" t="str">
        <f>'SC-Retro'!D209</f>
        <v>WINDOW CL30 Prime Window Replacement of Double Pane Base_DHP</v>
      </c>
      <c r="K54" s="392">
        <f>'SC-Retro'!E209</f>
        <v>0.24733362112558571</v>
      </c>
      <c r="L54" s="392">
        <f>'SC-Retro'!F209</f>
        <v>0.24677198056342739</v>
      </c>
      <c r="M54" s="392">
        <f>'SC-Retro'!G209</f>
        <v>0.24621161536415581</v>
      </c>
      <c r="N54" s="392">
        <f>'SC-Retro'!H209</f>
        <v>0.24565252263170093</v>
      </c>
      <c r="O54" s="392">
        <f>'SC-Retro'!I209</f>
        <v>0.24509469947656898</v>
      </c>
      <c r="P54" s="392">
        <f>'SC-Retro'!J209</f>
        <v>0.22008432871424458</v>
      </c>
      <c r="Q54" s="392">
        <f>'SC-Retro'!K209</f>
        <v>0.17566765226862491</v>
      </c>
      <c r="R54" s="392">
        <f>'SC-Retro'!L209</f>
        <v>0.14021499955881783</v>
      </c>
      <c r="S54" s="392">
        <f>'SC-Retro'!M209</f>
        <v>0.11191728156767022</v>
      </c>
      <c r="T54" s="392">
        <f>'SC-Retro'!N209</f>
        <v>8.9330513517870483E-2</v>
      </c>
      <c r="U54" s="392">
        <f>'SC-Retro'!O209</f>
        <v>7.1302130766475139E-2</v>
      </c>
      <c r="V54" s="392">
        <f>'SC-Retro'!P209</f>
        <v>5.6912175376921718E-2</v>
      </c>
      <c r="W54" s="392">
        <f>'SC-Retro'!Q209</f>
        <v>4.5426352218584834E-2</v>
      </c>
      <c r="X54" s="392">
        <f>'SC-Retro'!R209</f>
        <v>3.6258559125886318E-2</v>
      </c>
      <c r="Y54" s="392">
        <f>'SC-Retro'!S209</f>
        <v>2.8940979094234445E-2</v>
      </c>
      <c r="Z54" s="392">
        <f>'SC-Retro'!T209</f>
        <v>2.3100208368041185E-2</v>
      </c>
      <c r="AA54" s="392">
        <f>'SC-Retro'!U209</f>
        <v>1.5720334717930729E-4</v>
      </c>
      <c r="AB54" s="392">
        <f>'SC-Retro'!V209</f>
        <v>5.60165616992859E-5</v>
      </c>
      <c r="AC54" s="392">
        <f>'SC-Retro'!W209</f>
        <v>1.9053191024560013E-5</v>
      </c>
      <c r="AD54" s="392">
        <f>'SC-Retro'!X209</f>
        <v>6.1988887156911152E-6</v>
      </c>
      <c r="AE54" s="392">
        <f>'SC-Retro'!Y209</f>
        <v>2.1657475139531912</v>
      </c>
      <c r="AF54" s="393">
        <f t="shared" si="2"/>
        <v>42.530836823601611</v>
      </c>
      <c r="AG54" s="393">
        <f t="shared" si="3"/>
        <v>31.030490299566324</v>
      </c>
      <c r="AH54" s="393">
        <f t="shared" si="4"/>
        <v>28.118403797085342</v>
      </c>
      <c r="AI54" s="393">
        <f t="shared" si="5"/>
        <v>22.96216070254015</v>
      </c>
      <c r="AJ54" s="393">
        <f t="shared" si="6"/>
        <v>11.414875394638457</v>
      </c>
      <c r="AK54" s="393">
        <f t="shared" si="7"/>
        <v>4.9503285313814569</v>
      </c>
      <c r="AL54" s="393">
        <f t="shared" si="8"/>
        <v>16.754942340398774</v>
      </c>
      <c r="AM54" s="393">
        <f t="shared" si="9"/>
        <v>16.679318587873169</v>
      </c>
      <c r="AN54" s="393">
        <f t="shared" si="10"/>
        <v>11.711041067622972</v>
      </c>
      <c r="AO54" s="393">
        <f t="shared" si="11"/>
        <v>18.5209134612398</v>
      </c>
      <c r="AP54" s="393">
        <f t="shared" si="12"/>
        <v>27.375650453266481</v>
      </c>
      <c r="AQ54" s="393">
        <f t="shared" si="13"/>
        <v>49.565581026449898</v>
      </c>
      <c r="AR54" s="393"/>
      <c r="AS54" s="393">
        <f t="shared" si="14"/>
        <v>27.034458527019464</v>
      </c>
      <c r="AT54" s="393">
        <f t="shared" si="15"/>
        <v>20.253695864165412</v>
      </c>
      <c r="AU54" s="393">
        <f t="shared" si="16"/>
        <v>15.688716870354222</v>
      </c>
      <c r="AV54" s="393">
        <f t="shared" si="17"/>
        <v>13.565100348953774</v>
      </c>
      <c r="AW54" s="393">
        <f t="shared" si="18"/>
        <v>5.8247883596699763</v>
      </c>
      <c r="AX54" s="393">
        <f t="shared" si="19"/>
        <v>1.7402971567569372</v>
      </c>
      <c r="AY54" s="393">
        <f t="shared" si="20"/>
        <v>4.7534733247106438</v>
      </c>
      <c r="AZ54" s="393">
        <f t="shared" si="21"/>
        <v>3.0976787342833823</v>
      </c>
      <c r="BA54" s="393">
        <f t="shared" si="22"/>
        <v>4.9964166933627521</v>
      </c>
      <c r="BB54" s="393">
        <f t="shared" si="23"/>
        <v>9.213198332909176</v>
      </c>
      <c r="BC54" s="393">
        <f t="shared" si="24"/>
        <v>17.911258928242976</v>
      </c>
      <c r="BD54" s="393">
        <f t="shared" si="25"/>
        <v>31.904768832596854</v>
      </c>
    </row>
    <row r="55" spans="1:56" ht="15">
      <c r="A55" s="389" t="str">
        <f>VLOOKUP(CONCATENATE($C55," - ",$B55),[2]ACHIEV!$B$12:$C$100,2,FALSE)</f>
        <v>Retro12Med</v>
      </c>
      <c r="B55" s="389" t="str">
        <f>'SC-Retro'!$C$7</f>
        <v>Retro</v>
      </c>
      <c r="C55" s="389" t="str">
        <f>'SC-Retro'!$C$8</f>
        <v>ResWx</v>
      </c>
      <c r="D55" s="389" t="s">
        <v>1171</v>
      </c>
      <c r="E55" s="389" t="str">
        <f>'SC-Retro'!$A$9</f>
        <v>HVAC</v>
      </c>
      <c r="F55" s="390">
        <f t="shared" si="1"/>
        <v>0.23387561594000897</v>
      </c>
      <c r="G55" s="391">
        <f>'SC-Retro'!A210</f>
        <v>506.57122802411897</v>
      </c>
      <c r="H55" s="391">
        <f>'SC-Retro'!B210</f>
        <v>177.4555820264554</v>
      </c>
      <c r="I55" s="384" t="str">
        <f>'SC-Retro'!C210</f>
        <v>Single Family</v>
      </c>
      <c r="J55" s="384" t="str">
        <f>'SC-Retro'!D210</f>
        <v>WINDOW CL22 Prime Window Replacement of Double Pane Base_DHP</v>
      </c>
      <c r="K55" s="392">
        <f>'SC-Retro'!E210</f>
        <v>7.1579385214739361E-2</v>
      </c>
      <c r="L55" s="392">
        <f>'SC-Retro'!F210</f>
        <v>7.141684408519941E-2</v>
      </c>
      <c r="M55" s="392">
        <f>'SC-Retro'!G210</f>
        <v>7.1254672051017195E-2</v>
      </c>
      <c r="N55" s="392">
        <f>'SC-Retro'!H210</f>
        <v>7.1092868274057835E-2</v>
      </c>
      <c r="O55" s="392">
        <f>'SC-Retro'!I210</f>
        <v>7.093143191808983E-2</v>
      </c>
      <c r="P55" s="392">
        <f>'SC-Retro'!J210</f>
        <v>6.3693325933902298E-2</v>
      </c>
      <c r="Q55" s="392">
        <f>'SC-Retro'!K210</f>
        <v>5.0838953856257731E-2</v>
      </c>
      <c r="R55" s="392">
        <f>'SC-Retro'!L210</f>
        <v>4.0578807768350302E-2</v>
      </c>
      <c r="S55" s="392">
        <f>'SC-Retro'!M210</f>
        <v>3.2389329736336479E-2</v>
      </c>
      <c r="T55" s="392">
        <f>'SC-Retro'!N210</f>
        <v>2.585262452159471E-2</v>
      </c>
      <c r="U55" s="392">
        <f>'SC-Retro'!O210</f>
        <v>2.0635135092182896E-2</v>
      </c>
      <c r="V55" s="392">
        <f>'SC-Retro'!P210</f>
        <v>1.6470621770604363E-2</v>
      </c>
      <c r="W55" s="392">
        <f>'SC-Retro'!Q210</f>
        <v>1.3146576472526924E-2</v>
      </c>
      <c r="X55" s="392">
        <f>'SC-Retro'!R210</f>
        <v>1.049337877799234E-2</v>
      </c>
      <c r="Y55" s="392">
        <f>'SC-Retro'!S210</f>
        <v>8.3756404877364625E-3</v>
      </c>
      <c r="Z55" s="392">
        <f>'SC-Retro'!T210</f>
        <v>6.6852969919410496E-3</v>
      </c>
      <c r="AA55" s="392">
        <f>'SC-Retro'!U210</f>
        <v>4.5495306677616967E-5</v>
      </c>
      <c r="AB55" s="392">
        <f>'SC-Retro'!V210</f>
        <v>1.6211427423538492E-5</v>
      </c>
      <c r="AC55" s="392">
        <f>'SC-Retro'!W210</f>
        <v>5.5140732331918056E-6</v>
      </c>
      <c r="AD55" s="392">
        <f>'SC-Retro'!X210</f>
        <v>1.7939843409257183E-6</v>
      </c>
      <c r="AE55" s="392">
        <f>'SC-Retro'!Y210</f>
        <v>0.62677639567814913</v>
      </c>
      <c r="AF55" s="393">
        <f t="shared" si="2"/>
        <v>49.821509946160411</v>
      </c>
      <c r="AG55" s="393">
        <f t="shared" si="3"/>
        <v>36.349763996088711</v>
      </c>
      <c r="AH55" s="393">
        <f t="shared" si="4"/>
        <v>32.938485086877968</v>
      </c>
      <c r="AI55" s="393">
        <f t="shared" si="5"/>
        <v>26.852633038716654</v>
      </c>
      <c r="AJ55" s="393">
        <f t="shared" si="6"/>
        <v>13.141219358659573</v>
      </c>
      <c r="AK55" s="393">
        <f t="shared" si="7"/>
        <v>5.5438194253125328</v>
      </c>
      <c r="AL55" s="393">
        <f t="shared" si="8"/>
        <v>17.881554855640751</v>
      </c>
      <c r="AM55" s="393">
        <f t="shared" si="9"/>
        <v>17.790257303427932</v>
      </c>
      <c r="AN55" s="393">
        <f t="shared" si="10"/>
        <v>12.996207438106888</v>
      </c>
      <c r="AO55" s="393">
        <f t="shared" si="11"/>
        <v>21.56434968705581</v>
      </c>
      <c r="AP55" s="393">
        <f t="shared" si="12"/>
        <v>32.068408317401378</v>
      </c>
      <c r="AQ55" s="393">
        <f t="shared" si="13"/>
        <v>58.062156132468409</v>
      </c>
      <c r="AR55" s="393"/>
      <c r="AS55" s="393">
        <f t="shared" si="14"/>
        <v>31.668728973739082</v>
      </c>
      <c r="AT55" s="393">
        <f t="shared" si="15"/>
        <v>23.7256020644076</v>
      </c>
      <c r="AU55" s="393">
        <f t="shared" si="16"/>
        <v>18.378090392171522</v>
      </c>
      <c r="AV55" s="393">
        <f t="shared" si="17"/>
        <v>15.878481693599312</v>
      </c>
      <c r="AW55" s="393">
        <f t="shared" si="18"/>
        <v>6.7649232626953726</v>
      </c>
      <c r="AX55" s="393">
        <f t="shared" si="19"/>
        <v>1.9922747349644436</v>
      </c>
      <c r="AY55" s="393">
        <f t="shared" si="20"/>
        <v>5.0919613116892304</v>
      </c>
      <c r="AZ55" s="393">
        <f t="shared" si="21"/>
        <v>3.3189103643989286</v>
      </c>
      <c r="BA55" s="393">
        <f t="shared" si="22"/>
        <v>5.6252451524480342</v>
      </c>
      <c r="BB55" s="393">
        <f t="shared" si="23"/>
        <v>10.761110823705804</v>
      </c>
      <c r="BC55" s="393">
        <f t="shared" si="24"/>
        <v>20.981622547020095</v>
      </c>
      <c r="BD55" s="393">
        <f t="shared" si="25"/>
        <v>37.373912117362536</v>
      </c>
    </row>
    <row r="56" spans="1:56" ht="15">
      <c r="A56" s="389" t="str">
        <f>VLOOKUP(CONCATENATE($C56," - ",$B56),[2]ACHIEV!$B$12:$C$100,2,FALSE)</f>
        <v>Retro12Med</v>
      </c>
      <c r="B56" s="389" t="str">
        <f>'SC-Retro'!$C$7</f>
        <v>Retro</v>
      </c>
      <c r="C56" s="389" t="str">
        <f>'SC-Retro'!$C$8</f>
        <v>ResWx</v>
      </c>
      <c r="D56" s="389" t="s">
        <v>1171</v>
      </c>
      <c r="E56" s="389" t="str">
        <f>'SC-Retro'!$A$9</f>
        <v>HVAC</v>
      </c>
      <c r="F56" s="390">
        <f t="shared" si="1"/>
        <v>8.830196857402918E-2</v>
      </c>
      <c r="G56" s="391">
        <f>'SC-Retro'!A211</f>
        <v>156.57714680994795</v>
      </c>
      <c r="H56" s="391">
        <f>'SC-Retro'!B211</f>
        <v>292.06843657065644</v>
      </c>
      <c r="I56" s="384" t="str">
        <f>'SC-Retro'!C211</f>
        <v>Single Family</v>
      </c>
      <c r="J56" s="384" t="str">
        <f>'SC-Retro'!D211</f>
        <v>FLOOR R0 - R30_Heat Pump</v>
      </c>
      <c r="K56" s="392">
        <f>'SC-Retro'!E211</f>
        <v>0.10331908888771815</v>
      </c>
      <c r="L56" s="392">
        <f>'SC-Retro'!F211</f>
        <v>0.10308447383255291</v>
      </c>
      <c r="M56" s="392">
        <f>'SC-Retro'!G211</f>
        <v>0.1028503915368681</v>
      </c>
      <c r="N56" s="392">
        <f>'SC-Retro'!H211</f>
        <v>0.10261684079088337</v>
      </c>
      <c r="O56" s="392">
        <f>'SC-Retro'!I211</f>
        <v>0.10238382038756569</v>
      </c>
      <c r="P56" s="392">
        <f>'SC-Retro'!J211</f>
        <v>9.1936196210360518E-2</v>
      </c>
      <c r="Q56" s="392">
        <f>'SC-Retro'!K211</f>
        <v>7.3381943372037933E-2</v>
      </c>
      <c r="R56" s="392">
        <f>'SC-Retro'!L211</f>
        <v>5.8572247221711185E-2</v>
      </c>
      <c r="S56" s="392">
        <f>'SC-Retro'!M211</f>
        <v>4.6751393966332586E-2</v>
      </c>
      <c r="T56" s="392">
        <f>'SC-Retro'!N211</f>
        <v>3.7316185420064631E-2</v>
      </c>
      <c r="U56" s="392">
        <f>'SC-Retro'!O211</f>
        <v>2.9785158819166595E-2</v>
      </c>
      <c r="V56" s="392">
        <f>'SC-Retro'!P211</f>
        <v>2.377401858995911E-2</v>
      </c>
      <c r="W56" s="392">
        <f>'SC-Retro'!Q211</f>
        <v>1.8976026394461113E-2</v>
      </c>
      <c r="X56" s="392">
        <f>'SC-Retro'!R211</f>
        <v>1.5146348790833685E-2</v>
      </c>
      <c r="Y56" s="392">
        <f>'SC-Retro'!S211</f>
        <v>1.208956379616714E-2</v>
      </c>
      <c r="Z56" s="392">
        <f>'SC-Retro'!T211</f>
        <v>9.6496888326015086E-3</v>
      </c>
      <c r="AA56" s="392">
        <f>'SC-Retro'!U211</f>
        <v>6.5668818200897167E-5</v>
      </c>
      <c r="AB56" s="392">
        <f>'SC-Retro'!V211</f>
        <v>2.3399892384441235E-5</v>
      </c>
      <c r="AC56" s="392">
        <f>'SC-Retro'!W211</f>
        <v>7.9591214817561608E-6</v>
      </c>
      <c r="AD56" s="392">
        <f>'SC-Retro'!X211</f>
        <v>2.5894721926881205E-6</v>
      </c>
      <c r="AE56" s="392">
        <f>'SC-Retro'!Y211</f>
        <v>0.90470134583468853</v>
      </c>
      <c r="AF56" s="393">
        <f t="shared" si="2"/>
        <v>18.810586079674955</v>
      </c>
      <c r="AG56" s="393">
        <f t="shared" si="3"/>
        <v>13.724199956267915</v>
      </c>
      <c r="AH56" s="393">
        <f t="shared" si="4"/>
        <v>12.436239080878316</v>
      </c>
      <c r="AI56" s="393">
        <f t="shared" si="5"/>
        <v>9.8759500749132005</v>
      </c>
      <c r="AJ56" s="393">
        <f t="shared" si="6"/>
        <v>3.6386837423094405</v>
      </c>
      <c r="AK56" s="393">
        <f t="shared" si="7"/>
        <v>0.62842290412527679</v>
      </c>
      <c r="AL56" s="393">
        <f t="shared" si="8"/>
        <v>-3.270972885005984</v>
      </c>
      <c r="AM56" s="393">
        <f t="shared" si="9"/>
        <v>-3.3210049184182422</v>
      </c>
      <c r="AN56" s="393">
        <f t="shared" si="10"/>
        <v>0.75932627646352824</v>
      </c>
      <c r="AO56" s="393">
        <f t="shared" si="11"/>
        <v>7.3871667755880157</v>
      </c>
      <c r="AP56" s="393">
        <f t="shared" si="12"/>
        <v>12.107733301229095</v>
      </c>
      <c r="AQ56" s="393">
        <f t="shared" si="13"/>
        <v>21.921920613839106</v>
      </c>
      <c r="AR56" s="393"/>
      <c r="AS56" s="393">
        <f t="shared" si="14"/>
        <v>11.956830554476694</v>
      </c>
      <c r="AT56" s="393">
        <f t="shared" si="15"/>
        <v>8.9578272598911326</v>
      </c>
      <c r="AU56" s="393">
        <f t="shared" si="16"/>
        <v>6.9388232447305001</v>
      </c>
      <c r="AV56" s="393">
        <f t="shared" si="17"/>
        <v>5.9264015890967698</v>
      </c>
      <c r="AW56" s="393">
        <f t="shared" si="18"/>
        <v>2.2191024345571453</v>
      </c>
      <c r="AX56" s="393">
        <f t="shared" si="19"/>
        <v>0.48609960792573814</v>
      </c>
      <c r="AY56" s="393">
        <f t="shared" si="20"/>
        <v>-0.81257517823740166</v>
      </c>
      <c r="AZ56" s="393">
        <f t="shared" si="21"/>
        <v>-0.52554801775908189</v>
      </c>
      <c r="BA56" s="393">
        <f t="shared" si="22"/>
        <v>0.81670136035716356</v>
      </c>
      <c r="BB56" s="393">
        <f t="shared" si="23"/>
        <v>3.8825444774032167</v>
      </c>
      <c r="BC56" s="393">
        <f t="shared" si="24"/>
        <v>7.9218116319332239</v>
      </c>
      <c r="BD56" s="393">
        <f t="shared" si="25"/>
        <v>14.110876843708242</v>
      </c>
    </row>
    <row r="57" spans="1:56" ht="15">
      <c r="A57" s="389" t="str">
        <f>VLOOKUP(CONCATENATE($C57," - ",$B57),[2]ACHIEV!$B$12:$C$100,2,FALSE)</f>
        <v>Retro12Med</v>
      </c>
      <c r="B57" s="389" t="str">
        <f>'SC-Retro'!$C$7</f>
        <v>Retro</v>
      </c>
      <c r="C57" s="389" t="str">
        <f>'SC-Retro'!$C$8</f>
        <v>ResWx</v>
      </c>
      <c r="D57" s="389" t="s">
        <v>1171</v>
      </c>
      <c r="E57" s="389" t="str">
        <f>'SC-Retro'!$A$9</f>
        <v>HVAC</v>
      </c>
      <c r="F57" s="390">
        <f t="shared" si="1"/>
        <v>8.4567890739138257E-2</v>
      </c>
      <c r="G57" s="391">
        <f>'SC-Retro'!A212</f>
        <v>150.18689121837056</v>
      </c>
      <c r="H57" s="391">
        <f>'SC-Retro'!B212</f>
        <v>296.24351461814291</v>
      </c>
      <c r="I57" s="384" t="str">
        <f>'SC-Retro'!C212</f>
        <v>Single Family</v>
      </c>
      <c r="J57" s="384" t="str">
        <f>'SC-Retro'!D212</f>
        <v>FLOOR R0 - R25_Heat Pump</v>
      </c>
      <c r="K57" s="392">
        <f>'SC-Retro'!E212</f>
        <v>4.2941401704355085E-2</v>
      </c>
      <c r="L57" s="392">
        <f>'SC-Retro'!F212</f>
        <v>4.2843891172291745E-2</v>
      </c>
      <c r="M57" s="392">
        <f>'SC-Retro'!G212</f>
        <v>4.2746602065321375E-2</v>
      </c>
      <c r="N57" s="392">
        <f>'SC-Retro'!H212</f>
        <v>4.264953388063597E-2</v>
      </c>
      <c r="O57" s="392">
        <f>'SC-Retro'!I212</f>
        <v>4.2552686116569351E-2</v>
      </c>
      <c r="P57" s="392">
        <f>'SC-Retro'!J212</f>
        <v>3.8210452445335046E-2</v>
      </c>
      <c r="Q57" s="392">
        <f>'SC-Retro'!K212</f>
        <v>3.0498947891511089E-2</v>
      </c>
      <c r="R57" s="392">
        <f>'SC-Retro'!L212</f>
        <v>2.434375316073158E-2</v>
      </c>
      <c r="S57" s="392">
        <f>'SC-Retro'!M212</f>
        <v>1.9430779056990848E-2</v>
      </c>
      <c r="T57" s="392">
        <f>'SC-Retro'!N212</f>
        <v>1.550932480578307E-2</v>
      </c>
      <c r="U57" s="392">
        <f>'SC-Retro'!O212</f>
        <v>1.2379285216808446E-2</v>
      </c>
      <c r="V57" s="392">
        <f>'SC-Retro'!P212</f>
        <v>9.8809396539267739E-3</v>
      </c>
      <c r="W57" s="392">
        <f>'SC-Retro'!Q212</f>
        <v>7.8868017607331403E-3</v>
      </c>
      <c r="X57" s="392">
        <f>'SC-Retro'!R212</f>
        <v>6.295114047011093E-3</v>
      </c>
      <c r="Y57" s="392">
        <f>'SC-Retro'!S212</f>
        <v>5.0246553757923541E-3</v>
      </c>
      <c r="Z57" s="392">
        <f>'SC-Retro'!T212</f>
        <v>4.0105963858536138E-3</v>
      </c>
      <c r="AA57" s="392">
        <f>'SC-Retro'!U212</f>
        <v>2.7293224632279938E-5</v>
      </c>
      <c r="AB57" s="392">
        <f>'SC-Retro'!V212</f>
        <v>9.7254456029026848E-6</v>
      </c>
      <c r="AC57" s="392">
        <f>'SC-Retro'!W212</f>
        <v>3.3079640600903623E-6</v>
      </c>
      <c r="AD57" s="392">
        <f>'SC-Retro'!X212</f>
        <v>1.0762344773415429E-6</v>
      </c>
      <c r="AE57" s="392">
        <f>'SC-Retro'!Y212</f>
        <v>0.37601129019030816</v>
      </c>
      <c r="AF57" s="393">
        <f t="shared" si="2"/>
        <v>18.01513164444869</v>
      </c>
      <c r="AG57" s="393">
        <f t="shared" si="3"/>
        <v>13.143836554569264</v>
      </c>
      <c r="AH57" s="393">
        <f t="shared" si="4"/>
        <v>11.910340446326584</v>
      </c>
      <c r="AI57" s="393">
        <f t="shared" si="5"/>
        <v>9.4600684382064255</v>
      </c>
      <c r="AJ57" s="393">
        <f t="shared" si="6"/>
        <v>3.493623979365839</v>
      </c>
      <c r="AK57" s="393">
        <f t="shared" si="7"/>
        <v>0.61160424312813155</v>
      </c>
      <c r="AL57" s="393">
        <f t="shared" si="8"/>
        <v>-3.0658962200253566</v>
      </c>
      <c r="AM57" s="393">
        <f t="shared" si="9"/>
        <v>-3.1137088677450659</v>
      </c>
      <c r="AN57" s="393">
        <f t="shared" si="10"/>
        <v>0.75484130222539114</v>
      </c>
      <c r="AO57" s="393">
        <f t="shared" si="11"/>
        <v>7.0798077748231538</v>
      </c>
      <c r="AP57" s="393">
        <f t="shared" si="12"/>
        <v>11.595726385856796</v>
      </c>
      <c r="AQ57" s="393">
        <f t="shared" si="13"/>
        <v>20.994895325679785</v>
      </c>
      <c r="AR57" s="393"/>
      <c r="AS57" s="393">
        <f t="shared" si="14"/>
        <v>11.451204953258223</v>
      </c>
      <c r="AT57" s="393">
        <f t="shared" si="15"/>
        <v>8.5790222937040141</v>
      </c>
      <c r="AU57" s="393">
        <f t="shared" si="16"/>
        <v>6.6453971014995945</v>
      </c>
      <c r="AV57" s="393">
        <f t="shared" si="17"/>
        <v>5.6762457120849845</v>
      </c>
      <c r="AW57" s="393">
        <f t="shared" si="18"/>
        <v>2.127493636953858</v>
      </c>
      <c r="AX57" s="393">
        <f t="shared" si="19"/>
        <v>0.46731603910035863</v>
      </c>
      <c r="AY57" s="393">
        <f t="shared" si="20"/>
        <v>-0.75999585528501745</v>
      </c>
      <c r="AZ57" s="393">
        <f t="shared" si="21"/>
        <v>-0.49147701459188581</v>
      </c>
      <c r="BA57" s="393">
        <f t="shared" si="22"/>
        <v>0.7908715698701515</v>
      </c>
      <c r="BB57" s="393">
        <f t="shared" si="23"/>
        <v>3.7195626938508553</v>
      </c>
      <c r="BC57" s="393">
        <f t="shared" si="24"/>
        <v>7.5868172744497491</v>
      </c>
      <c r="BD57" s="393">
        <f t="shared" si="25"/>
        <v>13.514161806616039</v>
      </c>
    </row>
    <row r="58" spans="1:56" ht="15">
      <c r="A58" s="389" t="str">
        <f>VLOOKUP(CONCATENATE($C58," - ",$B58),[2]ACHIEV!$B$12:$C$100,2,FALSE)</f>
        <v>Retro12Med</v>
      </c>
      <c r="B58" s="389" t="str">
        <f>'SC-Retro'!$C$7</f>
        <v>Retro</v>
      </c>
      <c r="C58" s="389" t="str">
        <f>'SC-Retro'!$C$8</f>
        <v>ResWx</v>
      </c>
      <c r="D58" s="389" t="s">
        <v>1171</v>
      </c>
      <c r="E58" s="389" t="str">
        <f>'SC-Retro'!$A$9</f>
        <v>HVAC</v>
      </c>
      <c r="F58" s="390">
        <f t="shared" si="1"/>
        <v>4.5478598379474544E-2</v>
      </c>
      <c r="G58" s="391">
        <f>'SC-Retro'!A213</f>
        <v>92.391365978509668</v>
      </c>
      <c r="H58" s="391">
        <f>'SC-Retro'!B213</f>
        <v>332.31780304984051</v>
      </c>
      <c r="I58" s="384" t="str">
        <f>'SC-Retro'!C213</f>
        <v>Single Family</v>
      </c>
      <c r="J58" s="384" t="str">
        <f>'SC-Retro'!D213</f>
        <v>ATTIC R19 - R49_Heat Pump</v>
      </c>
      <c r="K58" s="392">
        <f>'SC-Retro'!E213</f>
        <v>1.0243146311543576E-2</v>
      </c>
      <c r="L58" s="392">
        <f>'SC-Retro'!F213</f>
        <v>1.0219886366427724E-2</v>
      </c>
      <c r="M58" s="392">
        <f>'SC-Retro'!G213</f>
        <v>1.0196679239560323E-2</v>
      </c>
      <c r="N58" s="392">
        <f>'SC-Retro'!H213</f>
        <v>1.0173524811002676E-2</v>
      </c>
      <c r="O58" s="392">
        <f>'SC-Retro'!I213</f>
        <v>1.0150422961088458E-2</v>
      </c>
      <c r="P58" s="392">
        <f>'SC-Retro'!J213</f>
        <v>9.1146362133807564E-3</v>
      </c>
      <c r="Q58" s="392">
        <f>'SC-Retro'!K213</f>
        <v>7.2751510943157623E-3</v>
      </c>
      <c r="R58" s="392">
        <f>'SC-Retro'!L213</f>
        <v>5.8069046537944169E-3</v>
      </c>
      <c r="S58" s="392">
        <f>'SC-Retro'!M213</f>
        <v>4.6349747546281968E-3</v>
      </c>
      <c r="T58" s="392">
        <f>'SC-Retro'!N213</f>
        <v>3.6995597924968596E-3</v>
      </c>
      <c r="U58" s="392">
        <f>'SC-Retro'!O213</f>
        <v>2.952927121036134E-3</v>
      </c>
      <c r="V58" s="392">
        <f>'SC-Retro'!P213</f>
        <v>2.3569773354752848E-3</v>
      </c>
      <c r="W58" s="392">
        <f>'SC-Retro'!Q213</f>
        <v>1.8813001243304975E-3</v>
      </c>
      <c r="X58" s="392">
        <f>'SC-Retro'!R213</f>
        <v>1.5016224825480753E-3</v>
      </c>
      <c r="Y58" s="392">
        <f>'SC-Retro'!S213</f>
        <v>1.1985701010338741E-3</v>
      </c>
      <c r="Z58" s="392">
        <f>'SC-Retro'!T213</f>
        <v>9.5667872836764027E-4</v>
      </c>
      <c r="AA58" s="392">
        <f>'SC-Retro'!U213</f>
        <v>6.5104650087357276E-6</v>
      </c>
      <c r="AB58" s="392">
        <f>'SC-Retro'!V213</f>
        <v>2.3198861309035257E-6</v>
      </c>
      <c r="AC58" s="392">
        <f>'SC-Retro'!W213</f>
        <v>7.8907437847788816E-7</v>
      </c>
      <c r="AD58" s="392">
        <f>'SC-Retro'!X213</f>
        <v>2.5672257493678896E-7</v>
      </c>
      <c r="AE58" s="392">
        <f>'SC-Retro'!Y213</f>
        <v>8.9692895605244696E-2</v>
      </c>
      <c r="AF58" s="393">
        <f t="shared" si="2"/>
        <v>9.6881089223154646</v>
      </c>
      <c r="AG58" s="393">
        <f t="shared" si="3"/>
        <v>7.0684423911505396</v>
      </c>
      <c r="AH58" s="393">
        <f t="shared" si="4"/>
        <v>6.4050975492831332</v>
      </c>
      <c r="AI58" s="393">
        <f t="shared" si="5"/>
        <v>5.1753839091344656</v>
      </c>
      <c r="AJ58" s="393">
        <f t="shared" si="6"/>
        <v>2.3221685856248087</v>
      </c>
      <c r="AK58" s="393">
        <f t="shared" si="7"/>
        <v>0.81980876270167502</v>
      </c>
      <c r="AL58" s="393">
        <f t="shared" si="8"/>
        <v>1.7102755516605548</v>
      </c>
      <c r="AM58" s="393">
        <f t="shared" si="9"/>
        <v>1.6897786683265628</v>
      </c>
      <c r="AN58" s="393">
        <f t="shared" si="10"/>
        <v>1.7960002190030933</v>
      </c>
      <c r="AO58" s="393">
        <f t="shared" si="11"/>
        <v>4.0602805370764132</v>
      </c>
      <c r="AP58" s="393">
        <f t="shared" si="12"/>
        <v>6.2359055974018114</v>
      </c>
      <c r="AQ58" s="393">
        <f t="shared" si="13"/>
        <v>11.290554892529745</v>
      </c>
      <c r="AR58" s="393"/>
      <c r="AS58" s="393">
        <f t="shared" si="14"/>
        <v>6.1581854114904591</v>
      </c>
      <c r="AT58" s="393">
        <f t="shared" si="15"/>
        <v>4.6135939536133579</v>
      </c>
      <c r="AU58" s="393">
        <f t="shared" si="16"/>
        <v>3.5737363579691892</v>
      </c>
      <c r="AV58" s="393">
        <f t="shared" si="17"/>
        <v>3.0755651588816231</v>
      </c>
      <c r="AW58" s="393">
        <f t="shared" si="18"/>
        <v>1.2564123902666964</v>
      </c>
      <c r="AX58" s="393">
        <f t="shared" si="19"/>
        <v>0.34049734534045784</v>
      </c>
      <c r="AY58" s="393">
        <f t="shared" si="20"/>
        <v>0.50797522638340342</v>
      </c>
      <c r="AZ58" s="393">
        <f t="shared" si="21"/>
        <v>0.33181520097441647</v>
      </c>
      <c r="BA58" s="393">
        <f t="shared" si="22"/>
        <v>0.86341553945640404</v>
      </c>
      <c r="BB58" s="393">
        <f t="shared" si="23"/>
        <v>2.0607595972251418</v>
      </c>
      <c r="BC58" s="393">
        <f t="shared" si="24"/>
        <v>4.0800097151231816</v>
      </c>
      <c r="BD58" s="393">
        <f t="shared" si="25"/>
        <v>7.2675944955770779</v>
      </c>
    </row>
    <row r="59" spans="1:56" ht="15">
      <c r="A59" s="389" t="str">
        <f>VLOOKUP(CONCATENATE($C59," - ",$B59),[2]ACHIEV!$B$12:$C$100,2,FALSE)</f>
        <v>Retro12Med</v>
      </c>
      <c r="B59" s="389" t="str">
        <f>'SC-Retro'!$C$7</f>
        <v>Retro</v>
      </c>
      <c r="C59" s="389" t="str">
        <f>'SC-Retro'!$C$8</f>
        <v>ResWx</v>
      </c>
      <c r="D59" s="389" t="s">
        <v>1171</v>
      </c>
      <c r="E59" s="389" t="str">
        <f>'SC-Retro'!$A$9</f>
        <v>HVAC</v>
      </c>
      <c r="F59" s="390">
        <f t="shared" si="1"/>
        <v>3.7760289506453951E-2</v>
      </c>
      <c r="G59" s="391">
        <f>'SC-Retro'!A214</f>
        <v>76.720309131071929</v>
      </c>
      <c r="H59" s="391">
        <f>'SC-Retro'!B214</f>
        <v>337.4149306714537</v>
      </c>
      <c r="I59" s="384" t="str">
        <f>'SC-Retro'!C214</f>
        <v>Single Family</v>
      </c>
      <c r="J59" s="384" t="str">
        <f>'SC-Retro'!D214</f>
        <v>ATTIC R19 - R38_Heat Pump</v>
      </c>
      <c r="K59" s="392">
        <f>'SC-Retro'!E214</f>
        <v>3.9504312949679033E-3</v>
      </c>
      <c r="L59" s="392">
        <f>'SC-Retro'!F214</f>
        <v>3.9414607294492457E-3</v>
      </c>
      <c r="M59" s="392">
        <f>'SC-Retro'!G214</f>
        <v>3.9325105341230333E-3</v>
      </c>
      <c r="N59" s="392">
        <f>'SC-Retro'!H214</f>
        <v>3.9235806627330163E-3</v>
      </c>
      <c r="O59" s="392">
        <f>'SC-Retro'!I214</f>
        <v>3.9146710691279783E-3</v>
      </c>
      <c r="P59" s="392">
        <f>'SC-Retro'!J214</f>
        <v>3.5152035365353567E-3</v>
      </c>
      <c r="Q59" s="392">
        <f>'SC-Retro'!K214</f>
        <v>2.8057770224580573E-3</v>
      </c>
      <c r="R59" s="392">
        <f>'SC-Retro'!L214</f>
        <v>2.239524573166752E-3</v>
      </c>
      <c r="S59" s="392">
        <f>'SC-Retro'!M214</f>
        <v>1.7875512821128672E-3</v>
      </c>
      <c r="T59" s="392">
        <f>'SC-Retro'!N214</f>
        <v>1.4267937152683497E-3</v>
      </c>
      <c r="U59" s="392">
        <f>'SC-Retro'!O214</f>
        <v>1.1388430230225542E-3</v>
      </c>
      <c r="V59" s="392">
        <f>'SC-Retro'!P214</f>
        <v>9.0900556766415153E-4</v>
      </c>
      <c r="W59" s="392">
        <f>'SC-Retro'!Q214</f>
        <v>7.2555313185429429E-4</v>
      </c>
      <c r="X59" s="392">
        <f>'SC-Retro'!R214</f>
        <v>5.7912444749521361E-4</v>
      </c>
      <c r="Y59" s="392">
        <f>'SC-Retro'!S214</f>
        <v>4.6224750602274123E-4</v>
      </c>
      <c r="Z59" s="392">
        <f>'SC-Retro'!T214</f>
        <v>3.6895827442340887E-4</v>
      </c>
      <c r="AA59" s="392">
        <f>'SC-Retro'!U214</f>
        <v>2.5108637456753648E-6</v>
      </c>
      <c r="AB59" s="392">
        <f>'SC-Retro'!V214</f>
        <v>8.947007582968179E-7</v>
      </c>
      <c r="AC59" s="392">
        <f>'SC-Retro'!W214</f>
        <v>3.0431900745998983E-7</v>
      </c>
      <c r="AD59" s="392">
        <f>'SC-Retro'!X214</f>
        <v>9.9009119201208142E-8</v>
      </c>
      <c r="AE59" s="392">
        <f>'SC-Retro'!Y214</f>
        <v>3.4591483022744507E-2</v>
      </c>
      <c r="AF59" s="393">
        <f t="shared" si="2"/>
        <v>8.0439109979650656</v>
      </c>
      <c r="AG59" s="393">
        <f t="shared" si="3"/>
        <v>5.868835904362359</v>
      </c>
      <c r="AH59" s="393">
        <f t="shared" si="4"/>
        <v>5.3180692984409479</v>
      </c>
      <c r="AI59" s="393">
        <f t="shared" si="5"/>
        <v>4.2971218386095122</v>
      </c>
      <c r="AJ59" s="393">
        <f t="shared" si="6"/>
        <v>1.9284080926973002</v>
      </c>
      <c r="AK59" s="393">
        <f t="shared" si="7"/>
        <v>0.68105486742591992</v>
      </c>
      <c r="AL59" s="393">
        <f t="shared" si="8"/>
        <v>1.4226081272228397</v>
      </c>
      <c r="AM59" s="393">
        <f t="shared" si="9"/>
        <v>1.4055938504999537</v>
      </c>
      <c r="AN59" s="393">
        <f t="shared" si="10"/>
        <v>1.4922668678030273</v>
      </c>
      <c r="AO59" s="393">
        <f t="shared" si="11"/>
        <v>3.3713931026340318</v>
      </c>
      <c r="AP59" s="393">
        <f t="shared" si="12"/>
        <v>5.1775914184523666</v>
      </c>
      <c r="AQ59" s="393">
        <f t="shared" si="13"/>
        <v>9.3744010726339155</v>
      </c>
      <c r="AR59" s="393"/>
      <c r="AS59" s="393">
        <f t="shared" si="14"/>
        <v>5.1130613576087889</v>
      </c>
      <c r="AT59" s="393">
        <f t="shared" si="15"/>
        <v>3.8306071330529576</v>
      </c>
      <c r="AU59" s="393">
        <f t="shared" si="16"/>
        <v>2.9672268782487503</v>
      </c>
      <c r="AV59" s="393">
        <f t="shared" si="17"/>
        <v>2.5536195385979652</v>
      </c>
      <c r="AW59" s="393">
        <f t="shared" si="18"/>
        <v>1.0432694264387903</v>
      </c>
      <c r="AX59" s="393">
        <f t="shared" si="19"/>
        <v>0.28277925169759377</v>
      </c>
      <c r="AY59" s="393">
        <f t="shared" si="20"/>
        <v>0.42247164841886498</v>
      </c>
      <c r="AZ59" s="393">
        <f t="shared" si="21"/>
        <v>0.27596123450314058</v>
      </c>
      <c r="BA59" s="393">
        <f t="shared" si="22"/>
        <v>0.71722031973251454</v>
      </c>
      <c r="BB59" s="393">
        <f t="shared" si="23"/>
        <v>1.7110685235362009</v>
      </c>
      <c r="BC59" s="393">
        <f t="shared" si="24"/>
        <v>3.3875790706366105</v>
      </c>
      <c r="BD59" s="393">
        <f t="shared" si="25"/>
        <v>6.0341893098525246</v>
      </c>
    </row>
    <row r="60" spans="1:56" ht="15">
      <c r="A60" s="389" t="str">
        <f>VLOOKUP(CONCATENATE($C60," - ",$B60),[2]ACHIEV!$B$12:$C$100,2,FALSE)</f>
        <v>Retro12Med</v>
      </c>
      <c r="B60" s="389" t="str">
        <f>'SC-Retro'!$C$7</f>
        <v>Retro</v>
      </c>
      <c r="C60" s="389" t="str">
        <f>'SC-Retro'!$C$8</f>
        <v>ResWx</v>
      </c>
      <c r="D60" s="389" t="s">
        <v>1171</v>
      </c>
      <c r="E60" s="389" t="str">
        <f>'SC-Retro'!$A$9</f>
        <v>HVAC</v>
      </c>
      <c r="F60" s="390">
        <f t="shared" si="1"/>
        <v>7.8620529718667787E-2</v>
      </c>
      <c r="G60" s="391">
        <f>'SC-Retro'!A215</f>
        <v>139.96110175796073</v>
      </c>
      <c r="H60" s="391">
        <f>'SC-Retro'!B215</f>
        <v>308.00442643674728</v>
      </c>
      <c r="I60" s="384" t="str">
        <f>'SC-Retro'!C215</f>
        <v>Single Family</v>
      </c>
      <c r="J60" s="384" t="str">
        <f>'SC-Retro'!D215</f>
        <v>FLOOR R0 - R19_Heat Pump</v>
      </c>
      <c r="K60" s="392">
        <f>'SC-Retro'!E215</f>
        <v>6.9211062625637018E-2</v>
      </c>
      <c r="L60" s="392">
        <f>'SC-Retro'!F215</f>
        <v>6.9053899438749011E-2</v>
      </c>
      <c r="M60" s="392">
        <f>'SC-Retro'!G215</f>
        <v>6.8897093135087142E-2</v>
      </c>
      <c r="N60" s="392">
        <f>'SC-Retro'!H215</f>
        <v>6.874064290424764E-2</v>
      </c>
      <c r="O60" s="392">
        <f>'SC-Retro'!I215</f>
        <v>6.8584547937666981E-2</v>
      </c>
      <c r="P60" s="392">
        <f>'SC-Retro'!J215</f>
        <v>6.1585926685755958E-2</v>
      </c>
      <c r="Q60" s="392">
        <f>'SC-Retro'!K215</f>
        <v>4.9156862811987154E-2</v>
      </c>
      <c r="R60" s="392">
        <f>'SC-Retro'!L215</f>
        <v>3.9236190661646839E-2</v>
      </c>
      <c r="S60" s="392">
        <f>'SC-Retro'!M215</f>
        <v>3.1317675082830822E-2</v>
      </c>
      <c r="T60" s="392">
        <f>'SC-Retro'!N215</f>
        <v>2.4997247593469513E-2</v>
      </c>
      <c r="U60" s="392">
        <f>'SC-Retro'!O215</f>
        <v>1.9952387448830239E-2</v>
      </c>
      <c r="V60" s="392">
        <f>'SC-Retro'!P215</f>
        <v>1.5925663952388133E-2</v>
      </c>
      <c r="W60" s="392">
        <f>'SC-Retro'!Q215</f>
        <v>1.2711600201973044E-2</v>
      </c>
      <c r="X60" s="392">
        <f>'SC-Retro'!R215</f>
        <v>1.014618795033476E-2</v>
      </c>
      <c r="Y60" s="392">
        <f>'SC-Retro'!S215</f>
        <v>8.0985185411620742E-3</v>
      </c>
      <c r="Z60" s="392">
        <f>'SC-Retro'!T215</f>
        <v>6.4641028613492187E-3</v>
      </c>
      <c r="AA60" s="392">
        <f>'SC-Retro'!U215</f>
        <v>4.3990019056334748E-5</v>
      </c>
      <c r="AB60" s="392">
        <f>'SC-Retro'!V215</f>
        <v>1.5675045479860476E-5</v>
      </c>
      <c r="AC60" s="392">
        <f>'SC-Retro'!W215</f>
        <v>5.3316309817397253E-6</v>
      </c>
      <c r="AD60" s="392">
        <f>'SC-Retro'!X215</f>
        <v>1.7346273958169557E-6</v>
      </c>
      <c r="AE60" s="392">
        <f>'SC-Retro'!Y215</f>
        <v>0.60603845986398341</v>
      </c>
      <c r="AF60" s="393">
        <f t="shared" si="2"/>
        <v>16.748191074163753</v>
      </c>
      <c r="AG60" s="393">
        <f t="shared" si="3"/>
        <v>12.219476960155232</v>
      </c>
      <c r="AH60" s="393">
        <f t="shared" si="4"/>
        <v>11.072728275892814</v>
      </c>
      <c r="AI60" s="393">
        <f t="shared" si="5"/>
        <v>8.7973208502609701</v>
      </c>
      <c r="AJ60" s="393">
        <f t="shared" si="6"/>
        <v>3.2607578684025555</v>
      </c>
      <c r="AK60" s="393">
        <f t="shared" si="7"/>
        <v>0.5827953242721402</v>
      </c>
      <c r="AL60" s="393">
        <f t="shared" si="8"/>
        <v>-2.7530970396800631</v>
      </c>
      <c r="AM60" s="393">
        <f t="shared" si="9"/>
        <v>-2.7973962917544353</v>
      </c>
      <c r="AN60" s="393">
        <f t="shared" si="10"/>
        <v>0.74197404685367851</v>
      </c>
      <c r="AO60" s="393">
        <f t="shared" si="11"/>
        <v>6.5892277605604432</v>
      </c>
      <c r="AP60" s="393">
        <f t="shared" si="12"/>
        <v>10.780239910924902</v>
      </c>
      <c r="AQ60" s="393">
        <f t="shared" si="13"/>
        <v>19.518398501678732</v>
      </c>
      <c r="AR60" s="393"/>
      <c r="AS60" s="393">
        <f t="shared" si="14"/>
        <v>10.645882160160497</v>
      </c>
      <c r="AT60" s="393">
        <f t="shared" si="15"/>
        <v>7.9756899610967285</v>
      </c>
      <c r="AU60" s="393">
        <f t="shared" si="16"/>
        <v>6.1780497981487379</v>
      </c>
      <c r="AV60" s="393">
        <f t="shared" si="17"/>
        <v>5.2777212943448077</v>
      </c>
      <c r="AW60" s="393">
        <f t="shared" si="18"/>
        <v>1.9811235586201577</v>
      </c>
      <c r="AX60" s="393">
        <f t="shared" si="19"/>
        <v>0.43703172563261494</v>
      </c>
      <c r="AY60" s="393">
        <f t="shared" si="20"/>
        <v>-0.6800260870124829</v>
      </c>
      <c r="AZ60" s="393">
        <f t="shared" si="21"/>
        <v>-0.43966592444074926</v>
      </c>
      <c r="BA60" s="393">
        <f t="shared" si="22"/>
        <v>0.74792780738056219</v>
      </c>
      <c r="BB60" s="393">
        <f t="shared" si="23"/>
        <v>3.4597284610109114</v>
      </c>
      <c r="BC60" s="393">
        <f t="shared" si="24"/>
        <v>7.0532632158924855</v>
      </c>
      <c r="BD60" s="393">
        <f t="shared" si="25"/>
        <v>12.563758545395739</v>
      </c>
    </row>
    <row r="61" spans="1:56" ht="15">
      <c r="A61" s="389" t="str">
        <f>VLOOKUP(CONCATENATE($C61," - ",$B61),[2]ACHIEV!$B$12:$C$100,2,FALSE)</f>
        <v>Retro12Med</v>
      </c>
      <c r="B61" s="389" t="str">
        <f>'SC-Retro'!$C$7</f>
        <v>Retro</v>
      </c>
      <c r="C61" s="389" t="str">
        <f>'SC-Retro'!$C$8</f>
        <v>ResWx</v>
      </c>
      <c r="D61" s="389" t="s">
        <v>1171</v>
      </c>
      <c r="E61" s="389" t="str">
        <f>'SC-Retro'!$A$9</f>
        <v>HVAC</v>
      </c>
      <c r="F61" s="390">
        <f t="shared" si="1"/>
        <v>0.13173035584737974</v>
      </c>
      <c r="G61" s="391">
        <f>'SC-Retro'!A216</f>
        <v>281.25569038844571</v>
      </c>
      <c r="H61" s="391">
        <f>'SC-Retro'!B216</f>
        <v>283.46557599461369</v>
      </c>
      <c r="I61" s="384" t="str">
        <f>'SC-Retro'!C216</f>
        <v>Single Family</v>
      </c>
      <c r="J61" s="384" t="str">
        <f>'SC-Retro'!D216</f>
        <v>WINDOW CL30 Prime Window Replacement of Double Pane Base_Heat Pump</v>
      </c>
      <c r="K61" s="392">
        <f>'SC-Retro'!E216</f>
        <v>1.3106435570039789</v>
      </c>
      <c r="L61" s="392">
        <f>'SC-Retro'!F216</f>
        <v>1.30766737212141</v>
      </c>
      <c r="M61" s="392">
        <f>'SC-Retro'!G216</f>
        <v>1.3046979455038232</v>
      </c>
      <c r="N61" s="392">
        <f>'SC-Retro'!H216</f>
        <v>1.3017352618046762</v>
      </c>
      <c r="O61" s="392">
        <f>'SC-Retro'!I216</f>
        <v>1.2987793057122767</v>
      </c>
      <c r="P61" s="392">
        <f>'SC-Retro'!J216</f>
        <v>1.1662470557547306</v>
      </c>
      <c r="Q61" s="392">
        <f>'SC-Retro'!K216</f>
        <v>0.93087901099779524</v>
      </c>
      <c r="R61" s="392">
        <f>'SC-Retro'!L216</f>
        <v>0.74301215067630688</v>
      </c>
      <c r="S61" s="392">
        <f>'SC-Retro'!M216</f>
        <v>0.59305994606203272</v>
      </c>
      <c r="T61" s="392">
        <f>'SC-Retro'!N216</f>
        <v>0.47337058930053505</v>
      </c>
      <c r="U61" s="392">
        <f>'SC-Retro'!O216</f>
        <v>0.3778365345740235</v>
      </c>
      <c r="V61" s="392">
        <f>'SC-Retro'!P216</f>
        <v>0.30158284034894073</v>
      </c>
      <c r="W61" s="392">
        <f>'SC-Retro'!Q216</f>
        <v>0.24071840933930616</v>
      </c>
      <c r="X61" s="392">
        <f>'SC-Retro'!R216</f>
        <v>0.19213743238110356</v>
      </c>
      <c r="Y61" s="392">
        <f>'SC-Retro'!S216</f>
        <v>0.1533609042338214</v>
      </c>
      <c r="Z61" s="392">
        <f>'SC-Retro'!T216</f>
        <v>0.12241012412804811</v>
      </c>
      <c r="AA61" s="392">
        <f>'SC-Retro'!U216</f>
        <v>8.3303496379653712E-4</v>
      </c>
      <c r="AB61" s="392">
        <f>'SC-Retro'!V216</f>
        <v>2.9683690127759219E-4</v>
      </c>
      <c r="AC61" s="392">
        <f>'SC-Retro'!W216</f>
        <v>1.0096460781620102E-4</v>
      </c>
      <c r="AD61" s="392">
        <f>'SC-Retro'!X216</f>
        <v>3.2848480197845518E-5</v>
      </c>
      <c r="AE61" s="392">
        <f>'SC-Retro'!Y216</f>
        <v>11.47649483455729</v>
      </c>
      <c r="AF61" s="393">
        <f t="shared" si="2"/>
        <v>28.061947406030328</v>
      </c>
      <c r="AG61" s="393">
        <f t="shared" si="3"/>
        <v>20.473991386093427</v>
      </c>
      <c r="AH61" s="393">
        <f t="shared" si="4"/>
        <v>18.552589777811786</v>
      </c>
      <c r="AI61" s="393">
        <f t="shared" si="5"/>
        <v>15.093927540767549</v>
      </c>
      <c r="AJ61" s="393">
        <f t="shared" si="6"/>
        <v>7.2465343797313402</v>
      </c>
      <c r="AK61" s="393">
        <f t="shared" si="7"/>
        <v>2.9506615631173871</v>
      </c>
      <c r="AL61" s="393">
        <f t="shared" si="8"/>
        <v>8.895589089339957</v>
      </c>
      <c r="AM61" s="393">
        <f t="shared" si="9"/>
        <v>8.8423394928557055</v>
      </c>
      <c r="AN61" s="393">
        <f t="shared" si="10"/>
        <v>6.8333690073360582</v>
      </c>
      <c r="AO61" s="393">
        <f t="shared" si="11"/>
        <v>12.057547597572841</v>
      </c>
      <c r="AP61" s="393">
        <f t="shared" si="12"/>
        <v>18.062519352996361</v>
      </c>
      <c r="AQ61" s="393">
        <f t="shared" si="13"/>
        <v>32.703488381439904</v>
      </c>
      <c r="AR61" s="393"/>
      <c r="AS61" s="393">
        <f t="shared" si="14"/>
        <v>17.837400107649351</v>
      </c>
      <c r="AT61" s="393">
        <f t="shared" si="15"/>
        <v>13.36343675708128</v>
      </c>
      <c r="AU61" s="393">
        <f t="shared" si="16"/>
        <v>10.351452747331555</v>
      </c>
      <c r="AV61" s="393">
        <f t="shared" si="17"/>
        <v>8.93549008172063</v>
      </c>
      <c r="AW61" s="393">
        <f t="shared" si="18"/>
        <v>3.7710190645484731</v>
      </c>
      <c r="AX61" s="393">
        <f t="shared" si="19"/>
        <v>1.0909189985624193</v>
      </c>
      <c r="AY61" s="393">
        <f t="shared" si="20"/>
        <v>2.5470628941119964</v>
      </c>
      <c r="AZ61" s="393">
        <f t="shared" si="21"/>
        <v>1.6606398287986697</v>
      </c>
      <c r="BA61" s="393">
        <f t="shared" si="22"/>
        <v>3.0150124602115498</v>
      </c>
      <c r="BB61" s="393">
        <f t="shared" si="23"/>
        <v>6.0400187402101881</v>
      </c>
      <c r="BC61" s="393">
        <f t="shared" si="24"/>
        <v>11.817891289202764</v>
      </c>
      <c r="BD61" s="393">
        <f t="shared" si="25"/>
        <v>21.050842443924235</v>
      </c>
    </row>
    <row r="62" spans="1:56" ht="15">
      <c r="A62" s="389" t="str">
        <f>VLOOKUP(CONCATENATE($C62," - ",$B62),[2]ACHIEV!$B$12:$C$100,2,FALSE)</f>
        <v>Retro12Med</v>
      </c>
      <c r="B62" s="389" t="str">
        <f>'SC-Retro'!$C$7</f>
        <v>Retro</v>
      </c>
      <c r="C62" s="389" t="str">
        <f>'SC-Retro'!$C$8</f>
        <v>ResWx</v>
      </c>
      <c r="D62" s="389" t="s">
        <v>1171</v>
      </c>
      <c r="E62" s="389" t="str">
        <f>'SC-Retro'!$A$9</f>
        <v>HVAC</v>
      </c>
      <c r="F62" s="390">
        <f t="shared" si="1"/>
        <v>0.1546041296791954</v>
      </c>
      <c r="G62" s="391">
        <f>'SC-Retro'!A217</f>
        <v>326.86560849508749</v>
      </c>
      <c r="H62" s="391">
        <f>'SC-Retro'!B217</f>
        <v>287.06172747484032</v>
      </c>
      <c r="I62" s="384" t="str">
        <f>'SC-Retro'!C217</f>
        <v>Single Family</v>
      </c>
      <c r="J62" s="384" t="str">
        <f>'SC-Retro'!D217</f>
        <v>WINDOW CL22 Prime Window Replacement of Double Pane Base_Heat Pump</v>
      </c>
      <c r="K62" s="392">
        <f>'SC-Retro'!E217</f>
        <v>0.38079612112789341</v>
      </c>
      <c r="L62" s="392">
        <f>'SC-Retro'!F217</f>
        <v>0.37993141641623834</v>
      </c>
      <c r="M62" s="392">
        <f>'SC-Retro'!G217</f>
        <v>0.37906867525987403</v>
      </c>
      <c r="N62" s="392">
        <f>'SC-Retro'!H217</f>
        <v>0.37820789319999587</v>
      </c>
      <c r="O62" s="392">
        <f>'SC-Retro'!I217</f>
        <v>0.37734906578792421</v>
      </c>
      <c r="P62" s="392">
        <f>'SC-Retro'!J217</f>
        <v>0.33884296972657318</v>
      </c>
      <c r="Q62" s="392">
        <f>'SC-Retro'!K217</f>
        <v>0.27045882515733749</v>
      </c>
      <c r="R62" s="392">
        <f>'SC-Retro'!L217</f>
        <v>0.21587573785141081</v>
      </c>
      <c r="S62" s="392">
        <f>'SC-Retro'!M217</f>
        <v>0.17230842500990842</v>
      </c>
      <c r="T62" s="392">
        <f>'SC-Retro'!N217</f>
        <v>0.13753372020820273</v>
      </c>
      <c r="U62" s="392">
        <f>'SC-Retro'!O217</f>
        <v>0.10977712896638957</v>
      </c>
      <c r="V62" s="392">
        <f>'SC-Retro'!P217</f>
        <v>8.7622279291653921E-2</v>
      </c>
      <c r="W62" s="392">
        <f>'SC-Retro'!Q217</f>
        <v>6.9938646606573895E-2</v>
      </c>
      <c r="X62" s="392">
        <f>'SC-Retro'!R217</f>
        <v>5.5823864988469196E-2</v>
      </c>
      <c r="Y62" s="392">
        <f>'SC-Retro'!S217</f>
        <v>4.4557680959727355E-2</v>
      </c>
      <c r="Z62" s="392">
        <f>'SC-Retro'!T217</f>
        <v>3.5565200168761947E-2</v>
      </c>
      <c r="AA62" s="392">
        <f>'SC-Retro'!U217</f>
        <v>2.420310856315249E-4</v>
      </c>
      <c r="AB62" s="392">
        <f>'SC-Retro'!V217</f>
        <v>8.6243387845676034E-5</v>
      </c>
      <c r="AC62" s="392">
        <f>'SC-Retro'!W217</f>
        <v>2.933439135465236E-5</v>
      </c>
      <c r="AD62" s="392">
        <f>'SC-Retro'!X217</f>
        <v>9.5438410980934733E-6</v>
      </c>
      <c r="AE62" s="392">
        <f>'SC-Retro'!Y217</f>
        <v>3.3343960635137462</v>
      </c>
      <c r="AF62" s="393">
        <f t="shared" si="2"/>
        <v>32.934648418009047</v>
      </c>
      <c r="AG62" s="393">
        <f t="shared" si="3"/>
        <v>24.029113099592987</v>
      </c>
      <c r="AH62" s="393">
        <f t="shared" si="4"/>
        <v>21.774077640972095</v>
      </c>
      <c r="AI62" s="393">
        <f t="shared" si="5"/>
        <v>17.69042111661755</v>
      </c>
      <c r="AJ62" s="393">
        <f t="shared" si="6"/>
        <v>8.3817226581450619</v>
      </c>
      <c r="AK62" s="393">
        <f t="shared" si="7"/>
        <v>3.3267161471566689</v>
      </c>
      <c r="AL62" s="393">
        <f t="shared" si="8"/>
        <v>9.5075769624499831</v>
      </c>
      <c r="AM62" s="393">
        <f t="shared" si="9"/>
        <v>9.4436329238515384</v>
      </c>
      <c r="AN62" s="393">
        <f t="shared" si="10"/>
        <v>7.6339647393732699</v>
      </c>
      <c r="AO62" s="393">
        <f t="shared" si="11"/>
        <v>14.081004177077999</v>
      </c>
      <c r="AP62" s="393">
        <f t="shared" si="12"/>
        <v>21.198910960348496</v>
      </c>
      <c r="AQ62" s="393">
        <f t="shared" si="13"/>
        <v>38.382150614882491</v>
      </c>
      <c r="AR62" s="393"/>
      <c r="AS62" s="393">
        <f t="shared" si="14"/>
        <v>20.934701812980556</v>
      </c>
      <c r="AT62" s="393">
        <f t="shared" si="15"/>
        <v>15.683875565820212</v>
      </c>
      <c r="AU62" s="393">
        <f t="shared" si="16"/>
        <v>12.148888026770972</v>
      </c>
      <c r="AV62" s="393">
        <f t="shared" si="17"/>
        <v>10.480666075819732</v>
      </c>
      <c r="AW62" s="393">
        <f t="shared" si="18"/>
        <v>4.3946424474319423</v>
      </c>
      <c r="AX62" s="393">
        <f t="shared" si="19"/>
        <v>1.2555843372437743</v>
      </c>
      <c r="AY62" s="393">
        <f t="shared" si="20"/>
        <v>2.7348168091309462</v>
      </c>
      <c r="AZ62" s="393">
        <f t="shared" si="21"/>
        <v>1.7834799584016221</v>
      </c>
      <c r="BA62" s="393">
        <f t="shared" si="22"/>
        <v>3.4169008012876576</v>
      </c>
      <c r="BB62" s="393">
        <f t="shared" si="23"/>
        <v>7.0720238882255284</v>
      </c>
      <c r="BC62" s="393">
        <f t="shared" si="24"/>
        <v>13.86996023549329</v>
      </c>
      <c r="BD62" s="393">
        <f t="shared" si="25"/>
        <v>24.706129078004082</v>
      </c>
    </row>
    <row r="63" spans="1:56" ht="15">
      <c r="A63" s="389"/>
      <c r="B63" s="389"/>
      <c r="C63" s="389"/>
      <c r="D63" s="389"/>
      <c r="E63" s="389"/>
      <c r="F63" s="390"/>
      <c r="G63" s="391"/>
      <c r="H63" s="391"/>
      <c r="K63" s="392"/>
      <c r="L63" s="392"/>
      <c r="M63" s="392"/>
      <c r="N63" s="392"/>
      <c r="O63" s="392"/>
      <c r="P63" s="392"/>
      <c r="Q63" s="392"/>
      <c r="R63" s="392"/>
      <c r="S63" s="392"/>
      <c r="T63" s="392"/>
      <c r="U63" s="392"/>
      <c r="V63" s="392"/>
      <c r="W63" s="392"/>
      <c r="X63" s="392"/>
      <c r="Y63" s="392"/>
      <c r="Z63" s="392"/>
      <c r="AA63" s="392"/>
      <c r="AB63" s="392"/>
      <c r="AC63" s="392"/>
      <c r="AD63" s="392"/>
      <c r="AE63" s="392"/>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B308"/>
  <sheetViews>
    <sheetView topLeftCell="B55" zoomScale="115" zoomScaleNormal="115" workbookViewId="0">
      <selection activeCell="B13" sqref="B13"/>
    </sheetView>
  </sheetViews>
  <sheetFormatPr defaultRowHeight="12.75"/>
  <cols>
    <col min="1" max="1" width="35" style="57" customWidth="1"/>
    <col min="2" max="2" width="30.85546875" style="57" customWidth="1"/>
    <col min="3" max="3" width="19.85546875" style="57" customWidth="1"/>
    <col min="4" max="4" width="51.28515625" style="57" customWidth="1"/>
    <col min="5" max="5" width="9.7109375" style="57" customWidth="1"/>
    <col min="6" max="6" width="9.85546875" style="57" customWidth="1"/>
    <col min="7" max="8" width="10.140625" style="57" customWidth="1"/>
    <col min="9" max="27" width="9.140625" style="57"/>
    <col min="28" max="28" width="21.7109375" style="57" customWidth="1"/>
    <col min="29" max="29" width="35.85546875" style="57" customWidth="1"/>
    <col min="30" max="30" width="35.28515625" style="57" customWidth="1"/>
    <col min="31" max="31" width="15" style="57" customWidth="1"/>
    <col min="32" max="32" width="17.7109375" style="57" customWidth="1"/>
    <col min="33" max="33" width="15.140625" style="57" customWidth="1"/>
    <col min="34" max="34" width="15.7109375" style="57" customWidth="1"/>
    <col min="35" max="35" width="21.28515625" style="57" customWidth="1"/>
    <col min="36" max="36" width="17.7109375" style="57" bestFit="1" customWidth="1"/>
    <col min="37" max="37" width="15.42578125" style="57" bestFit="1" customWidth="1"/>
    <col min="38" max="38" width="14.28515625" style="57" bestFit="1" customWidth="1"/>
    <col min="39" max="39" width="14.28515625" style="57" customWidth="1"/>
    <col min="40" max="40" width="12.5703125" style="57" customWidth="1"/>
    <col min="41" max="41" width="14" style="57" bestFit="1" customWidth="1"/>
    <col min="42" max="43" width="10.85546875" style="57" bestFit="1" customWidth="1"/>
    <col min="44" max="44" width="13.42578125" style="57" customWidth="1"/>
    <col min="45" max="45" width="11.85546875" style="57" bestFit="1" customWidth="1"/>
    <col min="46" max="46" width="11" style="57" bestFit="1" customWidth="1"/>
    <col min="47" max="47" width="14.28515625" style="57" bestFit="1" customWidth="1"/>
    <col min="48" max="48" width="10.7109375" style="57" customWidth="1"/>
    <col min="49" max="49" width="13.85546875" style="57" bestFit="1" customWidth="1"/>
    <col min="50" max="50" width="11.7109375" style="57" bestFit="1" customWidth="1"/>
    <col min="51" max="51" width="15.28515625" style="57" bestFit="1" customWidth="1"/>
    <col min="52" max="54" width="12.28515625" style="57" bestFit="1" customWidth="1"/>
    <col min="55" max="55" width="12.5703125" style="57" bestFit="1" customWidth="1"/>
    <col min="56" max="58" width="14.28515625" style="57" bestFit="1" customWidth="1"/>
    <col min="59" max="59" width="13.7109375" style="57" bestFit="1" customWidth="1"/>
    <col min="60" max="60" width="14" style="57" bestFit="1" customWidth="1"/>
    <col min="61" max="61" width="12.85546875" style="57" bestFit="1" customWidth="1"/>
    <col min="62" max="62" width="15.28515625" style="57" bestFit="1" customWidth="1"/>
    <col min="63" max="63" width="12.28515625" style="57" bestFit="1" customWidth="1"/>
    <col min="64" max="64" width="10.85546875" style="57" bestFit="1" customWidth="1"/>
    <col min="65" max="65" width="12.28515625" style="57" bestFit="1" customWidth="1"/>
    <col min="66" max="66" width="12.5703125" style="57" bestFit="1" customWidth="1"/>
    <col min="67" max="16384" width="9.140625" style="57"/>
  </cols>
  <sheetData>
    <row r="1" spans="1:68">
      <c r="A1" s="56" t="s">
        <v>231</v>
      </c>
      <c r="B1" s="400" t="s">
        <v>232</v>
      </c>
      <c r="C1" s="400"/>
      <c r="D1" s="400"/>
      <c r="E1" s="400"/>
      <c r="F1" s="400"/>
      <c r="G1" s="400"/>
      <c r="H1" s="400"/>
      <c r="I1" s="400"/>
      <c r="J1" s="400"/>
      <c r="K1" s="400"/>
      <c r="L1" s="400"/>
      <c r="M1" s="400"/>
      <c r="N1" s="400"/>
      <c r="O1" s="400"/>
      <c r="P1" s="400"/>
      <c r="Q1" s="400"/>
      <c r="R1" s="400"/>
      <c r="S1" s="400"/>
    </row>
    <row r="2" spans="1:68">
      <c r="A2" s="58" t="s">
        <v>995</v>
      </c>
      <c r="B2" s="400"/>
      <c r="C2" s="400"/>
      <c r="D2" s="400"/>
      <c r="E2" s="400"/>
      <c r="F2" s="400"/>
      <c r="G2" s="400"/>
      <c r="H2" s="400"/>
      <c r="I2" s="400"/>
      <c r="J2" s="400"/>
      <c r="K2" s="400"/>
      <c r="L2" s="400"/>
      <c r="M2" s="400"/>
      <c r="N2" s="400"/>
      <c r="O2" s="400"/>
      <c r="P2" s="400"/>
      <c r="Q2" s="400"/>
      <c r="R2" s="400"/>
      <c r="S2" s="400"/>
    </row>
    <row r="3" spans="1:68">
      <c r="B3" s="400"/>
      <c r="C3" s="400"/>
      <c r="D3" s="400"/>
      <c r="E3" s="400"/>
      <c r="F3" s="400"/>
      <c r="G3" s="400"/>
      <c r="H3" s="400"/>
      <c r="I3" s="400"/>
      <c r="J3" s="400"/>
      <c r="K3" s="400"/>
      <c r="L3" s="400"/>
      <c r="M3" s="400"/>
      <c r="N3" s="400"/>
      <c r="O3" s="400"/>
      <c r="P3" s="400"/>
      <c r="Q3" s="400"/>
      <c r="R3" s="400"/>
      <c r="S3" s="400"/>
    </row>
    <row r="4" spans="1:68">
      <c r="B4" s="400"/>
      <c r="C4" s="400"/>
      <c r="D4" s="400"/>
      <c r="E4" s="400"/>
      <c r="F4" s="400"/>
      <c r="G4" s="400"/>
      <c r="H4" s="400"/>
      <c r="I4" s="400"/>
      <c r="J4" s="400"/>
      <c r="K4" s="400"/>
      <c r="L4" s="400"/>
      <c r="M4" s="400"/>
      <c r="N4" s="400"/>
      <c r="O4" s="400"/>
      <c r="P4" s="400"/>
      <c r="Q4" s="400"/>
      <c r="R4" s="400"/>
      <c r="S4" s="400"/>
    </row>
    <row r="5" spans="1:68">
      <c r="B5" s="400"/>
      <c r="C5" s="400"/>
      <c r="D5" s="400"/>
      <c r="E5" s="400"/>
      <c r="F5" s="400"/>
      <c r="G5" s="400"/>
      <c r="H5" s="400"/>
      <c r="I5" s="400"/>
      <c r="J5" s="400"/>
      <c r="K5" s="400"/>
      <c r="L5" s="400"/>
      <c r="M5" s="400"/>
      <c r="N5" s="400"/>
      <c r="O5" s="400"/>
      <c r="P5" s="400"/>
      <c r="Q5" s="400"/>
      <c r="R5" s="400"/>
      <c r="S5" s="400"/>
    </row>
    <row r="6" spans="1:68">
      <c r="B6" s="400"/>
      <c r="C6" s="400"/>
      <c r="D6" s="400"/>
      <c r="E6" s="400"/>
      <c r="F6" s="400"/>
      <c r="G6" s="400"/>
      <c r="H6" s="400"/>
      <c r="I6" s="400"/>
      <c r="J6" s="400"/>
      <c r="K6" s="400"/>
      <c r="L6" s="400"/>
      <c r="M6" s="400"/>
      <c r="N6" s="400"/>
      <c r="O6" s="400"/>
      <c r="P6" s="400"/>
      <c r="Q6" s="400"/>
      <c r="R6" s="400"/>
      <c r="S6" s="400"/>
    </row>
    <row r="7" spans="1:68">
      <c r="A7" s="396"/>
      <c r="B7" s="396" t="s">
        <v>24</v>
      </c>
      <c r="C7" s="200" t="s">
        <v>233</v>
      </c>
      <c r="D7" s="200" t="s">
        <v>342</v>
      </c>
    </row>
    <row r="8" spans="1:68">
      <c r="A8" s="396" t="s">
        <v>1605</v>
      </c>
      <c r="B8" s="396" t="s">
        <v>234</v>
      </c>
      <c r="C8" s="200" t="str">
        <f>[2]MLIST!$B$77</f>
        <v>ResWx</v>
      </c>
      <c r="D8" s="200" t="str">
        <f>[1]!switch_ForecastState</f>
        <v>Region</v>
      </c>
    </row>
    <row r="9" spans="1:68">
      <c r="A9" s="396" t="str">
        <f>INDEX([2]ACHIEV!$A$19:$B$100,MATCH(CONCATENATE($C$8," - ",$C$7),[2]ACHIEV!$B$19:$B$100,0),1)</f>
        <v>HVAC</v>
      </c>
      <c r="B9" s="397" t="s">
        <v>235</v>
      </c>
      <c r="C9" s="200">
        <f>[2]FILES!$H$4</f>
        <v>2035</v>
      </c>
      <c r="D9" s="200" t="str">
        <f>[1]!switch_ForecastScenario</f>
        <v>Base</v>
      </c>
    </row>
    <row r="10" spans="1:68">
      <c r="A10" s="396"/>
      <c r="B10" s="396" t="s">
        <v>1621</v>
      </c>
      <c r="C10" s="399">
        <f>MIN(SUM(E219:X219),Y219)</f>
        <v>135.18815513670745</v>
      </c>
      <c r="D10" s="201"/>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row>
    <row r="11" spans="1:68" ht="15">
      <c r="A11" s="202" t="str">
        <f>CONCATENATE("FLOOR AREA AVAILABLE FOR MEASURE -",$C$8)</f>
        <v>FLOOR AREA AVAILABLE FOR MEASURE -ResWx</v>
      </c>
      <c r="C11" s="57" t="s">
        <v>996</v>
      </c>
      <c r="E11" s="203">
        <v>2016</v>
      </c>
      <c r="F11" s="204">
        <v>2017</v>
      </c>
      <c r="G11" s="204">
        <v>2018</v>
      </c>
      <c r="H11" s="204">
        <v>2019</v>
      </c>
      <c r="I11" s="204">
        <v>2020</v>
      </c>
      <c r="J11" s="204">
        <v>2021</v>
      </c>
      <c r="K11" s="204">
        <v>2022</v>
      </c>
      <c r="L11" s="204">
        <v>2023</v>
      </c>
      <c r="M11" s="204">
        <v>2024</v>
      </c>
      <c r="N11" s="204">
        <v>2025</v>
      </c>
      <c r="O11" s="204">
        <v>2026</v>
      </c>
      <c r="P11" s="204">
        <v>2027</v>
      </c>
      <c r="Q11" s="204">
        <v>2028</v>
      </c>
      <c r="R11" s="204">
        <v>2029</v>
      </c>
      <c r="S11" s="204">
        <v>2030</v>
      </c>
      <c r="T11" s="204">
        <v>2031</v>
      </c>
      <c r="U11" s="204">
        <v>2032</v>
      </c>
      <c r="V11" s="204">
        <v>2033</v>
      </c>
      <c r="W11" s="204">
        <v>2034</v>
      </c>
      <c r="X11" s="204">
        <v>2035</v>
      </c>
      <c r="Y11" s="205"/>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row>
    <row r="12" spans="1:68" ht="15">
      <c r="E12" s="206" t="str">
        <f>CONCATENATE("HOMES_",E11)</f>
        <v>HOMES_2016</v>
      </c>
      <c r="F12" s="207" t="str">
        <f t="shared" ref="F12:X12" si="0">CONCATENATE("HOMES_",F11)</f>
        <v>HOMES_2017</v>
      </c>
      <c r="G12" s="207" t="str">
        <f t="shared" si="0"/>
        <v>HOMES_2018</v>
      </c>
      <c r="H12" s="207" t="str">
        <f t="shared" si="0"/>
        <v>HOMES_2019</v>
      </c>
      <c r="I12" s="207" t="str">
        <f t="shared" si="0"/>
        <v>HOMES_2020</v>
      </c>
      <c r="J12" s="207" t="str">
        <f t="shared" si="0"/>
        <v>HOMES_2021</v>
      </c>
      <c r="K12" s="207" t="str">
        <f t="shared" si="0"/>
        <v>HOMES_2022</v>
      </c>
      <c r="L12" s="207" t="str">
        <f t="shared" si="0"/>
        <v>HOMES_2023</v>
      </c>
      <c r="M12" s="207" t="str">
        <f t="shared" si="0"/>
        <v>HOMES_2024</v>
      </c>
      <c r="N12" s="207" t="str">
        <f t="shared" si="0"/>
        <v>HOMES_2025</v>
      </c>
      <c r="O12" s="207" t="str">
        <f t="shared" si="0"/>
        <v>HOMES_2026</v>
      </c>
      <c r="P12" s="207" t="str">
        <f t="shared" si="0"/>
        <v>HOMES_2027</v>
      </c>
      <c r="Q12" s="207" t="str">
        <f t="shared" si="0"/>
        <v>HOMES_2028</v>
      </c>
      <c r="R12" s="207" t="str">
        <f t="shared" si="0"/>
        <v>HOMES_2029</v>
      </c>
      <c r="S12" s="207" t="str">
        <f t="shared" si="0"/>
        <v>HOMES_2030</v>
      </c>
      <c r="T12" s="207" t="str">
        <f t="shared" si="0"/>
        <v>HOMES_2031</v>
      </c>
      <c r="U12" s="207" t="str">
        <f t="shared" si="0"/>
        <v>HOMES_2032</v>
      </c>
      <c r="V12" s="207" t="str">
        <f t="shared" si="0"/>
        <v>HOMES_2033</v>
      </c>
      <c r="W12" s="207" t="str">
        <f t="shared" si="0"/>
        <v>HOMES_2034</v>
      </c>
      <c r="X12" s="207" t="str">
        <f t="shared" si="0"/>
        <v>HOMES_2035</v>
      </c>
      <c r="Y12" s="208"/>
    </row>
    <row r="13" spans="1:68">
      <c r="C13" s="57" t="s">
        <v>25</v>
      </c>
      <c r="E13" s="48">
        <f>INDEX([1]!tbl_Forecast,MATCH($D$8&amp;$C13&amp;$D$7,[1]!rng_ForecastRowLookup,0),MATCH(E$11,[1]!rng_ForecastColumnLookup,0))</f>
        <v>4203528.2719999999</v>
      </c>
      <c r="F13" s="48">
        <f>INDEX([1]!tbl_Forecast,MATCH($D$8&amp;$C13&amp;$D$7,[1]!rng_ForecastRowLookup,0),MATCH(F$11,[1]!rng_ForecastColumnLookup,0))</f>
        <v>4193982.9785983553</v>
      </c>
      <c r="G13" s="48">
        <f>INDEX([1]!tbl_Forecast,MATCH($D$8&amp;$C13&amp;$D$7,[1]!rng_ForecastRowLookup,0),MATCH(G$11,[1]!rng_ForecastColumnLookup,0))</f>
        <v>4184459.3604704877</v>
      </c>
      <c r="H13" s="48">
        <f>INDEX([1]!tbl_Forecast,MATCH($D$8&amp;$C13&amp;$D$7,[1]!rng_ForecastRowLookup,0),MATCH(H$11,[1]!rng_ForecastColumnLookup,0))</f>
        <v>4174957.36839659</v>
      </c>
      <c r="I13" s="48">
        <f>INDEX([1]!tbl_Forecast,MATCH($D$8&amp;$C13&amp;$D$7,[1]!rng_ForecastRowLookup,0),MATCH(I$11,[1]!rng_ForecastColumnLookup,0))</f>
        <v>4165476.9532686244</v>
      </c>
      <c r="J13" s="48">
        <f>INDEX([1]!tbl_Forecast,MATCH($D$8&amp;$C13&amp;$D$7,[1]!rng_ForecastRowLookup,0),MATCH(J$11,[1]!rng_ForecastColumnLookup,0))</f>
        <v>4156018.0660900641</v>
      </c>
      <c r="K13" s="48">
        <f>INDEX([1]!tbl_Forecast,MATCH($D$8&amp;$C13&amp;$D$7,[1]!rng_ForecastRowLookup,0),MATCH(K$11,[1]!rng_ForecastColumnLookup,0))</f>
        <v>4146580.6579756448</v>
      </c>
      <c r="L13" s="48">
        <f>INDEX([1]!tbl_Forecast,MATCH($D$8&amp;$C13&amp;$D$7,[1]!rng_ForecastRowLookup,0),MATCH(L$11,[1]!rng_ForecastColumnLookup,0))</f>
        <v>4137164.6801511091</v>
      </c>
      <c r="M13" s="48">
        <f>INDEX([1]!tbl_Forecast,MATCH($D$8&amp;$C13&amp;$D$7,[1]!rng_ForecastRowLookup,0),MATCH(M$11,[1]!rng_ForecastColumnLookup,0))</f>
        <v>4127770.0839529554</v>
      </c>
      <c r="N13" s="48">
        <f>INDEX([1]!tbl_Forecast,MATCH($D$8&amp;$C13&amp;$D$7,[1]!rng_ForecastRowLookup,0),MATCH(N$11,[1]!rng_ForecastColumnLookup,0))</f>
        <v>4118396.8208281873</v>
      </c>
      <c r="O13" s="48">
        <f>INDEX([1]!tbl_Forecast,MATCH($D$8&amp;$C13&amp;$D$7,[1]!rng_ForecastRowLookup,0),MATCH(O$11,[1]!rng_ForecastColumnLookup,0))</f>
        <v>4109044.8423340586</v>
      </c>
      <c r="P13" s="48">
        <f>INDEX([1]!tbl_Forecast,MATCH($D$8&amp;$C13&amp;$D$7,[1]!rng_ForecastRowLookup,0),MATCH(P$11,[1]!rng_ForecastColumnLookup,0))</f>
        <v>4099714.1001378288</v>
      </c>
      <c r="Q13" s="48">
        <f>INDEX([1]!tbl_Forecast,MATCH($D$8&amp;$C13&amp;$D$7,[1]!rng_ForecastRowLookup,0),MATCH(Q$11,[1]!rng_ForecastColumnLookup,0))</f>
        <v>4090404.5460165106</v>
      </c>
      <c r="R13" s="48">
        <f>INDEX([1]!tbl_Forecast,MATCH($D$8&amp;$C13&amp;$D$7,[1]!rng_ForecastRowLookup,0),MATCH(R$11,[1]!rng_ForecastColumnLookup,0))</f>
        <v>4081116.1318566194</v>
      </c>
      <c r="S13" s="48">
        <f>INDEX([1]!tbl_Forecast,MATCH($D$8&amp;$C13&amp;$D$7,[1]!rng_ForecastRowLookup,0),MATCH(S$11,[1]!rng_ForecastColumnLookup,0))</f>
        <v>4071848.8096539262</v>
      </c>
      <c r="T13" s="48">
        <f>INDEX([1]!tbl_Forecast,MATCH($D$8&amp;$C13&amp;$D$7,[1]!rng_ForecastRowLookup,0),MATCH(T$11,[1]!rng_ForecastColumnLookup,0))</f>
        <v>4062602.5315132081</v>
      </c>
      <c r="U13" s="48">
        <f>INDEX([1]!tbl_Forecast,MATCH($D$8&amp;$C13&amp;$D$7,[1]!rng_ForecastRowLookup,0),MATCH(U$11,[1]!rng_ForecastColumnLookup,0))</f>
        <v>4053377.2496480034</v>
      </c>
      <c r="V13" s="48">
        <f>INDEX([1]!tbl_Forecast,MATCH($D$8&amp;$C13&amp;$D$7,[1]!rng_ForecastRowLookup,0),MATCH(V$11,[1]!rng_ForecastColumnLookup,0))</f>
        <v>4044172.9163803621</v>
      </c>
      <c r="W13" s="48">
        <f>INDEX([1]!tbl_Forecast,MATCH($D$8&amp;$C13&amp;$D$7,[1]!rng_ForecastRowLookup,0),MATCH(W$11,[1]!rng_ForecastColumnLookup,0))</f>
        <v>4034989.4841406001</v>
      </c>
      <c r="X13" s="48">
        <f>INDEX([1]!tbl_Forecast,MATCH($D$8&amp;$C13&amp;$D$7,[1]!rng_ForecastRowLookup,0),MATCH(X$11,[1]!rng_ForecastColumnLookup,0))</f>
        <v>4025826.9054670548</v>
      </c>
      <c r="Y13" s="48" t="e">
        <f>INDEX([1]!tbl_Forecast,MATCH($D$8&amp;$C13&amp;$D$7,[1]!rng_ForecastRowLookup,0),MATCH(Y$11,[1]!rng_ForecastColumnLookup,0))</f>
        <v>#N/A</v>
      </c>
    </row>
    <row r="14" spans="1:68">
      <c r="C14" s="57" t="s">
        <v>236</v>
      </c>
      <c r="E14" s="48">
        <f>INDEX([1]!tbl_Forecast,MATCH($D$8&amp;$C14&amp;$D$7,[1]!rng_ForecastRowLookup,0),MATCH(E$11,[1]!rng_ForecastColumnLookup,0))</f>
        <v>926243.25609262148</v>
      </c>
      <c r="F14" s="48">
        <f>INDEX([1]!tbl_Forecast,MATCH($D$8&amp;$C14&amp;$D$7,[1]!rng_ForecastRowLookup,0),MATCH(F$11,[1]!rng_ForecastColumnLookup,0))</f>
        <v>924139.92640956037</v>
      </c>
      <c r="G14" s="48">
        <f>INDEX([1]!tbl_Forecast,MATCH($D$8&amp;$C14&amp;$D$7,[1]!rng_ForecastRowLookup,0),MATCH(G$11,[1]!rng_ForecastColumnLookup,0))</f>
        <v>922041.3730050053</v>
      </c>
      <c r="H14" s="48">
        <f>INDEX([1]!tbl_Forecast,MATCH($D$8&amp;$C14&amp;$D$7,[1]!rng_ForecastRowLookup,0),MATCH(H$11,[1]!rng_ForecastColumnLookup,0))</f>
        <v>919947.58503289847</v>
      </c>
      <c r="I14" s="48">
        <f>INDEX([1]!tbl_Forecast,MATCH($D$8&amp;$C14&amp;$D$7,[1]!rng_ForecastRowLookup,0),MATCH(I$11,[1]!rng_ForecastColumnLookup,0))</f>
        <v>917858.55167181045</v>
      </c>
      <c r="J14" s="48">
        <f>INDEX([1]!tbl_Forecast,MATCH($D$8&amp;$C14&amp;$D$7,[1]!rng_ForecastRowLookup,0),MATCH(J$11,[1]!rng_ForecastColumnLookup,0))</f>
        <v>915774.26212488639</v>
      </c>
      <c r="K14" s="48">
        <f>INDEX([1]!tbl_Forecast,MATCH($D$8&amp;$C14&amp;$D$7,[1]!rng_ForecastRowLookup,0),MATCH(K$11,[1]!rng_ForecastColumnLookup,0))</f>
        <v>913694.70561978838</v>
      </c>
      <c r="L14" s="48">
        <f>INDEX([1]!tbl_Forecast,MATCH($D$8&amp;$C14&amp;$D$7,[1]!rng_ForecastRowLookup,0),MATCH(L$11,[1]!rng_ForecastColumnLookup,0))</f>
        <v>911619.87140864041</v>
      </c>
      <c r="M14" s="48">
        <f>INDEX([1]!tbl_Forecast,MATCH($D$8&amp;$C14&amp;$D$7,[1]!rng_ForecastRowLookup,0),MATCH(M$11,[1]!rng_ForecastColumnLookup,0))</f>
        <v>909549.74876797362</v>
      </c>
      <c r="N14" s="48">
        <f>INDEX([1]!tbl_Forecast,MATCH($D$8&amp;$C14&amp;$D$7,[1]!rng_ForecastRowLookup,0),MATCH(N$11,[1]!rng_ForecastColumnLookup,0))</f>
        <v>907484.32699866977</v>
      </c>
      <c r="O14" s="48">
        <f>INDEX([1]!tbl_Forecast,MATCH($D$8&amp;$C14&amp;$D$7,[1]!rng_ForecastRowLookup,0),MATCH(O$11,[1]!rng_ForecastColumnLookup,0))</f>
        <v>905423.59542590659</v>
      </c>
      <c r="P14" s="48">
        <f>INDEX([1]!tbl_Forecast,MATCH($D$8&amp;$C14&amp;$D$7,[1]!rng_ForecastRowLookup,0),MATCH(P$11,[1]!rng_ForecastColumnLookup,0))</f>
        <v>903367.54339910217</v>
      </c>
      <c r="Q14" s="48">
        <f>INDEX([1]!tbl_Forecast,MATCH($D$8&amp;$C14&amp;$D$7,[1]!rng_ForecastRowLookup,0),MATCH(Q$11,[1]!rng_ForecastColumnLookup,0))</f>
        <v>901316.16029185988</v>
      </c>
      <c r="R14" s="48">
        <f>INDEX([1]!tbl_Forecast,MATCH($D$8&amp;$C14&amp;$D$7,[1]!rng_ForecastRowLookup,0),MATCH(R$11,[1]!rng_ForecastColumnLookup,0))</f>
        <v>899269.43550191447</v>
      </c>
      <c r="S14" s="48">
        <f>INDEX([1]!tbl_Forecast,MATCH($D$8&amp;$C14&amp;$D$7,[1]!rng_ForecastRowLookup,0),MATCH(S$11,[1]!rng_ForecastColumnLookup,0))</f>
        <v>897227.35845107585</v>
      </c>
      <c r="T14" s="48">
        <f>INDEX([1]!tbl_Forecast,MATCH($D$8&amp;$C14&amp;$D$7,[1]!rng_ForecastRowLookup,0),MATCH(T$11,[1]!rng_ForecastColumnLookup,0))</f>
        <v>895189.9185851753</v>
      </c>
      <c r="U14" s="48">
        <f>INDEX([1]!tbl_Forecast,MATCH($D$8&amp;$C14&amp;$D$7,[1]!rng_ForecastRowLookup,0),MATCH(U$11,[1]!rng_ForecastColumnLookup,0))</f>
        <v>893157.10537401051</v>
      </c>
      <c r="V14" s="48">
        <f>INDEX([1]!tbl_Forecast,MATCH($D$8&amp;$C14&amp;$D$7,[1]!rng_ForecastRowLookup,0),MATCH(V$11,[1]!rng_ForecastColumnLookup,0))</f>
        <v>891128.90831129183</v>
      </c>
      <c r="W14" s="48">
        <f>INDEX([1]!tbl_Forecast,MATCH($D$8&amp;$C14&amp;$D$7,[1]!rng_ForecastRowLookup,0),MATCH(W$11,[1]!rng_ForecastColumnLookup,0))</f>
        <v>889105.31691458682</v>
      </c>
      <c r="X14" s="48">
        <f>INDEX([1]!tbl_Forecast,MATCH($D$8&amp;$C14&amp;$D$7,[1]!rng_ForecastRowLookup,0),MATCH(X$11,[1]!rng_ForecastColumnLookup,0))</f>
        <v>887086.32072526717</v>
      </c>
      <c r="Y14" s="48" t="e">
        <f>INDEX([1]!tbl_Forecast,MATCH($D$8&amp;$C14&amp;$D$7,[1]!rng_ForecastRowLookup,0),MATCH(Y$11,[1]!rng_ForecastColumnLookup,0))</f>
        <v>#N/A</v>
      </c>
    </row>
    <row r="15" spans="1:68">
      <c r="C15" s="57" t="s">
        <v>237</v>
      </c>
      <c r="E15" s="48">
        <f>INDEX([1]!tbl_Forecast,MATCH($D$8&amp;$C15&amp;$D$7,[1]!rng_ForecastRowLookup,0),MATCH(E$11,[1]!rng_ForecastColumnLookup,0))</f>
        <v>211180.07985625503</v>
      </c>
      <c r="F15" s="48">
        <f>INDEX([1]!tbl_Forecast,MATCH($D$8&amp;$C15&amp;$D$7,[1]!rng_ForecastRowLookup,0),MATCH(F$11,[1]!rng_ForecastColumnLookup,0))</f>
        <v>210700.52836963299</v>
      </c>
      <c r="G15" s="48">
        <f>INDEX([1]!tbl_Forecast,MATCH($D$8&amp;$C15&amp;$D$7,[1]!rng_ForecastRowLookup,0),MATCH(G$11,[1]!rng_ForecastColumnLookup,0))</f>
        <v>210222.06585706791</v>
      </c>
      <c r="H15" s="48">
        <f>INDEX([1]!tbl_Forecast,MATCH($D$8&amp;$C15&amp;$D$7,[1]!rng_ForecastRowLookup,0),MATCH(H$11,[1]!rng_ForecastColumnLookup,0))</f>
        <v>209744.68984569819</v>
      </c>
      <c r="I15" s="48">
        <f>INDEX([1]!tbl_Forecast,MATCH($D$8&amp;$C15&amp;$D$7,[1]!rng_ForecastRowLookup,0),MATCH(I$11,[1]!rng_ForecastColumnLookup,0))</f>
        <v>209268.39786827751</v>
      </c>
      <c r="J15" s="48">
        <f>INDEX([1]!tbl_Forecast,MATCH($D$8&amp;$C15&amp;$D$7,[1]!rng_ForecastRowLookup,0),MATCH(J$11,[1]!rng_ForecastColumnLookup,0))</f>
        <v>208793.18746316229</v>
      </c>
      <c r="K15" s="48">
        <f>INDEX([1]!tbl_Forecast,MATCH($D$8&amp;$C15&amp;$D$7,[1]!rng_ForecastRowLookup,0),MATCH(K$11,[1]!rng_ForecastColumnLookup,0))</f>
        <v>208319.05617429892</v>
      </c>
      <c r="L15" s="48">
        <f>INDEX([1]!tbl_Forecast,MATCH($D$8&amp;$C15&amp;$D$7,[1]!rng_ForecastRowLookup,0),MATCH(L$11,[1]!rng_ForecastColumnLookup,0))</f>
        <v>207846.00155121088</v>
      </c>
      <c r="M15" s="48">
        <f>INDEX([1]!tbl_Forecast,MATCH($D$8&amp;$C15&amp;$D$7,[1]!rng_ForecastRowLookup,0),MATCH(M$11,[1]!rng_ForecastColumnLookup,0))</f>
        <v>207374.0211489865</v>
      </c>
      <c r="N15" s="48">
        <f>INDEX([1]!tbl_Forecast,MATCH($D$8&amp;$C15&amp;$D$7,[1]!rng_ForecastRowLookup,0),MATCH(N$11,[1]!rng_ForecastColumnLookup,0))</f>
        <v>206903.11252826577</v>
      </c>
      <c r="O15" s="48">
        <f>INDEX([1]!tbl_Forecast,MATCH($D$8&amp;$C15&amp;$D$7,[1]!rng_ForecastRowLookup,0),MATCH(O$11,[1]!rng_ForecastColumnLookup,0))</f>
        <v>206433.27325522827</v>
      </c>
      <c r="P15" s="48">
        <f>INDEX([1]!tbl_Forecast,MATCH($D$8&amp;$C15&amp;$D$7,[1]!rng_ForecastRowLookup,0),MATCH(P$11,[1]!rng_ForecastColumnLookup,0))</f>
        <v>205964.50090158021</v>
      </c>
      <c r="Q15" s="48">
        <f>INDEX([1]!tbl_Forecast,MATCH($D$8&amp;$C15&amp;$D$7,[1]!rng_ForecastRowLookup,0),MATCH(Q$11,[1]!rng_ForecastColumnLookup,0))</f>
        <v>205496.79304454199</v>
      </c>
      <c r="R15" s="48">
        <f>INDEX([1]!tbl_Forecast,MATCH($D$8&amp;$C15&amp;$D$7,[1]!rng_ForecastRowLookup,0),MATCH(R$11,[1]!rng_ForecastColumnLookup,0))</f>
        <v>205030.14726683579</v>
      </c>
      <c r="S15" s="48">
        <f>INDEX([1]!tbl_Forecast,MATCH($D$8&amp;$C15&amp;$D$7,[1]!rng_ForecastRowLookup,0),MATCH(S$11,[1]!rng_ForecastColumnLookup,0))</f>
        <v>204564.56115667295</v>
      </c>
      <c r="T15" s="48">
        <f>INDEX([1]!tbl_Forecast,MATCH($D$8&amp;$C15&amp;$D$7,[1]!rng_ForecastRowLookup,0),MATCH(T$11,[1]!rng_ForecastColumnLookup,0))</f>
        <v>204100.03230774152</v>
      </c>
      <c r="U15" s="48">
        <f>INDEX([1]!tbl_Forecast,MATCH($D$8&amp;$C15&amp;$D$7,[1]!rng_ForecastRowLookup,0),MATCH(U$11,[1]!rng_ForecastColumnLookup,0))</f>
        <v>203636.55831919383</v>
      </c>
      <c r="V15" s="48">
        <f>INDEX([1]!tbl_Forecast,MATCH($D$8&amp;$C15&amp;$D$7,[1]!rng_ForecastRowLookup,0),MATCH(V$11,[1]!rng_ForecastColumnLookup,0))</f>
        <v>203174.13679563423</v>
      </c>
      <c r="W15" s="48">
        <f>INDEX([1]!tbl_Forecast,MATCH($D$8&amp;$C15&amp;$D$7,[1]!rng_ForecastRowLookup,0),MATCH(W$11,[1]!rng_ForecastColumnLookup,0))</f>
        <v>202712.76534710638</v>
      </c>
      <c r="X15" s="48">
        <f>INDEX([1]!tbl_Forecast,MATCH($D$8&amp;$C15&amp;$D$7,[1]!rng_ForecastRowLookup,0),MATCH(X$11,[1]!rng_ForecastColumnLookup,0))</f>
        <v>202252.44158908122</v>
      </c>
      <c r="Y15" s="48" t="e">
        <f>INDEX([1]!tbl_Forecast,MATCH($D$8&amp;$C15&amp;$D$7,[1]!rng_ForecastRowLookup,0),MATCH(Y$11,[1]!rng_ForecastColumnLookup,0))</f>
        <v>#N/A</v>
      </c>
    </row>
    <row r="16" spans="1:68">
      <c r="C16" s="57" t="s">
        <v>238</v>
      </c>
      <c r="E16" s="48">
        <f>INDEX([1]!tbl_Forecast,MATCH($D$8&amp;$C16&amp;$D$7,[1]!rng_ForecastRowLookup,0),MATCH(E$11,[1]!rng_ForecastColumnLookup,0))</f>
        <v>572006.3278356482</v>
      </c>
      <c r="F16" s="48">
        <f>INDEX([1]!tbl_Forecast,MATCH($D$8&amp;$C16&amp;$D$7,[1]!rng_ForecastRowLookup,0),MATCH(F$11,[1]!rng_ForecastColumnLookup,0))</f>
        <v>565893.30394507048</v>
      </c>
      <c r="G16" s="48">
        <f>INDEX([1]!tbl_Forecast,MATCH($D$8&amp;$C16&amp;$D$7,[1]!rng_ForecastRowLookup,0),MATCH(G$11,[1]!rng_ForecastColumnLookup,0))</f>
        <v>559845.60985814757</v>
      </c>
      <c r="H16" s="48">
        <f>INDEX([1]!tbl_Forecast,MATCH($D$8&amp;$C16&amp;$D$7,[1]!rng_ForecastRowLookup,0),MATCH(H$11,[1]!rng_ForecastColumnLookup,0))</f>
        <v>553862.54739615123</v>
      </c>
      <c r="I16" s="48">
        <f>INDEX([1]!tbl_Forecast,MATCH($D$8&amp;$C16&amp;$D$7,[1]!rng_ForecastRowLookup,0),MATCH(I$11,[1]!rng_ForecastColumnLookup,0))</f>
        <v>547943.42584177968</v>
      </c>
      <c r="J16" s="48">
        <f>INDEX([1]!tbl_Forecast,MATCH($D$8&amp;$C16&amp;$D$7,[1]!rng_ForecastRowLookup,0),MATCH(J$11,[1]!rng_ForecastColumnLookup,0))</f>
        <v>542087.56185941794</v>
      </c>
      <c r="K16" s="48">
        <f>INDEX([1]!tbl_Forecast,MATCH($D$8&amp;$C16&amp;$D$7,[1]!rng_ForecastRowLookup,0),MATCH(K$11,[1]!rng_ForecastColumnLookup,0))</f>
        <v>536294.27941624937</v>
      </c>
      <c r="L16" s="48">
        <f>INDEX([1]!tbl_Forecast,MATCH($D$8&amp;$C16&amp;$D$7,[1]!rng_ForecastRowLookup,0),MATCH(L$11,[1]!rng_ForecastColumnLookup,0))</f>
        <v>530562.90970421082</v>
      </c>
      <c r="M16" s="48">
        <f>INDEX([1]!tbl_Forecast,MATCH($D$8&amp;$C16&amp;$D$7,[1]!rng_ForecastRowLookup,0),MATCH(M$11,[1]!rng_ForecastColumnLookup,0))</f>
        <v>524892.79106278194</v>
      </c>
      <c r="N16" s="48">
        <f>INDEX([1]!tbl_Forecast,MATCH($D$8&amp;$C16&amp;$D$7,[1]!rng_ForecastRowLookup,0),MATCH(N$11,[1]!rng_ForecastColumnLookup,0))</f>
        <v>519283.26890259917</v>
      </c>
      <c r="O16" s="48">
        <f>INDEX([1]!tbl_Forecast,MATCH($D$8&amp;$C16&amp;$D$7,[1]!rng_ForecastRowLookup,0),MATCH(O$11,[1]!rng_ForecastColumnLookup,0))</f>
        <v>513733.69562988722</v>
      </c>
      <c r="P16" s="48">
        <f>INDEX([1]!tbl_Forecast,MATCH($D$8&amp;$C16&amp;$D$7,[1]!rng_ForecastRowLookup,0),MATCH(P$11,[1]!rng_ForecastColumnLookup,0))</f>
        <v>508243.4305716962</v>
      </c>
      <c r="Q16" s="48">
        <f>INDEX([1]!tbl_Forecast,MATCH($D$8&amp;$C16&amp;$D$7,[1]!rng_ForecastRowLookup,0),MATCH(Q$11,[1]!rng_ForecastColumnLookup,0))</f>
        <v>502811.8399019395</v>
      </c>
      <c r="R16" s="48">
        <f>INDEX([1]!tbl_Forecast,MATCH($D$8&amp;$C16&amp;$D$7,[1]!rng_ForecastRowLookup,0),MATCH(R$11,[1]!rng_ForecastColumnLookup,0))</f>
        <v>497438.2965682213</v>
      </c>
      <c r="S16" s="48">
        <f>INDEX([1]!tbl_Forecast,MATCH($D$8&amp;$C16&amp;$D$7,[1]!rng_ForecastRowLookup,0),MATCH(S$11,[1]!rng_ForecastColumnLookup,0))</f>
        <v>492122.18021944637</v>
      </c>
      <c r="T16" s="48">
        <f>INDEX([1]!tbl_Forecast,MATCH($D$8&amp;$C16&amp;$D$7,[1]!rng_ForecastRowLookup,0),MATCH(T$11,[1]!rng_ForecastColumnLookup,0))</f>
        <v>486862.87713420321</v>
      </c>
      <c r="U16" s="48">
        <f>INDEX([1]!tbl_Forecast,MATCH($D$8&amp;$C16&amp;$D$7,[1]!rng_ForecastRowLookup,0),MATCH(U$11,[1]!rng_ForecastColumnLookup,0))</f>
        <v>481659.78014991269</v>
      </c>
      <c r="V16" s="48">
        <f>INDEX([1]!tbl_Forecast,MATCH($D$8&amp;$C16&amp;$D$7,[1]!rng_ForecastRowLookup,0),MATCH(V$11,[1]!rng_ForecastColumnLookup,0))</f>
        <v>476512.28859273402</v>
      </c>
      <c r="W16" s="48">
        <f>INDEX([1]!tbl_Forecast,MATCH($D$8&amp;$C16&amp;$D$7,[1]!rng_ForecastRowLookup,0),MATCH(W$11,[1]!rng_ForecastColumnLookup,0))</f>
        <v>471419.80820821953</v>
      </c>
      <c r="X16" s="48">
        <f>INDEX([1]!tbl_Forecast,MATCH($D$8&amp;$C16&amp;$D$7,[1]!rng_ForecastRowLookup,0),MATCH(X$11,[1]!rng_ForecastColumnLookup,0))</f>
        <v>466381.75109271082</v>
      </c>
      <c r="Y16" s="48" t="e">
        <f>INDEX([1]!tbl_Forecast,MATCH($D$8&amp;$C16&amp;$D$7,[1]!rng_ForecastRowLookup,0),MATCH(Y$11,[1]!rng_ForecastColumnLookup,0))</f>
        <v>#N/A</v>
      </c>
    </row>
    <row r="17" spans="1:26">
      <c r="E17" s="60"/>
      <c r="F17" s="60"/>
      <c r="G17" s="60"/>
      <c r="H17" s="60"/>
      <c r="I17" s="60"/>
      <c r="J17" s="60"/>
      <c r="K17" s="60"/>
      <c r="L17" s="60"/>
      <c r="M17" s="60"/>
      <c r="N17" s="60"/>
      <c r="O17" s="60"/>
      <c r="P17" s="60"/>
      <c r="Q17" s="60"/>
      <c r="R17" s="60"/>
      <c r="S17" s="60"/>
      <c r="T17" s="60"/>
      <c r="U17" s="60"/>
      <c r="V17" s="60"/>
      <c r="W17" s="60"/>
      <c r="X17" s="60"/>
      <c r="Y17" s="60"/>
    </row>
    <row r="18" spans="1:26">
      <c r="B18" s="57" t="s">
        <v>239</v>
      </c>
      <c r="C18" s="57" t="s">
        <v>240</v>
      </c>
      <c r="E18" s="60">
        <f t="shared" ref="E18:X18" si="1">SUM(E13:E16)</f>
        <v>5912957.9357845243</v>
      </c>
      <c r="F18" s="60">
        <f t="shared" si="1"/>
        <v>5894716.7373226183</v>
      </c>
      <c r="G18" s="60">
        <f t="shared" si="1"/>
        <v>5876568.4091907088</v>
      </c>
      <c r="H18" s="60">
        <f t="shared" si="1"/>
        <v>5858512.1906713378</v>
      </c>
      <c r="I18" s="60">
        <f t="shared" si="1"/>
        <v>5840547.3286504922</v>
      </c>
      <c r="J18" s="60">
        <f t="shared" si="1"/>
        <v>5822673.077537531</v>
      </c>
      <c r="K18" s="60">
        <f t="shared" si="1"/>
        <v>5804888.6991859814</v>
      </c>
      <c r="L18" s="60">
        <f t="shared" si="1"/>
        <v>5787193.462815172</v>
      </c>
      <c r="M18" s="60">
        <f t="shared" si="1"/>
        <v>5769586.6449326966</v>
      </c>
      <c r="N18" s="60">
        <f t="shared" si="1"/>
        <v>5752067.5292577213</v>
      </c>
      <c r="O18" s="60">
        <f t="shared" si="1"/>
        <v>5734635.406645081</v>
      </c>
      <c r="P18" s="60">
        <f t="shared" si="1"/>
        <v>5717289.5750102066</v>
      </c>
      <c r="Q18" s="60">
        <f t="shared" si="1"/>
        <v>5700029.3392548524</v>
      </c>
      <c r="R18" s="60">
        <f t="shared" si="1"/>
        <v>5682854.0111935912</v>
      </c>
      <c r="S18" s="60">
        <f t="shared" si="1"/>
        <v>5665762.9094811222</v>
      </c>
      <c r="T18" s="60">
        <f t="shared" si="1"/>
        <v>5648755.3595403275</v>
      </c>
      <c r="U18" s="60">
        <f t="shared" si="1"/>
        <v>5631830.6934911208</v>
      </c>
      <c r="V18" s="60">
        <f t="shared" si="1"/>
        <v>5614988.250080023</v>
      </c>
      <c r="W18" s="60">
        <f t="shared" si="1"/>
        <v>5598227.3746105134</v>
      </c>
      <c r="X18" s="60">
        <f t="shared" si="1"/>
        <v>5581547.4188741138</v>
      </c>
      <c r="Y18" s="60"/>
    </row>
    <row r="19" spans="1:26">
      <c r="D19" s="60"/>
      <c r="E19" s="60"/>
      <c r="F19" s="60"/>
      <c r="G19" s="60"/>
      <c r="H19" s="60"/>
      <c r="I19" s="60"/>
      <c r="J19" s="60"/>
      <c r="K19" s="60"/>
      <c r="L19" s="60"/>
      <c r="M19" s="60"/>
      <c r="N19" s="60"/>
      <c r="O19" s="60"/>
      <c r="P19" s="60"/>
      <c r="Q19" s="60"/>
      <c r="R19" s="60"/>
      <c r="S19" s="60"/>
      <c r="T19" s="60"/>
      <c r="U19" s="60"/>
      <c r="V19" s="60"/>
      <c r="W19" s="60"/>
      <c r="X19" s="60"/>
    </row>
    <row r="20" spans="1:26">
      <c r="D20" s="60"/>
      <c r="E20" s="60"/>
      <c r="F20" s="60"/>
      <c r="G20" s="60"/>
      <c r="H20" s="60"/>
      <c r="I20" s="60"/>
      <c r="J20" s="60"/>
      <c r="K20" s="60"/>
      <c r="L20" s="60"/>
      <c r="M20" s="60"/>
      <c r="N20" s="60"/>
      <c r="O20" s="60"/>
      <c r="P20" s="60"/>
      <c r="Q20" s="60"/>
      <c r="R20" s="60"/>
      <c r="S20" s="60"/>
      <c r="T20" s="60"/>
      <c r="U20" s="60"/>
      <c r="V20" s="60"/>
      <c r="W20" s="60"/>
      <c r="X20" s="60"/>
    </row>
    <row r="21" spans="1:26" ht="15">
      <c r="A21" s="202" t="str">
        <f>CONCATENATE("# HOMES APPLICABLE BY YEAR FOR MEASURE - ",C22)</f>
        <v># HOMES APPLICABLE BY YEAR FOR MEASURE - ResWx - Retro</v>
      </c>
      <c r="D21" s="60"/>
      <c r="E21" s="60"/>
      <c r="F21" s="60"/>
      <c r="G21" s="60"/>
      <c r="H21" s="60"/>
      <c r="I21" s="60"/>
      <c r="J21" s="60"/>
      <c r="K21" s="60"/>
      <c r="L21" s="60"/>
      <c r="M21" s="60"/>
      <c r="N21" s="60"/>
      <c r="O21" s="60"/>
      <c r="P21" s="60"/>
      <c r="Q21" s="60"/>
      <c r="R21" s="60"/>
      <c r="S21" s="60"/>
      <c r="T21" s="60"/>
      <c r="U21" s="60"/>
      <c r="V21" s="60"/>
      <c r="W21" s="60"/>
      <c r="X21" s="60"/>
      <c r="Z21" s="334">
        <v>0.85</v>
      </c>
    </row>
    <row r="22" spans="1:26" ht="15">
      <c r="A22" s="209" t="s">
        <v>241</v>
      </c>
      <c r="B22" s="209" t="s">
        <v>1136</v>
      </c>
      <c r="C22" s="209" t="str">
        <f>CONCATENATE(C8," - ",C7)</f>
        <v>ResWx - Retro</v>
      </c>
      <c r="D22" s="57">
        <v>2</v>
      </c>
      <c r="E22" s="57">
        <v>3</v>
      </c>
      <c r="F22" s="57">
        <v>4</v>
      </c>
      <c r="G22" s="57">
        <v>5</v>
      </c>
      <c r="H22" s="57">
        <v>6</v>
      </c>
      <c r="I22" s="57">
        <v>7</v>
      </c>
      <c r="J22" s="57">
        <v>8</v>
      </c>
      <c r="K22" s="57">
        <v>9</v>
      </c>
      <c r="L22" s="57">
        <v>10</v>
      </c>
      <c r="M22" s="57">
        <v>11</v>
      </c>
      <c r="N22" s="57">
        <v>12</v>
      </c>
      <c r="O22" s="57">
        <v>13</v>
      </c>
      <c r="P22" s="57">
        <v>14</v>
      </c>
      <c r="Q22" s="57">
        <v>15</v>
      </c>
      <c r="R22" s="57">
        <v>16</v>
      </c>
      <c r="S22" s="57">
        <v>17</v>
      </c>
      <c r="T22" s="57">
        <v>18</v>
      </c>
      <c r="U22" s="57">
        <v>19</v>
      </c>
      <c r="V22" s="57">
        <v>20</v>
      </c>
      <c r="W22" s="57">
        <v>21</v>
      </c>
      <c r="X22" s="57">
        <v>22</v>
      </c>
      <c r="Z22" s="333" t="s">
        <v>1363</v>
      </c>
    </row>
    <row r="23" spans="1:26">
      <c r="A23" s="218">
        <f>INDEX([2]!ResApplic,MATCH(CONCATENATE(LEFT($D23,FIND("_",$D23)-1)," - ",$C$7),[2]APPLIC!$B$9:$B$198,0)+1,MATCH($C23,[2]APPLIC!$C$8:$F$8,0)+1)</f>
        <v>3.0150417138103489E-2</v>
      </c>
      <c r="B23" s="212">
        <f>VLOOKUP(RIGHT($D23,LEN(D23)-FIND("_",$D23)),Weighting!$D$27:$H$30,5,FALSE)</f>
        <v>5.4838081978090071E-2</v>
      </c>
      <c r="C23" s="57" t="str">
        <f>C13</f>
        <v>Single Family</v>
      </c>
      <c r="D23" s="60" t="s">
        <v>834</v>
      </c>
      <c r="E23" s="60">
        <f>$A23*VLOOKUP($C23,$C$13:$Y$16,E$22,FALSE)*$B23</f>
        <v>6950.0760094454072</v>
      </c>
      <c r="F23" s="60">
        <f t="shared" ref="F23:U38" si="2">$A23*VLOOKUP($C23,$C$13:$Y$16,F$22,FALSE)*$B23</f>
        <v>6934.293906797071</v>
      </c>
      <c r="G23" s="60">
        <f t="shared" si="2"/>
        <v>6918.5476418523322</v>
      </c>
      <c r="H23" s="60">
        <f t="shared" si="2"/>
        <v>6902.8371332316019</v>
      </c>
      <c r="I23" s="60">
        <f t="shared" si="2"/>
        <v>6887.1622997400918</v>
      </c>
      <c r="J23" s="60">
        <f t="shared" si="2"/>
        <v>6871.5230603673817</v>
      </c>
      <c r="K23" s="60">
        <f t="shared" si="2"/>
        <v>6855.919334287014</v>
      </c>
      <c r="L23" s="60">
        <f t="shared" si="2"/>
        <v>6840.3510408560669</v>
      </c>
      <c r="M23" s="60">
        <f t="shared" si="2"/>
        <v>6824.8180996147448</v>
      </c>
      <c r="N23" s="60">
        <f t="shared" si="2"/>
        <v>6809.3204302859558</v>
      </c>
      <c r="O23" s="60">
        <f t="shared" si="2"/>
        <v>6793.8579527748989</v>
      </c>
      <c r="P23" s="60">
        <f t="shared" si="2"/>
        <v>6778.4305871686529</v>
      </c>
      <c r="Q23" s="60">
        <f t="shared" si="2"/>
        <v>6763.0382537357618</v>
      </c>
      <c r="R23" s="60">
        <f t="shared" si="2"/>
        <v>6747.6808729258219</v>
      </c>
      <c r="S23" s="60">
        <f t="shared" si="2"/>
        <v>6732.3583653690703</v>
      </c>
      <c r="T23" s="60">
        <f t="shared" si="2"/>
        <v>6717.0706518759744</v>
      </c>
      <c r="U23" s="60">
        <f t="shared" si="2"/>
        <v>6701.8176534368258</v>
      </c>
      <c r="V23" s="60">
        <f t="shared" ref="V23:X42" si="3">$A23*VLOOKUP($C23,$C$13:$Y$16,V$22,FALSE)*$B23</f>
        <v>6686.5992912213296</v>
      </c>
      <c r="W23" s="60">
        <f t="shared" si="3"/>
        <v>6671.4154865781966</v>
      </c>
      <c r="X23" s="60">
        <f t="shared" si="3"/>
        <v>6656.2661610347377</v>
      </c>
      <c r="Y23" s="398">
        <f>Z23/E23</f>
        <v>0.81406681440466755</v>
      </c>
      <c r="Z23" s="335">
        <f>X23*$Z$21</f>
        <v>5657.8262368795267</v>
      </c>
    </row>
    <row r="24" spans="1:26">
      <c r="A24" s="218">
        <f>INDEX([2]!ResApplic,MATCH(CONCATENATE(LEFT($D24,FIND("_",$D24)-1)," - ",$C$7),[2]APPLIC!$B$9:$B$198,0)+1,MATCH($C24,[2]APPLIC!$C$8:$F$8,0)+1)</f>
        <v>1.6064798296574784E-2</v>
      </c>
      <c r="B24" s="212">
        <f>VLOOKUP(RIGHT($D24,LEN(D24)-FIND("_",$D24)),Weighting!$D$27:$H$30,5,FALSE)</f>
        <v>5.4838081978090071E-2</v>
      </c>
      <c r="C24" s="57" t="str">
        <f>$C$23</f>
        <v>Single Family</v>
      </c>
      <c r="D24" s="60" t="s">
        <v>835</v>
      </c>
      <c r="E24" s="60">
        <f t="shared" ref="E24:T39" si="4">$A24*VLOOKUP($C24,$C$13:$Y$16,E$22,FALSE)*$B24</f>
        <v>3703.1517251050182</v>
      </c>
      <c r="F24" s="60">
        <f t="shared" si="2"/>
        <v>3694.7426774099217</v>
      </c>
      <c r="G24" s="60">
        <f t="shared" si="2"/>
        <v>3686.352724823098</v>
      </c>
      <c r="H24" s="60">
        <f t="shared" si="2"/>
        <v>3677.9818239837309</v>
      </c>
      <c r="I24" s="60">
        <f t="shared" si="2"/>
        <v>3669.6299316294699</v>
      </c>
      <c r="J24" s="60">
        <f t="shared" si="2"/>
        <v>3661.2970045962006</v>
      </c>
      <c r="K24" s="60">
        <f t="shared" si="2"/>
        <v>3652.9829998178284</v>
      </c>
      <c r="L24" s="60">
        <f t="shared" si="2"/>
        <v>3644.6878743260495</v>
      </c>
      <c r="M24" s="60">
        <f t="shared" si="2"/>
        <v>3636.4115852501332</v>
      </c>
      <c r="N24" s="60">
        <f t="shared" si="2"/>
        <v>3628.1540898167004</v>
      </c>
      <c r="O24" s="60">
        <f t="shared" si="2"/>
        <v>3619.915345349496</v>
      </c>
      <c r="P24" s="60">
        <f t="shared" si="2"/>
        <v>3611.695309269177</v>
      </c>
      <c r="Q24" s="60">
        <f t="shared" si="2"/>
        <v>3603.4939390930908</v>
      </c>
      <c r="R24" s="60">
        <f t="shared" si="2"/>
        <v>3595.3111924350492</v>
      </c>
      <c r="S24" s="60">
        <f t="shared" si="2"/>
        <v>3587.1470270051159</v>
      </c>
      <c r="T24" s="60">
        <f t="shared" si="2"/>
        <v>3579.0014006093861</v>
      </c>
      <c r="U24" s="60">
        <f t="shared" si="2"/>
        <v>3570.8742711497666</v>
      </c>
      <c r="V24" s="60">
        <f t="shared" si="3"/>
        <v>3562.7655966237621</v>
      </c>
      <c r="W24" s="60">
        <f t="shared" si="3"/>
        <v>3554.6753351242528</v>
      </c>
      <c r="X24" s="60">
        <f t="shared" si="3"/>
        <v>3546.6034448392838</v>
      </c>
      <c r="Y24" s="60"/>
      <c r="Z24" s="335">
        <f t="shared" ref="Z24:Z79" si="5">X24*$Z$21</f>
        <v>3014.6129281133913</v>
      </c>
    </row>
    <row r="25" spans="1:26">
      <c r="A25" s="218">
        <f>INDEX([2]!ResApplic,MATCH(CONCATENATE(LEFT($D25,FIND("_",$D25)-1)," - ",$C$7),[2]APPLIC!$B$9:$B$198,0)+1,MATCH($C25,[2]APPLIC!$C$8:$F$8,0)+1)</f>
        <v>3.0150417138103489E-2</v>
      </c>
      <c r="B25" s="212">
        <f>VLOOKUP(RIGHT($D25,LEN(D25)-FIND("_",$D25)),Weighting!$D$27:$H$30,5,FALSE)</f>
        <v>0.19554651968726669</v>
      </c>
      <c r="C25" s="57" t="str">
        <f t="shared" ref="C25:C80" si="6">$C$23</f>
        <v>Single Family</v>
      </c>
      <c r="D25" s="60" t="s">
        <v>848</v>
      </c>
      <c r="E25" s="60">
        <f t="shared" si="4"/>
        <v>24783.200399897545</v>
      </c>
      <c r="F25" s="60">
        <f t="shared" si="2"/>
        <v>24726.923171830698</v>
      </c>
      <c r="G25" s="60">
        <f t="shared" si="2"/>
        <v>24670.773737041069</v>
      </c>
      <c r="H25" s="60">
        <f t="shared" si="2"/>
        <v>24614.751805338059</v>
      </c>
      <c r="I25" s="60">
        <f t="shared" si="2"/>
        <v>24558.857087190059</v>
      </c>
      <c r="J25" s="60">
        <f t="shared" si="2"/>
        <v>24503.089293722896</v>
      </c>
      <c r="K25" s="60">
        <f t="shared" si="2"/>
        <v>24447.44813671838</v>
      </c>
      <c r="L25" s="60">
        <f t="shared" si="2"/>
        <v>24391.933328612799</v>
      </c>
      <c r="M25" s="60">
        <f t="shared" si="2"/>
        <v>24336.54458249544</v>
      </c>
      <c r="N25" s="60">
        <f t="shared" si="2"/>
        <v>24281.281612107097</v>
      </c>
      <c r="O25" s="60">
        <f t="shared" si="2"/>
        <v>24226.144131838584</v>
      </c>
      <c r="P25" s="60">
        <f t="shared" si="2"/>
        <v>24171.131856729298</v>
      </c>
      <c r="Q25" s="60">
        <f t="shared" si="2"/>
        <v>24116.244502465695</v>
      </c>
      <c r="R25" s="60">
        <f t="shared" si="2"/>
        <v>24061.481785379863</v>
      </c>
      <c r="S25" s="60">
        <f t="shared" si="2"/>
        <v>24006.84342244803</v>
      </c>
      <c r="T25" s="60">
        <f t="shared" si="2"/>
        <v>23952.329131289098</v>
      </c>
      <c r="U25" s="60">
        <f t="shared" si="2"/>
        <v>23897.938630163211</v>
      </c>
      <c r="V25" s="60">
        <f t="shared" si="3"/>
        <v>23843.671637970278</v>
      </c>
      <c r="W25" s="60">
        <f t="shared" si="3"/>
        <v>23789.527874248521</v>
      </c>
      <c r="X25" s="60">
        <f t="shared" si="3"/>
        <v>23735.507059173033</v>
      </c>
      <c r="Y25" s="60"/>
      <c r="Z25" s="335">
        <f t="shared" si="5"/>
        <v>20175.181000297078</v>
      </c>
    </row>
    <row r="26" spans="1:26">
      <c r="A26" s="218">
        <f>INDEX([2]!ResApplic,MATCH(CONCATENATE(LEFT($D26,FIND("_",$D26)-1)," - ",$C$7),[2]APPLIC!$B$9:$B$198,0)+1,MATCH($C26,[2]APPLIC!$C$8:$F$8,0)+1)</f>
        <v>3.0150417138103489E-2</v>
      </c>
      <c r="B26" s="212">
        <f>VLOOKUP(RIGHT($D26,LEN(D26)-FIND("_",$D26)),Weighting!$D$27:$H$30,5,FALSE)</f>
        <v>1.706554478645779E-2</v>
      </c>
      <c r="C26" s="57" t="str">
        <f t="shared" si="6"/>
        <v>Single Family</v>
      </c>
      <c r="D26" s="60" t="s">
        <v>876</v>
      </c>
      <c r="E26" s="60">
        <f t="shared" si="4"/>
        <v>2162.8552482171867</v>
      </c>
      <c r="F26" s="60">
        <f t="shared" si="2"/>
        <v>2157.9438769610351</v>
      </c>
      <c r="G26" s="60">
        <f t="shared" si="2"/>
        <v>2153.043658354899</v>
      </c>
      <c r="H26" s="60">
        <f t="shared" si="2"/>
        <v>2148.1545670735477</v>
      </c>
      <c r="I26" s="60">
        <f t="shared" si="2"/>
        <v>2143.2765778492617</v>
      </c>
      <c r="J26" s="60">
        <f t="shared" si="2"/>
        <v>2138.4096654716964</v>
      </c>
      <c r="K26" s="60">
        <f t="shared" si="2"/>
        <v>2133.5538047877553</v>
      </c>
      <c r="L26" s="60">
        <f t="shared" si="2"/>
        <v>2128.7089707014593</v>
      </c>
      <c r="M26" s="60">
        <f t="shared" si="2"/>
        <v>2123.875138173817</v>
      </c>
      <c r="N26" s="60">
        <f t="shared" si="2"/>
        <v>2119.0522822226953</v>
      </c>
      <c r="O26" s="60">
        <f t="shared" si="2"/>
        <v>2114.2403779226875</v>
      </c>
      <c r="P26" s="60">
        <f t="shared" si="2"/>
        <v>2109.43940040499</v>
      </c>
      <c r="Q26" s="60">
        <f t="shared" si="2"/>
        <v>2104.6493248572706</v>
      </c>
      <c r="R26" s="60">
        <f t="shared" si="2"/>
        <v>2099.8701265235391</v>
      </c>
      <c r="S26" s="60">
        <f t="shared" si="2"/>
        <v>2095.1017807040216</v>
      </c>
      <c r="T26" s="60">
        <f t="shared" si="2"/>
        <v>2090.3442627550312</v>
      </c>
      <c r="U26" s="60">
        <f t="shared" si="2"/>
        <v>2085.5975480888428</v>
      </c>
      <c r="V26" s="60">
        <f t="shared" si="3"/>
        <v>2080.8616121735631</v>
      </c>
      <c r="W26" s="60">
        <f t="shared" si="3"/>
        <v>2076.1364305330062</v>
      </c>
      <c r="X26" s="60">
        <f t="shared" si="3"/>
        <v>2071.4219787465668</v>
      </c>
      <c r="Y26" s="60"/>
      <c r="Z26" s="335">
        <f t="shared" si="5"/>
        <v>1760.7086819345816</v>
      </c>
    </row>
    <row r="27" spans="1:26">
      <c r="A27" s="218">
        <f>INDEX([2]!ResApplic,MATCH(CONCATENATE(LEFT($D27,FIND("_",$D27)-1)," - ",$C$7),[2]APPLIC!$B$9:$B$198,0)+1,MATCH($C27,[2]APPLIC!$C$8:$F$8,0)+1)</f>
        <v>1.6064798296574784E-2</v>
      </c>
      <c r="B27" s="212">
        <f>VLOOKUP(RIGHT($D27,LEN(D27)-FIND("_",$D27)),Weighting!$D$27:$H$30,5,FALSE)</f>
        <v>0.19554651968726669</v>
      </c>
      <c r="C27" s="57" t="str">
        <f t="shared" si="6"/>
        <v>Single Family</v>
      </c>
      <c r="D27" s="60" t="s">
        <v>849</v>
      </c>
      <c r="E27" s="60">
        <f t="shared" si="4"/>
        <v>13205.028432750534</v>
      </c>
      <c r="F27" s="60">
        <f t="shared" si="2"/>
        <v>13175.042701095708</v>
      </c>
      <c r="G27" s="60">
        <f t="shared" si="2"/>
        <v>13145.125060479648</v>
      </c>
      <c r="H27" s="60">
        <f t="shared" si="2"/>
        <v>13115.275356282491</v>
      </c>
      <c r="I27" s="60">
        <f t="shared" si="2"/>
        <v>13085.493434235492</v>
      </c>
      <c r="J27" s="60">
        <f t="shared" si="2"/>
        <v>13055.779140420205</v>
      </c>
      <c r="K27" s="60">
        <f t="shared" si="2"/>
        <v>13026.132321267713</v>
      </c>
      <c r="L27" s="60">
        <f t="shared" si="2"/>
        <v>12996.552823557808</v>
      </c>
      <c r="M27" s="60">
        <f t="shared" si="2"/>
        <v>12967.040494418217</v>
      </c>
      <c r="N27" s="60">
        <f t="shared" si="2"/>
        <v>12937.595181323817</v>
      </c>
      <c r="O27" s="60">
        <f t="shared" si="2"/>
        <v>12908.216732095811</v>
      </c>
      <c r="P27" s="60">
        <f t="shared" si="2"/>
        <v>12878.904994900984</v>
      </c>
      <c r="Q27" s="60">
        <f t="shared" si="2"/>
        <v>12849.659818250908</v>
      </c>
      <c r="R27" s="60">
        <f t="shared" si="2"/>
        <v>12820.481051001136</v>
      </c>
      <c r="S27" s="60">
        <f t="shared" si="2"/>
        <v>12791.368542350443</v>
      </c>
      <c r="T27" s="60">
        <f t="shared" si="2"/>
        <v>12762.322141840044</v>
      </c>
      <c r="U27" s="60">
        <f t="shared" si="2"/>
        <v>12733.341699352806</v>
      </c>
      <c r="V27" s="60">
        <f t="shared" si="3"/>
        <v>12704.42706511249</v>
      </c>
      <c r="W27" s="60">
        <f t="shared" si="3"/>
        <v>12675.578089682951</v>
      </c>
      <c r="X27" s="60">
        <f t="shared" si="3"/>
        <v>12646.794623967397</v>
      </c>
      <c r="Y27" s="60"/>
      <c r="Z27" s="335">
        <f t="shared" si="5"/>
        <v>10749.775430372287</v>
      </c>
    </row>
    <row r="28" spans="1:26">
      <c r="A28" s="218">
        <f>INDEX([2]!ResApplic,MATCH(CONCATENATE(LEFT($D28,FIND("_",$D28)-1)," - ",$C$7),[2]APPLIC!$B$9:$B$198,0)+1,MATCH($C28,[2]APPLIC!$C$8:$F$8,0)+1)</f>
        <v>1.6064798296574784E-2</v>
      </c>
      <c r="B28" s="212">
        <f>VLOOKUP(RIGHT($D28,LEN(D28)-FIND("_",$D28)),Weighting!$D$27:$H$30,5,FALSE)</f>
        <v>1.706554478645779E-2</v>
      </c>
      <c r="C28" s="57" t="str">
        <f t="shared" si="6"/>
        <v>Single Family</v>
      </c>
      <c r="D28" s="60" t="s">
        <v>877</v>
      </c>
      <c r="E28" s="60">
        <f t="shared" si="4"/>
        <v>1152.4163379944155</v>
      </c>
      <c r="F28" s="60">
        <f t="shared" si="2"/>
        <v>1149.7994525222091</v>
      </c>
      <c r="G28" s="60">
        <f t="shared" si="2"/>
        <v>1147.1885094246022</v>
      </c>
      <c r="H28" s="60">
        <f t="shared" si="2"/>
        <v>1144.5834952077612</v>
      </c>
      <c r="I28" s="60">
        <f t="shared" si="2"/>
        <v>1141.9843964084951</v>
      </c>
      <c r="J28" s="60">
        <f t="shared" si="2"/>
        <v>1139.3911995941835</v>
      </c>
      <c r="K28" s="60">
        <f t="shared" si="2"/>
        <v>1136.8038913627099</v>
      </c>
      <c r="L28" s="60">
        <f t="shared" si="2"/>
        <v>1134.2224583423902</v>
      </c>
      <c r="M28" s="60">
        <f t="shared" si="2"/>
        <v>1131.6468871919046</v>
      </c>
      <c r="N28" s="60">
        <f t="shared" si="2"/>
        <v>1129.0771646002297</v>
      </c>
      <c r="O28" s="60">
        <f t="shared" si="2"/>
        <v>1126.5132772865663</v>
      </c>
      <c r="P28" s="60">
        <f t="shared" si="2"/>
        <v>1123.9552120002745</v>
      </c>
      <c r="Q28" s="60">
        <f t="shared" si="2"/>
        <v>1121.402955520804</v>
      </c>
      <c r="R28" s="60">
        <f t="shared" si="2"/>
        <v>1118.8564946576241</v>
      </c>
      <c r="S28" s="60">
        <f t="shared" si="2"/>
        <v>1116.3158162501584</v>
      </c>
      <c r="T28" s="60">
        <f t="shared" si="2"/>
        <v>1113.7809071677141</v>
      </c>
      <c r="U28" s="60">
        <f t="shared" si="2"/>
        <v>1111.2517543094161</v>
      </c>
      <c r="V28" s="60">
        <f t="shared" si="3"/>
        <v>1108.7283446041381</v>
      </c>
      <c r="W28" s="60">
        <f t="shared" si="3"/>
        <v>1106.2106650104354</v>
      </c>
      <c r="X28" s="60">
        <f t="shared" si="3"/>
        <v>1103.6987025164783</v>
      </c>
      <c r="Y28" s="60"/>
      <c r="Z28" s="335">
        <f t="shared" si="5"/>
        <v>938.14389713900653</v>
      </c>
    </row>
    <row r="29" spans="1:26">
      <c r="A29" s="218">
        <f>INDEX([2]!ResApplic,MATCH(CONCATENATE(LEFT($D29,FIND("_",$D29)-1)," - ",$C$7),[2]APPLIC!$B$9:$B$198,0)+1,MATCH($C29,[2]APPLIC!$C$8:$F$8,0)+1)</f>
        <v>8.46755457988283E-2</v>
      </c>
      <c r="B29" s="212">
        <f>VLOOKUP(RIGHT($D29,LEN(D29)-FIND("_",$D29)),Weighting!$D$27:$H$30,5,FALSE)</f>
        <v>5.4838081978090071E-2</v>
      </c>
      <c r="C29" s="57" t="str">
        <f t="shared" si="6"/>
        <v>Single Family</v>
      </c>
      <c r="D29" s="60" t="s">
        <v>840</v>
      </c>
      <c r="E29" s="60">
        <f t="shared" si="4"/>
        <v>19518.850327924523</v>
      </c>
      <c r="F29" s="60">
        <f t="shared" si="2"/>
        <v>19474.527287567242</v>
      </c>
      <c r="G29" s="60">
        <f t="shared" si="2"/>
        <v>19430.304895141242</v>
      </c>
      <c r="H29" s="60">
        <f t="shared" si="2"/>
        <v>19386.182922097087</v>
      </c>
      <c r="I29" s="60">
        <f t="shared" si="2"/>
        <v>19342.161140404321</v>
      </c>
      <c r="J29" s="60">
        <f t="shared" si="2"/>
        <v>19298.239322550293</v>
      </c>
      <c r="K29" s="60">
        <f t="shared" si="2"/>
        <v>19254.417241538991</v>
      </c>
      <c r="L29" s="60">
        <f t="shared" si="2"/>
        <v>19210.69467088985</v>
      </c>
      <c r="M29" s="60">
        <f t="shared" si="2"/>
        <v>19167.071384636612</v>
      </c>
      <c r="N29" s="60">
        <f t="shared" si="2"/>
        <v>19123.54715732612</v>
      </c>
      <c r="O29" s="60">
        <f t="shared" si="2"/>
        <v>19080.121764017174</v>
      </c>
      <c r="P29" s="60">
        <f t="shared" si="2"/>
        <v>19036.794980279377</v>
      </c>
      <c r="Q29" s="60">
        <f t="shared" si="2"/>
        <v>18993.566582191961</v>
      </c>
      <c r="R29" s="60">
        <f t="shared" si="2"/>
        <v>18950.436346342631</v>
      </c>
      <c r="S29" s="60">
        <f t="shared" si="2"/>
        <v>18907.404049826408</v>
      </c>
      <c r="T29" s="60">
        <f t="shared" si="2"/>
        <v>18864.46947024449</v>
      </c>
      <c r="U29" s="60">
        <f t="shared" si="2"/>
        <v>18821.632385703087</v>
      </c>
      <c r="V29" s="60">
        <f t="shared" si="3"/>
        <v>18778.892574812282</v>
      </c>
      <c r="W29" s="60">
        <f t="shared" si="3"/>
        <v>18736.249816684893</v>
      </c>
      <c r="X29" s="60">
        <f t="shared" si="3"/>
        <v>18693.70389093531</v>
      </c>
      <c r="Y29" s="60"/>
      <c r="Z29" s="335">
        <f t="shared" si="5"/>
        <v>15889.648307295014</v>
      </c>
    </row>
    <row r="30" spans="1:26">
      <c r="A30" s="218">
        <f>INDEX([2]!ResApplic,MATCH(CONCATENATE(LEFT($D30,FIND("_",$D30)-1)," - ",$C$7),[2]APPLIC!$B$9:$B$198,0)+1,MATCH($C30,[2]APPLIC!$C$8:$F$8,0)+1)</f>
        <v>3.0150417138103489E-2</v>
      </c>
      <c r="B30" s="212">
        <f>VLOOKUP(RIGHT($D30,LEN(D30)-FIND("_",$D30)),Weighting!$D$27:$H$30,5,FALSE)</f>
        <v>0.14070061635544628</v>
      </c>
      <c r="C30" s="57" t="str">
        <f t="shared" si="6"/>
        <v>Single Family</v>
      </c>
      <c r="D30" s="60" t="s">
        <v>862</v>
      </c>
      <c r="E30" s="60">
        <f t="shared" si="4"/>
        <v>17832.13312669962</v>
      </c>
      <c r="F30" s="60">
        <f t="shared" si="2"/>
        <v>17791.640252224304</v>
      </c>
      <c r="G30" s="60">
        <f t="shared" si="2"/>
        <v>17751.239328211203</v>
      </c>
      <c r="H30" s="60">
        <f t="shared" si="2"/>
        <v>17710.93014586093</v>
      </c>
      <c r="I30" s="60">
        <f t="shared" si="2"/>
        <v>17670.712496848228</v>
      </c>
      <c r="J30" s="60">
        <f t="shared" si="2"/>
        <v>17630.586173320906</v>
      </c>
      <c r="K30" s="60">
        <f t="shared" si="2"/>
        <v>17590.550967898762</v>
      </c>
      <c r="L30" s="60">
        <f t="shared" si="2"/>
        <v>17550.606673672497</v>
      </c>
      <c r="M30" s="60">
        <f t="shared" si="2"/>
        <v>17510.753084202683</v>
      </c>
      <c r="N30" s="60">
        <f t="shared" si="2"/>
        <v>17470.989993518644</v>
      </c>
      <c r="O30" s="60">
        <f t="shared" si="2"/>
        <v>17431.31719611743</v>
      </c>
      <c r="P30" s="60">
        <f t="shared" si="2"/>
        <v>17391.734486962741</v>
      </c>
      <c r="Q30" s="60">
        <f t="shared" si="2"/>
        <v>17352.241661483877</v>
      </c>
      <c r="R30" s="60">
        <f t="shared" si="2"/>
        <v>17312.838515574669</v>
      </c>
      <c r="S30" s="60">
        <f t="shared" si="2"/>
        <v>17273.524845592423</v>
      </c>
      <c r="T30" s="60">
        <f t="shared" si="2"/>
        <v>17234.300448356877</v>
      </c>
      <c r="U30" s="60">
        <f t="shared" si="2"/>
        <v>17195.165121149148</v>
      </c>
      <c r="V30" s="60">
        <f t="shared" si="3"/>
        <v>17156.118661710683</v>
      </c>
      <c r="W30" s="60">
        <f t="shared" si="3"/>
        <v>17117.160868242212</v>
      </c>
      <c r="X30" s="60">
        <f t="shared" si="3"/>
        <v>17078.291539402708</v>
      </c>
      <c r="Y30" s="60"/>
      <c r="Z30" s="335">
        <f t="shared" si="5"/>
        <v>14516.547808492302</v>
      </c>
    </row>
    <row r="31" spans="1:26">
      <c r="A31" s="218">
        <f>INDEX([2]!ResApplic,MATCH(CONCATENATE(LEFT($D31,FIND("_",$D31)-1)," - ",$C$7),[2]APPLIC!$B$9:$B$198,0)+1,MATCH($C31,[2]APPLIC!$C$8:$F$8,0)+1)</f>
        <v>1.6064798296574784E-2</v>
      </c>
      <c r="B31" s="212">
        <f>VLOOKUP(RIGHT($D31,LEN(D31)-FIND("_",$D31)),Weighting!$D$27:$H$30,5,FALSE)</f>
        <v>0.14070061635544628</v>
      </c>
      <c r="C31" s="57" t="str">
        <f t="shared" si="6"/>
        <v>Single Family</v>
      </c>
      <c r="D31" s="60" t="s">
        <v>863</v>
      </c>
      <c r="E31" s="60">
        <f t="shared" si="4"/>
        <v>9501.3485407491844</v>
      </c>
      <c r="F31" s="60">
        <f t="shared" si="2"/>
        <v>9479.773056140968</v>
      </c>
      <c r="G31" s="60">
        <f t="shared" si="2"/>
        <v>9458.2465647397785</v>
      </c>
      <c r="H31" s="60">
        <f t="shared" si="2"/>
        <v>9436.768955292755</v>
      </c>
      <c r="I31" s="60">
        <f t="shared" si="2"/>
        <v>9415.3401167996726</v>
      </c>
      <c r="J31" s="60">
        <f t="shared" si="2"/>
        <v>9393.9599385123583</v>
      </c>
      <c r="K31" s="60">
        <f t="shared" si="2"/>
        <v>9372.628309934129</v>
      </c>
      <c r="L31" s="60">
        <f t="shared" si="2"/>
        <v>9351.3451208192109</v>
      </c>
      <c r="M31" s="60">
        <f t="shared" si="2"/>
        <v>9330.1102611721781</v>
      </c>
      <c r="N31" s="60">
        <f t="shared" si="2"/>
        <v>9308.9236212473807</v>
      </c>
      <c r="O31" s="60">
        <f t="shared" si="2"/>
        <v>9287.7850915483687</v>
      </c>
      <c r="P31" s="60">
        <f t="shared" si="2"/>
        <v>9266.6945628273425</v>
      </c>
      <c r="Q31" s="60">
        <f t="shared" si="2"/>
        <v>9245.6519260845853</v>
      </c>
      <c r="R31" s="60">
        <f t="shared" si="2"/>
        <v>9224.657072567883</v>
      </c>
      <c r="S31" s="60">
        <f t="shared" si="2"/>
        <v>9203.7098937719802</v>
      </c>
      <c r="T31" s="60">
        <f t="shared" si="2"/>
        <v>9182.8102814380127</v>
      </c>
      <c r="U31" s="60">
        <f t="shared" si="2"/>
        <v>9161.958127552949</v>
      </c>
      <c r="V31" s="60">
        <f t="shared" si="3"/>
        <v>9141.1533243490303</v>
      </c>
      <c r="W31" s="60">
        <f t="shared" si="3"/>
        <v>9120.3957643032118</v>
      </c>
      <c r="X31" s="60">
        <f t="shared" si="3"/>
        <v>9099.6853401366188</v>
      </c>
      <c r="Y31" s="60"/>
      <c r="Z31" s="335">
        <f t="shared" si="5"/>
        <v>7734.7325391161257</v>
      </c>
    </row>
    <row r="32" spans="1:26">
      <c r="A32" s="218">
        <f>INDEX([2]!ResApplic,MATCH(CONCATENATE(LEFT($D32,FIND("_",$D32)-1)," - ",$C$7),[2]APPLIC!$B$9:$B$198,0)+1,MATCH($C32,[2]APPLIC!$C$8:$F$8,0)+1)</f>
        <v>0.10512619459663457</v>
      </c>
      <c r="B32" s="212">
        <f>VLOOKUP(RIGHT($D32,LEN(D32)-FIND("_",$D32)),Weighting!$D$27:$H$30,5,FALSE)</f>
        <v>5.4838081978090071E-2</v>
      </c>
      <c r="C32" s="57" t="str">
        <f t="shared" si="6"/>
        <v>Single Family</v>
      </c>
      <c r="D32" s="60" t="s">
        <v>843</v>
      </c>
      <c r="E32" s="60">
        <f t="shared" si="4"/>
        <v>24232.999486663735</v>
      </c>
      <c r="F32" s="60">
        <f t="shared" si="2"/>
        <v>24177.971644542893</v>
      </c>
      <c r="G32" s="60">
        <f t="shared" si="2"/>
        <v>24123.068758617021</v>
      </c>
      <c r="H32" s="60">
        <f t="shared" si="2"/>
        <v>24068.290545137923</v>
      </c>
      <c r="I32" s="60">
        <f t="shared" si="2"/>
        <v>24013.636721001742</v>
      </c>
      <c r="J32" s="60">
        <f t="shared" si="2"/>
        <v>23959.107003747478</v>
      </c>
      <c r="K32" s="60">
        <f t="shared" si="2"/>
        <v>23904.701111555547</v>
      </c>
      <c r="L32" s="60">
        <f t="shared" si="2"/>
        <v>23850.418763246314</v>
      </c>
      <c r="M32" s="60">
        <f t="shared" si="2"/>
        <v>23796.259678278639</v>
      </c>
      <c r="N32" s="60">
        <f t="shared" si="2"/>
        <v>23742.223576748438</v>
      </c>
      <c r="O32" s="60">
        <f t="shared" si="2"/>
        <v>23688.310179387208</v>
      </c>
      <c r="P32" s="60">
        <f t="shared" si="2"/>
        <v>23634.519207560617</v>
      </c>
      <c r="Q32" s="60">
        <f t="shared" si="2"/>
        <v>23580.850383267058</v>
      </c>
      <c r="R32" s="60">
        <f t="shared" si="2"/>
        <v>23527.303429136195</v>
      </c>
      <c r="S32" s="60">
        <f t="shared" si="2"/>
        <v>23473.878068427544</v>
      </c>
      <c r="T32" s="60">
        <f t="shared" si="2"/>
        <v>23420.574025029029</v>
      </c>
      <c r="U32" s="60">
        <f t="shared" si="2"/>
        <v>23367.391023455573</v>
      </c>
      <c r="V32" s="60">
        <f t="shared" si="3"/>
        <v>23314.32878884767</v>
      </c>
      <c r="W32" s="60">
        <f t="shared" si="3"/>
        <v>23261.38704696994</v>
      </c>
      <c r="X32" s="60">
        <f t="shared" si="3"/>
        <v>23208.565524209749</v>
      </c>
      <c r="Y32" s="60"/>
      <c r="Z32" s="335">
        <f t="shared" si="5"/>
        <v>19727.280695578287</v>
      </c>
    </row>
    <row r="33" spans="1:26">
      <c r="A33" s="218">
        <f>INDEX([2]!ResApplic,MATCH(CONCATENATE(LEFT($D33,FIND("_",$D33)-1)," - ",$C$7),[2]APPLIC!$B$9:$B$198,0)+1,MATCH($C33,[2]APPLIC!$C$8:$F$8,0)+1)</f>
        <v>4.555152699293441E-2</v>
      </c>
      <c r="B33" s="212">
        <f>VLOOKUP(RIGHT($D33,LEN(D33)-FIND("_",$D33)),Weighting!$D$27:$H$30,5,FALSE)</f>
        <v>5.4838081978090071E-2</v>
      </c>
      <c r="C33" s="57" t="str">
        <f t="shared" si="6"/>
        <v>Single Family</v>
      </c>
      <c r="D33" s="60" t="s">
        <v>842</v>
      </c>
      <c r="E33" s="60">
        <f t="shared" si="4"/>
        <v>10500.238636735232</v>
      </c>
      <c r="F33" s="60">
        <f t="shared" si="2"/>
        <v>10476.394891174496</v>
      </c>
      <c r="G33" s="60">
        <f t="shared" si="2"/>
        <v>10452.605289545347</v>
      </c>
      <c r="H33" s="60">
        <f t="shared" si="2"/>
        <v>10428.869708898754</v>
      </c>
      <c r="I33" s="60">
        <f t="shared" si="2"/>
        <v>10405.188026564882</v>
      </c>
      <c r="J33" s="60">
        <f t="shared" si="2"/>
        <v>10381.560120152448</v>
      </c>
      <c r="K33" s="60">
        <f t="shared" si="2"/>
        <v>10357.985867548095</v>
      </c>
      <c r="L33" s="60">
        <f t="shared" si="2"/>
        <v>10334.46514691576</v>
      </c>
      <c r="M33" s="60">
        <f t="shared" si="2"/>
        <v>10310.997836696042</v>
      </c>
      <c r="N33" s="60">
        <f t="shared" si="2"/>
        <v>10287.583815605578</v>
      </c>
      <c r="O33" s="60">
        <f t="shared" si="2"/>
        <v>10264.222962636401</v>
      </c>
      <c r="P33" s="60">
        <f t="shared" si="2"/>
        <v>10240.91515705534</v>
      </c>
      <c r="Q33" s="60">
        <f t="shared" si="2"/>
        <v>10217.660278403378</v>
      </c>
      <c r="R33" s="60">
        <f t="shared" si="2"/>
        <v>10194.458206495039</v>
      </c>
      <c r="S33" s="60">
        <f t="shared" si="2"/>
        <v>10171.308821417751</v>
      </c>
      <c r="T33" s="60">
        <f t="shared" si="2"/>
        <v>10148.212003531244</v>
      </c>
      <c r="U33" s="60">
        <f t="shared" si="2"/>
        <v>10125.167633466926</v>
      </c>
      <c r="V33" s="60">
        <f t="shared" si="3"/>
        <v>10102.17559212726</v>
      </c>
      <c r="W33" s="60">
        <f t="shared" si="3"/>
        <v>10079.235760685158</v>
      </c>
      <c r="X33" s="60">
        <f t="shared" si="3"/>
        <v>10056.348020583364</v>
      </c>
      <c r="Y33" s="60"/>
      <c r="Z33" s="335">
        <f t="shared" si="5"/>
        <v>8547.8958174958589</v>
      </c>
    </row>
    <row r="34" spans="1:26">
      <c r="A34" s="218">
        <f>INDEX([2]!ResApplic,MATCH(CONCATENATE(LEFT($D34,FIND("_",$D34)-1)," - ",$C$7),[2]APPLIC!$B$9:$B$198,0)+1,MATCH($C34,[2]APPLIC!$C$8:$F$8,0)+1)</f>
        <v>7.8781984396844446E-2</v>
      </c>
      <c r="B34" s="212">
        <f>VLOOKUP(RIGHT($D34,LEN(D34)-FIND("_",$D34)),Weighting!$D$27:$H$30,5,FALSE)</f>
        <v>5.4838081978090071E-2</v>
      </c>
      <c r="C34" s="57" t="str">
        <f t="shared" si="6"/>
        <v>Single Family</v>
      </c>
      <c r="D34" s="60" t="s">
        <v>841</v>
      </c>
      <c r="E34" s="60">
        <f t="shared" si="4"/>
        <v>18160.305286159371</v>
      </c>
      <c r="F34" s="60">
        <f t="shared" si="2"/>
        <v>18119.067204480587</v>
      </c>
      <c r="G34" s="60">
        <f t="shared" si="2"/>
        <v>18077.922765466599</v>
      </c>
      <c r="H34" s="60">
        <f t="shared" si="2"/>
        <v>18036.871756475393</v>
      </c>
      <c r="I34" s="60">
        <f t="shared" si="2"/>
        <v>17995.913965347834</v>
      </c>
      <c r="J34" s="60">
        <f t="shared" si="2"/>
        <v>17955.049180406524</v>
      </c>
      <c r="K34" s="60">
        <f t="shared" si="2"/>
        <v>17914.277190454759</v>
      </c>
      <c r="L34" s="60">
        <f t="shared" si="2"/>
        <v>17873.597784775418</v>
      </c>
      <c r="M34" s="60">
        <f t="shared" si="2"/>
        <v>17833.010753129864</v>
      </c>
      <c r="N34" s="60">
        <f t="shared" si="2"/>
        <v>17792.51588575686</v>
      </c>
      <c r="O34" s="60">
        <f t="shared" si="2"/>
        <v>17752.11297337151</v>
      </c>
      <c r="P34" s="60">
        <f t="shared" si="2"/>
        <v>17711.801807164135</v>
      </c>
      <c r="Q34" s="60">
        <f t="shared" si="2"/>
        <v>17671.582178799243</v>
      </c>
      <c r="R34" s="60">
        <f t="shared" si="2"/>
        <v>17631.453880414407</v>
      </c>
      <c r="S34" s="60">
        <f t="shared" si="2"/>
        <v>17591.41670461922</v>
      </c>
      <c r="T34" s="60">
        <f t="shared" si="2"/>
        <v>17551.4704444942</v>
      </c>
      <c r="U34" s="60">
        <f t="shared" si="2"/>
        <v>17511.614893589747</v>
      </c>
      <c r="V34" s="60">
        <f t="shared" si="3"/>
        <v>17471.849845925066</v>
      </c>
      <c r="W34" s="60">
        <f t="shared" si="3"/>
        <v>17432.175095987084</v>
      </c>
      <c r="X34" s="60">
        <f t="shared" si="3"/>
        <v>17392.590438729418</v>
      </c>
      <c r="Y34" s="60"/>
      <c r="Z34" s="335">
        <f t="shared" si="5"/>
        <v>14783.701872920004</v>
      </c>
    </row>
    <row r="35" spans="1:26">
      <c r="A35" s="218">
        <f>INDEX([2]!ResApplic,MATCH(CONCATENATE(LEFT($D35,FIND("_",$D35)-1)," - ",$C$7),[2]APPLIC!$B$9:$B$198,0)+1,MATCH($C35,[2]APPLIC!$C$8:$F$8,0)+1)</f>
        <v>8.46755457988283E-2</v>
      </c>
      <c r="B35" s="212">
        <f>VLOOKUP(RIGHT($D35,LEN(D35)-FIND("_",$D35)),Weighting!$D$27:$H$30,5,FALSE)</f>
        <v>0.19554651968726669</v>
      </c>
      <c r="C35" s="57" t="str">
        <f t="shared" si="6"/>
        <v>Single Family</v>
      </c>
      <c r="D35" s="60" t="s">
        <v>854</v>
      </c>
      <c r="E35" s="60">
        <f t="shared" si="4"/>
        <v>69602.055948041379</v>
      </c>
      <c r="F35" s="60">
        <f t="shared" si="2"/>
        <v>69444.004900827727</v>
      </c>
      <c r="G35" s="60">
        <f t="shared" si="2"/>
        <v>69286.312752976839</v>
      </c>
      <c r="H35" s="60">
        <f t="shared" si="2"/>
        <v>69128.978689506723</v>
      </c>
      <c r="I35" s="60">
        <f t="shared" si="2"/>
        <v>68972.001897286085</v>
      </c>
      <c r="J35" s="60">
        <f t="shared" si="2"/>
        <v>68815.381565030024</v>
      </c>
      <c r="K35" s="60">
        <f t="shared" si="2"/>
        <v>68659.116883295952</v>
      </c>
      <c r="L35" s="60">
        <f t="shared" si="2"/>
        <v>68503.207044479277</v>
      </c>
      <c r="M35" s="60">
        <f t="shared" si="2"/>
        <v>68347.651242809356</v>
      </c>
      <c r="N35" s="60">
        <f t="shared" si="2"/>
        <v>68192.448674345258</v>
      </c>
      <c r="O35" s="60">
        <f t="shared" si="2"/>
        <v>68037.598536971607</v>
      </c>
      <c r="P35" s="60">
        <f t="shared" si="2"/>
        <v>67883.100030394475</v>
      </c>
      <c r="Q35" s="60">
        <f t="shared" si="2"/>
        <v>67728.952356137248</v>
      </c>
      <c r="R35" s="60">
        <f t="shared" si="2"/>
        <v>67575.154717536439</v>
      </c>
      <c r="S35" s="60">
        <f t="shared" si="2"/>
        <v>67421.706319737641</v>
      </c>
      <c r="T35" s="60">
        <f t="shared" si="2"/>
        <v>67268.606369691333</v>
      </c>
      <c r="U35" s="60">
        <f t="shared" si="2"/>
        <v>67115.854076148913</v>
      </c>
      <c r="V35" s="60">
        <f t="shared" si="3"/>
        <v>66963.448649658472</v>
      </c>
      <c r="W35" s="60">
        <f t="shared" si="3"/>
        <v>66811.389302560798</v>
      </c>
      <c r="X35" s="60">
        <f t="shared" si="3"/>
        <v>66659.675248985266</v>
      </c>
      <c r="Y35" s="60"/>
      <c r="Z35" s="335">
        <f t="shared" si="5"/>
        <v>56660.723961637472</v>
      </c>
    </row>
    <row r="36" spans="1:26">
      <c r="A36" s="218">
        <f>INDEX([2]!ResApplic,MATCH(CONCATENATE(LEFT($D36,FIND("_",$D36)-1)," - ",$C$7),[2]APPLIC!$B$9:$B$198,0)+1,MATCH($C36,[2]APPLIC!$C$8:$F$8,0)+1)</f>
        <v>2.4846271780712467E-2</v>
      </c>
      <c r="B36" s="212">
        <f>VLOOKUP(RIGHT($D36,LEN(D36)-FIND("_",$D36)),Weighting!$D$27:$H$30,5,FALSE)</f>
        <v>5.4838081978090071E-2</v>
      </c>
      <c r="C36" s="57" t="str">
        <f t="shared" si="6"/>
        <v>Single Family</v>
      </c>
      <c r="D36" s="60" t="s">
        <v>836</v>
      </c>
      <c r="E36" s="60">
        <f t="shared" si="4"/>
        <v>5727.3992806240894</v>
      </c>
      <c r="F36" s="60">
        <f t="shared" si="2"/>
        <v>5714.393609429706</v>
      </c>
      <c r="G36" s="60">
        <f t="shared" si="2"/>
        <v>5701.4174712702898</v>
      </c>
      <c r="H36" s="60">
        <f t="shared" si="2"/>
        <v>5688.4707990827737</v>
      </c>
      <c r="I36" s="60">
        <f t="shared" si="2"/>
        <v>5675.5535259563831</v>
      </c>
      <c r="J36" s="60">
        <f t="shared" si="2"/>
        <v>5662.6655851322776</v>
      </c>
      <c r="K36" s="60">
        <f t="shared" si="2"/>
        <v>5649.8069100032144</v>
      </c>
      <c r="L36" s="60">
        <f t="shared" si="2"/>
        <v>5636.9774341131997</v>
      </c>
      <c r="M36" s="60">
        <f t="shared" si="2"/>
        <v>5624.1770911571475</v>
      </c>
      <c r="N36" s="60">
        <f t="shared" si="2"/>
        <v>5611.4058149805387</v>
      </c>
      <c r="O36" s="60">
        <f t="shared" si="2"/>
        <v>5598.6635395790699</v>
      </c>
      <c r="P36" s="60">
        <f t="shared" si="2"/>
        <v>5585.9501990983244</v>
      </c>
      <c r="Q36" s="60">
        <f t="shared" si="2"/>
        <v>5573.2657278334273</v>
      </c>
      <c r="R36" s="60">
        <f t="shared" si="2"/>
        <v>5560.6100602287006</v>
      </c>
      <c r="S36" s="60">
        <f t="shared" si="2"/>
        <v>5547.9831308773346</v>
      </c>
      <c r="T36" s="60">
        <f t="shared" si="2"/>
        <v>5535.3848745210371</v>
      </c>
      <c r="U36" s="60">
        <f t="shared" si="2"/>
        <v>5522.8152260497091</v>
      </c>
      <c r="V36" s="60">
        <f t="shared" si="3"/>
        <v>5510.2741205011007</v>
      </c>
      <c r="W36" s="60">
        <f t="shared" si="3"/>
        <v>5497.761493060475</v>
      </c>
      <c r="X36" s="60">
        <f t="shared" si="3"/>
        <v>5485.2772790602776</v>
      </c>
      <c r="Y36" s="60"/>
      <c r="Z36" s="335">
        <f t="shared" si="5"/>
        <v>4662.485687201236</v>
      </c>
    </row>
    <row r="37" spans="1:26">
      <c r="A37" s="218">
        <f>INDEX([2]!ResApplic,MATCH(CONCATENATE(LEFT($D37,FIND("_",$D37)-1)," - ",$C$7),[2]APPLIC!$B$9:$B$198,0)+1,MATCH($C37,[2]APPLIC!$C$8:$F$8,0)+1)</f>
        <v>8.46755457988283E-2</v>
      </c>
      <c r="B37" s="212">
        <f>VLOOKUP(RIGHT($D37,LEN(D37)-FIND("_",$D37)),Weighting!$D$27:$H$30,5,FALSE)</f>
        <v>1.706554478645779E-2</v>
      </c>
      <c r="C37" s="57" t="str">
        <f t="shared" si="6"/>
        <v>Single Family</v>
      </c>
      <c r="D37" s="60" t="s">
        <v>882</v>
      </c>
      <c r="E37" s="60">
        <f t="shared" si="4"/>
        <v>6074.2426145474683</v>
      </c>
      <c r="F37" s="60">
        <f t="shared" si="2"/>
        <v>6060.4493379957576</v>
      </c>
      <c r="G37" s="60">
        <f t="shared" si="2"/>
        <v>6046.687382958532</v>
      </c>
      <c r="H37" s="60">
        <f t="shared" si="2"/>
        <v>6032.9566783114815</v>
      </c>
      <c r="I37" s="60">
        <f t="shared" si="2"/>
        <v>6019.2571530918049</v>
      </c>
      <c r="J37" s="60">
        <f t="shared" si="2"/>
        <v>6005.5887364978389</v>
      </c>
      <c r="K37" s="60">
        <f t="shared" si="2"/>
        <v>5991.9513578887008</v>
      </c>
      <c r="L37" s="60">
        <f t="shared" si="2"/>
        <v>5978.3449467839127</v>
      </c>
      <c r="M37" s="60">
        <f t="shared" si="2"/>
        <v>5964.7694328630469</v>
      </c>
      <c r="N37" s="60">
        <f t="shared" si="2"/>
        <v>5951.2247459653563</v>
      </c>
      <c r="O37" s="60">
        <f t="shared" si="2"/>
        <v>5937.7108160894086</v>
      </c>
      <c r="P37" s="60">
        <f t="shared" si="2"/>
        <v>5924.2275733927372</v>
      </c>
      <c r="Q37" s="60">
        <f t="shared" si="2"/>
        <v>5910.7749481914707</v>
      </c>
      <c r="R37" s="60">
        <f t="shared" si="2"/>
        <v>5897.3528709599705</v>
      </c>
      <c r="S37" s="60">
        <f t="shared" si="2"/>
        <v>5883.961272330479</v>
      </c>
      <c r="T37" s="60">
        <f t="shared" si="2"/>
        <v>5870.6000830927569</v>
      </c>
      <c r="U37" s="60">
        <f t="shared" si="2"/>
        <v>5857.2692341937254</v>
      </c>
      <c r="V37" s="60">
        <f t="shared" si="3"/>
        <v>5843.9686567371118</v>
      </c>
      <c r="W37" s="60">
        <f t="shared" si="3"/>
        <v>5830.6982819830891</v>
      </c>
      <c r="X37" s="60">
        <f t="shared" si="3"/>
        <v>5817.4580413479252</v>
      </c>
      <c r="Y37" s="60"/>
      <c r="Z37" s="335">
        <f t="shared" si="5"/>
        <v>4944.8393351457362</v>
      </c>
    </row>
    <row r="38" spans="1:26">
      <c r="A38" s="218">
        <f>INDEX([2]!ResApplic,MATCH(CONCATENATE(LEFT($D38,FIND("_",$D38)-1)," - ",$C$7),[2]APPLIC!$B$9:$B$198,0)+1,MATCH($C38,[2]APPLIC!$C$8:$F$8,0)+1)</f>
        <v>3.5442601061513916E-2</v>
      </c>
      <c r="B38" s="212">
        <f>VLOOKUP(RIGHT($D38,LEN(D38)-FIND("_",$D38)),Weighting!$D$27:$H$30,5,FALSE)</f>
        <v>5.4838081978090071E-2</v>
      </c>
      <c r="C38" s="57" t="str">
        <f t="shared" si="6"/>
        <v>Single Family</v>
      </c>
      <c r="D38" s="60" t="s">
        <v>844</v>
      </c>
      <c r="E38" s="60">
        <f t="shared" si="4"/>
        <v>8169.995467116335</v>
      </c>
      <c r="F38" s="60">
        <f t="shared" si="2"/>
        <v>8151.4431941738185</v>
      </c>
      <c r="G38" s="60">
        <f t="shared" si="2"/>
        <v>8132.933049385806</v>
      </c>
      <c r="H38" s="60">
        <f t="shared" si="2"/>
        <v>8114.4649370884708</v>
      </c>
      <c r="I38" s="60">
        <f t="shared" si="2"/>
        <v>8096.0387618352206</v>
      </c>
      <c r="J38" s="60">
        <f t="shared" si="2"/>
        <v>8077.6544283962003</v>
      </c>
      <c r="K38" s="60">
        <f t="shared" si="2"/>
        <v>8059.3118417577971</v>
      </c>
      <c r="L38" s="60">
        <f t="shared" si="2"/>
        <v>8041.0109071221596</v>
      </c>
      <c r="M38" s="60">
        <f t="shared" si="2"/>
        <v>8022.7515299066999</v>
      </c>
      <c r="N38" s="60">
        <f t="shared" si="2"/>
        <v>8004.5336157436031</v>
      </c>
      <c r="O38" s="60">
        <f t="shared" si="2"/>
        <v>7986.3570704793437</v>
      </c>
      <c r="P38" s="60">
        <f t="shared" si="2"/>
        <v>7968.2218001742021</v>
      </c>
      <c r="Q38" s="60">
        <f t="shared" si="2"/>
        <v>7950.1277111017716</v>
      </c>
      <c r="R38" s="60">
        <f t="shared" si="2"/>
        <v>7932.0747097484818</v>
      </c>
      <c r="S38" s="60">
        <f t="shared" si="2"/>
        <v>7914.0627028131057</v>
      </c>
      <c r="T38" s="60">
        <f t="shared" si="2"/>
        <v>7896.0915972062858</v>
      </c>
      <c r="U38" s="60">
        <f t="shared" ref="U38:X52" si="7">$A38*VLOOKUP($C38,$C$13:$Y$16,U$22,FALSE)*$B38</f>
        <v>7878.161300050052</v>
      </c>
      <c r="V38" s="60">
        <f t="shared" si="3"/>
        <v>7860.2717186773352</v>
      </c>
      <c r="W38" s="60">
        <f t="shared" si="3"/>
        <v>7842.4227606314971</v>
      </c>
      <c r="X38" s="60">
        <f t="shared" si="3"/>
        <v>7824.6143336658461</v>
      </c>
      <c r="Y38" s="60"/>
      <c r="Z38" s="335">
        <f t="shared" si="5"/>
        <v>6650.9221836159686</v>
      </c>
    </row>
    <row r="39" spans="1:26">
      <c r="A39" s="218">
        <f>INDEX([2]!ResApplic,MATCH(CONCATENATE(LEFT($D39,FIND("_",$D39)-1)," - ",$C$7),[2]APPLIC!$B$9:$B$198,0)+1,MATCH($C39,[2]APPLIC!$C$8:$F$8,0)+1)</f>
        <v>0.10512619459663457</v>
      </c>
      <c r="B39" s="212">
        <f>VLOOKUP(RIGHT($D39,LEN(D39)-FIND("_",$D39)),Weighting!$D$27:$H$30,5,FALSE)</f>
        <v>0.19554651968726669</v>
      </c>
      <c r="C39" s="57" t="str">
        <f t="shared" si="6"/>
        <v>Single Family</v>
      </c>
      <c r="D39" s="60" t="s">
        <v>857</v>
      </c>
      <c r="E39" s="60">
        <f>$A39*VLOOKUP($C39,$C$13:$Y$16,E$22,FALSE)*$B39</f>
        <v>86412.189126047451</v>
      </c>
      <c r="F39" s="60">
        <f t="shared" si="4"/>
        <v>86215.965942732437</v>
      </c>
      <c r="G39" s="60">
        <f t="shared" si="4"/>
        <v>86020.188339353073</v>
      </c>
      <c r="H39" s="60">
        <f t="shared" si="4"/>
        <v>85824.855304094774</v>
      </c>
      <c r="I39" s="60">
        <f t="shared" si="4"/>
        <v>85629.965827440566</v>
      </c>
      <c r="J39" s="60">
        <f t="shared" si="4"/>
        <v>85435.518902165859</v>
      </c>
      <c r="K39" s="60">
        <f t="shared" si="4"/>
        <v>85241.513523333269</v>
      </c>
      <c r="L39" s="60">
        <f t="shared" si="4"/>
        <v>85047.948688287361</v>
      </c>
      <c r="M39" s="60">
        <f t="shared" si="4"/>
        <v>84854.823396649575</v>
      </c>
      <c r="N39" s="60">
        <f t="shared" si="4"/>
        <v>84662.136650312954</v>
      </c>
      <c r="O39" s="60">
        <f t="shared" si="4"/>
        <v>84469.887453436997</v>
      </c>
      <c r="P39" s="60">
        <f t="shared" si="4"/>
        <v>84278.074812442588</v>
      </c>
      <c r="Q39" s="60">
        <f t="shared" si="4"/>
        <v>84086.697736006812</v>
      </c>
      <c r="R39" s="60">
        <f t="shared" si="4"/>
        <v>83895.75523505779</v>
      </c>
      <c r="S39" s="60">
        <f t="shared" si="4"/>
        <v>83705.246322769657</v>
      </c>
      <c r="T39" s="60">
        <f t="shared" si="4"/>
        <v>83515.170014557356</v>
      </c>
      <c r="U39" s="60">
        <f t="shared" si="7"/>
        <v>83325.525328071672</v>
      </c>
      <c r="V39" s="60">
        <f t="shared" si="3"/>
        <v>83136.311283194038</v>
      </c>
      <c r="W39" s="60">
        <f t="shared" si="3"/>
        <v>82947.526902031546</v>
      </c>
      <c r="X39" s="60">
        <f t="shared" si="3"/>
        <v>82759.171208911866</v>
      </c>
      <c r="Y39" s="60"/>
      <c r="Z39" s="335">
        <f t="shared" si="5"/>
        <v>70345.295527575086</v>
      </c>
    </row>
    <row r="40" spans="1:26">
      <c r="A40" s="218">
        <f>INDEX([2]!ResApplic,MATCH(CONCATENATE(LEFT($D40,FIND("_",$D40)-1)," - ",$C$7),[2]APPLIC!$B$9:$B$198,0)+1,MATCH($C40,[2]APPLIC!$C$8:$F$8,0)+1)</f>
        <v>4.555152699293441E-2</v>
      </c>
      <c r="B40" s="212">
        <f>VLOOKUP(RIGHT($D40,LEN(D40)-FIND("_",$D40)),Weighting!$D$27:$H$30,5,FALSE)</f>
        <v>0.19554651968726669</v>
      </c>
      <c r="C40" s="57" t="str">
        <f t="shared" si="6"/>
        <v>Single Family</v>
      </c>
      <c r="D40" s="60" t="s">
        <v>856</v>
      </c>
      <c r="E40" s="60">
        <f t="shared" ref="E40:T53" si="8">$A40*VLOOKUP($C40,$C$13:$Y$16,E$22,FALSE)*$B40</f>
        <v>37442.68667382843</v>
      </c>
      <c r="F40" s="60">
        <f t="shared" si="8"/>
        <v>37357.662521040351</v>
      </c>
      <c r="G40" s="60">
        <f t="shared" si="8"/>
        <v>37272.831439508627</v>
      </c>
      <c r="H40" s="60">
        <f t="shared" si="8"/>
        <v>37188.192990810661</v>
      </c>
      <c r="I40" s="60">
        <f t="shared" si="8"/>
        <v>37103.746737519403</v>
      </c>
      <c r="J40" s="60">
        <f t="shared" si="8"/>
        <v>37019.49224320113</v>
      </c>
      <c r="K40" s="60">
        <f t="shared" si="8"/>
        <v>36935.42907241315</v>
      </c>
      <c r="L40" s="60">
        <f t="shared" si="8"/>
        <v>36851.556790701565</v>
      </c>
      <c r="M40" s="60">
        <f t="shared" si="8"/>
        <v>36767.874964599025</v>
      </c>
      <c r="N40" s="60">
        <f t="shared" si="8"/>
        <v>36684.383161622507</v>
      </c>
      <c r="O40" s="60">
        <f t="shared" si="8"/>
        <v>36601.080950271033</v>
      </c>
      <c r="P40" s="60">
        <f t="shared" si="8"/>
        <v>36517.96790002349</v>
      </c>
      <c r="Q40" s="60">
        <f t="shared" si="8"/>
        <v>36435.043581336387</v>
      </c>
      <c r="R40" s="60">
        <f t="shared" si="8"/>
        <v>36352.307565641633</v>
      </c>
      <c r="S40" s="60">
        <f t="shared" si="8"/>
        <v>36269.759425344295</v>
      </c>
      <c r="T40" s="60">
        <f t="shared" si="8"/>
        <v>36187.398733820446</v>
      </c>
      <c r="U40" s="60">
        <f t="shared" si="7"/>
        <v>36105.225065414917</v>
      </c>
      <c r="V40" s="60">
        <f t="shared" si="3"/>
        <v>36023.2379954391</v>
      </c>
      <c r="W40" s="60">
        <f t="shared" si="3"/>
        <v>35941.437100168769</v>
      </c>
      <c r="X40" s="60">
        <f t="shared" si="3"/>
        <v>35859.821956841894</v>
      </c>
      <c r="Y40" s="60"/>
      <c r="Z40" s="335">
        <f t="shared" si="5"/>
        <v>30480.84866331561</v>
      </c>
    </row>
    <row r="41" spans="1:26">
      <c r="A41" s="218">
        <f>INDEX([2]!ResApplic,MATCH(CONCATENATE(LEFT($D41,FIND("_",$D41)-1)," - ",$C$7),[2]APPLIC!$B$9:$B$198,0)+1,MATCH($C41,[2]APPLIC!$C$8:$F$8,0)+1)</f>
        <v>0.10512619459663457</v>
      </c>
      <c r="B41" s="212">
        <f>VLOOKUP(RIGHT($D41,LEN(D41)-FIND("_",$D41)),Weighting!$D$27:$H$30,5,FALSE)</f>
        <v>1.706554478645779E-2</v>
      </c>
      <c r="C41" s="57" t="str">
        <f t="shared" si="6"/>
        <v>Single Family</v>
      </c>
      <c r="D41" s="60" t="s">
        <v>885</v>
      </c>
      <c r="E41" s="60">
        <f t="shared" si="8"/>
        <v>7541.2801311157727</v>
      </c>
      <c r="F41" s="60">
        <f t="shared" si="8"/>
        <v>7524.1555332024</v>
      </c>
      <c r="G41" s="60">
        <f t="shared" si="8"/>
        <v>7507.069821505771</v>
      </c>
      <c r="H41" s="60">
        <f t="shared" si="8"/>
        <v>7490.02290772379</v>
      </c>
      <c r="I41" s="60">
        <f t="shared" si="8"/>
        <v>7473.0147037548795</v>
      </c>
      <c r="J41" s="60">
        <f t="shared" si="8"/>
        <v>7456.045121697518</v>
      </c>
      <c r="K41" s="60">
        <f t="shared" si="8"/>
        <v>7439.1140738497925</v>
      </c>
      <c r="L41" s="60">
        <f t="shared" si="8"/>
        <v>7422.2214727089386</v>
      </c>
      <c r="M41" s="60">
        <f t="shared" si="8"/>
        <v>7405.3672309708936</v>
      </c>
      <c r="N41" s="60">
        <f t="shared" si="8"/>
        <v>7388.5512615298467</v>
      </c>
      <c r="O41" s="60">
        <f t="shared" si="8"/>
        <v>7371.7734774777746</v>
      </c>
      <c r="P41" s="60">
        <f t="shared" si="8"/>
        <v>7355.0337921040136</v>
      </c>
      <c r="Q41" s="60">
        <f t="shared" si="8"/>
        <v>7338.3321188947975</v>
      </c>
      <c r="R41" s="60">
        <f t="shared" si="8"/>
        <v>7321.6683715328136</v>
      </c>
      <c r="S41" s="60">
        <f t="shared" si="8"/>
        <v>7305.0424638967588</v>
      </c>
      <c r="T41" s="60">
        <f t="shared" si="8"/>
        <v>7288.454310060888</v>
      </c>
      <c r="U41" s="60">
        <f t="shared" si="7"/>
        <v>7271.9038242945799</v>
      </c>
      <c r="V41" s="60">
        <f t="shared" si="3"/>
        <v>7255.3909210618858</v>
      </c>
      <c r="W41" s="60">
        <f t="shared" si="3"/>
        <v>7238.91551502109</v>
      </c>
      <c r="X41" s="60">
        <f t="shared" si="3"/>
        <v>7222.4775210242706</v>
      </c>
      <c r="Y41" s="60"/>
      <c r="Z41" s="335">
        <f t="shared" si="5"/>
        <v>6139.1058928706298</v>
      </c>
    </row>
    <row r="42" spans="1:26">
      <c r="A42" s="218">
        <f>INDEX([2]!ResApplic,MATCH(CONCATENATE(LEFT($D42,FIND("_",$D42)-1)," - ",$C$7),[2]APPLIC!$B$9:$B$198,0)+1,MATCH($C42,[2]APPLIC!$C$8:$F$8,0)+1)</f>
        <v>1.9498021140463982E-2</v>
      </c>
      <c r="B42" s="212">
        <f>VLOOKUP(RIGHT($D42,LEN(D42)-FIND("_",$D42)),Weighting!$D$27:$H$30,5,FALSE)</f>
        <v>5.4838081978090071E-2</v>
      </c>
      <c r="C42" s="57" t="str">
        <f t="shared" si="6"/>
        <v>Single Family</v>
      </c>
      <c r="D42" s="60" t="s">
        <v>837</v>
      </c>
      <c r="E42" s="60">
        <f t="shared" si="8"/>
        <v>4494.5556918593948</v>
      </c>
      <c r="F42" s="60">
        <f t="shared" si="8"/>
        <v>4484.3495388344227</v>
      </c>
      <c r="G42" s="60">
        <f t="shared" si="8"/>
        <v>4474.1665617509034</v>
      </c>
      <c r="H42" s="60">
        <f t="shared" si="8"/>
        <v>4464.0067079813416</v>
      </c>
      <c r="I42" s="60">
        <f t="shared" si="8"/>
        <v>4453.8699250177488</v>
      </c>
      <c r="J42" s="60">
        <f t="shared" si="8"/>
        <v>4443.7561604713701</v>
      </c>
      <c r="K42" s="60">
        <f t="shared" si="8"/>
        <v>4433.6653620724146</v>
      </c>
      <c r="L42" s="60">
        <f t="shared" si="8"/>
        <v>4423.5974776697831</v>
      </c>
      <c r="M42" s="60">
        <f t="shared" si="8"/>
        <v>4413.5524552308025</v>
      </c>
      <c r="N42" s="60">
        <f t="shared" si="8"/>
        <v>4403.5302428409523</v>
      </c>
      <c r="O42" s="60">
        <f t="shared" si="8"/>
        <v>4393.5307887035988</v>
      </c>
      <c r="P42" s="60">
        <f t="shared" si="8"/>
        <v>4383.5540411397278</v>
      </c>
      <c r="Q42" s="60">
        <f t="shared" si="8"/>
        <v>4373.5999485876782</v>
      </c>
      <c r="R42" s="60">
        <f t="shared" si="8"/>
        <v>4363.6684596028736</v>
      </c>
      <c r="S42" s="60">
        <f t="shared" si="8"/>
        <v>4353.7595228575537</v>
      </c>
      <c r="T42" s="60">
        <f t="shared" si="8"/>
        <v>4343.873087140516</v>
      </c>
      <c r="U42" s="60">
        <f t="shared" si="7"/>
        <v>4334.0091013568463</v>
      </c>
      <c r="V42" s="60">
        <f t="shared" si="3"/>
        <v>4324.1675145276549</v>
      </c>
      <c r="W42" s="60">
        <f t="shared" si="3"/>
        <v>4314.3482757898146</v>
      </c>
      <c r="X42" s="60">
        <f t="shared" si="3"/>
        <v>4304.5513343956991</v>
      </c>
      <c r="Y42" s="60"/>
      <c r="Z42" s="335">
        <f t="shared" si="5"/>
        <v>3658.868634236344</v>
      </c>
    </row>
    <row r="43" spans="1:26">
      <c r="A43" s="218">
        <f>INDEX([2]!ResApplic,MATCH(CONCATENATE(LEFT($D43,FIND("_",$D43)-1)," - ",$C$7),[2]APPLIC!$B$9:$B$198,0)+1,MATCH($C43,[2]APPLIC!$C$8:$F$8,0)+1)</f>
        <v>4.555152699293441E-2</v>
      </c>
      <c r="B43" s="212">
        <f>VLOOKUP(RIGHT($D43,LEN(D43)-FIND("_",$D43)),Weighting!$D$27:$H$30,5,FALSE)</f>
        <v>1.706554478645779E-2</v>
      </c>
      <c r="C43" s="57" t="str">
        <f t="shared" si="6"/>
        <v>Single Family</v>
      </c>
      <c r="D43" s="60" t="s">
        <v>884</v>
      </c>
      <c r="E43" s="60">
        <f t="shared" si="8"/>
        <v>3267.6615640075415</v>
      </c>
      <c r="F43" s="60">
        <f t="shared" si="8"/>
        <v>3260.2414192273832</v>
      </c>
      <c r="G43" s="60">
        <f t="shared" si="8"/>
        <v>3252.8381239732485</v>
      </c>
      <c r="H43" s="60">
        <f t="shared" si="8"/>
        <v>3245.4516399835484</v>
      </c>
      <c r="I43" s="60">
        <f t="shared" si="8"/>
        <v>3238.0819290835789</v>
      </c>
      <c r="J43" s="60">
        <f t="shared" si="8"/>
        <v>3230.7289531853198</v>
      </c>
      <c r="K43" s="60">
        <f t="shared" si="8"/>
        <v>3223.3926742872436</v>
      </c>
      <c r="L43" s="60">
        <f t="shared" si="8"/>
        <v>3216.0730544741136</v>
      </c>
      <c r="M43" s="60">
        <f t="shared" si="8"/>
        <v>3208.770055916792</v>
      </c>
      <c r="N43" s="60">
        <f t="shared" si="8"/>
        <v>3201.4836408720416</v>
      </c>
      <c r="O43" s="60">
        <f t="shared" si="8"/>
        <v>3194.2137716823313</v>
      </c>
      <c r="P43" s="60">
        <f t="shared" si="8"/>
        <v>3186.9604107756431</v>
      </c>
      <c r="Q43" s="60">
        <f t="shared" si="8"/>
        <v>3179.7235206652772</v>
      </c>
      <c r="R43" s="60">
        <f t="shared" si="8"/>
        <v>3172.5030639496576</v>
      </c>
      <c r="S43" s="60">
        <f t="shared" si="8"/>
        <v>3165.2990033121382</v>
      </c>
      <c r="T43" s="60">
        <f t="shared" si="8"/>
        <v>3158.1113015208116</v>
      </c>
      <c r="U43" s="60">
        <f t="shared" si="7"/>
        <v>3150.9399214283153</v>
      </c>
      <c r="V43" s="60">
        <f t="shared" si="7"/>
        <v>3143.7848259716416</v>
      </c>
      <c r="W43" s="60">
        <f t="shared" si="7"/>
        <v>3136.6459781719427</v>
      </c>
      <c r="X43" s="60">
        <f t="shared" si="7"/>
        <v>3129.5233411343447</v>
      </c>
      <c r="Y43" s="60"/>
      <c r="Z43" s="335">
        <f t="shared" si="5"/>
        <v>2660.0948399641929</v>
      </c>
    </row>
    <row r="44" spans="1:26">
      <c r="A44" s="218">
        <f>INDEX([2]!ResApplic,MATCH(CONCATENATE(LEFT($D44,FIND("_",$D44)-1)," - ",$C$7),[2]APPLIC!$B$9:$B$198,0)+1,MATCH($C44,[2]APPLIC!$C$8:$F$8,0)+1)</f>
        <v>7.8781984396844446E-2</v>
      </c>
      <c r="B44" s="212">
        <f>VLOOKUP(RIGHT($D44,LEN(D44)-FIND("_",$D44)),Weighting!$D$27:$H$30,5,FALSE)</f>
        <v>0.19554651968726669</v>
      </c>
      <c r="C44" s="57" t="str">
        <f t="shared" si="6"/>
        <v>Single Family</v>
      </c>
      <c r="D44" s="60" t="s">
        <v>855</v>
      </c>
      <c r="E44" s="60">
        <f t="shared" si="8"/>
        <v>64757.634969537634</v>
      </c>
      <c r="F44" s="60">
        <f t="shared" si="8"/>
        <v>64610.584542900033</v>
      </c>
      <c r="G44" s="60">
        <f t="shared" si="8"/>
        <v>64463.868035621665</v>
      </c>
      <c r="H44" s="60">
        <f t="shared" si="8"/>
        <v>64317.484689444675</v>
      </c>
      <c r="I44" s="60">
        <f t="shared" si="8"/>
        <v>64171.433747833107</v>
      </c>
      <c r="J44" s="60">
        <f t="shared" si="8"/>
        <v>64025.714455968839</v>
      </c>
      <c r="K44" s="60">
        <f t="shared" si="8"/>
        <v>63880.326060747859</v>
      </c>
      <c r="L44" s="60">
        <f t="shared" si="8"/>
        <v>63735.26781077624</v>
      </c>
      <c r="M44" s="60">
        <f t="shared" si="8"/>
        <v>63590.538956366334</v>
      </c>
      <c r="N44" s="60">
        <f t="shared" si="8"/>
        <v>63446.138749532845</v>
      </c>
      <c r="O44" s="60">
        <f t="shared" si="8"/>
        <v>63302.066443989017</v>
      </c>
      <c r="P44" s="60">
        <f t="shared" si="8"/>
        <v>63158.321295142698</v>
      </c>
      <c r="Q44" s="60">
        <f t="shared" si="8"/>
        <v>63014.902560092625</v>
      </c>
      <c r="R44" s="60">
        <f t="shared" si="8"/>
        <v>62871.809497624425</v>
      </c>
      <c r="S44" s="60">
        <f t="shared" si="8"/>
        <v>62729.041368206912</v>
      </c>
      <c r="T44" s="60">
        <f t="shared" si="8"/>
        <v>62586.597433988158</v>
      </c>
      <c r="U44" s="60">
        <f t="shared" si="7"/>
        <v>62444.476958791784</v>
      </c>
      <c r="V44" s="60">
        <f t="shared" si="7"/>
        <v>62302.679208113092</v>
      </c>
      <c r="W44" s="60">
        <f t="shared" si="7"/>
        <v>62161.203449115274</v>
      </c>
      <c r="X44" s="60">
        <f t="shared" si="7"/>
        <v>62020.048950625649</v>
      </c>
      <c r="Y44" s="60"/>
      <c r="Z44" s="335">
        <f t="shared" si="5"/>
        <v>52717.041608031803</v>
      </c>
    </row>
    <row r="45" spans="1:26">
      <c r="A45" s="218">
        <f>INDEX([2]!ResApplic,MATCH(CONCATENATE(LEFT($D45,FIND("_",$D45)-1)," - ",$C$7),[2]APPLIC!$B$9:$B$198,0)+1,MATCH($C45,[2]APPLIC!$C$8:$F$8,0)+1)</f>
        <v>8.860650265378479E-3</v>
      </c>
      <c r="B45" s="212">
        <f>VLOOKUP(RIGHT($D45,LEN(D45)-FIND("_",$D45)),Weighting!$D$27:$H$30,5,FALSE)</f>
        <v>5.4838081978090071E-2</v>
      </c>
      <c r="C45" s="57" t="str">
        <f t="shared" si="6"/>
        <v>Single Family</v>
      </c>
      <c r="D45" s="60" t="s">
        <v>846</v>
      </c>
      <c r="E45" s="60">
        <f t="shared" si="8"/>
        <v>2042.4988667790838</v>
      </c>
      <c r="F45" s="60">
        <f t="shared" si="8"/>
        <v>2037.8607985434546</v>
      </c>
      <c r="G45" s="60">
        <f t="shared" si="8"/>
        <v>2033.2332623464515</v>
      </c>
      <c r="H45" s="60">
        <f t="shared" si="8"/>
        <v>2028.6162342721177</v>
      </c>
      <c r="I45" s="60">
        <f t="shared" si="8"/>
        <v>2024.0096904588052</v>
      </c>
      <c r="J45" s="60">
        <f t="shared" si="8"/>
        <v>2019.4136070990501</v>
      </c>
      <c r="K45" s="60">
        <f t="shared" si="8"/>
        <v>2014.8279604394493</v>
      </c>
      <c r="L45" s="60">
        <f t="shared" si="8"/>
        <v>2010.2527267805399</v>
      </c>
      <c r="M45" s="60">
        <f t="shared" si="8"/>
        <v>2005.687882476675</v>
      </c>
      <c r="N45" s="60">
        <f t="shared" si="8"/>
        <v>2001.1334039359008</v>
      </c>
      <c r="O45" s="60">
        <f t="shared" si="8"/>
        <v>1996.5892676198359</v>
      </c>
      <c r="P45" s="60">
        <f t="shared" si="8"/>
        <v>1992.0554500435505</v>
      </c>
      <c r="Q45" s="60">
        <f t="shared" si="8"/>
        <v>1987.5319277754429</v>
      </c>
      <c r="R45" s="60">
        <f t="shared" si="8"/>
        <v>1983.0186774371205</v>
      </c>
      <c r="S45" s="60">
        <f t="shared" si="8"/>
        <v>1978.5156757032764</v>
      </c>
      <c r="T45" s="60">
        <f t="shared" si="8"/>
        <v>1974.0228993015714</v>
      </c>
      <c r="U45" s="60">
        <f t="shared" si="7"/>
        <v>1969.540325012513</v>
      </c>
      <c r="V45" s="60">
        <f t="shared" si="7"/>
        <v>1965.0679296693338</v>
      </c>
      <c r="W45" s="60">
        <f t="shared" si="7"/>
        <v>1960.6056901578743</v>
      </c>
      <c r="X45" s="60">
        <f t="shared" si="7"/>
        <v>1956.1535834164615</v>
      </c>
      <c r="Y45" s="60"/>
      <c r="Z45" s="335">
        <f t="shared" si="5"/>
        <v>1662.7305459039922</v>
      </c>
    </row>
    <row r="46" spans="1:26">
      <c r="A46" s="218">
        <f>INDEX([2]!ResApplic,MATCH(CONCATENATE(LEFT($D46,FIND("_",$D46)-1)," - ",$C$7),[2]APPLIC!$B$9:$B$198,0)+1,MATCH($C46,[2]APPLIC!$C$8:$F$8,0)+1)</f>
        <v>7.8781984396844446E-2</v>
      </c>
      <c r="B46" s="212">
        <f>VLOOKUP(RIGHT($D46,LEN(D46)-FIND("_",$D46)),Weighting!$D$27:$H$30,5,FALSE)</f>
        <v>1.706554478645779E-2</v>
      </c>
      <c r="C46" s="57" t="str">
        <f t="shared" si="6"/>
        <v>Single Family</v>
      </c>
      <c r="D46" s="60" t="s">
        <v>883</v>
      </c>
      <c r="E46" s="60">
        <f t="shared" si="8"/>
        <v>5651.4650406723222</v>
      </c>
      <c r="F46" s="60">
        <f t="shared" si="8"/>
        <v>5638.6317995301879</v>
      </c>
      <c r="G46" s="60">
        <f t="shared" si="8"/>
        <v>5625.8276998720812</v>
      </c>
      <c r="H46" s="60">
        <f t="shared" si="8"/>
        <v>5613.0526755240635</v>
      </c>
      <c r="I46" s="60">
        <f t="shared" si="8"/>
        <v>5600.3066604624682</v>
      </c>
      <c r="J46" s="60">
        <f t="shared" si="8"/>
        <v>5587.5895888135447</v>
      </c>
      <c r="K46" s="60">
        <f t="shared" si="8"/>
        <v>5574.9013948531356</v>
      </c>
      <c r="L46" s="60">
        <f t="shared" si="8"/>
        <v>5562.2420130063256</v>
      </c>
      <c r="M46" s="60">
        <f t="shared" si="8"/>
        <v>5549.6113778471063</v>
      </c>
      <c r="N46" s="60">
        <f t="shared" si="8"/>
        <v>5537.0094240980361</v>
      </c>
      <c r="O46" s="60">
        <f t="shared" si="8"/>
        <v>5524.4360866299057</v>
      </c>
      <c r="P46" s="60">
        <f t="shared" si="8"/>
        <v>5511.8913004613969</v>
      </c>
      <c r="Q46" s="60">
        <f t="shared" si="8"/>
        <v>5499.375000758756</v>
      </c>
      <c r="R46" s="60">
        <f t="shared" si="8"/>
        <v>5486.8871228354474</v>
      </c>
      <c r="S46" s="60">
        <f t="shared" si="8"/>
        <v>5474.4276021518272</v>
      </c>
      <c r="T46" s="60">
        <f t="shared" si="8"/>
        <v>5461.9963743148037</v>
      </c>
      <c r="U46" s="60">
        <f t="shared" si="7"/>
        <v>5449.5933750775112</v>
      </c>
      <c r="V46" s="60">
        <f t="shared" si="7"/>
        <v>5437.2185403389731</v>
      </c>
      <c r="W46" s="60">
        <f t="shared" si="7"/>
        <v>5424.8718061437721</v>
      </c>
      <c r="X46" s="60">
        <f t="shared" si="7"/>
        <v>5412.55310868172</v>
      </c>
      <c r="Y46" s="60"/>
      <c r="Z46" s="335">
        <f t="shared" si="5"/>
        <v>4600.670142379462</v>
      </c>
    </row>
    <row r="47" spans="1:26">
      <c r="A47" s="218">
        <f>INDEX([2]!ResApplic,MATCH(CONCATENATE(LEFT($D47,FIND("_",$D47)-1)," - ",$C$7),[2]APPLIC!$B$9:$B$198,0)+1,MATCH($C47,[2]APPLIC!$C$8:$F$8,0)+1)</f>
        <v>8.46755457988283E-2</v>
      </c>
      <c r="B47" s="212">
        <f>VLOOKUP(RIGHT($D47,LEN(D47)-FIND("_",$D47)),Weighting!$D$27:$H$30,5,FALSE)</f>
        <v>0.14070061635544628</v>
      </c>
      <c r="C47" s="57" t="str">
        <f t="shared" si="6"/>
        <v>Single Family</v>
      </c>
      <c r="D47" s="60" t="s">
        <v>868</v>
      </c>
      <c r="E47" s="60">
        <f t="shared" si="8"/>
        <v>50080.421718358848</v>
      </c>
      <c r="F47" s="60">
        <f t="shared" si="8"/>
        <v>49966.700033134548</v>
      </c>
      <c r="G47" s="60">
        <f t="shared" si="8"/>
        <v>49853.236584986669</v>
      </c>
      <c r="H47" s="60">
        <f t="shared" si="8"/>
        <v>49740.030787515279</v>
      </c>
      <c r="I47" s="60">
        <f t="shared" si="8"/>
        <v>49627.082055652056</v>
      </c>
      <c r="J47" s="60">
        <f t="shared" si="8"/>
        <v>49514.389805657192</v>
      </c>
      <c r="K47" s="60">
        <f t="shared" si="8"/>
        <v>49401.953455116483</v>
      </c>
      <c r="L47" s="60">
        <f t="shared" si="8"/>
        <v>49289.772422938222</v>
      </c>
      <c r="M47" s="60">
        <f t="shared" si="8"/>
        <v>49177.846129350248</v>
      </c>
      <c r="N47" s="60">
        <f t="shared" si="8"/>
        <v>49066.173995896941</v>
      </c>
      <c r="O47" s="60">
        <f t="shared" si="8"/>
        <v>48954.755445436196</v>
      </c>
      <c r="P47" s="60">
        <f t="shared" si="8"/>
        <v>48843.589902136511</v>
      </c>
      <c r="Q47" s="60">
        <f t="shared" si="8"/>
        <v>48732.676791473961</v>
      </c>
      <c r="R47" s="60">
        <f t="shared" si="8"/>
        <v>48622.015540229222</v>
      </c>
      <c r="S47" s="60">
        <f t="shared" si="8"/>
        <v>48511.605576484653</v>
      </c>
      <c r="T47" s="60">
        <f t="shared" si="8"/>
        <v>48401.446329621285</v>
      </c>
      <c r="U47" s="60">
        <f t="shared" si="7"/>
        <v>48291.537230315917</v>
      </c>
      <c r="V47" s="60">
        <f t="shared" si="7"/>
        <v>48181.877710538152</v>
      </c>
      <c r="W47" s="60">
        <f t="shared" si="7"/>
        <v>48072.46720354745</v>
      </c>
      <c r="X47" s="60">
        <f t="shared" si="7"/>
        <v>47963.305143890255</v>
      </c>
      <c r="Y47" s="60"/>
      <c r="Z47" s="335">
        <f t="shared" si="5"/>
        <v>40768.809372306714</v>
      </c>
    </row>
    <row r="48" spans="1:26">
      <c r="A48" s="218">
        <f>INDEX([2]!ResApplic,MATCH(CONCATENATE(LEFT($D48,FIND("_",$D48)-1)," - ",$C$7),[2]APPLIC!$B$9:$B$198,0)+1,MATCH($C48,[2]APPLIC!$C$8:$F$8,0)+1)</f>
        <v>0.3489194352936118</v>
      </c>
      <c r="B48" s="212">
        <f>VLOOKUP(RIGHT($D48,LEN(D48)-FIND("_",$D48)),Weighting!$D$27:$H$30,5,FALSE)</f>
        <v>5.4838081978090071E-2</v>
      </c>
      <c r="C48" s="57" t="str">
        <f t="shared" si="6"/>
        <v>Single Family</v>
      </c>
      <c r="D48" s="60" t="s">
        <v>891</v>
      </c>
      <c r="E48" s="60">
        <f t="shared" si="8"/>
        <v>80430.61511738367</v>
      </c>
      <c r="F48" s="60">
        <f t="shared" si="8"/>
        <v>80247.974780482866</v>
      </c>
      <c r="G48" s="60">
        <f t="shared" si="8"/>
        <v>80065.749179844046</v>
      </c>
      <c r="H48" s="60">
        <f t="shared" si="8"/>
        <v>79883.937373691864</v>
      </c>
      <c r="I48" s="60">
        <f t="shared" si="8"/>
        <v>79702.538422389538</v>
      </c>
      <c r="J48" s="60">
        <f t="shared" si="8"/>
        <v>79521.551388434018</v>
      </c>
      <c r="K48" s="60">
        <f t="shared" si="8"/>
        <v>79340.97533645104</v>
      </c>
      <c r="L48" s="60">
        <f t="shared" si="8"/>
        <v>79160.809333190467</v>
      </c>
      <c r="M48" s="60">
        <f t="shared" si="8"/>
        <v>78981.052447521331</v>
      </c>
      <c r="N48" s="60">
        <f t="shared" si="8"/>
        <v>78801.703750427041</v>
      </c>
      <c r="O48" s="60">
        <f t="shared" si="8"/>
        <v>78622.762315000597</v>
      </c>
      <c r="P48" s="60">
        <f t="shared" si="8"/>
        <v>78444.227216439831</v>
      </c>
      <c r="Q48" s="60">
        <f t="shared" si="8"/>
        <v>78266.097532042593</v>
      </c>
      <c r="R48" s="60">
        <f t="shared" si="8"/>
        <v>78088.372341202004</v>
      </c>
      <c r="S48" s="60">
        <f t="shared" si="8"/>
        <v>77911.050725401627</v>
      </c>
      <c r="T48" s="60">
        <f t="shared" si="8"/>
        <v>77734.131768210806</v>
      </c>
      <c r="U48" s="60">
        <f t="shared" si="7"/>
        <v>77557.614555279913</v>
      </c>
      <c r="V48" s="60">
        <f t="shared" si="7"/>
        <v>77381.498174335589</v>
      </c>
      <c r="W48" s="60">
        <f t="shared" si="7"/>
        <v>77205.781715176039</v>
      </c>
      <c r="X48" s="60">
        <f t="shared" si="7"/>
        <v>77030.46426966638</v>
      </c>
      <c r="Y48" s="60"/>
      <c r="Z48" s="335">
        <f t="shared" si="5"/>
        <v>65475.894629216418</v>
      </c>
    </row>
    <row r="49" spans="1:26">
      <c r="A49" s="218">
        <f>INDEX([2]!ResApplic,MATCH(CONCATENATE(LEFT($D49,FIND("_",$D49)-1)," - ",$C$7),[2]APPLIC!$B$9:$B$198,0)+1,MATCH($C49,[2]APPLIC!$C$8:$F$8,0)+1)</f>
        <v>2.4846271780712467E-2</v>
      </c>
      <c r="B49" s="212">
        <f>VLOOKUP(RIGHT($D49,LEN(D49)-FIND("_",$D49)),Weighting!$D$27:$H$30,5,FALSE)</f>
        <v>0.19554651968726669</v>
      </c>
      <c r="C49" s="57" t="str">
        <f t="shared" si="6"/>
        <v>Single Family</v>
      </c>
      <c r="D49" s="60" t="s">
        <v>850</v>
      </c>
      <c r="E49" s="60">
        <f t="shared" si="8"/>
        <v>20423.270759777264</v>
      </c>
      <c r="F49" s="60">
        <f t="shared" si="8"/>
        <v>20376.893978414366</v>
      </c>
      <c r="G49" s="60">
        <f t="shared" si="8"/>
        <v>20330.622508579429</v>
      </c>
      <c r="H49" s="60">
        <f t="shared" si="8"/>
        <v>20284.456111132997</v>
      </c>
      <c r="I49" s="60">
        <f t="shared" si="8"/>
        <v>20238.39454747866</v>
      </c>
      <c r="J49" s="60">
        <f t="shared" si="8"/>
        <v>20192.437579561796</v>
      </c>
      <c r="K49" s="60">
        <f t="shared" si="8"/>
        <v>20146.584969868367</v>
      </c>
      <c r="L49" s="60">
        <f t="shared" si="8"/>
        <v>20100.83648142367</v>
      </c>
      <c r="M49" s="60">
        <f t="shared" si="8"/>
        <v>20055.19187779112</v>
      </c>
      <c r="N49" s="60">
        <f t="shared" si="8"/>
        <v>20009.650923071029</v>
      </c>
      <c r="O49" s="60">
        <f t="shared" si="8"/>
        <v>19964.213381899375</v>
      </c>
      <c r="P49" s="60">
        <f t="shared" si="8"/>
        <v>19918.879019446616</v>
      </c>
      <c r="Q49" s="60">
        <f t="shared" si="8"/>
        <v>19873.647601416444</v>
      </c>
      <c r="R49" s="60">
        <f t="shared" si="8"/>
        <v>19828.518894044584</v>
      </c>
      <c r="S49" s="60">
        <f t="shared" si="8"/>
        <v>19783.492664097608</v>
      </c>
      <c r="T49" s="60">
        <f t="shared" si="8"/>
        <v>19738.568678871681</v>
      </c>
      <c r="U49" s="60">
        <f t="shared" si="7"/>
        <v>19693.746706191407</v>
      </c>
      <c r="V49" s="60">
        <f t="shared" si="7"/>
        <v>19649.026514408608</v>
      </c>
      <c r="W49" s="60">
        <f t="shared" si="7"/>
        <v>19604.40787240112</v>
      </c>
      <c r="X49" s="60">
        <f t="shared" si="7"/>
        <v>19559.890549571614</v>
      </c>
      <c r="Y49" s="60"/>
      <c r="Z49" s="335">
        <f t="shared" si="5"/>
        <v>16625.90696713587</v>
      </c>
    </row>
    <row r="50" spans="1:26">
      <c r="A50" s="218">
        <f>INDEX([2]!ResApplic,MATCH(CONCATENATE(LEFT($D50,FIND("_",$D50)-1)," - ",$C$7),[2]APPLIC!$B$9:$B$198,0)+1,MATCH($C50,[2]APPLIC!$C$8:$F$8,0)+1)</f>
        <v>2.4846271780712467E-2</v>
      </c>
      <c r="B50" s="212">
        <f>VLOOKUP(RIGHT($D50,LEN(D50)-FIND("_",$D50)),Weighting!$D$27:$H$30,5,FALSE)</f>
        <v>1.706554478645779E-2</v>
      </c>
      <c r="C50" s="57" t="str">
        <f t="shared" si="6"/>
        <v>Single Family</v>
      </c>
      <c r="D50" s="60" t="s">
        <v>878</v>
      </c>
      <c r="E50" s="60">
        <f t="shared" si="8"/>
        <v>1782.3597290012422</v>
      </c>
      <c r="F50" s="60">
        <f t="shared" si="8"/>
        <v>1778.312379855545</v>
      </c>
      <c r="G50" s="60">
        <f t="shared" si="8"/>
        <v>1774.2742213546103</v>
      </c>
      <c r="H50" s="60">
        <f t="shared" si="8"/>
        <v>1770.2452326284927</v>
      </c>
      <c r="I50" s="60">
        <f t="shared" si="8"/>
        <v>1766.2253928546399</v>
      </c>
      <c r="J50" s="60">
        <f t="shared" si="8"/>
        <v>1762.2146812577814</v>
      </c>
      <c r="K50" s="60">
        <f t="shared" si="8"/>
        <v>1758.2130771098243</v>
      </c>
      <c r="L50" s="60">
        <f t="shared" si="8"/>
        <v>1754.2205597297434</v>
      </c>
      <c r="M50" s="60">
        <f t="shared" si="8"/>
        <v>1750.2371084834763</v>
      </c>
      <c r="N50" s="60">
        <f t="shared" si="8"/>
        <v>1746.2627027838164</v>
      </c>
      <c r="O50" s="60">
        <f t="shared" si="8"/>
        <v>1742.2973220903043</v>
      </c>
      <c r="P50" s="60">
        <f t="shared" si="8"/>
        <v>1738.3409459091256</v>
      </c>
      <c r="Q50" s="60">
        <f t="shared" si="8"/>
        <v>1734.3935537930022</v>
      </c>
      <c r="R50" s="60">
        <f t="shared" si="8"/>
        <v>1730.4551253410866</v>
      </c>
      <c r="S50" s="60">
        <f t="shared" si="8"/>
        <v>1726.5256401988588</v>
      </c>
      <c r="T50" s="60">
        <f t="shared" si="8"/>
        <v>1722.6050780580172</v>
      </c>
      <c r="U50" s="60">
        <f t="shared" si="7"/>
        <v>1718.6934186563776</v>
      </c>
      <c r="V50" s="60">
        <f t="shared" si="7"/>
        <v>1714.7906417777665</v>
      </c>
      <c r="W50" s="60">
        <f t="shared" si="7"/>
        <v>1710.896727251916</v>
      </c>
      <c r="X50" s="60">
        <f t="shared" si="7"/>
        <v>1707.0116549543618</v>
      </c>
      <c r="Y50" s="60"/>
      <c r="Z50" s="335">
        <f t="shared" si="5"/>
        <v>1450.9599067112074</v>
      </c>
    </row>
    <row r="51" spans="1:26">
      <c r="A51" s="218">
        <f>INDEX([2]!ResApplic,MATCH(CONCATENATE(LEFT($D51,FIND("_",$D51)-1)," - ",$C$7),[2]APPLIC!$B$9:$B$198,0)+1,MATCH($C51,[2]APPLIC!$C$8:$F$8,0)+1)</f>
        <v>0.3489194352936118</v>
      </c>
      <c r="B51" s="212">
        <f>VLOOKUP(RIGHT($D51,LEN(D51)-FIND("_",$D51)),Weighting!$D$27:$H$30,5,FALSE)</f>
        <v>0.19554651968726669</v>
      </c>
      <c r="C51" s="57" t="str">
        <f t="shared" si="6"/>
        <v>Single Family</v>
      </c>
      <c r="D51" s="60" t="s">
        <v>892</v>
      </c>
      <c r="E51" s="60">
        <f t="shared" si="8"/>
        <v>286806.65506854071</v>
      </c>
      <c r="F51" s="60">
        <f t="shared" si="8"/>
        <v>286155.37987897929</v>
      </c>
      <c r="G51" s="60">
        <f t="shared" si="8"/>
        <v>285505.5835929407</v>
      </c>
      <c r="H51" s="60">
        <f t="shared" si="8"/>
        <v>284857.2628521584</v>
      </c>
      <c r="I51" s="60">
        <f t="shared" si="8"/>
        <v>284210.4143059919</v>
      </c>
      <c r="J51" s="60">
        <f t="shared" si="8"/>
        <v>283565.03461140912</v>
      </c>
      <c r="K51" s="60">
        <f t="shared" si="8"/>
        <v>282921.1204329693</v>
      </c>
      <c r="L51" s="60">
        <f t="shared" si="8"/>
        <v>282278.66844280588</v>
      </c>
      <c r="M51" s="60">
        <f t="shared" si="8"/>
        <v>281637.67532060901</v>
      </c>
      <c r="N51" s="60">
        <f t="shared" si="8"/>
        <v>280998.13775360864</v>
      </c>
      <c r="O51" s="60">
        <f t="shared" si="8"/>
        <v>280360.05243655719</v>
      </c>
      <c r="P51" s="60">
        <f t="shared" si="8"/>
        <v>279723.41607171262</v>
      </c>
      <c r="Q51" s="60">
        <f t="shared" si="8"/>
        <v>279088.22536882135</v>
      </c>
      <c r="R51" s="60">
        <f t="shared" si="8"/>
        <v>278454.47704510135</v>
      </c>
      <c r="S51" s="60">
        <f t="shared" si="8"/>
        <v>277822.16782522493</v>
      </c>
      <c r="T51" s="60">
        <f t="shared" si="8"/>
        <v>277191.2944413019</v>
      </c>
      <c r="U51" s="60">
        <f t="shared" si="7"/>
        <v>276561.85363286291</v>
      </c>
      <c r="V51" s="60">
        <f t="shared" si="7"/>
        <v>275933.84214684233</v>
      </c>
      <c r="W51" s="60">
        <f t="shared" si="7"/>
        <v>275307.25673756149</v>
      </c>
      <c r="X51" s="60">
        <f t="shared" si="7"/>
        <v>274682.09416671202</v>
      </c>
      <c r="Y51" s="60"/>
      <c r="Z51" s="335">
        <f t="shared" si="5"/>
        <v>233479.78004170521</v>
      </c>
    </row>
    <row r="52" spans="1:26">
      <c r="A52" s="218">
        <f>INDEX([2]!ResApplic,MATCH(CONCATENATE(LEFT($D52,FIND("_",$D52)-1)," - ",$C$7),[2]APPLIC!$B$9:$B$198,0)+1,MATCH($C52,[2]APPLIC!$C$8:$F$8,0)+1)</f>
        <v>0.3489194352936118</v>
      </c>
      <c r="B52" s="212">
        <f>VLOOKUP(RIGHT($D52,LEN(D52)-FIND("_",$D52)),Weighting!$D$27:$H$30,5,FALSE)</f>
        <v>1.706554478645779E-2</v>
      </c>
      <c r="C52" s="57" t="str">
        <f t="shared" si="6"/>
        <v>Single Family</v>
      </c>
      <c r="D52" s="60" t="s">
        <v>894</v>
      </c>
      <c r="E52" s="60">
        <f t="shared" si="8"/>
        <v>25029.910145954113</v>
      </c>
      <c r="F52" s="60">
        <f t="shared" si="8"/>
        <v>24973.072694008952</v>
      </c>
      <c r="G52" s="60">
        <f t="shared" si="8"/>
        <v>24916.364307486907</v>
      </c>
      <c r="H52" s="60">
        <f t="shared" si="8"/>
        <v>24859.784693308637</v>
      </c>
      <c r="I52" s="60">
        <f t="shared" si="8"/>
        <v>24803.333559060306</v>
      </c>
      <c r="J52" s="60">
        <f t="shared" si="8"/>
        <v>24747.01061299209</v>
      </c>
      <c r="K52" s="60">
        <f t="shared" si="8"/>
        <v>24690.815564016666</v>
      </c>
      <c r="L52" s="60">
        <f t="shared" si="8"/>
        <v>24634.748121707711</v>
      </c>
      <c r="M52" s="60">
        <f t="shared" si="8"/>
        <v>24578.80799629839</v>
      </c>
      <c r="N52" s="60">
        <f t="shared" si="8"/>
        <v>24522.99489867987</v>
      </c>
      <c r="O52" s="60">
        <f t="shared" si="8"/>
        <v>24467.308540399816</v>
      </c>
      <c r="P52" s="60">
        <f t="shared" si="8"/>
        <v>24411.748633660907</v>
      </c>
      <c r="Q52" s="60">
        <f t="shared" si="8"/>
        <v>24356.314891319347</v>
      </c>
      <c r="R52" s="60">
        <f t="shared" si="8"/>
        <v>24301.007026883395</v>
      </c>
      <c r="S52" s="60">
        <f t="shared" si="8"/>
        <v>24245.824754511843</v>
      </c>
      <c r="T52" s="60">
        <f t="shared" si="8"/>
        <v>24190.767789012585</v>
      </c>
      <c r="U52" s="60">
        <f t="shared" si="7"/>
        <v>24135.835845841113</v>
      </c>
      <c r="V52" s="60">
        <f t="shared" si="7"/>
        <v>24081.028641099067</v>
      </c>
      <c r="W52" s="60">
        <f t="shared" si="7"/>
        <v>24026.34589153275</v>
      </c>
      <c r="X52" s="60">
        <f t="shared" si="7"/>
        <v>23971.787314531684</v>
      </c>
      <c r="Y52" s="60"/>
      <c r="Z52" s="335">
        <f t="shared" si="5"/>
        <v>20376.019217351932</v>
      </c>
    </row>
    <row r="53" spans="1:26">
      <c r="A53" s="218">
        <f>INDEX([2]!ResApplic,MATCH(CONCATENATE(LEFT($D53,FIND("_",$D53)-1)," - ",$C$7),[2]APPLIC!$B$9:$B$198,0)+1,MATCH($C53,[2]APPLIC!$C$8:$F$8,0)+1)</f>
        <v>1.9498021140463982E-2</v>
      </c>
      <c r="B53" s="212">
        <f>VLOOKUP(RIGHT($D53,LEN(D53)-FIND("_",$D53)),Weighting!$D$27:$H$30,5,FALSE)</f>
        <v>0.19554651968726669</v>
      </c>
      <c r="C53" s="57" t="str">
        <f t="shared" si="6"/>
        <v>Single Family</v>
      </c>
      <c r="D53" s="60" t="s">
        <v>851</v>
      </c>
      <c r="E53" s="60">
        <f t="shared" si="8"/>
        <v>16027.087224437428</v>
      </c>
      <c r="F53" s="60">
        <f t="shared" si="8"/>
        <v>15990.693214445861</v>
      </c>
      <c r="G53" s="60">
        <f t="shared" si="8"/>
        <v>15954.381847291683</v>
      </c>
      <c r="H53" s="60">
        <f t="shared" si="8"/>
        <v>15918.152935311076</v>
      </c>
      <c r="I53" s="60">
        <f t="shared" si="8"/>
        <v>15882.006291266383</v>
      </c>
      <c r="J53" s="60">
        <f t="shared" si="8"/>
        <v>15845.941728345111</v>
      </c>
      <c r="K53" s="60">
        <f t="shared" si="8"/>
        <v>15809.959060158977</v>
      </c>
      <c r="L53" s="60">
        <f t="shared" si="8"/>
        <v>15774.058100742948</v>
      </c>
      <c r="M53" s="60">
        <f t="shared" si="8"/>
        <v>15738.238664554277</v>
      </c>
      <c r="N53" s="60">
        <f t="shared" si="8"/>
        <v>15702.500566471548</v>
      </c>
      <c r="O53" s="60">
        <f t="shared" si="8"/>
        <v>15666.843621793703</v>
      </c>
      <c r="P53" s="60">
        <f t="shared" si="8"/>
        <v>15631.267646239108</v>
      </c>
      <c r="Q53" s="60">
        <f t="shared" si="8"/>
        <v>15595.7724559446</v>
      </c>
      <c r="R53" s="60">
        <f t="shared" si="8"/>
        <v>15560.357867464516</v>
      </c>
      <c r="S53" s="60">
        <f t="shared" si="8"/>
        <v>15525.023697769768</v>
      </c>
      <c r="T53" s="60">
        <f t="shared" ref="T53:X66" si="9">$A53*VLOOKUP($C53,$C$13:$Y$16,T$22,FALSE)*$B53</f>
        <v>15489.76976424687</v>
      </c>
      <c r="U53" s="60">
        <f t="shared" ref="U53:X65" si="10">$A53*VLOOKUP($C53,$C$13:$Y$16,U$22,FALSE)*$B53</f>
        <v>15454.595884697035</v>
      </c>
      <c r="V53" s="60">
        <f t="shared" si="10"/>
        <v>15419.501877335193</v>
      </c>
      <c r="W53" s="60">
        <f t="shared" si="10"/>
        <v>15384.487560789074</v>
      </c>
      <c r="X53" s="60">
        <f t="shared" si="10"/>
        <v>15349.55275409826</v>
      </c>
      <c r="Y53" s="60"/>
      <c r="Z53" s="335">
        <f t="shared" si="5"/>
        <v>13047.119840983521</v>
      </c>
    </row>
    <row r="54" spans="1:26">
      <c r="A54" s="218">
        <f>INDEX([2]!ResApplic,MATCH(CONCATENATE(LEFT($D54,FIND("_",$D54)-1)," - ",$C$7),[2]APPLIC!$B$9:$B$198,0)+1,MATCH($C54,[2]APPLIC!$C$8:$F$8,0)+1)</f>
        <v>1.9498021140463982E-2</v>
      </c>
      <c r="B54" s="212">
        <f>VLOOKUP(RIGHT($D54,LEN(D54)-FIND("_",$D54)),Weighting!$D$27:$H$30,5,FALSE)</f>
        <v>1.706554478645779E-2</v>
      </c>
      <c r="C54" s="57" t="str">
        <f t="shared" si="6"/>
        <v>Single Family</v>
      </c>
      <c r="D54" s="60" t="s">
        <v>879</v>
      </c>
      <c r="E54" s="60">
        <f t="shared" ref="E54:S66" si="11">$A54*VLOOKUP($C54,$C$13:$Y$16,E$22,FALSE)*$B54</f>
        <v>1398.7002952674513</v>
      </c>
      <c r="F54" s="60">
        <f t="shared" si="11"/>
        <v>1395.524152790136</v>
      </c>
      <c r="G54" s="60">
        <f t="shared" si="11"/>
        <v>1392.3552226377706</v>
      </c>
      <c r="H54" s="60">
        <f t="shared" si="11"/>
        <v>1389.1934884327411</v>
      </c>
      <c r="I54" s="60">
        <f t="shared" si="11"/>
        <v>1386.0389338346263</v>
      </c>
      <c r="J54" s="60">
        <f t="shared" si="11"/>
        <v>1382.891542540108</v>
      </c>
      <c r="K54" s="60">
        <f t="shared" si="11"/>
        <v>1379.7512982828912</v>
      </c>
      <c r="L54" s="60">
        <f t="shared" si="11"/>
        <v>1376.6181848336162</v>
      </c>
      <c r="M54" s="60">
        <f t="shared" si="11"/>
        <v>1373.4921859997785</v>
      </c>
      <c r="N54" s="60">
        <f t="shared" si="11"/>
        <v>1370.3732856256424</v>
      </c>
      <c r="O54" s="60">
        <f t="shared" si="11"/>
        <v>1367.2614675921577</v>
      </c>
      <c r="P54" s="60">
        <f t="shared" si="11"/>
        <v>1364.1567158168777</v>
      </c>
      <c r="Q54" s="60">
        <f t="shared" si="11"/>
        <v>1361.0590142538761</v>
      </c>
      <c r="R54" s="60">
        <f t="shared" si="11"/>
        <v>1357.9683468936623</v>
      </c>
      <c r="S54" s="60">
        <f t="shared" si="11"/>
        <v>1354.8846977631003</v>
      </c>
      <c r="T54" s="60">
        <f t="shared" si="9"/>
        <v>1351.808050925325</v>
      </c>
      <c r="U54" s="60">
        <f t="shared" si="10"/>
        <v>1348.7383904796616</v>
      </c>
      <c r="V54" s="60">
        <f t="shared" si="10"/>
        <v>1345.6757005615407</v>
      </c>
      <c r="W54" s="60">
        <f t="shared" si="10"/>
        <v>1342.6199653424192</v>
      </c>
      <c r="X54" s="60">
        <f t="shared" si="10"/>
        <v>1339.5711690296964</v>
      </c>
      <c r="Y54" s="60"/>
      <c r="Z54" s="335">
        <f t="shared" si="5"/>
        <v>1138.6354936752418</v>
      </c>
    </row>
    <row r="55" spans="1:26">
      <c r="A55" s="218">
        <f>INDEX([2]!ResApplic,MATCH(CONCATENATE(LEFT($D55,FIND("_",$D55)-1)," - ",$C$7),[2]APPLIC!$B$9:$B$198,0)+1,MATCH($C55,[2]APPLIC!$C$8:$F$8,0)+1)</f>
        <v>3.5442601061513916E-2</v>
      </c>
      <c r="B55" s="212">
        <f>VLOOKUP(RIGHT($D55,LEN(D55)-FIND("_",$D55)),Weighting!$D$27:$H$30,5,FALSE)</f>
        <v>0.19554651968726669</v>
      </c>
      <c r="C55" s="57" t="str">
        <f t="shared" si="6"/>
        <v>Single Family</v>
      </c>
      <c r="D55" s="60" t="s">
        <v>858</v>
      </c>
      <c r="E55" s="60">
        <f t="shared" si="11"/>
        <v>29133.29791683182</v>
      </c>
      <c r="F55" s="60">
        <f t="shared" si="11"/>
        <v>29067.142568662515</v>
      </c>
      <c r="G55" s="60">
        <f t="shared" si="11"/>
        <v>29001.137444820852</v>
      </c>
      <c r="H55" s="60">
        <f t="shared" si="11"/>
        <v>28935.282204180225</v>
      </c>
      <c r="I55" s="60">
        <f t="shared" si="11"/>
        <v>28869.576506388672</v>
      </c>
      <c r="J55" s="60">
        <f t="shared" si="11"/>
        <v>28804.020011867091</v>
      </c>
      <c r="K55" s="60">
        <f t="shared" si="11"/>
        <v>28738.612381807474</v>
      </c>
      <c r="L55" s="60">
        <f t="shared" si="11"/>
        <v>28673.353278171195</v>
      </c>
      <c r="M55" s="60">
        <f t="shared" si="11"/>
        <v>28608.242363687226</v>
      </c>
      <c r="N55" s="60">
        <f t="shared" si="11"/>
        <v>28543.279301850416</v>
      </c>
      <c r="O55" s="60">
        <f t="shared" si="11"/>
        <v>28478.463756919718</v>
      </c>
      <c r="P55" s="60">
        <f t="shared" si="11"/>
        <v>28413.79539391652</v>
      </c>
      <c r="Q55" s="60">
        <f t="shared" si="11"/>
        <v>28349.273878622844</v>
      </c>
      <c r="R55" s="60">
        <f t="shared" si="11"/>
        <v>28284.898877579668</v>
      </c>
      <c r="S55" s="60">
        <f t="shared" si="11"/>
        <v>28220.670058085161</v>
      </c>
      <c r="T55" s="60">
        <f t="shared" si="9"/>
        <v>28156.587088192999</v>
      </c>
      <c r="U55" s="60">
        <f t="shared" si="10"/>
        <v>28092.649636710634</v>
      </c>
      <c r="V55" s="60">
        <f t="shared" si="10"/>
        <v>28028.857373197578</v>
      </c>
      <c r="W55" s="60">
        <f t="shared" si="10"/>
        <v>27965.209967963707</v>
      </c>
      <c r="X55" s="60">
        <f t="shared" si="10"/>
        <v>27901.707092067554</v>
      </c>
      <c r="Y55" s="60"/>
      <c r="Z55" s="335">
        <f t="shared" si="5"/>
        <v>23716.451028257419</v>
      </c>
    </row>
    <row r="56" spans="1:26">
      <c r="A56" s="218">
        <f>INDEX([2]!ResApplic,MATCH(CONCATENATE(LEFT($D56,FIND("_",$D56)-1)," - ",$C$7),[2]APPLIC!$B$9:$B$198,0)+1,MATCH($C56,[2]APPLIC!$C$8:$F$8,0)+1)</f>
        <v>1.7662848312546196E-2</v>
      </c>
      <c r="B56" s="212">
        <f>VLOOKUP(RIGHT($D56,LEN(D56)-FIND("_",$D56)),Weighting!$D$27:$H$30,5,FALSE)</f>
        <v>5.4838081978090071E-2</v>
      </c>
      <c r="C56" s="57" t="str">
        <f t="shared" si="6"/>
        <v>Single Family</v>
      </c>
      <c r="D56" s="60" t="s">
        <v>839</v>
      </c>
      <c r="E56" s="60">
        <f t="shared" si="11"/>
        <v>4071.5237123655361</v>
      </c>
      <c r="F56" s="60">
        <f t="shared" si="11"/>
        <v>4062.2781724496622</v>
      </c>
      <c r="G56" s="60">
        <f t="shared" si="11"/>
        <v>4053.0536271329538</v>
      </c>
      <c r="H56" s="60">
        <f t="shared" si="11"/>
        <v>4043.850028741268</v>
      </c>
      <c r="I56" s="60">
        <f t="shared" si="11"/>
        <v>4034.6673297087209</v>
      </c>
      <c r="J56" s="60">
        <f t="shared" si="11"/>
        <v>4025.5054825774364</v>
      </c>
      <c r="K56" s="60">
        <f t="shared" si="11"/>
        <v>4016.3644399973068</v>
      </c>
      <c r="L56" s="60">
        <f t="shared" si="11"/>
        <v>4007.2441547257472</v>
      </c>
      <c r="M56" s="60">
        <f t="shared" si="11"/>
        <v>3998.1445796274497</v>
      </c>
      <c r="N56" s="60">
        <f t="shared" si="11"/>
        <v>3989.0656676741401</v>
      </c>
      <c r="O56" s="60">
        <f t="shared" si="11"/>
        <v>3980.0073719443335</v>
      </c>
      <c r="P56" s="60">
        <f t="shared" si="11"/>
        <v>3970.9696456230968</v>
      </c>
      <c r="Q56" s="60">
        <f t="shared" si="11"/>
        <v>3961.952442001801</v>
      </c>
      <c r="R56" s="60">
        <f t="shared" si="11"/>
        <v>3952.9557144778832</v>
      </c>
      <c r="S56" s="60">
        <f t="shared" si="11"/>
        <v>3943.9794165546041</v>
      </c>
      <c r="T56" s="60">
        <f t="shared" si="9"/>
        <v>3935.0235018408084</v>
      </c>
      <c r="U56" s="60">
        <f t="shared" si="10"/>
        <v>3926.0879240506856</v>
      </c>
      <c r="V56" s="60">
        <f t="shared" si="10"/>
        <v>3917.1726370035299</v>
      </c>
      <c r="W56" s="60">
        <f t="shared" si="10"/>
        <v>3908.2775946234997</v>
      </c>
      <c r="X56" s="60">
        <f t="shared" si="10"/>
        <v>3899.4027509393859</v>
      </c>
      <c r="Y56" s="60"/>
      <c r="Z56" s="335">
        <f t="shared" si="5"/>
        <v>3314.492338298478</v>
      </c>
    </row>
    <row r="57" spans="1:26">
      <c r="A57" s="218">
        <f>INDEX([2]!ResApplic,MATCH(CONCATENATE(LEFT($D57,FIND("_",$D57)-1)," - ",$C$7),[2]APPLIC!$B$9:$B$198,0)+1,MATCH($C57,[2]APPLIC!$C$8:$F$8,0)+1)</f>
        <v>8.2033817107202978E-3</v>
      </c>
      <c r="B57" s="212">
        <f>VLOOKUP(RIGHT($D57,LEN(D57)-FIND("_",$D57)),Weighting!$D$27:$H$30,5,FALSE)</f>
        <v>5.4838081978090071E-2</v>
      </c>
      <c r="C57" s="57" t="str">
        <f t="shared" si="6"/>
        <v>Single Family</v>
      </c>
      <c r="D57" s="60" t="s">
        <v>838</v>
      </c>
      <c r="E57" s="60">
        <f t="shared" si="11"/>
        <v>1890.9896391432364</v>
      </c>
      <c r="F57" s="60">
        <f t="shared" si="11"/>
        <v>1886.6956152287728</v>
      </c>
      <c r="G57" s="60">
        <f t="shared" si="11"/>
        <v>1882.4113421035236</v>
      </c>
      <c r="H57" s="60">
        <f t="shared" si="11"/>
        <v>1878.136797625579</v>
      </c>
      <c r="I57" s="60">
        <f t="shared" si="11"/>
        <v>1873.8719597033089</v>
      </c>
      <c r="J57" s="60">
        <f t="shared" si="11"/>
        <v>1869.6168062952479</v>
      </c>
      <c r="K57" s="60">
        <f t="shared" si="11"/>
        <v>1865.3713154099819</v>
      </c>
      <c r="L57" s="60">
        <f t="shared" si="11"/>
        <v>1861.1354651060356</v>
      </c>
      <c r="M57" s="60">
        <f t="shared" si="11"/>
        <v>1856.9092334917561</v>
      </c>
      <c r="N57" s="60">
        <f t="shared" si="11"/>
        <v>1852.6925987252039</v>
      </c>
      <c r="O57" s="60">
        <f t="shared" si="11"/>
        <v>1848.4855390140356</v>
      </c>
      <c r="P57" s="60">
        <f t="shared" si="11"/>
        <v>1844.288032615395</v>
      </c>
      <c r="Q57" s="60">
        <f t="shared" si="11"/>
        <v>1840.1000578357987</v>
      </c>
      <c r="R57" s="60">
        <f t="shared" si="11"/>
        <v>1835.9215930310245</v>
      </c>
      <c r="S57" s="60">
        <f t="shared" si="11"/>
        <v>1831.7526166059993</v>
      </c>
      <c r="T57" s="60">
        <f t="shared" si="9"/>
        <v>1827.5931070146876</v>
      </c>
      <c r="U57" s="60">
        <f t="shared" si="10"/>
        <v>1823.44304275998</v>
      </c>
      <c r="V57" s="60">
        <f t="shared" si="10"/>
        <v>1819.3024023935841</v>
      </c>
      <c r="W57" s="60">
        <f t="shared" si="10"/>
        <v>1815.1711645159089</v>
      </c>
      <c r="X57" s="60">
        <f t="shared" si="10"/>
        <v>1811.04930777596</v>
      </c>
      <c r="Y57" s="60"/>
      <c r="Z57" s="335">
        <f t="shared" si="5"/>
        <v>1539.391911609566</v>
      </c>
    </row>
    <row r="58" spans="1:26">
      <c r="A58" s="218">
        <f>INDEX([2]!ResApplic,MATCH(CONCATENATE(LEFT($D58,FIND("_",$D58)-1)," - ",$C$7),[2]APPLIC!$B$9:$B$198,0)+1,MATCH($C58,[2]APPLIC!$C$8:$F$8,0)+1)</f>
        <v>3.5442601061513916E-2</v>
      </c>
      <c r="B58" s="212">
        <f>VLOOKUP(RIGHT($D58,LEN(D58)-FIND("_",$D58)),Weighting!$D$27:$H$30,5,FALSE)</f>
        <v>1.706554478645779E-2</v>
      </c>
      <c r="C58" s="57" t="str">
        <f t="shared" si="6"/>
        <v>Single Family</v>
      </c>
      <c r="D58" s="60" t="s">
        <v>886</v>
      </c>
      <c r="E58" s="60">
        <f t="shared" si="11"/>
        <v>2542.4927079859722</v>
      </c>
      <c r="F58" s="60">
        <f t="shared" si="11"/>
        <v>2536.7192630847153</v>
      </c>
      <c r="G58" s="60">
        <f t="shared" si="11"/>
        <v>2530.9589284141871</v>
      </c>
      <c r="H58" s="60">
        <f t="shared" si="11"/>
        <v>2525.2116742039211</v>
      </c>
      <c r="I58" s="60">
        <f t="shared" si="11"/>
        <v>2519.4774707510524</v>
      </c>
      <c r="J58" s="60">
        <f t="shared" si="11"/>
        <v>2513.7562884201652</v>
      </c>
      <c r="K58" s="60">
        <f t="shared" si="11"/>
        <v>2508.048097643139</v>
      </c>
      <c r="L58" s="60">
        <f t="shared" si="11"/>
        <v>2502.3528689189961</v>
      </c>
      <c r="M58" s="60">
        <f t="shared" si="11"/>
        <v>2496.6705728137504</v>
      </c>
      <c r="N58" s="60">
        <f t="shared" si="11"/>
        <v>2491.0011799602516</v>
      </c>
      <c r="O58" s="60">
        <f t="shared" si="11"/>
        <v>2485.3446610580363</v>
      </c>
      <c r="P58" s="60">
        <f t="shared" si="11"/>
        <v>2479.7009868731775</v>
      </c>
      <c r="Q58" s="60">
        <f t="shared" si="11"/>
        <v>2474.070128238131</v>
      </c>
      <c r="R58" s="60">
        <f t="shared" si="11"/>
        <v>2468.4520560515866</v>
      </c>
      <c r="S58" s="60">
        <f t="shared" si="11"/>
        <v>2462.8467412783152</v>
      </c>
      <c r="T58" s="60">
        <f t="shared" si="9"/>
        <v>2457.2541549490215</v>
      </c>
      <c r="U58" s="60">
        <f t="shared" si="10"/>
        <v>2451.6742681601936</v>
      </c>
      <c r="V58" s="60">
        <f t="shared" si="10"/>
        <v>2446.1070520739518</v>
      </c>
      <c r="W58" s="60">
        <f t="shared" si="10"/>
        <v>2440.5524779179018</v>
      </c>
      <c r="X58" s="60">
        <f t="shared" si="10"/>
        <v>2435.0105169849849</v>
      </c>
      <c r="Y58" s="60"/>
      <c r="Z58" s="335">
        <f t="shared" si="5"/>
        <v>2069.7589394372371</v>
      </c>
    </row>
    <row r="59" spans="1:26">
      <c r="A59" s="218">
        <f>INDEX([2]!ResApplic,MATCH(CONCATENATE(LEFT($D59,FIND("_",$D59)-1)," - ",$C$7),[2]APPLIC!$B$9:$B$198,0)+1,MATCH($C59,[2]APPLIC!$C$8:$F$8,0)+1)</f>
        <v>8.860650265378479E-3</v>
      </c>
      <c r="B59" s="212">
        <f>VLOOKUP(RIGHT($D59,LEN(D59)-FIND("_",$D59)),Weighting!$D$27:$H$30,5,FALSE)</f>
        <v>0.19554651968726669</v>
      </c>
      <c r="C59" s="57" t="str">
        <f t="shared" si="6"/>
        <v>Single Family</v>
      </c>
      <c r="D59" s="60" t="s">
        <v>860</v>
      </c>
      <c r="E59" s="60">
        <f t="shared" si="11"/>
        <v>7283.3244792079549</v>
      </c>
      <c r="F59" s="60">
        <f t="shared" si="11"/>
        <v>7266.7856421656288</v>
      </c>
      <c r="G59" s="60">
        <f t="shared" si="11"/>
        <v>7250.2843612052129</v>
      </c>
      <c r="H59" s="60">
        <f t="shared" si="11"/>
        <v>7233.8205510450562</v>
      </c>
      <c r="I59" s="60">
        <f t="shared" si="11"/>
        <v>7217.394126597168</v>
      </c>
      <c r="J59" s="60">
        <f t="shared" si="11"/>
        <v>7201.0050029667727</v>
      </c>
      <c r="K59" s="60">
        <f t="shared" si="11"/>
        <v>7184.6530954518685</v>
      </c>
      <c r="L59" s="60">
        <f t="shared" si="11"/>
        <v>7168.3383195427987</v>
      </c>
      <c r="M59" s="60">
        <f t="shared" si="11"/>
        <v>7152.0605909218066</v>
      </c>
      <c r="N59" s="60">
        <f t="shared" si="11"/>
        <v>7135.8198254626041</v>
      </c>
      <c r="O59" s="60">
        <f t="shared" si="11"/>
        <v>7119.6159392299296</v>
      </c>
      <c r="P59" s="60">
        <f t="shared" si="11"/>
        <v>7103.44884847913</v>
      </c>
      <c r="Q59" s="60">
        <f t="shared" si="11"/>
        <v>7087.3184696557109</v>
      </c>
      <c r="R59" s="60">
        <f t="shared" si="11"/>
        <v>7071.224719394917</v>
      </c>
      <c r="S59" s="60">
        <f t="shared" si="11"/>
        <v>7055.1675145212903</v>
      </c>
      <c r="T59" s="60">
        <f t="shared" si="9"/>
        <v>7039.1467720482497</v>
      </c>
      <c r="U59" s="60">
        <f t="shared" si="10"/>
        <v>7023.1624091776584</v>
      </c>
      <c r="V59" s="60">
        <f t="shared" si="10"/>
        <v>7007.2143432993944</v>
      </c>
      <c r="W59" s="60">
        <f t="shared" si="10"/>
        <v>6991.3024919909267</v>
      </c>
      <c r="X59" s="60">
        <f t="shared" si="10"/>
        <v>6975.4267730168885</v>
      </c>
      <c r="Y59" s="60"/>
      <c r="Z59" s="335">
        <f t="shared" si="5"/>
        <v>5929.1127570643548</v>
      </c>
    </row>
    <row r="60" spans="1:26">
      <c r="A60" s="218">
        <f>INDEX([2]!ResApplic,MATCH(CONCATENATE(LEFT($D60,FIND("_",$D60)-1)," - ",$C$7),[2]APPLIC!$B$9:$B$198,0)+1,MATCH($C60,[2]APPLIC!$C$8:$F$8,0)+1)</f>
        <v>3.5442601061513916E-2</v>
      </c>
      <c r="B60" s="212">
        <f>VLOOKUP(RIGHT($D60,LEN(D60)-FIND("_",$D60)),Weighting!$D$27:$H$30,5,FALSE)</f>
        <v>0.14070061635544628</v>
      </c>
      <c r="C60" s="57" t="str">
        <f t="shared" si="6"/>
        <v>Single Family</v>
      </c>
      <c r="D60" s="60" t="s">
        <v>872</v>
      </c>
      <c r="E60" s="60">
        <f t="shared" si="11"/>
        <v>20962.137193342205</v>
      </c>
      <c r="F60" s="60">
        <f t="shared" si="11"/>
        <v>20914.536764157801</v>
      </c>
      <c r="G60" s="60">
        <f t="shared" si="11"/>
        <v>20867.044425137949</v>
      </c>
      <c r="H60" s="60">
        <f t="shared" si="11"/>
        <v>20819.659930833517</v>
      </c>
      <c r="I60" s="60">
        <f t="shared" si="11"/>
        <v>20772.383036352752</v>
      </c>
      <c r="J60" s="60">
        <f t="shared" si="11"/>
        <v>20725.213497359982</v>
      </c>
      <c r="K60" s="60">
        <f t="shared" si="11"/>
        <v>20678.151070074367</v>
      </c>
      <c r="L60" s="60">
        <f t="shared" si="11"/>
        <v>20631.195511268648</v>
      </c>
      <c r="M60" s="60">
        <f t="shared" si="11"/>
        <v>20584.346578267887</v>
      </c>
      <c r="N60" s="60">
        <f t="shared" si="11"/>
        <v>20537.604028948193</v>
      </c>
      <c r="O60" s="60">
        <f t="shared" si="11"/>
        <v>20490.96762173549</v>
      </c>
      <c r="P60" s="60">
        <f t="shared" si="11"/>
        <v>20444.437115604265</v>
      </c>
      <c r="Q60" s="60">
        <f t="shared" si="11"/>
        <v>20398.012270076324</v>
      </c>
      <c r="R60" s="60">
        <f t="shared" si="11"/>
        <v>20351.692845219553</v>
      </c>
      <c r="S60" s="60">
        <f t="shared" si="11"/>
        <v>20305.478601646657</v>
      </c>
      <c r="T60" s="60">
        <f t="shared" si="9"/>
        <v>20259.369300513939</v>
      </c>
      <c r="U60" s="60">
        <f t="shared" si="10"/>
        <v>20213.364703520077</v>
      </c>
      <c r="V60" s="60">
        <f t="shared" si="10"/>
        <v>20167.464572904864</v>
      </c>
      <c r="W60" s="60">
        <f t="shared" si="10"/>
        <v>20121.668671448002</v>
      </c>
      <c r="X60" s="60">
        <f t="shared" si="10"/>
        <v>20075.976762467868</v>
      </c>
      <c r="Y60" s="60"/>
      <c r="Z60" s="335">
        <f t="shared" si="5"/>
        <v>17064.580248097689</v>
      </c>
    </row>
    <row r="61" spans="1:26">
      <c r="A61" s="218">
        <f>INDEX([2]!ResApplic,MATCH(CONCATENATE(LEFT($D61,FIND("_",$D61)-1)," - ",$C$7),[2]APPLIC!$B$9:$B$198,0)+1,MATCH($C61,[2]APPLIC!$C$8:$F$8,0)+1)</f>
        <v>8.860650265378479E-3</v>
      </c>
      <c r="B61" s="212">
        <f>VLOOKUP(RIGHT($D61,LEN(D61)-FIND("_",$D61)),Weighting!$D$27:$H$30,5,FALSE)</f>
        <v>1.706554478645779E-2</v>
      </c>
      <c r="C61" s="57" t="str">
        <f t="shared" si="6"/>
        <v>Single Family</v>
      </c>
      <c r="D61" s="60" t="s">
        <v>888</v>
      </c>
      <c r="E61" s="60">
        <f t="shared" si="11"/>
        <v>635.62317699649304</v>
      </c>
      <c r="F61" s="60">
        <f t="shared" si="11"/>
        <v>634.17981577117882</v>
      </c>
      <c r="G61" s="60">
        <f t="shared" si="11"/>
        <v>632.73973210354677</v>
      </c>
      <c r="H61" s="60">
        <f t="shared" si="11"/>
        <v>631.30291855098028</v>
      </c>
      <c r="I61" s="60">
        <f t="shared" si="11"/>
        <v>629.86936768776309</v>
      </c>
      <c r="J61" s="60">
        <f t="shared" si="11"/>
        <v>628.4390721050413</v>
      </c>
      <c r="K61" s="60">
        <f t="shared" si="11"/>
        <v>627.01202441078476</v>
      </c>
      <c r="L61" s="60">
        <f t="shared" si="11"/>
        <v>625.58821722974903</v>
      </c>
      <c r="M61" s="60">
        <f t="shared" si="11"/>
        <v>624.16764320343759</v>
      </c>
      <c r="N61" s="60">
        <f t="shared" si="11"/>
        <v>622.75029499006291</v>
      </c>
      <c r="O61" s="60">
        <f t="shared" si="11"/>
        <v>621.33616526450908</v>
      </c>
      <c r="P61" s="60">
        <f t="shared" si="11"/>
        <v>619.92524671829437</v>
      </c>
      <c r="Q61" s="60">
        <f t="shared" si="11"/>
        <v>618.51753205953275</v>
      </c>
      <c r="R61" s="60">
        <f t="shared" si="11"/>
        <v>617.11301401289666</v>
      </c>
      <c r="S61" s="60">
        <f t="shared" si="11"/>
        <v>615.71168531957881</v>
      </c>
      <c r="T61" s="60">
        <f t="shared" si="9"/>
        <v>614.31353873725539</v>
      </c>
      <c r="U61" s="60">
        <f t="shared" si="10"/>
        <v>612.9185670400484</v>
      </c>
      <c r="V61" s="60">
        <f t="shared" si="10"/>
        <v>611.52676301848794</v>
      </c>
      <c r="W61" s="60">
        <f t="shared" si="10"/>
        <v>610.13811947947545</v>
      </c>
      <c r="X61" s="60">
        <f t="shared" si="10"/>
        <v>608.75262924624622</v>
      </c>
      <c r="Y61" s="60"/>
      <c r="Z61" s="335">
        <f t="shared" si="5"/>
        <v>517.43973485930928</v>
      </c>
    </row>
    <row r="62" spans="1:26">
      <c r="A62" s="218">
        <f>INDEX([2]!ResApplic,MATCH(CONCATENATE(LEFT($D62,FIND("_",$D62)-1)," - ",$C$7),[2]APPLIC!$B$9:$B$198,0)+1,MATCH($C62,[2]APPLIC!$C$8:$F$8,0)+1)</f>
        <v>8.860650265378479E-3</v>
      </c>
      <c r="B62" s="212">
        <f>VLOOKUP(RIGHT($D62,LEN(D62)-FIND("_",$D62)),Weighting!$D$27:$H$30,5,FALSE)</f>
        <v>0.14070061635544628</v>
      </c>
      <c r="C62" s="57" t="str">
        <f t="shared" si="6"/>
        <v>Single Family</v>
      </c>
      <c r="D62" s="60" t="s">
        <v>874</v>
      </c>
      <c r="E62" s="60">
        <f t="shared" si="11"/>
        <v>5240.5342983355513</v>
      </c>
      <c r="F62" s="60">
        <f t="shared" si="11"/>
        <v>5228.6341910394503</v>
      </c>
      <c r="G62" s="60">
        <f t="shared" si="11"/>
        <v>5216.7611062844871</v>
      </c>
      <c r="H62" s="60">
        <f t="shared" si="11"/>
        <v>5204.9149827083793</v>
      </c>
      <c r="I62" s="60">
        <f t="shared" si="11"/>
        <v>5193.0957590881881</v>
      </c>
      <c r="J62" s="60">
        <f t="shared" si="11"/>
        <v>5181.3033743399956</v>
      </c>
      <c r="K62" s="60">
        <f t="shared" si="11"/>
        <v>5169.5377675185919</v>
      </c>
      <c r="L62" s="60">
        <f t="shared" si="11"/>
        <v>5157.7988778171621</v>
      </c>
      <c r="M62" s="60">
        <f t="shared" si="11"/>
        <v>5146.0866445669717</v>
      </c>
      <c r="N62" s="60">
        <f t="shared" si="11"/>
        <v>5134.4010072370484</v>
      </c>
      <c r="O62" s="60">
        <f t="shared" si="11"/>
        <v>5122.7419054338725</v>
      </c>
      <c r="P62" s="60">
        <f t="shared" si="11"/>
        <v>5111.1092789010663</v>
      </c>
      <c r="Q62" s="60">
        <f t="shared" si="11"/>
        <v>5099.503067519081</v>
      </c>
      <c r="R62" s="60">
        <f t="shared" si="11"/>
        <v>5087.9232113048884</v>
      </c>
      <c r="S62" s="60">
        <f t="shared" si="11"/>
        <v>5076.3696504116642</v>
      </c>
      <c r="T62" s="60">
        <f t="shared" si="9"/>
        <v>5064.8423251284848</v>
      </c>
      <c r="U62" s="60">
        <f t="shared" si="10"/>
        <v>5053.3411758800194</v>
      </c>
      <c r="V62" s="60">
        <f t="shared" si="10"/>
        <v>5041.8661432262161</v>
      </c>
      <c r="W62" s="60">
        <f t="shared" si="10"/>
        <v>5030.4171678620005</v>
      </c>
      <c r="X62" s="60">
        <f t="shared" si="10"/>
        <v>5018.994190616967</v>
      </c>
      <c r="Y62" s="60"/>
      <c r="Z62" s="335">
        <f t="shared" si="5"/>
        <v>4266.1450620244223</v>
      </c>
    </row>
    <row r="63" spans="1:26">
      <c r="A63" s="218">
        <f>INDEX([2]!ResApplic,MATCH(CONCATENATE(LEFT($D63,FIND("_",$D63)-1)," - ",$C$7),[2]APPLIC!$B$9:$B$198,0)+1,MATCH($C63,[2]APPLIC!$C$8:$F$8,0)+1)</f>
        <v>2.4846271780712467E-2</v>
      </c>
      <c r="B63" s="212">
        <f>VLOOKUP(RIGHT($D63,LEN(D63)-FIND("_",$D63)),Weighting!$D$27:$H$30,5,FALSE)</f>
        <v>0.14070061635544628</v>
      </c>
      <c r="C63" s="57" t="str">
        <f t="shared" si="6"/>
        <v>Single Family</v>
      </c>
      <c r="D63" s="60" t="s">
        <v>864</v>
      </c>
      <c r="E63" s="60">
        <f t="shared" si="11"/>
        <v>14695.05460128085</v>
      </c>
      <c r="F63" s="60">
        <f t="shared" si="11"/>
        <v>14661.685346063336</v>
      </c>
      <c r="G63" s="60">
        <f t="shared" si="11"/>
        <v>14628.391865126623</v>
      </c>
      <c r="H63" s="60">
        <f t="shared" si="11"/>
        <v>14595.173986403894</v>
      </c>
      <c r="I63" s="60">
        <f t="shared" si="11"/>
        <v>14562.031538219055</v>
      </c>
      <c r="J63" s="60">
        <f t="shared" si="11"/>
        <v>14528.964349285847</v>
      </c>
      <c r="K63" s="60">
        <f t="shared" si="11"/>
        <v>14495.972248706972</v>
      </c>
      <c r="L63" s="60">
        <f t="shared" si="11"/>
        <v>14463.0550659732</v>
      </c>
      <c r="M63" s="60">
        <f t="shared" si="11"/>
        <v>14430.212630962487</v>
      </c>
      <c r="N63" s="60">
        <f t="shared" si="11"/>
        <v>14397.444773939105</v>
      </c>
      <c r="O63" s="60">
        <f t="shared" si="11"/>
        <v>14364.751325552748</v>
      </c>
      <c r="P63" s="60">
        <f t="shared" si="11"/>
        <v>14332.132116837678</v>
      </c>
      <c r="Q63" s="60">
        <f t="shared" si="11"/>
        <v>14299.586979211837</v>
      </c>
      <c r="R63" s="60">
        <f t="shared" si="11"/>
        <v>14267.115744475983</v>
      </c>
      <c r="S63" s="60">
        <f t="shared" si="11"/>
        <v>14234.718244812815</v>
      </c>
      <c r="T63" s="60">
        <f t="shared" si="9"/>
        <v>14202.394312786104</v>
      </c>
      <c r="U63" s="60">
        <f t="shared" si="10"/>
        <v>14170.143781339842</v>
      </c>
      <c r="V63" s="60">
        <f t="shared" si="10"/>
        <v>14137.966483797363</v>
      </c>
      <c r="W63" s="60">
        <f t="shared" si="10"/>
        <v>14105.862253860481</v>
      </c>
      <c r="X63" s="60">
        <f t="shared" si="10"/>
        <v>14073.83092560865</v>
      </c>
      <c r="Y63" s="60"/>
      <c r="Z63" s="335">
        <f t="shared" si="5"/>
        <v>11962.756286767353</v>
      </c>
    </row>
    <row r="64" spans="1:26">
      <c r="A64" s="218">
        <f>INDEX([2]!ResApplic,MATCH(CONCATENATE(LEFT($D64,FIND("_",$D64)-1)," - ",$C$7),[2]APPLIC!$B$9:$B$198,0)+1,MATCH($C64,[2]APPLIC!$C$8:$F$8,0)+1)</f>
        <v>0.74240695226153941</v>
      </c>
      <c r="B64" s="212">
        <f>VLOOKUP(RIGHT($D64,LEN(D64)-FIND("_",$D64)),Weighting!$D$27:$H$30,5,FALSE)</f>
        <v>5.4838081978090071E-2</v>
      </c>
      <c r="C64" s="57" t="str">
        <f t="shared" si="6"/>
        <v>Single Family</v>
      </c>
      <c r="D64" s="60" t="s">
        <v>845</v>
      </c>
      <c r="E64" s="60">
        <f t="shared" si="11"/>
        <v>171134.77151987972</v>
      </c>
      <c r="F64" s="60">
        <f t="shared" si="11"/>
        <v>170746.16188062463</v>
      </c>
      <c r="G64" s="60">
        <f t="shared" si="11"/>
        <v>170358.43468887202</v>
      </c>
      <c r="H64" s="60">
        <f t="shared" si="11"/>
        <v>169971.58794077663</v>
      </c>
      <c r="I64" s="60">
        <f t="shared" si="11"/>
        <v>169585.61963704351</v>
      </c>
      <c r="J64" s="60">
        <f t="shared" si="11"/>
        <v>169200.52778291758</v>
      </c>
      <c r="K64" s="60">
        <f t="shared" si="11"/>
        <v>168816.31038817347</v>
      </c>
      <c r="L64" s="60">
        <f t="shared" si="11"/>
        <v>168432.96546710521</v>
      </c>
      <c r="M64" s="60">
        <f t="shared" si="11"/>
        <v>168050.49103851581</v>
      </c>
      <c r="N64" s="60">
        <f t="shared" si="11"/>
        <v>167668.88512570731</v>
      </c>
      <c r="O64" s="60">
        <f t="shared" si="11"/>
        <v>167288.14575647021</v>
      </c>
      <c r="P64" s="60">
        <f t="shared" si="11"/>
        <v>166908.27096307365</v>
      </c>
      <c r="Q64" s="60">
        <f t="shared" si="11"/>
        <v>166529.25878225494</v>
      </c>
      <c r="R64" s="60">
        <f t="shared" si="11"/>
        <v>166151.10725520962</v>
      </c>
      <c r="S64" s="60">
        <f t="shared" si="11"/>
        <v>165773.81442758118</v>
      </c>
      <c r="T64" s="60">
        <f t="shared" si="9"/>
        <v>165397.378349451</v>
      </c>
      <c r="U64" s="60">
        <f t="shared" si="10"/>
        <v>165021.79707532833</v>
      </c>
      <c r="V64" s="60">
        <f t="shared" si="10"/>
        <v>164647.0686641403</v>
      </c>
      <c r="W64" s="60">
        <f t="shared" si="10"/>
        <v>164273.19117922161</v>
      </c>
      <c r="X64" s="60">
        <f t="shared" si="10"/>
        <v>163900.16268830482</v>
      </c>
      <c r="Y64" s="60"/>
      <c r="Z64" s="335">
        <f t="shared" si="5"/>
        <v>139315.1382850591</v>
      </c>
    </row>
    <row r="65" spans="1:26">
      <c r="A65" s="218">
        <f>INDEX([2]!ResApplic,MATCH(CONCATENATE(LEFT($D65,FIND("_",$D65)-1)," - ",$C$7),[2]APPLIC!$B$9:$B$198,0)+1,MATCH($C65,[2]APPLIC!$C$8:$F$8,0)+1)</f>
        <v>1.9498021140463982E-2</v>
      </c>
      <c r="B65" s="212">
        <f>VLOOKUP(RIGHT($D65,LEN(D65)-FIND("_",$D65)),Weighting!$D$27:$H$30,5,FALSE)</f>
        <v>0.14070061635544628</v>
      </c>
      <c r="C65" s="57" t="str">
        <f t="shared" si="6"/>
        <v>Single Family</v>
      </c>
      <c r="D65" s="60" t="s">
        <v>865</v>
      </c>
      <c r="E65" s="60">
        <f t="shared" si="11"/>
        <v>11531.890490647706</v>
      </c>
      <c r="F65" s="60">
        <f t="shared" si="11"/>
        <v>11505.704089347139</v>
      </c>
      <c r="G65" s="60">
        <f t="shared" si="11"/>
        <v>11479.57715163701</v>
      </c>
      <c r="H65" s="60">
        <f t="shared" si="11"/>
        <v>11453.509542488502</v>
      </c>
      <c r="I65" s="60">
        <f t="shared" si="11"/>
        <v>11427.501127179436</v>
      </c>
      <c r="J65" s="60">
        <f t="shared" si="11"/>
        <v>11401.551771293542</v>
      </c>
      <c r="K65" s="60">
        <f t="shared" si="11"/>
        <v>11375.661340719787</v>
      </c>
      <c r="L65" s="60">
        <f t="shared" si="11"/>
        <v>11349.829701651674</v>
      </c>
      <c r="M65" s="60">
        <f t="shared" si="11"/>
        <v>11324.056720586552</v>
      </c>
      <c r="N65" s="60">
        <f t="shared" si="11"/>
        <v>11298.342264324925</v>
      </c>
      <c r="O65" s="60">
        <f t="shared" si="11"/>
        <v>11272.686199969761</v>
      </c>
      <c r="P65" s="60">
        <f t="shared" si="11"/>
        <v>11247.08839492581</v>
      </c>
      <c r="Q65" s="60">
        <f t="shared" si="11"/>
        <v>11221.548716898922</v>
      </c>
      <c r="R65" s="60">
        <f t="shared" si="11"/>
        <v>11196.067033895353</v>
      </c>
      <c r="S65" s="60">
        <f t="shared" si="11"/>
        <v>11170.643214221089</v>
      </c>
      <c r="T65" s="60">
        <f t="shared" si="9"/>
        <v>11145.277126481156</v>
      </c>
      <c r="U65" s="60">
        <f t="shared" si="10"/>
        <v>11119.968639578967</v>
      </c>
      <c r="V65" s="60">
        <f t="shared" si="10"/>
        <v>11094.717622715611</v>
      </c>
      <c r="W65" s="60">
        <f t="shared" si="10"/>
        <v>11069.523945389199</v>
      </c>
      <c r="X65" s="60">
        <f t="shared" si="10"/>
        <v>11044.387477394182</v>
      </c>
      <c r="Y65" s="60"/>
      <c r="Z65" s="335">
        <f t="shared" si="5"/>
        <v>9387.7293557850553</v>
      </c>
    </row>
    <row r="66" spans="1:26">
      <c r="A66" s="218">
        <f>INDEX([2]!ResApplic,MATCH(CONCATENATE(LEFT($D66,FIND("_",$D66)-1)," - ",$C$7),[2]APPLIC!$B$9:$B$198,0)+1,MATCH($C66,[2]APPLIC!$C$8:$F$8,0)+1)</f>
        <v>0.18560173806538485</v>
      </c>
      <c r="B66" s="212">
        <f>VLOOKUP(RIGHT($D66,LEN(D66)-FIND("_",$D66)),Weighting!$D$27:$H$30,5,FALSE)</f>
        <v>5.4838081978090071E-2</v>
      </c>
      <c r="C66" s="57" t="str">
        <f t="shared" si="6"/>
        <v>Single Family</v>
      </c>
      <c r="D66" s="60" t="s">
        <v>847</v>
      </c>
      <c r="E66" s="60">
        <f t="shared" si="11"/>
        <v>42783.692879969931</v>
      </c>
      <c r="F66" s="60">
        <f t="shared" si="11"/>
        <v>42686.540470156157</v>
      </c>
      <c r="G66" s="60">
        <f t="shared" si="11"/>
        <v>42589.608672218004</v>
      </c>
      <c r="H66" s="60">
        <f t="shared" si="11"/>
        <v>42492.896985194158</v>
      </c>
      <c r="I66" s="60">
        <f t="shared" si="11"/>
        <v>42396.404909260877</v>
      </c>
      <c r="J66" s="60">
        <f t="shared" si="11"/>
        <v>42300.131945729394</v>
      </c>
      <c r="K66" s="60">
        <f t="shared" si="11"/>
        <v>42204.077597043368</v>
      </c>
      <c r="L66" s="60">
        <f t="shared" si="11"/>
        <v>42108.241366776303</v>
      </c>
      <c r="M66" s="60">
        <f t="shared" si="11"/>
        <v>42012.622759628954</v>
      </c>
      <c r="N66" s="60">
        <f t="shared" si="11"/>
        <v>41917.221281426828</v>
      </c>
      <c r="O66" s="60">
        <f t="shared" si="11"/>
        <v>41822.036439117554</v>
      </c>
      <c r="P66" s="60">
        <f t="shared" si="11"/>
        <v>41727.067740768412</v>
      </c>
      <c r="Q66" s="60">
        <f t="shared" si="11"/>
        <v>41632.314695563735</v>
      </c>
      <c r="R66" s="60">
        <f t="shared" si="11"/>
        <v>41537.776813802404</v>
      </c>
      <c r="S66" s="60">
        <f t="shared" si="11"/>
        <v>41443.453606895295</v>
      </c>
      <c r="T66" s="60">
        <f t="shared" si="9"/>
        <v>41349.34458736275</v>
      </c>
      <c r="U66" s="60">
        <f t="shared" si="9"/>
        <v>41255.449268832082</v>
      </c>
      <c r="V66" s="60">
        <f t="shared" si="9"/>
        <v>41161.767166035075</v>
      </c>
      <c r="W66" s="60">
        <f t="shared" si="9"/>
        <v>41068.297794805403</v>
      </c>
      <c r="X66" s="60">
        <f t="shared" si="9"/>
        <v>40975.040672076204</v>
      </c>
      <c r="Y66" s="60"/>
      <c r="Z66" s="335">
        <f t="shared" si="5"/>
        <v>34828.784571264776</v>
      </c>
    </row>
    <row r="67" spans="1:26">
      <c r="A67" s="218">
        <f>INDEX([2]!ResApplic,MATCH(CONCATENATE(LEFT($D67,FIND("_",$D67)-1)," - ",$C$7),[2]APPLIC!$B$9:$B$198,0)+1,MATCH($C67,[2]APPLIC!$C$8:$F$8,0)+1)</f>
        <v>0.3489194352936118</v>
      </c>
      <c r="B67" s="212">
        <f>VLOOKUP(RIGHT($D67,LEN(D67)-FIND("_",$D67)),Weighting!$D$27:$H$30,5,FALSE)</f>
        <v>0.14070061635544628</v>
      </c>
      <c r="C67" s="57" t="str">
        <f t="shared" si="6"/>
        <v>Single Family</v>
      </c>
      <c r="D67" s="60" t="s">
        <v>893</v>
      </c>
      <c r="E67" s="60">
        <f t="shared" ref="E67:T79" si="12">$A67*VLOOKUP($C67,$C$13:$Y$16,E$22,FALSE)*$B67</f>
        <v>206364.56842865131</v>
      </c>
      <c r="F67" s="60">
        <f t="shared" si="12"/>
        <v>205895.95962530954</v>
      </c>
      <c r="G67" s="60">
        <f t="shared" si="12"/>
        <v>205428.41493007625</v>
      </c>
      <c r="H67" s="60">
        <f t="shared" si="12"/>
        <v>204961.9319265947</v>
      </c>
      <c r="I67" s="60">
        <f t="shared" si="12"/>
        <v>204496.50820399504</v>
      </c>
      <c r="J67" s="60">
        <f t="shared" si="12"/>
        <v>204032.14135688209</v>
      </c>
      <c r="K67" s="60">
        <f t="shared" si="12"/>
        <v>203568.82898532267</v>
      </c>
      <c r="L67" s="60">
        <f t="shared" si="12"/>
        <v>203106.56869483355</v>
      </c>
      <c r="M67" s="60">
        <f t="shared" si="12"/>
        <v>202645.35809636861</v>
      </c>
      <c r="N67" s="60">
        <f t="shared" si="12"/>
        <v>202185.19480630688</v>
      </c>
      <c r="O67" s="60">
        <f t="shared" si="12"/>
        <v>201726.07644643995</v>
      </c>
      <c r="P67" s="60">
        <f t="shared" si="12"/>
        <v>201268.00064395991</v>
      </c>
      <c r="Q67" s="60">
        <f t="shared" si="12"/>
        <v>200810.96503144695</v>
      </c>
      <c r="R67" s="60">
        <f t="shared" si="12"/>
        <v>200354.96724685718</v>
      </c>
      <c r="S67" s="60">
        <f t="shared" si="12"/>
        <v>199900.00493351032</v>
      </c>
      <c r="T67" s="60">
        <f t="shared" si="12"/>
        <v>199446.07574007762</v>
      </c>
      <c r="U67" s="60">
        <f t="shared" ref="U67:X78" si="13">$A67*VLOOKUP($C67,$C$13:$Y$16,U$22,FALSE)*$B67</f>
        <v>198993.1773205697</v>
      </c>
      <c r="V67" s="60">
        <f t="shared" si="13"/>
        <v>198541.3073343244</v>
      </c>
      <c r="W67" s="60">
        <f t="shared" si="13"/>
        <v>198090.46344599474</v>
      </c>
      <c r="X67" s="60">
        <f t="shared" si="13"/>
        <v>197640.64332553669</v>
      </c>
      <c r="Y67" s="60"/>
      <c r="Z67" s="335">
        <f t="shared" si="5"/>
        <v>167994.54682670618</v>
      </c>
    </row>
    <row r="68" spans="1:26">
      <c r="A68" s="218">
        <f>INDEX([2]!ResApplic,MATCH(CONCATENATE(LEFT($D68,FIND("_",$D68)-1)," - ",$C$7),[2]APPLIC!$B$9:$B$198,0)+1,MATCH($C68,[2]APPLIC!$C$8:$F$8,0)+1)</f>
        <v>1.7662848312546196E-2</v>
      </c>
      <c r="B68" s="212">
        <f>VLOOKUP(RIGHT($D68,LEN(D68)-FIND("_",$D68)),Weighting!$D$27:$H$30,5,FALSE)</f>
        <v>1.706554478645779E-2</v>
      </c>
      <c r="C68" s="57" t="str">
        <f t="shared" si="6"/>
        <v>Single Family</v>
      </c>
      <c r="D68" s="60" t="s">
        <v>881</v>
      </c>
      <c r="E68" s="60">
        <f t="shared" si="12"/>
        <v>1267.0532548942901</v>
      </c>
      <c r="F68" s="60">
        <f t="shared" si="12"/>
        <v>1264.1760540546918</v>
      </c>
      <c r="G68" s="60">
        <f t="shared" si="12"/>
        <v>1261.3053867089611</v>
      </c>
      <c r="H68" s="60">
        <f t="shared" si="12"/>
        <v>1258.4412380209631</v>
      </c>
      <c r="I68" s="60">
        <f t="shared" si="12"/>
        <v>1255.5835931882516</v>
      </c>
      <c r="J68" s="60">
        <f t="shared" si="12"/>
        <v>1252.7324374419932</v>
      </c>
      <c r="K68" s="60">
        <f t="shared" si="12"/>
        <v>1249.8877560468918</v>
      </c>
      <c r="L68" s="60">
        <f t="shared" si="12"/>
        <v>1247.0495343011121</v>
      </c>
      <c r="M68" s="60">
        <f t="shared" si="12"/>
        <v>1244.217757536203</v>
      </c>
      <c r="N68" s="60">
        <f t="shared" si="12"/>
        <v>1241.3924111170227</v>
      </c>
      <c r="O68" s="60">
        <f t="shared" si="12"/>
        <v>1238.5734804416618</v>
      </c>
      <c r="P68" s="60">
        <f t="shared" si="12"/>
        <v>1235.7609509413696</v>
      </c>
      <c r="Q68" s="60">
        <f t="shared" si="12"/>
        <v>1232.9548080804775</v>
      </c>
      <c r="R68" s="60">
        <f t="shared" si="12"/>
        <v>1230.1550373563243</v>
      </c>
      <c r="S68" s="60">
        <f t="shared" si="12"/>
        <v>1227.3616242991807</v>
      </c>
      <c r="T68" s="60">
        <f t="shared" si="12"/>
        <v>1224.5745544721756</v>
      </c>
      <c r="U68" s="60">
        <f t="shared" si="13"/>
        <v>1221.7938134712203</v>
      </c>
      <c r="V68" s="60">
        <f t="shared" si="13"/>
        <v>1219.0193869249354</v>
      </c>
      <c r="W68" s="60">
        <f t="shared" si="13"/>
        <v>1216.2512604945744</v>
      </c>
      <c r="X68" s="60">
        <f t="shared" si="13"/>
        <v>1213.489419873953</v>
      </c>
      <c r="Y68" s="60"/>
      <c r="Z68" s="335">
        <f t="shared" si="5"/>
        <v>1031.4660068928599</v>
      </c>
    </row>
    <row r="69" spans="1:26">
      <c r="A69" s="218">
        <f>INDEX([2]!ResApplic,MATCH(CONCATENATE(LEFT($D69,FIND("_",$D69)-1)," - ",$C$7),[2]APPLIC!$B$9:$B$198,0)+1,MATCH($C69,[2]APPLIC!$C$8:$F$8,0)+1)</f>
        <v>1.7662848312546196E-2</v>
      </c>
      <c r="B69" s="212">
        <f>VLOOKUP(RIGHT($D69,LEN(D69)-FIND("_",$D69)),Weighting!$D$27:$H$30,5,FALSE)</f>
        <v>0.19554651968726669</v>
      </c>
      <c r="C69" s="57" t="str">
        <f t="shared" si="6"/>
        <v>Single Family</v>
      </c>
      <c r="D69" s="60" t="s">
        <v>853</v>
      </c>
      <c r="E69" s="60">
        <f t="shared" si="12"/>
        <v>14518.602092891615</v>
      </c>
      <c r="F69" s="60">
        <f t="shared" si="12"/>
        <v>14485.633522730806</v>
      </c>
      <c r="G69" s="60">
        <f t="shared" si="12"/>
        <v>14452.739816982665</v>
      </c>
      <c r="H69" s="60">
        <f t="shared" si="12"/>
        <v>14419.920805646481</v>
      </c>
      <c r="I69" s="60">
        <f t="shared" si="12"/>
        <v>14387.17631910759</v>
      </c>
      <c r="J69" s="60">
        <f t="shared" si="12"/>
        <v>14354.506188136464</v>
      </c>
      <c r="K69" s="60">
        <f t="shared" si="12"/>
        <v>14321.910243887874</v>
      </c>
      <c r="L69" s="60">
        <f t="shared" si="12"/>
        <v>14289.388317899999</v>
      </c>
      <c r="M69" s="60">
        <f t="shared" si="12"/>
        <v>14256.940242093555</v>
      </c>
      <c r="N69" s="60">
        <f t="shared" si="12"/>
        <v>14224.565848770933</v>
      </c>
      <c r="O69" s="60">
        <f t="shared" si="12"/>
        <v>14192.264970615324</v>
      </c>
      <c r="P69" s="60">
        <f t="shared" si="12"/>
        <v>14160.037440689861</v>
      </c>
      <c r="Q69" s="60">
        <f t="shared" si="12"/>
        <v>14127.883092436756</v>
      </c>
      <c r="R69" s="60">
        <f t="shared" si="12"/>
        <v>14095.801759676437</v>
      </c>
      <c r="S69" s="60">
        <f t="shared" si="12"/>
        <v>14063.793276606688</v>
      </c>
      <c r="T69" s="60">
        <f t="shared" si="12"/>
        <v>14031.85747780179</v>
      </c>
      <c r="U69" s="60">
        <f t="shared" si="13"/>
        <v>13999.994198211678</v>
      </c>
      <c r="V69" s="60">
        <f t="shared" si="13"/>
        <v>13968.203273161076</v>
      </c>
      <c r="W69" s="60">
        <f t="shared" si="13"/>
        <v>13936.484538348639</v>
      </c>
      <c r="X69" s="60">
        <f t="shared" si="13"/>
        <v>13904.837829846138</v>
      </c>
      <c r="Y69" s="60"/>
      <c r="Z69" s="335">
        <f t="shared" si="5"/>
        <v>11819.112155369217</v>
      </c>
    </row>
    <row r="70" spans="1:26">
      <c r="A70" s="218">
        <f>INDEX([2]!ResApplic,MATCH(CONCATENATE(LEFT($D70,FIND("_",$D70)-1)," - ",$C$7),[2]APPLIC!$B$9:$B$198,0)+1,MATCH($C70,[2]APPLIC!$C$8:$F$8,0)+1)</f>
        <v>8.2033817107202978E-3</v>
      </c>
      <c r="B70" s="212">
        <f>VLOOKUP(RIGHT($D70,LEN(D70)-FIND("_",$D70)),Weighting!$D$27:$H$30,5,FALSE)</f>
        <v>1.706554478645779E-2</v>
      </c>
      <c r="C70" s="57" t="str">
        <f t="shared" si="6"/>
        <v>Single Family</v>
      </c>
      <c r="D70" s="60" t="s">
        <v>880</v>
      </c>
      <c r="E70" s="60">
        <f t="shared" si="12"/>
        <v>588.4736886023835</v>
      </c>
      <c r="F70" s="60">
        <f t="shared" si="12"/>
        <v>587.13739355370399</v>
      </c>
      <c r="G70" s="60">
        <f t="shared" si="12"/>
        <v>585.80413293883487</v>
      </c>
      <c r="H70" s="60">
        <f t="shared" si="12"/>
        <v>584.47389986724022</v>
      </c>
      <c r="I70" s="60">
        <f t="shared" si="12"/>
        <v>583.14668746403174</v>
      </c>
      <c r="J70" s="60">
        <f t="shared" si="12"/>
        <v>581.82248886993204</v>
      </c>
      <c r="K70" s="60">
        <f t="shared" si="12"/>
        <v>580.50129724123951</v>
      </c>
      <c r="L70" s="60">
        <f t="shared" si="12"/>
        <v>579.18310574979364</v>
      </c>
      <c r="M70" s="60">
        <f t="shared" si="12"/>
        <v>577.86790758293876</v>
      </c>
      <c r="N70" s="60">
        <f t="shared" si="12"/>
        <v>576.55569594348924</v>
      </c>
      <c r="O70" s="60">
        <f t="shared" si="12"/>
        <v>575.24646404969451</v>
      </c>
      <c r="P70" s="60">
        <f t="shared" si="12"/>
        <v>573.940205135204</v>
      </c>
      <c r="Q70" s="60">
        <f t="shared" si="12"/>
        <v>572.6369124490318</v>
      </c>
      <c r="R70" s="60">
        <f t="shared" si="12"/>
        <v>571.33657925552211</v>
      </c>
      <c r="S70" s="60">
        <f t="shared" si="12"/>
        <v>570.03919883431445</v>
      </c>
      <c r="T70" s="60">
        <f t="shared" si="12"/>
        <v>568.74476448030862</v>
      </c>
      <c r="U70" s="60">
        <f t="shared" si="13"/>
        <v>567.45326950363005</v>
      </c>
      <c r="V70" s="60">
        <f t="shared" si="13"/>
        <v>566.16470722959627</v>
      </c>
      <c r="W70" s="60">
        <f t="shared" si="13"/>
        <v>564.87907099868016</v>
      </c>
      <c r="X70" s="60">
        <f t="shared" si="13"/>
        <v>563.59635416647825</v>
      </c>
      <c r="Y70" s="60"/>
      <c r="Z70" s="335">
        <f t="shared" si="5"/>
        <v>479.05690104150648</v>
      </c>
    </row>
    <row r="71" spans="1:26">
      <c r="A71" s="218">
        <f>INDEX([2]!ResApplic,MATCH(CONCATENATE(LEFT($D71,FIND("_",$D71)-1)," - ",$C$7),[2]APPLIC!$B$9:$B$198,0)+1,MATCH($C71,[2]APPLIC!$C$8:$F$8,0)+1)</f>
        <v>8.2033817107202978E-3</v>
      </c>
      <c r="B71" s="212">
        <f>VLOOKUP(RIGHT($D71,LEN(D71)-FIND("_",$D71)),Weighting!$D$27:$H$30,5,FALSE)</f>
        <v>0.19554651968726669</v>
      </c>
      <c r="C71" s="57" t="str">
        <f t="shared" si="6"/>
        <v>Single Family</v>
      </c>
      <c r="D71" s="60" t="s">
        <v>852</v>
      </c>
      <c r="E71" s="60">
        <f t="shared" si="12"/>
        <v>6743.0593733544538</v>
      </c>
      <c r="F71" s="60">
        <f t="shared" si="12"/>
        <v>6727.7473602125146</v>
      </c>
      <c r="G71" s="60">
        <f t="shared" si="12"/>
        <v>6712.470117303711</v>
      </c>
      <c r="H71" s="60">
        <f t="shared" si="12"/>
        <v>6697.2275656724478</v>
      </c>
      <c r="I71" s="60">
        <f t="shared" si="12"/>
        <v>6682.0196265424211</v>
      </c>
      <c r="J71" s="60">
        <f t="shared" si="12"/>
        <v>6666.8462213162102</v>
      </c>
      <c r="K71" s="60">
        <f t="shared" si="12"/>
        <v>6651.70727157487</v>
      </c>
      <c r="L71" s="60">
        <f t="shared" si="12"/>
        <v>6636.6026990775335</v>
      </c>
      <c r="M71" s="60">
        <f t="shared" si="12"/>
        <v>6621.5324257609946</v>
      </c>
      <c r="N71" s="60">
        <f t="shared" si="12"/>
        <v>6606.4963737393155</v>
      </c>
      <c r="O71" s="60">
        <f t="shared" si="12"/>
        <v>6591.494465303419</v>
      </c>
      <c r="P71" s="60">
        <f t="shared" si="12"/>
        <v>6576.5266229206909</v>
      </c>
      <c r="Q71" s="60">
        <f t="shared" si="12"/>
        <v>6561.592769234574</v>
      </c>
      <c r="R71" s="60">
        <f t="shared" si="12"/>
        <v>6546.6928270641711</v>
      </c>
      <c r="S71" s="60">
        <f t="shared" si="12"/>
        <v>6531.8267194038472</v>
      </c>
      <c r="T71" s="60">
        <f t="shared" si="12"/>
        <v>6516.9943694228286</v>
      </c>
      <c r="U71" s="60">
        <f t="shared" si="13"/>
        <v>6502.1957004648075</v>
      </c>
      <c r="V71" s="60">
        <f t="shared" si="13"/>
        <v>6487.4306360475503</v>
      </c>
      <c r="W71" s="60">
        <f t="shared" si="13"/>
        <v>6472.6990998624888</v>
      </c>
      <c r="X71" s="60">
        <f t="shared" si="13"/>
        <v>6458.0010157743445</v>
      </c>
      <c r="Y71" s="60"/>
      <c r="Z71" s="335">
        <f t="shared" si="5"/>
        <v>5489.3008634081925</v>
      </c>
    </row>
    <row r="72" spans="1:26">
      <c r="A72" s="218">
        <f>INDEX([2]!ResApplic,MATCH(CONCATENATE(LEFT($D72,FIND("_",$D72)-1)," - ",$C$7),[2]APPLIC!$B$9:$B$198,0)+1,MATCH($C72,[2]APPLIC!$C$8:$F$8,0)+1)</f>
        <v>0.74240695226153941</v>
      </c>
      <c r="B72" s="212">
        <f>VLOOKUP(RIGHT($D72,LEN(D72)-FIND("_",$D72)),Weighting!$D$27:$H$30,5,FALSE)</f>
        <v>0.19554651968726669</v>
      </c>
      <c r="C72" s="57" t="str">
        <f t="shared" si="6"/>
        <v>Single Family</v>
      </c>
      <c r="D72" s="60" t="s">
        <v>859</v>
      </c>
      <c r="E72" s="60">
        <f t="shared" si="12"/>
        <v>610247.61919205217</v>
      </c>
      <c r="F72" s="60">
        <f t="shared" si="12"/>
        <v>608861.88030892308</v>
      </c>
      <c r="G72" s="60">
        <f t="shared" si="12"/>
        <v>607479.28813573893</v>
      </c>
      <c r="H72" s="60">
        <f t="shared" si="12"/>
        <v>606099.83552700956</v>
      </c>
      <c r="I72" s="60">
        <f t="shared" si="12"/>
        <v>604723.51535347092</v>
      </c>
      <c r="J72" s="60">
        <f t="shared" si="12"/>
        <v>603350.32050204766</v>
      </c>
      <c r="K72" s="60">
        <f t="shared" si="12"/>
        <v>601980.2438758167</v>
      </c>
      <c r="L72" s="60">
        <f t="shared" si="12"/>
        <v>600613.27839397069</v>
      </c>
      <c r="M72" s="60">
        <f t="shared" si="12"/>
        <v>599249.41699178098</v>
      </c>
      <c r="N72" s="60">
        <f t="shared" si="12"/>
        <v>597888.65262056177</v>
      </c>
      <c r="O72" s="60">
        <f t="shared" si="12"/>
        <v>596530.97824763262</v>
      </c>
      <c r="P72" s="60">
        <f t="shared" si="12"/>
        <v>595176.38685628353</v>
      </c>
      <c r="Q72" s="60">
        <f t="shared" si="12"/>
        <v>593824.87144573743</v>
      </c>
      <c r="R72" s="60">
        <f t="shared" si="12"/>
        <v>592476.42503111472</v>
      </c>
      <c r="S72" s="60">
        <f t="shared" si="12"/>
        <v>591131.04064339702</v>
      </c>
      <c r="T72" s="60">
        <f t="shared" si="12"/>
        <v>589788.71132939053</v>
      </c>
      <c r="U72" s="60">
        <f t="shared" si="13"/>
        <v>588449.43015169108</v>
      </c>
      <c r="V72" s="60">
        <f t="shared" si="13"/>
        <v>587113.19018864783</v>
      </c>
      <c r="W72" s="60">
        <f t="shared" si="13"/>
        <v>585779.98453432741</v>
      </c>
      <c r="X72" s="60">
        <f t="shared" si="13"/>
        <v>584449.80629847827</v>
      </c>
      <c r="Y72" s="60"/>
      <c r="Z72" s="335">
        <f t="shared" si="5"/>
        <v>496782.3353537065</v>
      </c>
    </row>
    <row r="73" spans="1:26">
      <c r="A73" s="218">
        <f>INDEX([2]!ResApplic,MATCH(CONCATENATE(LEFT($D73,FIND("_",$D73)-1)," - ",$C$7),[2]APPLIC!$B$9:$B$198,0)+1,MATCH($C73,[2]APPLIC!$C$8:$F$8,0)+1)</f>
        <v>0.18560173806538485</v>
      </c>
      <c r="B73" s="212">
        <f>VLOOKUP(RIGHT($D73,LEN(D73)-FIND("_",$D73)),Weighting!$D$27:$H$30,5,FALSE)</f>
        <v>0.19554651968726669</v>
      </c>
      <c r="C73" s="57" t="str">
        <f t="shared" si="6"/>
        <v>Single Family</v>
      </c>
      <c r="D73" s="60" t="s">
        <v>861</v>
      </c>
      <c r="E73" s="60">
        <f t="shared" si="12"/>
        <v>152561.90479801304</v>
      </c>
      <c r="F73" s="60">
        <f t="shared" si="12"/>
        <v>152215.47007723077</v>
      </c>
      <c r="G73" s="60">
        <f t="shared" si="12"/>
        <v>151869.82203393473</v>
      </c>
      <c r="H73" s="60">
        <f t="shared" si="12"/>
        <v>151524.95888175239</v>
      </c>
      <c r="I73" s="60">
        <f t="shared" si="12"/>
        <v>151180.87883836773</v>
      </c>
      <c r="J73" s="60">
        <f t="shared" si="12"/>
        <v>150837.58012551191</v>
      </c>
      <c r="K73" s="60">
        <f t="shared" si="12"/>
        <v>150495.06096895417</v>
      </c>
      <c r="L73" s="60">
        <f t="shared" si="12"/>
        <v>150153.31959849267</v>
      </c>
      <c r="M73" s="60">
        <f t="shared" si="12"/>
        <v>149812.35424794524</v>
      </c>
      <c r="N73" s="60">
        <f t="shared" si="12"/>
        <v>149472.16315514044</v>
      </c>
      <c r="O73" s="60">
        <f t="shared" si="12"/>
        <v>149132.74456190816</v>
      </c>
      <c r="P73" s="60">
        <f t="shared" si="12"/>
        <v>148794.09671407088</v>
      </c>
      <c r="Q73" s="60">
        <f t="shared" si="12"/>
        <v>148456.21786143436</v>
      </c>
      <c r="R73" s="60">
        <f t="shared" si="12"/>
        <v>148119.10625777868</v>
      </c>
      <c r="S73" s="60">
        <f t="shared" si="12"/>
        <v>147782.76016084926</v>
      </c>
      <c r="T73" s="60">
        <f t="shared" si="12"/>
        <v>147447.17783234763</v>
      </c>
      <c r="U73" s="60">
        <f t="shared" si="13"/>
        <v>147112.35753792277</v>
      </c>
      <c r="V73" s="60">
        <f t="shared" si="13"/>
        <v>146778.29754716196</v>
      </c>
      <c r="W73" s="60">
        <f t="shared" si="13"/>
        <v>146444.99613358185</v>
      </c>
      <c r="X73" s="60">
        <f t="shared" si="13"/>
        <v>146112.45157461957</v>
      </c>
      <c r="Y73" s="60"/>
      <c r="Z73" s="335">
        <f t="shared" si="5"/>
        <v>124195.58383842662</v>
      </c>
    </row>
    <row r="74" spans="1:26">
      <c r="A74" s="218">
        <f>INDEX([2]!ResApplic,MATCH(CONCATENATE(LEFT($D74,FIND("_",$D74)-1)," - ",$C$7),[2]APPLIC!$B$9:$B$198,0)+1,MATCH($C74,[2]APPLIC!$C$8:$F$8,0)+1)</f>
        <v>0.74240695226153941</v>
      </c>
      <c r="B74" s="212">
        <f>VLOOKUP(RIGHT($D74,LEN(D74)-FIND("_",$D74)),Weighting!$D$27:$H$30,5,FALSE)</f>
        <v>1.706554478645779E-2</v>
      </c>
      <c r="C74" s="57" t="str">
        <f t="shared" si="6"/>
        <v>Single Family</v>
      </c>
      <c r="D74" s="60" t="s">
        <v>887</v>
      </c>
      <c r="E74" s="60">
        <f t="shared" si="12"/>
        <v>53256.933914274829</v>
      </c>
      <c r="F74" s="60">
        <f t="shared" si="12"/>
        <v>53135.999064551113</v>
      </c>
      <c r="G74" s="60">
        <f t="shared" si="12"/>
        <v>53015.33883142288</v>
      </c>
      <c r="H74" s="60">
        <f t="shared" si="12"/>
        <v>52894.9525912959</v>
      </c>
      <c r="I74" s="60">
        <f t="shared" si="12"/>
        <v>52774.839721992001</v>
      </c>
      <c r="J74" s="60">
        <f t="shared" si="12"/>
        <v>52654.999602745818</v>
      </c>
      <c r="K74" s="60">
        <f t="shared" si="12"/>
        <v>52535.431614201632</v>
      </c>
      <c r="L74" s="60">
        <f t="shared" si="12"/>
        <v>52416.135138410129</v>
      </c>
      <c r="M74" s="60">
        <f t="shared" si="12"/>
        <v>52297.109558825214</v>
      </c>
      <c r="N74" s="60">
        <f t="shared" si="12"/>
        <v>52178.354260300868</v>
      </c>
      <c r="O74" s="60">
        <f t="shared" si="12"/>
        <v>52059.868629087883</v>
      </c>
      <c r="P74" s="60">
        <f t="shared" si="12"/>
        <v>51941.652052830796</v>
      </c>
      <c r="Q74" s="60">
        <f t="shared" si="12"/>
        <v>51823.703920564629</v>
      </c>
      <c r="R74" s="60">
        <f t="shared" si="12"/>
        <v>51706.0236227118</v>
      </c>
      <c r="S74" s="60">
        <f t="shared" si="12"/>
        <v>51588.610551078935</v>
      </c>
      <c r="T74" s="60">
        <f t="shared" si="12"/>
        <v>51471.464098853714</v>
      </c>
      <c r="U74" s="60">
        <f t="shared" si="13"/>
        <v>51354.583660601769</v>
      </c>
      <c r="V74" s="60">
        <f t="shared" si="13"/>
        <v>51237.968632263568</v>
      </c>
      <c r="W74" s="60">
        <f t="shared" si="13"/>
        <v>51121.618411151219</v>
      </c>
      <c r="X74" s="60">
        <f t="shared" si="13"/>
        <v>51005.532395945425</v>
      </c>
      <c r="Y74" s="60"/>
      <c r="Z74" s="335">
        <f t="shared" si="5"/>
        <v>43354.70253655361</v>
      </c>
    </row>
    <row r="75" spans="1:26">
      <c r="A75" s="218">
        <f>INDEX([2]!ResApplic,MATCH(CONCATENATE(LEFT($D75,FIND("_",$D75)-1)," - ",$C$7),[2]APPLIC!$B$9:$B$198,0)+1,MATCH($C75,[2]APPLIC!$C$8:$F$8,0)+1)</f>
        <v>0.18560173806538485</v>
      </c>
      <c r="B75" s="212">
        <f>VLOOKUP(RIGHT($D75,LEN(D75)-FIND("_",$D75)),Weighting!$D$27:$H$30,5,FALSE)</f>
        <v>1.706554478645779E-2</v>
      </c>
      <c r="C75" s="57" t="str">
        <f t="shared" si="6"/>
        <v>Single Family</v>
      </c>
      <c r="D75" s="60" t="s">
        <v>889</v>
      </c>
      <c r="E75" s="60">
        <f t="shared" si="12"/>
        <v>13314.233478568707</v>
      </c>
      <c r="F75" s="60">
        <f t="shared" si="12"/>
        <v>13283.999766137778</v>
      </c>
      <c r="G75" s="60">
        <f t="shared" si="12"/>
        <v>13253.83470785572</v>
      </c>
      <c r="H75" s="60">
        <f t="shared" si="12"/>
        <v>13223.738147823975</v>
      </c>
      <c r="I75" s="60">
        <f t="shared" si="12"/>
        <v>13193.709930498</v>
      </c>
      <c r="J75" s="60">
        <f t="shared" si="12"/>
        <v>13163.749900686455</v>
      </c>
      <c r="K75" s="60">
        <f t="shared" si="12"/>
        <v>13133.857903550408</v>
      </c>
      <c r="L75" s="60">
        <f t="shared" si="12"/>
        <v>13104.033784602532</v>
      </c>
      <c r="M75" s="60">
        <f t="shared" si="12"/>
        <v>13074.277389706303</v>
      </c>
      <c r="N75" s="60">
        <f t="shared" si="12"/>
        <v>13044.588565075217</v>
      </c>
      <c r="O75" s="60">
        <f t="shared" si="12"/>
        <v>13014.967157271971</v>
      </c>
      <c r="P75" s="60">
        <f t="shared" si="12"/>
        <v>12985.413013207699</v>
      </c>
      <c r="Q75" s="60">
        <f t="shared" si="12"/>
        <v>12955.925980141157</v>
      </c>
      <c r="R75" s="60">
        <f t="shared" si="12"/>
        <v>12926.50590567795</v>
      </c>
      <c r="S75" s="60">
        <f t="shared" si="12"/>
        <v>12897.152637769734</v>
      </c>
      <c r="T75" s="60">
        <f t="shared" si="12"/>
        <v>12867.866024713428</v>
      </c>
      <c r="U75" s="60">
        <f t="shared" si="13"/>
        <v>12838.645915150442</v>
      </c>
      <c r="V75" s="60">
        <f t="shared" si="13"/>
        <v>12809.492158065892</v>
      </c>
      <c r="W75" s="60">
        <f t="shared" si="13"/>
        <v>12780.404602787805</v>
      </c>
      <c r="X75" s="60">
        <f t="shared" si="13"/>
        <v>12751.383098986356</v>
      </c>
      <c r="Y75" s="60"/>
      <c r="Z75" s="335">
        <f t="shared" si="5"/>
        <v>10838.675634138403</v>
      </c>
    </row>
    <row r="76" spans="1:26">
      <c r="A76" s="218">
        <f>INDEX([2]!ResApplic,MATCH(CONCATENATE(LEFT($D76,FIND("_",$D76)-1)," - ",$C$7),[2]APPLIC!$B$9:$B$198,0)+1,MATCH($C76,[2]APPLIC!$C$8:$F$8,0)+1)</f>
        <v>0.10512619459663457</v>
      </c>
      <c r="B76" s="212">
        <f>VLOOKUP(RIGHT($D76,LEN(D76)-FIND("_",$D76)),Weighting!$D$27:$H$30,5,FALSE)</f>
        <v>0.14070061635544628</v>
      </c>
      <c r="C76" s="57" t="str">
        <f t="shared" si="6"/>
        <v>Single Family</v>
      </c>
      <c r="D76" s="60" t="s">
        <v>871</v>
      </c>
      <c r="E76" s="60">
        <f t="shared" si="12"/>
        <v>62175.733375887707</v>
      </c>
      <c r="F76" s="60">
        <f t="shared" si="12"/>
        <v>62034.545883112049</v>
      </c>
      <c r="G76" s="60">
        <f t="shared" si="12"/>
        <v>61893.678996255039</v>
      </c>
      <c r="H76" s="60">
        <f t="shared" si="12"/>
        <v>61753.131987290741</v>
      </c>
      <c r="I76" s="60">
        <f t="shared" si="12"/>
        <v>61612.904129846436</v>
      </c>
      <c r="J76" s="60">
        <f t="shared" si="12"/>
        <v>61472.994699198796</v>
      </c>
      <c r="K76" s="60">
        <f t="shared" si="12"/>
        <v>61333.402972270218</v>
      </c>
      <c r="L76" s="60">
        <f t="shared" si="12"/>
        <v>61194.128227625035</v>
      </c>
      <c r="M76" s="60">
        <f t="shared" si="12"/>
        <v>61055.169745465806</v>
      </c>
      <c r="N76" s="60">
        <f t="shared" si="12"/>
        <v>60916.526807629605</v>
      </c>
      <c r="O76" s="60">
        <f t="shared" si="12"/>
        <v>60778.198697584252</v>
      </c>
      <c r="P76" s="60">
        <f t="shared" si="12"/>
        <v>60640.184700424696</v>
      </c>
      <c r="Q76" s="60">
        <f t="shared" si="12"/>
        <v>60502.484102869275</v>
      </c>
      <c r="R76" s="60">
        <f t="shared" si="12"/>
        <v>60365.096193256039</v>
      </c>
      <c r="S76" s="60">
        <f t="shared" si="12"/>
        <v>60228.020261539052</v>
      </c>
      <c r="T76" s="60">
        <f t="shared" si="12"/>
        <v>60091.255599284726</v>
      </c>
      <c r="U76" s="60">
        <f t="shared" si="13"/>
        <v>59954.801499668196</v>
      </c>
      <c r="V76" s="60">
        <f t="shared" si="13"/>
        <v>59818.65725746964</v>
      </c>
      <c r="W76" s="60">
        <f t="shared" si="13"/>
        <v>59682.822169070598</v>
      </c>
      <c r="X76" s="60">
        <f t="shared" si="13"/>
        <v>59547.295532450429</v>
      </c>
      <c r="Y76" s="60"/>
      <c r="Z76" s="335">
        <f t="shared" si="5"/>
        <v>50615.201202582866</v>
      </c>
    </row>
    <row r="77" spans="1:26">
      <c r="A77" s="218">
        <f>INDEX([2]!ResApplic,MATCH(CONCATENATE(LEFT($D77,FIND("_",$D77)-1)," - ",$C$7),[2]APPLIC!$B$9:$B$198,0)+1,MATCH($C77,[2]APPLIC!$C$8:$F$8,0)+1)</f>
        <v>4.555152699293441E-2</v>
      </c>
      <c r="B77" s="212">
        <f>VLOOKUP(RIGHT($D77,LEN(D77)-FIND("_",$D77)),Weighting!$D$27:$H$30,5,FALSE)</f>
        <v>0.14070061635544628</v>
      </c>
      <c r="C77" s="57" t="str">
        <f t="shared" si="6"/>
        <v>Single Family</v>
      </c>
      <c r="D77" s="60" t="s">
        <v>870</v>
      </c>
      <c r="E77" s="60">
        <f t="shared" si="12"/>
        <v>26940.950426716099</v>
      </c>
      <c r="F77" s="60">
        <f t="shared" si="12"/>
        <v>26879.773420234393</v>
      </c>
      <c r="G77" s="60">
        <f t="shared" si="12"/>
        <v>26818.735333355115</v>
      </c>
      <c r="H77" s="60">
        <f t="shared" si="12"/>
        <v>26757.835850622214</v>
      </c>
      <c r="I77" s="60">
        <f t="shared" si="12"/>
        <v>26697.074657295994</v>
      </c>
      <c r="J77" s="60">
        <f t="shared" si="12"/>
        <v>26636.451439351455</v>
      </c>
      <c r="K77" s="60">
        <f t="shared" si="12"/>
        <v>26575.965883476678</v>
      </c>
      <c r="L77" s="60">
        <f t="shared" si="12"/>
        <v>26515.617677071208</v>
      </c>
      <c r="M77" s="60">
        <f t="shared" si="12"/>
        <v>26455.406508244443</v>
      </c>
      <c r="N77" s="60">
        <f t="shared" si="12"/>
        <v>26395.332065814015</v>
      </c>
      <c r="O77" s="60">
        <f t="shared" si="12"/>
        <v>26335.394039304167</v>
      </c>
      <c r="P77" s="60">
        <f t="shared" si="12"/>
        <v>26275.592118944183</v>
      </c>
      <c r="Q77" s="60">
        <f t="shared" si="12"/>
        <v>26215.925995666759</v>
      </c>
      <c r="R77" s="60">
        <f t="shared" si="12"/>
        <v>26156.395361106435</v>
      </c>
      <c r="S77" s="60">
        <f t="shared" si="12"/>
        <v>26096.999907597954</v>
      </c>
      <c r="T77" s="60">
        <f t="shared" si="12"/>
        <v>26037.739328174706</v>
      </c>
      <c r="U77" s="60">
        <f t="shared" si="13"/>
        <v>25978.613316567153</v>
      </c>
      <c r="V77" s="60">
        <f t="shared" si="13"/>
        <v>25919.621567201204</v>
      </c>
      <c r="W77" s="60">
        <f t="shared" si="13"/>
        <v>25860.763775196672</v>
      </c>
      <c r="X77" s="60">
        <f t="shared" si="13"/>
        <v>25802.039636365698</v>
      </c>
      <c r="Y77" s="60"/>
      <c r="Z77" s="335">
        <f t="shared" si="5"/>
        <v>21931.733690910842</v>
      </c>
    </row>
    <row r="78" spans="1:26">
      <c r="A78" s="218">
        <f>INDEX([2]!ResApplic,MATCH(CONCATENATE(LEFT($D78,FIND("_",$D78)-1)," - ",$C$7),[2]APPLIC!$B$9:$B$198,0)+1,MATCH($C78,[2]APPLIC!$C$8:$F$8,0)+1)</f>
        <v>1.7662848312546196E-2</v>
      </c>
      <c r="B78" s="212">
        <f>VLOOKUP(RIGHT($D78,LEN(D78)-FIND("_",$D78)),Weighting!$D$27:$H$30,5,FALSE)</f>
        <v>0.14070061635544628</v>
      </c>
      <c r="C78" s="57" t="str">
        <f t="shared" si="6"/>
        <v>Single Family</v>
      </c>
      <c r="D78" s="60" t="s">
        <v>867</v>
      </c>
      <c r="E78" s="60">
        <f t="shared" si="12"/>
        <v>10446.497674089473</v>
      </c>
      <c r="F78" s="60">
        <f t="shared" si="12"/>
        <v>10422.775962501855</v>
      </c>
      <c r="G78" s="60">
        <f t="shared" si="12"/>
        <v>10399.108117733356</v>
      </c>
      <c r="H78" s="60">
        <f t="shared" si="12"/>
        <v>10375.494017464212</v>
      </c>
      <c r="I78" s="60">
        <f t="shared" si="12"/>
        <v>10351.933539652422</v>
      </c>
      <c r="J78" s="60">
        <f t="shared" si="12"/>
        <v>10328.426562533106</v>
      </c>
      <c r="K78" s="60">
        <f t="shared" si="12"/>
        <v>10304.972964617895</v>
      </c>
      <c r="L78" s="60">
        <f t="shared" si="12"/>
        <v>10281.572624694287</v>
      </c>
      <c r="M78" s="60">
        <f t="shared" si="12"/>
        <v>10258.225421825035</v>
      </c>
      <c r="N78" s="60">
        <f t="shared" si="12"/>
        <v>10234.931235347509</v>
      </c>
      <c r="O78" s="60">
        <f t="shared" si="12"/>
        <v>10211.689944873075</v>
      </c>
      <c r="P78" s="60">
        <f t="shared" si="12"/>
        <v>10188.501430286478</v>
      </c>
      <c r="Q78" s="60">
        <f t="shared" si="12"/>
        <v>10165.365571745222</v>
      </c>
      <c r="R78" s="60">
        <f t="shared" si="12"/>
        <v>10142.282249678943</v>
      </c>
      <c r="S78" s="60">
        <f t="shared" si="12"/>
        <v>10119.251344788796</v>
      </c>
      <c r="T78" s="60">
        <f t="shared" si="12"/>
        <v>10096.272738046837</v>
      </c>
      <c r="U78" s="60">
        <f t="shared" si="13"/>
        <v>10073.34631069541</v>
      </c>
      <c r="V78" s="60">
        <f t="shared" si="13"/>
        <v>10050.47194424653</v>
      </c>
      <c r="W78" s="60">
        <f t="shared" si="13"/>
        <v>10027.649520481269</v>
      </c>
      <c r="X78" s="60">
        <f t="shared" si="13"/>
        <v>10004.878921449161</v>
      </c>
      <c r="Y78" s="60"/>
      <c r="Z78" s="335">
        <f t="shared" si="5"/>
        <v>8504.1470832317864</v>
      </c>
    </row>
    <row r="79" spans="1:26">
      <c r="A79" s="218">
        <f>INDEX([2]!ResApplic,MATCH(CONCATENATE(LEFT($D79,FIND("_",$D79)-1)," - ",$C$7),[2]APPLIC!$B$9:$B$198,0)+1,MATCH($C79,[2]APPLIC!$C$8:$F$8,0)+1)</f>
        <v>8.2033817107202978E-3</v>
      </c>
      <c r="B79" s="212">
        <f>VLOOKUP(RIGHT($D79,LEN(D79)-FIND("_",$D79)),Weighting!$D$27:$H$30,5,FALSE)</f>
        <v>0.14070061635544628</v>
      </c>
      <c r="C79" s="57" t="str">
        <f t="shared" si="6"/>
        <v>Single Family</v>
      </c>
      <c r="D79" s="60" t="s">
        <v>866</v>
      </c>
      <c r="E79" s="60">
        <f t="shared" si="12"/>
        <v>4851.8000293212099</v>
      </c>
      <c r="F79" s="60">
        <f t="shared" si="12"/>
        <v>4840.7826525345554</v>
      </c>
      <c r="G79" s="60">
        <f t="shared" si="12"/>
        <v>4829.790293801103</v>
      </c>
      <c r="H79" s="60">
        <f t="shared" si="12"/>
        <v>4818.8228963103256</v>
      </c>
      <c r="I79" s="60">
        <f t="shared" si="12"/>
        <v>4807.8804033806991</v>
      </c>
      <c r="J79" s="60">
        <f t="shared" si="12"/>
        <v>4796.9627584594136</v>
      </c>
      <c r="K79" s="60">
        <f t="shared" si="12"/>
        <v>4786.0699051220736</v>
      </c>
      <c r="L79" s="60">
        <f t="shared" si="12"/>
        <v>4775.2017870724167</v>
      </c>
      <c r="M79" s="60">
        <f t="shared" si="12"/>
        <v>4764.358348142011</v>
      </c>
      <c r="N79" s="60">
        <f t="shared" si="12"/>
        <v>4753.5395322899767</v>
      </c>
      <c r="O79" s="60">
        <f t="shared" si="12"/>
        <v>4742.745283602686</v>
      </c>
      <c r="P79" s="60">
        <f t="shared" si="12"/>
        <v>4731.9755462934818</v>
      </c>
      <c r="Q79" s="60">
        <f t="shared" si="12"/>
        <v>4721.2302647023844</v>
      </c>
      <c r="R79" s="60">
        <f t="shared" si="12"/>
        <v>4710.5093832958064</v>
      </c>
      <c r="S79" s="60">
        <f t="shared" si="12"/>
        <v>4699.8128466662665</v>
      </c>
      <c r="T79" s="60">
        <f t="shared" ref="T79:X82" si="14">$A79*VLOOKUP($C79,$C$13:$Y$16,T$22,FALSE)*$B79</f>
        <v>4689.1405995320983</v>
      </c>
      <c r="U79" s="60">
        <f t="shared" si="14"/>
        <v>4678.4925867371694</v>
      </c>
      <c r="V79" s="60">
        <f t="shared" si="14"/>
        <v>4667.8687532505992</v>
      </c>
      <c r="W79" s="60">
        <f t="shared" si="14"/>
        <v>4657.2690441664608</v>
      </c>
      <c r="X79" s="60">
        <f t="shared" si="14"/>
        <v>4646.6934047035165</v>
      </c>
      <c r="Y79" s="60"/>
      <c r="Z79" s="335">
        <f t="shared" si="5"/>
        <v>3949.6893939979891</v>
      </c>
    </row>
    <row r="80" spans="1:26">
      <c r="A80" s="218">
        <f>INDEX([2]!ResApplic,MATCH(CONCATENATE(LEFT($D80,FIND("_",$D80)-1)," - ",$C$7),[2]APPLIC!$B$9:$B$198,0)+1,MATCH($C80,[2]APPLIC!$C$8:$F$8,0)+1)</f>
        <v>7.8781984396844446E-2</v>
      </c>
      <c r="B80" s="212">
        <f>VLOOKUP(RIGHT($D80,LEN(D80)-FIND("_",$D80)),Weighting!$D$27:$H$30,5,FALSE)</f>
        <v>0.14070061635544628</v>
      </c>
      <c r="C80" s="57" t="str">
        <f t="shared" si="6"/>
        <v>Single Family</v>
      </c>
      <c r="D80" s="60" t="s">
        <v>869</v>
      </c>
      <c r="E80" s="60">
        <f t="shared" ref="E80:S82" si="15">$A80*VLOOKUP($C80,$C$13:$Y$16,E$22,FALSE)*$B80</f>
        <v>46594.73954589769</v>
      </c>
      <c r="F80" s="60">
        <f t="shared" si="15"/>
        <v>46488.933082574637</v>
      </c>
      <c r="G80" s="60">
        <f t="shared" si="15"/>
        <v>46383.366882590111</v>
      </c>
      <c r="H80" s="60">
        <f t="shared" si="15"/>
        <v>46278.040400358601</v>
      </c>
      <c r="I80" s="60">
        <f t="shared" si="15"/>
        <v>46172.953091533542</v>
      </c>
      <c r="J80" s="60">
        <f t="shared" si="15"/>
        <v>46068.104413004403</v>
      </c>
      <c r="K80" s="60">
        <f t="shared" si="15"/>
        <v>45963.493822893994</v>
      </c>
      <c r="L80" s="60">
        <f t="shared" si="15"/>
        <v>45859.120780555575</v>
      </c>
      <c r="M80" s="60">
        <f t="shared" si="15"/>
        <v>45754.984746570117</v>
      </c>
      <c r="N80" s="60">
        <f t="shared" si="15"/>
        <v>45651.085182743474</v>
      </c>
      <c r="O80" s="60">
        <f t="shared" si="15"/>
        <v>45547.421552103631</v>
      </c>
      <c r="P80" s="60">
        <f t="shared" si="15"/>
        <v>45443.993318897912</v>
      </c>
      <c r="Q80" s="60">
        <f t="shared" si="15"/>
        <v>45340.79994859024</v>
      </c>
      <c r="R80" s="60">
        <f t="shared" si="15"/>
        <v>45237.840907858335</v>
      </c>
      <c r="S80" s="60">
        <f t="shared" si="15"/>
        <v>45135.115664590987</v>
      </c>
      <c r="T80" s="60">
        <f t="shared" si="14"/>
        <v>45032.623687885258</v>
      </c>
      <c r="U80" s="60">
        <f t="shared" si="14"/>
        <v>44930.364448043816</v>
      </c>
      <c r="V80" s="60">
        <f t="shared" si="14"/>
        <v>44828.337416572154</v>
      </c>
      <c r="W80" s="60">
        <f t="shared" si="14"/>
        <v>44726.542066175825</v>
      </c>
      <c r="X80" s="60">
        <f t="shared" si="14"/>
        <v>44624.977870757793</v>
      </c>
      <c r="Y80" s="60"/>
      <c r="Z80" s="335">
        <f t="shared" ref="Z80:Z82" si="16">X80*$Z$21</f>
        <v>37931.231190144121</v>
      </c>
    </row>
    <row r="81" spans="1:71">
      <c r="A81" s="218">
        <f>INDEX([2]!ResApplic,MATCH(CONCATENATE(LEFT($D81,FIND("_",$D81)-1)," - ",$C$7),[2]APPLIC!$B$9:$B$198,0)+1,MATCH($C81,[2]APPLIC!$C$8:$F$8,0)+1)</f>
        <v>0.74240695226153941</v>
      </c>
      <c r="B81" s="212">
        <f>VLOOKUP(RIGHT($D81,LEN(D81)-FIND("_",$D81)),Weighting!$D$27:$H$30,5,FALSE)</f>
        <v>0.14070061635544628</v>
      </c>
      <c r="C81" s="57" t="str">
        <f t="shared" ref="C81:C82" si="17">$C$23</f>
        <v>Single Family</v>
      </c>
      <c r="D81" s="60" t="s">
        <v>873</v>
      </c>
      <c r="E81" s="60">
        <f t="shared" si="15"/>
        <v>439088.43934979249</v>
      </c>
      <c r="F81" s="60">
        <f t="shared" si="15"/>
        <v>438091.36553188058</v>
      </c>
      <c r="G81" s="60">
        <f t="shared" si="15"/>
        <v>437096.55585055088</v>
      </c>
      <c r="H81" s="60">
        <f t="shared" si="15"/>
        <v>436104.00516444427</v>
      </c>
      <c r="I81" s="60">
        <f t="shared" si="15"/>
        <v>435113.70834387693</v>
      </c>
      <c r="J81" s="60">
        <f t="shared" si="15"/>
        <v>434125.66027081286</v>
      </c>
      <c r="K81" s="60">
        <f t="shared" si="15"/>
        <v>433139.85583883844</v>
      </c>
      <c r="L81" s="60">
        <f t="shared" si="15"/>
        <v>432156.28995313542</v>
      </c>
      <c r="M81" s="60">
        <f t="shared" si="15"/>
        <v>431174.95753045462</v>
      </c>
      <c r="N81" s="60">
        <f t="shared" si="15"/>
        <v>430195.85349909024</v>
      </c>
      <c r="O81" s="60">
        <f t="shared" si="15"/>
        <v>429218.97279885266</v>
      </c>
      <c r="P81" s="60">
        <f t="shared" si="15"/>
        <v>428244.31038104324</v>
      </c>
      <c r="Q81" s="60">
        <f t="shared" si="15"/>
        <v>427271.86120842781</v>
      </c>
      <c r="R81" s="60">
        <f t="shared" si="15"/>
        <v>426301.6202552105</v>
      </c>
      <c r="S81" s="60">
        <f t="shared" si="15"/>
        <v>425333.58250700805</v>
      </c>
      <c r="T81" s="60">
        <f t="shared" si="14"/>
        <v>424367.74296082358</v>
      </c>
      <c r="U81" s="60">
        <f t="shared" si="14"/>
        <v>423404.09662502113</v>
      </c>
      <c r="V81" s="60">
        <f t="shared" si="14"/>
        <v>422442.63851929962</v>
      </c>
      <c r="W81" s="60">
        <f t="shared" si="14"/>
        <v>421483.36367466702</v>
      </c>
      <c r="X81" s="60">
        <f t="shared" si="14"/>
        <v>420526.26713341486</v>
      </c>
      <c r="Y81" s="60"/>
      <c r="Z81" s="335">
        <f t="shared" si="16"/>
        <v>357447.32706340263</v>
      </c>
    </row>
    <row r="82" spans="1:71">
      <c r="A82" s="218">
        <f>INDEX([2]!ResApplic,MATCH(CONCATENATE(LEFT($D82,FIND("_",$D82)-1)," - ",$C$7),[2]APPLIC!$B$9:$B$198,0)+1,MATCH($C82,[2]APPLIC!$C$8:$F$8,0)+1)</f>
        <v>0.18560173806538485</v>
      </c>
      <c r="B82" s="212">
        <f>VLOOKUP(RIGHT($D82,LEN(D82)-FIND("_",$D82)),Weighting!$D$27:$H$30,5,FALSE)</f>
        <v>0.14070061635544628</v>
      </c>
      <c r="C82" s="57" t="str">
        <f t="shared" si="17"/>
        <v>Single Family</v>
      </c>
      <c r="D82" s="60" t="s">
        <v>875</v>
      </c>
      <c r="E82" s="60">
        <f t="shared" si="15"/>
        <v>109772.10983744812</v>
      </c>
      <c r="F82" s="60">
        <f t="shared" si="15"/>
        <v>109522.84138297015</v>
      </c>
      <c r="G82" s="60">
        <f t="shared" si="15"/>
        <v>109274.13896263772</v>
      </c>
      <c r="H82" s="60">
        <f t="shared" si="15"/>
        <v>109026.00129111107</v>
      </c>
      <c r="I82" s="60">
        <f t="shared" si="15"/>
        <v>108778.42708596923</v>
      </c>
      <c r="J82" s="60">
        <f t="shared" si="15"/>
        <v>108531.41506770322</v>
      </c>
      <c r="K82" s="60">
        <f t="shared" si="15"/>
        <v>108284.96395970961</v>
      </c>
      <c r="L82" s="60">
        <f t="shared" si="15"/>
        <v>108039.07248828385</v>
      </c>
      <c r="M82" s="60">
        <f t="shared" si="15"/>
        <v>107793.73938261365</v>
      </c>
      <c r="N82" s="60">
        <f t="shared" si="15"/>
        <v>107548.96337477256</v>
      </c>
      <c r="O82" s="60">
        <f t="shared" si="15"/>
        <v>107304.74319971316</v>
      </c>
      <c r="P82" s="60">
        <f t="shared" si="15"/>
        <v>107061.07759526081</v>
      </c>
      <c r="Q82" s="60">
        <f t="shared" si="15"/>
        <v>106817.96530210695</v>
      </c>
      <c r="R82" s="60">
        <f t="shared" si="15"/>
        <v>106575.40506380262</v>
      </c>
      <c r="S82" s="60">
        <f t="shared" si="15"/>
        <v>106333.39562675201</v>
      </c>
      <c r="T82" s="60">
        <f t="shared" si="14"/>
        <v>106091.9357402059</v>
      </c>
      <c r="U82" s="60">
        <f t="shared" si="14"/>
        <v>105851.02415625528</v>
      </c>
      <c r="V82" s="60">
        <f t="shared" si="14"/>
        <v>105610.65962982491</v>
      </c>
      <c r="W82" s="60">
        <f t="shared" si="14"/>
        <v>105370.84091866676</v>
      </c>
      <c r="X82" s="60">
        <f t="shared" si="14"/>
        <v>105131.56678335372</v>
      </c>
      <c r="Y82" s="60"/>
      <c r="Z82" s="335">
        <f t="shared" si="16"/>
        <v>89361.831765850657</v>
      </c>
    </row>
    <row r="83" spans="1:71">
      <c r="E83" s="60"/>
      <c r="F83" s="60"/>
      <c r="G83" s="60"/>
      <c r="H83" s="60"/>
      <c r="I83" s="60"/>
      <c r="J83" s="60"/>
      <c r="K83" s="60"/>
      <c r="L83" s="60"/>
      <c r="M83" s="60"/>
      <c r="N83" s="60"/>
      <c r="O83" s="60"/>
      <c r="P83" s="60"/>
      <c r="Q83" s="60"/>
      <c r="R83" s="60"/>
      <c r="S83" s="60"/>
      <c r="T83" s="60"/>
      <c r="U83" s="60"/>
      <c r="V83" s="60"/>
      <c r="W83" s="60"/>
      <c r="X83" s="60"/>
      <c r="Y83" s="60"/>
      <c r="Z83" s="335"/>
    </row>
    <row r="84" spans="1:71">
      <c r="E84" s="60">
        <f>SUM(E23:E82)</f>
        <v>3005503.3400676814</v>
      </c>
      <c r="F84" s="60">
        <f t="shared" ref="F84:X84" si="18">SUM(F23:F82)</f>
        <v>2998678.4992805589</v>
      </c>
      <c r="G84" s="60">
        <f t="shared" si="18"/>
        <v>2991869.1562142847</v>
      </c>
      <c r="H84" s="60">
        <f t="shared" si="18"/>
        <v>2985075.275676921</v>
      </c>
      <c r="I84" s="60">
        <f t="shared" si="18"/>
        <v>2978296.82255645</v>
      </c>
      <c r="J84" s="60">
        <f t="shared" si="18"/>
        <v>2971533.7618205794</v>
      </c>
      <c r="K84" s="60">
        <f t="shared" si="18"/>
        <v>2964786.0585165704</v>
      </c>
      <c r="L84" s="60">
        <f t="shared" si="18"/>
        <v>2958053.6777710528</v>
      </c>
      <c r="M84" s="60">
        <f t="shared" si="18"/>
        <v>2951336.5847898507</v>
      </c>
      <c r="N84" s="60">
        <f t="shared" si="18"/>
        <v>2944634.7448577932</v>
      </c>
      <c r="O84" s="60">
        <f t="shared" si="18"/>
        <v>2937948.1233385396</v>
      </c>
      <c r="P84" s="60">
        <f t="shared" si="18"/>
        <v>2931276.6856744052</v>
      </c>
      <c r="Q84" s="60">
        <f t="shared" si="18"/>
        <v>2924620.3973861733</v>
      </c>
      <c r="R84" s="60">
        <f t="shared" si="18"/>
        <v>2917979.2240729257</v>
      </c>
      <c r="S84" s="60">
        <f t="shared" si="18"/>
        <v>2911353.1314118616</v>
      </c>
      <c r="T84" s="60">
        <f t="shared" si="18"/>
        <v>2904742.0851581153</v>
      </c>
      <c r="U84" s="60">
        <f t="shared" si="18"/>
        <v>2898146.0511445873</v>
      </c>
      <c r="V84" s="60">
        <f t="shared" si="18"/>
        <v>2891564.9952817638</v>
      </c>
      <c r="W84" s="60">
        <f t="shared" si="18"/>
        <v>2884998.8835575394</v>
      </c>
      <c r="X84" s="60">
        <f t="shared" si="18"/>
        <v>2878447.6820370425</v>
      </c>
      <c r="Y84" s="60"/>
      <c r="Z84" s="335">
        <f>MAX(E84:X84)*$Z$21</f>
        <v>2554677.8390575293</v>
      </c>
    </row>
    <row r="85" spans="1:71">
      <c r="D85" s="60"/>
      <c r="E85" s="60"/>
      <c r="F85" s="60"/>
      <c r="G85" s="60"/>
      <c r="H85" s="60"/>
      <c r="I85" s="60"/>
      <c r="J85" s="60"/>
      <c r="K85" s="60"/>
      <c r="L85" s="60"/>
      <c r="M85" s="60"/>
      <c r="N85" s="60"/>
      <c r="O85" s="60"/>
      <c r="P85" s="60"/>
      <c r="Q85" s="60"/>
      <c r="R85" s="60"/>
      <c r="S85" s="60"/>
      <c r="T85" s="60"/>
      <c r="U85" s="60"/>
      <c r="V85" s="60"/>
      <c r="W85" s="60"/>
      <c r="X85" s="60"/>
    </row>
    <row r="87" spans="1:71" ht="15">
      <c r="A87" s="202" t="str">
        <f>CONCATENATE("# HOMES ACHIEVABLE BY YEAR FOR MEASURE - ",C88)</f>
        <v># HOMES ACHIEVABLE BY YEAR FOR MEASURE - ResWx - Retro</v>
      </c>
      <c r="E87" s="209" t="s">
        <v>242</v>
      </c>
    </row>
    <row r="88" spans="1:71" ht="15">
      <c r="C88" s="209" t="str">
        <f>C22</f>
        <v>ResWx - Retro</v>
      </c>
      <c r="E88" s="210">
        <f>VLOOKUP($C$88,[2]ACHIEV!$B$9:$X$100,MATCH(E$11,$E$11:$Y$11,0)+2,FALSE)</f>
        <v>0.10937459468255628</v>
      </c>
      <c r="F88" s="210">
        <f>VLOOKUP($C$88,[2]ACHIEV!$B$9:$X$100,MATCH(F$11,$E$11:$Y$11,0)+2,FALSE)</f>
        <v>0.10937459468255628</v>
      </c>
      <c r="G88" s="210">
        <f>VLOOKUP($C$88,[2]ACHIEV!$B$9:$X$100,MATCH(G$11,$E$11:$Y$11,0)+2,FALSE)</f>
        <v>0.10937459468255628</v>
      </c>
      <c r="H88" s="210">
        <f>VLOOKUP($C$88,[2]ACHIEV!$B$9:$X$100,MATCH(H$11,$E$11:$Y$11,0)+2,FALSE)</f>
        <v>0.10937459468255628</v>
      </c>
      <c r="I88" s="210">
        <f>VLOOKUP($C$88,[2]ACHIEV!$B$9:$X$100,MATCH(I$11,$E$11:$Y$11,0)+2,FALSE)</f>
        <v>0.10937459468255628</v>
      </c>
      <c r="J88" s="210">
        <f>VLOOKUP($C$88,[2]ACHIEV!$B$9:$X$100,MATCH(J$11,$E$11:$Y$11,0)+2,FALSE)</f>
        <v>9.8437135214300656E-2</v>
      </c>
      <c r="K88" s="210">
        <f>VLOOKUP($C$88,[2]ACHIEV!$B$9:$X$100,MATCH(K$11,$E$11:$Y$11,0)+2,FALSE)</f>
        <v>7.874970817144053E-2</v>
      </c>
      <c r="L88" s="210">
        <f>VLOOKUP($C$88,[2]ACHIEV!$B$9:$X$100,MATCH(L$11,$E$11:$Y$11,0)+2,FALSE)</f>
        <v>6.2999766537152418E-2</v>
      </c>
      <c r="M88" s="210">
        <f>VLOOKUP($C$88,[2]ACHIEV!$B$9:$X$100,MATCH(M$11,$E$11:$Y$11,0)+2,FALSE)</f>
        <v>5.0399813229721938E-2</v>
      </c>
      <c r="N88" s="210">
        <f>VLOOKUP($C$88,[2]ACHIEV!$B$9:$X$100,MATCH(N$11,$E$11:$Y$11,0)+2,FALSE)</f>
        <v>4.0319850583777551E-2</v>
      </c>
      <c r="O88" s="210">
        <f>VLOOKUP($C$88,[2]ACHIEV!$B$9:$X$100,MATCH(O$11,$E$11:$Y$11,0)+2,FALSE)</f>
        <v>3.225588046702204E-2</v>
      </c>
      <c r="P88" s="210">
        <f>VLOOKUP($C$88,[2]ACHIEV!$B$9:$X$100,MATCH(P$11,$E$11:$Y$11,0)+2,FALSE)</f>
        <v>2.5804704373617631E-2</v>
      </c>
      <c r="Q88" s="210">
        <f>VLOOKUP($C$88,[2]ACHIEV!$B$9:$X$100,MATCH(Q$11,$E$11:$Y$11,0)+2,FALSE)</f>
        <v>2.0643763498894106E-2</v>
      </c>
      <c r="R88" s="210">
        <f>VLOOKUP($C$88,[2]ACHIEV!$B$9:$X$100,MATCH(R$11,$E$11:$Y$11,0)+2,FALSE)</f>
        <v>1.6515010799115284E-2</v>
      </c>
      <c r="S88" s="210">
        <f>VLOOKUP($C$88,[2]ACHIEV!$B$9:$X$100,MATCH(S$11,$E$11:$Y$11,0)+2,FALSE)</f>
        <v>1.3212008639292228E-2</v>
      </c>
      <c r="T88" s="210">
        <f>VLOOKUP($C$88,[2]ACHIEV!$B$9:$X$100,MATCH(T$11,$E$11:$Y$11,0)+2,FALSE)</f>
        <v>1.0569606911433781E-2</v>
      </c>
      <c r="U88" s="210">
        <f>VLOOKUP($C$88,[2]ACHIEV!$B$9:$X$100,MATCH(U$11,$E$11:$Y$11,0)+2,FALSE)</f>
        <v>7.2092823794611682E-5</v>
      </c>
      <c r="V88" s="210">
        <f>VLOOKUP($C$88,[2]ACHIEV!$B$9:$X$100,MATCH(V$11,$E$11:$Y$11,0)+2,FALSE)</f>
        <v>2.5747437069512102E-5</v>
      </c>
      <c r="W88" s="210">
        <f>VLOOKUP($C$88,[2]ACHIEV!$B$9:$X$100,MATCH(W$11,$E$11:$Y$11,0)+2,FALSE)</f>
        <v>8.7775353646568632E-6</v>
      </c>
      <c r="X88" s="210">
        <f>VLOOKUP($C$88,[2]ACHIEV!$B$9:$X$100,MATCH(X$11,$E$11:$Y$11,0)+2,FALSE)</f>
        <v>2.8622397928446119E-6</v>
      </c>
      <c r="Y88" s="210"/>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row>
    <row r="89" spans="1:71">
      <c r="C89" s="57" t="str">
        <f t="shared" ref="C89:C120" si="19">C23&amp;D23</f>
        <v>Single FamilyATTIC R0 - R38_Electric FAF</v>
      </c>
      <c r="E89" s="60">
        <f t="shared" ref="E89:X89" si="20">E23*E$88*$Z$21</f>
        <v>646.13748456414214</v>
      </c>
      <c r="F89" s="60">
        <f t="shared" si="20"/>
        <v>644.67024764580185</v>
      </c>
      <c r="G89" s="60">
        <f t="shared" si="20"/>
        <v>643.20634250162118</v>
      </c>
      <c r="H89" s="60">
        <f t="shared" si="20"/>
        <v>641.74576156586943</v>
      </c>
      <c r="I89" s="60">
        <f t="shared" si="20"/>
        <v>640.28849728999649</v>
      </c>
      <c r="J89" s="60">
        <f t="shared" si="20"/>
        <v>574.95108792833366</v>
      </c>
      <c r="K89" s="60">
        <f t="shared" si="20"/>
        <v>458.91639979873332</v>
      </c>
      <c r="L89" s="60">
        <f t="shared" si="20"/>
        <v>366.29944081518482</v>
      </c>
      <c r="M89" s="60">
        <f t="shared" si="20"/>
        <v>292.37412391529762</v>
      </c>
      <c r="N89" s="60">
        <f t="shared" si="20"/>
        <v>233.36816497726454</v>
      </c>
      <c r="O89" s="60">
        <f t="shared" si="20"/>
        <v>186.27058952943906</v>
      </c>
      <c r="P89" s="60">
        <f t="shared" si="20"/>
        <v>148.6780878061283</v>
      </c>
      <c r="Q89" s="60">
        <f t="shared" si="20"/>
        <v>118.67237790748062</v>
      </c>
      <c r="R89" s="60">
        <f t="shared" si="20"/>
        <v>94.722319112550551</v>
      </c>
      <c r="S89" s="60">
        <f t="shared" si="20"/>
        <v>75.605780353157328</v>
      </c>
      <c r="T89" s="60">
        <f t="shared" si="20"/>
        <v>60.347276928658708</v>
      </c>
      <c r="U89" s="60">
        <f t="shared" si="20"/>
        <v>0.41068001531391313</v>
      </c>
      <c r="V89" s="60">
        <f t="shared" si="20"/>
        <v>0.1463383752908006</v>
      </c>
      <c r="W89" s="60">
        <f t="shared" si="20"/>
        <v>4.9774797560895652E-2</v>
      </c>
      <c r="X89" s="60">
        <f t="shared" si="20"/>
        <v>1.6194055396196869E-2</v>
      </c>
      <c r="Y89" s="60"/>
      <c r="AA89" s="60"/>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row>
    <row r="90" spans="1:71">
      <c r="C90" s="57" t="str">
        <f t="shared" si="19"/>
        <v>Single FamilyATTIC R0 - R49_Electric FAF</v>
      </c>
      <c r="E90" s="60">
        <f t="shared" ref="E90:X90" si="21">E24*E$88*$Z$21</f>
        <v>344.27611113416486</v>
      </c>
      <c r="F90" s="60">
        <f t="shared" si="21"/>
        <v>343.49433537834506</v>
      </c>
      <c r="G90" s="60">
        <f t="shared" si="21"/>
        <v>342.71433486429379</v>
      </c>
      <c r="H90" s="60">
        <f t="shared" si="21"/>
        <v>341.93610556082518</v>
      </c>
      <c r="I90" s="60">
        <f t="shared" si="21"/>
        <v>341.15964344590748</v>
      </c>
      <c r="J90" s="60">
        <f t="shared" si="21"/>
        <v>306.34645005597764</v>
      </c>
      <c r="K90" s="60">
        <f t="shared" si="21"/>
        <v>244.52064341225429</v>
      </c>
      <c r="L90" s="60">
        <f t="shared" si="21"/>
        <v>195.17231240583172</v>
      </c>
      <c r="M90" s="60">
        <f t="shared" si="21"/>
        <v>155.7832950145532</v>
      </c>
      <c r="N90" s="60">
        <f t="shared" si="21"/>
        <v>124.34363617688118</v>
      </c>
      <c r="O90" s="60">
        <f t="shared" si="21"/>
        <v>99.249023178282314</v>
      </c>
      <c r="P90" s="60">
        <f t="shared" si="21"/>
        <v>79.21892028178172</v>
      </c>
      <c r="Q90" s="60">
        <f t="shared" si="21"/>
        <v>63.231225151085674</v>
      </c>
      <c r="R90" s="60">
        <f t="shared" si="21"/>
        <v>50.470112693858155</v>
      </c>
      <c r="S90" s="60">
        <f t="shared" si="21"/>
        <v>40.284404884522566</v>
      </c>
      <c r="T90" s="60">
        <f t="shared" si="21"/>
        <v>32.154342248925325</v>
      </c>
      <c r="U90" s="60">
        <f t="shared" si="21"/>
        <v>0.21881924817930565</v>
      </c>
      <c r="V90" s="60">
        <f t="shared" si="21"/>
        <v>7.797227054361909E-2</v>
      </c>
      <c r="W90" s="60">
        <f t="shared" si="21"/>
        <v>2.6521095194337624E-2</v>
      </c>
      <c r="X90" s="60">
        <f t="shared" si="21"/>
        <v>8.6285450828699622E-3</v>
      </c>
      <c r="Y90" s="60"/>
      <c r="AA90" s="60"/>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row>
    <row r="91" spans="1:71">
      <c r="C91" s="57" t="str">
        <f t="shared" si="19"/>
        <v>Single FamilyATTIC R0 - R38_Electric Zonal</v>
      </c>
      <c r="E91" s="60">
        <f t="shared" ref="E91:X91" si="22">E25*E$88*$Z$21</f>
        <v>2304.0546238740567</v>
      </c>
      <c r="F91" s="60">
        <f t="shared" si="22"/>
        <v>2298.8226197158374</v>
      </c>
      <c r="G91" s="60">
        <f t="shared" si="22"/>
        <v>2293.6024962948331</v>
      </c>
      <c r="H91" s="60">
        <f t="shared" si="22"/>
        <v>2288.3942266324848</v>
      </c>
      <c r="I91" s="60">
        <f t="shared" si="22"/>
        <v>2283.1977838115017</v>
      </c>
      <c r="J91" s="60">
        <f t="shared" si="22"/>
        <v>2050.211826878141</v>
      </c>
      <c r="K91" s="60">
        <f t="shared" si="22"/>
        <v>1636.4449953575499</v>
      </c>
      <c r="L91" s="60">
        <f t="shared" si="22"/>
        <v>1306.1831893285344</v>
      </c>
      <c r="M91" s="60">
        <f t="shared" si="22"/>
        <v>1042.5737063723857</v>
      </c>
      <c r="N91" s="60">
        <f t="shared" si="22"/>
        <v>832.164999595366</v>
      </c>
      <c r="O91" s="60">
        <f t="shared" si="22"/>
        <v>664.22026789941788</v>
      </c>
      <c r="P91" s="60">
        <f t="shared" si="22"/>
        <v>530.16957514783633</v>
      </c>
      <c r="Q91" s="60">
        <f t="shared" si="22"/>
        <v>423.1725407918459</v>
      </c>
      <c r="R91" s="60">
        <f t="shared" si="22"/>
        <v>337.76928679902448</v>
      </c>
      <c r="S91" s="60">
        <f t="shared" si="22"/>
        <v>269.60182929459131</v>
      </c>
      <c r="T91" s="60">
        <f t="shared" si="22"/>
        <v>215.19169800135845</v>
      </c>
      <c r="U91" s="60">
        <f t="shared" si="22"/>
        <v>1.4644393969109801</v>
      </c>
      <c r="V91" s="60">
        <f t="shared" si="22"/>
        <v>0.52182641975403776</v>
      </c>
      <c r="W91" s="60">
        <f t="shared" si="22"/>
        <v>0.17749140889100062</v>
      </c>
      <c r="X91" s="60">
        <f t="shared" si="22"/>
        <v>5.7746205886892853E-2</v>
      </c>
      <c r="Y91" s="60"/>
      <c r="AA91" s="60"/>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row>
    <row r="92" spans="1:71">
      <c r="C92" s="57" t="str">
        <f t="shared" si="19"/>
        <v>Single FamilyATTIC R0 - R38_DHP</v>
      </c>
      <c r="E92" s="60">
        <f t="shared" ref="E92:X92" si="23">E26*E$88*$Z$21</f>
        <v>201.07720371117529</v>
      </c>
      <c r="F92" s="60">
        <f t="shared" si="23"/>
        <v>200.62060135676973</v>
      </c>
      <c r="G92" s="60">
        <f t="shared" si="23"/>
        <v>200.16503584645298</v>
      </c>
      <c r="H92" s="60">
        <f t="shared" si="23"/>
        <v>199.71050482577871</v>
      </c>
      <c r="I92" s="60">
        <f t="shared" si="23"/>
        <v>199.25700594564739</v>
      </c>
      <c r="J92" s="60">
        <f t="shared" si="23"/>
        <v>178.92408317606407</v>
      </c>
      <c r="K92" s="60">
        <f t="shared" si="23"/>
        <v>142.81422857083697</v>
      </c>
      <c r="L92" s="60">
        <f t="shared" si="23"/>
        <v>113.99194295277385</v>
      </c>
      <c r="M92" s="60">
        <f t="shared" si="23"/>
        <v>90.986473744128702</v>
      </c>
      <c r="N92" s="60">
        <f t="shared" si="23"/>
        <v>72.623890688667103</v>
      </c>
      <c r="O92" s="60">
        <f t="shared" si="23"/>
        <v>57.967182172501857</v>
      </c>
      <c r="P92" s="60">
        <f t="shared" si="23"/>
        <v>46.268441103285198</v>
      </c>
      <c r="Q92" s="60">
        <f t="shared" si="23"/>
        <v>36.930700473891548</v>
      </c>
      <c r="R92" s="60">
        <f t="shared" si="23"/>
        <v>29.47747114383445</v>
      </c>
      <c r="S92" s="60">
        <f t="shared" si="23"/>
        <v>23.528427402829355</v>
      </c>
      <c r="T92" s="60">
        <f t="shared" si="23"/>
        <v>18.779999591857798</v>
      </c>
      <c r="U92" s="60">
        <f t="shared" si="23"/>
        <v>0.12780312405971664</v>
      </c>
      <c r="V92" s="60">
        <f t="shared" si="23"/>
        <v>4.5540325398331971E-2</v>
      </c>
      <c r="W92" s="60">
        <f t="shared" si="23"/>
        <v>1.5489856799727539E-2</v>
      </c>
      <c r="X92" s="60">
        <f t="shared" si="23"/>
        <v>5.0395704530401464E-3</v>
      </c>
      <c r="Y92" s="60"/>
      <c r="AA92" s="60"/>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row>
    <row r="93" spans="1:71">
      <c r="C93" s="57" t="str">
        <f t="shared" si="19"/>
        <v>Single FamilyATTIC R0 - R49_Electric Zonal</v>
      </c>
      <c r="E93" s="60">
        <f t="shared" ref="E93:X93" si="24">E27*E$88*$Z$21</f>
        <v>1227.650437713163</v>
      </c>
      <c r="F93" s="60">
        <f t="shared" si="24"/>
        <v>1224.8627120540573</v>
      </c>
      <c r="G93" s="60">
        <f t="shared" si="24"/>
        <v>1222.0813167102533</v>
      </c>
      <c r="H93" s="60">
        <f t="shared" si="24"/>
        <v>1219.3062373069888</v>
      </c>
      <c r="I93" s="60">
        <f t="shared" si="24"/>
        <v>1216.5374595021447</v>
      </c>
      <c r="J93" s="60">
        <f t="shared" si="24"/>
        <v>1092.3974720875513</v>
      </c>
      <c r="K93" s="60">
        <f t="shared" si="24"/>
        <v>871.93350106704133</v>
      </c>
      <c r="L93" s="60">
        <f t="shared" si="24"/>
        <v>695.96282462112435</v>
      </c>
      <c r="M93" s="60">
        <f t="shared" si="24"/>
        <v>555.50595620178137</v>
      </c>
      <c r="N93" s="60">
        <f t="shared" si="24"/>
        <v>443.39561893072016</v>
      </c>
      <c r="O93" s="60">
        <f t="shared" si="24"/>
        <v>353.91101155996188</v>
      </c>
      <c r="P93" s="60">
        <f t="shared" si="24"/>
        <v>282.48588564192823</v>
      </c>
      <c r="Q93" s="60">
        <f t="shared" si="24"/>
        <v>225.47553757983218</v>
      </c>
      <c r="R93" s="60">
        <f t="shared" si="24"/>
        <v>179.97082555606613</v>
      </c>
      <c r="S93" s="60">
        <f t="shared" si="24"/>
        <v>143.64972093641916</v>
      </c>
      <c r="T93" s="60">
        <f t="shared" si="24"/>
        <v>114.65881906888636</v>
      </c>
      <c r="U93" s="60">
        <f t="shared" si="24"/>
        <v>0.78028517553081966</v>
      </c>
      <c r="V93" s="60">
        <f t="shared" si="24"/>
        <v>0.27804047090871159</v>
      </c>
      <c r="W93" s="60">
        <f t="shared" si="24"/>
        <v>9.4571284707212516E-2</v>
      </c>
      <c r="X93" s="60">
        <f t="shared" si="24"/>
        <v>3.0768435000954872E-2</v>
      </c>
      <c r="Y93" s="60"/>
      <c r="AA93" s="60"/>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row>
    <row r="94" spans="1:71">
      <c r="C94" s="57" t="str">
        <f t="shared" si="19"/>
        <v>Single FamilyATTIC R0 - R49_DHP</v>
      </c>
      <c r="E94" s="60">
        <f t="shared" ref="E94:X94" si="25">E28*E$88*$Z$21</f>
        <v>107.13830939264072</v>
      </c>
      <c r="F94" s="60">
        <f t="shared" si="25"/>
        <v>106.89502172296547</v>
      </c>
      <c r="G94" s="60">
        <f t="shared" si="25"/>
        <v>106.6522865063815</v>
      </c>
      <c r="H94" s="60">
        <f t="shared" si="25"/>
        <v>106.4101024883886</v>
      </c>
      <c r="I94" s="60">
        <f t="shared" si="25"/>
        <v>106.16846841733539</v>
      </c>
      <c r="J94" s="60">
        <f t="shared" si="25"/>
        <v>95.334644739971324</v>
      </c>
      <c r="K94" s="60">
        <f t="shared" si="25"/>
        <v>76.094528489025677</v>
      </c>
      <c r="L94" s="60">
        <f t="shared" si="25"/>
        <v>60.737387565250813</v>
      </c>
      <c r="M94" s="60">
        <f t="shared" si="25"/>
        <v>48.479572992997973</v>
      </c>
      <c r="N94" s="60">
        <f t="shared" si="25"/>
        <v>38.695589188101003</v>
      </c>
      <c r="O94" s="60">
        <f t="shared" si="25"/>
        <v>30.886175974168427</v>
      </c>
      <c r="P94" s="60">
        <f t="shared" si="25"/>
        <v>24.652832178625744</v>
      </c>
      <c r="Q94" s="60">
        <f t="shared" si="25"/>
        <v>19.677480790622493</v>
      </c>
      <c r="R94" s="60">
        <f t="shared" si="25"/>
        <v>15.706238028141293</v>
      </c>
      <c r="S94" s="60">
        <f t="shared" si="25"/>
        <v>12.536458077204299</v>
      </c>
      <c r="T94" s="60">
        <f t="shared" si="25"/>
        <v>10.006392418089428</v>
      </c>
      <c r="U94" s="60">
        <f t="shared" si="25"/>
        <v>6.8096285377649571E-2</v>
      </c>
      <c r="V94" s="60">
        <f t="shared" si="25"/>
        <v>2.4264876287897467E-2</v>
      </c>
      <c r="W94" s="60">
        <f t="shared" si="25"/>
        <v>8.2533327479562303E-3</v>
      </c>
      <c r="X94" s="60">
        <f t="shared" si="25"/>
        <v>2.6851927938055867E-3</v>
      </c>
      <c r="Y94" s="60"/>
      <c r="AA94" s="60"/>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row>
    <row r="95" spans="1:71">
      <c r="C95" s="57" t="str">
        <f t="shared" si="19"/>
        <v>Single FamilyWALL R0 - R11_Electric FAF</v>
      </c>
      <c r="E95" s="60">
        <f t="shared" ref="E95:X95" si="26">E29*E$88*$Z$21</f>
        <v>1814.6363917932915</v>
      </c>
      <c r="F95" s="60">
        <f t="shared" si="26"/>
        <v>1810.5157494052419</v>
      </c>
      <c r="G95" s="60">
        <f t="shared" si="26"/>
        <v>1806.404464094878</v>
      </c>
      <c r="H95" s="60">
        <f t="shared" si="26"/>
        <v>1802.3025146143241</v>
      </c>
      <c r="I95" s="60">
        <f t="shared" si="26"/>
        <v>1798.2098797639512</v>
      </c>
      <c r="J95" s="60">
        <f t="shared" si="26"/>
        <v>1614.7138845530444</v>
      </c>
      <c r="K95" s="60">
        <f t="shared" si="26"/>
        <v>1288.8377779649961</v>
      </c>
      <c r="L95" s="60">
        <f t="shared" si="26"/>
        <v>1028.7288873901919</v>
      </c>
      <c r="M95" s="60">
        <f t="shared" si="26"/>
        <v>821.11429525446806</v>
      </c>
      <c r="N95" s="60">
        <f t="shared" si="26"/>
        <v>655.39977941293103</v>
      </c>
      <c r="O95" s="60">
        <f t="shared" si="26"/>
        <v>523.12920787890914</v>
      </c>
      <c r="P95" s="60">
        <f t="shared" si="26"/>
        <v>417.55303668418583</v>
      </c>
      <c r="Q95" s="60">
        <f t="shared" si="26"/>
        <v>333.2838920447789</v>
      </c>
      <c r="R95" s="60">
        <f t="shared" si="26"/>
        <v>266.02166177162604</v>
      </c>
      <c r="S95" s="60">
        <f t="shared" si="26"/>
        <v>212.33406780496105</v>
      </c>
      <c r="T95" s="60">
        <f t="shared" si="26"/>
        <v>169.48152285924357</v>
      </c>
      <c r="U95" s="60">
        <f t="shared" si="26"/>
        <v>1.1533689330430319</v>
      </c>
      <c r="V95" s="60">
        <f t="shared" si="26"/>
        <v>0.41098210158434123</v>
      </c>
      <c r="W95" s="60">
        <f t="shared" si="26"/>
        <v>0.13978938106194772</v>
      </c>
      <c r="X95" s="60">
        <f t="shared" si="26"/>
        <v>4.5479983679445814E-2</v>
      </c>
      <c r="Y95" s="60"/>
      <c r="AA95" s="60"/>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row>
    <row r="96" spans="1:71">
      <c r="C96" s="57" t="str">
        <f t="shared" si="19"/>
        <v>Single FamilyATTIC R0 - R38_Heat Pump</v>
      </c>
      <c r="E96" s="60">
        <f t="shared" ref="E96:X96" si="27">E30*E$88*$Z$21</f>
        <v>1657.8249830994325</v>
      </c>
      <c r="F96" s="60">
        <f t="shared" si="27"/>
        <v>1654.0604251261536</v>
      </c>
      <c r="G96" s="60">
        <f t="shared" si="27"/>
        <v>1650.3044156407298</v>
      </c>
      <c r="H96" s="60">
        <f t="shared" si="27"/>
        <v>1646.5569352314155</v>
      </c>
      <c r="I96" s="60">
        <f t="shared" si="27"/>
        <v>1642.8179645305433</v>
      </c>
      <c r="J96" s="60">
        <f t="shared" si="27"/>
        <v>1475.1787357929841</v>
      </c>
      <c r="K96" s="60">
        <f t="shared" si="27"/>
        <v>1177.4631420023463</v>
      </c>
      <c r="L96" s="60">
        <f t="shared" si="27"/>
        <v>939.83150457274292</v>
      </c>
      <c r="M96" s="60">
        <f t="shared" si="27"/>
        <v>750.15788221225364</v>
      </c>
      <c r="N96" s="60">
        <f t="shared" si="27"/>
        <v>598.76355017594278</v>
      </c>
      <c r="O96" s="60">
        <f t="shared" si="27"/>
        <v>477.92311128160316</v>
      </c>
      <c r="P96" s="60">
        <f t="shared" si="27"/>
        <v>381.47028193344539</v>
      </c>
      <c r="Q96" s="60">
        <f t="shared" si="27"/>
        <v>304.4832370800309</v>
      </c>
      <c r="R96" s="60">
        <f t="shared" si="27"/>
        <v>243.03345779084648</v>
      </c>
      <c r="S96" s="60">
        <f t="shared" si="27"/>
        <v>193.98526556734663</v>
      </c>
      <c r="T96" s="60">
        <f t="shared" si="27"/>
        <v>154.83581396277728</v>
      </c>
      <c r="U96" s="60">
        <f t="shared" si="27"/>
        <v>1.0537008078185195</v>
      </c>
      <c r="V96" s="60">
        <f t="shared" si="27"/>
        <v>0.37546717275955632</v>
      </c>
      <c r="W96" s="60">
        <f t="shared" si="27"/>
        <v>0.12770951213398912</v>
      </c>
      <c r="X96" s="60">
        <f t="shared" si="27"/>
        <v>4.1549840792197909E-2</v>
      </c>
      <c r="Y96" s="60"/>
      <c r="AA96" s="60"/>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row>
    <row r="97" spans="3:71">
      <c r="C97" s="57" t="str">
        <f t="shared" si="19"/>
        <v>Single FamilyATTIC R0 - R49_Heat Pump</v>
      </c>
      <c r="E97" s="60">
        <f t="shared" ref="E97:X97" si="28">E31*E$88*$Z$21</f>
        <v>883.32522374481869</v>
      </c>
      <c r="F97" s="60">
        <f t="shared" si="28"/>
        <v>881.31938534333074</v>
      </c>
      <c r="G97" s="60">
        <f t="shared" si="28"/>
        <v>879.31810176217948</v>
      </c>
      <c r="H97" s="60">
        <f t="shared" si="28"/>
        <v>877.3213626583638</v>
      </c>
      <c r="I97" s="60">
        <f t="shared" si="28"/>
        <v>875.32915771236981</v>
      </c>
      <c r="J97" s="60">
        <f t="shared" si="28"/>
        <v>786.00732896530485</v>
      </c>
      <c r="K97" s="60">
        <f t="shared" si="28"/>
        <v>627.37798257569034</v>
      </c>
      <c r="L97" s="60">
        <f t="shared" si="28"/>
        <v>500.76267550695718</v>
      </c>
      <c r="M97" s="60">
        <f t="shared" si="28"/>
        <v>399.70044238942148</v>
      </c>
      <c r="N97" s="60">
        <f t="shared" si="28"/>
        <v>319.03424807881805</v>
      </c>
      <c r="O97" s="60">
        <f t="shared" si="28"/>
        <v>254.6478328589175</v>
      </c>
      <c r="P97" s="60">
        <f t="shared" si="28"/>
        <v>203.25566665721402</v>
      </c>
      <c r="Q97" s="60">
        <f t="shared" si="28"/>
        <v>162.23529399190718</v>
      </c>
      <c r="R97" s="60">
        <f t="shared" si="28"/>
        <v>129.4935144958547</v>
      </c>
      <c r="S97" s="60">
        <f t="shared" si="28"/>
        <v>103.35957043554653</v>
      </c>
      <c r="T97" s="60">
        <f t="shared" si="28"/>
        <v>82.499890764511548</v>
      </c>
      <c r="U97" s="60">
        <f t="shared" si="28"/>
        <v>0.56143471796779243</v>
      </c>
      <c r="V97" s="60">
        <f t="shared" si="28"/>
        <v>0.20005707946722229</v>
      </c>
      <c r="W97" s="60">
        <f t="shared" si="28"/>
        <v>6.8046406906712389E-2</v>
      </c>
      <c r="X97" s="60">
        <f t="shared" si="28"/>
        <v>2.2138659260468221E-2</v>
      </c>
      <c r="Y97" s="60"/>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row>
    <row r="98" spans="3:71">
      <c r="C98" s="57" t="str">
        <f t="shared" si="19"/>
        <v>Single FamilyFLOOR R0 - R30_Electric FAF</v>
      </c>
      <c r="E98" s="60">
        <f t="shared" ref="E98:X98" si="29">E32*E$88*$Z$21</f>
        <v>2252.9033222769744</v>
      </c>
      <c r="F98" s="60">
        <f t="shared" si="29"/>
        <v>2247.7874715379849</v>
      </c>
      <c r="G98" s="60">
        <f t="shared" si="29"/>
        <v>2242.6832377771966</v>
      </c>
      <c r="H98" s="60">
        <f t="shared" si="29"/>
        <v>2237.5905946149924</v>
      </c>
      <c r="I98" s="60">
        <f t="shared" si="29"/>
        <v>2232.5095157316582</v>
      </c>
      <c r="J98" s="60">
        <f t="shared" si="29"/>
        <v>2004.6959773805199</v>
      </c>
      <c r="K98" s="60">
        <f t="shared" si="29"/>
        <v>1600.1150009914329</v>
      </c>
      <c r="L98" s="60">
        <f t="shared" si="29"/>
        <v>1277.1851918131617</v>
      </c>
      <c r="M98" s="60">
        <f t="shared" si="29"/>
        <v>1019.4279868485254</v>
      </c>
      <c r="N98" s="60">
        <f t="shared" si="29"/>
        <v>813.69047106996697</v>
      </c>
      <c r="O98" s="60">
        <f t="shared" si="29"/>
        <v>649.47420637024686</v>
      </c>
      <c r="P98" s="60">
        <f t="shared" si="29"/>
        <v>518.39951398913604</v>
      </c>
      <c r="Q98" s="60">
        <f t="shared" si="29"/>
        <v>413.77787365272582</v>
      </c>
      <c r="R98" s="60">
        <f t="shared" si="29"/>
        <v>330.27061967530932</v>
      </c>
      <c r="S98" s="60">
        <f t="shared" si="29"/>
        <v>263.61651786209353</v>
      </c>
      <c r="T98" s="60">
        <f t="shared" si="29"/>
        <v>210.41432192198931</v>
      </c>
      <c r="U98" s="60">
        <f t="shared" si="29"/>
        <v>1.4319280230547073</v>
      </c>
      <c r="V98" s="60">
        <f t="shared" si="29"/>
        <v>0.51024158131245423</v>
      </c>
      <c r="W98" s="60">
        <f t="shared" si="29"/>
        <v>0.17355100032038726</v>
      </c>
      <c r="X98" s="60">
        <f t="shared" si="29"/>
        <v>5.6464207811499502E-2</v>
      </c>
      <c r="Y98" s="60"/>
      <c r="AA98" s="60"/>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row>
    <row r="99" spans="3:71">
      <c r="C99" s="57" t="str">
        <f t="shared" si="19"/>
        <v>Single FamilyFLOOR R0 - R25_Electric FAF</v>
      </c>
      <c r="E99" s="60">
        <f t="shared" ref="E99:X99" si="30">E33*E$88*$Z$21</f>
        <v>976.19044321857837</v>
      </c>
      <c r="F99" s="60">
        <f t="shared" si="30"/>
        <v>973.9737282131216</v>
      </c>
      <c r="G99" s="60">
        <f t="shared" si="30"/>
        <v>971.76204688265113</v>
      </c>
      <c r="H99" s="60">
        <f t="shared" si="30"/>
        <v>969.55538779679136</v>
      </c>
      <c r="I99" s="60">
        <f t="shared" si="30"/>
        <v>967.35373955112334</v>
      </c>
      <c r="J99" s="60">
        <f t="shared" si="30"/>
        <v>868.64138169041223</v>
      </c>
      <c r="K99" s="60">
        <f t="shared" si="30"/>
        <v>693.33510966632014</v>
      </c>
      <c r="L99" s="60">
        <f t="shared" si="30"/>
        <v>553.40855781072673</v>
      </c>
      <c r="M99" s="60">
        <f t="shared" si="30"/>
        <v>441.72151040431532</v>
      </c>
      <c r="N99" s="60">
        <f t="shared" si="30"/>
        <v>352.57476596630926</v>
      </c>
      <c r="O99" s="60">
        <f t="shared" si="30"/>
        <v>281.41931662421314</v>
      </c>
      <c r="P99" s="60">
        <f t="shared" si="30"/>
        <v>224.62421992164604</v>
      </c>
      <c r="Q99" s="60">
        <f t="shared" si="30"/>
        <v>179.29131795449328</v>
      </c>
      <c r="R99" s="60">
        <f t="shared" si="30"/>
        <v>143.10734926568577</v>
      </c>
      <c r="S99" s="60">
        <f t="shared" si="30"/>
        <v>114.2259070182585</v>
      </c>
      <c r="T99" s="60">
        <f t="shared" si="30"/>
        <v>91.173219971536227</v>
      </c>
      <c r="U99" s="60">
        <f t="shared" si="30"/>
        <v>0.62045913717687096</v>
      </c>
      <c r="V99" s="60">
        <f t="shared" si="30"/>
        <v>0.2210893607749391</v>
      </c>
      <c r="W99" s="60">
        <f t="shared" si="30"/>
        <v>7.5200221087408883E-2</v>
      </c>
      <c r="X99" s="60">
        <f t="shared" si="30"/>
        <v>2.4466127553926673E-2</v>
      </c>
      <c r="Y99" s="60"/>
      <c r="AA99" s="60"/>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row>
    <row r="100" spans="3:71">
      <c r="C100" s="57" t="str">
        <f t="shared" si="19"/>
        <v>Single FamilyFLOOR R0 - R19_Electric FAF</v>
      </c>
      <c r="E100" s="60">
        <f t="shared" ref="E100:X100" si="31">E34*E$88*$Z$21</f>
        <v>1688.3346254873907</v>
      </c>
      <c r="F100" s="60">
        <f t="shared" si="31"/>
        <v>1684.5007867886529</v>
      </c>
      <c r="G100" s="60">
        <f t="shared" si="31"/>
        <v>1680.6756538991463</v>
      </c>
      <c r="H100" s="60">
        <f t="shared" si="31"/>
        <v>1676.8592070498817</v>
      </c>
      <c r="I100" s="60">
        <f t="shared" si="31"/>
        <v>1673.0514265167624</v>
      </c>
      <c r="J100" s="60">
        <f t="shared" si="31"/>
        <v>1502.3270633584309</v>
      </c>
      <c r="K100" s="60">
        <f t="shared" si="31"/>
        <v>1199.132485723015</v>
      </c>
      <c r="L100" s="60">
        <f t="shared" si="31"/>
        <v>957.12761447684363</v>
      </c>
      <c r="M100" s="60">
        <f t="shared" si="31"/>
        <v>763.96334958916282</v>
      </c>
      <c r="N100" s="60">
        <f t="shared" si="31"/>
        <v>609.78284471972438</v>
      </c>
      <c r="O100" s="60">
        <f t="shared" si="31"/>
        <v>486.71852899022122</v>
      </c>
      <c r="P100" s="60">
        <f t="shared" si="31"/>
        <v>388.49063812428045</v>
      </c>
      <c r="Q100" s="60">
        <f t="shared" si="31"/>
        <v>310.08676867784288</v>
      </c>
      <c r="R100" s="60">
        <f t="shared" si="31"/>
        <v>247.50610355327495</v>
      </c>
      <c r="S100" s="60">
        <f t="shared" si="31"/>
        <v>197.55525705699591</v>
      </c>
      <c r="T100" s="60">
        <f t="shared" si="31"/>
        <v>157.68532181855889</v>
      </c>
      <c r="U100" s="60">
        <f t="shared" si="31"/>
        <v>1.0730925018502637</v>
      </c>
      <c r="V100" s="60">
        <f t="shared" si="31"/>
        <v>0.38237705123653226</v>
      </c>
      <c r="W100" s="60">
        <f t="shared" si="31"/>
        <v>0.13005980337972969</v>
      </c>
      <c r="X100" s="60">
        <f t="shared" si="31"/>
        <v>4.2314499786223057E-2</v>
      </c>
      <c r="Y100" s="60"/>
      <c r="AA100" s="60"/>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row>
    <row r="101" spans="3:71">
      <c r="C101" s="57" t="str">
        <f t="shared" si="19"/>
        <v>Single FamilyWALL R0 - R11_Electric Zonal</v>
      </c>
      <c r="E101" s="60">
        <f t="shared" ref="E101:X101" si="32">E35*E$88*$Z$21</f>
        <v>6470.7921596311862</v>
      </c>
      <c r="F101" s="60">
        <f t="shared" si="32"/>
        <v>6456.098405787262</v>
      </c>
      <c r="G101" s="60">
        <f t="shared" si="32"/>
        <v>6441.4380182448213</v>
      </c>
      <c r="H101" s="60">
        <f t="shared" si="32"/>
        <v>6426.8109212362879</v>
      </c>
      <c r="I101" s="60">
        <f t="shared" si="32"/>
        <v>6412.217039166143</v>
      </c>
      <c r="J101" s="60">
        <f t="shared" si="32"/>
        <v>5757.89066694947</v>
      </c>
      <c r="K101" s="60">
        <f t="shared" si="32"/>
        <v>4595.8526051881245</v>
      </c>
      <c r="L101" s="60">
        <f t="shared" si="32"/>
        <v>3668.333143221148</v>
      </c>
      <c r="M101" s="60">
        <f t="shared" si="32"/>
        <v>2928.0025287285989</v>
      </c>
      <c r="N101" s="60">
        <f t="shared" si="32"/>
        <v>2337.0829402677923</v>
      </c>
      <c r="O101" s="60">
        <f t="shared" si="32"/>
        <v>1865.4207488210213</v>
      </c>
      <c r="P101" s="60">
        <f t="shared" si="32"/>
        <v>1488.9478290116867</v>
      </c>
      <c r="Q101" s="60">
        <f t="shared" si="32"/>
        <v>1188.4534032977695</v>
      </c>
      <c r="R101" s="60">
        <f t="shared" si="32"/>
        <v>948.60374842520037</v>
      </c>
      <c r="S101" s="60">
        <f t="shared" si="32"/>
        <v>757.15974141636752</v>
      </c>
      <c r="T101" s="60">
        <f t="shared" si="32"/>
        <v>604.35231778646687</v>
      </c>
      <c r="U101" s="60">
        <f t="shared" si="32"/>
        <v>4.112785725476173</v>
      </c>
      <c r="V101" s="60">
        <f t="shared" si="32"/>
        <v>1.4655166030548985</v>
      </c>
      <c r="W101" s="60">
        <f t="shared" si="32"/>
        <v>0.49847343251032189</v>
      </c>
      <c r="X101" s="60">
        <f t="shared" si="32"/>
        <v>0.16217657881438299</v>
      </c>
      <c r="Y101" s="60"/>
      <c r="AA101" s="60"/>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row>
    <row r="102" spans="3:71">
      <c r="C102" s="57" t="str">
        <f t="shared" si="19"/>
        <v>Single FamilyATTIC R11 - R38_Electric FAF</v>
      </c>
      <c r="E102" s="60">
        <f t="shared" ref="E102:X102" si="33">E36*E$88*$Z$21</f>
        <v>532.46717866791062</v>
      </c>
      <c r="F102" s="60">
        <f t="shared" si="33"/>
        <v>531.25806215476928</v>
      </c>
      <c r="G102" s="60">
        <f t="shared" si="33"/>
        <v>530.05169128079797</v>
      </c>
      <c r="H102" s="60">
        <f t="shared" si="33"/>
        <v>528.8480598112501</v>
      </c>
      <c r="I102" s="60">
        <f t="shared" si="33"/>
        <v>527.64716152553763</v>
      </c>
      <c r="J102" s="60">
        <f t="shared" si="33"/>
        <v>473.80409119547801</v>
      </c>
      <c r="K102" s="60">
        <f t="shared" si="33"/>
        <v>378.1825485795801</v>
      </c>
      <c r="L102" s="60">
        <f t="shared" si="33"/>
        <v>301.85902297567884</v>
      </c>
      <c r="M102" s="60">
        <f t="shared" si="33"/>
        <v>240.93885372042089</v>
      </c>
      <c r="N102" s="60">
        <f t="shared" si="33"/>
        <v>192.31338742121244</v>
      </c>
      <c r="O102" s="60">
        <f t="shared" si="33"/>
        <v>153.50134862157643</v>
      </c>
      <c r="P102" s="60">
        <f t="shared" si="33"/>
        <v>122.52222450346038</v>
      </c>
      <c r="Q102" s="60">
        <f t="shared" si="33"/>
        <v>97.795202661602403</v>
      </c>
      <c r="R102" s="60">
        <f t="shared" si="33"/>
        <v>78.058504915194163</v>
      </c>
      <c r="S102" s="60">
        <f t="shared" si="33"/>
        <v>62.305000897429053</v>
      </c>
      <c r="T102" s="60">
        <f t="shared" si="33"/>
        <v>49.730815893106033</v>
      </c>
      <c r="U102" s="60">
        <f t="shared" si="33"/>
        <v>0.33843204320053011</v>
      </c>
      <c r="V102" s="60">
        <f t="shared" si="33"/>
        <v>0.12059412073035874</v>
      </c>
      <c r="W102" s="60">
        <f t="shared" si="33"/>
        <v>4.1018276542018978E-2</v>
      </c>
      <c r="X102" s="60">
        <f t="shared" si="33"/>
        <v>1.3345152067475835E-2</v>
      </c>
      <c r="Y102" s="60"/>
      <c r="AA102" s="60"/>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row>
    <row r="103" spans="3:71">
      <c r="C103" s="57" t="str">
        <f t="shared" si="19"/>
        <v>Single FamilyWALL R0 - R11_DHP</v>
      </c>
      <c r="E103" s="60">
        <f t="shared" ref="E103:X103" si="34">E37*E$88*$Z$21</f>
        <v>564.71265037419425</v>
      </c>
      <c r="F103" s="60">
        <f t="shared" si="34"/>
        <v>563.43031144683459</v>
      </c>
      <c r="G103" s="60">
        <f t="shared" si="34"/>
        <v>562.15088443073387</v>
      </c>
      <c r="H103" s="60">
        <f t="shared" si="34"/>
        <v>560.87436271357842</v>
      </c>
      <c r="I103" s="60">
        <f t="shared" si="34"/>
        <v>559.60073969806967</v>
      </c>
      <c r="J103" s="60">
        <f t="shared" si="34"/>
        <v>502.49700792170097</v>
      </c>
      <c r="K103" s="60">
        <f t="shared" si="34"/>
        <v>401.08475768952172</v>
      </c>
      <c r="L103" s="60">
        <f t="shared" si="34"/>
        <v>320.13918553705867</v>
      </c>
      <c r="M103" s="60">
        <f t="shared" si="34"/>
        <v>255.5297755684542</v>
      </c>
      <c r="N103" s="60">
        <f t="shared" si="34"/>
        <v>203.95961866563226</v>
      </c>
      <c r="O103" s="60">
        <f t="shared" si="34"/>
        <v>162.79717678179526</v>
      </c>
      <c r="P103" s="60">
        <f t="shared" si="34"/>
        <v>129.94199999741866</v>
      </c>
      <c r="Q103" s="60">
        <f t="shared" si="34"/>
        <v>103.71754410680485</v>
      </c>
      <c r="R103" s="60">
        <f t="shared" si="34"/>
        <v>82.785619397582821</v>
      </c>
      <c r="S103" s="60">
        <f t="shared" si="34"/>
        <v>66.0781050887975</v>
      </c>
      <c r="T103" s="60">
        <f t="shared" si="34"/>
        <v>52.742444930642797</v>
      </c>
      <c r="U103" s="60">
        <f t="shared" si="34"/>
        <v>0.35892701699557911</v>
      </c>
      <c r="V103" s="60">
        <f t="shared" si="34"/>
        <v>0.12789713294170896</v>
      </c>
      <c r="W103" s="60">
        <f t="shared" si="34"/>
        <v>4.3502286315137986E-2</v>
      </c>
      <c r="X103" s="60">
        <f t="shared" si="34"/>
        <v>1.4153315914277421E-2</v>
      </c>
      <c r="Y103" s="60"/>
      <c r="AA103" s="60"/>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row>
    <row r="104" spans="3:71">
      <c r="C104" s="57" t="str">
        <f t="shared" si="19"/>
        <v>Single FamilyWINDOW CL30 Prime Window Replacement of Single Pane Base_Electric FAF</v>
      </c>
      <c r="E104" s="60">
        <f t="shared" ref="E104:X104" si="35">E38*E$88*$Z$21</f>
        <v>759.55145135804548</v>
      </c>
      <c r="F104" s="60">
        <f t="shared" si="35"/>
        <v>757.82667612454679</v>
      </c>
      <c r="G104" s="60">
        <f t="shared" si="35"/>
        <v>756.10581747839808</v>
      </c>
      <c r="H104" s="60">
        <f t="shared" si="35"/>
        <v>754.3888665258861</v>
      </c>
      <c r="I104" s="60">
        <f t="shared" si="35"/>
        <v>752.67581439349328</v>
      </c>
      <c r="J104" s="60">
        <f t="shared" si="35"/>
        <v>675.86998700506649</v>
      </c>
      <c r="K104" s="60">
        <f t="shared" si="35"/>
        <v>539.46818726090214</v>
      </c>
      <c r="L104" s="60">
        <f t="shared" si="35"/>
        <v>430.5945383906834</v>
      </c>
      <c r="M104" s="60">
        <f t="shared" si="35"/>
        <v>343.69340189139905</v>
      </c>
      <c r="N104" s="60">
        <f t="shared" si="35"/>
        <v>274.33035947266569</v>
      </c>
      <c r="O104" s="60">
        <f t="shared" si="35"/>
        <v>218.9659321774873</v>
      </c>
      <c r="P104" s="60">
        <f t="shared" si="35"/>
        <v>174.77496674637399</v>
      </c>
      <c r="Q104" s="60">
        <f t="shared" si="35"/>
        <v>139.50247281589088</v>
      </c>
      <c r="R104" s="60">
        <f t="shared" si="35"/>
        <v>111.34855456725261</v>
      </c>
      <c r="S104" s="60">
        <f t="shared" si="35"/>
        <v>88.87656508124708</v>
      </c>
      <c r="T104" s="60">
        <f t="shared" si="35"/>
        <v>70.939796671273896</v>
      </c>
      <c r="U104" s="60">
        <f t="shared" si="35"/>
        <v>0.48276506026553173</v>
      </c>
      <c r="V104" s="60">
        <f t="shared" si="35"/>
        <v>0.17202457371202384</v>
      </c>
      <c r="W104" s="60">
        <f t="shared" si="35"/>
        <v>5.8511571657127934E-2</v>
      </c>
      <c r="X104" s="60">
        <f t="shared" si="35"/>
        <v>1.9036534133058607E-2</v>
      </c>
      <c r="Y104" s="60"/>
      <c r="AA104" s="60"/>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row>
    <row r="105" spans="3:71">
      <c r="C105" s="57" t="str">
        <f t="shared" si="19"/>
        <v>Single FamilyFLOOR R0 - R30_Electric Zonal</v>
      </c>
      <c r="E105" s="60">
        <f t="shared" ref="E105:X105" si="36">E39*E$88*$Z$21</f>
        <v>8033.6034370997604</v>
      </c>
      <c r="F105" s="60">
        <f t="shared" si="36"/>
        <v>8015.3608806287211</v>
      </c>
      <c r="G105" s="60">
        <f t="shared" si="36"/>
        <v>7997.1597490138111</v>
      </c>
      <c r="H105" s="60">
        <f t="shared" si="36"/>
        <v>7978.9999481882451</v>
      </c>
      <c r="I105" s="60">
        <f t="shared" si="36"/>
        <v>7960.8813842988375</v>
      </c>
      <c r="J105" s="60">
        <f t="shared" si="36"/>
        <v>7148.5235673349734</v>
      </c>
      <c r="K105" s="60">
        <f t="shared" si="36"/>
        <v>5705.8326669462367</v>
      </c>
      <c r="L105" s="60">
        <f t="shared" si="36"/>
        <v>4554.3007750519491</v>
      </c>
      <c r="M105" s="60">
        <f t="shared" si="36"/>
        <v>3635.1671632073512</v>
      </c>
      <c r="N105" s="60">
        <f t="shared" si="36"/>
        <v>2901.5299948673792</v>
      </c>
      <c r="O105" s="60">
        <f t="shared" si="36"/>
        <v>2315.9530038467383</v>
      </c>
      <c r="P105" s="60">
        <f t="shared" si="36"/>
        <v>1848.5551848558043</v>
      </c>
      <c r="Q105" s="60">
        <f t="shared" si="36"/>
        <v>1475.4860162453513</v>
      </c>
      <c r="R105" s="60">
        <f t="shared" si="36"/>
        <v>1177.7084081508751</v>
      </c>
      <c r="S105" s="60">
        <f t="shared" si="36"/>
        <v>940.02727193493911</v>
      </c>
      <c r="T105" s="60">
        <f t="shared" si="36"/>
        <v>750.31414046611781</v>
      </c>
      <c r="U105" s="60">
        <f t="shared" si="36"/>
        <v>5.1060965528096052</v>
      </c>
      <c r="V105" s="60">
        <f t="shared" si="36"/>
        <v>1.8194649015120965</v>
      </c>
      <c r="W105" s="60">
        <f t="shared" si="36"/>
        <v>0.61886362317439714</v>
      </c>
      <c r="X105" s="60">
        <f t="shared" si="36"/>
        <v>0.2013451040984395</v>
      </c>
      <c r="Y105" s="60"/>
      <c r="AA105" s="60"/>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row>
    <row r="106" spans="3:71">
      <c r="C106" s="57" t="str">
        <f t="shared" si="19"/>
        <v>Single FamilyFLOOR R0 - R25_Electric Zonal</v>
      </c>
      <c r="E106" s="60">
        <f t="shared" ref="E106:X106" si="37">E40*E$88*$Z$21</f>
        <v>3480.9868769595455</v>
      </c>
      <c r="F106" s="60">
        <f t="shared" si="37"/>
        <v>3473.0823170475351</v>
      </c>
      <c r="G106" s="60">
        <f t="shared" si="37"/>
        <v>3465.1957066623722</v>
      </c>
      <c r="H106" s="60">
        <f t="shared" si="37"/>
        <v>3457.3270050446067</v>
      </c>
      <c r="I106" s="60">
        <f t="shared" si="37"/>
        <v>3449.4761715273439</v>
      </c>
      <c r="J106" s="60">
        <f t="shared" si="37"/>
        <v>3097.4788489824323</v>
      </c>
      <c r="K106" s="60">
        <f t="shared" si="37"/>
        <v>2472.3561215435543</v>
      </c>
      <c r="L106" s="60">
        <f t="shared" si="37"/>
        <v>1973.3935531930904</v>
      </c>
      <c r="M106" s="60">
        <f t="shared" si="37"/>
        <v>1575.1299264091258</v>
      </c>
      <c r="N106" s="60">
        <f t="shared" si="37"/>
        <v>1257.2425206594648</v>
      </c>
      <c r="O106" s="60">
        <f t="shared" si="37"/>
        <v>1003.5100782813789</v>
      </c>
      <c r="P106" s="60">
        <f t="shared" si="37"/>
        <v>800.98506108755976</v>
      </c>
      <c r="Q106" s="60">
        <f t="shared" si="37"/>
        <v>639.33295935025683</v>
      </c>
      <c r="R106" s="60">
        <f t="shared" si="37"/>
        <v>510.30493921643205</v>
      </c>
      <c r="S106" s="60">
        <f t="shared" si="37"/>
        <v>407.31691864179459</v>
      </c>
      <c r="T106" s="60">
        <f t="shared" si="37"/>
        <v>325.11359279922885</v>
      </c>
      <c r="U106" s="60">
        <f t="shared" si="37"/>
        <v>2.2124884843998913</v>
      </c>
      <c r="V106" s="60">
        <f t="shared" si="37"/>
        <v>0.78838014532848166</v>
      </c>
      <c r="W106" s="60">
        <f t="shared" si="37"/>
        <v>0.26815564992282337</v>
      </c>
      <c r="X106" s="60">
        <f t="shared" si="37"/>
        <v>8.7243497963816433E-2</v>
      </c>
      <c r="Y106" s="60"/>
      <c r="AA106" s="60"/>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row>
    <row r="107" spans="3:71">
      <c r="C107" s="57" t="str">
        <f t="shared" si="19"/>
        <v>Single FamilyFLOOR R0 - R30_DHP</v>
      </c>
      <c r="E107" s="60">
        <f t="shared" ref="E107:X107" si="38">E41*E$88*$Z$21</f>
        <v>701.10078906914214</v>
      </c>
      <c r="F107" s="60">
        <f t="shared" si="38"/>
        <v>699.50874250664674</v>
      </c>
      <c r="G107" s="60">
        <f t="shared" si="38"/>
        <v>697.92031113371729</v>
      </c>
      <c r="H107" s="60">
        <f t="shared" si="38"/>
        <v>696.3354867410485</v>
      </c>
      <c r="I107" s="60">
        <f t="shared" si="38"/>
        <v>694.75426113797732</v>
      </c>
      <c r="J107" s="60">
        <f t="shared" si="38"/>
        <v>623.85896353719556</v>
      </c>
      <c r="K107" s="60">
        <f t="shared" si="38"/>
        <v>497.95385301426813</v>
      </c>
      <c r="L107" s="60">
        <f t="shared" si="38"/>
        <v>397.45848697254729</v>
      </c>
      <c r="M107" s="60">
        <f t="shared" si="38"/>
        <v>317.24475653767075</v>
      </c>
      <c r="N107" s="60">
        <f t="shared" si="38"/>
        <v>253.21949046114486</v>
      </c>
      <c r="O107" s="60">
        <f t="shared" si="38"/>
        <v>202.11558750156351</v>
      </c>
      <c r="P107" s="60">
        <f t="shared" si="38"/>
        <v>161.32530176373012</v>
      </c>
      <c r="Q107" s="60">
        <f t="shared" si="38"/>
        <v>128.76717382798228</v>
      </c>
      <c r="R107" s="60">
        <f t="shared" si="38"/>
        <v>102.77981738989445</v>
      </c>
      <c r="S107" s="60">
        <f t="shared" si="38"/>
        <v>82.037141521890476</v>
      </c>
      <c r="T107" s="60">
        <f t="shared" si="38"/>
        <v>65.480682491895564</v>
      </c>
      <c r="U107" s="60">
        <f t="shared" si="38"/>
        <v>0.44561426889779721</v>
      </c>
      <c r="V107" s="60">
        <f t="shared" si="38"/>
        <v>0.15878656298153782</v>
      </c>
      <c r="W107" s="60">
        <f t="shared" si="38"/>
        <v>5.4008861394631742E-2</v>
      </c>
      <c r="X107" s="60">
        <f t="shared" si="38"/>
        <v>1.7571593179061165E-2</v>
      </c>
      <c r="Y107" s="60"/>
      <c r="AA107" s="60"/>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row>
    <row r="108" spans="3:71">
      <c r="C108" s="57" t="str">
        <f t="shared" si="19"/>
        <v>Single FamilyATTIC R11 - R49_Electric FAF</v>
      </c>
      <c r="E108" s="60">
        <f t="shared" ref="E108:X108" si="39">E42*E$88*$Z$21</f>
        <v>417.85167601400298</v>
      </c>
      <c r="F108" s="60">
        <f t="shared" si="39"/>
        <v>416.90282624118464</v>
      </c>
      <c r="G108" s="60">
        <f t="shared" si="39"/>
        <v>415.95613109868873</v>
      </c>
      <c r="H108" s="60">
        <f t="shared" si="39"/>
        <v>415.0115856938209</v>
      </c>
      <c r="I108" s="60">
        <f t="shared" si="39"/>
        <v>414.06918514499705</v>
      </c>
      <c r="J108" s="60">
        <f t="shared" si="39"/>
        <v>371.81603212354651</v>
      </c>
      <c r="K108" s="60">
        <f t="shared" si="39"/>
        <v>296.77737538407285</v>
      </c>
      <c r="L108" s="60">
        <f t="shared" si="39"/>
        <v>236.88276709540276</v>
      </c>
      <c r="M108" s="60">
        <f t="shared" si="39"/>
        <v>189.07588650973116</v>
      </c>
      <c r="N108" s="60">
        <f t="shared" si="39"/>
        <v>150.91722921761894</v>
      </c>
      <c r="O108" s="60">
        <f t="shared" si="39"/>
        <v>120.4596233563137</v>
      </c>
      <c r="P108" s="60">
        <f t="shared" si="39"/>
        <v>96.148868716779432</v>
      </c>
      <c r="Q108" s="60">
        <f t="shared" si="39"/>
        <v>76.74442853080653</v>
      </c>
      <c r="R108" s="60">
        <f t="shared" si="39"/>
        <v>61.256126973985189</v>
      </c>
      <c r="S108" s="60">
        <f t="shared" si="39"/>
        <v>48.893622164985587</v>
      </c>
      <c r="T108" s="60">
        <f t="shared" si="39"/>
        <v>39.026076353596849</v>
      </c>
      <c r="U108" s="60">
        <f t="shared" si="39"/>
        <v>0.26558331129810808</v>
      </c>
      <c r="V108" s="60">
        <f t="shared" si="39"/>
        <v>9.4635796314579954E-2</v>
      </c>
      <c r="W108" s="60">
        <f t="shared" si="39"/>
        <v>3.2188942881262742E-2</v>
      </c>
      <c r="X108" s="60">
        <f t="shared" si="39"/>
        <v>1.0472559401702282E-2</v>
      </c>
      <c r="Y108" s="60"/>
      <c r="AA108" s="60"/>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row>
    <row r="109" spans="3:71">
      <c r="C109" s="57" t="str">
        <f t="shared" si="19"/>
        <v>Single FamilyFLOOR R0 - R25_DHP</v>
      </c>
      <c r="E109" s="60">
        <f t="shared" ref="E109:X109" si="40">E43*E$88*$Z$21</f>
        <v>303.78928525462885</v>
      </c>
      <c r="F109" s="60">
        <f t="shared" si="40"/>
        <v>303.09944622598556</v>
      </c>
      <c r="G109" s="60">
        <f t="shared" si="40"/>
        <v>302.41117367090965</v>
      </c>
      <c r="H109" s="60">
        <f t="shared" si="40"/>
        <v>301.72446403228247</v>
      </c>
      <c r="I109" s="60">
        <f t="shared" si="40"/>
        <v>301.03931376106243</v>
      </c>
      <c r="J109" s="60">
        <f t="shared" si="40"/>
        <v>270.32014738464039</v>
      </c>
      <c r="K109" s="60">
        <f t="shared" si="40"/>
        <v>215.76504755876772</v>
      </c>
      <c r="L109" s="60">
        <f t="shared" si="40"/>
        <v>172.22007385855144</v>
      </c>
      <c r="M109" s="60">
        <f t="shared" si="40"/>
        <v>137.46319978803112</v>
      </c>
      <c r="N109" s="60">
        <f t="shared" si="40"/>
        <v>109.72084073941353</v>
      </c>
      <c r="O109" s="60">
        <f t="shared" si="40"/>
        <v>87.577350964675773</v>
      </c>
      <c r="P109" s="60">
        <f t="shared" si="40"/>
        <v>69.902785562915199</v>
      </c>
      <c r="Q109" s="60">
        <f t="shared" si="40"/>
        <v>55.795241299612172</v>
      </c>
      <c r="R109" s="60">
        <f t="shared" si="40"/>
        <v>44.534834007151687</v>
      </c>
      <c r="S109" s="60">
        <f t="shared" si="40"/>
        <v>35.546964111047586</v>
      </c>
      <c r="T109" s="60">
        <f t="shared" si="40"/>
        <v>28.372995783686775</v>
      </c>
      <c r="U109" s="60">
        <f t="shared" si="40"/>
        <v>0.19308613306149824</v>
      </c>
      <c r="V109" s="60">
        <f t="shared" si="40"/>
        <v>6.880274167177311E-2</v>
      </c>
      <c r="W109" s="60">
        <f t="shared" si="40"/>
        <v>2.3402217849841003E-2</v>
      </c>
      <c r="X109" s="60">
        <f t="shared" si="40"/>
        <v>7.6138293036861326E-3</v>
      </c>
      <c r="Y109" s="60"/>
      <c r="AA109" s="60"/>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row>
    <row r="110" spans="3:71">
      <c r="C110" s="57" t="str">
        <f t="shared" si="19"/>
        <v>Single FamilyFLOOR R0 - R19_Electric Zonal</v>
      </c>
      <c r="E110" s="60">
        <f t="shared" ref="E110:X110" si="41">E44*E$88*$Z$21</f>
        <v>6020.4140657849939</v>
      </c>
      <c r="F110" s="60">
        <f t="shared" si="41"/>
        <v>6006.7430220953174</v>
      </c>
      <c r="G110" s="60">
        <f t="shared" si="41"/>
        <v>5993.1030223560283</v>
      </c>
      <c r="H110" s="60">
        <f t="shared" si="41"/>
        <v>5979.4939960731008</v>
      </c>
      <c r="I110" s="60">
        <f t="shared" si="41"/>
        <v>5965.9158729125957</v>
      </c>
      <c r="J110" s="60">
        <f t="shared" si="41"/>
        <v>5357.1317244302472</v>
      </c>
      <c r="K110" s="60">
        <f t="shared" si="41"/>
        <v>4275.9734799033067</v>
      </c>
      <c r="L110" s="60">
        <f t="shared" si="41"/>
        <v>3413.0109434225205</v>
      </c>
      <c r="M110" s="60">
        <f t="shared" si="41"/>
        <v>2724.208593591487</v>
      </c>
      <c r="N110" s="60">
        <f t="shared" si="41"/>
        <v>2174.4180093239661</v>
      </c>
      <c r="O110" s="60">
        <f t="shared" si="41"/>
        <v>1735.5843052528771</v>
      </c>
      <c r="P110" s="60">
        <f t="shared" si="41"/>
        <v>1385.3145382918487</v>
      </c>
      <c r="Q110" s="60">
        <f t="shared" si="41"/>
        <v>1105.7350335529475</v>
      </c>
      <c r="R110" s="60">
        <f t="shared" si="41"/>
        <v>882.57932089120834</v>
      </c>
      <c r="S110" s="60">
        <f t="shared" si="41"/>
        <v>704.46014101757885</v>
      </c>
      <c r="T110" s="60">
        <f t="shared" si="41"/>
        <v>562.28837288119416</v>
      </c>
      <c r="U110" s="60">
        <f t="shared" si="41"/>
        <v>3.8265288731863354</v>
      </c>
      <c r="V110" s="60">
        <f t="shared" si="41"/>
        <v>1.363514165346958</v>
      </c>
      <c r="W110" s="60">
        <f t="shared" si="41"/>
        <v>0.46377883734660352</v>
      </c>
      <c r="X110" s="60">
        <f t="shared" si="41"/>
        <v>0.15088881425155373</v>
      </c>
      <c r="Y110" s="60"/>
      <c r="AA110" s="60"/>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row>
    <row r="111" spans="3:71">
      <c r="C111" s="57" t="str">
        <f t="shared" si="19"/>
        <v>Single FamilyWINDOW CL22 Prime Window Replacement of Single Pane Base_Electric FAF</v>
      </c>
      <c r="E111" s="60">
        <f t="shared" ref="E111:X111" si="42">E45*E$88*$Z$21</f>
        <v>189.88786283951137</v>
      </c>
      <c r="F111" s="60">
        <f t="shared" si="42"/>
        <v>189.4566690311367</v>
      </c>
      <c r="G111" s="60">
        <f t="shared" si="42"/>
        <v>189.02645436959952</v>
      </c>
      <c r="H111" s="60">
        <f t="shared" si="42"/>
        <v>188.59721663147153</v>
      </c>
      <c r="I111" s="60">
        <f t="shared" si="42"/>
        <v>188.16895359837332</v>
      </c>
      <c r="J111" s="60">
        <f t="shared" si="42"/>
        <v>168.96749675126662</v>
      </c>
      <c r="K111" s="60">
        <f t="shared" si="42"/>
        <v>134.86704681522554</v>
      </c>
      <c r="L111" s="60">
        <f t="shared" si="42"/>
        <v>107.64863459767085</v>
      </c>
      <c r="M111" s="60">
        <f t="shared" si="42"/>
        <v>85.923350472849762</v>
      </c>
      <c r="N111" s="60">
        <f t="shared" si="42"/>
        <v>68.582589868166423</v>
      </c>
      <c r="O111" s="60">
        <f t="shared" si="42"/>
        <v>54.741483044371826</v>
      </c>
      <c r="P111" s="60">
        <f t="shared" si="42"/>
        <v>43.693741686593498</v>
      </c>
      <c r="Q111" s="60">
        <f t="shared" si="42"/>
        <v>34.875618203972721</v>
      </c>
      <c r="R111" s="60">
        <f t="shared" si="42"/>
        <v>27.837138641813151</v>
      </c>
      <c r="S111" s="60">
        <f t="shared" si="42"/>
        <v>22.21914127031177</v>
      </c>
      <c r="T111" s="60">
        <f t="shared" si="42"/>
        <v>17.734949167818474</v>
      </c>
      <c r="U111" s="60">
        <f t="shared" si="42"/>
        <v>0.12069126506638293</v>
      </c>
      <c r="V111" s="60">
        <f t="shared" si="42"/>
        <v>4.3006143428005961E-2</v>
      </c>
      <c r="W111" s="60">
        <f t="shared" si="42"/>
        <v>1.4627892914281983E-2</v>
      </c>
      <c r="X111" s="60">
        <f t="shared" si="42"/>
        <v>4.7591335332646516E-3</v>
      </c>
      <c r="Y111" s="60"/>
      <c r="AA111" s="60"/>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row>
    <row r="112" spans="3:71">
      <c r="C112" s="57" t="str">
        <f t="shared" si="19"/>
        <v>Single FamilyFLOOR R0 - R19_DHP</v>
      </c>
      <c r="E112" s="60">
        <f t="shared" ref="E112:X112" si="43">E46*E$88*$Z$21</f>
        <v>525.40769345824594</v>
      </c>
      <c r="F112" s="60">
        <f t="shared" si="43"/>
        <v>524.21460749211917</v>
      </c>
      <c r="G112" s="60">
        <f t="shared" si="43"/>
        <v>523.0242307632958</v>
      </c>
      <c r="H112" s="60">
        <f t="shared" si="43"/>
        <v>521.83655711969016</v>
      </c>
      <c r="I112" s="60">
        <f t="shared" si="43"/>
        <v>520.6515804231874</v>
      </c>
      <c r="J112" s="60">
        <f t="shared" si="43"/>
        <v>467.52236509464888</v>
      </c>
      <c r="K112" s="60">
        <f t="shared" si="43"/>
        <v>373.16857923985503</v>
      </c>
      <c r="L112" s="60">
        <f t="shared" si="43"/>
        <v>297.85695600615833</v>
      </c>
      <c r="M112" s="60">
        <f t="shared" si="43"/>
        <v>237.74447039987885</v>
      </c>
      <c r="N112" s="60">
        <f t="shared" si="43"/>
        <v>189.76368376151083</v>
      </c>
      <c r="O112" s="60">
        <f t="shared" si="43"/>
        <v>151.46621754933165</v>
      </c>
      <c r="P112" s="60">
        <f t="shared" si="43"/>
        <v>120.897816715733</v>
      </c>
      <c r="Q112" s="60">
        <f t="shared" si="43"/>
        <v>96.498627371285195</v>
      </c>
      <c r="R112" s="60">
        <f t="shared" si="43"/>
        <v>77.023600074080903</v>
      </c>
      <c r="S112" s="60">
        <f t="shared" si="43"/>
        <v>61.4789570585883</v>
      </c>
      <c r="T112" s="60">
        <f t="shared" si="43"/>
        <v>49.0714814339564</v>
      </c>
      <c r="U112" s="60">
        <f t="shared" si="43"/>
        <v>0.33394508870048423</v>
      </c>
      <c r="V112" s="60">
        <f t="shared" si="43"/>
        <v>0.11899527587047783</v>
      </c>
      <c r="W112" s="60">
        <f t="shared" si="43"/>
        <v>4.0474453508083374E-2</v>
      </c>
      <c r="X112" s="60">
        <f t="shared" si="43"/>
        <v>1.3168221155270582E-2</v>
      </c>
      <c r="Y112" s="60"/>
      <c r="AA112" s="60"/>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row>
    <row r="113" spans="3:71">
      <c r="C113" s="57" t="str">
        <f t="shared" si="19"/>
        <v>Single FamilyWALL R0 - R11_Heat Pump</v>
      </c>
      <c r="E113" s="60">
        <f t="shared" ref="E113:X113" si="44">E47*E$88*$Z$21</f>
        <v>4655.8969529304395</v>
      </c>
      <c r="F113" s="60">
        <f t="shared" si="44"/>
        <v>4645.3244291866176</v>
      </c>
      <c r="G113" s="60">
        <f t="shared" si="44"/>
        <v>4634.7759133320278</v>
      </c>
      <c r="H113" s="60">
        <f t="shared" si="44"/>
        <v>4624.2513508500015</v>
      </c>
      <c r="I113" s="60">
        <f t="shared" si="44"/>
        <v>4613.7506873476696</v>
      </c>
      <c r="J113" s="60">
        <f t="shared" si="44"/>
        <v>4142.9464817001071</v>
      </c>
      <c r="K113" s="60">
        <f t="shared" si="44"/>
        <v>3306.8310050360847</v>
      </c>
      <c r="L113" s="60">
        <f t="shared" si="44"/>
        <v>2639.4575320173089</v>
      </c>
      <c r="M113" s="60">
        <f t="shared" si="44"/>
        <v>2106.771120965368</v>
      </c>
      <c r="N113" s="60">
        <f t="shared" si="44"/>
        <v>1681.5896835973667</v>
      </c>
      <c r="O113" s="60">
        <f t="shared" si="44"/>
        <v>1342.2169289492431</v>
      </c>
      <c r="P113" s="60">
        <f t="shared" si="44"/>
        <v>1071.3352382752209</v>
      </c>
      <c r="Q113" s="60">
        <f t="shared" si="44"/>
        <v>855.12197619854896</v>
      </c>
      <c r="R113" s="60">
        <f t="shared" si="44"/>
        <v>682.5441449633912</v>
      </c>
      <c r="S113" s="60">
        <f t="shared" si="44"/>
        <v>544.79538918508433</v>
      </c>
      <c r="T113" s="60">
        <f t="shared" si="44"/>
        <v>434.84662240161293</v>
      </c>
      <c r="U113" s="60">
        <f t="shared" si="44"/>
        <v>2.959252291668681</v>
      </c>
      <c r="V113" s="60">
        <f t="shared" si="44"/>
        <v>1.0544758846065576</v>
      </c>
      <c r="W113" s="60">
        <f t="shared" si="44"/>
        <v>0.35866411380362817</v>
      </c>
      <c r="X113" s="60">
        <f t="shared" si="44"/>
        <v>0.11669010849231264</v>
      </c>
      <c r="Y113" s="60"/>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row>
    <row r="114" spans="3:71">
      <c r="C114" s="57" t="str">
        <f t="shared" si="19"/>
        <v>Single FamilyCFM50 Infiltration Reduction_Electric FAF</v>
      </c>
      <c r="E114" s="60">
        <f t="shared" ref="E114:X114" si="45">E48*E$88*$Z$21</f>
        <v>7477.5060392526429</v>
      </c>
      <c r="F114" s="60">
        <f t="shared" si="45"/>
        <v>7460.5262583546155</v>
      </c>
      <c r="G114" s="60">
        <f t="shared" si="45"/>
        <v>7443.5850348255572</v>
      </c>
      <c r="H114" s="60">
        <f t="shared" si="45"/>
        <v>7426.6822811101183</v>
      </c>
      <c r="I114" s="60">
        <f t="shared" si="45"/>
        <v>7409.8179098517649</v>
      </c>
      <c r="J114" s="60">
        <f t="shared" si="45"/>
        <v>6653.6926505031015</v>
      </c>
      <c r="K114" s="60">
        <f t="shared" si="45"/>
        <v>5310.8668557155324</v>
      </c>
      <c r="L114" s="60">
        <f t="shared" si="45"/>
        <v>4239.0456308505809</v>
      </c>
      <c r="M114" s="60">
        <f t="shared" si="45"/>
        <v>3383.5357482356558</v>
      </c>
      <c r="N114" s="60">
        <f t="shared" si="45"/>
        <v>2700.6819828196731</v>
      </c>
      <c r="O114" s="60">
        <f t="shared" si="45"/>
        <v>2155.6394597367826</v>
      </c>
      <c r="P114" s="60">
        <f t="shared" si="45"/>
        <v>1720.5955791665519</v>
      </c>
      <c r="Q114" s="60">
        <f t="shared" si="45"/>
        <v>1373.3507863179368</v>
      </c>
      <c r="R114" s="60">
        <f t="shared" si="45"/>
        <v>1096.1857656252434</v>
      </c>
      <c r="S114" s="60">
        <f t="shared" si="45"/>
        <v>874.95725398828995</v>
      </c>
      <c r="T114" s="60">
        <f t="shared" si="45"/>
        <v>698.37633393284739</v>
      </c>
      <c r="U114" s="60">
        <f t="shared" si="45"/>
        <v>4.7526453240545745</v>
      </c>
      <c r="V114" s="60">
        <f t="shared" si="45"/>
        <v>1.6935189664000305</v>
      </c>
      <c r="W114" s="60">
        <f t="shared" si="45"/>
        <v>0.57602500745679552</v>
      </c>
      <c r="X114" s="60">
        <f t="shared" si="45"/>
        <v>0.18740771107984405</v>
      </c>
      <c r="Y114" s="60"/>
      <c r="AA114" s="60"/>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row>
    <row r="115" spans="3:71">
      <c r="C115" s="57" t="str">
        <f t="shared" si="19"/>
        <v>Single FamilyATTIC R11 - R38_Electric Zonal</v>
      </c>
      <c r="E115" s="60">
        <f t="shared" ref="E115:X115" si="46">E49*E$88*$Z$21</f>
        <v>1898.7189172263302</v>
      </c>
      <c r="F115" s="60">
        <f t="shared" si="46"/>
        <v>1894.4073418117191</v>
      </c>
      <c r="G115" s="60">
        <f t="shared" si="46"/>
        <v>1890.1055570419408</v>
      </c>
      <c r="H115" s="60">
        <f t="shared" si="46"/>
        <v>1885.813540684582</v>
      </c>
      <c r="I115" s="60">
        <f t="shared" si="46"/>
        <v>1881.5312705577153</v>
      </c>
      <c r="J115" s="60">
        <f t="shared" si="46"/>
        <v>1689.5328520768028</v>
      </c>
      <c r="K115" s="60">
        <f t="shared" si="46"/>
        <v>1348.5570339740243</v>
      </c>
      <c r="L115" s="60">
        <f t="shared" si="46"/>
        <v>1076.3958047014924</v>
      </c>
      <c r="M115" s="60">
        <f t="shared" si="46"/>
        <v>859.16123618787242</v>
      </c>
      <c r="N115" s="60">
        <f t="shared" si="46"/>
        <v>685.76821513400478</v>
      </c>
      <c r="O115" s="60">
        <f t="shared" si="46"/>
        <v>547.36878839496785</v>
      </c>
      <c r="P115" s="60">
        <f t="shared" si="46"/>
        <v>436.90066686807336</v>
      </c>
      <c r="Q115" s="60">
        <f t="shared" si="46"/>
        <v>348.72684880240439</v>
      </c>
      <c r="R115" s="60">
        <f t="shared" si="46"/>
        <v>278.34797311576659</v>
      </c>
      <c r="S115" s="60">
        <f t="shared" si="46"/>
        <v>222.17272459441719</v>
      </c>
      <c r="T115" s="60">
        <f t="shared" si="46"/>
        <v>177.33457514051062</v>
      </c>
      <c r="U115" s="60">
        <f t="shared" si="46"/>
        <v>1.2068111394733956</v>
      </c>
      <c r="V115" s="60">
        <f t="shared" si="46"/>
        <v>0.43002526260837381</v>
      </c>
      <c r="W115" s="60">
        <f t="shared" si="46"/>
        <v>0.14626662589268449</v>
      </c>
      <c r="X115" s="60">
        <f t="shared" si="46"/>
        <v>4.7587332513468764E-2</v>
      </c>
      <c r="Y115" s="60"/>
      <c r="AA115" s="60"/>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row>
    <row r="116" spans="3:71">
      <c r="C116" s="57" t="str">
        <f t="shared" si="19"/>
        <v>Single FamilyATTIC R11 - R38_DHP</v>
      </c>
      <c r="E116" s="60">
        <f t="shared" ref="E116:X116" si="47">E50*E$88*$Z$21</f>
        <v>165.70314199731845</v>
      </c>
      <c r="F116" s="60">
        <f t="shared" si="47"/>
        <v>165.32686640082144</v>
      </c>
      <c r="G116" s="60">
        <f t="shared" si="47"/>
        <v>164.95144524391335</v>
      </c>
      <c r="H116" s="60">
        <f t="shared" si="47"/>
        <v>164.57687658634859</v>
      </c>
      <c r="I116" s="60">
        <f t="shared" si="47"/>
        <v>164.20315849228771</v>
      </c>
      <c r="J116" s="60">
        <f t="shared" si="47"/>
        <v>147.44726012725826</v>
      </c>
      <c r="K116" s="60">
        <f t="shared" si="47"/>
        <v>117.68995171676777</v>
      </c>
      <c r="L116" s="60">
        <f t="shared" si="47"/>
        <v>93.938162859999665</v>
      </c>
      <c r="M116" s="60">
        <f t="shared" si="47"/>
        <v>74.979879869001408</v>
      </c>
      <c r="N116" s="60">
        <f t="shared" si="47"/>
        <v>59.847693567826965</v>
      </c>
      <c r="O116" s="60">
        <f t="shared" si="47"/>
        <v>47.769434035453834</v>
      </c>
      <c r="P116" s="60">
        <f t="shared" si="47"/>
        <v>38.128768078278853</v>
      </c>
      <c r="Q116" s="60">
        <f t="shared" si="47"/>
        <v>30.433748787732824</v>
      </c>
      <c r="R116" s="60">
        <f t="shared" si="47"/>
        <v>24.291712320033575</v>
      </c>
      <c r="S116" s="60">
        <f t="shared" si="47"/>
        <v>19.389240923126838</v>
      </c>
      <c r="T116" s="60">
        <f t="shared" si="47"/>
        <v>15.476169757906003</v>
      </c>
      <c r="U116" s="60">
        <f t="shared" si="47"/>
        <v>0.10531964251993005</v>
      </c>
      <c r="V116" s="60">
        <f t="shared" si="47"/>
        <v>3.7528744516077114E-2</v>
      </c>
      <c r="W116" s="60">
        <f t="shared" si="47"/>
        <v>1.2764838049419972E-2</v>
      </c>
      <c r="X116" s="60">
        <f t="shared" si="47"/>
        <v>4.152995182810924E-3</v>
      </c>
      <c r="Y116" s="60"/>
      <c r="AA116" s="60"/>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row>
    <row r="117" spans="3:71">
      <c r="C117" s="57" t="str">
        <f t="shared" si="19"/>
        <v>Single FamilyCFM50 Infiltration Reduction_Electric Zonal</v>
      </c>
      <c r="E117" s="60">
        <f t="shared" ref="E117:X117" si="48">E51*E$88*$Z$21</f>
        <v>26663.957402824162</v>
      </c>
      <c r="F117" s="60">
        <f t="shared" si="48"/>
        <v>26603.409386921838</v>
      </c>
      <c r="G117" s="60">
        <f t="shared" si="48"/>
        <v>26542.998862321892</v>
      </c>
      <c r="H117" s="60">
        <f t="shared" si="48"/>
        <v>26482.725516811635</v>
      </c>
      <c r="I117" s="60">
        <f t="shared" si="48"/>
        <v>26422.58903888737</v>
      </c>
      <c r="J117" s="60">
        <f t="shared" si="48"/>
        <v>23726.330205977454</v>
      </c>
      <c r="K117" s="60">
        <f t="shared" si="48"/>
        <v>18937.962319188315</v>
      </c>
      <c r="L117" s="60">
        <f t="shared" si="48"/>
        <v>15115.966678767769</v>
      </c>
      <c r="M117" s="60">
        <f t="shared" si="48"/>
        <v>12065.313299419997</v>
      </c>
      <c r="N117" s="60">
        <f t="shared" si="48"/>
        <v>9630.3324892634555</v>
      </c>
      <c r="O117" s="60">
        <f t="shared" si="48"/>
        <v>7686.771288253377</v>
      </c>
      <c r="P117" s="60">
        <f t="shared" si="48"/>
        <v>6135.4530493926395</v>
      </c>
      <c r="Q117" s="60">
        <f t="shared" si="48"/>
        <v>4897.216621864005</v>
      </c>
      <c r="R117" s="60">
        <f t="shared" si="48"/>
        <v>3908.87689114257</v>
      </c>
      <c r="S117" s="60">
        <f t="shared" si="48"/>
        <v>3120.0005492697019</v>
      </c>
      <c r="T117" s="60">
        <f t="shared" si="48"/>
        <v>2490.3325682886516</v>
      </c>
      <c r="U117" s="60">
        <f t="shared" si="48"/>
        <v>16.947406234925396</v>
      </c>
      <c r="V117" s="60">
        <f t="shared" si="48"/>
        <v>6.0389008506208324</v>
      </c>
      <c r="W117" s="60">
        <f t="shared" si="48"/>
        <v>2.0540413048365207</v>
      </c>
      <c r="X117" s="60">
        <f t="shared" si="48"/>
        <v>0.66827511725997579</v>
      </c>
      <c r="Y117" s="60"/>
      <c r="AA117" s="60"/>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row>
    <row r="118" spans="3:71">
      <c r="C118" s="57" t="str">
        <f t="shared" si="19"/>
        <v>Single FamilyCFM50 Infiltration Reduction_DHP</v>
      </c>
      <c r="E118" s="60">
        <f t="shared" ref="E118:X118" si="49">E52*E$88*$Z$21</f>
        <v>2326.9908355813541</v>
      </c>
      <c r="F118" s="60">
        <f t="shared" si="49"/>
        <v>2321.7067483024566</v>
      </c>
      <c r="G118" s="60">
        <f t="shared" si="49"/>
        <v>2316.4346600301483</v>
      </c>
      <c r="H118" s="60">
        <f t="shared" si="49"/>
        <v>2311.1745435173116</v>
      </c>
      <c r="I118" s="60">
        <f t="shared" si="49"/>
        <v>2305.9263715786969</v>
      </c>
      <c r="J118" s="60">
        <f t="shared" si="49"/>
        <v>2070.6211053817105</v>
      </c>
      <c r="K118" s="60">
        <f t="shared" si="49"/>
        <v>1652.7353421539981</v>
      </c>
      <c r="L118" s="60">
        <f t="shared" si="49"/>
        <v>1319.185873313769</v>
      </c>
      <c r="M118" s="60">
        <f t="shared" si="49"/>
        <v>1052.9522325592397</v>
      </c>
      <c r="N118" s="60">
        <f t="shared" si="49"/>
        <v>840.44896665428473</v>
      </c>
      <c r="O118" s="60">
        <f t="shared" si="49"/>
        <v>670.83239268455134</v>
      </c>
      <c r="P118" s="60">
        <f t="shared" si="49"/>
        <v>535.44726322448128</v>
      </c>
      <c r="Q118" s="60">
        <f t="shared" si="49"/>
        <v>427.3851036728409</v>
      </c>
      <c r="R118" s="60">
        <f t="shared" si="49"/>
        <v>341.13168445660233</v>
      </c>
      <c r="S118" s="60">
        <f t="shared" si="49"/>
        <v>272.28563920486943</v>
      </c>
      <c r="T118" s="60">
        <f t="shared" si="49"/>
        <v>217.33387045329155</v>
      </c>
      <c r="U118" s="60">
        <f t="shared" si="49"/>
        <v>1.4790174766544113</v>
      </c>
      <c r="V118" s="60">
        <f t="shared" si="49"/>
        <v>0.52702105407994426</v>
      </c>
      <c r="W118" s="60">
        <f t="shared" si="49"/>
        <v>0.17925828563444582</v>
      </c>
      <c r="X118" s="60">
        <f t="shared" si="49"/>
        <v>5.8321053023671229E-2</v>
      </c>
      <c r="Y118" s="60"/>
      <c r="AA118" s="60"/>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row>
    <row r="119" spans="3:71">
      <c r="C119" s="57" t="str">
        <f t="shared" si="19"/>
        <v>Single FamilyATTIC R11 - R49_Electric Zonal</v>
      </c>
      <c r="E119" s="60">
        <f t="shared" ref="E119:X119" si="50">E53*E$88*$Z$21</f>
        <v>1490.0127437475967</v>
      </c>
      <c r="F119" s="60">
        <f t="shared" si="50"/>
        <v>1486.6292506696511</v>
      </c>
      <c r="G119" s="60">
        <f t="shared" si="50"/>
        <v>1483.2534407645221</v>
      </c>
      <c r="H119" s="60">
        <f t="shared" si="50"/>
        <v>1479.8852965854037</v>
      </c>
      <c r="I119" s="60">
        <f t="shared" si="50"/>
        <v>1476.5248007251091</v>
      </c>
      <c r="J119" s="60">
        <f t="shared" si="50"/>
        <v>1325.8547422343813</v>
      </c>
      <c r="K119" s="60">
        <f t="shared" si="50"/>
        <v>1058.2752128614504</v>
      </c>
      <c r="L119" s="60">
        <f t="shared" si="50"/>
        <v>844.69768103674107</v>
      </c>
      <c r="M119" s="60">
        <f t="shared" si="50"/>
        <v>674.22364586957542</v>
      </c>
      <c r="N119" s="60">
        <f t="shared" si="50"/>
        <v>538.15410513704285</v>
      </c>
      <c r="O119" s="60">
        <f t="shared" si="50"/>
        <v>429.54565988608869</v>
      </c>
      <c r="P119" s="60">
        <f t="shared" si="50"/>
        <v>342.85620450668</v>
      </c>
      <c r="Q119" s="60">
        <f t="shared" si="50"/>
        <v>273.66212243862412</v>
      </c>
      <c r="R119" s="60">
        <f t="shared" si="50"/>
        <v>218.4325564863837</v>
      </c>
      <c r="S119" s="60">
        <f t="shared" si="50"/>
        <v>174.34923513712812</v>
      </c>
      <c r="T119" s="60">
        <f t="shared" si="50"/>
        <v>139.16266092319648</v>
      </c>
      <c r="U119" s="60">
        <f t="shared" si="50"/>
        <v>0.94704063924253512</v>
      </c>
      <c r="V119" s="60">
        <f t="shared" si="50"/>
        <v>0.33746075609542486</v>
      </c>
      <c r="W119" s="60">
        <f t="shared" si="50"/>
        <v>0.11478220108715723</v>
      </c>
      <c r="X119" s="60">
        <f t="shared" si="50"/>
        <v>3.7343985590875498E-2</v>
      </c>
      <c r="Y119" s="60"/>
      <c r="AA119" s="60"/>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row>
    <row r="120" spans="3:71">
      <c r="C120" s="57" t="str">
        <f t="shared" si="19"/>
        <v>Single FamilyATTIC R11 - R49_DHP</v>
      </c>
      <c r="E120" s="60">
        <f t="shared" ref="E120:X120" si="51">E54*E$88*$Z$21</f>
        <v>130.03493619566188</v>
      </c>
      <c r="F120" s="60">
        <f t="shared" si="51"/>
        <v>129.73965529396801</v>
      </c>
      <c r="G120" s="60">
        <f t="shared" si="51"/>
        <v>129.44504491062457</v>
      </c>
      <c r="H120" s="60">
        <f t="shared" si="51"/>
        <v>129.15110352303088</v>
      </c>
      <c r="I120" s="60">
        <f t="shared" si="51"/>
        <v>128.85782961204399</v>
      </c>
      <c r="J120" s="60">
        <f t="shared" si="51"/>
        <v>115.7086994957734</v>
      </c>
      <c r="K120" s="60">
        <f t="shared" si="51"/>
        <v>92.356760275602298</v>
      </c>
      <c r="L120" s="60">
        <f t="shared" si="51"/>
        <v>73.717630617018898</v>
      </c>
      <c r="M120" s="60">
        <f t="shared" si="51"/>
        <v>58.840187199840635</v>
      </c>
      <c r="N120" s="60">
        <f t="shared" si="51"/>
        <v>46.965259202362283</v>
      </c>
      <c r="O120" s="60">
        <f t="shared" si="51"/>
        <v>37.486889095945102</v>
      </c>
      <c r="P120" s="60">
        <f t="shared" si="51"/>
        <v>29.921411655298698</v>
      </c>
      <c r="Q120" s="60">
        <f t="shared" si="51"/>
        <v>23.882773338550713</v>
      </c>
      <c r="R120" s="60">
        <f t="shared" si="51"/>
        <v>19.062832626734728</v>
      </c>
      <c r="S120" s="60">
        <f t="shared" si="51"/>
        <v>15.215636082277282</v>
      </c>
      <c r="T120" s="60">
        <f t="shared" si="51"/>
        <v>12.144867760293321</v>
      </c>
      <c r="U120" s="60">
        <f t="shared" si="51"/>
        <v>8.2649205260396638E-2</v>
      </c>
      <c r="V120" s="60">
        <f t="shared" si="51"/>
        <v>2.9450545353752897E-2</v>
      </c>
      <c r="W120" s="60">
        <f t="shared" si="51"/>
        <v>1.0017160093024339E-2</v>
      </c>
      <c r="X120" s="60">
        <f t="shared" si="51"/>
        <v>3.2590478195425468E-3</v>
      </c>
      <c r="Y120" s="60"/>
      <c r="AA120" s="60"/>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row>
    <row r="121" spans="3:71">
      <c r="C121" s="57" t="str">
        <f t="shared" ref="C121:C145" si="52">C55&amp;D55</f>
        <v>Single FamilyWINDOW CL30 Prime Window Replacement of Single Pane Base_Electric Zonal</v>
      </c>
      <c r="E121" s="60">
        <f t="shared" ref="E121:X121" si="53">E55*E$88*$Z$21</f>
        <v>2708.4762537066954</v>
      </c>
      <c r="F121" s="60">
        <f t="shared" si="53"/>
        <v>2702.3258964734091</v>
      </c>
      <c r="G121" s="60">
        <f t="shared" si="53"/>
        <v>2696.1895053563285</v>
      </c>
      <c r="H121" s="60">
        <f t="shared" si="53"/>
        <v>2690.067048641456</v>
      </c>
      <c r="I121" s="60">
        <f t="shared" si="53"/>
        <v>2683.9584946868135</v>
      </c>
      <c r="J121" s="60">
        <f t="shared" si="53"/>
        <v>2410.0774307300453</v>
      </c>
      <c r="K121" s="60">
        <f t="shared" si="53"/>
        <v>1923.6837375715629</v>
      </c>
      <c r="L121" s="60">
        <f t="shared" si="53"/>
        <v>1535.4523780077675</v>
      </c>
      <c r="M121" s="60">
        <f t="shared" si="53"/>
        <v>1225.5725611663868</v>
      </c>
      <c r="N121" s="60">
        <f t="shared" si="53"/>
        <v>978.23164312839333</v>
      </c>
      <c r="O121" s="60">
        <f t="shared" si="53"/>
        <v>780.80823440347854</v>
      </c>
      <c r="P121" s="60">
        <f t="shared" si="53"/>
        <v>623.22815173160291</v>
      </c>
      <c r="Q121" s="60">
        <f t="shared" si="53"/>
        <v>497.45034951831639</v>
      </c>
      <c r="R121" s="60">
        <f t="shared" si="53"/>
        <v>397.05659885284518</v>
      </c>
      <c r="S121" s="60">
        <f t="shared" si="53"/>
        <v>316.9239761219311</v>
      </c>
      <c r="T121" s="60">
        <f t="shared" si="53"/>
        <v>252.9634488662891</v>
      </c>
      <c r="U121" s="60">
        <f t="shared" si="53"/>
        <v>1.7214866741556702</v>
      </c>
      <c r="V121" s="60">
        <f t="shared" si="53"/>
        <v>0.6134205551447246</v>
      </c>
      <c r="W121" s="60">
        <f t="shared" si="53"/>
        <v>0.20864577655277763</v>
      </c>
      <c r="X121" s="60">
        <f t="shared" si="53"/>
        <v>6.7882169878128909E-2</v>
      </c>
      <c r="Y121" s="60"/>
      <c r="AA121" s="60"/>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row>
    <row r="122" spans="3:71">
      <c r="C122" s="57" t="str">
        <f t="shared" si="52"/>
        <v>Single FamilyATTIC R19 - R49_Electric FAF</v>
      </c>
      <c r="E122" s="60">
        <f t="shared" ref="E122:X122" si="54">E56*E$88*$Z$21</f>
        <v>378.5230674133378</v>
      </c>
      <c r="F122" s="60">
        <f t="shared" si="54"/>
        <v>377.66352430955567</v>
      </c>
      <c r="G122" s="60">
        <f t="shared" si="54"/>
        <v>376.80593304018169</v>
      </c>
      <c r="H122" s="60">
        <f t="shared" si="54"/>
        <v>375.95028917302682</v>
      </c>
      <c r="I122" s="60">
        <f t="shared" si="54"/>
        <v>375.09658828596656</v>
      </c>
      <c r="J122" s="60">
        <f t="shared" si="54"/>
        <v>336.82034337022617</v>
      </c>
      <c r="K122" s="60">
        <f t="shared" si="54"/>
        <v>268.84439842594821</v>
      </c>
      <c r="L122" s="60">
        <f t="shared" si="54"/>
        <v>214.58712927432714</v>
      </c>
      <c r="M122" s="60">
        <f t="shared" si="54"/>
        <v>171.27987906685129</v>
      </c>
      <c r="N122" s="60">
        <f t="shared" si="54"/>
        <v>136.71275193607343</v>
      </c>
      <c r="O122" s="60">
        <f t="shared" si="54"/>
        <v>109.1218457402075</v>
      </c>
      <c r="P122" s="60">
        <f t="shared" si="54"/>
        <v>87.099243114626205</v>
      </c>
      <c r="Q122" s="60">
        <f t="shared" si="54"/>
        <v>69.521167825568469</v>
      </c>
      <c r="R122" s="60">
        <f t="shared" si="54"/>
        <v>55.490640366072711</v>
      </c>
      <c r="S122" s="60">
        <f t="shared" si="54"/>
        <v>44.291706606003622</v>
      </c>
      <c r="T122" s="60">
        <f t="shared" si="54"/>
        <v>35.352903861454323</v>
      </c>
      <c r="U122" s="60">
        <f t="shared" si="54"/>
        <v>0.24058635017412805</v>
      </c>
      <c r="V122" s="60">
        <f t="shared" si="54"/>
        <v>8.5728582567413683E-2</v>
      </c>
      <c r="W122" s="60">
        <f t="shared" si="54"/>
        <v>2.9159288081448253E-2</v>
      </c>
      <c r="X122" s="60">
        <f t="shared" si="54"/>
        <v>9.4868718637564891E-3</v>
      </c>
      <c r="Y122" s="60"/>
      <c r="AA122" s="60"/>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row>
    <row r="123" spans="3:71">
      <c r="C123" s="57" t="str">
        <f t="shared" si="52"/>
        <v>Single FamilyATTIC R19 - R38_Electric FAF</v>
      </c>
      <c r="E123" s="60">
        <f t="shared" ref="E123:X123" si="55">E57*E$88*$Z$21</f>
        <v>175.80229153067413</v>
      </c>
      <c r="F123" s="60">
        <f t="shared" si="55"/>
        <v>175.4030829742527</v>
      </c>
      <c r="G123" s="60">
        <f t="shared" si="55"/>
        <v>175.00478093315672</v>
      </c>
      <c r="H123" s="60">
        <f t="shared" si="55"/>
        <v>174.60738334888813</v>
      </c>
      <c r="I123" s="60">
        <f t="shared" si="55"/>
        <v>174.21088816762332</v>
      </c>
      <c r="J123" s="60">
        <f t="shared" si="55"/>
        <v>156.43376400618214</v>
      </c>
      <c r="K123" s="60">
        <f t="shared" si="55"/>
        <v>124.86282971192537</v>
      </c>
      <c r="L123" s="60">
        <f t="shared" si="55"/>
        <v>99.663434826340605</v>
      </c>
      <c r="M123" s="60">
        <f t="shared" si="55"/>
        <v>79.549696769651035</v>
      </c>
      <c r="N123" s="60">
        <f t="shared" si="55"/>
        <v>63.495245444530141</v>
      </c>
      <c r="O123" s="60">
        <f t="shared" si="55"/>
        <v>50.680849302737208</v>
      </c>
      <c r="P123" s="60">
        <f t="shared" si="55"/>
        <v>40.452611342224969</v>
      </c>
      <c r="Q123" s="60">
        <f t="shared" si="55"/>
        <v>32.288601847024054</v>
      </c>
      <c r="R123" s="60">
        <f t="shared" si="55"/>
        <v>25.77222519495086</v>
      </c>
      <c r="S123" s="60">
        <f t="shared" si="55"/>
        <v>20.570961686297913</v>
      </c>
      <c r="T123" s="60">
        <f t="shared" si="55"/>
        <v>16.419399624912504</v>
      </c>
      <c r="U123" s="60">
        <f t="shared" si="55"/>
        <v>0.11173858428402493</v>
      </c>
      <c r="V123" s="60">
        <f t="shared" si="55"/>
        <v>3.9816017998634837E-2</v>
      </c>
      <c r="W123" s="60">
        <f t="shared" si="55"/>
        <v>1.3542819726027205E-2</v>
      </c>
      <c r="X123" s="60">
        <f t="shared" si="55"/>
        <v>4.4061087861920348E-3</v>
      </c>
      <c r="Y123" s="60"/>
      <c r="AA123" s="60"/>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row>
    <row r="124" spans="3:71">
      <c r="C124" s="57" t="str">
        <f t="shared" si="52"/>
        <v>Single FamilyWINDOW CL30 Prime Window Replacement of Single Pane Base_DHP</v>
      </c>
      <c r="E124" s="60">
        <f t="shared" ref="E124:X124" si="56">E58*E$88*$Z$21</f>
        <v>236.37149300642253</v>
      </c>
      <c r="F124" s="60">
        <f t="shared" si="56"/>
        <v>235.83474503982507</v>
      </c>
      <c r="G124" s="60">
        <f t="shared" si="56"/>
        <v>235.29921591047386</v>
      </c>
      <c r="H124" s="60">
        <f t="shared" si="56"/>
        <v>234.76490285065626</v>
      </c>
      <c r="I124" s="60">
        <f t="shared" si="56"/>
        <v>234.23180309894414</v>
      </c>
      <c r="J124" s="60">
        <f t="shared" si="56"/>
        <v>210.32992251016219</v>
      </c>
      <c r="K124" s="60">
        <f t="shared" si="56"/>
        <v>167.88184740393373</v>
      </c>
      <c r="L124" s="60">
        <f t="shared" si="56"/>
        <v>134.00049955514979</v>
      </c>
      <c r="M124" s="60">
        <f t="shared" si="56"/>
        <v>106.95697098106253</v>
      </c>
      <c r="N124" s="60">
        <f t="shared" si="56"/>
        <v>85.371276073009284</v>
      </c>
      <c r="O124" s="60">
        <f t="shared" si="56"/>
        <v>68.141933260473508</v>
      </c>
      <c r="P124" s="60">
        <f t="shared" si="56"/>
        <v>54.389758266045703</v>
      </c>
      <c r="Q124" s="60">
        <f t="shared" si="56"/>
        <v>43.413000815972602</v>
      </c>
      <c r="R124" s="60">
        <f t="shared" si="56"/>
        <v>34.651535508371737</v>
      </c>
      <c r="S124" s="60">
        <f t="shared" si="56"/>
        <v>27.658279559568538</v>
      </c>
      <c r="T124" s="60">
        <f t="shared" si="56"/>
        <v>22.07637892440377</v>
      </c>
      <c r="U124" s="60">
        <f t="shared" si="56"/>
        <v>0.15023590286381794</v>
      </c>
      <c r="V124" s="60">
        <f t="shared" si="56"/>
        <v>5.3533839280279258E-2</v>
      </c>
      <c r="W124" s="60">
        <f t="shared" si="56"/>
        <v>1.8208730331591521E-2</v>
      </c>
      <c r="X124" s="60">
        <f t="shared" si="56"/>
        <v>5.9241463980531208E-3</v>
      </c>
      <c r="Y124" s="60"/>
      <c r="AA124" s="60"/>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row>
    <row r="125" spans="3:71">
      <c r="C125" s="57" t="str">
        <f t="shared" si="52"/>
        <v>Single FamilyWINDOW CL22 Prime Window Replacement of Single Pane Base_Electric Zonal</v>
      </c>
      <c r="E125" s="60">
        <f t="shared" ref="E125:X125" si="57">E59*E$88*$Z$21</f>
        <v>677.11906342667385</v>
      </c>
      <c r="F125" s="60">
        <f t="shared" si="57"/>
        <v>675.58147411835228</v>
      </c>
      <c r="G125" s="60">
        <f t="shared" si="57"/>
        <v>674.04737633908212</v>
      </c>
      <c r="H125" s="60">
        <f t="shared" si="57"/>
        <v>672.51676216036401</v>
      </c>
      <c r="I125" s="60">
        <f t="shared" si="57"/>
        <v>670.98962367170338</v>
      </c>
      <c r="J125" s="60">
        <f t="shared" si="57"/>
        <v>602.51935768251133</v>
      </c>
      <c r="K125" s="60">
        <f t="shared" si="57"/>
        <v>480.92093439289073</v>
      </c>
      <c r="L125" s="60">
        <f t="shared" si="57"/>
        <v>383.86309450194187</v>
      </c>
      <c r="M125" s="60">
        <f t="shared" si="57"/>
        <v>306.39314029159669</v>
      </c>
      <c r="N125" s="60">
        <f t="shared" si="57"/>
        <v>244.55791078209833</v>
      </c>
      <c r="O125" s="60">
        <f t="shared" si="57"/>
        <v>195.20205860086963</v>
      </c>
      <c r="P125" s="60">
        <f t="shared" si="57"/>
        <v>155.80703793290073</v>
      </c>
      <c r="Q125" s="60">
        <f t="shared" si="57"/>
        <v>124.3625873795791</v>
      </c>
      <c r="R125" s="60">
        <f t="shared" si="57"/>
        <v>99.264149713211296</v>
      </c>
      <c r="S125" s="60">
        <f t="shared" si="57"/>
        <v>79.230994030482776</v>
      </c>
      <c r="T125" s="60">
        <f t="shared" si="57"/>
        <v>63.240862216572275</v>
      </c>
      <c r="U125" s="60">
        <f t="shared" si="57"/>
        <v>0.43037166853891756</v>
      </c>
      <c r="V125" s="60">
        <f t="shared" si="57"/>
        <v>0.15335513878618115</v>
      </c>
      <c r="W125" s="60">
        <f t="shared" si="57"/>
        <v>5.2161444138194409E-2</v>
      </c>
      <c r="X125" s="60">
        <f t="shared" si="57"/>
        <v>1.6970542469532227E-2</v>
      </c>
      <c r="Y125" s="60"/>
      <c r="AA125" s="60"/>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row>
    <row r="126" spans="3:71">
      <c r="C126" s="57" t="str">
        <f t="shared" si="52"/>
        <v>Single FamilyWINDOW CL30 Prime Window Replacement of Single Pane Base_Heat Pump</v>
      </c>
      <c r="E126" s="60">
        <f t="shared" ref="E126:X126" si="58">E60*E$88*$Z$21</f>
        <v>1948.8164703216505</v>
      </c>
      <c r="F126" s="60">
        <f t="shared" si="58"/>
        <v>1944.3911343202044</v>
      </c>
      <c r="G126" s="60">
        <f t="shared" si="58"/>
        <v>1939.9758472890048</v>
      </c>
      <c r="H126" s="60">
        <f t="shared" si="58"/>
        <v>1935.5705864090376</v>
      </c>
      <c r="I126" s="60">
        <f t="shared" si="58"/>
        <v>1931.1753289131063</v>
      </c>
      <c r="J126" s="60">
        <f t="shared" si="58"/>
        <v>1734.1110468771426</v>
      </c>
      <c r="K126" s="60">
        <f t="shared" si="58"/>
        <v>1384.1386079493195</v>
      </c>
      <c r="L126" s="60">
        <f t="shared" si="58"/>
        <v>1104.796425503431</v>
      </c>
      <c r="M126" s="60">
        <f t="shared" si="58"/>
        <v>881.83013955048227</v>
      </c>
      <c r="N126" s="60">
        <f t="shared" si="58"/>
        <v>703.86215692658209</v>
      </c>
      <c r="O126" s="60">
        <f t="shared" si="58"/>
        <v>561.81107192127104</v>
      </c>
      <c r="P126" s="60">
        <f t="shared" si="58"/>
        <v>448.42825747520635</v>
      </c>
      <c r="Q126" s="60">
        <f t="shared" si="58"/>
        <v>357.92797997834634</v>
      </c>
      <c r="R126" s="60">
        <f t="shared" si="58"/>
        <v>285.69216305121648</v>
      </c>
      <c r="S126" s="60">
        <f t="shared" si="58"/>
        <v>228.03473490343123</v>
      </c>
      <c r="T126" s="60">
        <f t="shared" si="58"/>
        <v>182.01353431300126</v>
      </c>
      <c r="U126" s="60">
        <f t="shared" si="58"/>
        <v>1.2386527588870317</v>
      </c>
      <c r="V126" s="60">
        <f t="shared" si="58"/>
        <v>0.44137144620111035</v>
      </c>
      <c r="W126" s="60">
        <f t="shared" si="58"/>
        <v>0.15012585960561148</v>
      </c>
      <c r="X126" s="60">
        <f t="shared" si="58"/>
        <v>4.8842920634295385E-2</v>
      </c>
      <c r="Y126" s="60"/>
      <c r="AA126" s="60"/>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row>
    <row r="127" spans="3:71">
      <c r="C127" s="57" t="str">
        <f t="shared" si="52"/>
        <v>Single FamilyWINDOW CL22 Prime Window Replacement of Single Pane Base_DHP</v>
      </c>
      <c r="E127" s="60">
        <f t="shared" ref="E127:X127" si="59">E61*E$88*$Z$21</f>
        <v>59.092873251605631</v>
      </c>
      <c r="F127" s="60">
        <f t="shared" si="59"/>
        <v>58.958686259956266</v>
      </c>
      <c r="G127" s="60">
        <f t="shared" si="59"/>
        <v>58.824803977618465</v>
      </c>
      <c r="H127" s="60">
        <f t="shared" si="59"/>
        <v>58.691225712664064</v>
      </c>
      <c r="I127" s="60">
        <f t="shared" si="59"/>
        <v>58.557950774736035</v>
      </c>
      <c r="J127" s="60">
        <f t="shared" si="59"/>
        <v>52.582480627540548</v>
      </c>
      <c r="K127" s="60">
        <f t="shared" si="59"/>
        <v>41.970461850983433</v>
      </c>
      <c r="L127" s="60">
        <f t="shared" si="59"/>
        <v>33.500124888787447</v>
      </c>
      <c r="M127" s="60">
        <f t="shared" si="59"/>
        <v>26.739242745265631</v>
      </c>
      <c r="N127" s="60">
        <f t="shared" si="59"/>
        <v>21.342819018252321</v>
      </c>
      <c r="O127" s="60">
        <f t="shared" si="59"/>
        <v>17.035483315118377</v>
      </c>
      <c r="P127" s="60">
        <f t="shared" si="59"/>
        <v>13.597439566511426</v>
      </c>
      <c r="Q127" s="60">
        <f t="shared" si="59"/>
        <v>10.85325020399315</v>
      </c>
      <c r="R127" s="60">
        <f t="shared" si="59"/>
        <v>8.6628838770929342</v>
      </c>
      <c r="S127" s="60">
        <f t="shared" si="59"/>
        <v>6.9145698898921344</v>
      </c>
      <c r="T127" s="60">
        <f t="shared" si="59"/>
        <v>5.5190947311009424</v>
      </c>
      <c r="U127" s="60">
        <f t="shared" si="59"/>
        <v>3.7558975715954485E-2</v>
      </c>
      <c r="V127" s="60">
        <f t="shared" si="59"/>
        <v>1.3383459820069814E-2</v>
      </c>
      <c r="W127" s="60">
        <f t="shared" si="59"/>
        <v>4.5521825828978802E-3</v>
      </c>
      <c r="X127" s="60">
        <f t="shared" si="59"/>
        <v>1.4810365995132802E-3</v>
      </c>
      <c r="Y127" s="60"/>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row>
    <row r="128" spans="3:71">
      <c r="C128" s="57" t="str">
        <f t="shared" si="52"/>
        <v>Single FamilyWINDOW CL22 Prime Window Replacement of Single Pane Base_Heat Pump</v>
      </c>
      <c r="E128" s="60">
        <f t="shared" ref="E128:X128" si="60">E62*E$88*$Z$21</f>
        <v>487.20411758041263</v>
      </c>
      <c r="F128" s="60">
        <f t="shared" si="60"/>
        <v>486.0977835800511</v>
      </c>
      <c r="G128" s="60">
        <f t="shared" si="60"/>
        <v>484.99396182225121</v>
      </c>
      <c r="H128" s="60">
        <f t="shared" si="60"/>
        <v>483.89264660225939</v>
      </c>
      <c r="I128" s="60">
        <f t="shared" si="60"/>
        <v>482.79383222827659</v>
      </c>
      <c r="J128" s="60">
        <f t="shared" si="60"/>
        <v>433.52776171928565</v>
      </c>
      <c r="K128" s="60">
        <f t="shared" si="60"/>
        <v>346.03465198732988</v>
      </c>
      <c r="L128" s="60">
        <f t="shared" si="60"/>
        <v>276.19910637585775</v>
      </c>
      <c r="M128" s="60">
        <f t="shared" si="60"/>
        <v>220.45753488762057</v>
      </c>
      <c r="N128" s="60">
        <f t="shared" si="60"/>
        <v>175.96553923164552</v>
      </c>
      <c r="O128" s="60">
        <f t="shared" si="60"/>
        <v>140.45276798031776</v>
      </c>
      <c r="P128" s="60">
        <f t="shared" si="60"/>
        <v>112.10706436880159</v>
      </c>
      <c r="Q128" s="60">
        <f t="shared" si="60"/>
        <v>89.481994994586586</v>
      </c>
      <c r="R128" s="60">
        <f t="shared" si="60"/>
        <v>71.423040762804121</v>
      </c>
      <c r="S128" s="60">
        <f t="shared" si="60"/>
        <v>57.008683725857807</v>
      </c>
      <c r="T128" s="60">
        <f t="shared" si="60"/>
        <v>45.503383578250315</v>
      </c>
      <c r="U128" s="60">
        <f t="shared" si="60"/>
        <v>0.30966318972175794</v>
      </c>
      <c r="V128" s="60">
        <f t="shared" si="60"/>
        <v>0.11034286155027759</v>
      </c>
      <c r="W128" s="60">
        <f t="shared" si="60"/>
        <v>3.753146490140287E-2</v>
      </c>
      <c r="X128" s="60">
        <f t="shared" si="60"/>
        <v>1.2210730158573846E-2</v>
      </c>
      <c r="Y128" s="60"/>
      <c r="AA128" s="60"/>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row>
    <row r="129" spans="3:71">
      <c r="C129" s="57" t="str">
        <f t="shared" si="52"/>
        <v>Single FamilyATTIC R11 - R38_Heat Pump</v>
      </c>
      <c r="E129" s="60">
        <f t="shared" ref="E129:X129" si="61">E63*E$88*$Z$21</f>
        <v>1366.1757947251576</v>
      </c>
      <c r="F129" s="60">
        <f t="shared" si="61"/>
        <v>1363.0735082755243</v>
      </c>
      <c r="G129" s="60">
        <f t="shared" si="61"/>
        <v>1359.9782664399538</v>
      </c>
      <c r="H129" s="60">
        <f t="shared" si="61"/>
        <v>1356.8900532216678</v>
      </c>
      <c r="I129" s="60">
        <f t="shared" si="61"/>
        <v>1353.8088526602139</v>
      </c>
      <c r="J129" s="60">
        <f t="shared" si="61"/>
        <v>1215.6611839482439</v>
      </c>
      <c r="K129" s="60">
        <f t="shared" si="61"/>
        <v>970.32054660992844</v>
      </c>
      <c r="L129" s="60">
        <f t="shared" si="61"/>
        <v>774.49372868474745</v>
      </c>
      <c r="M129" s="60">
        <f t="shared" si="61"/>
        <v>618.18801824583124</v>
      </c>
      <c r="N129" s="60">
        <f t="shared" si="61"/>
        <v>493.42739876240159</v>
      </c>
      <c r="O129" s="60">
        <f t="shared" si="61"/>
        <v>393.84554644119697</v>
      </c>
      <c r="P129" s="60">
        <f t="shared" si="61"/>
        <v>314.36096747083292</v>
      </c>
      <c r="Q129" s="60">
        <f t="shared" si="61"/>
        <v>250.91769797110754</v>
      </c>
      <c r="R129" s="60">
        <f t="shared" si="61"/>
        <v>200.27833500341126</v>
      </c>
      <c r="S129" s="60">
        <f t="shared" si="61"/>
        <v>159.85883736410395</v>
      </c>
      <c r="T129" s="60">
        <f t="shared" si="61"/>
        <v>127.59666632423205</v>
      </c>
      <c r="U129" s="60">
        <f t="shared" si="61"/>
        <v>0.86833082695657893</v>
      </c>
      <c r="V129" s="60">
        <f t="shared" si="61"/>
        <v>0.30941394198257732</v>
      </c>
      <c r="W129" s="60">
        <f t="shared" si="61"/>
        <v>0.10524249906490293</v>
      </c>
      <c r="X129" s="60">
        <f t="shared" si="61"/>
        <v>3.4240277076087566E-2</v>
      </c>
      <c r="Y129" s="60"/>
      <c r="AA129" s="60"/>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row>
    <row r="130" spans="3:71">
      <c r="C130" s="57" t="str">
        <f t="shared" si="52"/>
        <v>Single FamilyWINDOW CL30 Prime Window Replacement of Double Pane Base_Electric FAF</v>
      </c>
      <c r="E130" s="60">
        <f t="shared" ref="E130:X130" si="62">E64*E$88*$Z$21</f>
        <v>15910.126830416913</v>
      </c>
      <c r="F130" s="60">
        <f t="shared" si="62"/>
        <v>15873.998411901141</v>
      </c>
      <c r="G130" s="60">
        <f t="shared" si="62"/>
        <v>15837.952033122594</v>
      </c>
      <c r="H130" s="60">
        <f t="shared" si="62"/>
        <v>15801.987507786978</v>
      </c>
      <c r="I130" s="60">
        <f t="shared" si="62"/>
        <v>15766.10465002302</v>
      </c>
      <c r="J130" s="60">
        <f t="shared" si="62"/>
        <v>14157.272946943378</v>
      </c>
      <c r="K130" s="60">
        <f t="shared" si="62"/>
        <v>11300.099901000787</v>
      </c>
      <c r="L130" s="60">
        <f t="shared" si="62"/>
        <v>9019.5518763497021</v>
      </c>
      <c r="M130" s="60">
        <f t="shared" si="62"/>
        <v>7199.2563572786175</v>
      </c>
      <c r="N130" s="60">
        <f t="shared" si="62"/>
        <v>5746.3267364445182</v>
      </c>
      <c r="O130" s="60">
        <f t="shared" si="62"/>
        <v>4586.6224681098938</v>
      </c>
      <c r="P130" s="60">
        <f t="shared" si="62"/>
        <v>3660.9658012567161</v>
      </c>
      <c r="Q130" s="60">
        <f t="shared" si="62"/>
        <v>2922.1220388549541</v>
      </c>
      <c r="R130" s="60">
        <f t="shared" si="62"/>
        <v>2332.3892310140363</v>
      </c>
      <c r="S130" s="60">
        <f t="shared" si="62"/>
        <v>1861.6743081277848</v>
      </c>
      <c r="T130" s="60">
        <f t="shared" si="62"/>
        <v>1485.9574823350774</v>
      </c>
      <c r="U130" s="60">
        <f t="shared" si="62"/>
        <v>10.11235423799854</v>
      </c>
      <c r="V130" s="60">
        <f t="shared" si="62"/>
        <v>3.6033540332431522</v>
      </c>
      <c r="W130" s="60">
        <f t="shared" si="62"/>
        <v>1.2256266832845573</v>
      </c>
      <c r="X130" s="60">
        <f t="shared" si="62"/>
        <v>0.398753332545146</v>
      </c>
      <c r="Y130" s="60"/>
      <c r="AA130" s="60"/>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row>
    <row r="131" spans="3:71">
      <c r="C131" s="57" t="str">
        <f t="shared" si="52"/>
        <v>Single FamilyATTIC R11 - R49_Heat Pump</v>
      </c>
      <c r="E131" s="60">
        <f t="shared" ref="E131:X131" si="63">E65*E$88*$Z$21</f>
        <v>1072.1014710874852</v>
      </c>
      <c r="F131" s="60">
        <f t="shared" si="63"/>
        <v>1069.6669631133075</v>
      </c>
      <c r="G131" s="60">
        <f t="shared" si="63"/>
        <v>1067.2379833743171</v>
      </c>
      <c r="H131" s="60">
        <f t="shared" si="63"/>
        <v>1064.8145193170999</v>
      </c>
      <c r="I131" s="60">
        <f t="shared" si="63"/>
        <v>1062.3965584167499</v>
      </c>
      <c r="J131" s="60">
        <f t="shared" si="63"/>
        <v>953.98567935912081</v>
      </c>
      <c r="K131" s="60">
        <f t="shared" si="63"/>
        <v>761.45550921299798</v>
      </c>
      <c r="L131" s="60">
        <f t="shared" si="63"/>
        <v>607.7811282244196</v>
      </c>
      <c r="M131" s="60">
        <f t="shared" si="63"/>
        <v>485.12079216228881</v>
      </c>
      <c r="N131" s="60">
        <f t="shared" si="63"/>
        <v>387.21535115066587</v>
      </c>
      <c r="O131" s="60">
        <f t="shared" si="63"/>
        <v>309.06885581720252</v>
      </c>
      <c r="P131" s="60">
        <f t="shared" si="63"/>
        <v>246.6936224307552</v>
      </c>
      <c r="Q131" s="60">
        <f t="shared" si="63"/>
        <v>196.90674813253295</v>
      </c>
      <c r="R131" s="60">
        <f t="shared" si="63"/>
        <v>157.16769277654032</v>
      </c>
      <c r="S131" s="60">
        <f t="shared" si="63"/>
        <v>125.44863945482909</v>
      </c>
      <c r="T131" s="60">
        <f t="shared" si="63"/>
        <v>100.13101842401505</v>
      </c>
      <c r="U131" s="60">
        <f t="shared" si="63"/>
        <v>0.68141944877455807</v>
      </c>
      <c r="V131" s="60">
        <f t="shared" si="63"/>
        <v>0.24281146222564554</v>
      </c>
      <c r="W131" s="60">
        <f t="shared" si="63"/>
        <v>8.2588667215484204E-2</v>
      </c>
      <c r="X131" s="60">
        <f t="shared" si="63"/>
        <v>2.6869932526583498E-2</v>
      </c>
      <c r="Y131" s="60"/>
      <c r="AA131" s="60"/>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row>
    <row r="132" spans="3:71">
      <c r="C132" s="57" t="str">
        <f t="shared" si="52"/>
        <v>Single FamilyWINDOW CL22 Prime Window Replacement of Double Pane Base_Electric FAF</v>
      </c>
      <c r="E132" s="60">
        <f t="shared" ref="E132:X132" si="64">E66*E$88*$Z$21</f>
        <v>3977.5317076042284</v>
      </c>
      <c r="F132" s="60">
        <f t="shared" si="64"/>
        <v>3968.4996029752851</v>
      </c>
      <c r="G132" s="60">
        <f t="shared" si="64"/>
        <v>3959.4880082806485</v>
      </c>
      <c r="H132" s="60">
        <f t="shared" si="64"/>
        <v>3950.4968769467446</v>
      </c>
      <c r="I132" s="60">
        <f t="shared" si="64"/>
        <v>3941.5261625057551</v>
      </c>
      <c r="J132" s="60">
        <f t="shared" si="64"/>
        <v>3539.3182367358445</v>
      </c>
      <c r="K132" s="60">
        <f t="shared" si="64"/>
        <v>2825.0249752501968</v>
      </c>
      <c r="L132" s="60">
        <f t="shared" si="64"/>
        <v>2254.8879690874255</v>
      </c>
      <c r="M132" s="60">
        <f t="shared" si="64"/>
        <v>1799.8140893196544</v>
      </c>
      <c r="N132" s="60">
        <f t="shared" si="64"/>
        <v>1436.5816841111296</v>
      </c>
      <c r="O132" s="60">
        <f t="shared" si="64"/>
        <v>1146.6556170274735</v>
      </c>
      <c r="P132" s="60">
        <f t="shared" si="64"/>
        <v>915.24145031417902</v>
      </c>
      <c r="Q132" s="60">
        <f t="shared" si="64"/>
        <v>730.53050971373852</v>
      </c>
      <c r="R132" s="60">
        <f t="shared" si="64"/>
        <v>583.09730775350909</v>
      </c>
      <c r="S132" s="60">
        <f t="shared" si="64"/>
        <v>465.4185770319462</v>
      </c>
      <c r="T132" s="60">
        <f t="shared" si="64"/>
        <v>371.48937058376936</v>
      </c>
      <c r="U132" s="60">
        <f t="shared" si="64"/>
        <v>2.528088559499635</v>
      </c>
      <c r="V132" s="60">
        <f t="shared" si="64"/>
        <v>0.90083850831078804</v>
      </c>
      <c r="W132" s="60">
        <f t="shared" si="64"/>
        <v>0.30640667082113932</v>
      </c>
      <c r="X132" s="60">
        <f t="shared" si="64"/>
        <v>9.96883331362865E-2</v>
      </c>
      <c r="Y132" s="60"/>
      <c r="AA132" s="60"/>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row>
    <row r="133" spans="3:71">
      <c r="C133" s="57" t="str">
        <f t="shared" si="52"/>
        <v>Single FamilyCFM50 Infiltration Reduction_Heat Pump</v>
      </c>
      <c r="E133" s="60">
        <f t="shared" ref="E133:X133" si="65">E67*E$88*$Z$21</f>
        <v>19185.384874415729</v>
      </c>
      <c r="F133" s="60">
        <f t="shared" si="65"/>
        <v>19141.819061175072</v>
      </c>
      <c r="G133" s="60">
        <f t="shared" si="65"/>
        <v>19098.35217636852</v>
      </c>
      <c r="H133" s="60">
        <f t="shared" si="65"/>
        <v>19054.983995351238</v>
      </c>
      <c r="I133" s="60">
        <f t="shared" si="65"/>
        <v>19011.714293988502</v>
      </c>
      <c r="J133" s="60">
        <f t="shared" si="65"/>
        <v>17071.688563789099</v>
      </c>
      <c r="K133" s="60">
        <f t="shared" si="65"/>
        <v>13626.337994086638</v>
      </c>
      <c r="L133" s="60">
        <f t="shared" si="65"/>
        <v>10876.31644844613</v>
      </c>
      <c r="M133" s="60">
        <f t="shared" si="65"/>
        <v>8681.2949699380333</v>
      </c>
      <c r="N133" s="60">
        <f t="shared" si="65"/>
        <v>6929.265318115913</v>
      </c>
      <c r="O133" s="60">
        <f t="shared" si="65"/>
        <v>5530.8243775970595</v>
      </c>
      <c r="P133" s="60">
        <f t="shared" si="65"/>
        <v>4414.6120680134982</v>
      </c>
      <c r="Q133" s="60">
        <f t="shared" si="65"/>
        <v>3523.6699595798023</v>
      </c>
      <c r="R133" s="60">
        <f t="shared" si="65"/>
        <v>2812.5347805775</v>
      </c>
      <c r="S133" s="60">
        <f t="shared" si="65"/>
        <v>2244.9185033496829</v>
      </c>
      <c r="T133" s="60">
        <f t="shared" si="65"/>
        <v>1791.8566275105693</v>
      </c>
      <c r="U133" s="60">
        <f t="shared" si="65"/>
        <v>12.194083058566486</v>
      </c>
      <c r="V133" s="60">
        <f t="shared" si="65"/>
        <v>4.3451403438458023</v>
      </c>
      <c r="W133" s="60">
        <f t="shared" si="65"/>
        <v>1.4779341410537135</v>
      </c>
      <c r="X133" s="60">
        <f t="shared" si="65"/>
        <v>0.48084067690829591</v>
      </c>
      <c r="Y133" s="60"/>
      <c r="AA133" s="60"/>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row>
    <row r="134" spans="3:71">
      <c r="C134" s="57" t="str">
        <f t="shared" si="52"/>
        <v>Single FamilyATTIC R19 - R49_DHP</v>
      </c>
      <c r="E134" s="60">
        <f t="shared" ref="E134:X134" si="66">E68*E$88*$Z$21</f>
        <v>117.79592076598514</v>
      </c>
      <c r="F134" s="60">
        <f t="shared" si="66"/>
        <v>117.52843199168149</v>
      </c>
      <c r="G134" s="60">
        <f t="shared" si="66"/>
        <v>117.26155062588491</v>
      </c>
      <c r="H134" s="60">
        <f t="shared" si="66"/>
        <v>116.99527528930359</v>
      </c>
      <c r="I134" s="60">
        <f t="shared" si="66"/>
        <v>116.72960460577775</v>
      </c>
      <c r="J134" s="60">
        <f t="shared" si="66"/>
        <v>104.81808348204522</v>
      </c>
      <c r="K134" s="60">
        <f t="shared" si="66"/>
        <v>83.664051630386979</v>
      </c>
      <c r="L134" s="60">
        <f t="shared" si="66"/>
        <v>66.7792550930495</v>
      </c>
      <c r="M134" s="60">
        <f t="shared" si="66"/>
        <v>53.30209120738887</v>
      </c>
      <c r="N134" s="60">
        <f t="shared" si="66"/>
        <v>42.54484305226265</v>
      </c>
      <c r="O134" s="60">
        <f t="shared" si="66"/>
        <v>33.958586414537244</v>
      </c>
      <c r="P134" s="60">
        <f t="shared" si="66"/>
        <v>27.105179113177247</v>
      </c>
      <c r="Q134" s="60">
        <f t="shared" si="66"/>
        <v>21.634903343412088</v>
      </c>
      <c r="R134" s="60">
        <f t="shared" si="66"/>
        <v>17.268620167546899</v>
      </c>
      <c r="S134" s="60">
        <f t="shared" si="66"/>
        <v>13.783525526210038</v>
      </c>
      <c r="T134" s="60">
        <f t="shared" si="66"/>
        <v>11.001780923337794</v>
      </c>
      <c r="U134" s="60">
        <f t="shared" si="66"/>
        <v>7.487018119173823E-2</v>
      </c>
      <c r="V134" s="60">
        <f t="shared" si="66"/>
        <v>2.6678631208660247E-2</v>
      </c>
      <c r="W134" s="60">
        <f t="shared" si="66"/>
        <v>9.0743351836046707E-3</v>
      </c>
      <c r="X134" s="60">
        <f t="shared" si="66"/>
        <v>2.9523030498952788E-3</v>
      </c>
      <c r="Y134" s="60"/>
      <c r="AA134" s="60"/>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row>
    <row r="135" spans="3:71">
      <c r="C135" s="57" t="str">
        <f t="shared" si="52"/>
        <v>Single FamilyATTIC R19 - R49_Electric Zonal</v>
      </c>
      <c r="E135" s="60">
        <f t="shared" ref="E135:X135" si="67">E69*E$88*$Z$21</f>
        <v>1349.7712863772338</v>
      </c>
      <c r="F135" s="60">
        <f t="shared" si="67"/>
        <v>1346.7062509784218</v>
      </c>
      <c r="G135" s="60">
        <f t="shared" si="67"/>
        <v>1343.6481756046833</v>
      </c>
      <c r="H135" s="60">
        <f t="shared" si="67"/>
        <v>1340.5970444513225</v>
      </c>
      <c r="I135" s="60">
        <f t="shared" si="67"/>
        <v>1337.5528417495348</v>
      </c>
      <c r="J135" s="60">
        <f t="shared" si="67"/>
        <v>1201.0639965896887</v>
      </c>
      <c r="K135" s="60">
        <f t="shared" si="67"/>
        <v>958.66931433917455</v>
      </c>
      <c r="L135" s="60">
        <f t="shared" si="67"/>
        <v>765.19390878845104</v>
      </c>
      <c r="M135" s="60">
        <f t="shared" si="67"/>
        <v>610.76505661449846</v>
      </c>
      <c r="N135" s="60">
        <f t="shared" si="67"/>
        <v>487.50251419531656</v>
      </c>
      <c r="O135" s="60">
        <f t="shared" si="67"/>
        <v>389.11640208120116</v>
      </c>
      <c r="P135" s="60">
        <f t="shared" si="67"/>
        <v>310.5862430649052</v>
      </c>
      <c r="Q135" s="60">
        <f t="shared" si="67"/>
        <v>247.90477570524573</v>
      </c>
      <c r="R135" s="60">
        <f t="shared" si="67"/>
        <v>197.87347054075789</v>
      </c>
      <c r="S135" s="60">
        <f t="shared" si="67"/>
        <v>157.93931453098537</v>
      </c>
      <c r="T135" s="60">
        <f t="shared" si="67"/>
        <v>126.06453511098344</v>
      </c>
      <c r="U135" s="60">
        <f t="shared" si="67"/>
        <v>0.85790424762867123</v>
      </c>
      <c r="V135" s="60">
        <f t="shared" si="67"/>
        <v>0.30569861953738758</v>
      </c>
      <c r="W135" s="60">
        <f t="shared" si="67"/>
        <v>0.10397878801019644</v>
      </c>
      <c r="X135" s="60">
        <f t="shared" si="67"/>
        <v>3.382913312719122E-2</v>
      </c>
      <c r="Y135" s="60"/>
      <c r="AA135" s="60"/>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row>
    <row r="136" spans="3:71">
      <c r="C136" s="57" t="str">
        <f t="shared" si="52"/>
        <v>Single FamilyATTIC R19 - R38_DHP</v>
      </c>
      <c r="E136" s="60">
        <f t="shared" ref="E136:X136" si="68">E70*E$88*$Z$21</f>
        <v>54.709460496399352</v>
      </c>
      <c r="F136" s="60">
        <f t="shared" si="68"/>
        <v>54.585227276472565</v>
      </c>
      <c r="G136" s="60">
        <f t="shared" si="68"/>
        <v>54.461276163018667</v>
      </c>
      <c r="H136" s="60">
        <f t="shared" si="68"/>
        <v>54.337606515435525</v>
      </c>
      <c r="I136" s="60">
        <f t="shared" si="68"/>
        <v>54.214217694575723</v>
      </c>
      <c r="J136" s="60">
        <f t="shared" si="68"/>
        <v>48.681998156468872</v>
      </c>
      <c r="K136" s="60">
        <f t="shared" si="68"/>
        <v>38.85716158825673</v>
      </c>
      <c r="L136" s="60">
        <f t="shared" si="68"/>
        <v>31.015140377824881</v>
      </c>
      <c r="M136" s="60">
        <f t="shared" si="68"/>
        <v>24.755769421585782</v>
      </c>
      <c r="N136" s="60">
        <f t="shared" si="68"/>
        <v>19.759643586617262</v>
      </c>
      <c r="O136" s="60">
        <f t="shared" si="68"/>
        <v>15.77181900594443</v>
      </c>
      <c r="P136" s="60">
        <f t="shared" si="68"/>
        <v>12.588803723400288</v>
      </c>
      <c r="Q136" s="60">
        <f t="shared" si="68"/>
        <v>10.04817384263453</v>
      </c>
      <c r="R136" s="60">
        <f t="shared" si="68"/>
        <v>8.0202853098843523</v>
      </c>
      <c r="S136" s="60">
        <f t="shared" si="68"/>
        <v>6.4016583967740548</v>
      </c>
      <c r="T136" s="60">
        <f t="shared" si="68"/>
        <v>5.1096973044689209</v>
      </c>
      <c r="U136" s="60">
        <f t="shared" si="68"/>
        <v>3.4772912284501273E-2</v>
      </c>
      <c r="V136" s="60">
        <f t="shared" si="68"/>
        <v>1.2390696644816856E-2</v>
      </c>
      <c r="W136" s="60">
        <f t="shared" si="68"/>
        <v>4.2145091190786159E-3</v>
      </c>
      <c r="X136" s="60">
        <f t="shared" si="68"/>
        <v>1.3711757251978233E-3</v>
      </c>
      <c r="Y136" s="60"/>
      <c r="AA136" s="60"/>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row>
    <row r="137" spans="3:71">
      <c r="C137" s="57" t="str">
        <f t="shared" si="52"/>
        <v>Single FamilyATTIC R19 - R38_Electric Zonal</v>
      </c>
      <c r="E137" s="60">
        <f t="shared" ref="E137:X137" si="69">E71*E$88*$Z$21</f>
        <v>626.89147799889702</v>
      </c>
      <c r="F137" s="60">
        <f t="shared" si="69"/>
        <v>625.46794455239944</v>
      </c>
      <c r="G137" s="60">
        <f t="shared" si="69"/>
        <v>624.04764363903473</v>
      </c>
      <c r="H137" s="60">
        <f t="shared" si="69"/>
        <v>622.630567918427</v>
      </c>
      <c r="I137" s="60">
        <f t="shared" si="69"/>
        <v>621.21671006686893</v>
      </c>
      <c r="J137" s="60">
        <f t="shared" si="69"/>
        <v>557.82545649955512</v>
      </c>
      <c r="K137" s="60">
        <f t="shared" si="69"/>
        <v>445.24700550661441</v>
      </c>
      <c r="L137" s="60">
        <f t="shared" si="69"/>
        <v>355.38875754546217</v>
      </c>
      <c r="M137" s="60">
        <f t="shared" si="69"/>
        <v>283.66539791996649</v>
      </c>
      <c r="N137" s="60">
        <f t="shared" si="69"/>
        <v>226.41700467072181</v>
      </c>
      <c r="O137" s="60">
        <f t="shared" si="69"/>
        <v>180.72228893608477</v>
      </c>
      <c r="P137" s="60">
        <f t="shared" si="69"/>
        <v>144.24952651324017</v>
      </c>
      <c r="Q137" s="60">
        <f t="shared" si="69"/>
        <v>115.13757390851237</v>
      </c>
      <c r="R137" s="60">
        <f t="shared" si="69"/>
        <v>91.90089732683704</v>
      </c>
      <c r="S137" s="60">
        <f t="shared" si="69"/>
        <v>73.353768390054924</v>
      </c>
      <c r="T137" s="60">
        <f t="shared" si="69"/>
        <v>58.549758419502581</v>
      </c>
      <c r="U137" s="60">
        <f t="shared" si="69"/>
        <v>0.39844740157493735</v>
      </c>
      <c r="V137" s="60">
        <f t="shared" si="69"/>
        <v>0.14197950523779029</v>
      </c>
      <c r="W137" s="60">
        <f t="shared" si="69"/>
        <v>4.8292193465751795E-2</v>
      </c>
      <c r="X137" s="60">
        <f t="shared" si="69"/>
        <v>1.5711695366143214E-2</v>
      </c>
      <c r="Y137" s="60"/>
      <c r="AA137" s="60"/>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row>
    <row r="138" spans="3:71">
      <c r="C138" s="57" t="str">
        <f t="shared" si="52"/>
        <v>Single FamilyWINDOW CL30 Prime Window Replacement of Double Pane Base_Electric Zonal</v>
      </c>
      <c r="E138" s="60">
        <f t="shared" ref="E138:X138" si="70">E72*E$88*$Z$21</f>
        <v>56733.748104356811</v>
      </c>
      <c r="F138" s="60">
        <f t="shared" si="70"/>
        <v>56604.918169980425</v>
      </c>
      <c r="G138" s="60">
        <f t="shared" si="70"/>
        <v>56476.380780210122</v>
      </c>
      <c r="H138" s="60">
        <f t="shared" si="70"/>
        <v>56348.135270741092</v>
      </c>
      <c r="I138" s="60">
        <f t="shared" si="70"/>
        <v>56220.180978777003</v>
      </c>
      <c r="J138" s="60">
        <f t="shared" si="70"/>
        <v>50483.265518723951</v>
      </c>
      <c r="K138" s="60">
        <f t="shared" si="70"/>
        <v>40294.903250664189</v>
      </c>
      <c r="L138" s="60">
        <f t="shared" si="70"/>
        <v>32162.721870243797</v>
      </c>
      <c r="M138" s="60">
        <f t="shared" si="70"/>
        <v>25671.749890244693</v>
      </c>
      <c r="N138" s="60">
        <f t="shared" si="70"/>
        <v>20490.763968487561</v>
      </c>
      <c r="O138" s="60">
        <f t="shared" si="70"/>
        <v>16355.387139846658</v>
      </c>
      <c r="P138" s="60">
        <f t="shared" si="70"/>
        <v>13054.598106036636</v>
      </c>
      <c r="Q138" s="60">
        <f t="shared" si="70"/>
        <v>10419.963175003948</v>
      </c>
      <c r="R138" s="60">
        <f t="shared" si="70"/>
        <v>8317.0413739685646</v>
      </c>
      <c r="S138" s="60">
        <f t="shared" si="70"/>
        <v>6638.524153544211</v>
      </c>
      <c r="T138" s="60">
        <f t="shared" si="70"/>
        <v>5298.7596136198363</v>
      </c>
      <c r="U138" s="60">
        <f t="shared" si="70"/>
        <v>36.05953391797069</v>
      </c>
      <c r="V138" s="60">
        <f t="shared" si="70"/>
        <v>12.849160929503295</v>
      </c>
      <c r="W138" s="60">
        <f t="shared" si="70"/>
        <v>4.3704488506344781</v>
      </c>
      <c r="X138" s="60">
        <f t="shared" si="70"/>
        <v>1.4219101686316553</v>
      </c>
      <c r="Y138" s="60"/>
      <c r="AA138" s="60"/>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row>
    <row r="139" spans="3:71">
      <c r="C139" s="57" t="str">
        <f t="shared" si="52"/>
        <v>Single FamilyWINDOW CL22 Prime Window Replacement of Double Pane Base_Electric Zonal</v>
      </c>
      <c r="E139" s="60">
        <f t="shared" ref="E139:X139" si="71">E73*E$88*$Z$21</f>
        <v>14183.437026089203</v>
      </c>
      <c r="F139" s="60">
        <f t="shared" si="71"/>
        <v>14151.229542495106</v>
      </c>
      <c r="G139" s="60">
        <f t="shared" si="71"/>
        <v>14119.09519505253</v>
      </c>
      <c r="H139" s="60">
        <f t="shared" si="71"/>
        <v>14087.033817685273</v>
      </c>
      <c r="I139" s="60">
        <f t="shared" si="71"/>
        <v>14055.045244694251</v>
      </c>
      <c r="J139" s="60">
        <f t="shared" si="71"/>
        <v>12620.816379680988</v>
      </c>
      <c r="K139" s="60">
        <f t="shared" si="71"/>
        <v>10073.725812666047</v>
      </c>
      <c r="L139" s="60">
        <f t="shared" si="71"/>
        <v>8040.6804675609492</v>
      </c>
      <c r="M139" s="60">
        <f t="shared" si="71"/>
        <v>6417.9374725611733</v>
      </c>
      <c r="N139" s="60">
        <f t="shared" si="71"/>
        <v>5122.6909921218903</v>
      </c>
      <c r="O139" s="60">
        <f t="shared" si="71"/>
        <v>4088.8467849616645</v>
      </c>
      <c r="P139" s="60">
        <f t="shared" si="71"/>
        <v>3263.6495265091589</v>
      </c>
      <c r="Q139" s="60">
        <f t="shared" si="71"/>
        <v>2604.990793750987</v>
      </c>
      <c r="R139" s="60">
        <f t="shared" si="71"/>
        <v>2079.2603434921411</v>
      </c>
      <c r="S139" s="60">
        <f t="shared" si="71"/>
        <v>1659.6310383860528</v>
      </c>
      <c r="T139" s="60">
        <f t="shared" si="71"/>
        <v>1324.6899034049591</v>
      </c>
      <c r="U139" s="60">
        <f t="shared" si="71"/>
        <v>9.0148834794926724</v>
      </c>
      <c r="V139" s="60">
        <f t="shared" si="71"/>
        <v>3.2122902323758238</v>
      </c>
      <c r="W139" s="60">
        <f t="shared" si="71"/>
        <v>1.0926122126586195</v>
      </c>
      <c r="X139" s="60">
        <f t="shared" si="71"/>
        <v>0.35547754215791383</v>
      </c>
      <c r="Y139" s="60"/>
      <c r="AA139" s="60"/>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row>
    <row r="140" spans="3:71">
      <c r="C140" s="57" t="str">
        <f t="shared" si="52"/>
        <v>Single FamilyWINDOW CL30 Prime Window Replacement of Double Pane Base_DHP</v>
      </c>
      <c r="E140" s="60">
        <f t="shared" ref="E140:X140" si="72">E74*E$88*$Z$21</f>
        <v>4951.2122267730711</v>
      </c>
      <c r="F140" s="60">
        <f t="shared" si="72"/>
        <v>4939.9691066272726</v>
      </c>
      <c r="G140" s="60">
        <f t="shared" si="72"/>
        <v>4928.7515171484747</v>
      </c>
      <c r="H140" s="60">
        <f t="shared" si="72"/>
        <v>4917.5594003621154</v>
      </c>
      <c r="I140" s="60">
        <f t="shared" si="72"/>
        <v>4906.3926984252848</v>
      </c>
      <c r="J140" s="60">
        <f t="shared" si="72"/>
        <v>4405.7262182637714</v>
      </c>
      <c r="K140" s="60">
        <f t="shared" si="72"/>
        <v>3516.5774220371923</v>
      </c>
      <c r="L140" s="60">
        <f t="shared" si="72"/>
        <v>2806.8736350247191</v>
      </c>
      <c r="M140" s="60">
        <f t="shared" si="72"/>
        <v>2240.399871086232</v>
      </c>
      <c r="N140" s="60">
        <f t="shared" si="72"/>
        <v>1788.249930360332</v>
      </c>
      <c r="O140" s="60">
        <f t="shared" si="72"/>
        <v>1427.3513646844199</v>
      </c>
      <c r="P140" s="60">
        <f t="shared" si="72"/>
        <v>1139.2881295155169</v>
      </c>
      <c r="Q140" s="60">
        <f t="shared" si="72"/>
        <v>909.36084426692025</v>
      </c>
      <c r="R140" s="60">
        <f t="shared" si="72"/>
        <v>725.83670773213601</v>
      </c>
      <c r="S140" s="60">
        <f t="shared" si="72"/>
        <v>579.35079304644648</v>
      </c>
      <c r="T140" s="60">
        <f t="shared" si="72"/>
        <v>462.42817127873099</v>
      </c>
      <c r="U140" s="60">
        <f t="shared" si="72"/>
        <v>3.1469524082559963</v>
      </c>
      <c r="V140" s="60">
        <f t="shared" si="72"/>
        <v>1.1213594169895151</v>
      </c>
      <c r="W140" s="60">
        <f t="shared" si="72"/>
        <v>0.38141354147701723</v>
      </c>
      <c r="X140" s="60">
        <f t="shared" si="72"/>
        <v>0.12409155480706498</v>
      </c>
      <c r="Y140" s="60"/>
      <c r="AA140" s="60"/>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row>
    <row r="141" spans="3:71">
      <c r="C141" s="57" t="str">
        <f t="shared" si="52"/>
        <v>Single FamilyWINDOW CL22 Prime Window Replacement of Double Pane Base_DHP</v>
      </c>
      <c r="E141" s="60">
        <f t="shared" ref="E141:X141" si="73">E75*E$88*$Z$21</f>
        <v>1237.8030566932678</v>
      </c>
      <c r="F141" s="60">
        <f t="shared" si="73"/>
        <v>1234.9922766568181</v>
      </c>
      <c r="G141" s="60">
        <f t="shared" si="73"/>
        <v>1232.1878792871187</v>
      </c>
      <c r="H141" s="60">
        <f t="shared" si="73"/>
        <v>1229.3898500905289</v>
      </c>
      <c r="I141" s="60">
        <f t="shared" si="73"/>
        <v>1226.5981746063212</v>
      </c>
      <c r="J141" s="60">
        <f t="shared" si="73"/>
        <v>1101.4315545659429</v>
      </c>
      <c r="K141" s="60">
        <f t="shared" si="73"/>
        <v>879.14435550929807</v>
      </c>
      <c r="L141" s="60">
        <f t="shared" si="73"/>
        <v>701.71840875617977</v>
      </c>
      <c r="M141" s="60">
        <f t="shared" si="73"/>
        <v>560.099967771558</v>
      </c>
      <c r="N141" s="60">
        <f t="shared" si="73"/>
        <v>447.06248259008299</v>
      </c>
      <c r="O141" s="60">
        <f t="shared" si="73"/>
        <v>356.83784117110497</v>
      </c>
      <c r="P141" s="60">
        <f t="shared" si="73"/>
        <v>284.82203237887921</v>
      </c>
      <c r="Q141" s="60">
        <f t="shared" si="73"/>
        <v>227.34021106673006</v>
      </c>
      <c r="R141" s="60">
        <f t="shared" si="73"/>
        <v>181.459176933034</v>
      </c>
      <c r="S141" s="60">
        <f t="shared" si="73"/>
        <v>144.83769826161162</v>
      </c>
      <c r="T141" s="60">
        <f t="shared" si="73"/>
        <v>115.60704281968275</v>
      </c>
      <c r="U141" s="60">
        <f t="shared" si="73"/>
        <v>0.78673810206399908</v>
      </c>
      <c r="V141" s="60">
        <f t="shared" si="73"/>
        <v>0.28033985424737878</v>
      </c>
      <c r="W141" s="60">
        <f t="shared" si="73"/>
        <v>9.5353385369254307E-2</v>
      </c>
      <c r="X141" s="60">
        <f t="shared" si="73"/>
        <v>3.1022888701766244E-2</v>
      </c>
      <c r="Y141" s="60"/>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row>
    <row r="142" spans="3:71">
      <c r="C142" s="57" t="str">
        <f t="shared" si="52"/>
        <v>Single FamilyFLOOR R0 - R30_Heat Pump</v>
      </c>
      <c r="E142" s="60">
        <f t="shared" ref="E142:X142" si="74">E76*E$88*$Z$21</f>
        <v>5780.378791516644</v>
      </c>
      <c r="F142" s="60">
        <f t="shared" si="74"/>
        <v>5767.2528154395468</v>
      </c>
      <c r="G142" s="60">
        <f t="shared" si="74"/>
        <v>5754.1566455834954</v>
      </c>
      <c r="H142" s="60">
        <f t="shared" si="74"/>
        <v>5741.0902142650766</v>
      </c>
      <c r="I142" s="60">
        <f t="shared" si="74"/>
        <v>5728.0534539545788</v>
      </c>
      <c r="J142" s="60">
        <f t="shared" si="74"/>
        <v>5143.5416675480665</v>
      </c>
      <c r="K142" s="60">
        <f t="shared" si="74"/>
        <v>4105.4894474434959</v>
      </c>
      <c r="L142" s="60">
        <f t="shared" si="74"/>
        <v>3276.9334230172039</v>
      </c>
      <c r="M142" s="60">
        <f t="shared" si="74"/>
        <v>2615.5937790983789</v>
      </c>
      <c r="N142" s="60">
        <f t="shared" si="74"/>
        <v>2087.7234701213597</v>
      </c>
      <c r="O142" s="60">
        <f t="shared" si="74"/>
        <v>1666.3861653616634</v>
      </c>
      <c r="P142" s="60">
        <f t="shared" si="74"/>
        <v>1330.0817334526255</v>
      </c>
      <c r="Q142" s="60">
        <f t="shared" si="74"/>
        <v>1061.6491269779485</v>
      </c>
      <c r="R142" s="60">
        <f t="shared" si="74"/>
        <v>847.39068319306796</v>
      </c>
      <c r="S142" s="60">
        <f t="shared" si="74"/>
        <v>676.37315541948306</v>
      </c>
      <c r="T142" s="60">
        <f t="shared" si="74"/>
        <v>539.86980792409372</v>
      </c>
      <c r="U142" s="60">
        <f t="shared" si="74"/>
        <v>3.6739642991330244</v>
      </c>
      <c r="V142" s="60">
        <f t="shared" si="74"/>
        <v>1.309150546321501</v>
      </c>
      <c r="W142" s="60">
        <f t="shared" si="74"/>
        <v>0.4452878699138122</v>
      </c>
      <c r="X142" s="60">
        <f t="shared" si="74"/>
        <v>0.14487284300486913</v>
      </c>
      <c r="Y142" s="60"/>
      <c r="AA142" s="60"/>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row>
    <row r="143" spans="3:71">
      <c r="C143" s="57" t="str">
        <f t="shared" si="52"/>
        <v>Single FamilyFLOOR R0 - R25_Heat Pump</v>
      </c>
      <c r="E143" s="60">
        <f t="shared" ref="E143:X143" si="75">E77*E$88*$Z$21</f>
        <v>2504.6572032921781</v>
      </c>
      <c r="F143" s="60">
        <f t="shared" si="75"/>
        <v>2498.969674547523</v>
      </c>
      <c r="G143" s="60">
        <f t="shared" si="75"/>
        <v>2493.2950609367963</v>
      </c>
      <c r="H143" s="60">
        <f t="shared" si="75"/>
        <v>2487.6333331325513</v>
      </c>
      <c r="I143" s="60">
        <f t="shared" si="75"/>
        <v>2481.9844618739403</v>
      </c>
      <c r="J143" s="60">
        <f t="shared" si="75"/>
        <v>2228.7135761699037</v>
      </c>
      <c r="K143" s="60">
        <f t="shared" si="75"/>
        <v>1778.9221240432557</v>
      </c>
      <c r="L143" s="60">
        <f t="shared" si="75"/>
        <v>1419.906064757296</v>
      </c>
      <c r="M143" s="60">
        <f t="shared" si="75"/>
        <v>1133.3454148921064</v>
      </c>
      <c r="N143" s="60">
        <f t="shared" si="75"/>
        <v>904.6174682523914</v>
      </c>
      <c r="O143" s="60">
        <f t="shared" si="75"/>
        <v>722.05062385616191</v>
      </c>
      <c r="P143" s="60">
        <f t="shared" si="75"/>
        <v>576.32880384044506</v>
      </c>
      <c r="Q143" s="60">
        <f t="shared" si="75"/>
        <v>460.01606973519642</v>
      </c>
      <c r="R143" s="60">
        <f t="shared" si="75"/>
        <v>367.17717907641145</v>
      </c>
      <c r="S143" s="60">
        <f t="shared" si="75"/>
        <v>293.07472000297372</v>
      </c>
      <c r="T143" s="60">
        <f t="shared" si="75"/>
        <v>233.92736912700857</v>
      </c>
      <c r="U143" s="60">
        <f t="shared" si="75"/>
        <v>1.591940853420684</v>
      </c>
      <c r="V143" s="60">
        <f t="shared" si="75"/>
        <v>0.56725925139201938</v>
      </c>
      <c r="W143" s="60">
        <f t="shared" si="75"/>
        <v>0.19294470330475202</v>
      </c>
      <c r="X143" s="60">
        <f t="shared" si="75"/>
        <v>6.2773880896195844E-2</v>
      </c>
      <c r="Y143" s="60"/>
      <c r="AA143" s="60"/>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row>
    <row r="144" spans="3:71">
      <c r="C144" s="57" t="str">
        <f t="shared" si="52"/>
        <v>Single FamilyATTIC R19 - R49_Heat Pump</v>
      </c>
      <c r="E144" s="60">
        <f t="shared" ref="E144:X144" si="76">E78*E$88*$Z$21</f>
        <v>971.19423161243242</v>
      </c>
      <c r="F144" s="60">
        <f t="shared" si="76"/>
        <v>968.98886191087126</v>
      </c>
      <c r="G144" s="60">
        <f t="shared" si="76"/>
        <v>966.78850012159171</v>
      </c>
      <c r="H144" s="60">
        <f t="shared" si="76"/>
        <v>964.59313487272038</v>
      </c>
      <c r="I144" s="60">
        <f t="shared" si="76"/>
        <v>962.4027548182072</v>
      </c>
      <c r="J144" s="60">
        <f t="shared" si="76"/>
        <v>864.19561377398907</v>
      </c>
      <c r="K144" s="60">
        <f t="shared" si="76"/>
        <v>689.786571626507</v>
      </c>
      <c r="L144" s="60">
        <f t="shared" si="76"/>
        <v>550.5761737419399</v>
      </c>
      <c r="M144" s="60">
        <f t="shared" si="76"/>
        <v>439.46074852911215</v>
      </c>
      <c r="N144" s="60">
        <f t="shared" si="76"/>
        <v>350.77026342278191</v>
      </c>
      <c r="O144" s="60">
        <f t="shared" si="76"/>
        <v>279.97899269389927</v>
      </c>
      <c r="P144" s="60">
        <f t="shared" si="76"/>
        <v>223.47457730591449</v>
      </c>
      <c r="Q144" s="60">
        <f t="shared" si="76"/>
        <v>178.37369233147248</v>
      </c>
      <c r="R144" s="60">
        <f t="shared" si="76"/>
        <v>142.37491574895455</v>
      </c>
      <c r="S144" s="60">
        <f t="shared" si="76"/>
        <v>113.64129076194119</v>
      </c>
      <c r="T144" s="60">
        <f t="shared" si="76"/>
        <v>90.706588995013263</v>
      </c>
      <c r="U144" s="60">
        <f t="shared" si="76"/>
        <v>0.61728358350920587</v>
      </c>
      <c r="V144" s="60">
        <f t="shared" si="76"/>
        <v>0.21995780981787683</v>
      </c>
      <c r="W144" s="60">
        <f t="shared" si="76"/>
        <v>7.4815341046847464E-2</v>
      </c>
      <c r="X144" s="60">
        <f t="shared" si="76"/>
        <v>2.4340908185829457E-2</v>
      </c>
      <c r="Y144" s="60"/>
      <c r="AA144" s="60"/>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row>
    <row r="145" spans="1:80">
      <c r="C145" s="57" t="str">
        <f t="shared" si="52"/>
        <v>Single FamilyATTIC R19 - R38_Heat Pump</v>
      </c>
      <c r="E145" s="60">
        <f t="shared" ref="E145:X145" si="77">E79*E$88*$Z$21</f>
        <v>451.06411243464868</v>
      </c>
      <c r="F145" s="60">
        <f t="shared" si="77"/>
        <v>450.03984448221917</v>
      </c>
      <c r="G145" s="60">
        <f t="shared" si="77"/>
        <v>449.01790241830406</v>
      </c>
      <c r="H145" s="60">
        <f t="shared" si="77"/>
        <v>447.99828096131921</v>
      </c>
      <c r="I145" s="60">
        <f t="shared" si="77"/>
        <v>446.98097484167374</v>
      </c>
      <c r="J145" s="60">
        <f t="shared" si="77"/>
        <v>401.36938092156885</v>
      </c>
      <c r="K145" s="60">
        <f t="shared" si="77"/>
        <v>320.36636706900572</v>
      </c>
      <c r="L145" s="60">
        <f t="shared" si="77"/>
        <v>255.71110809035196</v>
      </c>
      <c r="M145" s="60">
        <f t="shared" si="77"/>
        <v>204.10435526995028</v>
      </c>
      <c r="N145" s="60">
        <f t="shared" si="77"/>
        <v>162.91270313310991</v>
      </c>
      <c r="O145" s="60">
        <f t="shared" si="77"/>
        <v>130.03421121040765</v>
      </c>
      <c r="P145" s="60">
        <f t="shared" si="77"/>
        <v>103.79114556399742</v>
      </c>
      <c r="Q145" s="60">
        <f t="shared" si="77"/>
        <v>82.844366857086655</v>
      </c>
      <c r="R145" s="60">
        <f t="shared" si="77"/>
        <v>66.124996334294494</v>
      </c>
      <c r="S145" s="60">
        <f t="shared" si="77"/>
        <v>52.77987274322961</v>
      </c>
      <c r="T145" s="60">
        <f t="shared" si="77"/>
        <v>42.128016956074326</v>
      </c>
      <c r="U145" s="60">
        <f t="shared" si="77"/>
        <v>0.28669288042803381</v>
      </c>
      <c r="V145" s="60">
        <f t="shared" si="77"/>
        <v>0.10215780842710245</v>
      </c>
      <c r="W145" s="60">
        <f t="shared" si="77"/>
        <v>3.4747442177208862E-2</v>
      </c>
      <c r="X145" s="60">
        <f t="shared" si="77"/>
        <v>1.1304958152877364E-2</v>
      </c>
      <c r="Y145" s="60"/>
      <c r="AA145" s="60"/>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row>
    <row r="146" spans="1:80">
      <c r="C146" s="57" t="str">
        <f t="shared" ref="C146:C148" si="78">C80&amp;D80</f>
        <v>Single FamilyFLOOR R0 - R19_Heat Pump</v>
      </c>
      <c r="E146" s="60">
        <f t="shared" ref="E146:X146" si="79">E80*E$88*$Z$21</f>
        <v>4331.8386393460605</v>
      </c>
      <c r="F146" s="60">
        <f t="shared" si="79"/>
        <v>4322.0019811614202</v>
      </c>
      <c r="G146" s="60">
        <f t="shared" si="79"/>
        <v>4312.1876598762574</v>
      </c>
      <c r="H146" s="60">
        <f t="shared" si="79"/>
        <v>4302.3956247683582</v>
      </c>
      <c r="I146" s="60">
        <f t="shared" si="79"/>
        <v>4292.6258252306898</v>
      </c>
      <c r="J146" s="60">
        <f t="shared" si="79"/>
        <v>3854.5903896940199</v>
      </c>
      <c r="K146" s="60">
        <f t="shared" si="79"/>
        <v>3076.6699663288045</v>
      </c>
      <c r="L146" s="60">
        <f t="shared" si="79"/>
        <v>2455.7468173579646</v>
      </c>
      <c r="M146" s="60">
        <f t="shared" si="79"/>
        <v>1960.1362827225234</v>
      </c>
      <c r="N146" s="60">
        <f t="shared" si="79"/>
        <v>1564.5481935221906</v>
      </c>
      <c r="O146" s="60">
        <f t="shared" si="79"/>
        <v>1248.7963573908605</v>
      </c>
      <c r="P146" s="60">
        <f t="shared" si="79"/>
        <v>996.76849117819302</v>
      </c>
      <c r="Q146" s="60">
        <f t="shared" si="79"/>
        <v>795.60403834096189</v>
      </c>
      <c r="R146" s="60">
        <f t="shared" si="79"/>
        <v>635.03791645364868</v>
      </c>
      <c r="S146" s="60">
        <f t="shared" si="79"/>
        <v>506.87670738162552</v>
      </c>
      <c r="T146" s="60">
        <f t="shared" si="79"/>
        <v>404.58056098574832</v>
      </c>
      <c r="U146" s="60">
        <f t="shared" si="79"/>
        <v>2.7532833201034315</v>
      </c>
      <c r="V146" s="60">
        <f t="shared" si="79"/>
        <v>0.98108257707943936</v>
      </c>
      <c r="W146" s="60">
        <f t="shared" si="79"/>
        <v>0.33370048401597047</v>
      </c>
      <c r="X146" s="60">
        <f t="shared" si="79"/>
        <v>0.10856827930401919</v>
      </c>
      <c r="Y146" s="60"/>
      <c r="AA146" s="60"/>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row>
    <row r="147" spans="1:80">
      <c r="C147" s="57" t="str">
        <f t="shared" si="78"/>
        <v>Single FamilyWINDOW CL30 Prime Window Replacement of Double Pane Base_Heat Pump</v>
      </c>
      <c r="E147" s="60">
        <f t="shared" ref="E147:X147" si="80">E81*E$88*$Z$21</f>
        <v>40821.352071127789</v>
      </c>
      <c r="F147" s="60">
        <f t="shared" si="80"/>
        <v>40728.655708130493</v>
      </c>
      <c r="G147" s="60">
        <f t="shared" si="80"/>
        <v>40636.16983830103</v>
      </c>
      <c r="H147" s="60">
        <f t="shared" si="80"/>
        <v>40543.893983655449</v>
      </c>
      <c r="I147" s="60">
        <f t="shared" si="80"/>
        <v>40451.827667295212</v>
      </c>
      <c r="J147" s="60">
        <f t="shared" si="80"/>
        <v>36323.973372064218</v>
      </c>
      <c r="K147" s="60">
        <f t="shared" si="80"/>
        <v>28993.191658019095</v>
      </c>
      <c r="L147" s="60">
        <f t="shared" si="80"/>
        <v>23141.883568418056</v>
      </c>
      <c r="M147" s="60">
        <f t="shared" si="80"/>
        <v>18471.46672953797</v>
      </c>
      <c r="N147" s="60">
        <f t="shared" si="80"/>
        <v>14743.617654617377</v>
      </c>
      <c r="O147" s="60">
        <f t="shared" si="80"/>
        <v>11768.110498661108</v>
      </c>
      <c r="P147" s="60">
        <f t="shared" si="80"/>
        <v>9393.1101547065864</v>
      </c>
      <c r="Q147" s="60">
        <f t="shared" si="80"/>
        <v>7497.424364641226</v>
      </c>
      <c r="R147" s="60">
        <f t="shared" si="80"/>
        <v>5984.3194828658725</v>
      </c>
      <c r="S147" s="60">
        <f t="shared" si="80"/>
        <v>4776.5843216641479</v>
      </c>
      <c r="T147" s="60">
        <f t="shared" si="80"/>
        <v>3812.590194640034</v>
      </c>
      <c r="U147" s="60">
        <f t="shared" si="80"/>
        <v>25.94573739211873</v>
      </c>
      <c r="V147" s="60">
        <f t="shared" si="80"/>
        <v>9.2452929631411678</v>
      </c>
      <c r="W147" s="60">
        <f t="shared" si="80"/>
        <v>3.1446473607285816</v>
      </c>
      <c r="X147" s="60">
        <f t="shared" si="80"/>
        <v>1.0230999633668139</v>
      </c>
      <c r="Y147" s="60"/>
      <c r="AA147" s="60"/>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row>
    <row r="148" spans="1:80">
      <c r="C148" s="57" t="str">
        <f t="shared" si="78"/>
        <v>Single FamilyWINDOW CL22 Prime Window Replacement of Double Pane Base_Heat Pump</v>
      </c>
      <c r="E148" s="60">
        <f t="shared" ref="E148:X148" si="81">E82*E$88*$Z$21</f>
        <v>10205.338017781947</v>
      </c>
      <c r="F148" s="60">
        <f t="shared" si="81"/>
        <v>10182.163927032623</v>
      </c>
      <c r="G148" s="60">
        <f t="shared" si="81"/>
        <v>10159.042459575257</v>
      </c>
      <c r="H148" s="60">
        <f t="shared" si="81"/>
        <v>10135.973495913862</v>
      </c>
      <c r="I148" s="60">
        <f t="shared" si="81"/>
        <v>10112.956916823803</v>
      </c>
      <c r="J148" s="60">
        <f t="shared" si="81"/>
        <v>9080.9933430160545</v>
      </c>
      <c r="K148" s="60">
        <f t="shared" si="81"/>
        <v>7248.2979145047739</v>
      </c>
      <c r="L148" s="60">
        <f t="shared" si="81"/>
        <v>5785.470892104514</v>
      </c>
      <c r="M148" s="60">
        <f t="shared" si="81"/>
        <v>4617.8666823844924</v>
      </c>
      <c r="N148" s="60">
        <f t="shared" si="81"/>
        <v>3685.9044136543444</v>
      </c>
      <c r="O148" s="60">
        <f t="shared" si="81"/>
        <v>2942.027624665277</v>
      </c>
      <c r="P148" s="60">
        <f t="shared" si="81"/>
        <v>2348.2775386766466</v>
      </c>
      <c r="Q148" s="60">
        <f t="shared" si="81"/>
        <v>1874.3560911603065</v>
      </c>
      <c r="R148" s="60">
        <f t="shared" si="81"/>
        <v>1496.0798707164681</v>
      </c>
      <c r="S148" s="60">
        <f t="shared" si="81"/>
        <v>1194.146080416037</v>
      </c>
      <c r="T148" s="60">
        <f t="shared" si="81"/>
        <v>953.14754866000851</v>
      </c>
      <c r="U148" s="60">
        <f t="shared" si="81"/>
        <v>6.4864343480296824</v>
      </c>
      <c r="V148" s="60">
        <f t="shared" si="81"/>
        <v>2.3113232407852919</v>
      </c>
      <c r="W148" s="60">
        <f t="shared" si="81"/>
        <v>0.78616184018214541</v>
      </c>
      <c r="X148" s="60">
        <f t="shared" si="81"/>
        <v>0.25577499084170346</v>
      </c>
      <c r="Y148" s="60"/>
      <c r="AA148" s="60"/>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row>
    <row r="149" spans="1:80">
      <c r="E149" s="60"/>
      <c r="F149" s="60"/>
      <c r="G149" s="60"/>
      <c r="H149" s="60"/>
      <c r="I149" s="60"/>
      <c r="J149" s="60"/>
      <c r="K149" s="60"/>
      <c r="L149" s="60"/>
      <c r="M149" s="60"/>
      <c r="N149" s="60"/>
      <c r="O149" s="60"/>
      <c r="P149" s="60"/>
      <c r="Q149" s="60"/>
      <c r="R149" s="60"/>
      <c r="S149" s="60"/>
      <c r="T149" s="60"/>
      <c r="U149" s="60"/>
      <c r="V149" s="60"/>
      <c r="W149" s="60"/>
      <c r="X149" s="60"/>
      <c r="Y149" s="60"/>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row>
    <row r="150" spans="1:80">
      <c r="C150" s="57" t="s">
        <v>243</v>
      </c>
      <c r="E150" s="60">
        <f>SUM(E89:E148)</f>
        <v>279416.85319142608</v>
      </c>
      <c r="F150" s="60">
        <f>SUM(F89:F148)</f>
        <v>278782.35862579115</v>
      </c>
      <c r="G150" s="60">
        <f t="shared" ref="G150:X150" si="82">SUM(G89:G148)</f>
        <v>278149.30485855218</v>
      </c>
      <c r="H150" s="60">
        <f t="shared" si="82"/>
        <v>277517.68861797074</v>
      </c>
      <c r="I150" s="60">
        <f t="shared" si="82"/>
        <v>276887.50663973833</v>
      </c>
      <c r="J150" s="60">
        <f t="shared" si="82"/>
        <v>248632.88010026299</v>
      </c>
      <c r="K150" s="60">
        <f t="shared" si="82"/>
        <v>198454.63136409497</v>
      </c>
      <c r="L150" s="60">
        <f t="shared" si="82"/>
        <v>158403.18743835026</v>
      </c>
      <c r="M150" s="60">
        <f t="shared" si="82"/>
        <v>126434.79075373583</v>
      </c>
      <c r="N150" s="60">
        <f t="shared" si="82"/>
        <v>100918.14799599622</v>
      </c>
      <c r="O150" s="60">
        <f>SUM(O89:O148)</f>
        <v>80551.187962011711</v>
      </c>
      <c r="P150" s="60">
        <f t="shared" si="82"/>
        <v>64294.61906443983</v>
      </c>
      <c r="Q150" s="60">
        <f t="shared" si="82"/>
        <v>51318.896036529579</v>
      </c>
      <c r="R150" s="60">
        <f t="shared" si="82"/>
        <v>40961.889637584638</v>
      </c>
      <c r="S150" s="60">
        <f t="shared" si="82"/>
        <v>32695.099315607396</v>
      </c>
      <c r="T150" s="60">
        <f t="shared" si="82"/>
        <v>26096.684716336818</v>
      </c>
      <c r="U150" s="60">
        <f t="shared" si="82"/>
        <v>177.59520270678391</v>
      </c>
      <c r="V150" s="60">
        <f t="shared" si="82"/>
        <v>63.282829586158073</v>
      </c>
      <c r="W150" s="60">
        <f t="shared" si="82"/>
        <v>21.524702768308583</v>
      </c>
      <c r="X150" s="60">
        <f t="shared" si="82"/>
        <v>7.0029863725755934</v>
      </c>
      <c r="Y150" s="60"/>
      <c r="AA150" s="60">
        <f t="shared" ref="AA150" si="83">SUM(E150:Y150)</f>
        <v>2519785.1320398627</v>
      </c>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row>
    <row r="151" spans="1:80">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row>
    <row r="152" spans="1:80">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row>
    <row r="153" spans="1:80">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row>
    <row r="154" spans="1:80">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row>
    <row r="155" spans="1:80" ht="15">
      <c r="A155" s="202" t="s">
        <v>244</v>
      </c>
      <c r="C155" s="209" t="str">
        <f>C8</f>
        <v>ResWx</v>
      </c>
      <c r="D155" s="209"/>
      <c r="E155" s="209" t="s">
        <v>1364</v>
      </c>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row>
    <row r="156" spans="1:80" ht="15">
      <c r="A156" s="209" t="s">
        <v>245</v>
      </c>
      <c r="B156" s="209" t="s">
        <v>1370</v>
      </c>
      <c r="C156" s="209">
        <v>1</v>
      </c>
      <c r="D156" s="209"/>
      <c r="E156" s="203">
        <f t="shared" ref="E156:X156" si="84">E11</f>
        <v>2016</v>
      </c>
      <c r="F156" s="204">
        <f t="shared" si="84"/>
        <v>2017</v>
      </c>
      <c r="G156" s="204">
        <f t="shared" si="84"/>
        <v>2018</v>
      </c>
      <c r="H156" s="204">
        <f t="shared" si="84"/>
        <v>2019</v>
      </c>
      <c r="I156" s="204">
        <f t="shared" si="84"/>
        <v>2020</v>
      </c>
      <c r="J156" s="204">
        <f t="shared" si="84"/>
        <v>2021</v>
      </c>
      <c r="K156" s="204">
        <f t="shared" si="84"/>
        <v>2022</v>
      </c>
      <c r="L156" s="204">
        <f t="shared" si="84"/>
        <v>2023</v>
      </c>
      <c r="M156" s="204">
        <f t="shared" si="84"/>
        <v>2024</v>
      </c>
      <c r="N156" s="204">
        <f t="shared" si="84"/>
        <v>2025</v>
      </c>
      <c r="O156" s="204">
        <f t="shared" si="84"/>
        <v>2026</v>
      </c>
      <c r="P156" s="204">
        <f t="shared" si="84"/>
        <v>2027</v>
      </c>
      <c r="Q156" s="204">
        <f t="shared" si="84"/>
        <v>2028</v>
      </c>
      <c r="R156" s="204">
        <f t="shared" si="84"/>
        <v>2029</v>
      </c>
      <c r="S156" s="204">
        <f t="shared" si="84"/>
        <v>2030</v>
      </c>
      <c r="T156" s="204">
        <f t="shared" si="84"/>
        <v>2031</v>
      </c>
      <c r="U156" s="204">
        <f t="shared" si="84"/>
        <v>2032</v>
      </c>
      <c r="V156" s="204">
        <f t="shared" si="84"/>
        <v>2033</v>
      </c>
      <c r="W156" s="204">
        <f t="shared" si="84"/>
        <v>2034</v>
      </c>
      <c r="X156" s="204">
        <f t="shared" si="84"/>
        <v>2035</v>
      </c>
      <c r="Y156" s="205" t="s">
        <v>1363</v>
      </c>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row>
    <row r="157" spans="1:80" ht="15">
      <c r="A157" s="209" t="s">
        <v>33</v>
      </c>
      <c r="B157" s="209" t="s">
        <v>246</v>
      </c>
      <c r="C157" s="209" t="s">
        <v>247</v>
      </c>
      <c r="D157" s="209" t="s">
        <v>248</v>
      </c>
      <c r="E157" s="206" t="str">
        <f>CONCATENATE("aMW_",E156)</f>
        <v>aMW_2016</v>
      </c>
      <c r="F157" s="207" t="str">
        <f t="shared" ref="F157:X157" si="85">CONCATENATE("aMW_",F156)</f>
        <v>aMW_2017</v>
      </c>
      <c r="G157" s="207" t="str">
        <f t="shared" si="85"/>
        <v>aMW_2018</v>
      </c>
      <c r="H157" s="207" t="str">
        <f t="shared" si="85"/>
        <v>aMW_2019</v>
      </c>
      <c r="I157" s="207" t="str">
        <f t="shared" si="85"/>
        <v>aMW_2020</v>
      </c>
      <c r="J157" s="207" t="str">
        <f t="shared" si="85"/>
        <v>aMW_2021</v>
      </c>
      <c r="K157" s="207" t="str">
        <f t="shared" si="85"/>
        <v>aMW_2022</v>
      </c>
      <c r="L157" s="207" t="str">
        <f t="shared" si="85"/>
        <v>aMW_2023</v>
      </c>
      <c r="M157" s="207" t="str">
        <f t="shared" si="85"/>
        <v>aMW_2024</v>
      </c>
      <c r="N157" s="207" t="str">
        <f t="shared" si="85"/>
        <v>aMW_2025</v>
      </c>
      <c r="O157" s="207" t="str">
        <f t="shared" si="85"/>
        <v>aMW_2026</v>
      </c>
      <c r="P157" s="207" t="str">
        <f t="shared" si="85"/>
        <v>aMW_2027</v>
      </c>
      <c r="Q157" s="207" t="str">
        <f t="shared" si="85"/>
        <v>aMW_2028</v>
      </c>
      <c r="R157" s="207" t="str">
        <f t="shared" si="85"/>
        <v>aMW_2029</v>
      </c>
      <c r="S157" s="207" t="str">
        <f t="shared" si="85"/>
        <v>aMW_2030</v>
      </c>
      <c r="T157" s="207" t="str">
        <f t="shared" si="85"/>
        <v>aMW_2031</v>
      </c>
      <c r="U157" s="207" t="str">
        <f t="shared" si="85"/>
        <v>aMW_2032</v>
      </c>
      <c r="V157" s="207" t="str">
        <f t="shared" si="85"/>
        <v>aMW_2033</v>
      </c>
      <c r="W157" s="207" t="str">
        <f t="shared" si="85"/>
        <v>aMW_2034</v>
      </c>
      <c r="X157" s="207" t="str">
        <f t="shared" si="85"/>
        <v>aMW_2035</v>
      </c>
      <c r="Y157" s="208" t="s">
        <v>1363</v>
      </c>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row>
    <row r="158" spans="1:80">
      <c r="A158" s="211">
        <f t="shared" ref="A158:A187" si="86">VLOOKUP(CONCATENATE($D158),MeasureOutput,3,FALSE)</f>
        <v>1989.2959574313022</v>
      </c>
      <c r="B158" s="211">
        <f t="shared" ref="B158:B187" si="87">VLOOKUP(CONCATENATE($D158),MeasureOutput,11,FALSE)</f>
        <v>-10.428816981598308</v>
      </c>
      <c r="C158" s="57" t="str">
        <f>C13</f>
        <v>Single Family</v>
      </c>
      <c r="D158" s="60" t="str">
        <f t="shared" ref="D158:D189" si="88">D23</f>
        <v>ATTIC R0 - R38_Electric FAF</v>
      </c>
      <c r="E158" s="61">
        <f t="shared" ref="E158:N167" si="89">VLOOKUP($C158&amp;$D158,$C$89:$Y$148,E$22,FALSE)*$C$156*$A158/8760/1000</f>
        <v>0.14673044360596785</v>
      </c>
      <c r="F158" s="61">
        <f t="shared" si="89"/>
        <v>0.14639725085822264</v>
      </c>
      <c r="G158" s="61">
        <f t="shared" si="89"/>
        <v>0.14606481471833888</v>
      </c>
      <c r="H158" s="61">
        <f t="shared" si="89"/>
        <v>0.14573313346822561</v>
      </c>
      <c r="I158" s="61">
        <f t="shared" si="89"/>
        <v>0.14540220539369331</v>
      </c>
      <c r="J158" s="61">
        <f t="shared" si="89"/>
        <v>0.13056482590600038</v>
      </c>
      <c r="K158" s="61">
        <f t="shared" si="89"/>
        <v>0.10421467339252824</v>
      </c>
      <c r="L158" s="61">
        <f t="shared" si="89"/>
        <v>8.3182419728652243E-2</v>
      </c>
      <c r="M158" s="61">
        <f t="shared" si="89"/>
        <v>6.6394824516235171E-2</v>
      </c>
      <c r="N158" s="61">
        <f t="shared" si="89"/>
        <v>5.2995245112149945E-2</v>
      </c>
      <c r="O158" s="61">
        <f t="shared" ref="O158:X167" si="90">VLOOKUP($C158&amp;$D158,$C$89:$Y$148,O$22,FALSE)*$C$156*$A158/8760/1000</f>
        <v>4.2299923600371984E-2</v>
      </c>
      <c r="P158" s="61">
        <f t="shared" si="90"/>
        <v>3.3763095779834155E-2</v>
      </c>
      <c r="Q158" s="61">
        <f t="shared" si="90"/>
        <v>2.6949141738597145E-2</v>
      </c>
      <c r="R158" s="61">
        <f t="shared" si="90"/>
        <v>2.1510356905150064E-2</v>
      </c>
      <c r="S158" s="61">
        <f t="shared" si="90"/>
        <v>1.716920927111585E-2</v>
      </c>
      <c r="T158" s="61">
        <f t="shared" si="90"/>
        <v>1.3704177401389048E-2</v>
      </c>
      <c r="U158" s="61">
        <f t="shared" si="90"/>
        <v>9.326074135408592E-5</v>
      </c>
      <c r="V158" s="61">
        <f t="shared" si="90"/>
        <v>3.3231773788019906E-5</v>
      </c>
      <c r="W158" s="61">
        <f t="shared" si="90"/>
        <v>1.1303288078750133E-5</v>
      </c>
      <c r="X158" s="61">
        <f t="shared" si="90"/>
        <v>3.6774850381361873E-6</v>
      </c>
      <c r="Y158" s="61">
        <f>VLOOKUP($D158,$D$23:$Z$82,$X$22+1,FALSE)*$C$156*$A158/8760/1000</f>
        <v>1.2848277238439725</v>
      </c>
      <c r="AA158" s="61">
        <f>SUM(E158:X158)</f>
        <v>1.3232172146847316</v>
      </c>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row>
    <row r="159" spans="1:80">
      <c r="A159" s="211">
        <f t="shared" si="86"/>
        <v>2017.4633697725581</v>
      </c>
      <c r="B159" s="211">
        <f t="shared" si="87"/>
        <v>-8.1179366910875217</v>
      </c>
      <c r="C159" s="57" t="str">
        <f t="shared" ref="C159:C190" si="91">$C$158</f>
        <v>Single Family</v>
      </c>
      <c r="D159" s="60" t="str">
        <f t="shared" si="88"/>
        <v>ATTIC R0 - R49_Electric FAF</v>
      </c>
      <c r="E159" s="61">
        <f t="shared" si="89"/>
        <v>7.9288178459009581E-2</v>
      </c>
      <c r="F159" s="61">
        <f t="shared" si="89"/>
        <v>7.9108132345911089E-2</v>
      </c>
      <c r="G159" s="61">
        <f t="shared" si="89"/>
        <v>7.8928495078159716E-2</v>
      </c>
      <c r="H159" s="61">
        <f t="shared" si="89"/>
        <v>7.8749265727357007E-2</v>
      </c>
      <c r="I159" s="61">
        <f t="shared" si="89"/>
        <v>7.8570443367212889E-2</v>
      </c>
      <c r="J159" s="61">
        <f t="shared" si="89"/>
        <v>7.0552824366186456E-2</v>
      </c>
      <c r="K159" s="61">
        <f t="shared" si="89"/>
        <v>5.631409146546125E-2</v>
      </c>
      <c r="L159" s="61">
        <f t="shared" si="89"/>
        <v>4.4948971583626908E-2</v>
      </c>
      <c r="M159" s="61">
        <f t="shared" si="89"/>
        <v>3.5877521839535728E-2</v>
      </c>
      <c r="N159" s="61">
        <f t="shared" si="89"/>
        <v>2.8636841467030098E-2</v>
      </c>
      <c r="O159" s="61">
        <f t="shared" si="90"/>
        <v>2.2857450770307323E-2</v>
      </c>
      <c r="P159" s="61">
        <f t="shared" si="90"/>
        <v>1.8244437198793036E-2</v>
      </c>
      <c r="Q159" s="61">
        <f t="shared" si="90"/>
        <v>1.4562406457552126E-2</v>
      </c>
      <c r="R159" s="61">
        <f t="shared" si="90"/>
        <v>1.1623470733807286E-2</v>
      </c>
      <c r="S159" s="61">
        <f t="shared" si="90"/>
        <v>9.2776610990423503E-3</v>
      </c>
      <c r="T159" s="61">
        <f t="shared" si="90"/>
        <v>7.4052748477553675E-3</v>
      </c>
      <c r="U159" s="61">
        <f t="shared" si="90"/>
        <v>5.0394956370196306E-5</v>
      </c>
      <c r="V159" s="61">
        <f t="shared" si="90"/>
        <v>1.7957328730564767E-5</v>
      </c>
      <c r="W159" s="61">
        <f t="shared" si="90"/>
        <v>6.1079153060304998E-6</v>
      </c>
      <c r="X159" s="61">
        <f t="shared" si="90"/>
        <v>1.9871887715891862E-6</v>
      </c>
      <c r="Y159" s="61">
        <f t="shared" ref="Y159:Y189" si="92">VLOOKUP($D159,$D$23:$Z$82,$X$22+1,FALSE)*$C$156*$A159/8760/1000</f>
        <v>0.6942775292821417</v>
      </c>
      <c r="AA159" s="61">
        <f t="shared" ref="AA159:AA217" si="93">SUM(E159:X159)</f>
        <v>0.71502191419592642</v>
      </c>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row>
    <row r="160" spans="1:80">
      <c r="A160" s="211">
        <f t="shared" si="86"/>
        <v>1472.3208251380622</v>
      </c>
      <c r="B160" s="211">
        <f t="shared" si="87"/>
        <v>-4.2774845005057509</v>
      </c>
      <c r="C160" s="57" t="str">
        <f t="shared" si="91"/>
        <v>Single Family</v>
      </c>
      <c r="D160" s="60" t="str">
        <f t="shared" si="88"/>
        <v>ATTIC R0 - R38_Electric Zonal</v>
      </c>
      <c r="E160" s="61">
        <f t="shared" si="89"/>
        <v>0.38724972659650897</v>
      </c>
      <c r="F160" s="61">
        <f t="shared" si="89"/>
        <v>0.38637036715822642</v>
      </c>
      <c r="G160" s="61">
        <f t="shared" si="89"/>
        <v>0.38549300455291413</v>
      </c>
      <c r="H160" s="61">
        <f t="shared" si="89"/>
        <v>0.38461763424620066</v>
      </c>
      <c r="I160" s="61">
        <f t="shared" si="89"/>
        <v>0.383744251714012</v>
      </c>
      <c r="J160" s="61">
        <f t="shared" si="89"/>
        <v>0.34458556719829203</v>
      </c>
      <c r="K160" s="61">
        <f t="shared" si="89"/>
        <v>0.27504247098834245</v>
      </c>
      <c r="L160" s="61">
        <f t="shared" si="89"/>
        <v>0.21953432775041704</v>
      </c>
      <c r="M160" s="61">
        <f t="shared" si="89"/>
        <v>0.1752286506430866</v>
      </c>
      <c r="N160" s="61">
        <f t="shared" si="89"/>
        <v>0.1398645957597334</v>
      </c>
      <c r="O160" s="61">
        <f t="shared" si="90"/>
        <v>0.11163759508071869</v>
      </c>
      <c r="P160" s="61">
        <f t="shared" si="90"/>
        <v>8.9107272413785202E-2</v>
      </c>
      <c r="Q160" s="61">
        <f t="shared" si="90"/>
        <v>7.1123943428586855E-2</v>
      </c>
      <c r="R160" s="61">
        <f t="shared" si="90"/>
        <v>5.6769949206191155E-2</v>
      </c>
      <c r="S160" s="61">
        <f t="shared" si="90"/>
        <v>4.5312829653623703E-2</v>
      </c>
      <c r="T160" s="61">
        <f t="shared" si="90"/>
        <v>3.6167947301851681E-2</v>
      </c>
      <c r="U160" s="61">
        <f t="shared" si="90"/>
        <v>2.461329476283859E-4</v>
      </c>
      <c r="V160" s="61">
        <f t="shared" si="90"/>
        <v>8.7705011976153618E-5</v>
      </c>
      <c r="W160" s="61">
        <f t="shared" si="90"/>
        <v>2.9831540821154708E-5</v>
      </c>
      <c r="X160" s="61">
        <f t="shared" si="90"/>
        <v>9.7055869292217492E-6</v>
      </c>
      <c r="Y160" s="61">
        <f t="shared" si="92"/>
        <v>3.3909062942542407</v>
      </c>
      <c r="AA160" s="61">
        <f t="shared" si="93"/>
        <v>3.492223508779845</v>
      </c>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row>
    <row r="161" spans="1:80">
      <c r="A161" s="211">
        <f t="shared" si="86"/>
        <v>1410.4445457359341</v>
      </c>
      <c r="B161" s="211">
        <f t="shared" si="87"/>
        <v>-2.2723506639345135</v>
      </c>
      <c r="C161" s="57" t="str">
        <f t="shared" si="91"/>
        <v>Single Family</v>
      </c>
      <c r="D161" s="60" t="str">
        <f t="shared" si="88"/>
        <v>ATTIC R0 - R38_DHP</v>
      </c>
      <c r="E161" s="61">
        <f t="shared" si="89"/>
        <v>3.2375370461901878E-2</v>
      </c>
      <c r="F161" s="61">
        <f t="shared" si="89"/>
        <v>3.2301853076018149E-2</v>
      </c>
      <c r="G161" s="61">
        <f t="shared" si="89"/>
        <v>3.2228502632039649E-2</v>
      </c>
      <c r="H161" s="61">
        <f t="shared" si="89"/>
        <v>3.21553187508778E-2</v>
      </c>
      <c r="I161" s="61">
        <f t="shared" si="89"/>
        <v>3.2082301054304901E-2</v>
      </c>
      <c r="J161" s="61">
        <f t="shared" si="89"/>
        <v>2.8808504248456872E-2</v>
      </c>
      <c r="K161" s="61">
        <f t="shared" si="89"/>
        <v>2.2994469148541325E-2</v>
      </c>
      <c r="L161" s="61">
        <f t="shared" si="89"/>
        <v>1.83538029903632E-2</v>
      </c>
      <c r="M161" s="61">
        <f t="shared" si="89"/>
        <v>1.4649700414172616E-2</v>
      </c>
      <c r="N161" s="61">
        <f t="shared" si="89"/>
        <v>1.1693147318716119E-2</v>
      </c>
      <c r="O161" s="61">
        <f t="shared" si="90"/>
        <v>9.3332757907404716E-3</v>
      </c>
      <c r="P161" s="61">
        <f t="shared" si="90"/>
        <v>7.4496655700722501E-3</v>
      </c>
      <c r="Q161" s="61">
        <f t="shared" si="90"/>
        <v>5.9461992070328545E-3</v>
      </c>
      <c r="R161" s="61">
        <f t="shared" si="90"/>
        <v>4.7461573512453973E-3</v>
      </c>
      <c r="S161" s="61">
        <f t="shared" si="90"/>
        <v>3.7883038927014326E-3</v>
      </c>
      <c r="T161" s="61">
        <f t="shared" si="90"/>
        <v>3.0237611864450797E-3</v>
      </c>
      <c r="U161" s="61">
        <f t="shared" si="90"/>
        <v>2.0577536444981765E-5</v>
      </c>
      <c r="V161" s="61">
        <f t="shared" si="90"/>
        <v>7.3324319142827572E-6</v>
      </c>
      <c r="W161" s="61">
        <f t="shared" si="90"/>
        <v>2.494016442626299E-6</v>
      </c>
      <c r="X161" s="61">
        <f t="shared" si="90"/>
        <v>8.1141948154594113E-7</v>
      </c>
      <c r="Y161" s="61">
        <f t="shared" si="92"/>
        <v>0.2834910909891023</v>
      </c>
      <c r="AA161" s="61">
        <f t="shared" si="93"/>
        <v>0.2919615484979135</v>
      </c>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row>
    <row r="162" spans="1:80">
      <c r="A162" s="211">
        <f t="shared" si="86"/>
        <v>1493.0432070782967</v>
      </c>
      <c r="B162" s="211">
        <f t="shared" si="87"/>
        <v>-1.1654223661305556</v>
      </c>
      <c r="C162" s="57" t="str">
        <f t="shared" si="91"/>
        <v>Single Family</v>
      </c>
      <c r="D162" s="60" t="str">
        <f t="shared" si="88"/>
        <v>ATTIC R0 - R49_Electric Zonal</v>
      </c>
      <c r="E162" s="61">
        <f t="shared" si="89"/>
        <v>0.20923917199707029</v>
      </c>
      <c r="F162" s="61">
        <f t="shared" si="89"/>
        <v>0.20876403559769519</v>
      </c>
      <c r="G162" s="61">
        <f t="shared" si="89"/>
        <v>0.20828997812917172</v>
      </c>
      <c r="H162" s="61">
        <f t="shared" si="89"/>
        <v>0.20781699714148372</v>
      </c>
      <c r="I162" s="61">
        <f t="shared" si="89"/>
        <v>0.20734509019017872</v>
      </c>
      <c r="J162" s="61">
        <f t="shared" si="89"/>
        <v>0.18618682935271938</v>
      </c>
      <c r="K162" s="61">
        <f t="shared" si="89"/>
        <v>0.14861123182558708</v>
      </c>
      <c r="L162" s="61">
        <f t="shared" si="89"/>
        <v>0.11861901457529608</v>
      </c>
      <c r="M162" s="61">
        <f t="shared" si="89"/>
        <v>9.4679725387968428E-2</v>
      </c>
      <c r="N162" s="61">
        <f t="shared" si="89"/>
        <v>7.5571782750318353E-2</v>
      </c>
      <c r="O162" s="61">
        <f t="shared" si="90"/>
        <v>6.032014060728421E-2</v>
      </c>
      <c r="P162" s="61">
        <f t="shared" si="90"/>
        <v>4.8146533407896971E-2</v>
      </c>
      <c r="Q162" s="61">
        <f t="shared" si="90"/>
        <v>3.8429762528070274E-2</v>
      </c>
      <c r="R162" s="61">
        <f t="shared" si="90"/>
        <v>3.0673997553511145E-2</v>
      </c>
      <c r="S162" s="61">
        <f t="shared" si="90"/>
        <v>2.4483474890732146E-2</v>
      </c>
      <c r="T162" s="61">
        <f t="shared" si="90"/>
        <v>1.9542302618997746E-2</v>
      </c>
      <c r="U162" s="61">
        <f t="shared" si="90"/>
        <v>1.3299080832308068E-4</v>
      </c>
      <c r="V162" s="61">
        <f t="shared" si="90"/>
        <v>4.7388862600810802E-5</v>
      </c>
      <c r="W162" s="61">
        <f t="shared" si="90"/>
        <v>1.6118608928855165E-5</v>
      </c>
      <c r="X162" s="61">
        <f t="shared" si="90"/>
        <v>5.2441327477860481E-6</v>
      </c>
      <c r="Y162" s="61">
        <f t="shared" si="92"/>
        <v>1.8321779890336207</v>
      </c>
      <c r="AA162" s="61">
        <f t="shared" si="93"/>
        <v>1.8869218109665822</v>
      </c>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row>
    <row r="163" spans="1:80">
      <c r="A163" s="211">
        <f t="shared" si="86"/>
        <v>1430.1806332760389</v>
      </c>
      <c r="B163" s="211">
        <f t="shared" si="87"/>
        <v>1.0991025649408628</v>
      </c>
      <c r="C163" s="57" t="str">
        <f t="shared" si="91"/>
        <v>Single Family</v>
      </c>
      <c r="D163" s="60" t="str">
        <f t="shared" si="88"/>
        <v>ATTIC R0 - R49_DHP</v>
      </c>
      <c r="E163" s="61">
        <f t="shared" si="89"/>
        <v>1.749168209763597E-2</v>
      </c>
      <c r="F163" s="61">
        <f t="shared" si="89"/>
        <v>1.7451962312991634E-2</v>
      </c>
      <c r="G163" s="61">
        <f t="shared" si="89"/>
        <v>1.7412332723291579E-2</v>
      </c>
      <c r="H163" s="61">
        <f t="shared" si="89"/>
        <v>1.7372793123722807E-2</v>
      </c>
      <c r="I163" s="61">
        <f t="shared" si="89"/>
        <v>1.7333343309937431E-2</v>
      </c>
      <c r="J163" s="61">
        <f t="shared" si="89"/>
        <v>1.556458477024639E-2</v>
      </c>
      <c r="K163" s="61">
        <f t="shared" si="89"/>
        <v>1.2423392801743871E-2</v>
      </c>
      <c r="L163" s="61">
        <f t="shared" si="89"/>
        <v>9.9161455949318047E-3</v>
      </c>
      <c r="M163" s="61">
        <f t="shared" si="89"/>
        <v>7.9149025575431277E-3</v>
      </c>
      <c r="N163" s="61">
        <f t="shared" si="89"/>
        <v>6.3175436358479144E-3</v>
      </c>
      <c r="O163" s="61">
        <f t="shared" si="90"/>
        <v>5.0425583007090618E-3</v>
      </c>
      <c r="P163" s="61">
        <f t="shared" si="90"/>
        <v>4.0248862028852599E-3</v>
      </c>
      <c r="Q163" s="61">
        <f t="shared" si="90"/>
        <v>3.2125972532431012E-3</v>
      </c>
      <c r="R163" s="61">
        <f t="shared" si="90"/>
        <v>2.5642417179761782E-3</v>
      </c>
      <c r="S163" s="61">
        <f t="shared" si="90"/>
        <v>2.0467351086637621E-3</v>
      </c>
      <c r="T163" s="61">
        <f t="shared" si="90"/>
        <v>1.6336699366794167E-3</v>
      </c>
      <c r="U163" s="61">
        <f t="shared" si="90"/>
        <v>1.1117578601044833E-5</v>
      </c>
      <c r="V163" s="61">
        <f t="shared" si="90"/>
        <v>3.9615475040856092E-6</v>
      </c>
      <c r="W163" s="61">
        <f t="shared" si="90"/>
        <v>1.3474608054919991E-6</v>
      </c>
      <c r="X163" s="61">
        <f t="shared" si="90"/>
        <v>4.3839163588049429E-7</v>
      </c>
      <c r="Y163" s="61">
        <f t="shared" si="92"/>
        <v>0.15316383937378028</v>
      </c>
      <c r="AA163" s="61">
        <f t="shared" si="93"/>
        <v>0.15774023642659582</v>
      </c>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row r="164" spans="1:80">
      <c r="A164" s="211">
        <f t="shared" si="86"/>
        <v>2203.2727260729475</v>
      </c>
      <c r="B164" s="211">
        <f t="shared" si="87"/>
        <v>-3.9919083317794515</v>
      </c>
      <c r="C164" s="57" t="str">
        <f t="shared" si="91"/>
        <v>Single Family</v>
      </c>
      <c r="D164" s="60" t="str">
        <f t="shared" si="88"/>
        <v>WALL R0 - R11_Electric FAF</v>
      </c>
      <c r="E164" s="61">
        <f t="shared" si="89"/>
        <v>0.45640854677826287</v>
      </c>
      <c r="F164" s="61">
        <f t="shared" si="89"/>
        <v>0.45537214278425714</v>
      </c>
      <c r="G164" s="61">
        <f t="shared" si="89"/>
        <v>0.45433809223706206</v>
      </c>
      <c r="H164" s="61">
        <f t="shared" si="89"/>
        <v>0.45330638979251481</v>
      </c>
      <c r="I164" s="61">
        <f t="shared" si="89"/>
        <v>0.45227703011858766</v>
      </c>
      <c r="J164" s="61">
        <f t="shared" si="89"/>
        <v>0.40612500710582478</v>
      </c>
      <c r="K164" s="61">
        <f t="shared" si="89"/>
        <v>0.32416222882679646</v>
      </c>
      <c r="L164" s="61">
        <f t="shared" si="89"/>
        <v>0.25874090183906145</v>
      </c>
      <c r="M164" s="61">
        <f t="shared" si="89"/>
        <v>0.20652268626972362</v>
      </c>
      <c r="N164" s="61">
        <f t="shared" si="89"/>
        <v>0.16484297473227594</v>
      </c>
      <c r="O164" s="61">
        <f t="shared" si="90"/>
        <v>0.13157492191001666</v>
      </c>
      <c r="P164" s="61">
        <f t="shared" si="90"/>
        <v>0.10502091523004607</v>
      </c>
      <c r="Q164" s="61">
        <f t="shared" si="90"/>
        <v>8.3825948559555011E-2</v>
      </c>
      <c r="R164" s="61">
        <f t="shared" si="90"/>
        <v>6.6908478530368271E-2</v>
      </c>
      <c r="S164" s="61">
        <f t="shared" si="90"/>
        <v>5.3405235206711713E-2</v>
      </c>
      <c r="T164" s="61">
        <f t="shared" si="90"/>
        <v>4.2627170877748879E-2</v>
      </c>
      <c r="U164" s="61">
        <f t="shared" si="90"/>
        <v>2.9008976178922008E-4</v>
      </c>
      <c r="V164" s="61">
        <f t="shared" si="90"/>
        <v>1.033682254937124E-4</v>
      </c>
      <c r="W164" s="61">
        <f t="shared" si="90"/>
        <v>3.5159147338859321E-5</v>
      </c>
      <c r="X164" s="61">
        <f t="shared" si="90"/>
        <v>1.143890497981344E-5</v>
      </c>
      <c r="Y164" s="61">
        <f t="shared" si="92"/>
        <v>3.9964872993555112</v>
      </c>
      <c r="AA164" s="61">
        <f t="shared" si="93"/>
        <v>4.115898726838414</v>
      </c>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row>
    <row r="165" spans="1:80">
      <c r="A165" s="211">
        <f t="shared" si="86"/>
        <v>810.85108095413966</v>
      </c>
      <c r="B165" s="211">
        <f t="shared" si="87"/>
        <v>16.447363051407777</v>
      </c>
      <c r="C165" s="57" t="str">
        <f t="shared" si="91"/>
        <v>Single Family</v>
      </c>
      <c r="D165" s="60" t="str">
        <f t="shared" si="88"/>
        <v>ATTIC R0 - R38_Heat Pump</v>
      </c>
      <c r="E165" s="61">
        <f t="shared" si="89"/>
        <v>0.15345310269166132</v>
      </c>
      <c r="F165" s="61">
        <f t="shared" si="89"/>
        <v>0.15310464425536591</v>
      </c>
      <c r="G165" s="61">
        <f t="shared" si="89"/>
        <v>0.15275697709197208</v>
      </c>
      <c r="H165" s="61">
        <f t="shared" si="89"/>
        <v>0.15241009940467223</v>
      </c>
      <c r="I165" s="61">
        <f t="shared" si="89"/>
        <v>0.15206400940073864</v>
      </c>
      <c r="J165" s="61">
        <f t="shared" si="89"/>
        <v>0.13654683476236329</v>
      </c>
      <c r="K165" s="61">
        <f t="shared" si="89"/>
        <v>0.10898941341053198</v>
      </c>
      <c r="L165" s="61">
        <f t="shared" si="89"/>
        <v>8.6993537830772155E-2</v>
      </c>
      <c r="M165" s="61">
        <f t="shared" si="89"/>
        <v>6.9436795625350906E-2</v>
      </c>
      <c r="N165" s="61">
        <f t="shared" si="89"/>
        <v>5.5423295878550397E-2</v>
      </c>
      <c r="O165" s="61">
        <f t="shared" si="90"/>
        <v>4.4237953355668214E-2</v>
      </c>
      <c r="P165" s="61">
        <f t="shared" si="90"/>
        <v>3.5309998910686605E-2</v>
      </c>
      <c r="Q165" s="61">
        <f t="shared" si="90"/>
        <v>2.8183854100314914E-2</v>
      </c>
      <c r="R165" s="61">
        <f t="shared" si="90"/>
        <v>2.2495883785129015E-2</v>
      </c>
      <c r="S165" s="61">
        <f t="shared" si="90"/>
        <v>1.7955840442289824E-2</v>
      </c>
      <c r="T165" s="61">
        <f t="shared" si="90"/>
        <v>1.4332053324444295E-2</v>
      </c>
      <c r="U165" s="61">
        <f t="shared" si="90"/>
        <v>9.7533611760490494E-5</v>
      </c>
      <c r="V165" s="61">
        <f t="shared" si="90"/>
        <v>3.4754333663799193E-5</v>
      </c>
      <c r="W165" s="61">
        <f t="shared" si="90"/>
        <v>1.1821163922599416E-5</v>
      </c>
      <c r="X165" s="61">
        <f t="shared" si="90"/>
        <v>3.8459741232678169E-6</v>
      </c>
      <c r="Y165" s="61">
        <f t="shared" si="92"/>
        <v>1.3436938906664875</v>
      </c>
      <c r="AA165" s="61">
        <f t="shared" si="93"/>
        <v>1.3838422493539821</v>
      </c>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row>
    <row r="166" spans="1:80">
      <c r="A166" s="211">
        <f t="shared" si="86"/>
        <v>821.68425829354476</v>
      </c>
      <c r="B166" s="211">
        <f t="shared" si="87"/>
        <v>22.318173045115</v>
      </c>
      <c r="C166" s="57" t="str">
        <f t="shared" si="91"/>
        <v>Single Family</v>
      </c>
      <c r="D166" s="60" t="str">
        <f t="shared" si="88"/>
        <v>ATTIC R0 - R49_Heat Pump</v>
      </c>
      <c r="E166" s="61">
        <f t="shared" si="89"/>
        <v>8.2855528687755808E-2</v>
      </c>
      <c r="F166" s="61">
        <f t="shared" si="89"/>
        <v>8.266738190246091E-2</v>
      </c>
      <c r="G166" s="61">
        <f t="shared" si="89"/>
        <v>8.2479662357368061E-2</v>
      </c>
      <c r="H166" s="61">
        <f t="shared" si="89"/>
        <v>8.2292369082308178E-2</v>
      </c>
      <c r="I166" s="61">
        <f t="shared" si="89"/>
        <v>8.210550110931529E-2</v>
      </c>
      <c r="J166" s="61">
        <f t="shared" si="89"/>
        <v>7.3727151725359222E-2</v>
      </c>
      <c r="K166" s="61">
        <f t="shared" si="89"/>
        <v>5.8847786790229055E-2</v>
      </c>
      <c r="L166" s="61">
        <f t="shared" si="89"/>
        <v>4.6971325069066795E-2</v>
      </c>
      <c r="M166" s="61">
        <f t="shared" si="89"/>
        <v>3.7491730769903371E-2</v>
      </c>
      <c r="N166" s="61">
        <f t="shared" si="89"/>
        <v>2.9925276198959173E-2</v>
      </c>
      <c r="O166" s="61">
        <f t="shared" si="90"/>
        <v>2.38858579530523E-2</v>
      </c>
      <c r="P166" s="61">
        <f t="shared" si="90"/>
        <v>1.9065294714748045E-2</v>
      </c>
      <c r="Q166" s="61">
        <f t="shared" si="90"/>
        <v>1.5217601279997195E-2</v>
      </c>
      <c r="R166" s="61">
        <f t="shared" si="90"/>
        <v>1.2146436348441867E-2</v>
      </c>
      <c r="S166" s="61">
        <f t="shared" si="90"/>
        <v>9.6950835583186571E-3</v>
      </c>
      <c r="T166" s="61">
        <f t="shared" si="90"/>
        <v>7.7384545150840341E-3</v>
      </c>
      <c r="U166" s="61">
        <f t="shared" si="90"/>
        <v>5.2662336736713585E-5</v>
      </c>
      <c r="V166" s="61">
        <f t="shared" si="90"/>
        <v>1.8765268602556766E-5</v>
      </c>
      <c r="W166" s="61">
        <f t="shared" si="90"/>
        <v>6.3827239028176616E-6</v>
      </c>
      <c r="X166" s="61">
        <f t="shared" si="90"/>
        <v>2.0765967824259531E-6</v>
      </c>
      <c r="Y166" s="61">
        <f t="shared" si="92"/>
        <v>0.72551460839070558</v>
      </c>
      <c r="AA166" s="61">
        <f t="shared" si="93"/>
        <v>0.74719232898839238</v>
      </c>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row>
    <row r="167" spans="1:80">
      <c r="A167" s="211">
        <f t="shared" si="86"/>
        <v>778.80226042812978</v>
      </c>
      <c r="B167" s="211">
        <f t="shared" si="87"/>
        <v>29.256890208988256</v>
      </c>
      <c r="C167" s="57" t="str">
        <f t="shared" si="91"/>
        <v>Single Family</v>
      </c>
      <c r="D167" s="60" t="str">
        <f t="shared" si="88"/>
        <v>FLOOR R0 - R30_Electric FAF</v>
      </c>
      <c r="E167" s="61">
        <f t="shared" si="89"/>
        <v>0.20029294519581634</v>
      </c>
      <c r="F167" s="61">
        <f t="shared" si="89"/>
        <v>0.19983812372098322</v>
      </c>
      <c r="G167" s="61">
        <f t="shared" si="89"/>
        <v>0.19938433504625086</v>
      </c>
      <c r="H167" s="61">
        <f t="shared" si="89"/>
        <v>0.19893157682635607</v>
      </c>
      <c r="I167" s="61">
        <f t="shared" si="89"/>
        <v>0.19847984672136126</v>
      </c>
      <c r="J167" s="61">
        <f t="shared" si="89"/>
        <v>0.17822622815697806</v>
      </c>
      <c r="K167" s="61">
        <f t="shared" si="89"/>
        <v>0.14225721229647115</v>
      </c>
      <c r="L167" s="61">
        <f t="shared" si="89"/>
        <v>0.1135473418229937</v>
      </c>
      <c r="M167" s="61">
        <f t="shared" si="89"/>
        <v>9.0631600513850386E-2</v>
      </c>
      <c r="N167" s="61">
        <f t="shared" si="89"/>
        <v>7.2340636776041106E-2</v>
      </c>
      <c r="O167" s="61">
        <f t="shared" si="90"/>
        <v>5.7741093608551813E-2</v>
      </c>
      <c r="P167" s="61">
        <f t="shared" si="90"/>
        <v>4.6087980970272044E-2</v>
      </c>
      <c r="Q167" s="61">
        <f t="shared" si="90"/>
        <v>3.6786660195877625E-2</v>
      </c>
      <c r="R167" s="61">
        <f t="shared" si="90"/>
        <v>2.9362500588599322E-2</v>
      </c>
      <c r="S167" s="61">
        <f t="shared" si="90"/>
        <v>2.3436659817030921E-2</v>
      </c>
      <c r="T167" s="61">
        <f t="shared" si="90"/>
        <v>1.8706752230513407E-2</v>
      </c>
      <c r="U167" s="61">
        <f t="shared" si="90"/>
        <v>1.2730465537961065E-4</v>
      </c>
      <c r="V167" s="61">
        <f t="shared" si="90"/>
        <v>4.5362705124493459E-5</v>
      </c>
      <c r="W167" s="61">
        <f t="shared" si="90"/>
        <v>1.5429441934826561E-5</v>
      </c>
      <c r="X167" s="61">
        <f t="shared" si="90"/>
        <v>5.0199146891414929E-6</v>
      </c>
      <c r="Y167" s="61">
        <f t="shared" si="92"/>
        <v>1.753841415275865</v>
      </c>
      <c r="AA167" s="61">
        <f t="shared" si="93"/>
        <v>1.8062446112050752</v>
      </c>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row>
    <row r="168" spans="1:80">
      <c r="A168" s="211">
        <f t="shared" si="86"/>
        <v>747.03411883358774</v>
      </c>
      <c r="B168" s="211">
        <f t="shared" si="87"/>
        <v>30.258643525641588</v>
      </c>
      <c r="C168" s="57" t="str">
        <f t="shared" si="91"/>
        <v>Single Family</v>
      </c>
      <c r="D168" s="60" t="str">
        <f t="shared" si="88"/>
        <v>FLOOR R0 - R25_Electric FAF</v>
      </c>
      <c r="E168" s="61">
        <f t="shared" ref="E168:N177" si="94">VLOOKUP($C168&amp;$D168,$C$89:$Y$148,E$22,FALSE)*$C$156*$A168/8760/1000</f>
        <v>8.3247439219584496E-2</v>
      </c>
      <c r="F168" s="61">
        <f t="shared" si="94"/>
        <v>8.3058402491181918E-2</v>
      </c>
      <c r="G168" s="61">
        <f t="shared" si="94"/>
        <v>8.2869795023847587E-2</v>
      </c>
      <c r="H168" s="61">
        <f t="shared" si="94"/>
        <v>8.2681615842823464E-2</v>
      </c>
      <c r="I168" s="61">
        <f t="shared" si="94"/>
        <v>8.2493863975564991E-2</v>
      </c>
      <c r="J168" s="61">
        <f t="shared" si="94"/>
        <v>7.4075884606562462E-2</v>
      </c>
      <c r="K168" s="61">
        <f t="shared" si="94"/>
        <v>5.912613957830689E-2</v>
      </c>
      <c r="L168" s="61">
        <f t="shared" si="94"/>
        <v>4.7193501636883885E-2</v>
      </c>
      <c r="M168" s="61">
        <f t="shared" si="94"/>
        <v>3.7669068412640325E-2</v>
      </c>
      <c r="N168" s="61">
        <f t="shared" si="94"/>
        <v>3.0066824157146142E-2</v>
      </c>
      <c r="O168" s="61">
        <f t="shared" ref="O168:X177" si="95">VLOOKUP($C168&amp;$D168,$C$89:$Y$148,O$22,FALSE)*$C$156*$A168/8760/1000</f>
        <v>2.3998839180036473E-2</v>
      </c>
      <c r="P168" s="61">
        <f t="shared" si="95"/>
        <v>1.9155474451809231E-2</v>
      </c>
      <c r="Q168" s="61">
        <f t="shared" si="95"/>
        <v>1.5289581246877569E-2</v>
      </c>
      <c r="R168" s="61">
        <f t="shared" si="95"/>
        <v>1.220388956133585E-2</v>
      </c>
      <c r="S168" s="61">
        <f t="shared" si="95"/>
        <v>9.7409417576885919E-3</v>
      </c>
      <c r="T168" s="61">
        <f t="shared" si="95"/>
        <v>7.7750577674266476E-3</v>
      </c>
      <c r="U168" s="61">
        <f t="shared" si="95"/>
        <v>5.2911432056298171E-5</v>
      </c>
      <c r="V168" s="61">
        <f t="shared" si="95"/>
        <v>1.8854029202053403E-5</v>
      </c>
      <c r="W168" s="61">
        <f t="shared" si="95"/>
        <v>6.4129144858588448E-6</v>
      </c>
      <c r="X168" s="61">
        <f t="shared" si="95"/>
        <v>2.0864191824791978E-6</v>
      </c>
      <c r="Y168" s="61">
        <f t="shared" si="92"/>
        <v>0.72894632647309698</v>
      </c>
      <c r="AA168" s="61">
        <f t="shared" si="93"/>
        <v>0.75072658370464318</v>
      </c>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row>
    <row r="169" spans="1:80">
      <c r="A169" s="211">
        <f t="shared" si="86"/>
        <v>696.18068172704102</v>
      </c>
      <c r="B169" s="211">
        <f t="shared" si="87"/>
        <v>32.871622467373534</v>
      </c>
      <c r="C169" s="57" t="str">
        <f t="shared" si="91"/>
        <v>Single Family</v>
      </c>
      <c r="D169" s="60" t="str">
        <f t="shared" si="88"/>
        <v>FLOOR R0 - R19_Electric FAF</v>
      </c>
      <c r="E169" s="61">
        <f t="shared" si="94"/>
        <v>0.134176478373879</v>
      </c>
      <c r="F169" s="61">
        <f t="shared" si="94"/>
        <v>0.13387179293564627</v>
      </c>
      <c r="G169" s="61">
        <f t="shared" si="94"/>
        <v>0.13356779937140958</v>
      </c>
      <c r="H169" s="61">
        <f t="shared" si="94"/>
        <v>0.13326449611007446</v>
      </c>
      <c r="I169" s="61">
        <f t="shared" si="94"/>
        <v>0.13296188158411393</v>
      </c>
      <c r="J169" s="61">
        <f t="shared" si="94"/>
        <v>0.11939395880660456</v>
      </c>
      <c r="K169" s="61">
        <f t="shared" si="94"/>
        <v>9.5298272989918928E-2</v>
      </c>
      <c r="L169" s="61">
        <f t="shared" si="94"/>
        <v>7.6065497162815701E-2</v>
      </c>
      <c r="M169" s="61">
        <f t="shared" si="94"/>
        <v>6.0714215243317028E-2</v>
      </c>
      <c r="N169" s="61">
        <f t="shared" si="94"/>
        <v>4.8461077230871237E-2</v>
      </c>
      <c r="O169" s="61">
        <f t="shared" si="95"/>
        <v>3.8680826178264238E-2</v>
      </c>
      <c r="P169" s="61">
        <f t="shared" si="95"/>
        <v>3.0874392385152369E-2</v>
      </c>
      <c r="Q169" s="61">
        <f t="shared" si="95"/>
        <v>2.4643426713775788E-2</v>
      </c>
      <c r="R169" s="61">
        <f t="shared" si="95"/>
        <v>1.9669973504945499E-2</v>
      </c>
      <c r="S169" s="61">
        <f t="shared" si="95"/>
        <v>1.5700245837522858E-2</v>
      </c>
      <c r="T169" s="61">
        <f t="shared" si="95"/>
        <v>1.2531675210273081E-2</v>
      </c>
      <c r="U169" s="61">
        <f t="shared" si="95"/>
        <v>8.5281537613503722E-5</v>
      </c>
      <c r="V169" s="61">
        <f t="shared" si="95"/>
        <v>3.0388529247331589E-5</v>
      </c>
      <c r="W169" s="61">
        <f t="shared" si="95"/>
        <v>1.0336201208012002E-5</v>
      </c>
      <c r="X169" s="61">
        <f t="shared" si="95"/>
        <v>3.3628467246702621E-6</v>
      </c>
      <c r="Y169" s="61">
        <f t="shared" si="92"/>
        <v>1.17490041647703</v>
      </c>
      <c r="AA169" s="61">
        <f t="shared" si="93"/>
        <v>1.2100053787533784</v>
      </c>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row>
    <row r="170" spans="1:80">
      <c r="A170" s="211">
        <f t="shared" si="86"/>
        <v>1286.2683666714556</v>
      </c>
      <c r="B170" s="211">
        <f t="shared" si="87"/>
        <v>17.914039421903194</v>
      </c>
      <c r="C170" s="57" t="str">
        <f t="shared" si="91"/>
        <v>Single Family</v>
      </c>
      <c r="D170" s="60" t="str">
        <f t="shared" si="88"/>
        <v>WALL R0 - R11_Electric Zonal</v>
      </c>
      <c r="E170" s="61">
        <f t="shared" si="94"/>
        <v>0.95013416235608072</v>
      </c>
      <c r="F170" s="61">
        <f t="shared" si="94"/>
        <v>0.9479766154660012</v>
      </c>
      <c r="G170" s="61">
        <f t="shared" si="94"/>
        <v>0.94582396789305756</v>
      </c>
      <c r="H170" s="61">
        <f t="shared" si="94"/>
        <v>0.94367620851197187</v>
      </c>
      <c r="I170" s="61">
        <f t="shared" si="94"/>
        <v>0.94153332622272967</v>
      </c>
      <c r="J170" s="61">
        <f t="shared" si="94"/>
        <v>0.84545577895546953</v>
      </c>
      <c r="K170" s="61">
        <f t="shared" si="94"/>
        <v>0.67482874702489526</v>
      </c>
      <c r="L170" s="61">
        <f t="shared" si="94"/>
        <v>0.53863708681938738</v>
      </c>
      <c r="M170" s="61">
        <f t="shared" si="94"/>
        <v>0.42993116783534557</v>
      </c>
      <c r="N170" s="61">
        <f t="shared" si="94"/>
        <v>0.34316391054269141</v>
      </c>
      <c r="O170" s="61">
        <f t="shared" si="95"/>
        <v>0.27390772828094284</v>
      </c>
      <c r="P170" s="61">
        <f t="shared" si="95"/>
        <v>0.21862859498651507</v>
      </c>
      <c r="Q170" s="61">
        <f t="shared" si="95"/>
        <v>0.1745057098087848</v>
      </c>
      <c r="R170" s="61">
        <f t="shared" si="95"/>
        <v>0.13928755640471496</v>
      </c>
      <c r="S170" s="61">
        <f t="shared" si="95"/>
        <v>0.11117701186084619</v>
      </c>
      <c r="T170" s="61">
        <f t="shared" si="95"/>
        <v>8.8739642544898079E-2</v>
      </c>
      <c r="U170" s="61">
        <f t="shared" si="95"/>
        <v>6.0389796547693087E-4</v>
      </c>
      <c r="V170" s="61">
        <f t="shared" si="95"/>
        <v>2.1518808759604161E-4</v>
      </c>
      <c r="W170" s="61">
        <f t="shared" si="95"/>
        <v>7.3192991765315746E-5</v>
      </c>
      <c r="X170" s="61">
        <f t="shared" si="95"/>
        <v>2.3813082550678198E-5</v>
      </c>
      <c r="Y170" s="61">
        <f t="shared" si="92"/>
        <v>8.3197370849951646</v>
      </c>
      <c r="AA170" s="61">
        <f t="shared" si="93"/>
        <v>8.5683233076417196</v>
      </c>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row>
    <row r="171" spans="1:80">
      <c r="A171" s="211">
        <f t="shared" si="86"/>
        <v>452.46669970672536</v>
      </c>
      <c r="B171" s="211">
        <f t="shared" si="87"/>
        <v>36.853078252497284</v>
      </c>
      <c r="C171" s="57" t="str">
        <f t="shared" si="91"/>
        <v>Single Family</v>
      </c>
      <c r="D171" s="60" t="str">
        <f t="shared" si="88"/>
        <v>ATTIC R11 - R38_Electric FAF</v>
      </c>
      <c r="E171" s="61">
        <f t="shared" si="94"/>
        <v>2.750270171621242E-2</v>
      </c>
      <c r="F171" s="61">
        <f t="shared" si="94"/>
        <v>2.7440249095406259E-2</v>
      </c>
      <c r="G171" s="61">
        <f t="shared" si="94"/>
        <v>2.7377938290843687E-2</v>
      </c>
      <c r="H171" s="61">
        <f t="shared" si="94"/>
        <v>2.7315768980491009E-2</v>
      </c>
      <c r="I171" s="61">
        <f t="shared" si="94"/>
        <v>2.7253740843045826E-2</v>
      </c>
      <c r="J171" s="61">
        <f t="shared" si="94"/>
        <v>2.447266820214181E-2</v>
      </c>
      <c r="K171" s="61">
        <f t="shared" si="94"/>
        <v>1.9533676899826595E-2</v>
      </c>
      <c r="L171" s="61">
        <f t="shared" si="94"/>
        <v>1.5591456153253651E-2</v>
      </c>
      <c r="M171" s="61">
        <f t="shared" si="94"/>
        <v>1.2444841092922411E-2</v>
      </c>
      <c r="N171" s="61">
        <f t="shared" si="94"/>
        <v>9.9332652643717868E-3</v>
      </c>
      <c r="O171" s="61">
        <f t="shared" si="95"/>
        <v>7.928567193074906E-3</v>
      </c>
      <c r="P171" s="61">
        <f t="shared" si="95"/>
        <v>6.3284505207542464E-3</v>
      </c>
      <c r="Q171" s="61">
        <f t="shared" si="95"/>
        <v>5.0512639949138825E-3</v>
      </c>
      <c r="R171" s="61">
        <f t="shared" si="95"/>
        <v>4.0318349432670207E-3</v>
      </c>
      <c r="S171" s="61">
        <f t="shared" si="95"/>
        <v>3.2181436222927266E-3</v>
      </c>
      <c r="T171" s="61">
        <f t="shared" si="95"/>
        <v>2.5686687375429738E-3</v>
      </c>
      <c r="U171" s="61">
        <f t="shared" si="95"/>
        <v>1.7480505669172119E-5</v>
      </c>
      <c r="V171" s="61">
        <f t="shared" si="95"/>
        <v>6.2288611656278329E-6</v>
      </c>
      <c r="W171" s="61">
        <f t="shared" si="95"/>
        <v>2.1186534491581183E-6</v>
      </c>
      <c r="X171" s="61">
        <f t="shared" si="95"/>
        <v>6.8929645126200619E-7</v>
      </c>
      <c r="Y171" s="61">
        <f t="shared" si="92"/>
        <v>0.24082414512760125</v>
      </c>
      <c r="AA171" s="61">
        <f t="shared" si="93"/>
        <v>0.24801975286709643</v>
      </c>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row>
    <row r="172" spans="1:80">
      <c r="A172" s="211">
        <f t="shared" si="86"/>
        <v>1259.0493800803215</v>
      </c>
      <c r="B172" s="211">
        <f t="shared" si="87"/>
        <v>20.563825946152182</v>
      </c>
      <c r="C172" s="57" t="str">
        <f t="shared" si="91"/>
        <v>Single Family</v>
      </c>
      <c r="D172" s="60" t="str">
        <f t="shared" si="88"/>
        <v>WALL R0 - R11_DHP</v>
      </c>
      <c r="E172" s="61">
        <f t="shared" si="94"/>
        <v>8.1164510545336147E-2</v>
      </c>
      <c r="F172" s="61">
        <f t="shared" si="94"/>
        <v>8.0980203692420039E-2</v>
      </c>
      <c r="G172" s="61">
        <f t="shared" si="94"/>
        <v>8.0796315360059351E-2</v>
      </c>
      <c r="H172" s="61">
        <f t="shared" si="94"/>
        <v>8.0612844597885425E-2</v>
      </c>
      <c r="I172" s="61">
        <f t="shared" si="94"/>
        <v>8.0429790457687667E-2</v>
      </c>
      <c r="J172" s="61">
        <f t="shared" si="94"/>
        <v>7.2222436794067812E-2</v>
      </c>
      <c r="K172" s="61">
        <f t="shared" si="94"/>
        <v>5.7646748348020353E-2</v>
      </c>
      <c r="L172" s="61">
        <f t="shared" si="94"/>
        <v>4.6012676151809671E-2</v>
      </c>
      <c r="M172" s="61">
        <f t="shared" si="94"/>
        <v>3.6726553141726702E-2</v>
      </c>
      <c r="N172" s="61">
        <f t="shared" si="94"/>
        <v>2.9314524137258342E-2</v>
      </c>
      <c r="O172" s="61">
        <f t="shared" si="95"/>
        <v>2.3398365811181029E-2</v>
      </c>
      <c r="P172" s="61">
        <f t="shared" si="95"/>
        <v>1.8676186591683457E-2</v>
      </c>
      <c r="Q172" s="61">
        <f t="shared" si="95"/>
        <v>1.4907021645105713E-2</v>
      </c>
      <c r="R172" s="61">
        <f t="shared" si="95"/>
        <v>1.1898536847270786E-2</v>
      </c>
      <c r="S172" s="61">
        <f t="shared" si="95"/>
        <v>9.4972142978233809E-3</v>
      </c>
      <c r="T172" s="61">
        <f t="shared" si="95"/>
        <v>7.580518560941359E-3</v>
      </c>
      <c r="U172" s="61">
        <f t="shared" si="95"/>
        <v>5.1587538612141879E-5</v>
      </c>
      <c r="V172" s="61">
        <f t="shared" si="95"/>
        <v>1.8382283783596934E-5</v>
      </c>
      <c r="W172" s="61">
        <f t="shared" si="95"/>
        <v>6.2524573763871155E-6</v>
      </c>
      <c r="X172" s="61">
        <f t="shared" si="95"/>
        <v>2.0342150260219102E-6</v>
      </c>
      <c r="Y172" s="61">
        <f t="shared" si="92"/>
        <v>0.71070740862009463</v>
      </c>
      <c r="AA172" s="61">
        <f t="shared" si="93"/>
        <v>0.73194270347507528</v>
      </c>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row>
    <row r="173" spans="1:80">
      <c r="A173" s="211">
        <f t="shared" si="86"/>
        <v>1451.4464353474798</v>
      </c>
      <c r="B173" s="211">
        <f t="shared" si="87"/>
        <v>24.826671733747755</v>
      </c>
      <c r="C173" s="57" t="str">
        <f t="shared" si="91"/>
        <v>Single Family</v>
      </c>
      <c r="D173" s="60" t="str">
        <f t="shared" si="88"/>
        <v>WINDOW CL30 Prime Window Replacement of Single Pane Base_Electric FAF</v>
      </c>
      <c r="E173" s="61">
        <f t="shared" si="94"/>
        <v>0.12585025645395431</v>
      </c>
      <c r="F173" s="61">
        <f t="shared" si="94"/>
        <v>0.125564478044772</v>
      </c>
      <c r="G173" s="61">
        <f t="shared" si="94"/>
        <v>0.12527934857585765</v>
      </c>
      <c r="H173" s="61">
        <f t="shared" si="94"/>
        <v>0.12499486657360993</v>
      </c>
      <c r="I173" s="61">
        <f t="shared" si="94"/>
        <v>0.12471103056777366</v>
      </c>
      <c r="J173" s="61">
        <f t="shared" si="94"/>
        <v>0.11198505518228895</v>
      </c>
      <c r="K173" s="61">
        <f t="shared" si="94"/>
        <v>8.9384609290319994E-2</v>
      </c>
      <c r="L173" s="61">
        <f t="shared" si="94"/>
        <v>7.1345309112699887E-2</v>
      </c>
      <c r="M173" s="61">
        <f t="shared" si="94"/>
        <v>5.6946639615036515E-2</v>
      </c>
      <c r="N173" s="61">
        <f t="shared" si="94"/>
        <v>4.5453861000478692E-2</v>
      </c>
      <c r="O173" s="61">
        <f t="shared" si="95"/>
        <v>3.6280516178259364E-2</v>
      </c>
      <c r="P173" s="61">
        <f t="shared" si="95"/>
        <v>2.8958504848401696E-2</v>
      </c>
      <c r="Q173" s="61">
        <f t="shared" si="95"/>
        <v>2.3114197133651086E-2</v>
      </c>
      <c r="R173" s="61">
        <f t="shared" si="95"/>
        <v>1.8449367877595109E-2</v>
      </c>
      <c r="S173" s="61">
        <f t="shared" si="95"/>
        <v>1.4725978718390908E-2</v>
      </c>
      <c r="T173" s="61">
        <f t="shared" si="95"/>
        <v>1.1754031393013186E-2</v>
      </c>
      <c r="U173" s="61">
        <f t="shared" si="95"/>
        <v>7.9989455003734867E-5</v>
      </c>
      <c r="V173" s="61">
        <f t="shared" si="95"/>
        <v>2.8502791587498494E-5</v>
      </c>
      <c r="W173" s="61">
        <f t="shared" si="95"/>
        <v>9.6947959027759081E-6</v>
      </c>
      <c r="X173" s="61">
        <f t="shared" si="95"/>
        <v>3.1541677635614772E-6</v>
      </c>
      <c r="Y173" s="61">
        <f t="shared" si="92"/>
        <v>1.1019928419158531</v>
      </c>
      <c r="AA173" s="61">
        <f t="shared" si="93"/>
        <v>1.1349193917763605</v>
      </c>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row>
    <row r="174" spans="1:80">
      <c r="A174" s="211">
        <f t="shared" si="86"/>
        <v>639.13948315058769</v>
      </c>
      <c r="B174" s="211">
        <f t="shared" si="87"/>
        <v>42.214748463118696</v>
      </c>
      <c r="C174" s="57" t="str">
        <f t="shared" si="91"/>
        <v>Single Family</v>
      </c>
      <c r="D174" s="60" t="str">
        <f t="shared" si="88"/>
        <v>FLOOR R0 - R30_Electric Zonal</v>
      </c>
      <c r="E174" s="61">
        <f t="shared" si="94"/>
        <v>0.58614077039095036</v>
      </c>
      <c r="F174" s="61">
        <f t="shared" si="94"/>
        <v>0.58480977288932423</v>
      </c>
      <c r="G174" s="61">
        <f t="shared" si="94"/>
        <v>0.58348179779193732</v>
      </c>
      <c r="H174" s="61">
        <f t="shared" si="94"/>
        <v>0.58215683823557085</v>
      </c>
      <c r="I174" s="61">
        <f t="shared" si="94"/>
        <v>0.58083488737259059</v>
      </c>
      <c r="J174" s="61">
        <f t="shared" si="94"/>
        <v>0.52156434453382072</v>
      </c>
      <c r="K174" s="61">
        <f t="shared" si="94"/>
        <v>0.41630398877805447</v>
      </c>
      <c r="L174" s="61">
        <f t="shared" si="94"/>
        <v>0.33228692277157806</v>
      </c>
      <c r="M174" s="61">
        <f t="shared" si="94"/>
        <v>0.2652258974724126</v>
      </c>
      <c r="N174" s="61">
        <f t="shared" si="94"/>
        <v>0.21169890197094338</v>
      </c>
      <c r="O174" s="61">
        <f t="shared" si="95"/>
        <v>0.16897454405018897</v>
      </c>
      <c r="P174" s="61">
        <f t="shared" si="95"/>
        <v>0.1348726718520637</v>
      </c>
      <c r="Q174" s="61">
        <f t="shared" si="95"/>
        <v>0.10765312440855861</v>
      </c>
      <c r="R174" s="61">
        <f t="shared" si="95"/>
        <v>8.5926934165257055E-2</v>
      </c>
      <c r="S174" s="61">
        <f t="shared" si="95"/>
        <v>6.8585450311866886E-2</v>
      </c>
      <c r="T174" s="61">
        <f t="shared" si="95"/>
        <v>5.4743766202978543E-2</v>
      </c>
      <c r="U174" s="61">
        <f t="shared" si="95"/>
        <v>3.7254656526024298E-4</v>
      </c>
      <c r="V174" s="61">
        <f t="shared" si="95"/>
        <v>1.327502119592553E-4</v>
      </c>
      <c r="W174" s="61">
        <f t="shared" si="95"/>
        <v>4.5152988157121488E-5</v>
      </c>
      <c r="X174" s="61">
        <f t="shared" si="95"/>
        <v>1.469036595529428E-5</v>
      </c>
      <c r="Y174" s="61">
        <f t="shared" si="92"/>
        <v>5.1324721262065855</v>
      </c>
      <c r="AA174" s="61">
        <f t="shared" si="93"/>
        <v>5.2858257533294291</v>
      </c>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row>
    <row r="175" spans="1:80">
      <c r="A175" s="211">
        <f t="shared" si="86"/>
        <v>614.24096297616722</v>
      </c>
      <c r="B175" s="211">
        <f t="shared" si="87"/>
        <v>43.173805867537062</v>
      </c>
      <c r="C175" s="57" t="str">
        <f t="shared" si="91"/>
        <v>Single Family</v>
      </c>
      <c r="D175" s="60" t="str">
        <f t="shared" si="88"/>
        <v>FLOOR R0 - R25_Electric Zonal</v>
      </c>
      <c r="E175" s="61">
        <f t="shared" si="94"/>
        <v>0.24408273189623655</v>
      </c>
      <c r="F175" s="61">
        <f t="shared" si="94"/>
        <v>0.24352847339255437</v>
      </c>
      <c r="G175" s="61">
        <f t="shared" si="94"/>
        <v>0.2429754734887187</v>
      </c>
      <c r="H175" s="61">
        <f t="shared" si="94"/>
        <v>0.2424237293267246</v>
      </c>
      <c r="I175" s="61">
        <f t="shared" si="94"/>
        <v>0.24187323805505689</v>
      </c>
      <c r="J175" s="61">
        <f t="shared" si="94"/>
        <v>0.21719159714580813</v>
      </c>
      <c r="K175" s="61">
        <f t="shared" si="94"/>
        <v>0.17335872202248112</v>
      </c>
      <c r="L175" s="61">
        <f t="shared" si="94"/>
        <v>0.13837204982240686</v>
      </c>
      <c r="M175" s="61">
        <f t="shared" si="94"/>
        <v>0.11044626972718276</v>
      </c>
      <c r="N175" s="61">
        <f t="shared" si="94"/>
        <v>8.8156376322426191E-2</v>
      </c>
      <c r="O175" s="61">
        <f t="shared" si="95"/>
        <v>7.0364953977151048E-2</v>
      </c>
      <c r="P175" s="61">
        <f t="shared" si="95"/>
        <v>5.6164136444286167E-2</v>
      </c>
      <c r="Q175" s="61">
        <f t="shared" si="95"/>
        <v>4.48292799787334E-2</v>
      </c>
      <c r="R175" s="61">
        <f t="shared" si="95"/>
        <v>3.5781985990387635E-2</v>
      </c>
      <c r="S175" s="61">
        <f t="shared" si="95"/>
        <v>2.8560586340527518E-2</v>
      </c>
      <c r="T175" s="61">
        <f t="shared" si="95"/>
        <v>2.2796585196077603E-2</v>
      </c>
      <c r="U175" s="61">
        <f t="shared" si="95"/>
        <v>1.5513710698989382E-4</v>
      </c>
      <c r="V175" s="61">
        <f t="shared" si="95"/>
        <v>5.5280294481490556E-5</v>
      </c>
      <c r="W175" s="61">
        <f t="shared" si="95"/>
        <v>1.8802760803207194E-5</v>
      </c>
      <c r="X175" s="61">
        <f t="shared" si="95"/>
        <v>6.1174121235963342E-6</v>
      </c>
      <c r="Y175" s="61">
        <f t="shared" si="92"/>
        <v>2.1372814880463245</v>
      </c>
      <c r="AA175" s="61">
        <f t="shared" si="93"/>
        <v>2.2011415267011571</v>
      </c>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row>
    <row r="176" spans="1:80">
      <c r="A176" s="211">
        <f t="shared" si="86"/>
        <v>639.94300129168926</v>
      </c>
      <c r="B176" s="211">
        <f t="shared" si="87"/>
        <v>44.626389319123021</v>
      </c>
      <c r="C176" s="57" t="str">
        <f t="shared" si="91"/>
        <v>Single Family</v>
      </c>
      <c r="D176" s="60" t="str">
        <f t="shared" si="88"/>
        <v>FLOOR R0 - R30_DHP</v>
      </c>
      <c r="E176" s="61">
        <f t="shared" si="94"/>
        <v>5.1217413603296617E-2</v>
      </c>
      <c r="F176" s="61">
        <f t="shared" si="94"/>
        <v>5.1101110058159697E-2</v>
      </c>
      <c r="G176" s="61">
        <f t="shared" si="94"/>
        <v>5.0985070612938423E-2</v>
      </c>
      <c r="H176" s="61">
        <f t="shared" si="94"/>
        <v>5.0869294667919618E-2</v>
      </c>
      <c r="I176" s="61">
        <f t="shared" si="94"/>
        <v>5.0753781624751963E-2</v>
      </c>
      <c r="J176" s="61">
        <f t="shared" si="94"/>
        <v>4.5574677797798571E-2</v>
      </c>
      <c r="K176" s="61">
        <f t="shared" si="94"/>
        <v>3.6376950137295819E-2</v>
      </c>
      <c r="L176" s="61">
        <f t="shared" si="94"/>
        <v>2.9035476831286038E-2</v>
      </c>
      <c r="M176" s="61">
        <f t="shared" si="94"/>
        <v>2.3175634890726972E-2</v>
      </c>
      <c r="N176" s="61">
        <f t="shared" si="94"/>
        <v>1.8498406473887823E-2</v>
      </c>
      <c r="O176" s="61">
        <f t="shared" si="95"/>
        <v>1.4765120510683058E-2</v>
      </c>
      <c r="P176" s="61">
        <f t="shared" si="95"/>
        <v>1.1785273720886861E-2</v>
      </c>
      <c r="Q176" s="61">
        <f t="shared" si="95"/>
        <v>9.4068095533479043E-3</v>
      </c>
      <c r="R176" s="61">
        <f t="shared" si="95"/>
        <v>7.5083589968836534E-3</v>
      </c>
      <c r="S176" s="61">
        <f t="shared" si="95"/>
        <v>5.993047324533065E-3</v>
      </c>
      <c r="T176" s="61">
        <f t="shared" si="95"/>
        <v>4.7835507397821705E-3</v>
      </c>
      <c r="U176" s="61">
        <f t="shared" si="95"/>
        <v>3.2553394138910757E-5</v>
      </c>
      <c r="V176" s="61">
        <f t="shared" si="95"/>
        <v>1.1599811607214286E-5</v>
      </c>
      <c r="W176" s="61">
        <f t="shared" si="95"/>
        <v>3.9455014677200323E-6</v>
      </c>
      <c r="X176" s="61">
        <f t="shared" si="95"/>
        <v>1.2836550315622119E-6</v>
      </c>
      <c r="Y176" s="61">
        <f t="shared" si="92"/>
        <v>0.44847920665880442</v>
      </c>
      <c r="AA176" s="61">
        <f t="shared" si="93"/>
        <v>0.46187935990642359</v>
      </c>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row>
    <row r="177" spans="1:80">
      <c r="A177" s="211">
        <f t="shared" si="86"/>
        <v>491.02684582146389</v>
      </c>
      <c r="B177" s="211">
        <f t="shared" si="87"/>
        <v>42.040973396789774</v>
      </c>
      <c r="C177" s="57" t="str">
        <f t="shared" si="91"/>
        <v>Single Family</v>
      </c>
      <c r="D177" s="60" t="str">
        <f t="shared" si="88"/>
        <v>ATTIC R11 - R49_Electric FAF</v>
      </c>
      <c r="E177" s="61">
        <f t="shared" si="94"/>
        <v>2.342196238520184E-2</v>
      </c>
      <c r="F177" s="61">
        <f t="shared" si="94"/>
        <v>2.3368776230966063E-2</v>
      </c>
      <c r="G177" s="61">
        <f t="shared" si="94"/>
        <v>2.3315710850854845E-2</v>
      </c>
      <c r="H177" s="61">
        <f t="shared" si="94"/>
        <v>2.3262765970616561E-2</v>
      </c>
      <c r="I177" s="61">
        <f t="shared" si="94"/>
        <v>2.3209941316622334E-2</v>
      </c>
      <c r="J177" s="61">
        <f t="shared" si="94"/>
        <v>2.0841512954278212E-2</v>
      </c>
      <c r="K177" s="61">
        <f t="shared" si="94"/>
        <v>1.663534914908834E-2</v>
      </c>
      <c r="L177" s="61">
        <f t="shared" si="94"/>
        <v>1.3278059127433342E-2</v>
      </c>
      <c r="M177" s="61">
        <f t="shared" si="94"/>
        <v>1.059832604723406E-2</v>
      </c>
      <c r="N177" s="61">
        <f t="shared" si="94"/>
        <v>8.4594076532925003E-3</v>
      </c>
      <c r="O177" s="61">
        <f t="shared" si="95"/>
        <v>6.752158550855281E-3</v>
      </c>
      <c r="P177" s="61">
        <f t="shared" si="95"/>
        <v>5.3894607003769669E-3</v>
      </c>
      <c r="Q177" s="61">
        <f t="shared" si="95"/>
        <v>4.3017779310334124E-3</v>
      </c>
      <c r="R177" s="61">
        <f t="shared" si="95"/>
        <v>3.4336076273145024E-3</v>
      </c>
      <c r="S177" s="61">
        <f t="shared" si="95"/>
        <v>2.7406485242533435E-3</v>
      </c>
      <c r="T177" s="61">
        <f t="shared" si="95"/>
        <v>2.1875400886637304E-3</v>
      </c>
      <c r="U177" s="61">
        <f t="shared" si="95"/>
        <v>1.4886819138074197E-5</v>
      </c>
      <c r="V177" s="61">
        <f t="shared" si="95"/>
        <v>5.3046480098345561E-6</v>
      </c>
      <c r="W177" s="61">
        <f t="shared" si="95"/>
        <v>1.8042962435289622E-6</v>
      </c>
      <c r="X177" s="61">
        <f t="shared" si="95"/>
        <v>5.8702143957714485E-7</v>
      </c>
      <c r="Y177" s="61">
        <f t="shared" si="92"/>
        <v>0.20509163524476709</v>
      </c>
      <c r="AA177" s="61">
        <f t="shared" si="93"/>
        <v>0.21121958789291639</v>
      </c>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row>
    <row r="178" spans="1:80">
      <c r="A178" s="211">
        <f t="shared" si="86"/>
        <v>615.13839465377009</v>
      </c>
      <c r="B178" s="211">
        <f t="shared" si="87"/>
        <v>45.606532666050889</v>
      </c>
      <c r="C178" s="57" t="str">
        <f t="shared" si="91"/>
        <v>Single Family</v>
      </c>
      <c r="D178" s="60" t="str">
        <f t="shared" si="88"/>
        <v>FLOOR R0 - R25_DHP</v>
      </c>
      <c r="E178" s="61">
        <f t="shared" ref="E178:N187" si="96">VLOOKUP($C178&amp;$D178,$C$89:$Y$148,E$22,FALSE)*$C$156*$A178/8760/1000</f>
        <v>2.1332471831569475E-2</v>
      </c>
      <c r="F178" s="61">
        <f t="shared" si="96"/>
        <v>2.1284030453413181E-2</v>
      </c>
      <c r="G178" s="61">
        <f t="shared" si="96"/>
        <v>2.1235699075032626E-2</v>
      </c>
      <c r="H178" s="61">
        <f t="shared" si="96"/>
        <v>2.11874774466424E-2</v>
      </c>
      <c r="I178" s="61">
        <f t="shared" si="96"/>
        <v>2.1139365319024266E-2</v>
      </c>
      <c r="J178" s="61">
        <f t="shared" si="96"/>
        <v>1.8982226199173311E-2</v>
      </c>
      <c r="K178" s="61">
        <f t="shared" si="96"/>
        <v>1.515129737188296E-2</v>
      </c>
      <c r="L178" s="61">
        <f t="shared" si="96"/>
        <v>1.2093513671290303E-2</v>
      </c>
      <c r="M178" s="61">
        <f t="shared" si="96"/>
        <v>9.6528415572579834E-3</v>
      </c>
      <c r="N178" s="61">
        <f t="shared" si="96"/>
        <v>7.7047376521124219E-3</v>
      </c>
      <c r="O178" s="61">
        <f t="shared" ref="O178:X187" si="97">VLOOKUP($C178&amp;$D178,$C$89:$Y$148,O$22,FALSE)*$C$156*$A178/8760/1000</f>
        <v>6.1497935023333864E-3</v>
      </c>
      <c r="P178" s="61">
        <f t="shared" si="97"/>
        <v>4.9086629329906841E-3</v>
      </c>
      <c r="Q178" s="61">
        <f t="shared" si="97"/>
        <v>3.9180131463884896E-3</v>
      </c>
      <c r="R178" s="61">
        <f t="shared" si="97"/>
        <v>3.1272929563163714E-3</v>
      </c>
      <c r="S178" s="61">
        <f t="shared" si="97"/>
        <v>2.4961532463567341E-3</v>
      </c>
      <c r="T178" s="61">
        <f t="shared" si="97"/>
        <v>1.9923880225907842E-3</v>
      </c>
      <c r="U178" s="61">
        <f t="shared" si="97"/>
        <v>1.3558755013853229E-5</v>
      </c>
      <c r="V178" s="61">
        <f t="shared" si="97"/>
        <v>4.8314164451772326E-6</v>
      </c>
      <c r="W178" s="61">
        <f t="shared" si="97"/>
        <v>1.6433336437772829E-6</v>
      </c>
      <c r="X178" s="61">
        <f t="shared" si="97"/>
        <v>5.3465282363439719E-7</v>
      </c>
      <c r="Y178" s="61">
        <f t="shared" si="92"/>
        <v>0.18679525907332775</v>
      </c>
      <c r="AA178" s="61">
        <f t="shared" si="93"/>
        <v>0.19237653254230175</v>
      </c>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c r="CB178" s="59"/>
    </row>
    <row r="179" spans="1:80">
      <c r="A179" s="211">
        <f t="shared" si="86"/>
        <v>574.15335241032233</v>
      </c>
      <c r="B179" s="211">
        <f t="shared" si="87"/>
        <v>45.906735026032656</v>
      </c>
      <c r="C179" s="57" t="str">
        <f t="shared" si="91"/>
        <v>Single Family</v>
      </c>
      <c r="D179" s="60" t="str">
        <f t="shared" si="88"/>
        <v>FLOOR R0 - R19_Electric Zonal</v>
      </c>
      <c r="E179" s="61">
        <f t="shared" si="96"/>
        <v>0.39459371218820927</v>
      </c>
      <c r="F179" s="61">
        <f t="shared" si="96"/>
        <v>0.39369767616476453</v>
      </c>
      <c r="G179" s="61">
        <f t="shared" si="96"/>
        <v>0.39280367484316764</v>
      </c>
      <c r="H179" s="61">
        <f t="shared" si="96"/>
        <v>0.39191170360305544</v>
      </c>
      <c r="I179" s="61">
        <f t="shared" si="96"/>
        <v>0.39102175783455723</v>
      </c>
      <c r="J179" s="61">
        <f t="shared" si="96"/>
        <v>0.35112044964444261</v>
      </c>
      <c r="K179" s="61">
        <f t="shared" si="96"/>
        <v>0.28025850551416842</v>
      </c>
      <c r="L179" s="61">
        <f t="shared" si="96"/>
        <v>0.2236976797921412</v>
      </c>
      <c r="M179" s="61">
        <f t="shared" si="96"/>
        <v>0.1785517690268906</v>
      </c>
      <c r="N179" s="61">
        <f t="shared" si="96"/>
        <v>0.14251705360670489</v>
      </c>
      <c r="O179" s="61">
        <f t="shared" si="97"/>
        <v>0.11375474283694974</v>
      </c>
      <c r="P179" s="61">
        <f t="shared" si="97"/>
        <v>9.0797144555139597E-2</v>
      </c>
      <c r="Q179" s="61">
        <f t="shared" si="97"/>
        <v>7.247277127762157E-2</v>
      </c>
      <c r="R179" s="61">
        <f t="shared" si="97"/>
        <v>5.784656117097179E-2</v>
      </c>
      <c r="S179" s="61">
        <f t="shared" si="97"/>
        <v>4.617216342519307E-2</v>
      </c>
      <c r="T179" s="61">
        <f t="shared" si="97"/>
        <v>3.6853853231858795E-2</v>
      </c>
      <c r="U179" s="61">
        <f t="shared" si="97"/>
        <v>2.5080072838297126E-4</v>
      </c>
      <c r="V179" s="61">
        <f t="shared" si="97"/>
        <v>8.9368290992342299E-5</v>
      </c>
      <c r="W179" s="61">
        <f t="shared" si="97"/>
        <v>3.0397280164328081E-5</v>
      </c>
      <c r="X179" s="61">
        <f t="shared" si="97"/>
        <v>9.8896482355876697E-6</v>
      </c>
      <c r="Y179" s="61">
        <f t="shared" si="92"/>
        <v>3.4552130329230488</v>
      </c>
      <c r="AA179" s="61">
        <f t="shared" si="93"/>
        <v>3.5584516746636123</v>
      </c>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c r="CB179" s="59"/>
    </row>
    <row r="180" spans="1:80">
      <c r="A180" s="211">
        <f t="shared" si="86"/>
        <v>1582.757261387319</v>
      </c>
      <c r="B180" s="211">
        <f t="shared" si="87"/>
        <v>29.513409727402735</v>
      </c>
      <c r="C180" s="57" t="str">
        <f t="shared" si="91"/>
        <v>Single Family</v>
      </c>
      <c r="D180" s="60" t="str">
        <f t="shared" si="88"/>
        <v>WINDOW CL22 Prime Window Replacement of Single Pane Base_Electric FAF</v>
      </c>
      <c r="E180" s="61">
        <f t="shared" si="96"/>
        <v>3.4308949059195876E-2</v>
      </c>
      <c r="F180" s="61">
        <f t="shared" si="96"/>
        <v>3.4231040939187857E-2</v>
      </c>
      <c r="G180" s="61">
        <f t="shared" si="96"/>
        <v>3.4153309731482007E-2</v>
      </c>
      <c r="H180" s="61">
        <f t="shared" si="96"/>
        <v>3.4075755034349176E-2</v>
      </c>
      <c r="I180" s="61">
        <f t="shared" si="96"/>
        <v>3.399837644697247E-2</v>
      </c>
      <c r="J180" s="61">
        <f t="shared" si="96"/>
        <v>3.0529056212500627E-2</v>
      </c>
      <c r="K180" s="61">
        <f t="shared" si="96"/>
        <v>2.4367785121993345E-2</v>
      </c>
      <c r="L180" s="61">
        <f t="shared" si="96"/>
        <v>1.9449960968937637E-2</v>
      </c>
      <c r="M180" s="61">
        <f t="shared" si="96"/>
        <v>1.5524635488998914E-2</v>
      </c>
      <c r="N180" s="61">
        <f t="shared" si="96"/>
        <v>1.239150594961059E-2</v>
      </c>
      <c r="O180" s="61">
        <f t="shared" si="97"/>
        <v>9.8906940396792584E-3</v>
      </c>
      <c r="P180" s="61">
        <f t="shared" si="97"/>
        <v>7.8945875492737062E-3</v>
      </c>
      <c r="Q180" s="61">
        <f t="shared" si="97"/>
        <v>6.3013285339851141E-3</v>
      </c>
      <c r="R180" s="61">
        <f t="shared" si="97"/>
        <v>5.0296156759789146E-3</v>
      </c>
      <c r="S180" s="61">
        <f t="shared" si="97"/>
        <v>4.0145556149973304E-3</v>
      </c>
      <c r="T180" s="61">
        <f t="shared" si="97"/>
        <v>3.204351549737406E-3</v>
      </c>
      <c r="U180" s="61">
        <f t="shared" si="97"/>
        <v>2.1806504128977083E-5</v>
      </c>
      <c r="V180" s="61">
        <f t="shared" si="97"/>
        <v>7.7703522596964558E-6</v>
      </c>
      <c r="W180" s="61">
        <f t="shared" si="97"/>
        <v>2.6429684622004475E-6</v>
      </c>
      <c r="X180" s="61">
        <f t="shared" si="97"/>
        <v>8.5988049745279861E-7</v>
      </c>
      <c r="Y180" s="61">
        <f t="shared" si="92"/>
        <v>0.30042224260959416</v>
      </c>
      <c r="AA180" s="61">
        <f t="shared" si="93"/>
        <v>0.30939858762222849</v>
      </c>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row>
    <row r="181" spans="1:80">
      <c r="A181" s="211">
        <f t="shared" si="86"/>
        <v>575.18700719783692</v>
      </c>
      <c r="B181" s="211">
        <f t="shared" si="87"/>
        <v>48.414238863463837</v>
      </c>
      <c r="C181" s="57" t="str">
        <f t="shared" si="91"/>
        <v>Single Family</v>
      </c>
      <c r="D181" s="60" t="str">
        <f t="shared" si="88"/>
        <v>FLOOR R0 - R19_DHP</v>
      </c>
      <c r="E181" s="61">
        <f t="shared" si="96"/>
        <v>3.449859346563551E-2</v>
      </c>
      <c r="F181" s="61">
        <f t="shared" si="96"/>
        <v>3.4420254704655345E-2</v>
      </c>
      <c r="G181" s="61">
        <f t="shared" si="96"/>
        <v>3.4342093833868832E-2</v>
      </c>
      <c r="H181" s="61">
        <f t="shared" si="96"/>
        <v>3.4264110449326216E-2</v>
      </c>
      <c r="I181" s="61">
        <f t="shared" si="96"/>
        <v>3.4186304147995096E-2</v>
      </c>
      <c r="J181" s="61">
        <f t="shared" si="96"/>
        <v>3.0697807074982368E-2</v>
      </c>
      <c r="K181" s="61">
        <f t="shared" si="96"/>
        <v>2.4502479254936194E-2</v>
      </c>
      <c r="L181" s="61">
        <f t="shared" si="96"/>
        <v>1.9557471586557074E-2</v>
      </c>
      <c r="M181" s="61">
        <f t="shared" si="96"/>
        <v>1.5610448676614276E-2</v>
      </c>
      <c r="N181" s="61">
        <f t="shared" si="96"/>
        <v>1.2460000609317371E-2</v>
      </c>
      <c r="O181" s="61">
        <f t="shared" si="97"/>
        <v>9.9453653383306563E-3</v>
      </c>
      <c r="P181" s="61">
        <f t="shared" si="97"/>
        <v>7.9382252709446436E-3</v>
      </c>
      <c r="Q181" s="61">
        <f t="shared" si="97"/>
        <v>6.3361594379439277E-3</v>
      </c>
      <c r="R181" s="61">
        <f t="shared" si="97"/>
        <v>5.0574171244536174E-3</v>
      </c>
      <c r="S181" s="61">
        <f t="shared" si="97"/>
        <v>4.0367462689696052E-3</v>
      </c>
      <c r="T181" s="61">
        <f t="shared" si="97"/>
        <v>3.2220637608175342E-3</v>
      </c>
      <c r="U181" s="61">
        <f t="shared" si="97"/>
        <v>2.1927040655028276E-5</v>
      </c>
      <c r="V181" s="61">
        <f t="shared" si="97"/>
        <v>7.8133032646827765E-6</v>
      </c>
      <c r="W181" s="61">
        <f t="shared" si="97"/>
        <v>2.6575776006030212E-6</v>
      </c>
      <c r="X181" s="61">
        <f t="shared" si="97"/>
        <v>8.6463352927161278E-7</v>
      </c>
      <c r="Y181" s="61">
        <f t="shared" si="92"/>
        <v>0.30208284135841196</v>
      </c>
      <c r="AA181" s="61">
        <f t="shared" si="93"/>
        <v>0.31110880356039777</v>
      </c>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row>
    <row r="182" spans="1:80">
      <c r="A182" s="211">
        <f t="shared" si="86"/>
        <v>873.35078334878551</v>
      </c>
      <c r="B182" s="211">
        <f t="shared" si="87"/>
        <v>42.594319944428157</v>
      </c>
      <c r="C182" s="57" t="str">
        <f t="shared" si="91"/>
        <v>Single Family</v>
      </c>
      <c r="D182" s="60" t="str">
        <f t="shared" si="88"/>
        <v>WALL R0 - R11_Heat Pump</v>
      </c>
      <c r="E182" s="61">
        <f t="shared" si="96"/>
        <v>0.46418164966130399</v>
      </c>
      <c r="F182" s="61">
        <f t="shared" si="96"/>
        <v>0.46312759465061443</v>
      </c>
      <c r="G182" s="61">
        <f t="shared" si="96"/>
        <v>0.46207593316833434</v>
      </c>
      <c r="H182" s="61">
        <f t="shared" si="96"/>
        <v>0.46102665977928403</v>
      </c>
      <c r="I182" s="61">
        <f t="shared" si="96"/>
        <v>0.45997976906062615</v>
      </c>
      <c r="J182" s="61">
        <f t="shared" si="96"/>
        <v>0.41304173004165334</v>
      </c>
      <c r="K182" s="61">
        <f t="shared" si="96"/>
        <v>0.32968304208336946</v>
      </c>
      <c r="L182" s="61">
        <f t="shared" si="96"/>
        <v>0.26314752319670881</v>
      </c>
      <c r="M182" s="61">
        <f t="shared" si="96"/>
        <v>0.21003997817713504</v>
      </c>
      <c r="N182" s="61">
        <f t="shared" si="96"/>
        <v>0.16765041865764801</v>
      </c>
      <c r="O182" s="61">
        <f t="shared" si="97"/>
        <v>0.13381577697737704</v>
      </c>
      <c r="P182" s="61">
        <f t="shared" si="97"/>
        <v>0.10680952849050479</v>
      </c>
      <c r="Q182" s="61">
        <f t="shared" si="97"/>
        <v>8.5253589928283594E-2</v>
      </c>
      <c r="R182" s="61">
        <f t="shared" si="97"/>
        <v>6.8047998136290505E-2</v>
      </c>
      <c r="S182" s="61">
        <f t="shared" si="97"/>
        <v>5.4314780811598164E-2</v>
      </c>
      <c r="T182" s="61">
        <f t="shared" si="97"/>
        <v>4.3353155058335868E-2</v>
      </c>
      <c r="U182" s="61">
        <f t="shared" si="97"/>
        <v>2.9503028619355383E-4</v>
      </c>
      <c r="V182" s="61">
        <f t="shared" si="97"/>
        <v>1.0512869176296126E-4</v>
      </c>
      <c r="W182" s="61">
        <f t="shared" si="97"/>
        <v>3.575794346455441E-5</v>
      </c>
      <c r="X182" s="61">
        <f t="shared" si="97"/>
        <v>1.1633721194157079E-5</v>
      </c>
      <c r="Y182" s="61">
        <f t="shared" si="92"/>
        <v>4.0645515526828051</v>
      </c>
      <c r="AA182" s="61">
        <f t="shared" si="93"/>
        <v>4.1859966785216836</v>
      </c>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c r="CB182" s="59"/>
    </row>
    <row r="183" spans="1:80">
      <c r="A183" s="211">
        <f t="shared" si="86"/>
        <v>541.31676816379593</v>
      </c>
      <c r="B183" s="211">
        <f t="shared" si="87"/>
        <v>70.994917943067094</v>
      </c>
      <c r="C183" s="57" t="str">
        <f t="shared" si="91"/>
        <v>Single Family</v>
      </c>
      <c r="D183" s="60" t="str">
        <f t="shared" si="88"/>
        <v>CFM50 Infiltration Reduction_Electric FAF</v>
      </c>
      <c r="E183" s="61">
        <f t="shared" si="96"/>
        <v>0.46206614190565148</v>
      </c>
      <c r="F183" s="61">
        <f t="shared" si="96"/>
        <v>0.46101689075041746</v>
      </c>
      <c r="G183" s="61">
        <f t="shared" si="96"/>
        <v>0.45997002221508759</v>
      </c>
      <c r="H183" s="61">
        <f t="shared" si="96"/>
        <v>0.45892553088925309</v>
      </c>
      <c r="I183" s="61">
        <f t="shared" si="96"/>
        <v>0.45788341137479122</v>
      </c>
      <c r="J183" s="61">
        <f t="shared" si="96"/>
        <v>0.41115929245725347</v>
      </c>
      <c r="K183" s="61">
        <f t="shared" si="96"/>
        <v>0.32818051169910423</v>
      </c>
      <c r="L183" s="61">
        <f t="shared" si="96"/>
        <v>0.26194822842361826</v>
      </c>
      <c r="M183" s="61">
        <f t="shared" si="96"/>
        <v>0.20908272102757949</v>
      </c>
      <c r="N183" s="61">
        <f t="shared" si="96"/>
        <v>0.16688635191531254</v>
      </c>
      <c r="O183" s="61">
        <f t="shared" si="97"/>
        <v>0.13320591160628609</v>
      </c>
      <c r="P183" s="61">
        <f t="shared" si="97"/>
        <v>0.10632274409033705</v>
      </c>
      <c r="Q183" s="61">
        <f t="shared" si="97"/>
        <v>8.4865046712880532E-2</v>
      </c>
      <c r="R183" s="61">
        <f t="shared" si="97"/>
        <v>6.7737869401302858E-2</v>
      </c>
      <c r="S183" s="61">
        <f t="shared" si="97"/>
        <v>5.4067241211234095E-2</v>
      </c>
      <c r="T183" s="61">
        <f t="shared" si="97"/>
        <v>4.3155573064681374E-2</v>
      </c>
      <c r="U183" s="61">
        <f t="shared" si="97"/>
        <v>2.9368568573584459E-4</v>
      </c>
      <c r="V183" s="61">
        <f t="shared" si="97"/>
        <v>1.046495677757713E-4</v>
      </c>
      <c r="W183" s="61">
        <f t="shared" si="97"/>
        <v>3.5594976645894859E-5</v>
      </c>
      <c r="X183" s="61">
        <f t="shared" si="97"/>
        <v>1.1580700512638765E-5</v>
      </c>
      <c r="Y183" s="61">
        <f t="shared" si="92"/>
        <v>4.0460273599681136</v>
      </c>
      <c r="AA183" s="61">
        <f t="shared" si="93"/>
        <v>4.1669189996754614</v>
      </c>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59"/>
    </row>
    <row r="184" spans="1:80">
      <c r="A184" s="211">
        <f t="shared" si="86"/>
        <v>250.87117127065753</v>
      </c>
      <c r="B184" s="211">
        <f t="shared" si="87"/>
        <v>93.100705743060303</v>
      </c>
      <c r="C184" s="57" t="str">
        <f t="shared" si="91"/>
        <v>Single Family</v>
      </c>
      <c r="D184" s="60" t="str">
        <f t="shared" si="88"/>
        <v>ATTIC R11 - R38_Electric Zonal</v>
      </c>
      <c r="E184" s="61">
        <f t="shared" si="96"/>
        <v>5.4376008981543843E-2</v>
      </c>
      <c r="F184" s="61">
        <f t="shared" si="96"/>
        <v>5.4252532957082059E-2</v>
      </c>
      <c r="G184" s="61">
        <f t="shared" si="96"/>
        <v>5.412933731966784E-2</v>
      </c>
      <c r="H184" s="61">
        <f t="shared" si="96"/>
        <v>5.4006421432603521E-2</v>
      </c>
      <c r="I184" s="61">
        <f t="shared" si="96"/>
        <v>5.3883784660637271E-2</v>
      </c>
      <c r="J184" s="61">
        <f t="shared" si="96"/>
        <v>4.8385283732963705E-2</v>
      </c>
      <c r="K184" s="61">
        <f t="shared" si="96"/>
        <v>3.8620329068304496E-2</v>
      </c>
      <c r="L184" s="61">
        <f t="shared" si="96"/>
        <v>3.0826104597749468E-2</v>
      </c>
      <c r="M184" s="61">
        <f t="shared" si="96"/>
        <v>2.4604884204657257E-2</v>
      </c>
      <c r="N184" s="61">
        <f t="shared" si="96"/>
        <v>1.9639209514937903E-2</v>
      </c>
      <c r="O184" s="61">
        <f t="shared" si="97"/>
        <v>1.5675690532151402E-2</v>
      </c>
      <c r="P184" s="61">
        <f t="shared" si="97"/>
        <v>1.251207557375855E-2</v>
      </c>
      <c r="Q184" s="61">
        <f t="shared" si="97"/>
        <v>9.9869307091991644E-3</v>
      </c>
      <c r="R184" s="61">
        <f t="shared" si="97"/>
        <v>7.9714020589458732E-3</v>
      </c>
      <c r="S184" s="61">
        <f t="shared" si="97"/>
        <v>6.3626405985610342E-3</v>
      </c>
      <c r="T184" s="61">
        <f t="shared" si="97"/>
        <v>5.0785539466077995E-3</v>
      </c>
      <c r="U184" s="61">
        <f t="shared" si="97"/>
        <v>3.456097306645749E-5</v>
      </c>
      <c r="V184" s="61">
        <f t="shared" si="97"/>
        <v>1.2315175948234569E-5</v>
      </c>
      <c r="W184" s="61">
        <f t="shared" si="97"/>
        <v>4.1888218898978131E-6</v>
      </c>
      <c r="X184" s="61">
        <f t="shared" si="97"/>
        <v>1.3628184754908847E-6</v>
      </c>
      <c r="Y184" s="61">
        <f t="shared" si="92"/>
        <v>0.47613707240666225</v>
      </c>
      <c r="AA184" s="61">
        <f t="shared" si="93"/>
        <v>0.4903636176787512</v>
      </c>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59"/>
    </row>
    <row r="185" spans="1:80">
      <c r="A185" s="211">
        <f t="shared" si="86"/>
        <v>254.89161364580158</v>
      </c>
      <c r="B185" s="211">
        <f t="shared" si="87"/>
        <v>95.091000531406678</v>
      </c>
      <c r="C185" s="57" t="str">
        <f t="shared" si="91"/>
        <v>Single Family</v>
      </c>
      <c r="D185" s="60" t="str">
        <f t="shared" si="88"/>
        <v>ATTIC R11 - R38_DHP</v>
      </c>
      <c r="E185" s="61">
        <f t="shared" si="96"/>
        <v>4.8215001426798968E-3</v>
      </c>
      <c r="F185" s="61">
        <f t="shared" si="96"/>
        <v>4.8105515703092735E-3</v>
      </c>
      <c r="G185" s="61">
        <f t="shared" si="96"/>
        <v>4.7996278597520732E-3</v>
      </c>
      <c r="H185" s="61">
        <f t="shared" si="96"/>
        <v>4.7887289545525489E-3</v>
      </c>
      <c r="I185" s="61">
        <f t="shared" si="96"/>
        <v>4.7778547983831649E-3</v>
      </c>
      <c r="J185" s="61">
        <f t="shared" si="96"/>
        <v>4.2903048015398536E-3</v>
      </c>
      <c r="K185" s="61">
        <f t="shared" si="96"/>
        <v>3.4244499660939969E-3</v>
      </c>
      <c r="L185" s="61">
        <f t="shared" si="96"/>
        <v>2.7333390313136331E-3</v>
      </c>
      <c r="M185" s="61">
        <f t="shared" si="96"/>
        <v>2.1817057729198769E-3</v>
      </c>
      <c r="N185" s="61">
        <f t="shared" si="96"/>
        <v>1.7414012769957619E-3</v>
      </c>
      <c r="O185" s="61">
        <f t="shared" si="97"/>
        <v>1.3899575484296236E-3</v>
      </c>
      <c r="P185" s="61">
        <f t="shared" si="97"/>
        <v>1.1094410070546831E-3</v>
      </c>
      <c r="Q185" s="61">
        <f t="shared" si="97"/>
        <v>8.8553736732833077E-4</v>
      </c>
      <c r="R185" s="61">
        <f t="shared" si="97"/>
        <v>7.0682120450604529E-4</v>
      </c>
      <c r="S185" s="61">
        <f t="shared" si="97"/>
        <v>5.6417293450490992E-4</v>
      </c>
      <c r="T185" s="61">
        <f t="shared" si="97"/>
        <v>4.5031345692340361E-4</v>
      </c>
      <c r="U185" s="61">
        <f t="shared" si="97"/>
        <v>3.0645084053086693E-6</v>
      </c>
      <c r="V185" s="61">
        <f t="shared" si="97"/>
        <v>1.0919819917584387E-6</v>
      </c>
      <c r="W185" s="61">
        <f t="shared" si="97"/>
        <v>3.7142125209406202E-7</v>
      </c>
      <c r="X185" s="61">
        <f t="shared" si="97"/>
        <v>1.2084059858560696E-7</v>
      </c>
      <c r="Y185" s="61">
        <f t="shared" si="92"/>
        <v>4.2218894059016139E-2</v>
      </c>
      <c r="AA185" s="61">
        <f t="shared" si="93"/>
        <v>4.3480356445534836E-2</v>
      </c>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c r="CB185" s="59"/>
    </row>
    <row r="186" spans="1:80">
      <c r="A186" s="211">
        <f t="shared" si="86"/>
        <v>436.32229192874519</v>
      </c>
      <c r="B186" s="211">
        <f t="shared" si="87"/>
        <v>95.9020646212862</v>
      </c>
      <c r="C186" s="57" t="str">
        <f t="shared" si="91"/>
        <v>Single Family</v>
      </c>
      <c r="D186" s="60" t="str">
        <f t="shared" si="88"/>
        <v>CFM50 Infiltration Reduction_Electric Zonal</v>
      </c>
      <c r="E186" s="61">
        <f t="shared" si="96"/>
        <v>1.3280912107181131</v>
      </c>
      <c r="F186" s="61">
        <f t="shared" si="96"/>
        <v>1.3250754060297294</v>
      </c>
      <c r="G186" s="61">
        <f t="shared" si="96"/>
        <v>1.3220664495742425</v>
      </c>
      <c r="H186" s="61">
        <f t="shared" si="96"/>
        <v>1.3190643258008123</v>
      </c>
      <c r="I186" s="61">
        <f t="shared" si="96"/>
        <v>1.3160690191939131</v>
      </c>
      <c r="J186" s="61">
        <f t="shared" si="96"/>
        <v>1.1817724628459245</v>
      </c>
      <c r="K186" s="61">
        <f t="shared" si="96"/>
        <v>0.94327113282744979</v>
      </c>
      <c r="L186" s="61">
        <f t="shared" si="96"/>
        <v>0.7529033363011981</v>
      </c>
      <c r="M186" s="61">
        <f t="shared" si="96"/>
        <v>0.60095492598645028</v>
      </c>
      <c r="N186" s="61">
        <f t="shared" si="96"/>
        <v>0.47967223102183659</v>
      </c>
      <c r="O186" s="61">
        <f t="shared" si="97"/>
        <v>0.38286640023091173</v>
      </c>
      <c r="P186" s="61">
        <f t="shared" si="97"/>
        <v>0.30559759549454396</v>
      </c>
      <c r="Q186" s="61">
        <f t="shared" si="97"/>
        <v>0.24392292015105593</v>
      </c>
      <c r="R186" s="61">
        <f t="shared" si="97"/>
        <v>0.19469521963591718</v>
      </c>
      <c r="S186" s="61">
        <f t="shared" si="97"/>
        <v>0.15540248749729454</v>
      </c>
      <c r="T186" s="61">
        <f t="shared" si="97"/>
        <v>0.12403968194754598</v>
      </c>
      <c r="U186" s="61">
        <f t="shared" si="97"/>
        <v>8.4412455829567979E-4</v>
      </c>
      <c r="V186" s="61">
        <f t="shared" si="97"/>
        <v>3.0078847715448982E-4</v>
      </c>
      <c r="W186" s="61">
        <f t="shared" si="97"/>
        <v>1.0230867692266907E-4</v>
      </c>
      <c r="X186" s="61">
        <f t="shared" si="97"/>
        <v>3.3285768356372556E-5</v>
      </c>
      <c r="Y186" s="61">
        <f t="shared" si="92"/>
        <v>11.629273144613711</v>
      </c>
      <c r="AA186" s="61">
        <f t="shared" si="93"/>
        <v>11.976745312737666</v>
      </c>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c r="CB186" s="59"/>
    </row>
    <row r="187" spans="1:80">
      <c r="A187" s="211">
        <f t="shared" si="86"/>
        <v>438.23635218758727</v>
      </c>
      <c r="B187" s="211">
        <f t="shared" si="87"/>
        <v>99.714717551795005</v>
      </c>
      <c r="C187" s="57" t="str">
        <f t="shared" si="91"/>
        <v>Single Family</v>
      </c>
      <c r="D187" s="60" t="str">
        <f t="shared" si="88"/>
        <v>CFM50 Infiltration Reduction_DHP</v>
      </c>
      <c r="E187" s="61">
        <f t="shared" si="96"/>
        <v>0.11641232595423724</v>
      </c>
      <c r="F187" s="61">
        <f t="shared" si="96"/>
        <v>0.11614797902116135</v>
      </c>
      <c r="G187" s="61">
        <f t="shared" si="96"/>
        <v>0.11588423236215822</v>
      </c>
      <c r="H187" s="61">
        <f t="shared" si="96"/>
        <v>0.11562108461413685</v>
      </c>
      <c r="I187" s="61">
        <f t="shared" si="96"/>
        <v>0.11535853441710127</v>
      </c>
      <c r="J187" s="61">
        <f t="shared" si="96"/>
        <v>0.10358692237272951</v>
      </c>
      <c r="K187" s="61">
        <f t="shared" si="96"/>
        <v>8.2681359301035609E-2</v>
      </c>
      <c r="L187" s="61">
        <f t="shared" si="96"/>
        <v>6.5994886413061948E-2</v>
      </c>
      <c r="M187" s="61">
        <f t="shared" si="96"/>
        <v>5.2676021167184624E-2</v>
      </c>
      <c r="N187" s="61">
        <f t="shared" si="96"/>
        <v>4.2045124354611982E-2</v>
      </c>
      <c r="O187" s="61">
        <f t="shared" si="97"/>
        <v>3.3559719257916544E-2</v>
      </c>
      <c r="P187" s="61">
        <f t="shared" si="97"/>
        <v>2.6786809979945609E-2</v>
      </c>
      <c r="Q187" s="61">
        <f t="shared" si="97"/>
        <v>2.1380786394166622E-2</v>
      </c>
      <c r="R187" s="61">
        <f t="shared" si="97"/>
        <v>1.7065788243363984E-2</v>
      </c>
      <c r="S187" s="61">
        <f t="shared" si="97"/>
        <v>1.3621628456416379E-2</v>
      </c>
      <c r="T187" s="61">
        <f t="shared" si="97"/>
        <v>1.0872557373773989E-2</v>
      </c>
      <c r="U187" s="61">
        <f t="shared" si="97"/>
        <v>7.3990778971543304E-5</v>
      </c>
      <c r="V187" s="61">
        <f t="shared" si="97"/>
        <v>2.6365272176489946E-5</v>
      </c>
      <c r="W187" s="61">
        <f t="shared" si="97"/>
        <v>8.967750821442934E-6</v>
      </c>
      <c r="X187" s="61">
        <f t="shared" si="97"/>
        <v>2.9176262023781437E-6</v>
      </c>
      <c r="Y187" s="61">
        <f t="shared" si="92"/>
        <v>1.0193507230498273</v>
      </c>
      <c r="AA187" s="61">
        <f t="shared" si="93"/>
        <v>1.0498080011111737</v>
      </c>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c r="CB187" s="59"/>
    </row>
    <row r="188" spans="1:80">
      <c r="A188" s="211">
        <f t="shared" ref="A188:A217" si="98">VLOOKUP(CONCATENATE($D188),MeasureOutput,3,FALSE)</f>
        <v>272.17611365046236</v>
      </c>
      <c r="B188" s="211">
        <f t="shared" ref="B188:B217" si="99">VLOOKUP(CONCATENATE($D188),MeasureOutput,11,FALSE)</f>
        <v>102.42359603296441</v>
      </c>
      <c r="C188" s="57" t="str">
        <f t="shared" si="91"/>
        <v>Single Family</v>
      </c>
      <c r="D188" s="60" t="str">
        <f t="shared" si="88"/>
        <v>ATTIC R11 - R49_Electric Zonal</v>
      </c>
      <c r="E188" s="61">
        <f t="shared" ref="E188:N197" si="100">VLOOKUP($C188&amp;$D188,$C$89:$Y$148,E$22,FALSE)*$C$156*$A188/8760/1000</f>
        <v>4.6295191539141911E-2</v>
      </c>
      <c r="F188" s="61">
        <f t="shared" si="100"/>
        <v>4.6190065283831579E-2</v>
      </c>
      <c r="G188" s="61">
        <f t="shared" si="100"/>
        <v>4.6085177747256151E-2</v>
      </c>
      <c r="H188" s="61">
        <f t="shared" si="100"/>
        <v>4.5980528387337558E-2</v>
      </c>
      <c r="I188" s="61">
        <f t="shared" si="100"/>
        <v>4.5876116663228723E-2</v>
      </c>
      <c r="J188" s="61">
        <f t="shared" si="100"/>
        <v>4.1194747831779614E-2</v>
      </c>
      <c r="K188" s="61">
        <f t="shared" si="100"/>
        <v>3.2880962854936691E-2</v>
      </c>
      <c r="L188" s="61">
        <f t="shared" si="100"/>
        <v>2.6245037903440415E-2</v>
      </c>
      <c r="M188" s="61">
        <f t="shared" si="100"/>
        <v>2.0948352929683407E-2</v>
      </c>
      <c r="N188" s="61">
        <f t="shared" si="100"/>
        <v>1.6720627041237744E-2</v>
      </c>
      <c r="O188" s="61">
        <f t="shared" ref="O188:X197" si="101">VLOOKUP($C188&amp;$D188,$C$89:$Y$148,O$22,FALSE)*$C$156*$A188/8760/1000</f>
        <v>1.3346126523198507E-2</v>
      </c>
      <c r="P188" s="61">
        <f t="shared" si="101"/>
        <v>1.0652656310910537E-2</v>
      </c>
      <c r="Q188" s="61">
        <f t="shared" si="101"/>
        <v>8.5027731665161758E-3</v>
      </c>
      <c r="R188" s="61">
        <f t="shared" si="101"/>
        <v>6.7867721825569643E-3</v>
      </c>
      <c r="S188" s="61">
        <f t="shared" si="101"/>
        <v>5.4170887257481929E-3</v>
      </c>
      <c r="T188" s="61">
        <f t="shared" si="101"/>
        <v>4.3238301615676567E-3</v>
      </c>
      <c r="U188" s="61">
        <f t="shared" si="101"/>
        <v>2.9424867655032276E-5</v>
      </c>
      <c r="V188" s="61">
        <f t="shared" si="101"/>
        <v>1.0485017934200834E-5</v>
      </c>
      <c r="W188" s="61">
        <f t="shared" si="101"/>
        <v>3.566321165313736E-6</v>
      </c>
      <c r="X188" s="61">
        <f t="shared" si="101"/>
        <v>1.1602900532355431E-6</v>
      </c>
      <c r="Y188" s="61">
        <f t="shared" si="92"/>
        <v>0.40537835304232112</v>
      </c>
      <c r="AA188" s="61">
        <f t="shared" si="93"/>
        <v>0.41749069174917963</v>
      </c>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c r="CB188" s="59"/>
    </row>
    <row r="189" spans="1:80">
      <c r="A189" s="211">
        <f t="shared" si="98"/>
        <v>276.53115538238461</v>
      </c>
      <c r="B189" s="211">
        <f t="shared" si="99"/>
        <v>104.62001156125437</v>
      </c>
      <c r="C189" s="57" t="str">
        <f t="shared" si="91"/>
        <v>Single Family</v>
      </c>
      <c r="D189" s="60" t="str">
        <f t="shared" si="88"/>
        <v>ATTIC R11 - R49_DHP</v>
      </c>
      <c r="E189" s="61">
        <f t="shared" si="100"/>
        <v>4.1048757016279736E-3</v>
      </c>
      <c r="F189" s="61">
        <f t="shared" si="100"/>
        <v>4.0955544266385027E-3</v>
      </c>
      <c r="G189" s="61">
        <f t="shared" si="100"/>
        <v>4.0862543182259908E-3</v>
      </c>
      <c r="H189" s="61">
        <f t="shared" si="100"/>
        <v>4.0769753283257642E-3</v>
      </c>
      <c r="I189" s="61">
        <f t="shared" si="100"/>
        <v>4.0677174089823031E-3</v>
      </c>
      <c r="J189" s="61">
        <f t="shared" si="100"/>
        <v>3.6526324611140825E-3</v>
      </c>
      <c r="K189" s="61">
        <f t="shared" si="100"/>
        <v>2.9154705052952309E-3</v>
      </c>
      <c r="L189" s="61">
        <f t="shared" si="100"/>
        <v>2.3270800875086857E-3</v>
      </c>
      <c r="M189" s="61">
        <f t="shared" si="100"/>
        <v>1.8574366380465443E-3</v>
      </c>
      <c r="N189" s="61">
        <f t="shared" si="100"/>
        <v>1.4825750445276726E-3</v>
      </c>
      <c r="O189" s="61">
        <f t="shared" si="101"/>
        <v>1.1833667526704355E-3</v>
      </c>
      <c r="P189" s="61">
        <f t="shared" si="101"/>
        <v>9.4454366846023947E-4</v>
      </c>
      <c r="Q189" s="61">
        <f t="shared" si="101"/>
        <v>7.5391905308733328E-4</v>
      </c>
      <c r="R189" s="61">
        <f t="shared" si="101"/>
        <v>6.017656542388097E-4</v>
      </c>
      <c r="S189" s="61">
        <f t="shared" si="101"/>
        <v>4.8031934083447907E-4</v>
      </c>
      <c r="T189" s="61">
        <f t="shared" si="101"/>
        <v>3.8338291252513535E-4</v>
      </c>
      <c r="U189" s="61">
        <f t="shared" si="101"/>
        <v>2.6090274226133951E-6</v>
      </c>
      <c r="V189" s="61">
        <f t="shared" si="101"/>
        <v>9.2967960425965847E-7</v>
      </c>
      <c r="W189" s="61">
        <f t="shared" si="101"/>
        <v>3.1621653586465021E-7</v>
      </c>
      <c r="X189" s="61">
        <f t="shared" si="101"/>
        <v>1.0287993824024449E-7</v>
      </c>
      <c r="Y189" s="61">
        <f t="shared" si="92"/>
        <v>3.5943857149019008E-2</v>
      </c>
      <c r="AA189" s="61">
        <f t="shared" si="93"/>
        <v>3.7017827105610163E-2</v>
      </c>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c r="CB189" s="59"/>
    </row>
    <row r="190" spans="1:80">
      <c r="A190" s="211">
        <f t="shared" si="98"/>
        <v>755.41778328775206</v>
      </c>
      <c r="B190" s="211">
        <f t="shared" si="99"/>
        <v>81.09109981605944</v>
      </c>
      <c r="C190" s="57" t="str">
        <f t="shared" si="91"/>
        <v>Single Family</v>
      </c>
      <c r="D190" s="60" t="str">
        <f t="shared" ref="D190:D214" si="102">D55</f>
        <v>WINDOW CL30 Prime Window Replacement of Single Pane Base_Electric Zonal</v>
      </c>
      <c r="E190" s="61">
        <f t="shared" si="100"/>
        <v>0.23356519722176108</v>
      </c>
      <c r="F190" s="61">
        <f t="shared" si="100"/>
        <v>0.23303482173915868</v>
      </c>
      <c r="G190" s="61">
        <f t="shared" si="100"/>
        <v>0.23250565062328521</v>
      </c>
      <c r="H190" s="61">
        <f t="shared" si="100"/>
        <v>0.23197768113928702</v>
      </c>
      <c r="I190" s="61">
        <f t="shared" si="100"/>
        <v>0.23145091055852107</v>
      </c>
      <c r="J190" s="61">
        <f t="shared" si="100"/>
        <v>0.20783280254268627</v>
      </c>
      <c r="K190" s="61">
        <f t="shared" si="100"/>
        <v>0.16588868776061733</v>
      </c>
      <c r="L190" s="61">
        <f t="shared" si="100"/>
        <v>0.13240959266421634</v>
      </c>
      <c r="M190" s="61">
        <f t="shared" si="100"/>
        <v>0.10568713554961243</v>
      </c>
      <c r="N190" s="61">
        <f t="shared" si="100"/>
        <v>8.4357714542692488E-2</v>
      </c>
      <c r="O190" s="61">
        <f t="shared" si="101"/>
        <v>6.7332925297477086E-2</v>
      </c>
      <c r="P190" s="61">
        <f t="shared" si="101"/>
        <v>5.3744021559772863E-2</v>
      </c>
      <c r="Q190" s="61">
        <f t="shared" si="101"/>
        <v>4.2897584512425119E-2</v>
      </c>
      <c r="R190" s="61">
        <f t="shared" si="101"/>
        <v>3.4240138783697548E-2</v>
      </c>
      <c r="S190" s="61">
        <f t="shared" si="101"/>
        <v>2.7329909533421196E-2</v>
      </c>
      <c r="T190" s="61">
        <f t="shared" si="101"/>
        <v>2.1814279428698256E-2</v>
      </c>
      <c r="U190" s="61">
        <f t="shared" si="101"/>
        <v>1.4845224284818279E-4</v>
      </c>
      <c r="V190" s="61">
        <f t="shared" si="101"/>
        <v>5.2898264382485177E-5</v>
      </c>
      <c r="W190" s="61">
        <f t="shared" si="101"/>
        <v>1.7992549088567454E-5</v>
      </c>
      <c r="X190" s="61">
        <f t="shared" si="101"/>
        <v>5.8538125906505432E-6</v>
      </c>
      <c r="Y190" s="61">
        <f t="shared" ref="Y190:Y217" si="103">VLOOKUP($D190,$D$23:$Z$82,$X$22+1,FALSE)*$C$156*$A190/8760/1000</f>
        <v>2.0451859432898112</v>
      </c>
      <c r="AA190" s="61">
        <f t="shared" si="93"/>
        <v>2.1062942503262403</v>
      </c>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c r="CB190" s="59"/>
    </row>
    <row r="191" spans="1:80">
      <c r="A191" s="211">
        <f t="shared" si="98"/>
        <v>224.01460250228615</v>
      </c>
      <c r="B191" s="211">
        <f t="shared" si="99"/>
        <v>115.30126296869003</v>
      </c>
      <c r="C191" s="57" t="str">
        <f t="shared" ref="C191:C215" si="104">$C$158</f>
        <v>Single Family</v>
      </c>
      <c r="D191" s="60" t="str">
        <f t="shared" si="102"/>
        <v>ATTIC R19 - R49_Electric FAF</v>
      </c>
      <c r="E191" s="61">
        <f t="shared" si="100"/>
        <v>9.6797596443544444E-3</v>
      </c>
      <c r="F191" s="61">
        <f t="shared" si="100"/>
        <v>9.6577790271481275E-3</v>
      </c>
      <c r="G191" s="61">
        <f t="shared" si="100"/>
        <v>9.6358483231163642E-3</v>
      </c>
      <c r="H191" s="61">
        <f t="shared" si="100"/>
        <v>9.6139674189172526E-3</v>
      </c>
      <c r="I191" s="61">
        <f t="shared" si="100"/>
        <v>9.5921362014662667E-3</v>
      </c>
      <c r="J191" s="61">
        <f t="shared" si="100"/>
        <v>8.6133191021420946E-3</v>
      </c>
      <c r="K191" s="61">
        <f t="shared" si="100"/>
        <v>6.875008110542812E-3</v>
      </c>
      <c r="L191" s="61">
        <f t="shared" si="100"/>
        <v>5.4875171765405347E-3</v>
      </c>
      <c r="M191" s="61">
        <f t="shared" si="100"/>
        <v>4.3800449801141943E-3</v>
      </c>
      <c r="N191" s="61">
        <f t="shared" si="100"/>
        <v>3.4960790846978469E-3</v>
      </c>
      <c r="O191" s="61">
        <f t="shared" si="101"/>
        <v>2.7905122029461609E-3</v>
      </c>
      <c r="P191" s="61">
        <f t="shared" si="101"/>
        <v>2.2273404480106134E-3</v>
      </c>
      <c r="Q191" s="61">
        <f t="shared" si="101"/>
        <v>1.7778261159748226E-3</v>
      </c>
      <c r="R191" s="61">
        <f t="shared" si="101"/>
        <v>1.4190312493382526E-3</v>
      </c>
      <c r="S191" s="61">
        <f t="shared" si="101"/>
        <v>1.1326471517684683E-3</v>
      </c>
      <c r="T191" s="61">
        <f t="shared" si="101"/>
        <v>9.0406012623575659E-4</v>
      </c>
      <c r="U191" s="61">
        <f t="shared" si="101"/>
        <v>6.1523807764535526E-6</v>
      </c>
      <c r="V191" s="61">
        <f t="shared" si="101"/>
        <v>2.1922893090095429E-6</v>
      </c>
      <c r="W191" s="61">
        <f t="shared" si="101"/>
        <v>7.4567423844923287E-7</v>
      </c>
      <c r="X191" s="61">
        <f t="shared" si="101"/>
        <v>2.4260249195770918E-7</v>
      </c>
      <c r="Y191" s="61">
        <f t="shared" si="103"/>
        <v>8.4759667084566961E-2</v>
      </c>
      <c r="AA191" s="61">
        <f t="shared" si="93"/>
        <v>8.7292209310129862E-2</v>
      </c>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row>
    <row r="192" spans="1:80">
      <c r="A192" s="211">
        <f t="shared" si="98"/>
        <v>185.82051227713686</v>
      </c>
      <c r="B192" s="211">
        <f t="shared" si="99"/>
        <v>117.58335406700746</v>
      </c>
      <c r="C192" s="57" t="str">
        <f t="shared" si="104"/>
        <v>Single Family</v>
      </c>
      <c r="D192" s="60" t="str">
        <f t="shared" si="102"/>
        <v>ATTIC R19 - R38_Electric FAF</v>
      </c>
      <c r="E192" s="61">
        <f t="shared" si="100"/>
        <v>3.7291862867265325E-3</v>
      </c>
      <c r="F192" s="61">
        <f t="shared" si="100"/>
        <v>3.7207181202357051E-3</v>
      </c>
      <c r="G192" s="61">
        <f t="shared" si="100"/>
        <v>3.7122691830990063E-3</v>
      </c>
      <c r="H192" s="61">
        <f t="shared" si="100"/>
        <v>3.7038394316507772E-3</v>
      </c>
      <c r="I192" s="61">
        <f t="shared" si="100"/>
        <v>3.6954288223245168E-3</v>
      </c>
      <c r="J192" s="61">
        <f t="shared" si="100"/>
        <v>3.3183335804873857E-3</v>
      </c>
      <c r="K192" s="61">
        <f t="shared" si="100"/>
        <v>2.6486386965117437E-3</v>
      </c>
      <c r="L192" s="61">
        <f t="shared" si="100"/>
        <v>2.1140993738275856E-3</v>
      </c>
      <c r="M192" s="61">
        <f t="shared" si="100"/>
        <v>1.6874389731994812E-3</v>
      </c>
      <c r="N192" s="61">
        <f t="shared" si="100"/>
        <v>1.3468857346649694E-3</v>
      </c>
      <c r="O192" s="61">
        <f t="shared" si="101"/>
        <v>1.075061801378425E-3</v>
      </c>
      <c r="P192" s="61">
        <f t="shared" si="101"/>
        <v>8.580964569132603E-4</v>
      </c>
      <c r="Q192" s="61">
        <f t="shared" si="101"/>
        <v>6.8491832601900884E-4</v>
      </c>
      <c r="R192" s="61">
        <f t="shared" si="101"/>
        <v>5.4669042103281979E-4</v>
      </c>
      <c r="S192" s="61">
        <f t="shared" si="101"/>
        <v>4.3635920531749238E-4</v>
      </c>
      <c r="T192" s="61">
        <f t="shared" si="101"/>
        <v>3.4829466319455138E-4</v>
      </c>
      <c r="U192" s="61">
        <f t="shared" si="101"/>
        <v>2.3702421201803135E-6</v>
      </c>
      <c r="V192" s="61">
        <f t="shared" si="101"/>
        <v>8.4459279239064242E-7</v>
      </c>
      <c r="W192" s="61">
        <f t="shared" si="101"/>
        <v>2.8727553643462205E-7</v>
      </c>
      <c r="X192" s="61">
        <f t="shared" si="101"/>
        <v>9.3464085821803369E-8</v>
      </c>
      <c r="Y192" s="61">
        <f t="shared" si="103"/>
        <v>3.2654177352804861E-2</v>
      </c>
      <c r="AA192" s="61">
        <f t="shared" si="93"/>
        <v>3.3629854651118098E-2</v>
      </c>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c r="CB192" s="59"/>
    </row>
    <row r="193" spans="1:80">
      <c r="A193" s="211">
        <f t="shared" si="98"/>
        <v>737.561580957091</v>
      </c>
      <c r="B193" s="211">
        <f t="shared" si="99"/>
        <v>87.652713083604795</v>
      </c>
      <c r="C193" s="57" t="str">
        <f t="shared" si="104"/>
        <v>Single Family</v>
      </c>
      <c r="D193" s="60" t="str">
        <f t="shared" si="102"/>
        <v>WINDOW CL30 Prime Window Replacement of Single Pane Base_DHP</v>
      </c>
      <c r="E193" s="61">
        <f t="shared" si="100"/>
        <v>1.9901658912671798E-2</v>
      </c>
      <c r="F193" s="61">
        <f t="shared" si="100"/>
        <v>1.9856466597738109E-2</v>
      </c>
      <c r="G193" s="61">
        <f t="shared" si="100"/>
        <v>1.9811376904668151E-2</v>
      </c>
      <c r="H193" s="61">
        <f t="shared" si="100"/>
        <v>1.9766389600430125E-2</v>
      </c>
      <c r="I193" s="61">
        <f t="shared" si="100"/>
        <v>1.9721504452521379E-2</v>
      </c>
      <c r="J193" s="61">
        <f t="shared" si="100"/>
        <v>1.7709049106070508E-2</v>
      </c>
      <c r="K193" s="61">
        <f t="shared" si="100"/>
        <v>1.4135068582790237E-2</v>
      </c>
      <c r="L193" s="61">
        <f t="shared" si="100"/>
        <v>1.1282376746682221E-2</v>
      </c>
      <c r="M193" s="61">
        <f t="shared" si="100"/>
        <v>9.0054055492207966E-3</v>
      </c>
      <c r="N193" s="61">
        <f t="shared" si="100"/>
        <v>7.1879649941476026E-3</v>
      </c>
      <c r="O193" s="61">
        <f t="shared" si="101"/>
        <v>5.7373141581127194E-3</v>
      </c>
      <c r="P193" s="61">
        <f t="shared" si="101"/>
        <v>4.5794287779199402E-3</v>
      </c>
      <c r="Q193" s="61">
        <f t="shared" si="101"/>
        <v>3.6552239173424919E-3</v>
      </c>
      <c r="R193" s="61">
        <f t="shared" si="101"/>
        <v>2.91753896257368E-3</v>
      </c>
      <c r="S193" s="61">
        <f t="shared" si="101"/>
        <v>2.3287310957201559E-3</v>
      </c>
      <c r="T193" s="61">
        <f t="shared" si="101"/>
        <v>1.8587544453528592E-3</v>
      </c>
      <c r="U193" s="61">
        <f t="shared" si="101"/>
        <v>1.2649341327939898E-5</v>
      </c>
      <c r="V193" s="61">
        <f t="shared" si="101"/>
        <v>4.5073633714915057E-6</v>
      </c>
      <c r="W193" s="61">
        <f t="shared" si="101"/>
        <v>1.5331118642226003E-6</v>
      </c>
      <c r="X193" s="61">
        <f t="shared" si="101"/>
        <v>4.9879255515631462E-7</v>
      </c>
      <c r="Y193" s="61">
        <f t="shared" si="103"/>
        <v>0.17426651547618729</v>
      </c>
      <c r="AA193" s="61">
        <f t="shared" si="93"/>
        <v>0.17947344141308155</v>
      </c>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c r="CB193" s="59"/>
    </row>
    <row r="194" spans="1:80">
      <c r="A194" s="211">
        <f t="shared" si="98"/>
        <v>823.63357390767669</v>
      </c>
      <c r="B194" s="211">
        <f t="shared" si="99"/>
        <v>90.181282369419662</v>
      </c>
      <c r="C194" s="57" t="str">
        <f t="shared" si="104"/>
        <v>Single Family</v>
      </c>
      <c r="D194" s="60" t="str">
        <f t="shared" si="102"/>
        <v>WINDOW CL22 Prime Window Replacement of Single Pane Base_Electric Zonal</v>
      </c>
      <c r="E194" s="61">
        <f t="shared" si="100"/>
        <v>6.3664154585745467E-2</v>
      </c>
      <c r="F194" s="61">
        <f t="shared" si="100"/>
        <v>6.3519587213917247E-2</v>
      </c>
      <c r="G194" s="61">
        <f t="shared" si="100"/>
        <v>6.3375348122973851E-2</v>
      </c>
      <c r="H194" s="61">
        <f t="shared" si="100"/>
        <v>6.3231436567461149E-2</v>
      </c>
      <c r="I194" s="61">
        <f t="shared" si="100"/>
        <v>6.3087851803617825E-2</v>
      </c>
      <c r="J194" s="61">
        <f t="shared" si="100"/>
        <v>5.6650133780434313E-2</v>
      </c>
      <c r="K194" s="61">
        <f t="shared" si="100"/>
        <v>4.5217194972720989E-2</v>
      </c>
      <c r="L194" s="61">
        <f t="shared" si="100"/>
        <v>3.6091613289485687E-2</v>
      </c>
      <c r="M194" s="61">
        <f t="shared" si="100"/>
        <v>2.8807725703100907E-2</v>
      </c>
      <c r="N194" s="61">
        <f t="shared" si="100"/>
        <v>2.2993847726581553E-2</v>
      </c>
      <c r="O194" s="61">
        <f t="shared" si="101"/>
        <v>1.8353306981686076E-2</v>
      </c>
      <c r="P194" s="61">
        <f t="shared" si="101"/>
        <v>1.4649304508292693E-2</v>
      </c>
      <c r="Q194" s="61">
        <f t="shared" si="101"/>
        <v>1.1692831313224711E-2</v>
      </c>
      <c r="R194" s="61">
        <f t="shared" si="101"/>
        <v>9.3330235604108334E-3</v>
      </c>
      <c r="S194" s="61">
        <f t="shared" si="101"/>
        <v>7.4494642440164757E-3</v>
      </c>
      <c r="T194" s="61">
        <f t="shared" si="101"/>
        <v>5.9460385119221894E-3</v>
      </c>
      <c r="U194" s="61">
        <f t="shared" si="101"/>
        <v>4.04644469711551E-5</v>
      </c>
      <c r="V194" s="61">
        <f t="shared" si="101"/>
        <v>1.4418771807713489E-5</v>
      </c>
      <c r="W194" s="61">
        <f t="shared" si="101"/>
        <v>4.9043283853569292E-6</v>
      </c>
      <c r="X194" s="61">
        <f t="shared" si="101"/>
        <v>1.5956059983256661E-6</v>
      </c>
      <c r="Y194" s="61">
        <f t="shared" si="103"/>
        <v>0.55746761760302666</v>
      </c>
      <c r="AA194" s="61">
        <f t="shared" si="93"/>
        <v>0.57412424603875467</v>
      </c>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row>
    <row r="195" spans="1:80">
      <c r="A195" s="211">
        <f t="shared" si="98"/>
        <v>582.5730862074488</v>
      </c>
      <c r="B195" s="211">
        <f t="shared" si="99"/>
        <v>115.75151545553935</v>
      </c>
      <c r="C195" s="57" t="str">
        <f t="shared" si="104"/>
        <v>Single Family</v>
      </c>
      <c r="D195" s="60" t="str">
        <f t="shared" si="102"/>
        <v>WINDOW CL30 Prime Window Replacement of Single Pane Base_Heat Pump</v>
      </c>
      <c r="E195" s="61">
        <f t="shared" si="100"/>
        <v>0.12960365588666561</v>
      </c>
      <c r="F195" s="61">
        <f t="shared" si="100"/>
        <v>0.12930935432823329</v>
      </c>
      <c r="G195" s="61">
        <f t="shared" si="100"/>
        <v>0.12901572106427694</v>
      </c>
      <c r="H195" s="61">
        <f t="shared" si="100"/>
        <v>0.12872275457724591</v>
      </c>
      <c r="I195" s="61">
        <f t="shared" si="100"/>
        <v>0.12843045335303577</v>
      </c>
      <c r="J195" s="61">
        <f t="shared" si="100"/>
        <v>0.11532493429288206</v>
      </c>
      <c r="K195" s="61">
        <f t="shared" si="100"/>
        <v>9.2050445270766793E-2</v>
      </c>
      <c r="L195" s="61">
        <f t="shared" si="100"/>
        <v>7.347313507265886E-2</v>
      </c>
      <c r="M195" s="61">
        <f t="shared" si="100"/>
        <v>5.8645034921081023E-2</v>
      </c>
      <c r="N195" s="61">
        <f t="shared" si="100"/>
        <v>4.6809491897871071E-2</v>
      </c>
      <c r="O195" s="61">
        <f t="shared" si="101"/>
        <v>3.7362558223138109E-2</v>
      </c>
      <c r="P195" s="61">
        <f t="shared" si="101"/>
        <v>2.9822172819630073E-2</v>
      </c>
      <c r="Q195" s="61">
        <f t="shared" si="101"/>
        <v>2.3803562549769768E-2</v>
      </c>
      <c r="R195" s="61">
        <f t="shared" si="101"/>
        <v>1.8999607892012424E-2</v>
      </c>
      <c r="S195" s="61">
        <f t="shared" si="101"/>
        <v>1.5165171150135775E-2</v>
      </c>
      <c r="T195" s="61">
        <f t="shared" si="101"/>
        <v>1.2104587490439557E-2</v>
      </c>
      <c r="U195" s="61">
        <f t="shared" si="101"/>
        <v>8.2375086813263578E-5</v>
      </c>
      <c r="V195" s="61">
        <f t="shared" si="101"/>
        <v>2.9352868216578292E-5</v>
      </c>
      <c r="W195" s="61">
        <f t="shared" si="101"/>
        <v>9.9839366837884983E-6</v>
      </c>
      <c r="X195" s="61">
        <f t="shared" si="101"/>
        <v>3.248238700149195E-6</v>
      </c>
      <c r="Y195" s="61">
        <f t="shared" si="103"/>
        <v>1.1348590388092403</v>
      </c>
      <c r="AA195" s="61">
        <f t="shared" si="93"/>
        <v>1.1687676009202568</v>
      </c>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c r="CB195" s="59"/>
    </row>
    <row r="196" spans="1:80">
      <c r="A196" s="211">
        <f t="shared" si="98"/>
        <v>804.07204601148794</v>
      </c>
      <c r="B196" s="211">
        <f t="shared" si="99"/>
        <v>97.336128859188079</v>
      </c>
      <c r="C196" s="57" t="str">
        <f t="shared" si="104"/>
        <v>Single Family</v>
      </c>
      <c r="D196" s="60" t="str">
        <f t="shared" si="102"/>
        <v>WINDOW CL22 Prime Window Replacement of Single Pane Base_DHP</v>
      </c>
      <c r="E196" s="61">
        <f t="shared" si="100"/>
        <v>5.42407848174841E-3</v>
      </c>
      <c r="F196" s="61">
        <f t="shared" si="100"/>
        <v>5.4117615857525612E-3</v>
      </c>
      <c r="G196" s="61">
        <f t="shared" si="100"/>
        <v>5.3994726587338346E-3</v>
      </c>
      <c r="H196" s="61">
        <f t="shared" si="100"/>
        <v>5.387211637180804E-3</v>
      </c>
      <c r="I196" s="61">
        <f t="shared" si="100"/>
        <v>5.3749784577262552E-3</v>
      </c>
      <c r="J196" s="61">
        <f t="shared" si="100"/>
        <v>4.8264957514321865E-3</v>
      </c>
      <c r="K196" s="61">
        <f t="shared" si="100"/>
        <v>3.8524286681012958E-3</v>
      </c>
      <c r="L196" s="61">
        <f t="shared" si="100"/>
        <v>3.0749445160922024E-3</v>
      </c>
      <c r="M196" s="61">
        <f t="shared" si="100"/>
        <v>2.454369591664791E-3</v>
      </c>
      <c r="N196" s="61">
        <f t="shared" si="100"/>
        <v>1.9590370040706668E-3</v>
      </c>
      <c r="O196" s="61">
        <f t="shared" si="101"/>
        <v>1.563670767577831E-3</v>
      </c>
      <c r="P196" s="61">
        <f t="shared" si="101"/>
        <v>1.2480960105893152E-3</v>
      </c>
      <c r="Q196" s="61">
        <f t="shared" si="101"/>
        <v>9.9620948600449453E-4</v>
      </c>
      <c r="R196" s="61">
        <f t="shared" si="101"/>
        <v>7.9515784970479991E-4</v>
      </c>
      <c r="S196" s="61">
        <f t="shared" si="101"/>
        <v>6.3468177610216865E-4</v>
      </c>
      <c r="T196" s="61">
        <f t="shared" si="101"/>
        <v>5.0659244207392222E-4</v>
      </c>
      <c r="U196" s="61">
        <f t="shared" si="101"/>
        <v>3.4475025627880492E-6</v>
      </c>
      <c r="V196" s="61">
        <f t="shared" si="101"/>
        <v>1.2284550137255794E-6</v>
      </c>
      <c r="W196" s="61">
        <f t="shared" si="101"/>
        <v>4.1784049808773498E-7</v>
      </c>
      <c r="X196" s="61">
        <f t="shared" si="101"/>
        <v>1.3594293707631735E-7</v>
      </c>
      <c r="Y196" s="61">
        <f t="shared" si="103"/>
        <v>4.7495299805475649E-2</v>
      </c>
      <c r="AA196" s="61">
        <f t="shared" si="93"/>
        <v>4.8914416425567202E-2</v>
      </c>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c r="CB196" s="59"/>
    </row>
    <row r="197" spans="1:80">
      <c r="A197" s="211">
        <f t="shared" si="98"/>
        <v>638.75356520811931</v>
      </c>
      <c r="B197" s="211">
        <f t="shared" si="99"/>
        <v>126.93044494164164</v>
      </c>
      <c r="C197" s="57" t="str">
        <f t="shared" si="104"/>
        <v>Single Family</v>
      </c>
      <c r="D197" s="60" t="str">
        <f t="shared" si="102"/>
        <v>WINDOW CL22 Prime Window Replacement of Single Pane Base_Heat Pump</v>
      </c>
      <c r="E197" s="61">
        <f t="shared" si="100"/>
        <v>3.5525498526091819E-2</v>
      </c>
      <c r="F197" s="61">
        <f t="shared" si="100"/>
        <v>3.5444827888301646E-2</v>
      </c>
      <c r="G197" s="61">
        <f t="shared" si="100"/>
        <v>3.5364340435887383E-2</v>
      </c>
      <c r="H197" s="61">
        <f t="shared" si="100"/>
        <v>3.528403575287508E-2</v>
      </c>
      <c r="I197" s="61">
        <f t="shared" si="100"/>
        <v>3.5203913424235421E-2</v>
      </c>
      <c r="J197" s="61">
        <f t="shared" si="100"/>
        <v>3.1611575732293354E-2</v>
      </c>
      <c r="K197" s="61">
        <f t="shared" si="100"/>
        <v>2.5231834205760022E-2</v>
      </c>
      <c r="L197" s="61">
        <f t="shared" si="100"/>
        <v>2.0139630582748376E-2</v>
      </c>
      <c r="M197" s="61">
        <f t="shared" si="100"/>
        <v>1.6075118308956735E-2</v>
      </c>
      <c r="N197" s="61">
        <f t="shared" si="100"/>
        <v>1.2830892184701228E-2</v>
      </c>
      <c r="O197" s="61">
        <f t="shared" si="101"/>
        <v>1.0241404827714242E-2</v>
      </c>
      <c r="P197" s="61">
        <f t="shared" si="101"/>
        <v>8.1745190697018414E-3</v>
      </c>
      <c r="Q197" s="61">
        <f t="shared" si="101"/>
        <v>6.5247652197177241E-3</v>
      </c>
      <c r="R197" s="61">
        <f t="shared" si="101"/>
        <v>5.2079591238865259E-3</v>
      </c>
      <c r="S197" s="61">
        <f t="shared" si="101"/>
        <v>4.1569063901499732E-3</v>
      </c>
      <c r="T197" s="61">
        <f t="shared" si="101"/>
        <v>3.3179735718767097E-3</v>
      </c>
      <c r="U197" s="61">
        <f t="shared" si="101"/>
        <v>2.2579733612841453E-5</v>
      </c>
      <c r="V197" s="61">
        <f t="shared" si="101"/>
        <v>8.0458785628431174E-6</v>
      </c>
      <c r="W197" s="61">
        <f t="shared" si="101"/>
        <v>2.7366845905541643E-6</v>
      </c>
      <c r="X197" s="61">
        <f t="shared" si="101"/>
        <v>8.9037071034056488E-7</v>
      </c>
      <c r="Y197" s="61">
        <f t="shared" si="103"/>
        <v>0.31107481370583484</v>
      </c>
      <c r="AA197" s="61">
        <f t="shared" si="93"/>
        <v>0.32036944791237471</v>
      </c>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c r="CB197" s="59"/>
    </row>
    <row r="198" spans="1:80">
      <c r="A198" s="211">
        <f t="shared" si="98"/>
        <v>152.20883549304395</v>
      </c>
      <c r="B198" s="211">
        <f t="shared" si="99"/>
        <v>178.95655386408794</v>
      </c>
      <c r="C198" s="57" t="str">
        <f t="shared" si="104"/>
        <v>Single Family</v>
      </c>
      <c r="D198" s="60" t="str">
        <f t="shared" si="102"/>
        <v>ATTIC R11 - R38_Heat Pump</v>
      </c>
      <c r="E198" s="61">
        <f t="shared" ref="E198:N207" si="105">VLOOKUP($C198&amp;$D198,$C$89:$Y$148,E$22,FALSE)*$C$156*$A198/8760/1000</f>
        <v>2.3737902602043393E-2</v>
      </c>
      <c r="F198" s="61">
        <f t="shared" si="105"/>
        <v>2.3683999016670728E-2</v>
      </c>
      <c r="G198" s="61">
        <f t="shared" si="105"/>
        <v>2.3630217834551832E-2</v>
      </c>
      <c r="H198" s="61">
        <f t="shared" si="105"/>
        <v>2.3576558777735672E-2</v>
      </c>
      <c r="I198" s="61">
        <f t="shared" si="105"/>
        <v>2.3523021568902406E-2</v>
      </c>
      <c r="J198" s="61">
        <f t="shared" si="105"/>
        <v>2.1122645338225717E-2</v>
      </c>
      <c r="K198" s="61">
        <f t="shared" si="105"/>
        <v>1.6859744344117703E-2</v>
      </c>
      <c r="L198" s="61">
        <f t="shared" si="105"/>
        <v>1.3457167641526362E-2</v>
      </c>
      <c r="M198" s="61">
        <f t="shared" si="105"/>
        <v>1.0741287485496642E-2</v>
      </c>
      <c r="N198" s="61">
        <f t="shared" si="105"/>
        <v>8.5735170965738558E-3</v>
      </c>
      <c r="O198" s="61">
        <f t="shared" ref="O198:X207" si="106">VLOOKUP($C198&amp;$D198,$C$89:$Y$148,O$22,FALSE)*$C$156*$A198/8760/1000</f>
        <v>6.8432388114082372E-3</v>
      </c>
      <c r="P198" s="61">
        <f t="shared" si="106"/>
        <v>5.4621594501372316E-3</v>
      </c>
      <c r="Q198" s="61">
        <f t="shared" si="106"/>
        <v>4.3598048644723289E-3</v>
      </c>
      <c r="R198" s="61">
        <f t="shared" si="106"/>
        <v>3.4799237608852704E-3</v>
      </c>
      <c r="S198" s="61">
        <f t="shared" si="106"/>
        <v>2.7776172920618912E-3</v>
      </c>
      <c r="T198" s="61">
        <f t="shared" si="106"/>
        <v>2.2170479445212162E-3</v>
      </c>
      <c r="U198" s="61">
        <f t="shared" si="106"/>
        <v>1.5087628309791409E-5</v>
      </c>
      <c r="V198" s="61">
        <f t="shared" si="106"/>
        <v>5.3762027162648812E-6</v>
      </c>
      <c r="W198" s="61">
        <f t="shared" si="106"/>
        <v>1.8286345008044115E-6</v>
      </c>
      <c r="X198" s="61">
        <f t="shared" si="106"/>
        <v>5.9493980601717538E-7</v>
      </c>
      <c r="Y198" s="61">
        <f t="shared" si="103"/>
        <v>0.20785812827579331</v>
      </c>
      <c r="AA198" s="61">
        <f t="shared" si="93"/>
        <v>0.2140687412346633</v>
      </c>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c r="CB198" s="59"/>
    </row>
    <row r="199" spans="1:80">
      <c r="A199" s="211">
        <f t="shared" si="98"/>
        <v>590.32056679253151</v>
      </c>
      <c r="B199" s="211">
        <f t="shared" si="99"/>
        <v>118.1826823416875</v>
      </c>
      <c r="C199" s="57" t="str">
        <f t="shared" si="104"/>
        <v>Single Family</v>
      </c>
      <c r="D199" s="60" t="str">
        <f t="shared" si="102"/>
        <v>WINDOW CL30 Prime Window Replacement of Double Pane Base_Electric FAF</v>
      </c>
      <c r="E199" s="61">
        <f t="shared" si="105"/>
        <v>1.0721546904420975</v>
      </c>
      <c r="F199" s="61">
        <f t="shared" si="105"/>
        <v>1.0697200616184048</v>
      </c>
      <c r="G199" s="61">
        <f t="shared" si="105"/>
        <v>1.0672909613043213</v>
      </c>
      <c r="H199" s="61">
        <f t="shared" si="105"/>
        <v>1.0648673769458119</v>
      </c>
      <c r="I199" s="61">
        <f t="shared" si="105"/>
        <v>1.0624492960173466</v>
      </c>
      <c r="J199" s="61">
        <f t="shared" si="105"/>
        <v>0.95403303541965612</v>
      </c>
      <c r="K199" s="61">
        <f t="shared" si="105"/>
        <v>0.76149330803322079</v>
      </c>
      <c r="L199" s="61">
        <f t="shared" si="105"/>
        <v>0.60781129861431471</v>
      </c>
      <c r="M199" s="61">
        <f t="shared" si="105"/>
        <v>0.48514487366591885</v>
      </c>
      <c r="N199" s="61">
        <f t="shared" si="105"/>
        <v>0.38723457260650751</v>
      </c>
      <c r="O199" s="61">
        <f t="shared" si="106"/>
        <v>0.30908419806369775</v>
      </c>
      <c r="P199" s="61">
        <f t="shared" si="106"/>
        <v>0.24670586835684236</v>
      </c>
      <c r="Q199" s="61">
        <f t="shared" si="106"/>
        <v>0.1969165226271466</v>
      </c>
      <c r="R199" s="61">
        <f t="shared" si="106"/>
        <v>0.15717549461563957</v>
      </c>
      <c r="S199" s="61">
        <f t="shared" si="106"/>
        <v>0.12545486675309223</v>
      </c>
      <c r="T199" s="61">
        <f t="shared" si="106"/>
        <v>0.10013598894995959</v>
      </c>
      <c r="U199" s="61">
        <f t="shared" si="106"/>
        <v>6.8145327458700412E-4</v>
      </c>
      <c r="V199" s="61">
        <f t="shared" si="106"/>
        <v>2.4282351544043974E-4</v>
      </c>
      <c r="W199" s="61">
        <f t="shared" si="106"/>
        <v>8.259276693522721E-5</v>
      </c>
      <c r="X199" s="61">
        <f t="shared" si="106"/>
        <v>2.6871266355988742E-5</v>
      </c>
      <c r="Y199" s="61">
        <f t="shared" si="103"/>
        <v>9.3881953647506844</v>
      </c>
      <c r="AA199" s="61">
        <f t="shared" si="93"/>
        <v>9.668706154857297</v>
      </c>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c r="CB199" s="59"/>
    </row>
    <row r="200" spans="1:80">
      <c r="A200" s="211">
        <f t="shared" si="98"/>
        <v>165.03918128276874</v>
      </c>
      <c r="B200" s="211">
        <f t="shared" si="99"/>
        <v>194.89902724657949</v>
      </c>
      <c r="C200" s="57" t="str">
        <f t="shared" si="104"/>
        <v>Single Family</v>
      </c>
      <c r="D200" s="60" t="str">
        <f t="shared" si="102"/>
        <v>ATTIC R11 - R49_Heat Pump</v>
      </c>
      <c r="E200" s="61">
        <f t="shared" si="105"/>
        <v>2.0198487333371061E-2</v>
      </c>
      <c r="F200" s="61">
        <f t="shared" si="105"/>
        <v>2.0152620986009801E-2</v>
      </c>
      <c r="G200" s="61">
        <f t="shared" si="105"/>
        <v>2.0106858791092516E-2</v>
      </c>
      <c r="H200" s="61">
        <f t="shared" si="105"/>
        <v>2.0061200512111771E-2</v>
      </c>
      <c r="I200" s="61">
        <f t="shared" si="105"/>
        <v>2.0015645913097214E-2</v>
      </c>
      <c r="J200" s="61">
        <f t="shared" si="105"/>
        <v>1.7973175282752881E-2</v>
      </c>
      <c r="K200" s="61">
        <f t="shared" si="105"/>
        <v>1.4345889705909469E-2</v>
      </c>
      <c r="L200" s="61">
        <f t="shared" si="105"/>
        <v>1.1450650662246084E-2</v>
      </c>
      <c r="M200" s="61">
        <f t="shared" si="105"/>
        <v>9.1397189910630543E-3</v>
      </c>
      <c r="N200" s="61">
        <f t="shared" si="105"/>
        <v>7.2951717504595535E-3</v>
      </c>
      <c r="O200" s="61">
        <f t="shared" si="106"/>
        <v>5.8228848086841556E-3</v>
      </c>
      <c r="P200" s="61">
        <f t="shared" si="106"/>
        <v>4.6477298485904459E-3</v>
      </c>
      <c r="Q200" s="61">
        <f t="shared" si="106"/>
        <v>3.7097406964435608E-3</v>
      </c>
      <c r="R200" s="61">
        <f t="shared" si="106"/>
        <v>2.9610533493084411E-3</v>
      </c>
      <c r="S200" s="61">
        <f t="shared" si="106"/>
        <v>2.36346355578336E-3</v>
      </c>
      <c r="T200" s="61">
        <f t="shared" si="106"/>
        <v>1.886477317546721E-3</v>
      </c>
      <c r="U200" s="61">
        <f t="shared" si="106"/>
        <v>1.2838003189030667E-5</v>
      </c>
      <c r="V200" s="61">
        <f t="shared" si="106"/>
        <v>4.5745896040858978E-6</v>
      </c>
      <c r="W200" s="61">
        <f t="shared" si="106"/>
        <v>1.5559778562190132E-6</v>
      </c>
      <c r="X200" s="61">
        <f t="shared" si="106"/>
        <v>5.0623192526376468E-7</v>
      </c>
      <c r="Y200" s="61">
        <f t="shared" si="103"/>
        <v>0.17686565833139037</v>
      </c>
      <c r="AA200" s="61">
        <f t="shared" si="93"/>
        <v>0.18215024430704466</v>
      </c>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row>
    <row r="201" spans="1:80">
      <c r="A201" s="211">
        <f t="shared" si="98"/>
        <v>681.56344540520035</v>
      </c>
      <c r="B201" s="211">
        <f t="shared" si="99"/>
        <v>120.50107493823872</v>
      </c>
      <c r="C201" s="57" t="str">
        <f t="shared" si="104"/>
        <v>Single Family</v>
      </c>
      <c r="D201" s="60" t="str">
        <f t="shared" si="102"/>
        <v>WINDOW CL22 Prime Window Replacement of Double Pane Base_Electric FAF</v>
      </c>
      <c r="E201" s="61">
        <f t="shared" si="105"/>
        <v>0.30946806105515617</v>
      </c>
      <c r="F201" s="61">
        <f t="shared" si="105"/>
        <v>0.30876532676860791</v>
      </c>
      <c r="G201" s="61">
        <f t="shared" si="105"/>
        <v>0.30806418823793763</v>
      </c>
      <c r="H201" s="61">
        <f t="shared" si="105"/>
        <v>0.30736464183953277</v>
      </c>
      <c r="I201" s="61">
        <f t="shared" si="105"/>
        <v>0.30666668395800917</v>
      </c>
      <c r="J201" s="61">
        <f t="shared" si="105"/>
        <v>0.27537327988757315</v>
      </c>
      <c r="K201" s="61">
        <f t="shared" si="105"/>
        <v>0.21979837391407137</v>
      </c>
      <c r="L201" s="61">
        <f t="shared" si="105"/>
        <v>0.17543940790113705</v>
      </c>
      <c r="M201" s="61">
        <f t="shared" si="105"/>
        <v>0.14003281869926104</v>
      </c>
      <c r="N201" s="61">
        <f t="shared" si="105"/>
        <v>0.11177186783433637</v>
      </c>
      <c r="O201" s="61">
        <f t="shared" si="106"/>
        <v>8.9214446693432731E-2</v>
      </c>
      <c r="P201" s="61">
        <f t="shared" si="106"/>
        <v>7.1209488156824707E-2</v>
      </c>
      <c r="Q201" s="61">
        <f t="shared" si="106"/>
        <v>5.6838229586085934E-2</v>
      </c>
      <c r="R201" s="61">
        <f t="shared" si="106"/>
        <v>4.5367329917691566E-2</v>
      </c>
      <c r="S201" s="61">
        <f t="shared" si="106"/>
        <v>3.6211448506561515E-2</v>
      </c>
      <c r="T201" s="61">
        <f t="shared" si="106"/>
        <v>2.8903376181105379E-2</v>
      </c>
      <c r="U201" s="61">
        <f t="shared" si="106"/>
        <v>1.9669551928105491E-4</v>
      </c>
      <c r="V201" s="61">
        <f t="shared" si="106"/>
        <v>7.008888099063721E-5</v>
      </c>
      <c r="W201" s="61">
        <f t="shared" si="106"/>
        <v>2.3839678796802831E-5</v>
      </c>
      <c r="X201" s="61">
        <f t="shared" si="106"/>
        <v>7.7561556848252084E-6</v>
      </c>
      <c r="Y201" s="61">
        <f t="shared" si="103"/>
        <v>2.7098203666286196</v>
      </c>
      <c r="AA201" s="61">
        <f t="shared" si="93"/>
        <v>2.7907873493720783</v>
      </c>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c r="CB201" s="59"/>
    </row>
    <row r="202" spans="1:80">
      <c r="A202" s="211">
        <f t="shared" si="98"/>
        <v>243.51386470524091</v>
      </c>
      <c r="B202" s="211">
        <f t="shared" si="99"/>
        <v>205.50305810789797</v>
      </c>
      <c r="C202" s="57" t="str">
        <f t="shared" si="104"/>
        <v>Single Family</v>
      </c>
      <c r="D202" s="60" t="str">
        <f t="shared" si="102"/>
        <v>CFM50 Infiltration Reduction_Heat Pump</v>
      </c>
      <c r="E202" s="61">
        <f t="shared" si="105"/>
        <v>0.53332274162402371</v>
      </c>
      <c r="F202" s="61">
        <f t="shared" si="105"/>
        <v>0.53211168231451911</v>
      </c>
      <c r="G202" s="61">
        <f t="shared" si="105"/>
        <v>0.53090337305585011</v>
      </c>
      <c r="H202" s="61">
        <f t="shared" si="105"/>
        <v>0.52969780760325247</v>
      </c>
      <c r="I202" s="61">
        <f t="shared" si="105"/>
        <v>0.52849497972614279</v>
      </c>
      <c r="J202" s="61">
        <f t="shared" si="105"/>
        <v>0.47456539488727706</v>
      </c>
      <c r="K202" s="61">
        <f t="shared" si="105"/>
        <v>0.37879020852966866</v>
      </c>
      <c r="L202" s="61">
        <f t="shared" si="105"/>
        <v>0.30234404704546775</v>
      </c>
      <c r="M202" s="61">
        <f t="shared" si="105"/>
        <v>0.24132599186938114</v>
      </c>
      <c r="N202" s="61">
        <f t="shared" si="105"/>
        <v>0.19262239465552475</v>
      </c>
      <c r="O202" s="61">
        <f t="shared" si="106"/>
        <v>0.15374799305874642</v>
      </c>
      <c r="P202" s="61">
        <f t="shared" si="106"/>
        <v>0.12271909199273548</v>
      </c>
      <c r="Q202" s="61">
        <f t="shared" si="106"/>
        <v>9.7952339018611598E-2</v>
      </c>
      <c r="R202" s="61">
        <f t="shared" si="106"/>
        <v>7.8183928542960468E-2</v>
      </c>
      <c r="S202" s="61">
        <f t="shared" si="106"/>
        <v>6.240511195193911E-2</v>
      </c>
      <c r="T202" s="61">
        <f t="shared" si="106"/>
        <v>4.9810722872465525E-2</v>
      </c>
      <c r="U202" s="61">
        <f t="shared" si="106"/>
        <v>3.3897583243472931E-4</v>
      </c>
      <c r="V202" s="61">
        <f t="shared" si="106"/>
        <v>1.207878901617067E-4</v>
      </c>
      <c r="W202" s="61">
        <f t="shared" si="106"/>
        <v>4.1084184299978356E-5</v>
      </c>
      <c r="X202" s="61">
        <f t="shared" si="106"/>
        <v>1.3366594924820003E-5</v>
      </c>
      <c r="Y202" s="61">
        <f t="shared" si="103"/>
        <v>4.6699773227370764</v>
      </c>
      <c r="AA202" s="61">
        <f t="shared" si="93"/>
        <v>4.8095120232503881</v>
      </c>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row>
    <row r="203" spans="1:80">
      <c r="A203" s="211">
        <f t="shared" si="98"/>
        <v>160.0762961366737</v>
      </c>
      <c r="B203" s="211">
        <f t="shared" si="99"/>
        <v>180.20354833551988</v>
      </c>
      <c r="C203" s="57" t="str">
        <f t="shared" si="104"/>
        <v>Single Family</v>
      </c>
      <c r="D203" s="60" t="str">
        <f t="shared" si="102"/>
        <v>ATTIC R19 - R49_DHP</v>
      </c>
      <c r="E203" s="61">
        <f t="shared" si="105"/>
        <v>2.1525496228570768E-3</v>
      </c>
      <c r="F203" s="61">
        <f t="shared" si="105"/>
        <v>2.1476616534222971E-3</v>
      </c>
      <c r="G203" s="61">
        <f t="shared" si="105"/>
        <v>2.1427847834971127E-3</v>
      </c>
      <c r="H203" s="61">
        <f t="shared" si="105"/>
        <v>2.1379189878769659E-3</v>
      </c>
      <c r="I203" s="61">
        <f t="shared" si="105"/>
        <v>2.1330642414145334E-3</v>
      </c>
      <c r="J203" s="61">
        <f t="shared" si="105"/>
        <v>1.9153984671176323E-3</v>
      </c>
      <c r="K203" s="61">
        <f t="shared" si="105"/>
        <v>1.5288392128744047E-3</v>
      </c>
      <c r="L203" s="61">
        <f t="shared" si="105"/>
        <v>1.220294042701081E-3</v>
      </c>
      <c r="M203" s="61">
        <f t="shared" si="105"/>
        <v>9.7401841744497409E-4</v>
      </c>
      <c r="N203" s="61">
        <f t="shared" si="105"/>
        <v>7.7744530770802516E-4</v>
      </c>
      <c r="O203" s="61">
        <f t="shared" si="106"/>
        <v>6.2054391955208778E-4</v>
      </c>
      <c r="P203" s="61">
        <f t="shared" si="106"/>
        <v>4.9530784001809854E-4</v>
      </c>
      <c r="Q203" s="61">
        <f t="shared" si="106"/>
        <v>3.9534648338908053E-4</v>
      </c>
      <c r="R203" s="61">
        <f t="shared" si="106"/>
        <v>3.1555899038949472E-4</v>
      </c>
      <c r="S203" s="61">
        <f t="shared" si="106"/>
        <v>2.5187393994760267E-4</v>
      </c>
      <c r="T203" s="61">
        <f t="shared" si="106"/>
        <v>2.0104159145148723E-4</v>
      </c>
      <c r="U203" s="61">
        <f t="shared" si="106"/>
        <v>1.3681439835907655E-6</v>
      </c>
      <c r="V203" s="61">
        <f t="shared" si="106"/>
        <v>4.875132956482423E-7</v>
      </c>
      <c r="W203" s="61">
        <f t="shared" si="106"/>
        <v>1.6582031576417109E-7</v>
      </c>
      <c r="X203" s="61">
        <f t="shared" si="106"/>
        <v>5.3949056769433976E-8</v>
      </c>
      <c r="Y203" s="61">
        <f t="shared" si="103"/>
        <v>1.8848545430855453E-2</v>
      </c>
      <c r="AA203" s="61">
        <f t="shared" si="93"/>
        <v>1.9411722928313724E-2</v>
      </c>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row>
    <row r="204" spans="1:80">
      <c r="A204" s="211">
        <f t="shared" si="98"/>
        <v>154.79735270397916</v>
      </c>
      <c r="B204" s="211">
        <f t="shared" si="99"/>
        <v>180.06047621908655</v>
      </c>
      <c r="C204" s="57" t="str">
        <f t="shared" si="104"/>
        <v>Single Family</v>
      </c>
      <c r="D204" s="60" t="str">
        <f t="shared" si="102"/>
        <v>ATTIC R19 - R49_Electric Zonal</v>
      </c>
      <c r="E204" s="61">
        <f t="shared" si="105"/>
        <v>2.3851714827287707E-2</v>
      </c>
      <c r="F204" s="61">
        <f t="shared" si="105"/>
        <v>2.3797552799242033E-2</v>
      </c>
      <c r="G204" s="61">
        <f t="shared" si="105"/>
        <v>2.3743513761316927E-2</v>
      </c>
      <c r="H204" s="61">
        <f t="shared" si="105"/>
        <v>2.3689597434228698E-2</v>
      </c>
      <c r="I204" s="61">
        <f t="shared" si="105"/>
        <v>2.3635803539327892E-2</v>
      </c>
      <c r="J204" s="61">
        <f t="shared" si="105"/>
        <v>2.1223918618737996E-2</v>
      </c>
      <c r="K204" s="61">
        <f t="shared" si="105"/>
        <v>1.6940578992950123E-2</v>
      </c>
      <c r="L204" s="61">
        <f t="shared" si="105"/>
        <v>1.3521688514345013E-2</v>
      </c>
      <c r="M204" s="61">
        <f t="shared" si="105"/>
        <v>1.0792786973518303E-2</v>
      </c>
      <c r="N204" s="61">
        <f t="shared" si="105"/>
        <v>8.6146231317316239E-3</v>
      </c>
      <c r="O204" s="61">
        <f t="shared" si="106"/>
        <v>6.876048965281629E-3</v>
      </c>
      <c r="P204" s="61">
        <f t="shared" si="106"/>
        <v>5.4883479694888045E-3</v>
      </c>
      <c r="Q204" s="61">
        <f t="shared" si="106"/>
        <v>4.3807081052335351E-3</v>
      </c>
      <c r="R204" s="61">
        <f t="shared" si="106"/>
        <v>3.4966083801436219E-3</v>
      </c>
      <c r="S204" s="61">
        <f t="shared" si="106"/>
        <v>2.7909346777714203E-3</v>
      </c>
      <c r="T204" s="61">
        <f t="shared" si="106"/>
        <v>2.2276776603924733E-3</v>
      </c>
      <c r="U204" s="61">
        <f t="shared" si="106"/>
        <v>1.5159966484750834E-5</v>
      </c>
      <c r="V204" s="61">
        <f t="shared" si="106"/>
        <v>5.4019791129735752E-6</v>
      </c>
      <c r="W204" s="61">
        <f t="shared" si="106"/>
        <v>1.837401954491628E-6</v>
      </c>
      <c r="X204" s="61">
        <f t="shared" si="106"/>
        <v>5.9779226625110559E-7</v>
      </c>
      <c r="Y204" s="61">
        <f t="shared" si="103"/>
        <v>0.20885471152540822</v>
      </c>
      <c r="AA204" s="61">
        <f t="shared" si="93"/>
        <v>0.2150951014908162</v>
      </c>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row>
    <row r="205" spans="1:80">
      <c r="A205" s="211">
        <f t="shared" si="98"/>
        <v>132.85764643621707</v>
      </c>
      <c r="B205" s="211">
        <f t="shared" si="99"/>
        <v>183.33374014386877</v>
      </c>
      <c r="C205" s="57" t="str">
        <f t="shared" si="104"/>
        <v>Single Family</v>
      </c>
      <c r="D205" s="60" t="str">
        <f t="shared" si="102"/>
        <v>ATTIC R19 - R38_DHP</v>
      </c>
      <c r="E205" s="61">
        <f t="shared" si="105"/>
        <v>8.297454519802294E-4</v>
      </c>
      <c r="F205" s="61">
        <f t="shared" si="105"/>
        <v>8.2786128152261918E-4</v>
      </c>
      <c r="G205" s="61">
        <f t="shared" si="105"/>
        <v>8.259813896040536E-4</v>
      </c>
      <c r="H205" s="61">
        <f t="shared" si="105"/>
        <v>8.2410576650890615E-4</v>
      </c>
      <c r="I205" s="61">
        <f t="shared" si="105"/>
        <v>8.222344025436124E-4</v>
      </c>
      <c r="J205" s="61">
        <f t="shared" si="105"/>
        <v>7.3833055923295794E-4</v>
      </c>
      <c r="K205" s="61">
        <f t="shared" si="105"/>
        <v>5.8932317760360359E-4</v>
      </c>
      <c r="L205" s="61">
        <f t="shared" si="105"/>
        <v>4.7038796284094722E-4</v>
      </c>
      <c r="M205" s="61">
        <f t="shared" si="105"/>
        <v>3.7545585172026914E-4</v>
      </c>
      <c r="N205" s="61">
        <f t="shared" si="105"/>
        <v>2.9968261887402517E-4</v>
      </c>
      <c r="O205" s="61">
        <f t="shared" si="106"/>
        <v>2.3920168414928923E-4</v>
      </c>
      <c r="P205" s="61">
        <f t="shared" si="106"/>
        <v>1.9092680755005117E-4</v>
      </c>
      <c r="Q205" s="61">
        <f t="shared" si="106"/>
        <v>1.5239460362036336E-4</v>
      </c>
      <c r="R205" s="61">
        <f t="shared" si="106"/>
        <v>1.2163883904317363E-4</v>
      </c>
      <c r="S205" s="61">
        <f t="shared" si="106"/>
        <v>9.7090099073521407E-5</v>
      </c>
      <c r="T205" s="61">
        <f t="shared" si="106"/>
        <v>7.7495702953564297E-5</v>
      </c>
      <c r="U205" s="61">
        <f t="shared" si="106"/>
        <v>5.2737982715203872E-7</v>
      </c>
      <c r="V205" s="61">
        <f t="shared" si="106"/>
        <v>1.8792223675062775E-7</v>
      </c>
      <c r="W205" s="61">
        <f t="shared" si="106"/>
        <v>6.3918922653511356E-8</v>
      </c>
      <c r="X205" s="61">
        <f t="shared" si="106"/>
        <v>2.0795796769435611E-8</v>
      </c>
      <c r="Y205" s="61">
        <f t="shared" si="103"/>
        <v>7.2655676234477514E-3</v>
      </c>
      <c r="AA205" s="61">
        <f t="shared" si="93"/>
        <v>7.4826562156045133E-3</v>
      </c>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row>
    <row r="206" spans="1:80">
      <c r="A206" s="211">
        <f t="shared" si="98"/>
        <v>128.47289430492631</v>
      </c>
      <c r="B206" s="211">
        <f t="shared" si="99"/>
        <v>183.17801518961477</v>
      </c>
      <c r="C206" s="57" t="str">
        <f t="shared" si="104"/>
        <v>Single Family</v>
      </c>
      <c r="D206" s="60" t="str">
        <f t="shared" si="102"/>
        <v>ATTIC R19 - R38_Electric Zonal</v>
      </c>
      <c r="E206" s="61">
        <f t="shared" si="105"/>
        <v>9.193899839453349E-3</v>
      </c>
      <c r="F206" s="61">
        <f t="shared" si="105"/>
        <v>9.1730225036072977E-3</v>
      </c>
      <c r="G206" s="61">
        <f t="shared" si="105"/>
        <v>9.1521925756251187E-3</v>
      </c>
      <c r="H206" s="61">
        <f t="shared" si="105"/>
        <v>9.1314099478539169E-3</v>
      </c>
      <c r="I206" s="61">
        <f t="shared" si="105"/>
        <v>9.1106745128852629E-3</v>
      </c>
      <c r="J206" s="61">
        <f t="shared" si="105"/>
        <v>8.1809875471991565E-3</v>
      </c>
      <c r="K206" s="61">
        <f t="shared" si="105"/>
        <v>6.5299282509173762E-3</v>
      </c>
      <c r="L206" s="61">
        <f t="shared" si="105"/>
        <v>5.2120801695544798E-3</v>
      </c>
      <c r="M206" s="61">
        <f t="shared" si="105"/>
        <v>4.1601957402895798E-3</v>
      </c>
      <c r="N206" s="61">
        <f t="shared" si="105"/>
        <v>3.3205990764725627E-3</v>
      </c>
      <c r="O206" s="61">
        <f t="shared" si="106"/>
        <v>2.650446977743148E-3</v>
      </c>
      <c r="P206" s="61">
        <f t="shared" si="106"/>
        <v>2.1155427138437408E-3</v>
      </c>
      <c r="Q206" s="61">
        <f t="shared" si="106"/>
        <v>1.6885910232047889E-3</v>
      </c>
      <c r="R206" s="61">
        <f t="shared" si="106"/>
        <v>1.3478052818263267E-3</v>
      </c>
      <c r="S206" s="61">
        <f t="shared" si="106"/>
        <v>1.0757957686351107E-3</v>
      </c>
      <c r="T206" s="61">
        <f t="shared" si="106"/>
        <v>8.5868229737531094E-4</v>
      </c>
      <c r="U206" s="61">
        <f t="shared" si="106"/>
        <v>5.8435720215307596E-6</v>
      </c>
      <c r="V206" s="61">
        <f t="shared" si="106"/>
        <v>2.0822509098036946E-6</v>
      </c>
      <c r="W206" s="61">
        <f t="shared" si="106"/>
        <v>7.0824633183545463E-7</v>
      </c>
      <c r="X206" s="61">
        <f t="shared" si="106"/>
        <v>2.3042545412394038E-7</v>
      </c>
      <c r="Y206" s="61">
        <f t="shared" si="103"/>
        <v>8.0505293337052683E-2</v>
      </c>
      <c r="AA206" s="61">
        <f t="shared" si="93"/>
        <v>8.2910718721203813E-2</v>
      </c>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row>
    <row r="207" spans="1:80">
      <c r="A207" s="211">
        <f t="shared" si="98"/>
        <v>439.06031889213284</v>
      </c>
      <c r="B207" s="211">
        <f t="shared" si="99"/>
        <v>167.04548665953993</v>
      </c>
      <c r="C207" s="57" t="str">
        <f t="shared" si="104"/>
        <v>Single Family</v>
      </c>
      <c r="D207" s="60" t="str">
        <f t="shared" si="102"/>
        <v>WINDOW CL30 Prime Window Replacement of Double Pane Base_Electric Zonal</v>
      </c>
      <c r="E207" s="61">
        <f t="shared" si="105"/>
        <v>2.8435545130873101</v>
      </c>
      <c r="F207" s="61">
        <f t="shared" si="105"/>
        <v>2.8370974226683439</v>
      </c>
      <c r="G207" s="61">
        <f t="shared" si="105"/>
        <v>2.8306549948895641</v>
      </c>
      <c r="H207" s="61">
        <f t="shared" si="105"/>
        <v>2.8242271964553218</v>
      </c>
      <c r="I207" s="61">
        <f t="shared" si="105"/>
        <v>2.8178139941455767</v>
      </c>
      <c r="J207" s="61">
        <f t="shared" si="105"/>
        <v>2.5302738193341496</v>
      </c>
      <c r="K207" s="61">
        <f t="shared" si="105"/>
        <v>2.0196224966854177</v>
      </c>
      <c r="L207" s="61">
        <f t="shared" si="105"/>
        <v>1.6120291005466001</v>
      </c>
      <c r="M207" s="61">
        <f t="shared" si="105"/>
        <v>1.2866948280056976</v>
      </c>
      <c r="N207" s="61">
        <f t="shared" si="105"/>
        <v>1.0270184203593122</v>
      </c>
      <c r="O207" s="61">
        <f t="shared" si="106"/>
        <v>0.81974902890700485</v>
      </c>
      <c r="P207" s="61">
        <f t="shared" si="106"/>
        <v>0.6543100465119952</v>
      </c>
      <c r="Q207" s="61">
        <f t="shared" si="106"/>
        <v>0.52225940119423686</v>
      </c>
      <c r="R207" s="61">
        <f t="shared" si="106"/>
        <v>0.41685877144905259</v>
      </c>
      <c r="S207" s="61">
        <f t="shared" si="106"/>
        <v>0.33272974107628395</v>
      </c>
      <c r="T207" s="61">
        <f t="shared" si="106"/>
        <v>0.26557934768135616</v>
      </c>
      <c r="U207" s="61">
        <f t="shared" si="106"/>
        <v>1.8073413768408552E-3</v>
      </c>
      <c r="V207" s="61">
        <f t="shared" si="106"/>
        <v>6.4401332137032545E-4</v>
      </c>
      <c r="W207" s="61">
        <f t="shared" si="106"/>
        <v>2.1905144589741201E-4</v>
      </c>
      <c r="X207" s="61">
        <f t="shared" si="106"/>
        <v>7.1267617816824318E-5</v>
      </c>
      <c r="Y207" s="61">
        <f t="shared" si="103"/>
        <v>24.899247783148041</v>
      </c>
      <c r="AA207" s="61">
        <f t="shared" si="93"/>
        <v>25.643214796759143</v>
      </c>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row>
    <row r="208" spans="1:80">
      <c r="A208" s="211">
        <f t="shared" si="98"/>
        <v>507.58277006475492</v>
      </c>
      <c r="B208" s="211">
        <f t="shared" si="99"/>
        <v>170.09200247778341</v>
      </c>
      <c r="C208" s="57" t="str">
        <f t="shared" si="104"/>
        <v>Single Family</v>
      </c>
      <c r="D208" s="60" t="str">
        <f t="shared" si="102"/>
        <v>WINDOW CL22 Prime Window Replacement of Double Pane Base_Electric Zonal</v>
      </c>
      <c r="E208" s="61">
        <f t="shared" ref="E208:N217" si="107">VLOOKUP($C208&amp;$D208,$C$89:$Y$148,E$22,FALSE)*$C$156*$A208/8760/1000</f>
        <v>0.82183427565540712</v>
      </c>
      <c r="F208" s="61">
        <f t="shared" si="107"/>
        <v>0.81996806974907088</v>
      </c>
      <c r="G208" s="61">
        <f t="shared" si="107"/>
        <v>0.81810610158821173</v>
      </c>
      <c r="H208" s="61">
        <f t="shared" si="107"/>
        <v>0.81624836154983682</v>
      </c>
      <c r="I208" s="61">
        <f t="shared" si="107"/>
        <v>0.8143948400328046</v>
      </c>
      <c r="J208" s="61">
        <f t="shared" si="107"/>
        <v>0.73129097471199855</v>
      </c>
      <c r="K208" s="61">
        <f t="shared" si="107"/>
        <v>0.58370429827235804</v>
      </c>
      <c r="L208" s="61">
        <f t="shared" si="107"/>
        <v>0.46590306677284876</v>
      </c>
      <c r="M208" s="61">
        <f t="shared" si="107"/>
        <v>0.37187608224029595</v>
      </c>
      <c r="N208" s="61">
        <f t="shared" si="107"/>
        <v>0.29682530638892657</v>
      </c>
      <c r="O208" s="61">
        <f t="shared" ref="O208:X217" si="108">VLOOKUP($C208&amp;$D208,$C$89:$Y$148,O$22,FALSE)*$C$156*$A208/8760/1000</f>
        <v>0.23692102482662203</v>
      </c>
      <c r="P208" s="61">
        <f t="shared" si="108"/>
        <v>0.18910642319475396</v>
      </c>
      <c r="Q208" s="61">
        <f t="shared" si="108"/>
        <v>0.15094160309193047</v>
      </c>
      <c r="R208" s="61">
        <f t="shared" si="108"/>
        <v>0.12047907817757246</v>
      </c>
      <c r="S208" s="61">
        <f t="shared" si="108"/>
        <v>9.6164397231671028E-2</v>
      </c>
      <c r="T208" s="61">
        <f t="shared" si="108"/>
        <v>7.6756823133230789E-2</v>
      </c>
      <c r="U208" s="61">
        <f t="shared" si="108"/>
        <v>5.2235154433012405E-4</v>
      </c>
      <c r="V208" s="61">
        <f t="shared" si="108"/>
        <v>1.8613049936087623E-4</v>
      </c>
      <c r="W208" s="61">
        <f t="shared" si="108"/>
        <v>6.3309490126466119E-5</v>
      </c>
      <c r="X208" s="61">
        <f t="shared" si="108"/>
        <v>2.0597520039306461E-5</v>
      </c>
      <c r="Y208" s="61">
        <f t="shared" si="103"/>
        <v>7.1962943464061748</v>
      </c>
      <c r="AA208" s="61">
        <f t="shared" si="93"/>
        <v>7.4113131156713958</v>
      </c>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row>
    <row r="209" spans="1:80">
      <c r="A209" s="211">
        <f t="shared" si="98"/>
        <v>437.59839445869</v>
      </c>
      <c r="B209" s="211">
        <f t="shared" si="99"/>
        <v>174.54591942439049</v>
      </c>
      <c r="C209" s="57" t="str">
        <f t="shared" si="104"/>
        <v>Single Family</v>
      </c>
      <c r="D209" s="60" t="str">
        <f t="shared" si="102"/>
        <v>WINDOW CL30 Prime Window Replacement of Double Pane Base_DHP</v>
      </c>
      <c r="E209" s="61">
        <f t="shared" si="107"/>
        <v>0.24733362112558571</v>
      </c>
      <c r="F209" s="61">
        <f t="shared" si="107"/>
        <v>0.24677198056342739</v>
      </c>
      <c r="G209" s="61">
        <f t="shared" si="107"/>
        <v>0.24621161536415581</v>
      </c>
      <c r="H209" s="61">
        <f t="shared" si="107"/>
        <v>0.24565252263170093</v>
      </c>
      <c r="I209" s="61">
        <f t="shared" si="107"/>
        <v>0.24509469947656898</v>
      </c>
      <c r="J209" s="61">
        <f t="shared" si="107"/>
        <v>0.22008432871424458</v>
      </c>
      <c r="K209" s="61">
        <f t="shared" si="107"/>
        <v>0.17566765226862491</v>
      </c>
      <c r="L209" s="61">
        <f t="shared" si="107"/>
        <v>0.14021499955881783</v>
      </c>
      <c r="M209" s="61">
        <f t="shared" si="107"/>
        <v>0.11191728156767022</v>
      </c>
      <c r="N209" s="61">
        <f t="shared" si="107"/>
        <v>8.9330513517870483E-2</v>
      </c>
      <c r="O209" s="61">
        <f t="shared" si="108"/>
        <v>7.1302130766475139E-2</v>
      </c>
      <c r="P209" s="61">
        <f t="shared" si="108"/>
        <v>5.6912175376921718E-2</v>
      </c>
      <c r="Q209" s="61">
        <f t="shared" si="108"/>
        <v>4.5426352218584834E-2</v>
      </c>
      <c r="R209" s="61">
        <f t="shared" si="108"/>
        <v>3.6258559125886318E-2</v>
      </c>
      <c r="S209" s="61">
        <f t="shared" si="108"/>
        <v>2.8940979094234445E-2</v>
      </c>
      <c r="T209" s="61">
        <f t="shared" si="108"/>
        <v>2.3100208368041185E-2</v>
      </c>
      <c r="U209" s="61">
        <f t="shared" si="108"/>
        <v>1.5720334717930729E-4</v>
      </c>
      <c r="V209" s="61">
        <f t="shared" si="108"/>
        <v>5.60165616992859E-5</v>
      </c>
      <c r="W209" s="61">
        <f t="shared" si="108"/>
        <v>1.9053191024560013E-5</v>
      </c>
      <c r="X209" s="61">
        <f t="shared" si="108"/>
        <v>6.1988887156911152E-6</v>
      </c>
      <c r="Y209" s="61">
        <f t="shared" si="103"/>
        <v>2.1657475139531912</v>
      </c>
      <c r="AA209" s="61">
        <f t="shared" si="93"/>
        <v>2.2304580917274293</v>
      </c>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row>
    <row r="210" spans="1:80">
      <c r="A210" s="211">
        <f t="shared" si="98"/>
        <v>506.57122802411897</v>
      </c>
      <c r="B210" s="211">
        <f t="shared" si="99"/>
        <v>177.4555820264554</v>
      </c>
      <c r="C210" s="57" t="str">
        <f t="shared" si="104"/>
        <v>Single Family</v>
      </c>
      <c r="D210" s="60" t="str">
        <f t="shared" si="102"/>
        <v>WINDOW CL22 Prime Window Replacement of Double Pane Base_DHP</v>
      </c>
      <c r="E210" s="61">
        <f t="shared" si="107"/>
        <v>7.1579385214739361E-2</v>
      </c>
      <c r="F210" s="61">
        <f t="shared" si="107"/>
        <v>7.141684408519941E-2</v>
      </c>
      <c r="G210" s="61">
        <f t="shared" si="107"/>
        <v>7.1254672051017195E-2</v>
      </c>
      <c r="H210" s="61">
        <f t="shared" si="107"/>
        <v>7.1092868274057835E-2</v>
      </c>
      <c r="I210" s="61">
        <f t="shared" si="107"/>
        <v>7.093143191808983E-2</v>
      </c>
      <c r="J210" s="61">
        <f t="shared" si="107"/>
        <v>6.3693325933902298E-2</v>
      </c>
      <c r="K210" s="61">
        <f t="shared" si="107"/>
        <v>5.0838953856257731E-2</v>
      </c>
      <c r="L210" s="61">
        <f t="shared" si="107"/>
        <v>4.0578807768350302E-2</v>
      </c>
      <c r="M210" s="61">
        <f t="shared" si="107"/>
        <v>3.2389329736336479E-2</v>
      </c>
      <c r="N210" s="61">
        <f t="shared" si="107"/>
        <v>2.585262452159471E-2</v>
      </c>
      <c r="O210" s="61">
        <f t="shared" si="108"/>
        <v>2.0635135092182896E-2</v>
      </c>
      <c r="P210" s="61">
        <f t="shared" si="108"/>
        <v>1.6470621770604363E-2</v>
      </c>
      <c r="Q210" s="61">
        <f t="shared" si="108"/>
        <v>1.3146576472526924E-2</v>
      </c>
      <c r="R210" s="61">
        <f t="shared" si="108"/>
        <v>1.049337877799234E-2</v>
      </c>
      <c r="S210" s="61">
        <f t="shared" si="108"/>
        <v>8.3756404877364625E-3</v>
      </c>
      <c r="T210" s="61">
        <f t="shared" si="108"/>
        <v>6.6852969919410496E-3</v>
      </c>
      <c r="U210" s="61">
        <f t="shared" si="108"/>
        <v>4.5495306677616967E-5</v>
      </c>
      <c r="V210" s="61">
        <f t="shared" si="108"/>
        <v>1.6211427423538492E-5</v>
      </c>
      <c r="W210" s="61">
        <f t="shared" si="108"/>
        <v>5.5140732331918056E-6</v>
      </c>
      <c r="X210" s="61">
        <f t="shared" si="108"/>
        <v>1.7939843409257183E-6</v>
      </c>
      <c r="Y210" s="61">
        <f t="shared" si="103"/>
        <v>0.62677639567814913</v>
      </c>
      <c r="AA210" s="61">
        <f t="shared" si="93"/>
        <v>0.64550390774420463</v>
      </c>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row>
    <row r="211" spans="1:80">
      <c r="A211" s="211">
        <f t="shared" si="98"/>
        <v>156.57714680994795</v>
      </c>
      <c r="B211" s="211">
        <f t="shared" si="99"/>
        <v>292.06843657065644</v>
      </c>
      <c r="C211" s="57" t="str">
        <f t="shared" si="104"/>
        <v>Single Family</v>
      </c>
      <c r="D211" s="60" t="str">
        <f t="shared" si="102"/>
        <v>FLOOR R0 - R30_Heat Pump</v>
      </c>
      <c r="E211" s="61">
        <f t="shared" si="107"/>
        <v>0.10331908888771815</v>
      </c>
      <c r="F211" s="61">
        <f t="shared" si="107"/>
        <v>0.10308447383255291</v>
      </c>
      <c r="G211" s="61">
        <f t="shared" si="107"/>
        <v>0.1028503915368681</v>
      </c>
      <c r="H211" s="61">
        <f t="shared" si="107"/>
        <v>0.10261684079088337</v>
      </c>
      <c r="I211" s="61">
        <f t="shared" si="107"/>
        <v>0.10238382038756569</v>
      </c>
      <c r="J211" s="61">
        <f t="shared" si="107"/>
        <v>9.1936196210360518E-2</v>
      </c>
      <c r="K211" s="61">
        <f t="shared" si="107"/>
        <v>7.3381943372037933E-2</v>
      </c>
      <c r="L211" s="61">
        <f t="shared" si="107"/>
        <v>5.8572247221711185E-2</v>
      </c>
      <c r="M211" s="61">
        <f t="shared" si="107"/>
        <v>4.6751393966332586E-2</v>
      </c>
      <c r="N211" s="61">
        <f t="shared" si="107"/>
        <v>3.7316185420064631E-2</v>
      </c>
      <c r="O211" s="61">
        <f t="shared" si="108"/>
        <v>2.9785158819166595E-2</v>
      </c>
      <c r="P211" s="61">
        <f t="shared" si="108"/>
        <v>2.377401858995911E-2</v>
      </c>
      <c r="Q211" s="61">
        <f t="shared" si="108"/>
        <v>1.8976026394461113E-2</v>
      </c>
      <c r="R211" s="61">
        <f t="shared" si="108"/>
        <v>1.5146348790833685E-2</v>
      </c>
      <c r="S211" s="61">
        <f t="shared" si="108"/>
        <v>1.208956379616714E-2</v>
      </c>
      <c r="T211" s="61">
        <f t="shared" si="108"/>
        <v>9.6496888326015086E-3</v>
      </c>
      <c r="U211" s="61">
        <f t="shared" si="108"/>
        <v>6.5668818200897167E-5</v>
      </c>
      <c r="V211" s="61">
        <f t="shared" si="108"/>
        <v>2.3399892384441235E-5</v>
      </c>
      <c r="W211" s="61">
        <f t="shared" si="108"/>
        <v>7.9591214817561608E-6</v>
      </c>
      <c r="X211" s="61">
        <f t="shared" si="108"/>
        <v>2.5894721926881205E-6</v>
      </c>
      <c r="Y211" s="61">
        <f t="shared" si="103"/>
        <v>0.90470134583468853</v>
      </c>
      <c r="AA211" s="61">
        <f t="shared" si="93"/>
        <v>0.93173300415354388</v>
      </c>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row>
    <row r="212" spans="1:80">
      <c r="A212" s="211">
        <f t="shared" si="98"/>
        <v>150.18689121837056</v>
      </c>
      <c r="B212" s="211">
        <f t="shared" si="99"/>
        <v>296.24351461814291</v>
      </c>
      <c r="C212" s="57" t="str">
        <f t="shared" si="104"/>
        <v>Single Family</v>
      </c>
      <c r="D212" s="60" t="str">
        <f t="shared" si="102"/>
        <v>FLOOR R0 - R25_Heat Pump</v>
      </c>
      <c r="E212" s="61">
        <f t="shared" si="107"/>
        <v>4.2941401704355085E-2</v>
      </c>
      <c r="F212" s="61">
        <f t="shared" si="107"/>
        <v>4.2843891172291745E-2</v>
      </c>
      <c r="G212" s="61">
        <f t="shared" si="107"/>
        <v>4.2746602065321375E-2</v>
      </c>
      <c r="H212" s="61">
        <f t="shared" si="107"/>
        <v>4.264953388063597E-2</v>
      </c>
      <c r="I212" s="61">
        <f t="shared" si="107"/>
        <v>4.2552686116569351E-2</v>
      </c>
      <c r="J212" s="61">
        <f t="shared" si="107"/>
        <v>3.8210452445335046E-2</v>
      </c>
      <c r="K212" s="61">
        <f t="shared" si="107"/>
        <v>3.0498947891511089E-2</v>
      </c>
      <c r="L212" s="61">
        <f t="shared" si="107"/>
        <v>2.434375316073158E-2</v>
      </c>
      <c r="M212" s="61">
        <f t="shared" si="107"/>
        <v>1.9430779056990848E-2</v>
      </c>
      <c r="N212" s="61">
        <f t="shared" si="107"/>
        <v>1.550932480578307E-2</v>
      </c>
      <c r="O212" s="61">
        <f t="shared" si="108"/>
        <v>1.2379285216808446E-2</v>
      </c>
      <c r="P212" s="61">
        <f t="shared" si="108"/>
        <v>9.8809396539267739E-3</v>
      </c>
      <c r="Q212" s="61">
        <f t="shared" si="108"/>
        <v>7.8868017607331403E-3</v>
      </c>
      <c r="R212" s="61">
        <f t="shared" si="108"/>
        <v>6.295114047011093E-3</v>
      </c>
      <c r="S212" s="61">
        <f t="shared" si="108"/>
        <v>5.0246553757923541E-3</v>
      </c>
      <c r="T212" s="61">
        <f t="shared" si="108"/>
        <v>4.0105963858536138E-3</v>
      </c>
      <c r="U212" s="61">
        <f t="shared" si="108"/>
        <v>2.7293224632279938E-5</v>
      </c>
      <c r="V212" s="61">
        <f t="shared" si="108"/>
        <v>9.7254456029026848E-6</v>
      </c>
      <c r="W212" s="61">
        <f t="shared" si="108"/>
        <v>3.3079640600903623E-6</v>
      </c>
      <c r="X212" s="61">
        <f t="shared" si="108"/>
        <v>1.0762344773415429E-6</v>
      </c>
      <c r="Y212" s="61">
        <f t="shared" si="103"/>
        <v>0.37601129019030816</v>
      </c>
      <c r="AA212" s="61">
        <f t="shared" si="93"/>
        <v>0.38724616760842312</v>
      </c>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row>
    <row r="213" spans="1:80">
      <c r="A213" s="211">
        <f t="shared" si="98"/>
        <v>92.391365978509668</v>
      </c>
      <c r="B213" s="211">
        <f t="shared" si="99"/>
        <v>332.31780304984051</v>
      </c>
      <c r="C213" s="57" t="str">
        <f t="shared" si="104"/>
        <v>Single Family</v>
      </c>
      <c r="D213" s="60" t="str">
        <f t="shared" si="102"/>
        <v>ATTIC R19 - R49_Heat Pump</v>
      </c>
      <c r="E213" s="61">
        <f t="shared" si="107"/>
        <v>1.0243146311543576E-2</v>
      </c>
      <c r="F213" s="61">
        <f t="shared" si="107"/>
        <v>1.0219886366427724E-2</v>
      </c>
      <c r="G213" s="61">
        <f t="shared" si="107"/>
        <v>1.0196679239560323E-2</v>
      </c>
      <c r="H213" s="61">
        <f t="shared" si="107"/>
        <v>1.0173524811002676E-2</v>
      </c>
      <c r="I213" s="61">
        <f t="shared" si="107"/>
        <v>1.0150422961088458E-2</v>
      </c>
      <c r="J213" s="61">
        <f t="shared" si="107"/>
        <v>9.1146362133807564E-3</v>
      </c>
      <c r="K213" s="61">
        <f t="shared" si="107"/>
        <v>7.2751510943157623E-3</v>
      </c>
      <c r="L213" s="61">
        <f t="shared" si="107"/>
        <v>5.8069046537944169E-3</v>
      </c>
      <c r="M213" s="61">
        <f t="shared" si="107"/>
        <v>4.6349747546281968E-3</v>
      </c>
      <c r="N213" s="61">
        <f t="shared" si="107"/>
        <v>3.6995597924968596E-3</v>
      </c>
      <c r="O213" s="61">
        <f t="shared" si="108"/>
        <v>2.952927121036134E-3</v>
      </c>
      <c r="P213" s="61">
        <f t="shared" si="108"/>
        <v>2.3569773354752848E-3</v>
      </c>
      <c r="Q213" s="61">
        <f t="shared" si="108"/>
        <v>1.8813001243304975E-3</v>
      </c>
      <c r="R213" s="61">
        <f t="shared" si="108"/>
        <v>1.5016224825480753E-3</v>
      </c>
      <c r="S213" s="61">
        <f t="shared" si="108"/>
        <v>1.1985701010338741E-3</v>
      </c>
      <c r="T213" s="61">
        <f t="shared" si="108"/>
        <v>9.5667872836764027E-4</v>
      </c>
      <c r="U213" s="61">
        <f t="shared" si="108"/>
        <v>6.5104650087357276E-6</v>
      </c>
      <c r="V213" s="61">
        <f t="shared" si="108"/>
        <v>2.3198861309035257E-6</v>
      </c>
      <c r="W213" s="61">
        <f t="shared" si="108"/>
        <v>7.8907437847788816E-7</v>
      </c>
      <c r="X213" s="61">
        <f t="shared" si="108"/>
        <v>2.5672257493678896E-7</v>
      </c>
      <c r="Y213" s="61">
        <f t="shared" si="103"/>
        <v>8.9692895605244696E-2</v>
      </c>
      <c r="AA213" s="61">
        <f t="shared" si="93"/>
        <v>9.2372838239123317E-2</v>
      </c>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c r="CB213" s="59"/>
    </row>
    <row r="214" spans="1:80">
      <c r="A214" s="211">
        <f t="shared" si="98"/>
        <v>76.720309131071929</v>
      </c>
      <c r="B214" s="211">
        <f t="shared" si="99"/>
        <v>337.4149306714537</v>
      </c>
      <c r="C214" s="57" t="str">
        <f t="shared" si="104"/>
        <v>Single Family</v>
      </c>
      <c r="D214" s="60" t="str">
        <f t="shared" si="102"/>
        <v>ATTIC R19 - R38_Heat Pump</v>
      </c>
      <c r="E214" s="61">
        <f t="shared" si="107"/>
        <v>3.9504312949679033E-3</v>
      </c>
      <c r="F214" s="61">
        <f t="shared" si="107"/>
        <v>3.9414607294492457E-3</v>
      </c>
      <c r="G214" s="61">
        <f t="shared" si="107"/>
        <v>3.9325105341230333E-3</v>
      </c>
      <c r="H214" s="61">
        <f t="shared" si="107"/>
        <v>3.9235806627330163E-3</v>
      </c>
      <c r="I214" s="61">
        <f t="shared" si="107"/>
        <v>3.9146710691279783E-3</v>
      </c>
      <c r="J214" s="61">
        <f t="shared" si="107"/>
        <v>3.5152035365353567E-3</v>
      </c>
      <c r="K214" s="61">
        <f t="shared" si="107"/>
        <v>2.8057770224580573E-3</v>
      </c>
      <c r="L214" s="61">
        <f t="shared" si="107"/>
        <v>2.239524573166752E-3</v>
      </c>
      <c r="M214" s="61">
        <f t="shared" si="107"/>
        <v>1.7875512821128672E-3</v>
      </c>
      <c r="N214" s="61">
        <f t="shared" si="107"/>
        <v>1.4267937152683497E-3</v>
      </c>
      <c r="O214" s="61">
        <f t="shared" si="108"/>
        <v>1.1388430230225542E-3</v>
      </c>
      <c r="P214" s="61">
        <f t="shared" si="108"/>
        <v>9.0900556766415153E-4</v>
      </c>
      <c r="Q214" s="61">
        <f t="shared" si="108"/>
        <v>7.2555313185429429E-4</v>
      </c>
      <c r="R214" s="61">
        <f t="shared" si="108"/>
        <v>5.7912444749521361E-4</v>
      </c>
      <c r="S214" s="61">
        <f t="shared" si="108"/>
        <v>4.6224750602274123E-4</v>
      </c>
      <c r="T214" s="61">
        <f t="shared" si="108"/>
        <v>3.6895827442340887E-4</v>
      </c>
      <c r="U214" s="61">
        <f t="shared" si="108"/>
        <v>2.5108637456753648E-6</v>
      </c>
      <c r="V214" s="61">
        <f t="shared" si="108"/>
        <v>8.947007582968179E-7</v>
      </c>
      <c r="W214" s="61">
        <f t="shared" si="108"/>
        <v>3.0431900745998983E-7</v>
      </c>
      <c r="X214" s="61">
        <f t="shared" si="108"/>
        <v>9.9009119201208142E-8</v>
      </c>
      <c r="Y214" s="61">
        <f t="shared" si="103"/>
        <v>3.4591483022744507E-2</v>
      </c>
      <c r="AA214" s="61">
        <f t="shared" si="93"/>
        <v>3.5625045263055571E-2</v>
      </c>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row>
    <row r="215" spans="1:80">
      <c r="A215" s="211">
        <f t="shared" si="98"/>
        <v>139.96110175796073</v>
      </c>
      <c r="B215" s="211">
        <f t="shared" si="99"/>
        <v>308.00442643674728</v>
      </c>
      <c r="C215" s="57" t="str">
        <f t="shared" si="104"/>
        <v>Single Family</v>
      </c>
      <c r="D215" s="60" t="str">
        <f t="shared" ref="D215:D217" si="109">D80</f>
        <v>FLOOR R0 - R19_Heat Pump</v>
      </c>
      <c r="E215" s="61">
        <f t="shared" si="107"/>
        <v>6.9211062625637018E-2</v>
      </c>
      <c r="F215" s="61">
        <f t="shared" si="107"/>
        <v>6.9053899438749011E-2</v>
      </c>
      <c r="G215" s="61">
        <f t="shared" si="107"/>
        <v>6.8897093135087142E-2</v>
      </c>
      <c r="H215" s="61">
        <f t="shared" si="107"/>
        <v>6.874064290424764E-2</v>
      </c>
      <c r="I215" s="61">
        <f t="shared" si="107"/>
        <v>6.8584547937666981E-2</v>
      </c>
      <c r="J215" s="61">
        <f t="shared" si="107"/>
        <v>6.1585926685755958E-2</v>
      </c>
      <c r="K215" s="61">
        <f t="shared" si="107"/>
        <v>4.9156862811987154E-2</v>
      </c>
      <c r="L215" s="61">
        <f t="shared" si="107"/>
        <v>3.9236190661646839E-2</v>
      </c>
      <c r="M215" s="61">
        <f t="shared" si="107"/>
        <v>3.1317675082830822E-2</v>
      </c>
      <c r="N215" s="61">
        <f t="shared" si="107"/>
        <v>2.4997247593469513E-2</v>
      </c>
      <c r="O215" s="61">
        <f t="shared" si="108"/>
        <v>1.9952387448830239E-2</v>
      </c>
      <c r="P215" s="61">
        <f t="shared" si="108"/>
        <v>1.5925663952388133E-2</v>
      </c>
      <c r="Q215" s="61">
        <f t="shared" si="108"/>
        <v>1.2711600201973044E-2</v>
      </c>
      <c r="R215" s="61">
        <f t="shared" si="108"/>
        <v>1.014618795033476E-2</v>
      </c>
      <c r="S215" s="61">
        <f t="shared" si="108"/>
        <v>8.0985185411620742E-3</v>
      </c>
      <c r="T215" s="61">
        <f t="shared" si="108"/>
        <v>6.4641028613492187E-3</v>
      </c>
      <c r="U215" s="61">
        <f t="shared" si="108"/>
        <v>4.3990019056334748E-5</v>
      </c>
      <c r="V215" s="61">
        <f t="shared" si="108"/>
        <v>1.5675045479860476E-5</v>
      </c>
      <c r="W215" s="61">
        <f t="shared" si="108"/>
        <v>5.3316309817397253E-6</v>
      </c>
      <c r="X215" s="61">
        <f t="shared" si="108"/>
        <v>1.7346273958169557E-6</v>
      </c>
      <c r="Y215" s="61">
        <f t="shared" si="103"/>
        <v>0.60603845986398341</v>
      </c>
      <c r="AA215" s="61">
        <f t="shared" si="93"/>
        <v>0.62414634115602929</v>
      </c>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row>
    <row r="216" spans="1:80">
      <c r="A216" s="211">
        <f t="shared" si="98"/>
        <v>281.25569038844571</v>
      </c>
      <c r="B216" s="211">
        <f t="shared" si="99"/>
        <v>283.46557599461369</v>
      </c>
      <c r="C216" s="57" t="str">
        <f t="shared" ref="C216:C217" si="110">$C$158</f>
        <v>Single Family</v>
      </c>
      <c r="D216" s="60" t="str">
        <f t="shared" si="109"/>
        <v>WINDOW CL30 Prime Window Replacement of Double Pane Base_Heat Pump</v>
      </c>
      <c r="E216" s="61">
        <f t="shared" si="107"/>
        <v>1.3106435570039789</v>
      </c>
      <c r="F216" s="61">
        <f t="shared" si="107"/>
        <v>1.30766737212141</v>
      </c>
      <c r="G216" s="61">
        <f t="shared" si="107"/>
        <v>1.3046979455038232</v>
      </c>
      <c r="H216" s="61">
        <f t="shared" si="107"/>
        <v>1.3017352618046762</v>
      </c>
      <c r="I216" s="61">
        <f t="shared" si="107"/>
        <v>1.2987793057122767</v>
      </c>
      <c r="J216" s="61">
        <f t="shared" si="107"/>
        <v>1.1662470557547306</v>
      </c>
      <c r="K216" s="61">
        <f t="shared" si="107"/>
        <v>0.93087901099779524</v>
      </c>
      <c r="L216" s="61">
        <f t="shared" si="107"/>
        <v>0.74301215067630688</v>
      </c>
      <c r="M216" s="61">
        <f t="shared" si="107"/>
        <v>0.59305994606203272</v>
      </c>
      <c r="N216" s="61">
        <f t="shared" si="107"/>
        <v>0.47337058930053505</v>
      </c>
      <c r="O216" s="61">
        <f t="shared" si="108"/>
        <v>0.3778365345740235</v>
      </c>
      <c r="P216" s="61">
        <f t="shared" si="108"/>
        <v>0.30158284034894073</v>
      </c>
      <c r="Q216" s="61">
        <f t="shared" si="108"/>
        <v>0.24071840933930616</v>
      </c>
      <c r="R216" s="61">
        <f t="shared" si="108"/>
        <v>0.19213743238110356</v>
      </c>
      <c r="S216" s="61">
        <f t="shared" si="108"/>
        <v>0.1533609042338214</v>
      </c>
      <c r="T216" s="61">
        <f t="shared" si="108"/>
        <v>0.12241012412804811</v>
      </c>
      <c r="U216" s="61">
        <f t="shared" si="108"/>
        <v>8.3303496379653712E-4</v>
      </c>
      <c r="V216" s="61">
        <f t="shared" si="108"/>
        <v>2.9683690127759219E-4</v>
      </c>
      <c r="W216" s="61">
        <f t="shared" si="108"/>
        <v>1.0096460781620102E-4</v>
      </c>
      <c r="X216" s="61">
        <f t="shared" si="108"/>
        <v>3.2848480197845518E-5</v>
      </c>
      <c r="Y216" s="61">
        <f t="shared" si="103"/>
        <v>11.47649483455729</v>
      </c>
      <c r="AA216" s="61">
        <f t="shared" si="93"/>
        <v>11.819402124895896</v>
      </c>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row>
    <row r="217" spans="1:80">
      <c r="A217" s="211">
        <f t="shared" si="98"/>
        <v>326.86560849508749</v>
      </c>
      <c r="B217" s="211">
        <f t="shared" si="99"/>
        <v>287.06172747484032</v>
      </c>
      <c r="C217" s="57" t="str">
        <f t="shared" si="110"/>
        <v>Single Family</v>
      </c>
      <c r="D217" s="60" t="str">
        <f t="shared" si="109"/>
        <v>WINDOW CL22 Prime Window Replacement of Double Pane Base_Heat Pump</v>
      </c>
      <c r="E217" s="61">
        <f t="shared" si="107"/>
        <v>0.38079612112789341</v>
      </c>
      <c r="F217" s="61">
        <f t="shared" si="107"/>
        <v>0.37993141641623834</v>
      </c>
      <c r="G217" s="61">
        <f t="shared" si="107"/>
        <v>0.37906867525987403</v>
      </c>
      <c r="H217" s="61">
        <f t="shared" si="107"/>
        <v>0.37820789319999587</v>
      </c>
      <c r="I217" s="61">
        <f t="shared" si="107"/>
        <v>0.37734906578792421</v>
      </c>
      <c r="J217" s="61">
        <f t="shared" si="107"/>
        <v>0.33884296972657318</v>
      </c>
      <c r="K217" s="61">
        <f t="shared" si="107"/>
        <v>0.27045882515733749</v>
      </c>
      <c r="L217" s="61">
        <f t="shared" si="107"/>
        <v>0.21587573785141081</v>
      </c>
      <c r="M217" s="61">
        <f t="shared" si="107"/>
        <v>0.17230842500990842</v>
      </c>
      <c r="N217" s="61">
        <f t="shared" si="107"/>
        <v>0.13753372020820273</v>
      </c>
      <c r="O217" s="61">
        <f t="shared" si="108"/>
        <v>0.10977712896638957</v>
      </c>
      <c r="P217" s="61">
        <f t="shared" si="108"/>
        <v>8.7622279291653921E-2</v>
      </c>
      <c r="Q217" s="61">
        <f t="shared" si="108"/>
        <v>6.9938646606573895E-2</v>
      </c>
      <c r="R217" s="61">
        <f t="shared" si="108"/>
        <v>5.5823864988469196E-2</v>
      </c>
      <c r="S217" s="61">
        <f t="shared" si="108"/>
        <v>4.4557680959727355E-2</v>
      </c>
      <c r="T217" s="61">
        <f t="shared" si="108"/>
        <v>3.5565200168761947E-2</v>
      </c>
      <c r="U217" s="61">
        <f t="shared" si="108"/>
        <v>2.420310856315249E-4</v>
      </c>
      <c r="V217" s="61">
        <f t="shared" si="108"/>
        <v>8.6243387845676034E-5</v>
      </c>
      <c r="W217" s="61">
        <f t="shared" si="108"/>
        <v>2.933439135465236E-5</v>
      </c>
      <c r="X217" s="61">
        <f t="shared" si="108"/>
        <v>9.5438410980934733E-6</v>
      </c>
      <c r="Y217" s="61">
        <f t="shared" si="103"/>
        <v>3.3343960635137462</v>
      </c>
      <c r="AA217" s="61">
        <f t="shared" si="93"/>
        <v>3.4340248034328642</v>
      </c>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row>
    <row r="218" spans="1:80">
      <c r="AA218" s="60"/>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row>
    <row r="219" spans="1:80">
      <c r="B219" s="213">
        <f>SUMPRODUCT(B158:B217,AA158:AA217)/SUM(AA158:AA217)</f>
        <v>120.04666183380414</v>
      </c>
      <c r="E219" s="61">
        <f>SUM(E158:E217)</f>
        <v>15.438815341044407</v>
      </c>
      <c r="F219" s="61">
        <f t="shared" ref="F219:X219" si="111">SUM(F158:F217)</f>
        <v>15.40375716784602</v>
      </c>
      <c r="G219" s="61">
        <f t="shared" si="111"/>
        <v>15.368778604091812</v>
      </c>
      <c r="H219" s="61">
        <f t="shared" si="111"/>
        <v>15.333879469006138</v>
      </c>
      <c r="I219" s="61">
        <f t="shared" si="111"/>
        <v>15.299059582223865</v>
      </c>
      <c r="J219" s="61">
        <f t="shared" si="111"/>
        <v>13.737886887410493</v>
      </c>
      <c r="K219" s="61">
        <f t="shared" si="111"/>
        <v>10.965352920592258</v>
      </c>
      <c r="L219" s="61">
        <f t="shared" si="111"/>
        <v>8.7523624017700321</v>
      </c>
      <c r="M219" s="61">
        <f t="shared" si="111"/>
        <v>6.9859901607052137</v>
      </c>
      <c r="N219" s="61">
        <f t="shared" si="111"/>
        <v>5.5761012038989826</v>
      </c>
      <c r="O219" s="61">
        <f t="shared" si="111"/>
        <v>4.4507512780385818</v>
      </c>
      <c r="P219" s="61">
        <f t="shared" si="111"/>
        <v>3.5525156762059598</v>
      </c>
      <c r="Q219" s="61">
        <f t="shared" si="111"/>
        <v>2.835558952027263</v>
      </c>
      <c r="R219" s="61">
        <f t="shared" si="111"/>
        <v>2.2632960142230782</v>
      </c>
      <c r="S219" s="61">
        <f t="shared" si="111"/>
        <v>1.8065252511628349</v>
      </c>
      <c r="T219" s="61">
        <f t="shared" si="111"/>
        <v>1.4419384219210121</v>
      </c>
      <c r="U219" s="61">
        <f t="shared" si="111"/>
        <v>9.8127922805249044E-3</v>
      </c>
      <c r="V219" s="61">
        <f t="shared" si="111"/>
        <v>3.4966105626067345E-3</v>
      </c>
      <c r="W219" s="61">
        <f t="shared" si="111"/>
        <v>1.189319497070983E-3</v>
      </c>
      <c r="X219" s="61">
        <f t="shared" si="111"/>
        <v>3.8694091715353476E-4</v>
      </c>
      <c r="Y219" s="61">
        <f>SUM(Y158:Y217)</f>
        <v>135.18815513670745</v>
      </c>
      <c r="AA219" s="60">
        <f>SUM(E219:X219)</f>
        <v>139.22745499542529</v>
      </c>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row>
    <row r="220" spans="1:80">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row>
    <row r="221" spans="1:80">
      <c r="D221" s="61"/>
      <c r="E221" s="61">
        <f>E219</f>
        <v>15.438815341044407</v>
      </c>
      <c r="F221" s="61">
        <f>F219+E221</f>
        <v>30.842572508890427</v>
      </c>
      <c r="G221" s="61">
        <f t="shared" ref="G221:X221" si="112">G219+F221</f>
        <v>46.211351112982243</v>
      </c>
      <c r="H221" s="61">
        <f t="shared" si="112"/>
        <v>61.545230581988378</v>
      </c>
      <c r="I221" s="61">
        <f t="shared" si="112"/>
        <v>76.844290164212239</v>
      </c>
      <c r="J221" s="61">
        <f t="shared" si="112"/>
        <v>90.582177051622736</v>
      </c>
      <c r="K221" s="61">
        <f t="shared" si="112"/>
        <v>101.54752997221499</v>
      </c>
      <c r="L221" s="61">
        <f t="shared" si="112"/>
        <v>110.29989237398502</v>
      </c>
      <c r="M221" s="61">
        <f t="shared" si="112"/>
        <v>117.28588253469023</v>
      </c>
      <c r="N221" s="61">
        <f t="shared" si="112"/>
        <v>122.86198373858922</v>
      </c>
      <c r="O221" s="61">
        <f t="shared" si="112"/>
        <v>127.3127350166278</v>
      </c>
      <c r="P221" s="61">
        <f t="shared" si="112"/>
        <v>130.86525069283377</v>
      </c>
      <c r="Q221" s="61">
        <f t="shared" si="112"/>
        <v>133.70080964486104</v>
      </c>
      <c r="R221" s="61">
        <f t="shared" si="112"/>
        <v>135.96410565908411</v>
      </c>
      <c r="S221" s="61">
        <f t="shared" si="112"/>
        <v>137.77063091024695</v>
      </c>
      <c r="T221" s="61">
        <f t="shared" si="112"/>
        <v>139.21256933216796</v>
      </c>
      <c r="U221" s="61">
        <f t="shared" si="112"/>
        <v>139.22238212444847</v>
      </c>
      <c r="V221" s="61">
        <f t="shared" si="112"/>
        <v>139.22587873501107</v>
      </c>
      <c r="W221" s="61">
        <f t="shared" si="112"/>
        <v>139.22706805450812</v>
      </c>
      <c r="X221" s="61">
        <f t="shared" si="112"/>
        <v>139.22745499542529</v>
      </c>
      <c r="Y221" s="61"/>
      <c r="Z221" s="61"/>
      <c r="AA221" s="61">
        <f>SUM(AA158:AA217)</f>
        <v>139.22745499542529</v>
      </c>
      <c r="AB221" s="62"/>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row>
    <row r="222" spans="1:80">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row>
    <row r="223" spans="1:80">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row>
    <row r="224" spans="1:80" ht="15">
      <c r="A224" s="202" t="s">
        <v>249</v>
      </c>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row>
    <row r="225" spans="2:79" ht="15">
      <c r="E225" s="203">
        <f t="shared" ref="E225:X225" si="113">E11</f>
        <v>2016</v>
      </c>
      <c r="F225" s="204">
        <f t="shared" si="113"/>
        <v>2017</v>
      </c>
      <c r="G225" s="204">
        <f t="shared" si="113"/>
        <v>2018</v>
      </c>
      <c r="H225" s="204">
        <f t="shared" si="113"/>
        <v>2019</v>
      </c>
      <c r="I225" s="204">
        <f t="shared" si="113"/>
        <v>2020</v>
      </c>
      <c r="J225" s="204">
        <f t="shared" si="113"/>
        <v>2021</v>
      </c>
      <c r="K225" s="204">
        <f t="shared" si="113"/>
        <v>2022</v>
      </c>
      <c r="L225" s="204">
        <f t="shared" si="113"/>
        <v>2023</v>
      </c>
      <c r="M225" s="204">
        <f t="shared" si="113"/>
        <v>2024</v>
      </c>
      <c r="N225" s="204">
        <f t="shared" si="113"/>
        <v>2025</v>
      </c>
      <c r="O225" s="204">
        <f t="shared" si="113"/>
        <v>2026</v>
      </c>
      <c r="P225" s="204">
        <f t="shared" si="113"/>
        <v>2027</v>
      </c>
      <c r="Q225" s="204">
        <f t="shared" si="113"/>
        <v>2028</v>
      </c>
      <c r="R225" s="204">
        <f t="shared" si="113"/>
        <v>2029</v>
      </c>
      <c r="S225" s="204">
        <f t="shared" si="113"/>
        <v>2030</v>
      </c>
      <c r="T225" s="204">
        <f t="shared" si="113"/>
        <v>2031</v>
      </c>
      <c r="U225" s="204">
        <f t="shared" si="113"/>
        <v>2032</v>
      </c>
      <c r="V225" s="204">
        <f t="shared" si="113"/>
        <v>2033</v>
      </c>
      <c r="W225" s="204">
        <f t="shared" si="113"/>
        <v>2034</v>
      </c>
      <c r="X225" s="204">
        <f t="shared" si="113"/>
        <v>2035</v>
      </c>
      <c r="Y225" s="205" t="s">
        <v>1363</v>
      </c>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row>
    <row r="226" spans="2:79" ht="15">
      <c r="C226" s="63" t="s">
        <v>246</v>
      </c>
      <c r="D226" s="63" t="s">
        <v>246</v>
      </c>
      <c r="E226" s="206" t="str">
        <f t="shared" ref="E226:X226" si="114">CONCATENATE("aMW_",E225)</f>
        <v>aMW_2016</v>
      </c>
      <c r="F226" s="207" t="str">
        <f t="shared" si="114"/>
        <v>aMW_2017</v>
      </c>
      <c r="G226" s="207" t="str">
        <f t="shared" si="114"/>
        <v>aMW_2018</v>
      </c>
      <c r="H226" s="207" t="str">
        <f t="shared" si="114"/>
        <v>aMW_2019</v>
      </c>
      <c r="I226" s="207" t="str">
        <f t="shared" si="114"/>
        <v>aMW_2020</v>
      </c>
      <c r="J226" s="207" t="str">
        <f t="shared" si="114"/>
        <v>aMW_2021</v>
      </c>
      <c r="K226" s="207" t="str">
        <f t="shared" si="114"/>
        <v>aMW_2022</v>
      </c>
      <c r="L226" s="207" t="str">
        <f t="shared" si="114"/>
        <v>aMW_2023</v>
      </c>
      <c r="M226" s="207" t="str">
        <f t="shared" si="114"/>
        <v>aMW_2024</v>
      </c>
      <c r="N226" s="207" t="str">
        <f t="shared" si="114"/>
        <v>aMW_2025</v>
      </c>
      <c r="O226" s="207" t="str">
        <f t="shared" si="114"/>
        <v>aMW_2026</v>
      </c>
      <c r="P226" s="207" t="str">
        <f t="shared" si="114"/>
        <v>aMW_2027</v>
      </c>
      <c r="Q226" s="207" t="str">
        <f t="shared" si="114"/>
        <v>aMW_2028</v>
      </c>
      <c r="R226" s="207" t="str">
        <f t="shared" si="114"/>
        <v>aMW_2029</v>
      </c>
      <c r="S226" s="207" t="str">
        <f t="shared" si="114"/>
        <v>aMW_2030</v>
      </c>
      <c r="T226" s="207" t="str">
        <f t="shared" si="114"/>
        <v>aMW_2031</v>
      </c>
      <c r="U226" s="207" t="str">
        <f t="shared" si="114"/>
        <v>aMW_2032</v>
      </c>
      <c r="V226" s="207" t="str">
        <f t="shared" si="114"/>
        <v>aMW_2033</v>
      </c>
      <c r="W226" s="207" t="str">
        <f t="shared" si="114"/>
        <v>aMW_2034</v>
      </c>
      <c r="X226" s="207" t="str">
        <f t="shared" si="114"/>
        <v>aMW_2035</v>
      </c>
      <c r="Y226" s="208" t="s">
        <v>1363</v>
      </c>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row>
    <row r="227" spans="2:79">
      <c r="B227" s="57" t="s">
        <v>250</v>
      </c>
      <c r="C227" s="64" t="s">
        <v>251</v>
      </c>
      <c r="D227" s="64" t="s">
        <v>252</v>
      </c>
      <c r="E227" s="61">
        <f>DSUM($B$157:$Y$217,E$157,$C$226:$D227)</f>
        <v>1.3112914378987215</v>
      </c>
      <c r="F227" s="61">
        <f>DSUM($B$157:$Y$217,F$157,$C$226:$D227)</f>
        <v>1.3083137818203308</v>
      </c>
      <c r="G227" s="61">
        <f>DSUM($B$157:$Y$217,G$157,$C$226:$D227)</f>
        <v>1.3053428873476862</v>
      </c>
      <c r="H227" s="61">
        <f>DSUM($B$157:$Y$217,H$157,$C$226:$D227)</f>
        <v>1.3023787391266597</v>
      </c>
      <c r="I227" s="61">
        <f>DSUM($B$157:$Y$217,I$157,$C$226:$D227)</f>
        <v>1.2994213218379895</v>
      </c>
      <c r="J227" s="61">
        <f>DSUM($B$157:$Y$217,J$157,$C$226:$D227)</f>
        <v>1.1668235581774797</v>
      </c>
      <c r="K227" s="61">
        <f>DSUM($B$157:$Y$217,K$157,$C$226:$D227)</f>
        <v>0.93133916564725683</v>
      </c>
      <c r="L227" s="61">
        <f>DSUM($B$157:$Y$217,L$157,$C$226:$D227)</f>
        <v>0.74337943846741683</v>
      </c>
      <c r="M227" s="61">
        <f>DSUM($B$157:$Y$217,M$157,$C$226:$D227)</f>
        <v>0.59335310907072214</v>
      </c>
      <c r="N227" s="61">
        <f>DSUM($B$157:$Y$217,N$157,$C$226:$D227)</f>
        <v>0.47360458714022385</v>
      </c>
      <c r="O227" s="61">
        <f>DSUM($B$157:$Y$217,O$157,$C$226:$D227)</f>
        <v>0.37802330775943938</v>
      </c>
      <c r="P227" s="61">
        <f>DSUM($B$157:$Y$217,P$157,$C$226:$D227)</f>
        <v>0.30173191960042772</v>
      </c>
      <c r="Q227" s="61">
        <f>DSUM($B$157:$Y$217,Q$157,$C$226:$D227)</f>
        <v>0.24083740191939423</v>
      </c>
      <c r="R227" s="61">
        <f>DSUM($B$157:$Y$217,R$157,$C$226:$D227)</f>
        <v>0.1922324102802733</v>
      </c>
      <c r="S227" s="61">
        <f>DSUM($B$157:$Y$217,S$157,$C$226:$D227)</f>
        <v>0.15343671401392719</v>
      </c>
      <c r="T227" s="61">
        <f>DSUM($B$157:$Y$217,T$157,$C$226:$D227)</f>
        <v>0.1224706342341878</v>
      </c>
      <c r="U227" s="61">
        <f>DSUM($B$157:$Y$217,U$157,$C$226:$D227)</f>
        <v>8.3344675190995059E-4</v>
      </c>
      <c r="V227" s="61">
        <f>DSUM($B$157:$Y$217,V$157,$C$226:$D227)</f>
        <v>2.9698363450354423E-4</v>
      </c>
      <c r="W227" s="61">
        <f>DSUM($B$157:$Y$217,W$157,$C$226:$D227)</f>
        <v>1.0101451691627613E-4</v>
      </c>
      <c r="X227" s="61">
        <f>DSUM($B$157:$Y$217,X$157,$C$226:$D227)</f>
        <v>3.2864717948092554E-5</v>
      </c>
      <c r="Y227" s="61">
        <f>DSUM($B$157:$Y$217,Y$157,$C$226:$D227)</f>
        <v>11.482167926758589</v>
      </c>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row>
    <row r="228" spans="2:79">
      <c r="B228" s="57" t="s">
        <v>1413</v>
      </c>
      <c r="C228" s="64" t="s">
        <v>253</v>
      </c>
      <c r="D228" s="64" t="s">
        <v>254</v>
      </c>
      <c r="E228" s="61">
        <f>DSUM($B$157:$Y$217,E$157,$C$226:$D228)</f>
        <v>1.3287831199963573</v>
      </c>
      <c r="F228" s="61">
        <f>DSUM($B$157:$Y$217,F$157,$C$226:$D228)</f>
        <v>1.3257657441333224</v>
      </c>
      <c r="G228" s="61">
        <f>DSUM($B$157:$Y$217,G$157,$C$226:$D228)</f>
        <v>1.3227552200709778</v>
      </c>
      <c r="H228" s="61">
        <f>DSUM($B$157:$Y$217,H$157,$C$226:$D228)</f>
        <v>1.3197515322503826</v>
      </c>
      <c r="I228" s="61">
        <f>DSUM($B$157:$Y$217,I$157,$C$226:$D228)</f>
        <v>1.3167546651479269</v>
      </c>
      <c r="J228" s="61">
        <f>DSUM($B$157:$Y$217,J$157,$C$226:$D228)</f>
        <v>1.1823881429477261</v>
      </c>
      <c r="K228" s="61">
        <f>DSUM($B$157:$Y$217,K$157,$C$226:$D228)</f>
        <v>0.9437625584490007</v>
      </c>
      <c r="L228" s="61">
        <f>DSUM($B$157:$Y$217,L$157,$C$226:$D228)</f>
        <v>0.75329558406234876</v>
      </c>
      <c r="M228" s="61">
        <f>DSUM($B$157:$Y$217,M$157,$C$226:$D228)</f>
        <v>0.60126801162826526</v>
      </c>
      <c r="N228" s="61">
        <f>DSUM($B$157:$Y$217,N$157,$C$226:$D228)</f>
        <v>0.47992213077607176</v>
      </c>
      <c r="O228" s="61">
        <f>DSUM($B$157:$Y$217,O$157,$C$226:$D228)</f>
        <v>0.38306586606014836</v>
      </c>
      <c r="P228" s="61">
        <f>DSUM($B$157:$Y$217,P$157,$C$226:$D228)</f>
        <v>0.30575680580331299</v>
      </c>
      <c r="Q228" s="61">
        <f>DSUM($B$157:$Y$217,Q$157,$C$226:$D228)</f>
        <v>0.24404999917263737</v>
      </c>
      <c r="R228" s="61">
        <f>DSUM($B$157:$Y$217,R$157,$C$226:$D228)</f>
        <v>0.19479665199824947</v>
      </c>
      <c r="S228" s="61">
        <f>DSUM($B$157:$Y$217,S$157,$C$226:$D228)</f>
        <v>0.15548344912259096</v>
      </c>
      <c r="T228" s="61">
        <f>DSUM($B$157:$Y$217,T$157,$C$226:$D228)</f>
        <v>0.12410430417086722</v>
      </c>
      <c r="U228" s="61">
        <f>DSUM($B$157:$Y$217,U$157,$C$226:$D228)</f>
        <v>8.4456433051099543E-4</v>
      </c>
      <c r="V228" s="61">
        <f>DSUM($B$157:$Y$217,V$157,$C$226:$D228)</f>
        <v>3.0094518200762983E-4</v>
      </c>
      <c r="W228" s="61">
        <f>DSUM($B$157:$Y$217,W$157,$C$226:$D228)</f>
        <v>1.0236197772176814E-4</v>
      </c>
      <c r="X228" s="61">
        <f>DSUM($B$157:$Y$217,X$157,$C$226:$D228)</f>
        <v>3.330310958397305E-5</v>
      </c>
      <c r="Y228" s="61">
        <f>DSUM($B$157:$Y$217,Y$157,$C$226:$D228)</f>
        <v>11.635331766132371</v>
      </c>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row>
    <row r="229" spans="2:79">
      <c r="B229" s="57" t="s">
        <v>255</v>
      </c>
      <c r="C229" s="64" t="s">
        <v>256</v>
      </c>
      <c r="D229" s="64" t="s">
        <v>257</v>
      </c>
      <c r="E229" s="61">
        <f>DSUM($B$157:$Y$217,E$157,$C$226:$D229)</f>
        <v>2.4323703850440994</v>
      </c>
      <c r="F229" s="61">
        <f>DSUM($B$157:$Y$217,F$157,$C$226:$D229)</f>
        <v>2.4268470038546894</v>
      </c>
      <c r="G229" s="61">
        <f>DSUM($B$157:$Y$217,G$157,$C$226:$D229)</f>
        <v>2.4213361650560072</v>
      </c>
      <c r="H229" s="61">
        <f>DSUM($B$157:$Y$217,H$157,$C$226:$D229)</f>
        <v>2.4158378401670264</v>
      </c>
      <c r="I229" s="61">
        <f>DSUM($B$157:$Y$217,I$157,$C$226:$D229)</f>
        <v>2.410352000771395</v>
      </c>
      <c r="J229" s="61">
        <f>DSUM($B$157:$Y$217,J$157,$C$226:$D229)</f>
        <v>2.1643907566655587</v>
      </c>
      <c r="K229" s="61">
        <f>DSUM($B$157:$Y$217,K$157,$C$226:$D229)</f>
        <v>1.7275807188844279</v>
      </c>
      <c r="L229" s="61">
        <f>DSUM($B$157:$Y$217,L$157,$C$226:$D229)</f>
        <v>1.3789262087125083</v>
      </c>
      <c r="M229" s="61">
        <f>DSUM($B$157:$Y$217,M$157,$C$226:$D229)</f>
        <v>1.1006359750889616</v>
      </c>
      <c r="N229" s="61">
        <f>DSUM($B$157:$Y$217,N$157,$C$226:$D229)</f>
        <v>0.87850933719731361</v>
      </c>
      <c r="O229" s="61">
        <f>DSUM($B$157:$Y$217,O$157,$C$226:$D229)</f>
        <v>0.70121154769675942</v>
      </c>
      <c r="P229" s="61">
        <f>DSUM($B$157:$Y$217,P$157,$C$226:$D229)</f>
        <v>0.55969539970051463</v>
      </c>
      <c r="Q229" s="61">
        <f>DSUM($B$157:$Y$217,Q$157,$C$226:$D229)</f>
        <v>0.44673956308173712</v>
      </c>
      <c r="R229" s="61">
        <f>DSUM($B$157:$Y$217,R$157,$C$226:$D229)</f>
        <v>0.35658009218809344</v>
      </c>
      <c r="S229" s="61">
        <f>DSUM($B$157:$Y$217,S$157,$C$226:$D229)</f>
        <v>0.28461630142572697</v>
      </c>
      <c r="T229" s="61">
        <f>DSUM($B$157:$Y$217,T$157,$C$226:$D229)</f>
        <v>0.2271760000402096</v>
      </c>
      <c r="U229" s="61">
        <f>DSUM($B$157:$Y$217,U$157,$C$226:$D229)</f>
        <v>1.5459959077484169E-3</v>
      </c>
      <c r="V229" s="61">
        <f>DSUM($B$157:$Y$217,V$157,$C$226:$D229)</f>
        <v>5.508876032674706E-4</v>
      </c>
      <c r="W229" s="61">
        <f>DSUM($B$157:$Y$217,W$157,$C$226:$D229)</f>
        <v>1.8737613340968331E-4</v>
      </c>
      <c r="X229" s="61">
        <f>DSUM($B$157:$Y$217,X$157,$C$226:$D229)</f>
        <v>6.0962166257919063E-5</v>
      </c>
      <c r="Y229" s="61">
        <f>DSUM($B$157:$Y$217,Y$157,$C$226:$D229)</f>
        <v>21.298762741794022</v>
      </c>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row>
    <row r="230" spans="2:79">
      <c r="B230" s="57" t="s">
        <v>258</v>
      </c>
      <c r="C230" s="64" t="s">
        <v>259</v>
      </c>
      <c r="D230" s="64" t="s">
        <v>260</v>
      </c>
      <c r="E230" s="61">
        <f>DSUM($B$157:$Y$217,E$157,$C$226:$D230)</f>
        <v>2.9568425749861578</v>
      </c>
      <c r="F230" s="61">
        <f>DSUM($B$157:$Y$217,F$157,$C$226:$D230)</f>
        <v>2.9501282321545133</v>
      </c>
      <c r="G230" s="61">
        <f>DSUM($B$157:$Y$217,G$157,$C$226:$D230)</f>
        <v>2.9434291361270253</v>
      </c>
      <c r="H230" s="61">
        <f>DSUM($B$157:$Y$217,H$157,$C$226:$D230)</f>
        <v>2.9367452522815349</v>
      </c>
      <c r="I230" s="61">
        <f>DSUM($B$157:$Y$217,I$157,$C$226:$D230)</f>
        <v>2.9300765460745057</v>
      </c>
      <c r="J230" s="61">
        <f>DSUM($B$157:$Y$217,J$157,$C$226:$D230)</f>
        <v>2.6310806847367529</v>
      </c>
      <c r="K230" s="61">
        <f>DSUM($B$157:$Y$217,K$157,$C$226:$D230)</f>
        <v>2.1000848607314619</v>
      </c>
      <c r="L230" s="61">
        <f>DSUM($B$157:$Y$217,L$157,$C$226:$D230)</f>
        <v>1.6762528218380159</v>
      </c>
      <c r="M230" s="61">
        <f>DSUM($B$157:$Y$217,M$157,$C$226:$D230)</f>
        <v>1.3379571346184773</v>
      </c>
      <c r="N230" s="61">
        <f>DSUM($B$157:$Y$217,N$157,$C$226:$D230)</f>
        <v>1.0679351412596614</v>
      </c>
      <c r="O230" s="61">
        <f>DSUM($B$157:$Y$217,O$157,$C$226:$D230)</f>
        <v>0.85240807528748308</v>
      </c>
      <c r="P230" s="61">
        <f>DSUM($B$157:$Y$217,P$157,$C$226:$D230)</f>
        <v>0.68037795437489368</v>
      </c>
      <c r="Q230" s="61">
        <f>DSUM($B$157:$Y$217,Q$157,$C$226:$D230)</f>
        <v>0.54306637187035378</v>
      </c>
      <c r="R230" s="61">
        <f>DSUM($B$157:$Y$217,R$157,$C$226:$D230)</f>
        <v>0.43346654952597941</v>
      </c>
      <c r="S230" s="61">
        <f>DSUM($B$157:$Y$217,S$157,$C$226:$D230)</f>
        <v>0.34598579343228814</v>
      </c>
      <c r="T230" s="61">
        <f>DSUM($B$157:$Y$217,T$157,$C$226:$D230)</f>
        <v>0.276160108289499</v>
      </c>
      <c r="U230" s="61">
        <f>DSUM($B$157:$Y$217,U$157,$C$226:$D230)</f>
        <v>1.879346397609595E-3</v>
      </c>
      <c r="V230" s="61">
        <f>DSUM($B$157:$Y$217,V$157,$C$226:$D230)</f>
        <v>6.6967100462531277E-4</v>
      </c>
      <c r="W230" s="61">
        <f>DSUM($B$157:$Y$217,W$157,$C$226:$D230)</f>
        <v>2.2777852098869098E-4</v>
      </c>
      <c r="X230" s="61">
        <f>DSUM($B$157:$Y$217,X$157,$C$226:$D230)</f>
        <v>7.4106941016522691E-5</v>
      </c>
      <c r="Y230" s="61">
        <f>DSUM($B$157:$Y$217,Y$157,$C$226:$D230)</f>
        <v>25.891241258606136</v>
      </c>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row>
    <row r="231" spans="2:79">
      <c r="B231" s="57" t="s">
        <v>261</v>
      </c>
      <c r="C231" s="64" t="s">
        <v>262</v>
      </c>
      <c r="D231" s="64" t="s">
        <v>263</v>
      </c>
      <c r="E231" s="61">
        <f>DSUM($B$157:$Y$217,E$157,$C$226:$D231)</f>
        <v>3.2017691942958337</v>
      </c>
      <c r="F231" s="61">
        <f>DSUM($B$157:$Y$217,F$157,$C$226:$D231)</f>
        <v>3.1944986766767478</v>
      </c>
      <c r="G231" s="61">
        <f>DSUM($B$157:$Y$217,G$157,$C$226:$D231)</f>
        <v>3.1872446688131264</v>
      </c>
      <c r="H231" s="61">
        <f>DSUM($B$157:$Y$217,H$157,$C$226:$D231)</f>
        <v>3.1800071332149242</v>
      </c>
      <c r="I231" s="61">
        <f>DSUM($B$157:$Y$217,I$157,$C$226:$D231)</f>
        <v>3.172786032477231</v>
      </c>
      <c r="J231" s="61">
        <f>DSUM($B$157:$Y$217,J$157,$C$226:$D231)</f>
        <v>2.849023196352062</v>
      </c>
      <c r="K231" s="61">
        <f>DSUM($B$157:$Y$217,K$157,$C$226:$D231)</f>
        <v>2.2740429501995143</v>
      </c>
      <c r="L231" s="61">
        <f>DSUM($B$157:$Y$217,L$157,$C$226:$D231)</f>
        <v>1.8151032767909689</v>
      </c>
      <c r="M231" s="61">
        <f>DSUM($B$157:$Y$217,M$157,$C$226:$D231)</f>
        <v>1.4487852593673571</v>
      </c>
      <c r="N231" s="61">
        <f>DSUM($B$157:$Y$217,N$157,$C$226:$D231)</f>
        <v>1.1563963079120505</v>
      </c>
      <c r="O231" s="61">
        <f>DSUM($B$157:$Y$217,O$157,$C$226:$D231)</f>
        <v>0.92301630783885857</v>
      </c>
      <c r="P231" s="61">
        <f>DSUM($B$157:$Y$217,P$157,$C$226:$D231)</f>
        <v>0.73673627173260947</v>
      </c>
      <c r="Q231" s="61">
        <f>DSUM($B$157:$Y$217,Q$157,$C$226:$D231)</f>
        <v>0.58805064382592098</v>
      </c>
      <c r="R231" s="61">
        <f>DSUM($B$157:$Y$217,R$157,$C$226:$D231)</f>
        <v>0.46937224753552775</v>
      </c>
      <c r="S231" s="61">
        <f>DSUM($B$157:$Y$217,S$157,$C$226:$D231)</f>
        <v>0.37464512464979233</v>
      </c>
      <c r="T231" s="61">
        <f>DSUM($B$157:$Y$217,T$157,$C$226:$D231)</f>
        <v>0.29903551000474171</v>
      </c>
      <c r="U231" s="61">
        <f>DSUM($B$157:$Y$217,U$157,$C$226:$D231)</f>
        <v>2.0350198729485688E-3</v>
      </c>
      <c r="V231" s="61">
        <f>DSUM($B$157:$Y$217,V$157,$C$226:$D231)</f>
        <v>7.251424242403255E-4</v>
      </c>
      <c r="W231" s="61">
        <f>DSUM($B$157:$Y$217,W$157,$C$226:$D231)</f>
        <v>2.4664629013171997E-4</v>
      </c>
      <c r="X231" s="61">
        <f>DSUM($B$157:$Y$217,X$157,$C$226:$D231)</f>
        <v>8.0245503374934171E-5</v>
      </c>
      <c r="Y231" s="61">
        <f>DSUM($B$157:$Y$217,Y$157,$C$226:$D231)</f>
        <v>28.035912146683863</v>
      </c>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row>
    <row r="232" spans="2:79">
      <c r="B232" s="57" t="s">
        <v>264</v>
      </c>
      <c r="C232" s="64" t="s">
        <v>265</v>
      </c>
      <c r="D232" s="64" t="s">
        <v>266</v>
      </c>
      <c r="E232" s="61">
        <f>DSUM($B$157:$Y$217,E$157,$C$226:$D232)</f>
        <v>5.0212384997182378</v>
      </c>
      <c r="F232" s="61">
        <f>DSUM($B$157:$Y$217,F$157,$C$226:$D232)</f>
        <v>5.0098363652211999</v>
      </c>
      <c r="G232" s="61">
        <f>DSUM($B$157:$Y$217,G$157,$C$226:$D232)</f>
        <v>4.9984601224779794</v>
      </c>
      <c r="H232" s="61">
        <f>DSUM($B$157:$Y$217,H$157,$C$226:$D232)</f>
        <v>4.987109712694064</v>
      </c>
      <c r="I232" s="61">
        <f>DSUM($B$157:$Y$217,I$157,$C$226:$D232)</f>
        <v>4.9757850772084566</v>
      </c>
      <c r="J232" s="61">
        <f>DSUM($B$157:$Y$217,J$157,$C$226:$D232)</f>
        <v>4.4680375417440192</v>
      </c>
      <c r="K232" s="61">
        <f>DSUM($B$157:$Y$217,K$157,$C$226:$D232)</f>
        <v>3.566313284510791</v>
      </c>
      <c r="L232" s="61">
        <f>DSUM($B$157:$Y$217,L$157,$C$226:$D232)</f>
        <v>2.846571973590371</v>
      </c>
      <c r="M232" s="61">
        <f>DSUM($B$157:$Y$217,M$157,$C$226:$D232)</f>
        <v>2.2720864249428114</v>
      </c>
      <c r="N232" s="61">
        <f>DSUM($B$157:$Y$217,N$157,$C$226:$D232)</f>
        <v>1.8135416108583831</v>
      </c>
      <c r="O232" s="61">
        <f>DSUM($B$157:$Y$217,O$157,$C$226:$D232)</f>
        <v>1.4475387635827277</v>
      </c>
      <c r="P232" s="61">
        <f>DSUM($B$157:$Y$217,P$157,$C$226:$D232)</f>
        <v>1.1554013756998029</v>
      </c>
      <c r="Q232" s="61">
        <f>DSUM($B$157:$Y$217,Q$157,$C$226:$D232)</f>
        <v>0.92222216948783187</v>
      </c>
      <c r="R232" s="61">
        <f>DSUM($B$157:$Y$217,R$157,$C$226:$D232)</f>
        <v>0.73610240370340285</v>
      </c>
      <c r="S232" s="61">
        <f>DSUM($B$157:$Y$217,S$157,$C$226:$D232)</f>
        <v>0.58754470090309063</v>
      </c>
      <c r="T232" s="61">
        <f>DSUM($B$157:$Y$217,T$157,$C$226:$D232)</f>
        <v>0.46896841230584668</v>
      </c>
      <c r="U232" s="61">
        <f>DSUM($B$157:$Y$217,U$157,$C$226:$D232)</f>
        <v>3.1914605687210973E-3</v>
      </c>
      <c r="V232" s="61">
        <f>DSUM($B$157:$Y$217,V$157,$C$226:$D232)</f>
        <v>1.1372190927632839E-3</v>
      </c>
      <c r="W232" s="61">
        <f>DSUM($B$157:$Y$217,W$157,$C$226:$D232)</f>
        <v>3.8680797167656042E-4</v>
      </c>
      <c r="X232" s="61">
        <f>DSUM($B$157:$Y$217,X$157,$C$226:$D232)</f>
        <v>1.2584661370761493E-4</v>
      </c>
      <c r="Y232" s="61">
        <f>DSUM($B$157:$Y$217,Y$157,$C$226:$D232)</f>
        <v>43.967879288877938</v>
      </c>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row>
    <row r="233" spans="2:79">
      <c r="B233" s="57" t="s">
        <v>267</v>
      </c>
      <c r="C233" s="64" t="s">
        <v>268</v>
      </c>
      <c r="D233" s="64" t="s">
        <v>269</v>
      </c>
      <c r="E233" s="61">
        <f>DSUM($B$157:$Y$217,E$157,$C$226:$D233)</f>
        <v>5.0212384997182378</v>
      </c>
      <c r="F233" s="61">
        <f>DSUM($B$157:$Y$217,F$157,$C$226:$D233)</f>
        <v>5.0098363652211999</v>
      </c>
      <c r="G233" s="61">
        <f>DSUM($B$157:$Y$217,G$157,$C$226:$D233)</f>
        <v>4.9984601224779794</v>
      </c>
      <c r="H233" s="61">
        <f>DSUM($B$157:$Y$217,H$157,$C$226:$D233)</f>
        <v>4.987109712694064</v>
      </c>
      <c r="I233" s="61">
        <f>DSUM($B$157:$Y$217,I$157,$C$226:$D233)</f>
        <v>4.9757850772084566</v>
      </c>
      <c r="J233" s="61">
        <f>DSUM($B$157:$Y$217,J$157,$C$226:$D233)</f>
        <v>4.4680375417440192</v>
      </c>
      <c r="K233" s="61">
        <f>DSUM($B$157:$Y$217,K$157,$C$226:$D233)</f>
        <v>3.566313284510791</v>
      </c>
      <c r="L233" s="61">
        <f>DSUM($B$157:$Y$217,L$157,$C$226:$D233)</f>
        <v>2.846571973590371</v>
      </c>
      <c r="M233" s="61">
        <f>DSUM($B$157:$Y$217,M$157,$C$226:$D233)</f>
        <v>2.2720864249428114</v>
      </c>
      <c r="N233" s="61">
        <f>DSUM($B$157:$Y$217,N$157,$C$226:$D233)</f>
        <v>1.8135416108583831</v>
      </c>
      <c r="O233" s="61">
        <f>DSUM($B$157:$Y$217,O$157,$C$226:$D233)</f>
        <v>1.4475387635827277</v>
      </c>
      <c r="P233" s="61">
        <f>DSUM($B$157:$Y$217,P$157,$C$226:$D233)</f>
        <v>1.1554013756998029</v>
      </c>
      <c r="Q233" s="61">
        <f>DSUM($B$157:$Y$217,Q$157,$C$226:$D233)</f>
        <v>0.92222216948783187</v>
      </c>
      <c r="R233" s="61">
        <f>DSUM($B$157:$Y$217,R$157,$C$226:$D233)</f>
        <v>0.73610240370340285</v>
      </c>
      <c r="S233" s="61">
        <f>DSUM($B$157:$Y$217,S$157,$C$226:$D233)</f>
        <v>0.58754470090309063</v>
      </c>
      <c r="T233" s="61">
        <f>DSUM($B$157:$Y$217,T$157,$C$226:$D233)</f>
        <v>0.46896841230584668</v>
      </c>
      <c r="U233" s="61">
        <f>DSUM($B$157:$Y$217,U$157,$C$226:$D233)</f>
        <v>3.1914605687210973E-3</v>
      </c>
      <c r="V233" s="61">
        <f>DSUM($B$157:$Y$217,V$157,$C$226:$D233)</f>
        <v>1.1372190927632839E-3</v>
      </c>
      <c r="W233" s="61">
        <f>DSUM($B$157:$Y$217,W$157,$C$226:$D233)</f>
        <v>3.8680797167656042E-4</v>
      </c>
      <c r="X233" s="61">
        <f>DSUM($B$157:$Y$217,X$157,$C$226:$D233)</f>
        <v>1.2584661370761493E-4</v>
      </c>
      <c r="Y233" s="61">
        <f>DSUM($B$157:$Y$217,Y$157,$C$226:$D233)</f>
        <v>43.967879288877938</v>
      </c>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row>
    <row r="234" spans="2:79">
      <c r="B234" s="57" t="s">
        <v>270</v>
      </c>
      <c r="C234" s="64" t="s">
        <v>271</v>
      </c>
      <c r="D234" s="64" t="s">
        <v>272</v>
      </c>
      <c r="E234" s="61">
        <f>DSUM($B$157:$Y$217,E$157,$C$226:$D234)</f>
        <v>5.0212384997182378</v>
      </c>
      <c r="F234" s="61">
        <f>DSUM($B$157:$Y$217,F$157,$C$226:$D234)</f>
        <v>5.0098363652211999</v>
      </c>
      <c r="G234" s="61">
        <f>DSUM($B$157:$Y$217,G$157,$C$226:$D234)</f>
        <v>4.9984601224779794</v>
      </c>
      <c r="H234" s="61">
        <f>DSUM($B$157:$Y$217,H$157,$C$226:$D234)</f>
        <v>4.987109712694064</v>
      </c>
      <c r="I234" s="61">
        <f>DSUM($B$157:$Y$217,I$157,$C$226:$D234)</f>
        <v>4.9757850772084566</v>
      </c>
      <c r="J234" s="61">
        <f>DSUM($B$157:$Y$217,J$157,$C$226:$D234)</f>
        <v>4.4680375417440192</v>
      </c>
      <c r="K234" s="61">
        <f>DSUM($B$157:$Y$217,K$157,$C$226:$D234)</f>
        <v>3.566313284510791</v>
      </c>
      <c r="L234" s="61">
        <f>DSUM($B$157:$Y$217,L$157,$C$226:$D234)</f>
        <v>2.846571973590371</v>
      </c>
      <c r="M234" s="61">
        <f>DSUM($B$157:$Y$217,M$157,$C$226:$D234)</f>
        <v>2.2720864249428114</v>
      </c>
      <c r="N234" s="61">
        <f>DSUM($B$157:$Y$217,N$157,$C$226:$D234)</f>
        <v>1.8135416108583831</v>
      </c>
      <c r="O234" s="61">
        <f>DSUM($B$157:$Y$217,O$157,$C$226:$D234)</f>
        <v>1.4475387635827277</v>
      </c>
      <c r="P234" s="61">
        <f>DSUM($B$157:$Y$217,P$157,$C$226:$D234)</f>
        <v>1.1554013756998029</v>
      </c>
      <c r="Q234" s="61">
        <f>DSUM($B$157:$Y$217,Q$157,$C$226:$D234)</f>
        <v>0.92222216948783187</v>
      </c>
      <c r="R234" s="61">
        <f>DSUM($B$157:$Y$217,R$157,$C$226:$D234)</f>
        <v>0.73610240370340285</v>
      </c>
      <c r="S234" s="61">
        <f>DSUM($B$157:$Y$217,S$157,$C$226:$D234)</f>
        <v>0.58754470090309063</v>
      </c>
      <c r="T234" s="61">
        <f>DSUM($B$157:$Y$217,T$157,$C$226:$D234)</f>
        <v>0.46896841230584668</v>
      </c>
      <c r="U234" s="61">
        <f>DSUM($B$157:$Y$217,U$157,$C$226:$D234)</f>
        <v>3.1914605687210973E-3</v>
      </c>
      <c r="V234" s="61">
        <f>DSUM($B$157:$Y$217,V$157,$C$226:$D234)</f>
        <v>1.1372190927632839E-3</v>
      </c>
      <c r="W234" s="61">
        <f>DSUM($B$157:$Y$217,W$157,$C$226:$D234)</f>
        <v>3.8680797167656042E-4</v>
      </c>
      <c r="X234" s="61">
        <f>DSUM($B$157:$Y$217,X$157,$C$226:$D234)</f>
        <v>1.2584661370761493E-4</v>
      </c>
      <c r="Y234" s="61">
        <f>DSUM($B$157:$Y$217,Y$157,$C$226:$D234)</f>
        <v>43.967879288877938</v>
      </c>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row>
    <row r="235" spans="2:79">
      <c r="B235" s="57" t="s">
        <v>273</v>
      </c>
      <c r="C235" s="64" t="s">
        <v>274</v>
      </c>
      <c r="D235" s="64" t="s">
        <v>275</v>
      </c>
      <c r="E235" s="61">
        <f>DSUM($B$157:$Y$217,E$157,$C$226:$D235)</f>
        <v>5.4833046416238895</v>
      </c>
      <c r="F235" s="61">
        <f>DSUM($B$157:$Y$217,F$157,$C$226:$D235)</f>
        <v>5.4708532559716172</v>
      </c>
      <c r="G235" s="61">
        <f>DSUM($B$157:$Y$217,G$157,$C$226:$D235)</f>
        <v>5.4584301446930672</v>
      </c>
      <c r="H235" s="61">
        <f>DSUM($B$157:$Y$217,H$157,$C$226:$D235)</f>
        <v>5.4460352435833173</v>
      </c>
      <c r="I235" s="61">
        <f>DSUM($B$157:$Y$217,I$157,$C$226:$D235)</f>
        <v>5.4336684885832476</v>
      </c>
      <c r="J235" s="61">
        <f>DSUM($B$157:$Y$217,J$157,$C$226:$D235)</f>
        <v>4.8791968342012728</v>
      </c>
      <c r="K235" s="61">
        <f>DSUM($B$157:$Y$217,K$157,$C$226:$D235)</f>
        <v>3.8944937962098951</v>
      </c>
      <c r="L235" s="61">
        <f>DSUM($B$157:$Y$217,L$157,$C$226:$D235)</f>
        <v>3.108520202013989</v>
      </c>
      <c r="M235" s="61">
        <f>DSUM($B$157:$Y$217,M$157,$C$226:$D235)</f>
        <v>2.4811691459703908</v>
      </c>
      <c r="N235" s="61">
        <f>DSUM($B$157:$Y$217,N$157,$C$226:$D235)</f>
        <v>1.9804279627736956</v>
      </c>
      <c r="O235" s="61">
        <f>DSUM($B$157:$Y$217,O$157,$C$226:$D235)</f>
        <v>1.5807446751890137</v>
      </c>
      <c r="P235" s="61">
        <f>DSUM($B$157:$Y$217,P$157,$C$226:$D235)</f>
        <v>1.2617241197901401</v>
      </c>
      <c r="Q235" s="61">
        <f>DSUM($B$157:$Y$217,Q$157,$C$226:$D235)</f>
        <v>1.0070872162007123</v>
      </c>
      <c r="R235" s="61">
        <f>DSUM($B$157:$Y$217,R$157,$C$226:$D235)</f>
        <v>0.80384027310470574</v>
      </c>
      <c r="S235" s="61">
        <f>DSUM($B$157:$Y$217,S$157,$C$226:$D235)</f>
        <v>0.64161194211432471</v>
      </c>
      <c r="T235" s="61">
        <f>DSUM($B$157:$Y$217,T$157,$C$226:$D235)</f>
        <v>0.51212398537052806</v>
      </c>
      <c r="U235" s="61">
        <f>DSUM($B$157:$Y$217,U$157,$C$226:$D235)</f>
        <v>3.4851462544569418E-3</v>
      </c>
      <c r="V235" s="61">
        <f>DSUM($B$157:$Y$217,V$157,$C$226:$D235)</f>
        <v>1.2418686605390552E-3</v>
      </c>
      <c r="W235" s="61">
        <f>DSUM($B$157:$Y$217,W$157,$C$226:$D235)</f>
        <v>4.2240294832245528E-4</v>
      </c>
      <c r="X235" s="61">
        <f>DSUM($B$157:$Y$217,X$157,$C$226:$D235)</f>
        <v>1.3742731422025371E-4</v>
      </c>
      <c r="Y235" s="61">
        <f>DSUM($B$157:$Y$217,Y$157,$C$226:$D235)</f>
        <v>48.013906648846053</v>
      </c>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row>
    <row r="236" spans="2:79">
      <c r="B236" s="57" t="s">
        <v>276</v>
      </c>
      <c r="C236" s="64" t="s">
        <v>277</v>
      </c>
      <c r="D236" s="64" t="s">
        <v>278</v>
      </c>
      <c r="E236" s="61">
        <f>DSUM($B$157:$Y$217,E$157,$C$226:$D236)</f>
        <v>5.7367714977583226</v>
      </c>
      <c r="F236" s="61">
        <f>DSUM($B$157:$Y$217,F$157,$C$226:$D236)</f>
        <v>5.7237445443085138</v>
      </c>
      <c r="G236" s="61">
        <f>DSUM($B$157:$Y$217,G$157,$C$226:$D236)</f>
        <v>5.710747172221021</v>
      </c>
      <c r="H236" s="61">
        <f>DSUM($B$157:$Y$217,H$157,$C$226:$D236)</f>
        <v>5.697779314323034</v>
      </c>
      <c r="I236" s="61">
        <f>DSUM($B$157:$Y$217,I$157,$C$226:$D236)</f>
        <v>5.6848409035942895</v>
      </c>
      <c r="J236" s="61">
        <f>DSUM($B$157:$Y$217,J$157,$C$226:$D236)</f>
        <v>5.1047386858500294</v>
      </c>
      <c r="K236" s="61">
        <f>DSUM($B$157:$Y$217,K$157,$C$226:$D236)</f>
        <v>4.0745175525533028</v>
      </c>
      <c r="L236" s="61">
        <f>DSUM($B$157:$Y$217,L$157,$C$226:$D236)</f>
        <v>3.2522121714248877</v>
      </c>
      <c r="M236" s="61">
        <f>DSUM($B$157:$Y$217,M$157,$C$226:$D236)</f>
        <v>2.5958616870692239</v>
      </c>
      <c r="N236" s="61">
        <f>DSUM($B$157:$Y$217,N$157,$C$226:$D236)</f>
        <v>2.0719736423105357</v>
      </c>
      <c r="O236" s="61">
        <f>DSUM($B$157:$Y$217,O$157,$C$226:$D236)</f>
        <v>1.6538149146446035</v>
      </c>
      <c r="P236" s="61">
        <f>DSUM($B$157:$Y$217,P$157,$C$226:$D236)</f>
        <v>1.3200475701278329</v>
      </c>
      <c r="Q236" s="61">
        <f>DSUM($B$157:$Y$217,Q$157,$C$226:$D236)</f>
        <v>1.0536400246304798</v>
      </c>
      <c r="R236" s="61">
        <f>DSUM($B$157:$Y$217,R$157,$C$226:$D236)</f>
        <v>0.84099795085097695</v>
      </c>
      <c r="S236" s="61">
        <f>DSUM($B$157:$Y$217,S$157,$C$226:$D236)</f>
        <v>0.67127058274346607</v>
      </c>
      <c r="T236" s="61">
        <f>DSUM($B$157:$Y$217,T$157,$C$226:$D236)</f>
        <v>0.53579701924457923</v>
      </c>
      <c r="U236" s="61">
        <f>DSUM($B$157:$Y$217,U$157,$C$226:$D236)</f>
        <v>3.6462478386330645E-3</v>
      </c>
      <c r="V236" s="61">
        <f>DSUM($B$157:$Y$217,V$157,$C$226:$D236)</f>
        <v>1.2992742882930318E-3</v>
      </c>
      <c r="W236" s="61">
        <f>DSUM($B$157:$Y$217,W$157,$C$226:$D236)</f>
        <v>4.4192860927524534E-4</v>
      </c>
      <c r="X236" s="61">
        <f>DSUM($B$157:$Y$217,X$157,$C$226:$D236)</f>
        <v>1.4377991936606057E-4</v>
      </c>
      <c r="Y236" s="61">
        <f>DSUM($B$157:$Y$217,Y$157,$C$226:$D236)</f>
        <v>50.233359107612046</v>
      </c>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row>
    <row r="237" spans="2:79">
      <c r="B237" s="57" t="s">
        <v>279</v>
      </c>
      <c r="C237" s="64" t="s">
        <v>280</v>
      </c>
      <c r="D237" s="64" t="s">
        <v>281</v>
      </c>
      <c r="E237" s="61">
        <f>DSUM($B$157:$Y$217,E$157,$C$226:$D237)</f>
        <v>7.3095607766223907</v>
      </c>
      <c r="F237" s="61">
        <f>DSUM($B$157:$Y$217,F$157,$C$226:$D237)</f>
        <v>7.292962362686465</v>
      </c>
      <c r="G237" s="61">
        <f>DSUM($B$157:$Y$217,G$157,$C$226:$D237)</f>
        <v>7.2764016401185492</v>
      </c>
      <c r="H237" s="61">
        <f>DSUM($B$157:$Y$217,H$157,$C$226:$D237)</f>
        <v>7.2598785233297809</v>
      </c>
      <c r="I237" s="61">
        <f>DSUM($B$157:$Y$217,I$157,$C$226:$D237)</f>
        <v>7.2433929269256687</v>
      </c>
      <c r="J237" s="61">
        <f>DSUM($B$157:$Y$217,J$157,$C$226:$D237)</f>
        <v>6.5042502891350535</v>
      </c>
      <c r="K237" s="61">
        <f>DSUM($B$157:$Y$217,K$157,$C$226:$D237)</f>
        <v>5.191584447357009</v>
      </c>
      <c r="L237" s="61">
        <f>DSUM($B$157:$Y$217,L$157,$C$226:$D237)</f>
        <v>4.1438363955737882</v>
      </c>
      <c r="M237" s="61">
        <f>DSUM($B$157:$Y$217,M$157,$C$226:$D237)</f>
        <v>3.3075413194952019</v>
      </c>
      <c r="N237" s="61">
        <f>DSUM($B$157:$Y$217,N$157,$C$226:$D237)</f>
        <v>2.64002449320957</v>
      </c>
      <c r="O237" s="61">
        <f>DSUM($B$157:$Y$217,O$157,$C$226:$D237)</f>
        <v>2.1072236599632768</v>
      </c>
      <c r="P237" s="61">
        <f>DSUM($B$157:$Y$217,P$157,$C$226:$D237)</f>
        <v>1.6819508927020177</v>
      </c>
      <c r="Q237" s="61">
        <f>DSUM($B$157:$Y$217,Q$157,$C$226:$D237)</f>
        <v>1.3425052400514592</v>
      </c>
      <c r="R237" s="61">
        <f>DSUM($B$157:$Y$217,R$157,$C$226:$D237)</f>
        <v>1.0715653634038256</v>
      </c>
      <c r="S237" s="61">
        <f>DSUM($B$157:$Y$217,S$157,$C$226:$D237)</f>
        <v>0.85530565825036164</v>
      </c>
      <c r="T237" s="61">
        <f>DSUM($B$157:$Y$217,T$157,$C$226:$D237)</f>
        <v>0.68269075692342662</v>
      </c>
      <c r="U237" s="61">
        <f>DSUM($B$157:$Y$217,U$157,$C$226:$D237)</f>
        <v>4.6459006069059974E-3</v>
      </c>
      <c r="V237" s="61">
        <f>DSUM($B$157:$Y$217,V$157,$C$226:$D237)</f>
        <v>1.6554824223854437E-3</v>
      </c>
      <c r="W237" s="61">
        <f>DSUM($B$157:$Y$217,W$157,$C$226:$D237)</f>
        <v>5.6308744904479385E-4</v>
      </c>
      <c r="X237" s="61">
        <f>DSUM($B$157:$Y$217,X$157,$C$226:$D237)</f>
        <v>1.8319852193428974E-4</v>
      </c>
      <c r="Y237" s="61">
        <f>DSUM($B$157:$Y$217,Y$157,$C$226:$D237)</f>
        <v>64.005301859149768</v>
      </c>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row>
    <row r="238" spans="2:79">
      <c r="B238" s="57" t="s">
        <v>282</v>
      </c>
      <c r="C238" s="64" t="s">
        <v>283</v>
      </c>
      <c r="D238" s="64" t="s">
        <v>284</v>
      </c>
      <c r="E238" s="61">
        <f>DSUM($B$157:$Y$217,E$157,$C$226:$D238)</f>
        <v>7.3599608438631599</v>
      </c>
      <c r="F238" s="61">
        <f>DSUM($B$157:$Y$217,F$157,$C$226:$D238)</f>
        <v>7.3432479823969352</v>
      </c>
      <c r="G238" s="61">
        <f>DSUM($B$157:$Y$217,G$157,$C$226:$D238)</f>
        <v>7.3265730721840301</v>
      </c>
      <c r="H238" s="61">
        <f>DSUM($B$157:$Y$217,H$157,$C$226:$D238)</f>
        <v>7.3099360270454445</v>
      </c>
      <c r="I238" s="61">
        <f>DSUM($B$157:$Y$217,I$157,$C$226:$D238)</f>
        <v>7.2933367609978799</v>
      </c>
      <c r="J238" s="61">
        <f>DSUM($B$157:$Y$217,J$157,$C$226:$D238)</f>
        <v>6.5490976694279475</v>
      </c>
      <c r="K238" s="61">
        <f>DSUM($B$157:$Y$217,K$157,$C$226:$D238)</f>
        <v>5.2273808807172406</v>
      </c>
      <c r="L238" s="61">
        <f>DSUM($B$157:$Y$217,L$157,$C$226:$D238)</f>
        <v>4.1724085135647373</v>
      </c>
      <c r="M238" s="61">
        <f>DSUM($B$157:$Y$217,M$157,$C$226:$D238)</f>
        <v>3.3303471090629317</v>
      </c>
      <c r="N238" s="61">
        <f>DSUM($B$157:$Y$217,N$157,$C$226:$D238)</f>
        <v>2.6582276952953356</v>
      </c>
      <c r="O238" s="61">
        <f>DSUM($B$157:$Y$217,O$157,$C$226:$D238)</f>
        <v>2.1217531532391458</v>
      </c>
      <c r="P238" s="61">
        <f>DSUM($B$157:$Y$217,P$157,$C$226:$D238)</f>
        <v>1.6935480926813886</v>
      </c>
      <c r="Q238" s="61">
        <f>DSUM($B$157:$Y$217,Q$157,$C$226:$D238)</f>
        <v>1.3517619322710628</v>
      </c>
      <c r="R238" s="61">
        <f>DSUM($B$157:$Y$217,R$157,$C$226:$D238)</f>
        <v>1.0789539012406213</v>
      </c>
      <c r="S238" s="61">
        <f>DSUM($B$157:$Y$217,S$157,$C$226:$D238)</f>
        <v>0.86120306631694432</v>
      </c>
      <c r="T238" s="61">
        <f>DSUM($B$157:$Y$217,T$157,$C$226:$D238)</f>
        <v>0.68739796999751945</v>
      </c>
      <c r="U238" s="61">
        <f>DSUM($B$157:$Y$217,U$157,$C$226:$D238)</f>
        <v>4.6779345019836429E-3</v>
      </c>
      <c r="V238" s="61">
        <f>DSUM($B$157:$Y$217,V$157,$C$226:$D238)</f>
        <v>1.666897119923904E-3</v>
      </c>
      <c r="W238" s="61">
        <f>DSUM($B$157:$Y$217,W$157,$C$226:$D238)</f>
        <v>5.6696998674597222E-4</v>
      </c>
      <c r="X238" s="61">
        <f>DSUM($B$157:$Y$217,X$157,$C$226:$D238)</f>
        <v>1.8446169192576554E-4</v>
      </c>
      <c r="Y238" s="61">
        <f>DSUM($B$157:$Y$217,Y$157,$C$226:$D238)</f>
        <v>64.446624069341112</v>
      </c>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row>
    <row r="239" spans="2:79">
      <c r="B239" s="57" t="s">
        <v>285</v>
      </c>
      <c r="C239" s="64" t="s">
        <v>286</v>
      </c>
      <c r="D239" s="64" t="s">
        <v>287</v>
      </c>
      <c r="E239" s="61">
        <f>DSUM($B$157:$Y$217,E$157,$C$226:$D239)</f>
        <v>8.5751281361230038</v>
      </c>
      <c r="F239" s="61">
        <f>DSUM($B$157:$Y$217,F$157,$C$226:$D239)</f>
        <v>8.5556558954909576</v>
      </c>
      <c r="G239" s="61">
        <f>DSUM($B$157:$Y$217,G$157,$C$226:$D239)</f>
        <v>8.5362278720588431</v>
      </c>
      <c r="H239" s="61">
        <f>DSUM($B$157:$Y$217,H$157,$C$226:$D239)</f>
        <v>8.5168439654190706</v>
      </c>
      <c r="I239" s="61">
        <f>DSUM($B$157:$Y$217,I$157,$C$226:$D239)</f>
        <v>8.4975040753920545</v>
      </c>
      <c r="J239" s="61">
        <f>DSUM($B$157:$Y$217,J$157,$C$226:$D239)</f>
        <v>7.6303872918231157</v>
      </c>
      <c r="K239" s="61">
        <f>DSUM($B$157:$Y$217,K$157,$C$226:$D239)</f>
        <v>6.0904482808282818</v>
      </c>
      <c r="L239" s="61">
        <f>DSUM($B$157:$Y$217,L$157,$C$226:$D239)</f>
        <v>4.8612945638020788</v>
      </c>
      <c r="M239" s="61">
        <f>DSUM($B$157:$Y$217,M$157,$C$226:$D239)</f>
        <v>3.8802045016032451</v>
      </c>
      <c r="N239" s="61">
        <f>DSUM($B$157:$Y$217,N$157,$C$226:$D239)</f>
        <v>3.0971147246190771</v>
      </c>
      <c r="O239" s="61">
        <f>DSUM($B$157:$Y$217,O$157,$C$226:$D239)</f>
        <v>2.4720654835303066</v>
      </c>
      <c r="P239" s="61">
        <f>DSUM($B$157:$Y$217,P$157,$C$226:$D239)</f>
        <v>1.9731615707627852</v>
      </c>
      <c r="Q239" s="61">
        <f>DSUM($B$157:$Y$217,Q$157,$C$226:$D239)</f>
        <v>1.5749447618899728</v>
      </c>
      <c r="R239" s="61">
        <f>DSUM($B$157:$Y$217,R$157,$C$226:$D239)</f>
        <v>1.2570947254186444</v>
      </c>
      <c r="S239" s="61">
        <f>DSUM($B$157:$Y$217,S$157,$C$226:$D239)</f>
        <v>1.0033921105772583</v>
      </c>
      <c r="T239" s="61">
        <f>DSUM($B$157:$Y$217,T$157,$C$226:$D239)</f>
        <v>0.80089090122734885</v>
      </c>
      <c r="U239" s="61">
        <f>DSUM($B$157:$Y$217,U$157,$C$226:$D239)</f>
        <v>5.4502854862805445E-3</v>
      </c>
      <c r="V239" s="61">
        <f>DSUM($B$157:$Y$217,V$157,$C$226:$D239)</f>
        <v>1.9421103856823222E-3</v>
      </c>
      <c r="W239" s="61">
        <f>DSUM($B$157:$Y$217,W$157,$C$226:$D239)</f>
        <v>6.6057964013987178E-4</v>
      </c>
      <c r="X239" s="61">
        <f>DSUM($B$157:$Y$217,X$157,$C$226:$D239)</f>
        <v>2.1491726355968296E-4</v>
      </c>
      <c r="Y239" s="61">
        <f>DSUM($B$157:$Y$217,Y$157,$C$226:$D239)</f>
        <v>75.087092317338417</v>
      </c>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row>
    <row r="240" spans="2:79">
      <c r="B240" s="57" t="s">
        <v>288</v>
      </c>
      <c r="C240" s="64" t="s">
        <v>289</v>
      </c>
      <c r="D240" s="64" t="s">
        <v>290</v>
      </c>
      <c r="E240" s="61">
        <f>DSUM($B$157:$Y$217,E$157,$C$226:$D240)</f>
        <v>8.9201216957042533</v>
      </c>
      <c r="F240" s="61">
        <f>DSUM($B$157:$Y$217,F$157,$C$226:$D240)</f>
        <v>8.8998660501478675</v>
      </c>
      <c r="G240" s="61">
        <f>DSUM($B$157:$Y$217,G$157,$C$226:$D240)</f>
        <v>8.8796564007326673</v>
      </c>
      <c r="H240" s="61">
        <f>DSUM($B$157:$Y$217,H$157,$C$226:$D240)</f>
        <v>8.8594926430114782</v>
      </c>
      <c r="I240" s="61">
        <f>DSUM($B$157:$Y$217,I$157,$C$226:$D240)</f>
        <v>8.8393746727742961</v>
      </c>
      <c r="J240" s="61">
        <f>DSUM($B$157:$Y$217,J$157,$C$226:$D240)</f>
        <v>7.9373721474429821</v>
      </c>
      <c r="K240" s="61">
        <f>DSUM($B$157:$Y$217,K$157,$C$226:$D240)</f>
        <v>6.3354784889481133</v>
      </c>
      <c r="L240" s="61">
        <f>DSUM($B$157:$Y$217,L$157,$C$226:$D240)</f>
        <v>5.0568736022859637</v>
      </c>
      <c r="M240" s="61">
        <f>DSUM($B$157:$Y$217,M$157,$C$226:$D240)</f>
        <v>4.0363124386114633</v>
      </c>
      <c r="N240" s="61">
        <f>DSUM($B$157:$Y$217,N$157,$C$226:$D240)</f>
        <v>3.2217174846381149</v>
      </c>
      <c r="O240" s="61">
        <f>DSUM($B$157:$Y$217,O$157,$C$226:$D240)</f>
        <v>2.5715213350514534</v>
      </c>
      <c r="P240" s="61">
        <f>DSUM($B$157:$Y$217,P$157,$C$226:$D240)</f>
        <v>2.0525455779893118</v>
      </c>
      <c r="Q240" s="61">
        <f>DSUM($B$157:$Y$217,Q$157,$C$226:$D240)</f>
        <v>1.6383077566957764</v>
      </c>
      <c r="R240" s="61">
        <f>DSUM($B$157:$Y$217,R$157,$C$226:$D240)</f>
        <v>1.3076700144602225</v>
      </c>
      <c r="S240" s="61">
        <f>DSUM($B$157:$Y$217,S$157,$C$226:$D240)</f>
        <v>1.0437604654739696</v>
      </c>
      <c r="T240" s="61">
        <f>DSUM($B$157:$Y$217,T$157,$C$226:$D240)</f>
        <v>0.83311225098033093</v>
      </c>
      <c r="U240" s="61">
        <f>DSUM($B$157:$Y$217,U$157,$C$226:$D240)</f>
        <v>5.669560739174441E-3</v>
      </c>
      <c r="V240" s="61">
        <f>DSUM($B$157:$Y$217,V$157,$C$226:$D240)</f>
        <v>2.0202451452358025E-3</v>
      </c>
      <c r="W240" s="61">
        <f>DSUM($B$157:$Y$217,W$157,$C$226:$D240)</f>
        <v>6.8715600352722882E-4</v>
      </c>
      <c r="X240" s="61">
        <f>DSUM($B$157:$Y$217,X$157,$C$226:$D240)</f>
        <v>2.2356378995484874E-4</v>
      </c>
      <c r="Y240" s="61">
        <f>DSUM($B$157:$Y$217,Y$157,$C$226:$D240)</f>
        <v>78.107987497672866</v>
      </c>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row>
    <row r="241" spans="2:79">
      <c r="B241" s="57" t="s">
        <v>291</v>
      </c>
      <c r="C241" s="64" t="s">
        <v>292</v>
      </c>
      <c r="D241" s="64" t="s">
        <v>293</v>
      </c>
      <c r="E241" s="61">
        <f>DSUM($B$157:$Y$217,E$157,$C$226:$D241)</f>
        <v>8.9201216957042533</v>
      </c>
      <c r="F241" s="61">
        <f>DSUM($B$157:$Y$217,F$157,$C$226:$D241)</f>
        <v>8.8998660501478675</v>
      </c>
      <c r="G241" s="61">
        <f>DSUM($B$157:$Y$217,G$157,$C$226:$D241)</f>
        <v>8.8796564007326673</v>
      </c>
      <c r="H241" s="61">
        <f>DSUM($B$157:$Y$217,H$157,$C$226:$D241)</f>
        <v>8.8594926430114782</v>
      </c>
      <c r="I241" s="61">
        <f>DSUM($B$157:$Y$217,I$157,$C$226:$D241)</f>
        <v>8.8393746727742961</v>
      </c>
      <c r="J241" s="61">
        <f>DSUM($B$157:$Y$217,J$157,$C$226:$D241)</f>
        <v>7.9373721474429821</v>
      </c>
      <c r="K241" s="61">
        <f>DSUM($B$157:$Y$217,K$157,$C$226:$D241)</f>
        <v>6.3354784889481133</v>
      </c>
      <c r="L241" s="61">
        <f>DSUM($B$157:$Y$217,L$157,$C$226:$D241)</f>
        <v>5.0568736022859637</v>
      </c>
      <c r="M241" s="61">
        <f>DSUM($B$157:$Y$217,M$157,$C$226:$D241)</f>
        <v>4.0363124386114633</v>
      </c>
      <c r="N241" s="61">
        <f>DSUM($B$157:$Y$217,N$157,$C$226:$D241)</f>
        <v>3.2217174846381149</v>
      </c>
      <c r="O241" s="61">
        <f>DSUM($B$157:$Y$217,O$157,$C$226:$D241)</f>
        <v>2.5715213350514534</v>
      </c>
      <c r="P241" s="61">
        <f>DSUM($B$157:$Y$217,P$157,$C$226:$D241)</f>
        <v>2.0525455779893118</v>
      </c>
      <c r="Q241" s="61">
        <f>DSUM($B$157:$Y$217,Q$157,$C$226:$D241)</f>
        <v>1.6383077566957764</v>
      </c>
      <c r="R241" s="61">
        <f>DSUM($B$157:$Y$217,R$157,$C$226:$D241)</f>
        <v>1.3076700144602225</v>
      </c>
      <c r="S241" s="61">
        <f>DSUM($B$157:$Y$217,S$157,$C$226:$D241)</f>
        <v>1.0437604654739696</v>
      </c>
      <c r="T241" s="61">
        <f>DSUM($B$157:$Y$217,T$157,$C$226:$D241)</f>
        <v>0.83311225098033093</v>
      </c>
      <c r="U241" s="61">
        <f>DSUM($B$157:$Y$217,U$157,$C$226:$D241)</f>
        <v>5.669560739174441E-3</v>
      </c>
      <c r="V241" s="61">
        <f>DSUM($B$157:$Y$217,V$157,$C$226:$D241)</f>
        <v>2.0202451452358025E-3</v>
      </c>
      <c r="W241" s="61">
        <f>DSUM($B$157:$Y$217,W$157,$C$226:$D241)</f>
        <v>6.8715600352722882E-4</v>
      </c>
      <c r="X241" s="61">
        <f>DSUM($B$157:$Y$217,X$157,$C$226:$D241)</f>
        <v>2.2356378995484874E-4</v>
      </c>
      <c r="Y241" s="61">
        <f>DSUM($B$157:$Y$217,Y$157,$C$226:$D241)</f>
        <v>78.107987497672866</v>
      </c>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row>
    <row r="242" spans="2:79">
      <c r="B242" s="57" t="s">
        <v>294</v>
      </c>
      <c r="C242" s="64" t="s">
        <v>295</v>
      </c>
      <c r="D242" s="64" t="s">
        <v>296</v>
      </c>
      <c r="E242" s="61">
        <f>DSUM($B$157:$Y$217,E$157,$C$226:$D242)</f>
        <v>8.9201216957042533</v>
      </c>
      <c r="F242" s="61">
        <f>DSUM($B$157:$Y$217,F$157,$C$226:$D242)</f>
        <v>8.8998660501478675</v>
      </c>
      <c r="G242" s="61">
        <f>DSUM($B$157:$Y$217,G$157,$C$226:$D242)</f>
        <v>8.8796564007326673</v>
      </c>
      <c r="H242" s="61">
        <f>DSUM($B$157:$Y$217,H$157,$C$226:$D242)</f>
        <v>8.8594926430114782</v>
      </c>
      <c r="I242" s="61">
        <f>DSUM($B$157:$Y$217,I$157,$C$226:$D242)</f>
        <v>8.8393746727742961</v>
      </c>
      <c r="J242" s="61">
        <f>DSUM($B$157:$Y$217,J$157,$C$226:$D242)</f>
        <v>7.9373721474429821</v>
      </c>
      <c r="K242" s="61">
        <f>DSUM($B$157:$Y$217,K$157,$C$226:$D242)</f>
        <v>6.3354784889481133</v>
      </c>
      <c r="L242" s="61">
        <f>DSUM($B$157:$Y$217,L$157,$C$226:$D242)</f>
        <v>5.0568736022859637</v>
      </c>
      <c r="M242" s="61">
        <f>DSUM($B$157:$Y$217,M$157,$C$226:$D242)</f>
        <v>4.0363124386114633</v>
      </c>
      <c r="N242" s="61">
        <f>DSUM($B$157:$Y$217,N$157,$C$226:$D242)</f>
        <v>3.2217174846381149</v>
      </c>
      <c r="O242" s="61">
        <f>DSUM($B$157:$Y$217,O$157,$C$226:$D242)</f>
        <v>2.5715213350514534</v>
      </c>
      <c r="P242" s="61">
        <f>DSUM($B$157:$Y$217,P$157,$C$226:$D242)</f>
        <v>2.0525455779893118</v>
      </c>
      <c r="Q242" s="61">
        <f>DSUM($B$157:$Y$217,Q$157,$C$226:$D242)</f>
        <v>1.6383077566957764</v>
      </c>
      <c r="R242" s="61">
        <f>DSUM($B$157:$Y$217,R$157,$C$226:$D242)</f>
        <v>1.3076700144602225</v>
      </c>
      <c r="S242" s="61">
        <f>DSUM($B$157:$Y$217,S$157,$C$226:$D242)</f>
        <v>1.0437604654739696</v>
      </c>
      <c r="T242" s="61">
        <f>DSUM($B$157:$Y$217,T$157,$C$226:$D242)</f>
        <v>0.83311225098033093</v>
      </c>
      <c r="U242" s="61">
        <f>DSUM($B$157:$Y$217,U$157,$C$226:$D242)</f>
        <v>5.669560739174441E-3</v>
      </c>
      <c r="V242" s="61">
        <f>DSUM($B$157:$Y$217,V$157,$C$226:$D242)</f>
        <v>2.0202451452358025E-3</v>
      </c>
      <c r="W242" s="61">
        <f>DSUM($B$157:$Y$217,W$157,$C$226:$D242)</f>
        <v>6.8715600352722882E-4</v>
      </c>
      <c r="X242" s="61">
        <f>DSUM($B$157:$Y$217,X$157,$C$226:$D242)</f>
        <v>2.2356378995484874E-4</v>
      </c>
      <c r="Y242" s="61">
        <f>DSUM($B$157:$Y$217,Y$157,$C$226:$D242)</f>
        <v>78.107987497672866</v>
      </c>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row>
    <row r="243" spans="2:79">
      <c r="B243" s="57" t="s">
        <v>297</v>
      </c>
      <c r="C243" s="64" t="s">
        <v>298</v>
      </c>
      <c r="D243" s="64" t="s">
        <v>299</v>
      </c>
      <c r="E243" s="61">
        <f>DSUM($B$157:$Y$217,E$157,$C$226:$D243)</f>
        <v>8.9201216957042533</v>
      </c>
      <c r="F243" s="61">
        <f>DSUM($B$157:$Y$217,F$157,$C$226:$D243)</f>
        <v>8.8998660501478675</v>
      </c>
      <c r="G243" s="61">
        <f>DSUM($B$157:$Y$217,G$157,$C$226:$D243)</f>
        <v>8.8796564007326673</v>
      </c>
      <c r="H243" s="61">
        <f>DSUM($B$157:$Y$217,H$157,$C$226:$D243)</f>
        <v>8.8594926430114782</v>
      </c>
      <c r="I243" s="61">
        <f>DSUM($B$157:$Y$217,I$157,$C$226:$D243)</f>
        <v>8.8393746727742961</v>
      </c>
      <c r="J243" s="61">
        <f>DSUM($B$157:$Y$217,J$157,$C$226:$D243)</f>
        <v>7.9373721474429821</v>
      </c>
      <c r="K243" s="61">
        <f>DSUM($B$157:$Y$217,K$157,$C$226:$D243)</f>
        <v>6.3354784889481133</v>
      </c>
      <c r="L243" s="61">
        <f>DSUM($B$157:$Y$217,L$157,$C$226:$D243)</f>
        <v>5.0568736022859637</v>
      </c>
      <c r="M243" s="61">
        <f>DSUM($B$157:$Y$217,M$157,$C$226:$D243)</f>
        <v>4.0363124386114633</v>
      </c>
      <c r="N243" s="61">
        <f>DSUM($B$157:$Y$217,N$157,$C$226:$D243)</f>
        <v>3.2217174846381149</v>
      </c>
      <c r="O243" s="61">
        <f>DSUM($B$157:$Y$217,O$157,$C$226:$D243)</f>
        <v>2.5715213350514534</v>
      </c>
      <c r="P243" s="61">
        <f>DSUM($B$157:$Y$217,P$157,$C$226:$D243)</f>
        <v>2.0525455779893118</v>
      </c>
      <c r="Q243" s="61">
        <f>DSUM($B$157:$Y$217,Q$157,$C$226:$D243)</f>
        <v>1.6383077566957764</v>
      </c>
      <c r="R243" s="61">
        <f>DSUM($B$157:$Y$217,R$157,$C$226:$D243)</f>
        <v>1.3076700144602225</v>
      </c>
      <c r="S243" s="61">
        <f>DSUM($B$157:$Y$217,S$157,$C$226:$D243)</f>
        <v>1.0437604654739696</v>
      </c>
      <c r="T243" s="61">
        <f>DSUM($B$157:$Y$217,T$157,$C$226:$D243)</f>
        <v>0.83311225098033093</v>
      </c>
      <c r="U243" s="61">
        <f>DSUM($B$157:$Y$217,U$157,$C$226:$D243)</f>
        <v>5.669560739174441E-3</v>
      </c>
      <c r="V243" s="61">
        <f>DSUM($B$157:$Y$217,V$157,$C$226:$D243)</f>
        <v>2.0202451452358025E-3</v>
      </c>
      <c r="W243" s="61">
        <f>DSUM($B$157:$Y$217,W$157,$C$226:$D243)</f>
        <v>6.8715600352722882E-4</v>
      </c>
      <c r="X243" s="61">
        <f>DSUM($B$157:$Y$217,X$157,$C$226:$D243)</f>
        <v>2.2356378995484874E-4</v>
      </c>
      <c r="Y243" s="61">
        <f>DSUM($B$157:$Y$217,Y$157,$C$226:$D243)</f>
        <v>78.107987497672866</v>
      </c>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row>
    <row r="244" spans="2:79">
      <c r="B244" s="57" t="s">
        <v>300</v>
      </c>
      <c r="C244" s="64" t="s">
        <v>301</v>
      </c>
      <c r="D244" s="64" t="s">
        <v>302</v>
      </c>
      <c r="E244" s="61">
        <f>DSUM($B$157:$Y$217,E$157,$C$226:$D244)</f>
        <v>11.763676208791564</v>
      </c>
      <c r="F244" s="61">
        <f>DSUM($B$157:$Y$217,F$157,$C$226:$D244)</f>
        <v>11.73696347281621</v>
      </c>
      <c r="G244" s="61">
        <f>DSUM($B$157:$Y$217,G$157,$C$226:$D244)</f>
        <v>11.710311395622231</v>
      </c>
      <c r="H244" s="61">
        <f>DSUM($B$157:$Y$217,H$157,$C$226:$D244)</f>
        <v>11.6837198394668</v>
      </c>
      <c r="I244" s="61">
        <f>DSUM($B$157:$Y$217,I$157,$C$226:$D244)</f>
        <v>11.657188666919872</v>
      </c>
      <c r="J244" s="61">
        <f>DSUM($B$157:$Y$217,J$157,$C$226:$D244)</f>
        <v>10.467645966777132</v>
      </c>
      <c r="K244" s="61">
        <f>DSUM($B$157:$Y$217,K$157,$C$226:$D244)</f>
        <v>8.3551009856335305</v>
      </c>
      <c r="L244" s="61">
        <f>DSUM($B$157:$Y$217,L$157,$C$226:$D244)</f>
        <v>6.6689027028325638</v>
      </c>
      <c r="M244" s="61">
        <f>DSUM($B$157:$Y$217,M$157,$C$226:$D244)</f>
        <v>5.3230072666171608</v>
      </c>
      <c r="N244" s="61">
        <f>DSUM($B$157:$Y$217,N$157,$C$226:$D244)</f>
        <v>4.2487359049974271</v>
      </c>
      <c r="O244" s="61">
        <f>DSUM($B$157:$Y$217,O$157,$C$226:$D244)</f>
        <v>3.3912703639584585</v>
      </c>
      <c r="P244" s="61">
        <f>DSUM($B$157:$Y$217,P$157,$C$226:$D244)</f>
        <v>2.7068556245013071</v>
      </c>
      <c r="Q244" s="61">
        <f>DSUM($B$157:$Y$217,Q$157,$C$226:$D244)</f>
        <v>2.1605671578900134</v>
      </c>
      <c r="R244" s="61">
        <f>DSUM($B$157:$Y$217,R$157,$C$226:$D244)</f>
        <v>1.7245287859092751</v>
      </c>
      <c r="S244" s="61">
        <f>DSUM($B$157:$Y$217,S$157,$C$226:$D244)</f>
        <v>1.3764902065502536</v>
      </c>
      <c r="T244" s="61">
        <f>DSUM($B$157:$Y$217,T$157,$C$226:$D244)</f>
        <v>1.098691598661687</v>
      </c>
      <c r="U244" s="61">
        <f>DSUM($B$157:$Y$217,U$157,$C$226:$D244)</f>
        <v>7.476902116015296E-3</v>
      </c>
      <c r="V244" s="61">
        <f>DSUM($B$157:$Y$217,V$157,$C$226:$D244)</f>
        <v>2.6642584666061279E-3</v>
      </c>
      <c r="W244" s="61">
        <f>DSUM($B$157:$Y$217,W$157,$C$226:$D244)</f>
        <v>9.0620744942464086E-4</v>
      </c>
      <c r="X244" s="61">
        <f>DSUM($B$157:$Y$217,X$157,$C$226:$D244)</f>
        <v>2.9483140777167305E-4</v>
      </c>
      <c r="Y244" s="61">
        <f>DSUM($B$157:$Y$217,Y$157,$C$226:$D244)</f>
        <v>103.00723528082091</v>
      </c>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row>
    <row r="245" spans="2:79">
      <c r="B245" s="57" t="s">
        <v>303</v>
      </c>
      <c r="C245" s="64" t="s">
        <v>304</v>
      </c>
      <c r="D245" s="64" t="s">
        <v>305</v>
      </c>
      <c r="E245" s="61">
        <f>DSUM($B$157:$Y$217,E$157,$C$226:$D245)</f>
        <v>12.92816139338934</v>
      </c>
      <c r="F245" s="61">
        <f>DSUM($B$157:$Y$217,F$157,$C$226:$D245)</f>
        <v>12.89880436623058</v>
      </c>
      <c r="G245" s="61">
        <f>DSUM($B$157:$Y$217,G$157,$C$226:$D245)</f>
        <v>12.86951400246017</v>
      </c>
      <c r="H245" s="61">
        <f>DSUM($B$157:$Y$217,H$157,$C$226:$D245)</f>
        <v>12.840290150700131</v>
      </c>
      <c r="I245" s="61">
        <f>DSUM($B$157:$Y$217,I$157,$C$226:$D245)</f>
        <v>12.811132659916238</v>
      </c>
      <c r="J245" s="61">
        <f>DSUM($B$157:$Y$217,J$157,$C$226:$D245)</f>
        <v>11.503837241475503</v>
      </c>
      <c r="K245" s="61">
        <f>DSUM($B$157:$Y$217,K$157,$C$226:$D245)</f>
        <v>9.1821716343748925</v>
      </c>
      <c r="L245" s="61">
        <f>DSUM($B$157:$Y$217,L$157,$C$226:$D245)</f>
        <v>7.3290567445741068</v>
      </c>
      <c r="M245" s="61">
        <f>DSUM($B$157:$Y$217,M$157,$C$226:$D245)</f>
        <v>5.8499312476469596</v>
      </c>
      <c r="N245" s="61">
        <f>DSUM($B$157:$Y$217,N$157,$C$226:$D245)</f>
        <v>4.6693178665223929</v>
      </c>
      <c r="O245" s="61">
        <f>DSUM($B$157:$Y$217,O$157,$C$226:$D245)</f>
        <v>3.7269718934551466</v>
      </c>
      <c r="P245" s="61">
        <f>DSUM($B$157:$Y$217,P$157,$C$226:$D245)</f>
        <v>2.9748070042937242</v>
      </c>
      <c r="Q245" s="61">
        <f>DSUM($B$157:$Y$217,Q$157,$C$226:$D245)</f>
        <v>2.3744414945375283</v>
      </c>
      <c r="R245" s="61">
        <f>DSUM($B$157:$Y$217,R$157,$C$226:$D245)</f>
        <v>1.8952397257516116</v>
      </c>
      <c r="S245" s="61">
        <f>DSUM($B$157:$Y$217,S$157,$C$226:$D245)</f>
        <v>1.5127488406559575</v>
      </c>
      <c r="T245" s="61">
        <f>DSUM($B$157:$Y$217,T$157,$C$226:$D245)</f>
        <v>1.2074509750994213</v>
      </c>
      <c r="U245" s="61">
        <f>DSUM($B$157:$Y$217,U$157,$C$226:$D245)</f>
        <v>8.2170399425121367E-3</v>
      </c>
      <c r="V245" s="61">
        <f>DSUM($B$157:$Y$217,V$157,$C$226:$D245)</f>
        <v>2.9279931578060927E-3</v>
      </c>
      <c r="W245" s="61">
        <f>DSUM($B$157:$Y$217,W$157,$C$226:$D245)</f>
        <v>9.9591283830966306E-4</v>
      </c>
      <c r="X245" s="61">
        <f>DSUM($B$157:$Y$217,X$157,$C$226:$D245)</f>
        <v>3.2401674067361348E-4</v>
      </c>
      <c r="Y245" s="61">
        <f>DSUM($B$157:$Y$217,Y$157,$C$226:$D245)</f>
        <v>113.20391166513421</v>
      </c>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row>
    <row r="246" spans="2:79">
      <c r="B246" s="57" t="s">
        <v>306</v>
      </c>
      <c r="C246" s="64" t="s">
        <v>307</v>
      </c>
      <c r="D246" s="64" t="s">
        <v>308</v>
      </c>
      <c r="E246" s="61">
        <f>DSUM($B$157:$Y$217,E$157,$C$226:$D246)</f>
        <v>12.964189303130917</v>
      </c>
      <c r="F246" s="61">
        <f>DSUM($B$157:$Y$217,F$157,$C$226:$D246)</f>
        <v>12.934750464468374</v>
      </c>
      <c r="G246" s="61">
        <f>DSUM($B$157:$Y$217,G$157,$C$226:$D246)</f>
        <v>12.905378474970211</v>
      </c>
      <c r="H246" s="61">
        <f>DSUM($B$157:$Y$217,H$157,$C$226:$D246)</f>
        <v>12.876073182836599</v>
      </c>
      <c r="I246" s="61">
        <f>DSUM($B$157:$Y$217,I$157,$C$226:$D246)</f>
        <v>12.84683443661241</v>
      </c>
      <c r="J246" s="61">
        <f>DSUM($B$157:$Y$217,J$157,$C$226:$D246)</f>
        <v>11.535895876667791</v>
      </c>
      <c r="K246" s="61">
        <f>DSUM($B$157:$Y$217,K$157,$C$226:$D246)</f>
        <v>9.2077603040092377</v>
      </c>
      <c r="L246" s="61">
        <f>DSUM($B$157:$Y$217,L$157,$C$226:$D246)</f>
        <v>7.3494811952635493</v>
      </c>
      <c r="M246" s="61">
        <f>DSUM($B$157:$Y$217,M$157,$C$226:$D246)</f>
        <v>5.8662337046299324</v>
      </c>
      <c r="N246" s="61">
        <f>DSUM($B$157:$Y$217,N$157,$C$226:$D246)</f>
        <v>4.6823302166571787</v>
      </c>
      <c r="O246" s="61">
        <f>DSUM($B$157:$Y$217,O$157,$C$226:$D246)</f>
        <v>3.7373581350018736</v>
      </c>
      <c r="P246" s="61">
        <f>DSUM($B$157:$Y$217,P$157,$C$226:$D246)</f>
        <v>2.9830971296246256</v>
      </c>
      <c r="Q246" s="61">
        <f>DSUM($B$157:$Y$217,Q$157,$C$226:$D246)</f>
        <v>2.381058534752976</v>
      </c>
      <c r="R246" s="61">
        <f>DSUM($B$157:$Y$217,R$157,$C$226:$D246)</f>
        <v>1.9005213372430143</v>
      </c>
      <c r="S246" s="61">
        <f>DSUM($B$157:$Y$217,S$157,$C$226:$D246)</f>
        <v>1.5169645351413852</v>
      </c>
      <c r="T246" s="61">
        <f>DSUM($B$157:$Y$217,T$157,$C$226:$D246)</f>
        <v>1.210815872351594</v>
      </c>
      <c r="U246" s="61">
        <f>DSUM($B$157:$Y$217,U$157,$C$226:$D246)</f>
        <v>8.2399390048291596E-3</v>
      </c>
      <c r="V246" s="61">
        <f>DSUM($B$157:$Y$217,V$157,$C$226:$D246)</f>
        <v>2.936152823361269E-3</v>
      </c>
      <c r="W246" s="61">
        <f>DSUM($B$157:$Y$217,W$157,$C$226:$D246)</f>
        <v>9.9868822583440778E-4</v>
      </c>
      <c r="X246" s="61">
        <f>DSUM($B$157:$Y$217,X$157,$C$226:$D246)</f>
        <v>3.2491970324752739E-4</v>
      </c>
      <c r="Y246" s="61">
        <f>DSUM($B$157:$Y$217,Y$157,$C$226:$D246)</f>
        <v>113.51938578305098</v>
      </c>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row>
    <row r="247" spans="2:79">
      <c r="B247" s="57" t="s">
        <v>309</v>
      </c>
      <c r="C247" s="64" t="s">
        <v>310</v>
      </c>
      <c r="D247" s="64" t="s">
        <v>311</v>
      </c>
      <c r="E247" s="61">
        <f>DSUM($B$157:$Y$217,E$157,$C$226:$D247)</f>
        <v>12.984387790464288</v>
      </c>
      <c r="F247" s="61">
        <f>DSUM($B$157:$Y$217,F$157,$C$226:$D247)</f>
        <v>12.954903085454385</v>
      </c>
      <c r="G247" s="61">
        <f>DSUM($B$157:$Y$217,G$157,$C$226:$D247)</f>
        <v>12.925485333761303</v>
      </c>
      <c r="H247" s="61">
        <f>DSUM($B$157:$Y$217,H$157,$C$226:$D247)</f>
        <v>12.896134383348711</v>
      </c>
      <c r="I247" s="61">
        <f>DSUM($B$157:$Y$217,I$157,$C$226:$D247)</f>
        <v>12.866850082525508</v>
      </c>
      <c r="J247" s="61">
        <f>DSUM($B$157:$Y$217,J$157,$C$226:$D247)</f>
        <v>11.553869051950544</v>
      </c>
      <c r="K247" s="61">
        <f>DSUM($B$157:$Y$217,K$157,$C$226:$D247)</f>
        <v>9.2221061937151472</v>
      </c>
      <c r="L247" s="61">
        <f>DSUM($B$157:$Y$217,L$157,$C$226:$D247)</f>
        <v>7.3609318459257951</v>
      </c>
      <c r="M247" s="61">
        <f>DSUM($B$157:$Y$217,M$157,$C$226:$D247)</f>
        <v>5.8753734236209958</v>
      </c>
      <c r="N247" s="61">
        <f>DSUM($B$157:$Y$217,N$157,$C$226:$D247)</f>
        <v>4.6896253884076389</v>
      </c>
      <c r="O247" s="61">
        <f>DSUM($B$157:$Y$217,O$157,$C$226:$D247)</f>
        <v>3.743181019810558</v>
      </c>
      <c r="P247" s="61">
        <f>DSUM($B$157:$Y$217,P$157,$C$226:$D247)</f>
        <v>2.9877448594732159</v>
      </c>
      <c r="Q247" s="61">
        <f>DSUM($B$157:$Y$217,Q$157,$C$226:$D247)</f>
        <v>2.3847682754494195</v>
      </c>
      <c r="R247" s="61">
        <f>DSUM($B$157:$Y$217,R$157,$C$226:$D247)</f>
        <v>1.9034823905923228</v>
      </c>
      <c r="S247" s="61">
        <f>DSUM($B$157:$Y$217,S$157,$C$226:$D247)</f>
        <v>1.5193279986971686</v>
      </c>
      <c r="T247" s="61">
        <f>DSUM($B$157:$Y$217,T$157,$C$226:$D247)</f>
        <v>1.2127023496691409</v>
      </c>
      <c r="U247" s="61">
        <f>DSUM($B$157:$Y$217,U$157,$C$226:$D247)</f>
        <v>8.2527770080181913E-3</v>
      </c>
      <c r="V247" s="61">
        <f>DSUM($B$157:$Y$217,V$157,$C$226:$D247)</f>
        <v>2.9407274129653548E-3</v>
      </c>
      <c r="W247" s="61">
        <f>DSUM($B$157:$Y$217,W$157,$C$226:$D247)</f>
        <v>1.0002442036906268E-3</v>
      </c>
      <c r="X247" s="61">
        <f>DSUM($B$157:$Y$217,X$157,$C$226:$D247)</f>
        <v>3.2542593517279116E-4</v>
      </c>
      <c r="Y247" s="61">
        <f>DSUM($B$157:$Y$217,Y$157,$C$226:$D247)</f>
        <v>113.69625144138237</v>
      </c>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row>
    <row r="248" spans="2:79">
      <c r="B248" s="27" t="s">
        <v>1376</v>
      </c>
      <c r="C248" s="346" t="s">
        <v>312</v>
      </c>
      <c r="D248" s="346" t="s">
        <v>1377</v>
      </c>
      <c r="E248" s="61">
        <f>DSUM($B$157:$Y$217,E$157,$C$226:$D248)</f>
        <v>13.517710532088312</v>
      </c>
      <c r="F248" s="61">
        <f>DSUM($B$157:$Y$217,F$157,$C$226:$D248)</f>
        <v>13.487014767768903</v>
      </c>
      <c r="G248" s="61">
        <f>DSUM($B$157:$Y$217,G$157,$C$226:$D248)</f>
        <v>13.456388706817153</v>
      </c>
      <c r="H248" s="61">
        <f>DSUM($B$157:$Y$217,H$157,$C$226:$D248)</f>
        <v>13.425832190951963</v>
      </c>
      <c r="I248" s="61">
        <f>DSUM($B$157:$Y$217,I$157,$C$226:$D248)</f>
        <v>13.395345062251648</v>
      </c>
      <c r="J248" s="61">
        <f>DSUM($B$157:$Y$217,J$157,$C$226:$D248)</f>
        <v>12.028434446837821</v>
      </c>
      <c r="K248" s="61">
        <f>DSUM($B$157:$Y$217,K$157,$C$226:$D248)</f>
        <v>9.6008964022448158</v>
      </c>
      <c r="L248" s="61">
        <f>DSUM($B$157:$Y$217,L$157,$C$226:$D248)</f>
        <v>7.6632758929712628</v>
      </c>
      <c r="M248" s="61">
        <f>DSUM($B$157:$Y$217,M$157,$C$226:$D248)</f>
        <v>6.1166994154903769</v>
      </c>
      <c r="N248" s="61">
        <f>DSUM($B$157:$Y$217,N$157,$C$226:$D248)</f>
        <v>4.8822477830631632</v>
      </c>
      <c r="O248" s="61">
        <f>DSUM($B$157:$Y$217,O$157,$C$226:$D248)</f>
        <v>3.8969290128693044</v>
      </c>
      <c r="P248" s="61">
        <f>DSUM($B$157:$Y$217,P$157,$C$226:$D248)</f>
        <v>3.1104639514659516</v>
      </c>
      <c r="Q248" s="61">
        <f>DSUM($B$157:$Y$217,Q$157,$C$226:$D248)</f>
        <v>2.4827206144680312</v>
      </c>
      <c r="R248" s="61">
        <f>DSUM($B$157:$Y$217,R$157,$C$226:$D248)</f>
        <v>1.9816663191352832</v>
      </c>
      <c r="S248" s="61">
        <f>DSUM($B$157:$Y$217,S$157,$C$226:$D248)</f>
        <v>1.5817331106491077</v>
      </c>
      <c r="T248" s="61">
        <f>DSUM($B$157:$Y$217,T$157,$C$226:$D248)</f>
        <v>1.2625130725416065</v>
      </c>
      <c r="U248" s="61">
        <f>DSUM($B$157:$Y$217,U$157,$C$226:$D248)</f>
        <v>8.5917528404529202E-3</v>
      </c>
      <c r="V248" s="61">
        <f>DSUM($B$157:$Y$217,V$157,$C$226:$D248)</f>
        <v>3.0615153031270615E-3</v>
      </c>
      <c r="W248" s="61">
        <f>DSUM($B$157:$Y$217,W$157,$C$226:$D248)</f>
        <v>1.0413283879906054E-3</v>
      </c>
      <c r="X248" s="61">
        <f>DSUM($B$157:$Y$217,X$157,$C$226:$D248)</f>
        <v>3.3879253009761118E-4</v>
      </c>
      <c r="Y248" s="61">
        <f>DSUM($B$157:$Y$217,Y$157,$C$226:$D248)</f>
        <v>118.36622876411946</v>
      </c>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row>
    <row r="249" spans="2:79">
      <c r="B249" s="27" t="s">
        <v>1378</v>
      </c>
      <c r="C249" s="346" t="s">
        <v>1379</v>
      </c>
      <c r="D249" s="346" t="s">
        <v>1380</v>
      </c>
      <c r="E249" s="61">
        <f>DSUM($B$157:$Y$217,E$157,$C$226:$D249)</f>
        <v>13.517710532088312</v>
      </c>
      <c r="F249" s="61">
        <f>DSUM($B$157:$Y$217,F$157,$C$226:$D249)</f>
        <v>13.487014767768903</v>
      </c>
      <c r="G249" s="61">
        <f>DSUM($B$157:$Y$217,G$157,$C$226:$D249)</f>
        <v>13.456388706817153</v>
      </c>
      <c r="H249" s="61">
        <f>DSUM($B$157:$Y$217,H$157,$C$226:$D249)</f>
        <v>13.425832190951963</v>
      </c>
      <c r="I249" s="61">
        <f>DSUM($B$157:$Y$217,I$157,$C$226:$D249)</f>
        <v>13.395345062251648</v>
      </c>
      <c r="J249" s="61">
        <f>DSUM($B$157:$Y$217,J$157,$C$226:$D249)</f>
        <v>12.028434446837821</v>
      </c>
      <c r="K249" s="61">
        <f>DSUM($B$157:$Y$217,K$157,$C$226:$D249)</f>
        <v>9.6008964022448158</v>
      </c>
      <c r="L249" s="61">
        <f>DSUM($B$157:$Y$217,L$157,$C$226:$D249)</f>
        <v>7.6632758929712628</v>
      </c>
      <c r="M249" s="61">
        <f>DSUM($B$157:$Y$217,M$157,$C$226:$D249)</f>
        <v>6.1166994154903769</v>
      </c>
      <c r="N249" s="61">
        <f>DSUM($B$157:$Y$217,N$157,$C$226:$D249)</f>
        <v>4.8822477830631632</v>
      </c>
      <c r="O249" s="61">
        <f>DSUM($B$157:$Y$217,O$157,$C$226:$D249)</f>
        <v>3.8969290128693044</v>
      </c>
      <c r="P249" s="61">
        <f>DSUM($B$157:$Y$217,P$157,$C$226:$D249)</f>
        <v>3.1104639514659516</v>
      </c>
      <c r="Q249" s="61">
        <f>DSUM($B$157:$Y$217,Q$157,$C$226:$D249)</f>
        <v>2.4827206144680312</v>
      </c>
      <c r="R249" s="61">
        <f>DSUM($B$157:$Y$217,R$157,$C$226:$D249)</f>
        <v>1.9816663191352832</v>
      </c>
      <c r="S249" s="61">
        <f>DSUM($B$157:$Y$217,S$157,$C$226:$D249)</f>
        <v>1.5817331106491077</v>
      </c>
      <c r="T249" s="61">
        <f>DSUM($B$157:$Y$217,T$157,$C$226:$D249)</f>
        <v>1.2625130725416065</v>
      </c>
      <c r="U249" s="61">
        <f>DSUM($B$157:$Y$217,U$157,$C$226:$D249)</f>
        <v>8.5917528404529202E-3</v>
      </c>
      <c r="V249" s="61">
        <f>DSUM($B$157:$Y$217,V$157,$C$226:$D249)</f>
        <v>3.0615153031270615E-3</v>
      </c>
      <c r="W249" s="61">
        <f>DSUM($B$157:$Y$217,W$157,$C$226:$D249)</f>
        <v>1.0413283879906054E-3</v>
      </c>
      <c r="X249" s="61">
        <f>DSUM($B$157:$Y$217,X$157,$C$226:$D249)</f>
        <v>3.3879253009761118E-4</v>
      </c>
      <c r="Y249" s="61">
        <f>DSUM($B$157:$Y$217,Y$157,$C$226:$D249)</f>
        <v>118.36622876411946</v>
      </c>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row>
    <row r="250" spans="2:79">
      <c r="B250" s="27" t="s">
        <v>1381</v>
      </c>
      <c r="C250" s="346" t="s">
        <v>1382</v>
      </c>
      <c r="D250" s="346" t="s">
        <v>1383</v>
      </c>
      <c r="E250" s="61">
        <f>DSUM($B$157:$Y$217,E$157,$C$226:$D250)</f>
        <v>13.517710532088312</v>
      </c>
      <c r="F250" s="61">
        <f>DSUM($B$157:$Y$217,F$157,$C$226:$D250)</f>
        <v>13.487014767768903</v>
      </c>
      <c r="G250" s="61">
        <f>DSUM($B$157:$Y$217,G$157,$C$226:$D250)</f>
        <v>13.456388706817153</v>
      </c>
      <c r="H250" s="61">
        <f>DSUM($B$157:$Y$217,H$157,$C$226:$D250)</f>
        <v>13.425832190951963</v>
      </c>
      <c r="I250" s="61">
        <f>DSUM($B$157:$Y$217,I$157,$C$226:$D250)</f>
        <v>13.395345062251648</v>
      </c>
      <c r="J250" s="61">
        <f>DSUM($B$157:$Y$217,J$157,$C$226:$D250)</f>
        <v>12.028434446837821</v>
      </c>
      <c r="K250" s="61">
        <f>DSUM($B$157:$Y$217,K$157,$C$226:$D250)</f>
        <v>9.6008964022448158</v>
      </c>
      <c r="L250" s="61">
        <f>DSUM($B$157:$Y$217,L$157,$C$226:$D250)</f>
        <v>7.6632758929712628</v>
      </c>
      <c r="M250" s="61">
        <f>DSUM($B$157:$Y$217,M$157,$C$226:$D250)</f>
        <v>6.1166994154903769</v>
      </c>
      <c r="N250" s="61">
        <f>DSUM($B$157:$Y$217,N$157,$C$226:$D250)</f>
        <v>4.8822477830631632</v>
      </c>
      <c r="O250" s="61">
        <f>DSUM($B$157:$Y$217,O$157,$C$226:$D250)</f>
        <v>3.8969290128693044</v>
      </c>
      <c r="P250" s="61">
        <f>DSUM($B$157:$Y$217,P$157,$C$226:$D250)</f>
        <v>3.1104639514659516</v>
      </c>
      <c r="Q250" s="61">
        <f>DSUM($B$157:$Y$217,Q$157,$C$226:$D250)</f>
        <v>2.4827206144680312</v>
      </c>
      <c r="R250" s="61">
        <f>DSUM($B$157:$Y$217,R$157,$C$226:$D250)</f>
        <v>1.9816663191352832</v>
      </c>
      <c r="S250" s="61">
        <f>DSUM($B$157:$Y$217,S$157,$C$226:$D250)</f>
        <v>1.5817331106491077</v>
      </c>
      <c r="T250" s="61">
        <f>DSUM($B$157:$Y$217,T$157,$C$226:$D250)</f>
        <v>1.2625130725416065</v>
      </c>
      <c r="U250" s="61">
        <f>DSUM($B$157:$Y$217,U$157,$C$226:$D250)</f>
        <v>8.5917528404529202E-3</v>
      </c>
      <c r="V250" s="61">
        <f>DSUM($B$157:$Y$217,V$157,$C$226:$D250)</f>
        <v>3.0615153031270615E-3</v>
      </c>
      <c r="W250" s="61">
        <f>DSUM($B$157:$Y$217,W$157,$C$226:$D250)</f>
        <v>1.0413283879906054E-3</v>
      </c>
      <c r="X250" s="61">
        <f>DSUM($B$157:$Y$217,X$157,$C$226:$D250)</f>
        <v>3.3879253009761118E-4</v>
      </c>
      <c r="Y250" s="61">
        <f>DSUM($B$157:$Y$217,Y$157,$C$226:$D250)</f>
        <v>118.36622876411946</v>
      </c>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row>
    <row r="251" spans="2:79">
      <c r="B251" s="27" t="s">
        <v>1384</v>
      </c>
      <c r="C251" s="346" t="s">
        <v>1385</v>
      </c>
      <c r="D251" s="346" t="s">
        <v>1386</v>
      </c>
      <c r="E251" s="61">
        <f>DSUM($B$157:$Y$217,E$157,$C$226:$D251)</f>
        <v>13.517710532088312</v>
      </c>
      <c r="F251" s="61">
        <f>DSUM($B$157:$Y$217,F$157,$C$226:$D251)</f>
        <v>13.487014767768903</v>
      </c>
      <c r="G251" s="61">
        <f>DSUM($B$157:$Y$217,G$157,$C$226:$D251)</f>
        <v>13.456388706817153</v>
      </c>
      <c r="H251" s="61">
        <f>DSUM($B$157:$Y$217,H$157,$C$226:$D251)</f>
        <v>13.425832190951963</v>
      </c>
      <c r="I251" s="61">
        <f>DSUM($B$157:$Y$217,I$157,$C$226:$D251)</f>
        <v>13.395345062251648</v>
      </c>
      <c r="J251" s="61">
        <f>DSUM($B$157:$Y$217,J$157,$C$226:$D251)</f>
        <v>12.028434446837821</v>
      </c>
      <c r="K251" s="61">
        <f>DSUM($B$157:$Y$217,K$157,$C$226:$D251)</f>
        <v>9.6008964022448158</v>
      </c>
      <c r="L251" s="61">
        <f>DSUM($B$157:$Y$217,L$157,$C$226:$D251)</f>
        <v>7.6632758929712628</v>
      </c>
      <c r="M251" s="61">
        <f>DSUM($B$157:$Y$217,M$157,$C$226:$D251)</f>
        <v>6.1166994154903769</v>
      </c>
      <c r="N251" s="61">
        <f>DSUM($B$157:$Y$217,N$157,$C$226:$D251)</f>
        <v>4.8822477830631632</v>
      </c>
      <c r="O251" s="61">
        <f>DSUM($B$157:$Y$217,O$157,$C$226:$D251)</f>
        <v>3.8969290128693044</v>
      </c>
      <c r="P251" s="61">
        <f>DSUM($B$157:$Y$217,P$157,$C$226:$D251)</f>
        <v>3.1104639514659516</v>
      </c>
      <c r="Q251" s="61">
        <f>DSUM($B$157:$Y$217,Q$157,$C$226:$D251)</f>
        <v>2.4827206144680312</v>
      </c>
      <c r="R251" s="61">
        <f>DSUM($B$157:$Y$217,R$157,$C$226:$D251)</f>
        <v>1.9816663191352832</v>
      </c>
      <c r="S251" s="61">
        <f>DSUM($B$157:$Y$217,S$157,$C$226:$D251)</f>
        <v>1.5817331106491077</v>
      </c>
      <c r="T251" s="61">
        <f>DSUM($B$157:$Y$217,T$157,$C$226:$D251)</f>
        <v>1.2625130725416065</v>
      </c>
      <c r="U251" s="61">
        <f>DSUM($B$157:$Y$217,U$157,$C$226:$D251)</f>
        <v>8.5917528404529202E-3</v>
      </c>
      <c r="V251" s="61">
        <f>DSUM($B$157:$Y$217,V$157,$C$226:$D251)</f>
        <v>3.0615153031270615E-3</v>
      </c>
      <c r="W251" s="61">
        <f>DSUM($B$157:$Y$217,W$157,$C$226:$D251)</f>
        <v>1.0413283879906054E-3</v>
      </c>
      <c r="X251" s="61">
        <f>DSUM($B$157:$Y$217,X$157,$C$226:$D251)</f>
        <v>3.3879253009761118E-4</v>
      </c>
      <c r="Y251" s="61">
        <f>DSUM($B$157:$Y$217,Y$157,$C$226:$D251)</f>
        <v>118.36622876411946</v>
      </c>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row>
    <row r="252" spans="2:79">
      <c r="B252" s="27" t="s">
        <v>1387</v>
      </c>
      <c r="C252" s="346" t="s">
        <v>1388</v>
      </c>
      <c r="D252" s="346" t="s">
        <v>1389</v>
      </c>
      <c r="E252" s="61">
        <f>DSUM($B$157:$Y$217,E$157,$C$226:$D252)</f>
        <v>13.517710532088312</v>
      </c>
      <c r="F252" s="61">
        <f>DSUM($B$157:$Y$217,F$157,$C$226:$D252)</f>
        <v>13.487014767768903</v>
      </c>
      <c r="G252" s="61">
        <f>DSUM($B$157:$Y$217,G$157,$C$226:$D252)</f>
        <v>13.456388706817153</v>
      </c>
      <c r="H252" s="61">
        <f>DSUM($B$157:$Y$217,H$157,$C$226:$D252)</f>
        <v>13.425832190951963</v>
      </c>
      <c r="I252" s="61">
        <f>DSUM($B$157:$Y$217,I$157,$C$226:$D252)</f>
        <v>13.395345062251648</v>
      </c>
      <c r="J252" s="61">
        <f>DSUM($B$157:$Y$217,J$157,$C$226:$D252)</f>
        <v>12.028434446837821</v>
      </c>
      <c r="K252" s="61">
        <f>DSUM($B$157:$Y$217,K$157,$C$226:$D252)</f>
        <v>9.6008964022448158</v>
      </c>
      <c r="L252" s="61">
        <f>DSUM($B$157:$Y$217,L$157,$C$226:$D252)</f>
        <v>7.6632758929712628</v>
      </c>
      <c r="M252" s="61">
        <f>DSUM($B$157:$Y$217,M$157,$C$226:$D252)</f>
        <v>6.1166994154903769</v>
      </c>
      <c r="N252" s="61">
        <f>DSUM($B$157:$Y$217,N$157,$C$226:$D252)</f>
        <v>4.8822477830631632</v>
      </c>
      <c r="O252" s="61">
        <f>DSUM($B$157:$Y$217,O$157,$C$226:$D252)</f>
        <v>3.8969290128693044</v>
      </c>
      <c r="P252" s="61">
        <f>DSUM($B$157:$Y$217,P$157,$C$226:$D252)</f>
        <v>3.1104639514659516</v>
      </c>
      <c r="Q252" s="61">
        <f>DSUM($B$157:$Y$217,Q$157,$C$226:$D252)</f>
        <v>2.4827206144680312</v>
      </c>
      <c r="R252" s="61">
        <f>DSUM($B$157:$Y$217,R$157,$C$226:$D252)</f>
        <v>1.9816663191352832</v>
      </c>
      <c r="S252" s="61">
        <f>DSUM($B$157:$Y$217,S$157,$C$226:$D252)</f>
        <v>1.5817331106491077</v>
      </c>
      <c r="T252" s="61">
        <f>DSUM($B$157:$Y$217,T$157,$C$226:$D252)</f>
        <v>1.2625130725416065</v>
      </c>
      <c r="U252" s="61">
        <f>DSUM($B$157:$Y$217,U$157,$C$226:$D252)</f>
        <v>8.5917528404529202E-3</v>
      </c>
      <c r="V252" s="61">
        <f>DSUM($B$157:$Y$217,V$157,$C$226:$D252)</f>
        <v>3.0615153031270615E-3</v>
      </c>
      <c r="W252" s="61">
        <f>DSUM($B$157:$Y$217,W$157,$C$226:$D252)</f>
        <v>1.0413283879906054E-3</v>
      </c>
      <c r="X252" s="61">
        <f>DSUM($B$157:$Y$217,X$157,$C$226:$D252)</f>
        <v>3.3879253009761118E-4</v>
      </c>
      <c r="Y252" s="61">
        <f>DSUM($B$157:$Y$217,Y$157,$C$226:$D252)</f>
        <v>118.36622876411946</v>
      </c>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row>
    <row r="253" spans="2:79">
      <c r="B253" s="27" t="s">
        <v>1390</v>
      </c>
      <c r="C253" s="346" t="s">
        <v>1391</v>
      </c>
      <c r="D253" s="346" t="s">
        <v>1392</v>
      </c>
      <c r="E253" s="61">
        <f>DSUM($B$157:$Y$217,E$157,$C$226:$D253)</f>
        <v>13.517710532088312</v>
      </c>
      <c r="F253" s="61">
        <f>DSUM($B$157:$Y$217,F$157,$C$226:$D253)</f>
        <v>13.487014767768903</v>
      </c>
      <c r="G253" s="61">
        <f>DSUM($B$157:$Y$217,G$157,$C$226:$D253)</f>
        <v>13.456388706817153</v>
      </c>
      <c r="H253" s="61">
        <f>DSUM($B$157:$Y$217,H$157,$C$226:$D253)</f>
        <v>13.425832190951963</v>
      </c>
      <c r="I253" s="61">
        <f>DSUM($B$157:$Y$217,I$157,$C$226:$D253)</f>
        <v>13.395345062251648</v>
      </c>
      <c r="J253" s="61">
        <f>DSUM($B$157:$Y$217,J$157,$C$226:$D253)</f>
        <v>12.028434446837821</v>
      </c>
      <c r="K253" s="61">
        <f>DSUM($B$157:$Y$217,K$157,$C$226:$D253)</f>
        <v>9.6008964022448158</v>
      </c>
      <c r="L253" s="61">
        <f>DSUM($B$157:$Y$217,L$157,$C$226:$D253)</f>
        <v>7.6632758929712628</v>
      </c>
      <c r="M253" s="61">
        <f>DSUM($B$157:$Y$217,M$157,$C$226:$D253)</f>
        <v>6.1166994154903769</v>
      </c>
      <c r="N253" s="61">
        <f>DSUM($B$157:$Y$217,N$157,$C$226:$D253)</f>
        <v>4.8822477830631632</v>
      </c>
      <c r="O253" s="61">
        <f>DSUM($B$157:$Y$217,O$157,$C$226:$D253)</f>
        <v>3.8969290128693044</v>
      </c>
      <c r="P253" s="61">
        <f>DSUM($B$157:$Y$217,P$157,$C$226:$D253)</f>
        <v>3.1104639514659516</v>
      </c>
      <c r="Q253" s="61">
        <f>DSUM($B$157:$Y$217,Q$157,$C$226:$D253)</f>
        <v>2.4827206144680312</v>
      </c>
      <c r="R253" s="61">
        <f>DSUM($B$157:$Y$217,R$157,$C$226:$D253)</f>
        <v>1.9816663191352832</v>
      </c>
      <c r="S253" s="61">
        <f>DSUM($B$157:$Y$217,S$157,$C$226:$D253)</f>
        <v>1.5817331106491077</v>
      </c>
      <c r="T253" s="61">
        <f>DSUM($B$157:$Y$217,T$157,$C$226:$D253)</f>
        <v>1.2625130725416065</v>
      </c>
      <c r="U253" s="61">
        <f>DSUM($B$157:$Y$217,U$157,$C$226:$D253)</f>
        <v>8.5917528404529202E-3</v>
      </c>
      <c r="V253" s="61">
        <f>DSUM($B$157:$Y$217,V$157,$C$226:$D253)</f>
        <v>3.0615153031270615E-3</v>
      </c>
      <c r="W253" s="61">
        <f>DSUM($B$157:$Y$217,W$157,$C$226:$D253)</f>
        <v>1.0413283879906054E-3</v>
      </c>
      <c r="X253" s="61">
        <f>DSUM($B$157:$Y$217,X$157,$C$226:$D253)</f>
        <v>3.3879253009761118E-4</v>
      </c>
      <c r="Y253" s="61">
        <f>DSUM($B$157:$Y$217,Y$157,$C$226:$D253)</f>
        <v>118.36622876411946</v>
      </c>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row>
    <row r="254" spans="2:79">
      <c r="B254" s="27" t="s">
        <v>1393</v>
      </c>
      <c r="C254" s="346" t="s">
        <v>1394</v>
      </c>
      <c r="D254" s="346" t="s">
        <v>1395</v>
      </c>
      <c r="E254" s="61">
        <f>DSUM($B$157:$Y$217,E$157,$C$226:$D254)</f>
        <v>13.517710532088312</v>
      </c>
      <c r="F254" s="61">
        <f>DSUM($B$157:$Y$217,F$157,$C$226:$D254)</f>
        <v>13.487014767768903</v>
      </c>
      <c r="G254" s="61">
        <f>DSUM($B$157:$Y$217,G$157,$C$226:$D254)</f>
        <v>13.456388706817153</v>
      </c>
      <c r="H254" s="61">
        <f>DSUM($B$157:$Y$217,H$157,$C$226:$D254)</f>
        <v>13.425832190951963</v>
      </c>
      <c r="I254" s="61">
        <f>DSUM($B$157:$Y$217,I$157,$C$226:$D254)</f>
        <v>13.395345062251648</v>
      </c>
      <c r="J254" s="61">
        <f>DSUM($B$157:$Y$217,J$157,$C$226:$D254)</f>
        <v>12.028434446837821</v>
      </c>
      <c r="K254" s="61">
        <f>DSUM($B$157:$Y$217,K$157,$C$226:$D254)</f>
        <v>9.6008964022448158</v>
      </c>
      <c r="L254" s="61">
        <f>DSUM($B$157:$Y$217,L$157,$C$226:$D254)</f>
        <v>7.6632758929712628</v>
      </c>
      <c r="M254" s="61">
        <f>DSUM($B$157:$Y$217,M$157,$C$226:$D254)</f>
        <v>6.1166994154903769</v>
      </c>
      <c r="N254" s="61">
        <f>DSUM($B$157:$Y$217,N$157,$C$226:$D254)</f>
        <v>4.8822477830631632</v>
      </c>
      <c r="O254" s="61">
        <f>DSUM($B$157:$Y$217,O$157,$C$226:$D254)</f>
        <v>3.8969290128693044</v>
      </c>
      <c r="P254" s="61">
        <f>DSUM($B$157:$Y$217,P$157,$C$226:$D254)</f>
        <v>3.1104639514659516</v>
      </c>
      <c r="Q254" s="61">
        <f>DSUM($B$157:$Y$217,Q$157,$C$226:$D254)</f>
        <v>2.4827206144680312</v>
      </c>
      <c r="R254" s="61">
        <f>DSUM($B$157:$Y$217,R$157,$C$226:$D254)</f>
        <v>1.9816663191352832</v>
      </c>
      <c r="S254" s="61">
        <f>DSUM($B$157:$Y$217,S$157,$C$226:$D254)</f>
        <v>1.5817331106491077</v>
      </c>
      <c r="T254" s="61">
        <f>DSUM($B$157:$Y$217,T$157,$C$226:$D254)</f>
        <v>1.2625130725416065</v>
      </c>
      <c r="U254" s="61">
        <f>DSUM($B$157:$Y$217,U$157,$C$226:$D254)</f>
        <v>8.5917528404529202E-3</v>
      </c>
      <c r="V254" s="61">
        <f>DSUM($B$157:$Y$217,V$157,$C$226:$D254)</f>
        <v>3.0615153031270615E-3</v>
      </c>
      <c r="W254" s="61">
        <f>DSUM($B$157:$Y$217,W$157,$C$226:$D254)</f>
        <v>1.0413283879906054E-3</v>
      </c>
      <c r="X254" s="61">
        <f>DSUM($B$157:$Y$217,X$157,$C$226:$D254)</f>
        <v>3.3879253009761118E-4</v>
      </c>
      <c r="Y254" s="61">
        <f>DSUM($B$157:$Y$217,Y$157,$C$226:$D254)</f>
        <v>118.36622876411946</v>
      </c>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row>
    <row r="255" spans="2:79">
      <c r="B255" s="27" t="s">
        <v>1396</v>
      </c>
      <c r="C255" s="346" t="s">
        <v>1397</v>
      </c>
      <c r="D255" s="346" t="s">
        <v>1398</v>
      </c>
      <c r="E255" s="61">
        <f>DSUM($B$157:$Y$217,E$157,$C$226:$D255)</f>
        <v>13.517710532088312</v>
      </c>
      <c r="F255" s="61">
        <f>DSUM($B$157:$Y$217,F$157,$C$226:$D255)</f>
        <v>13.487014767768903</v>
      </c>
      <c r="G255" s="61">
        <f>DSUM($B$157:$Y$217,G$157,$C$226:$D255)</f>
        <v>13.456388706817153</v>
      </c>
      <c r="H255" s="61">
        <f>DSUM($B$157:$Y$217,H$157,$C$226:$D255)</f>
        <v>13.425832190951963</v>
      </c>
      <c r="I255" s="61">
        <f>DSUM($B$157:$Y$217,I$157,$C$226:$D255)</f>
        <v>13.395345062251648</v>
      </c>
      <c r="J255" s="61">
        <f>DSUM($B$157:$Y$217,J$157,$C$226:$D255)</f>
        <v>12.028434446837821</v>
      </c>
      <c r="K255" s="61">
        <f>DSUM($B$157:$Y$217,K$157,$C$226:$D255)</f>
        <v>9.6008964022448158</v>
      </c>
      <c r="L255" s="61">
        <f>DSUM($B$157:$Y$217,L$157,$C$226:$D255)</f>
        <v>7.6632758929712628</v>
      </c>
      <c r="M255" s="61">
        <f>DSUM($B$157:$Y$217,M$157,$C$226:$D255)</f>
        <v>6.1166994154903769</v>
      </c>
      <c r="N255" s="61">
        <f>DSUM($B$157:$Y$217,N$157,$C$226:$D255)</f>
        <v>4.8822477830631632</v>
      </c>
      <c r="O255" s="61">
        <f>DSUM($B$157:$Y$217,O$157,$C$226:$D255)</f>
        <v>3.8969290128693044</v>
      </c>
      <c r="P255" s="61">
        <f>DSUM($B$157:$Y$217,P$157,$C$226:$D255)</f>
        <v>3.1104639514659516</v>
      </c>
      <c r="Q255" s="61">
        <f>DSUM($B$157:$Y$217,Q$157,$C$226:$D255)</f>
        <v>2.4827206144680312</v>
      </c>
      <c r="R255" s="61">
        <f>DSUM($B$157:$Y$217,R$157,$C$226:$D255)</f>
        <v>1.9816663191352832</v>
      </c>
      <c r="S255" s="61">
        <f>DSUM($B$157:$Y$217,S$157,$C$226:$D255)</f>
        <v>1.5817331106491077</v>
      </c>
      <c r="T255" s="61">
        <f>DSUM($B$157:$Y$217,T$157,$C$226:$D255)</f>
        <v>1.2625130725416065</v>
      </c>
      <c r="U255" s="61">
        <f>DSUM($B$157:$Y$217,U$157,$C$226:$D255)</f>
        <v>8.5917528404529202E-3</v>
      </c>
      <c r="V255" s="61">
        <f>DSUM($B$157:$Y$217,V$157,$C$226:$D255)</f>
        <v>3.0615153031270615E-3</v>
      </c>
      <c r="W255" s="61">
        <f>DSUM($B$157:$Y$217,W$157,$C$226:$D255)</f>
        <v>1.0413283879906054E-3</v>
      </c>
      <c r="X255" s="61">
        <f>DSUM($B$157:$Y$217,X$157,$C$226:$D255)</f>
        <v>3.3879253009761118E-4</v>
      </c>
      <c r="Y255" s="61">
        <f>DSUM($B$157:$Y$217,Y$157,$C$226:$D255)</f>
        <v>118.36622876411946</v>
      </c>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row>
    <row r="256" spans="2:79">
      <c r="B256" s="27" t="s">
        <v>1399</v>
      </c>
      <c r="C256" s="346" t="s">
        <v>1400</v>
      </c>
      <c r="D256" s="346" t="s">
        <v>1401</v>
      </c>
      <c r="E256" s="61">
        <f>DSUM($B$157:$Y$217,E$157,$C$226:$D256)</f>
        <v>15.209150210220185</v>
      </c>
      <c r="F256" s="61">
        <f>DSUM($B$157:$Y$217,F$157,$C$226:$D256)</f>
        <v>15.17461355630655</v>
      </c>
      <c r="G256" s="61">
        <f>DSUM($B$157:$Y$217,G$157,$C$226:$D256)</f>
        <v>15.140155327580851</v>
      </c>
      <c r="H256" s="61">
        <f>DSUM($B$157:$Y$217,H$157,$C$226:$D256)</f>
        <v>15.105775345956635</v>
      </c>
      <c r="I256" s="61">
        <f>DSUM($B$157:$Y$217,I$157,$C$226:$D256)</f>
        <v>15.07147343375185</v>
      </c>
      <c r="J256" s="61">
        <f>DSUM($B$157:$Y$217,J$157,$C$226:$D256)</f>
        <v>13.533524472319124</v>
      </c>
      <c r="K256" s="61">
        <f>DSUM($B$157:$Y$217,K$157,$C$226:$D256)</f>
        <v>10.802234238399949</v>
      </c>
      <c r="L256" s="61">
        <f>DSUM($B$157:$Y$217,L$157,$C$226:$D256)</f>
        <v>8.6221637814989798</v>
      </c>
      <c r="M256" s="61">
        <f>DSUM($B$157:$Y$217,M$157,$C$226:$D256)</f>
        <v>6.8820677865623177</v>
      </c>
      <c r="N256" s="61">
        <f>DSUM($B$157:$Y$217,N$157,$C$226:$D256)</f>
        <v>5.4931520925719006</v>
      </c>
      <c r="O256" s="61">
        <f>DSUM($B$157:$Y$217,O$157,$C$226:$D256)</f>
        <v>4.3845426764097173</v>
      </c>
      <c r="P256" s="61">
        <f>DSUM($B$157:$Y$217,P$157,$C$226:$D256)</f>
        <v>3.4996690711065463</v>
      </c>
      <c r="Q256" s="61">
        <f>DSUM($B$157:$Y$217,Q$157,$C$226:$D256)</f>
        <v>2.7933776704139115</v>
      </c>
      <c r="R256" s="61">
        <f>DSUM($B$157:$Y$217,R$157,$C$226:$D256)</f>
        <v>2.2296276165048559</v>
      </c>
      <c r="S256" s="61">
        <f>DSUM($B$157:$Y$217,S$157,$C$226:$D256)</f>
        <v>1.7796516958426565</v>
      </c>
      <c r="T256" s="61">
        <f>DSUM($B$157:$Y$217,T$157,$C$226:$D256)</f>
        <v>1.4204883968384165</v>
      </c>
      <c r="U256" s="61">
        <f>DSUM($B$157:$Y$217,U$157,$C$226:$D256)</f>
        <v>9.666818889880982E-3</v>
      </c>
      <c r="V256" s="61">
        <f>DSUM($B$157:$Y$217,V$157,$C$226:$D256)</f>
        <v>3.4445955922503295E-3</v>
      </c>
      <c r="W256" s="61">
        <f>DSUM($B$157:$Y$217,W$157,$C$226:$D256)</f>
        <v>1.1716273871614589E-3</v>
      </c>
      <c r="X256" s="61">
        <f>DSUM($B$157:$Y$217,X$157,$C$226:$D256)</f>
        <v>3.8118485139355013E-4</v>
      </c>
      <c r="Y256" s="61">
        <f>DSUM($B$157:$Y$217,Y$157,$C$226:$D256)</f>
        <v>133.17711966219048</v>
      </c>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row>
    <row r="257" spans="1:79">
      <c r="B257" s="27" t="s">
        <v>1402</v>
      </c>
      <c r="C257" s="346" t="s">
        <v>1403</v>
      </c>
      <c r="D257" s="346" t="s">
        <v>1404</v>
      </c>
      <c r="E257" s="61">
        <f>DSUM($B$157:$Y$217,E$157,$C$226:$D257)</f>
        <v>15.355410700812259</v>
      </c>
      <c r="F257" s="61">
        <f>DSUM($B$157:$Y$217,F$157,$C$226:$D257)</f>
        <v>15.320541921311394</v>
      </c>
      <c r="G257" s="61">
        <f>DSUM($B$157:$Y$217,G$157,$C$226:$D257)</f>
        <v>15.285752321183042</v>
      </c>
      <c r="H257" s="61">
        <f>DSUM($B$157:$Y$217,H$157,$C$226:$D257)</f>
        <v>15.251041720628155</v>
      </c>
      <c r="I257" s="61">
        <f>DSUM($B$157:$Y$217,I$157,$C$226:$D257)</f>
        <v>15.216409940255984</v>
      </c>
      <c r="J257" s="61">
        <f>DSUM($B$157:$Y$217,J$157,$C$226:$D257)</f>
        <v>13.66367112097482</v>
      </c>
      <c r="K257" s="61">
        <f>DSUM($B$157:$Y$217,K$157,$C$226:$D257)</f>
        <v>10.906115129663497</v>
      </c>
      <c r="L257" s="61">
        <f>DSUM($B$157:$Y$217,L$157,$C$226:$D257)</f>
        <v>8.7050797818814232</v>
      </c>
      <c r="M257" s="61">
        <f>DSUM($B$157:$Y$217,M$157,$C$226:$D257)</f>
        <v>6.9482499595856417</v>
      </c>
      <c r="N257" s="61">
        <f>DSUM($B$157:$Y$217,N$157,$C$226:$D257)</f>
        <v>5.5459776027977483</v>
      </c>
      <c r="O257" s="61">
        <f>DSUM($B$157:$Y$217,O$157,$C$226:$D257)</f>
        <v>4.4267071204456929</v>
      </c>
      <c r="P257" s="61">
        <f>DSUM($B$157:$Y$217,P$157,$C$226:$D257)</f>
        <v>3.5333240293504322</v>
      </c>
      <c r="Q257" s="61">
        <f>DSUM($B$157:$Y$217,Q$157,$C$226:$D257)</f>
        <v>2.8202404985691052</v>
      </c>
      <c r="R257" s="61">
        <f>DSUM($B$157:$Y$217,R$157,$C$226:$D257)</f>
        <v>2.2510690793427006</v>
      </c>
      <c r="S257" s="61">
        <f>DSUM($B$157:$Y$217,S$157,$C$226:$D257)</f>
        <v>1.796765915014616</v>
      </c>
      <c r="T257" s="61">
        <f>DSUM($B$157:$Y$217,T$157,$C$226:$D257)</f>
        <v>1.4341486820568716</v>
      </c>
      <c r="U257" s="61">
        <f>DSUM($B$157:$Y$217,U$157,$C$226:$D257)</f>
        <v>9.7597809327141585E-3</v>
      </c>
      <c r="V257" s="61">
        <f>DSUM($B$157:$Y$217,V$157,$C$226:$D257)</f>
        <v>3.4777209302376735E-3</v>
      </c>
      <c r="W257" s="61">
        <f>DSUM($B$157:$Y$217,W$157,$C$226:$D257)</f>
        <v>1.1828944727033054E-3</v>
      </c>
      <c r="X257" s="61">
        <f>DSUM($B$157:$Y$217,X$157,$C$226:$D257)</f>
        <v>3.8485055806357978E-4</v>
      </c>
      <c r="Y257" s="61">
        <f>DSUM($B$157:$Y$217,Y$157,$C$226:$D257)</f>
        <v>134.45783229821549</v>
      </c>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c r="CA257" s="59"/>
    </row>
    <row r="258" spans="1:79">
      <c r="B258" s="27" t="s">
        <v>1405</v>
      </c>
      <c r="C258" s="346" t="s">
        <v>1406</v>
      </c>
      <c r="D258" s="346" t="s">
        <v>313</v>
      </c>
      <c r="E258" s="61">
        <f>DSUM($B$157:$Y$217,E$157,$C$226:$D258)</f>
        <v>15.438815341044407</v>
      </c>
      <c r="F258" s="61">
        <f>DSUM($B$157:$Y$217,F$157,$C$226:$D258)</f>
        <v>15.40375716784602</v>
      </c>
      <c r="G258" s="61">
        <f>DSUM($B$157:$Y$217,G$157,$C$226:$D258)</f>
        <v>15.368778604091812</v>
      </c>
      <c r="H258" s="61">
        <f>DSUM($B$157:$Y$217,H$157,$C$226:$D258)</f>
        <v>15.333879469006138</v>
      </c>
      <c r="I258" s="61">
        <f>DSUM($B$157:$Y$217,I$157,$C$226:$D258)</f>
        <v>15.299059582223865</v>
      </c>
      <c r="J258" s="61">
        <f>DSUM($B$157:$Y$217,J$157,$C$226:$D258)</f>
        <v>13.737886887410493</v>
      </c>
      <c r="K258" s="61">
        <f>DSUM($B$157:$Y$217,K$157,$C$226:$D258)</f>
        <v>10.965352920592258</v>
      </c>
      <c r="L258" s="61">
        <f>DSUM($B$157:$Y$217,L$157,$C$226:$D258)</f>
        <v>8.7523624017700321</v>
      </c>
      <c r="M258" s="61">
        <f>DSUM($B$157:$Y$217,M$157,$C$226:$D258)</f>
        <v>6.9859901607052137</v>
      </c>
      <c r="N258" s="61">
        <f>DSUM($B$157:$Y$217,N$157,$C$226:$D258)</f>
        <v>5.5761012038989826</v>
      </c>
      <c r="O258" s="61">
        <f>DSUM($B$157:$Y$217,O$157,$C$226:$D258)</f>
        <v>4.4507512780385818</v>
      </c>
      <c r="P258" s="61">
        <f>DSUM($B$157:$Y$217,P$157,$C$226:$D258)</f>
        <v>3.5525156762059598</v>
      </c>
      <c r="Q258" s="61">
        <f>DSUM($B$157:$Y$217,Q$157,$C$226:$D258)</f>
        <v>2.835558952027263</v>
      </c>
      <c r="R258" s="61">
        <f>DSUM($B$157:$Y$217,R$157,$C$226:$D258)</f>
        <v>2.2632960142230782</v>
      </c>
      <c r="S258" s="61">
        <f>DSUM($B$157:$Y$217,S$157,$C$226:$D258)</f>
        <v>1.8065252511628349</v>
      </c>
      <c r="T258" s="61">
        <f>DSUM($B$157:$Y$217,T$157,$C$226:$D258)</f>
        <v>1.4419384219210121</v>
      </c>
      <c r="U258" s="61">
        <f>DSUM($B$157:$Y$217,U$157,$C$226:$D258)</f>
        <v>9.8127922805249044E-3</v>
      </c>
      <c r="V258" s="61">
        <f>DSUM($B$157:$Y$217,V$157,$C$226:$D258)</f>
        <v>3.4966105626067345E-3</v>
      </c>
      <c r="W258" s="61">
        <f>DSUM($B$157:$Y$217,W$157,$C$226:$D258)</f>
        <v>1.189319497070983E-3</v>
      </c>
      <c r="X258" s="61">
        <f>DSUM($B$157:$Y$217,X$157,$C$226:$D258)</f>
        <v>3.8694091715353476E-4</v>
      </c>
      <c r="Y258" s="61">
        <f>DSUM($B$157:$Y$217,Y$157,$C$226:$D258)</f>
        <v>135.18815513670745</v>
      </c>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A258" s="59"/>
    </row>
    <row r="259" spans="1:7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row>
    <row r="260" spans="1:7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c r="CA260" s="59"/>
    </row>
    <row r="261" spans="1:79" ht="15">
      <c r="A261" s="202" t="s">
        <v>314</v>
      </c>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A261" s="59"/>
    </row>
    <row r="262" spans="1:79" ht="15">
      <c r="D262" s="209" t="str">
        <f>C22</f>
        <v>ResWx - Retro</v>
      </c>
      <c r="E262" s="203">
        <f t="shared" ref="E262:X262" si="115">E11</f>
        <v>2016</v>
      </c>
      <c r="F262" s="204">
        <f t="shared" si="115"/>
        <v>2017</v>
      </c>
      <c r="G262" s="204">
        <f t="shared" si="115"/>
        <v>2018</v>
      </c>
      <c r="H262" s="204">
        <f t="shared" si="115"/>
        <v>2019</v>
      </c>
      <c r="I262" s="204">
        <f t="shared" si="115"/>
        <v>2020</v>
      </c>
      <c r="J262" s="204">
        <f t="shared" si="115"/>
        <v>2021</v>
      </c>
      <c r="K262" s="204">
        <f t="shared" si="115"/>
        <v>2022</v>
      </c>
      <c r="L262" s="204">
        <f t="shared" si="115"/>
        <v>2023</v>
      </c>
      <c r="M262" s="204">
        <f t="shared" si="115"/>
        <v>2024</v>
      </c>
      <c r="N262" s="204">
        <f t="shared" si="115"/>
        <v>2025</v>
      </c>
      <c r="O262" s="204">
        <f t="shared" si="115"/>
        <v>2026</v>
      </c>
      <c r="P262" s="204">
        <f t="shared" si="115"/>
        <v>2027</v>
      </c>
      <c r="Q262" s="204">
        <f t="shared" si="115"/>
        <v>2028</v>
      </c>
      <c r="R262" s="204">
        <f t="shared" si="115"/>
        <v>2029</v>
      </c>
      <c r="S262" s="204">
        <f t="shared" si="115"/>
        <v>2030</v>
      </c>
      <c r="T262" s="204">
        <f t="shared" si="115"/>
        <v>2031</v>
      </c>
      <c r="U262" s="204">
        <f t="shared" si="115"/>
        <v>2032</v>
      </c>
      <c r="V262" s="204">
        <f t="shared" si="115"/>
        <v>2033</v>
      </c>
      <c r="W262" s="204">
        <f t="shared" si="115"/>
        <v>2034</v>
      </c>
      <c r="X262" s="204">
        <f t="shared" si="115"/>
        <v>2035</v>
      </c>
      <c r="Y262" s="205" t="s">
        <v>1363</v>
      </c>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A262" s="59"/>
    </row>
    <row r="263" spans="1:79" ht="15">
      <c r="E263" s="206" t="str">
        <f t="shared" ref="E263:X263" si="116">CONCATENATE("aMW_",E262)</f>
        <v>aMW_2016</v>
      </c>
      <c r="F263" s="207" t="str">
        <f t="shared" si="116"/>
        <v>aMW_2017</v>
      </c>
      <c r="G263" s="207" t="str">
        <f t="shared" si="116"/>
        <v>aMW_2018</v>
      </c>
      <c r="H263" s="207" t="str">
        <f t="shared" si="116"/>
        <v>aMW_2019</v>
      </c>
      <c r="I263" s="207" t="str">
        <f t="shared" si="116"/>
        <v>aMW_2020</v>
      </c>
      <c r="J263" s="207" t="str">
        <f t="shared" si="116"/>
        <v>aMW_2021</v>
      </c>
      <c r="K263" s="207" t="str">
        <f t="shared" si="116"/>
        <v>aMW_2022</v>
      </c>
      <c r="L263" s="207" t="str">
        <f t="shared" si="116"/>
        <v>aMW_2023</v>
      </c>
      <c r="M263" s="207" t="str">
        <f t="shared" si="116"/>
        <v>aMW_2024</v>
      </c>
      <c r="N263" s="207" t="str">
        <f t="shared" si="116"/>
        <v>aMW_2025</v>
      </c>
      <c r="O263" s="207" t="str">
        <f t="shared" si="116"/>
        <v>aMW_2026</v>
      </c>
      <c r="P263" s="207" t="str">
        <f t="shared" si="116"/>
        <v>aMW_2027</v>
      </c>
      <c r="Q263" s="207" t="str">
        <f t="shared" si="116"/>
        <v>aMW_2028</v>
      </c>
      <c r="R263" s="207" t="str">
        <f t="shared" si="116"/>
        <v>aMW_2029</v>
      </c>
      <c r="S263" s="207" t="str">
        <f t="shared" si="116"/>
        <v>aMW_2030</v>
      </c>
      <c r="T263" s="207" t="str">
        <f t="shared" si="116"/>
        <v>aMW_2031</v>
      </c>
      <c r="U263" s="207" t="str">
        <f t="shared" si="116"/>
        <v>aMW_2032</v>
      </c>
      <c r="V263" s="207" t="str">
        <f t="shared" si="116"/>
        <v>aMW_2033</v>
      </c>
      <c r="W263" s="207" t="str">
        <f t="shared" si="116"/>
        <v>aMW_2034</v>
      </c>
      <c r="X263" s="207" t="str">
        <f t="shared" si="116"/>
        <v>aMW_2035</v>
      </c>
      <c r="Y263" s="208" t="s">
        <v>1363</v>
      </c>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c r="BV263" s="59"/>
      <c r="BW263" s="59"/>
      <c r="BX263" s="59"/>
      <c r="BY263" s="59"/>
      <c r="BZ263" s="59"/>
      <c r="CA263" s="59"/>
    </row>
    <row r="264" spans="1:79">
      <c r="D264" s="57" t="s">
        <v>250</v>
      </c>
      <c r="E264" s="65">
        <f t="shared" ref="E264:Y264" si="117">E227</f>
        <v>1.3112914378987215</v>
      </c>
      <c r="F264" s="65">
        <f t="shared" si="117"/>
        <v>1.3083137818203308</v>
      </c>
      <c r="G264" s="65">
        <f t="shared" si="117"/>
        <v>1.3053428873476862</v>
      </c>
      <c r="H264" s="65">
        <f t="shared" si="117"/>
        <v>1.3023787391266597</v>
      </c>
      <c r="I264" s="65">
        <f t="shared" si="117"/>
        <v>1.2994213218379895</v>
      </c>
      <c r="J264" s="65">
        <f t="shared" si="117"/>
        <v>1.1668235581774797</v>
      </c>
      <c r="K264" s="65">
        <f t="shared" si="117"/>
        <v>0.93133916564725683</v>
      </c>
      <c r="L264" s="65">
        <f t="shared" si="117"/>
        <v>0.74337943846741683</v>
      </c>
      <c r="M264" s="65">
        <f t="shared" si="117"/>
        <v>0.59335310907072214</v>
      </c>
      <c r="N264" s="65">
        <f t="shared" si="117"/>
        <v>0.47360458714022385</v>
      </c>
      <c r="O264" s="65">
        <f t="shared" si="117"/>
        <v>0.37802330775943938</v>
      </c>
      <c r="P264" s="65">
        <f t="shared" si="117"/>
        <v>0.30173191960042772</v>
      </c>
      <c r="Q264" s="65">
        <f t="shared" si="117"/>
        <v>0.24083740191939423</v>
      </c>
      <c r="R264" s="65">
        <f t="shared" si="117"/>
        <v>0.1922324102802733</v>
      </c>
      <c r="S264" s="65">
        <f t="shared" si="117"/>
        <v>0.15343671401392719</v>
      </c>
      <c r="T264" s="65">
        <f t="shared" si="117"/>
        <v>0.1224706342341878</v>
      </c>
      <c r="U264" s="65">
        <f t="shared" si="117"/>
        <v>8.3344675190995059E-4</v>
      </c>
      <c r="V264" s="65">
        <f t="shared" si="117"/>
        <v>2.9698363450354423E-4</v>
      </c>
      <c r="W264" s="65">
        <f t="shared" si="117"/>
        <v>1.0101451691627613E-4</v>
      </c>
      <c r="X264" s="65">
        <f t="shared" si="117"/>
        <v>3.2864717948092554E-5</v>
      </c>
      <c r="Y264" s="65">
        <f t="shared" si="117"/>
        <v>11.482167926758589</v>
      </c>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row>
    <row r="265" spans="1:79">
      <c r="D265" s="57" t="s">
        <v>1413</v>
      </c>
      <c r="E265" s="65">
        <f>E228-E227</f>
        <v>1.7491682097635852E-2</v>
      </c>
      <c r="F265" s="65">
        <f>F228-F227</f>
        <v>1.745196231299162E-2</v>
      </c>
      <c r="G265" s="65">
        <f t="shared" ref="E265:X277" si="118">G228-G227</f>
        <v>1.7412332723291568E-2</v>
      </c>
      <c r="H265" s="65">
        <f t="shared" si="118"/>
        <v>1.7372793123722863E-2</v>
      </c>
      <c r="I265" s="65">
        <f t="shared" si="118"/>
        <v>1.733334330993741E-2</v>
      </c>
      <c r="J265" s="65">
        <f t="shared" si="118"/>
        <v>1.5564584770246359E-2</v>
      </c>
      <c r="K265" s="65">
        <f t="shared" si="118"/>
        <v>1.2423392801743871E-2</v>
      </c>
      <c r="L265" s="65">
        <f t="shared" si="118"/>
        <v>9.9161455949319244E-3</v>
      </c>
      <c r="M265" s="65">
        <f t="shared" si="118"/>
        <v>7.9149025575431242E-3</v>
      </c>
      <c r="N265" s="65">
        <f t="shared" si="118"/>
        <v>6.3175436358479109E-3</v>
      </c>
      <c r="O265" s="65">
        <f t="shared" si="118"/>
        <v>5.042558300708988E-3</v>
      </c>
      <c r="P265" s="65">
        <f t="shared" si="118"/>
        <v>4.0248862028852694E-3</v>
      </c>
      <c r="Q265" s="65">
        <f t="shared" si="118"/>
        <v>3.2125972532431324E-3</v>
      </c>
      <c r="R265" s="65">
        <f t="shared" si="118"/>
        <v>2.5642417179761734E-3</v>
      </c>
      <c r="S265" s="65">
        <f t="shared" si="118"/>
        <v>2.0467351086637664E-3</v>
      </c>
      <c r="T265" s="65">
        <f t="shared" si="118"/>
        <v>1.6336699366794188E-3</v>
      </c>
      <c r="U265" s="65">
        <f t="shared" si="118"/>
        <v>1.1117578601044838E-5</v>
      </c>
      <c r="V265" s="65">
        <f t="shared" si="118"/>
        <v>3.961547504085605E-6</v>
      </c>
      <c r="W265" s="65">
        <f t="shared" si="118"/>
        <v>1.3474608054920027E-6</v>
      </c>
      <c r="X265" s="65">
        <f t="shared" si="118"/>
        <v>4.3839163588049599E-7</v>
      </c>
      <c r="Y265" s="65">
        <f t="shared" ref="Y265" si="119">Y228-Y227</f>
        <v>0.1531638393737822</v>
      </c>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c r="CA265" s="59"/>
    </row>
    <row r="266" spans="1:79">
      <c r="D266" s="57" t="s">
        <v>255</v>
      </c>
      <c r="E266" s="65">
        <f t="shared" si="118"/>
        <v>1.1035872650477421</v>
      </c>
      <c r="F266" s="65">
        <f t="shared" si="118"/>
        <v>1.1010812597213671</v>
      </c>
      <c r="G266" s="65">
        <f t="shared" si="118"/>
        <v>1.0985809449850295</v>
      </c>
      <c r="H266" s="65">
        <f t="shared" si="118"/>
        <v>1.0960863079166439</v>
      </c>
      <c r="I266" s="65">
        <f t="shared" si="118"/>
        <v>1.0935973356234681</v>
      </c>
      <c r="J266" s="65">
        <f t="shared" si="118"/>
        <v>0.9820026137178326</v>
      </c>
      <c r="K266" s="65">
        <f t="shared" si="118"/>
        <v>0.78381816043542718</v>
      </c>
      <c r="L266" s="65">
        <f t="shared" si="118"/>
        <v>0.62563062465015951</v>
      </c>
      <c r="M266" s="65">
        <f t="shared" si="118"/>
        <v>0.49936796346069634</v>
      </c>
      <c r="N266" s="65">
        <f t="shared" si="118"/>
        <v>0.39858720642124185</v>
      </c>
      <c r="O266" s="65">
        <f t="shared" si="118"/>
        <v>0.31814568163661106</v>
      </c>
      <c r="P266" s="65">
        <f t="shared" si="118"/>
        <v>0.25393859389720164</v>
      </c>
      <c r="Q266" s="65">
        <f t="shared" si="118"/>
        <v>0.20268956390909976</v>
      </c>
      <c r="R266" s="65">
        <f t="shared" si="118"/>
        <v>0.16178344018984397</v>
      </c>
      <c r="S266" s="65">
        <f t="shared" si="118"/>
        <v>0.12913285230313601</v>
      </c>
      <c r="T266" s="65">
        <f t="shared" si="118"/>
        <v>0.10307169586934238</v>
      </c>
      <c r="U266" s="65">
        <f t="shared" si="118"/>
        <v>7.0143157723742146E-4</v>
      </c>
      <c r="V266" s="65">
        <f t="shared" si="118"/>
        <v>2.4994242125984077E-4</v>
      </c>
      <c r="W266" s="65">
        <f t="shared" si="118"/>
        <v>8.5014155687915179E-5</v>
      </c>
      <c r="X266" s="65">
        <f t="shared" si="118"/>
        <v>2.7659056673946014E-5</v>
      </c>
      <c r="Y266" s="65">
        <f t="shared" ref="Y266" si="120">Y229-Y228</f>
        <v>9.663430975661651</v>
      </c>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A266" s="59"/>
    </row>
    <row r="267" spans="1:79">
      <c r="D267" s="57" t="s">
        <v>258</v>
      </c>
      <c r="E267" s="65">
        <f t="shared" si="118"/>
        <v>0.52447218994205835</v>
      </c>
      <c r="F267" s="65">
        <f t="shared" si="118"/>
        <v>0.52328122829982382</v>
      </c>
      <c r="G267" s="65">
        <f t="shared" si="118"/>
        <v>0.52209297107101804</v>
      </c>
      <c r="H267" s="65">
        <f t="shared" si="118"/>
        <v>0.52090741211450853</v>
      </c>
      <c r="I267" s="65">
        <f t="shared" si="118"/>
        <v>0.51972454530311074</v>
      </c>
      <c r="J267" s="65">
        <f t="shared" si="118"/>
        <v>0.46668992807119425</v>
      </c>
      <c r="K267" s="65">
        <f t="shared" si="118"/>
        <v>0.37250414184703406</v>
      </c>
      <c r="L267" s="65">
        <f t="shared" si="118"/>
        <v>0.29732661312550768</v>
      </c>
      <c r="M267" s="65">
        <f t="shared" si="118"/>
        <v>0.23732115952951571</v>
      </c>
      <c r="N267" s="65">
        <f t="shared" si="118"/>
        <v>0.18942580406234777</v>
      </c>
      <c r="O267" s="65">
        <f t="shared" si="118"/>
        <v>0.15119652759072366</v>
      </c>
      <c r="P267" s="65">
        <f t="shared" si="118"/>
        <v>0.12068255467437905</v>
      </c>
      <c r="Q267" s="65">
        <f t="shared" si="118"/>
        <v>9.6326808788616658E-2</v>
      </c>
      <c r="R267" s="65">
        <f t="shared" si="118"/>
        <v>7.6886457337885961E-2</v>
      </c>
      <c r="S267" s="65">
        <f t="shared" si="118"/>
        <v>6.1369492006561166E-2</v>
      </c>
      <c r="T267" s="65">
        <f t="shared" si="118"/>
        <v>4.8984108249289393E-2</v>
      </c>
      <c r="U267" s="65">
        <f t="shared" si="118"/>
        <v>3.3335048986117815E-4</v>
      </c>
      <c r="V267" s="65">
        <f t="shared" si="118"/>
        <v>1.1878340135784216E-4</v>
      </c>
      <c r="W267" s="65">
        <f t="shared" si="118"/>
        <v>4.0402387579007663E-5</v>
      </c>
      <c r="X267" s="65">
        <f t="shared" si="118"/>
        <v>1.3144774758603628E-5</v>
      </c>
      <c r="Y267" s="65">
        <f t="shared" ref="Y267" si="121">Y230-Y229</f>
        <v>4.5924785168121147</v>
      </c>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A267" s="59"/>
    </row>
    <row r="268" spans="1:79">
      <c r="D268" s="57" t="s">
        <v>261</v>
      </c>
      <c r="E268" s="65">
        <f t="shared" si="118"/>
        <v>0.24492661930967596</v>
      </c>
      <c r="F268" s="65">
        <f t="shared" si="118"/>
        <v>0.24437044452223455</v>
      </c>
      <c r="G268" s="65">
        <f t="shared" si="118"/>
        <v>0.24381553268610112</v>
      </c>
      <c r="H268" s="65">
        <f t="shared" si="118"/>
        <v>0.2432618809333893</v>
      </c>
      <c r="I268" s="65">
        <f t="shared" si="118"/>
        <v>0.24270948640272527</v>
      </c>
      <c r="J268" s="65">
        <f t="shared" si="118"/>
        <v>0.21794251161530909</v>
      </c>
      <c r="K268" s="65">
        <f t="shared" si="118"/>
        <v>0.17395808946805236</v>
      </c>
      <c r="L268" s="65">
        <f t="shared" si="118"/>
        <v>0.13885045495295301</v>
      </c>
      <c r="M268" s="65">
        <f t="shared" si="118"/>
        <v>0.11082812474887982</v>
      </c>
      <c r="N268" s="65">
        <f t="shared" si="118"/>
        <v>8.8461166652389123E-2</v>
      </c>
      <c r="O268" s="65">
        <f t="shared" si="118"/>
        <v>7.0608232551375494E-2</v>
      </c>
      <c r="P268" s="65">
        <f t="shared" si="118"/>
        <v>5.6358317357715793E-2</v>
      </c>
      <c r="Q268" s="65">
        <f t="shared" si="118"/>
        <v>4.4984271955567201E-2</v>
      </c>
      <c r="R268" s="65">
        <f t="shared" si="118"/>
        <v>3.5905698009548348E-2</v>
      </c>
      <c r="S268" s="65">
        <f t="shared" si="118"/>
        <v>2.8659331217504191E-2</v>
      </c>
      <c r="T268" s="65">
        <f t="shared" si="118"/>
        <v>2.2875401715242716E-2</v>
      </c>
      <c r="U268" s="65">
        <f t="shared" si="118"/>
        <v>1.5567347533897375E-4</v>
      </c>
      <c r="V268" s="65">
        <f t="shared" si="118"/>
        <v>5.5471419615012738E-5</v>
      </c>
      <c r="W268" s="65">
        <f t="shared" si="118"/>
        <v>1.8867769143028992E-5</v>
      </c>
      <c r="X268" s="65">
        <f t="shared" si="118"/>
        <v>6.1385623584114802E-6</v>
      </c>
      <c r="Y268" s="65">
        <f t="shared" ref="Y268" si="122">Y231-Y230</f>
        <v>2.1446708880777265</v>
      </c>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59"/>
      <c r="BU268" s="59"/>
      <c r="BV268" s="59"/>
      <c r="BW268" s="59"/>
      <c r="BX268" s="59"/>
      <c r="BY268" s="59"/>
      <c r="BZ268" s="59"/>
      <c r="CA268" s="59"/>
    </row>
    <row r="269" spans="1:79">
      <c r="D269" s="57" t="s">
        <v>264</v>
      </c>
      <c r="E269" s="65">
        <f t="shared" si="118"/>
        <v>1.819469305422404</v>
      </c>
      <c r="F269" s="65">
        <f t="shared" si="118"/>
        <v>1.8153376885444521</v>
      </c>
      <c r="G269" s="65">
        <f t="shared" si="118"/>
        <v>1.811215453664853</v>
      </c>
      <c r="H269" s="65">
        <f t="shared" si="118"/>
        <v>1.8071025794791398</v>
      </c>
      <c r="I269" s="65">
        <f t="shared" si="118"/>
        <v>1.8029990447312256</v>
      </c>
      <c r="J269" s="65">
        <f t="shared" si="118"/>
        <v>1.6190143453919572</v>
      </c>
      <c r="K269" s="65">
        <f t="shared" si="118"/>
        <v>1.2922703343112767</v>
      </c>
      <c r="L269" s="65">
        <f t="shared" si="118"/>
        <v>1.031468696799402</v>
      </c>
      <c r="M269" s="65">
        <f t="shared" si="118"/>
        <v>0.8233011655754543</v>
      </c>
      <c r="N269" s="65">
        <f t="shared" si="118"/>
        <v>0.65714530294633255</v>
      </c>
      <c r="O269" s="65">
        <f t="shared" si="118"/>
        <v>0.52452245574386913</v>
      </c>
      <c r="P269" s="65">
        <f t="shared" si="118"/>
        <v>0.41866510396719347</v>
      </c>
      <c r="Q269" s="65">
        <f t="shared" si="118"/>
        <v>0.33417152566191088</v>
      </c>
      <c r="R269" s="65">
        <f t="shared" si="118"/>
        <v>0.2667301561678751</v>
      </c>
      <c r="S269" s="65">
        <f t="shared" si="118"/>
        <v>0.21289957625329831</v>
      </c>
      <c r="T269" s="65">
        <f t="shared" si="118"/>
        <v>0.16993290230110497</v>
      </c>
      <c r="U269" s="65">
        <f t="shared" si="118"/>
        <v>1.1564406957725285E-3</v>
      </c>
      <c r="V269" s="65">
        <f t="shared" si="118"/>
        <v>4.1207666852295839E-4</v>
      </c>
      <c r="W269" s="65">
        <f t="shared" si="118"/>
        <v>1.4016168154484045E-4</v>
      </c>
      <c r="X269" s="65">
        <f t="shared" si="118"/>
        <v>4.5601110332680762E-5</v>
      </c>
      <c r="Y269" s="65">
        <f t="shared" ref="Y269" si="123">Y232-Y231</f>
        <v>15.931967142194075</v>
      </c>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c r="CA269" s="59"/>
    </row>
    <row r="270" spans="1:79">
      <c r="D270" s="57" t="s">
        <v>267</v>
      </c>
      <c r="E270" s="65">
        <f t="shared" si="118"/>
        <v>0</v>
      </c>
      <c r="F270" s="65">
        <f t="shared" si="118"/>
        <v>0</v>
      </c>
      <c r="G270" s="65">
        <f t="shared" si="118"/>
        <v>0</v>
      </c>
      <c r="H270" s="65">
        <f t="shared" si="118"/>
        <v>0</v>
      </c>
      <c r="I270" s="65">
        <f t="shared" si="118"/>
        <v>0</v>
      </c>
      <c r="J270" s="65">
        <f t="shared" si="118"/>
        <v>0</v>
      </c>
      <c r="K270" s="65">
        <f t="shared" si="118"/>
        <v>0</v>
      </c>
      <c r="L270" s="65">
        <f t="shared" si="118"/>
        <v>0</v>
      </c>
      <c r="M270" s="65">
        <f t="shared" si="118"/>
        <v>0</v>
      </c>
      <c r="N270" s="65">
        <f t="shared" si="118"/>
        <v>0</v>
      </c>
      <c r="O270" s="65">
        <f t="shared" si="118"/>
        <v>0</v>
      </c>
      <c r="P270" s="65">
        <f t="shared" si="118"/>
        <v>0</v>
      </c>
      <c r="Q270" s="65">
        <f t="shared" si="118"/>
        <v>0</v>
      </c>
      <c r="R270" s="65">
        <f t="shared" si="118"/>
        <v>0</v>
      </c>
      <c r="S270" s="65">
        <f t="shared" si="118"/>
        <v>0</v>
      </c>
      <c r="T270" s="65">
        <f t="shared" si="118"/>
        <v>0</v>
      </c>
      <c r="U270" s="65">
        <f t="shared" si="118"/>
        <v>0</v>
      </c>
      <c r="V270" s="65">
        <f t="shared" si="118"/>
        <v>0</v>
      </c>
      <c r="W270" s="65">
        <f t="shared" si="118"/>
        <v>0</v>
      </c>
      <c r="X270" s="65">
        <f t="shared" si="118"/>
        <v>0</v>
      </c>
      <c r="Y270" s="65">
        <f t="shared" ref="Y270" si="124">Y233-Y232</f>
        <v>0</v>
      </c>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row>
    <row r="271" spans="1:79">
      <c r="D271" s="57" t="s">
        <v>270</v>
      </c>
      <c r="E271" s="65">
        <f t="shared" si="118"/>
        <v>0</v>
      </c>
      <c r="F271" s="65">
        <f t="shared" si="118"/>
        <v>0</v>
      </c>
      <c r="G271" s="65">
        <f t="shared" si="118"/>
        <v>0</v>
      </c>
      <c r="H271" s="65">
        <f t="shared" si="118"/>
        <v>0</v>
      </c>
      <c r="I271" s="65">
        <f t="shared" si="118"/>
        <v>0</v>
      </c>
      <c r="J271" s="65">
        <f t="shared" si="118"/>
        <v>0</v>
      </c>
      <c r="K271" s="65">
        <f t="shared" si="118"/>
        <v>0</v>
      </c>
      <c r="L271" s="65">
        <f t="shared" si="118"/>
        <v>0</v>
      </c>
      <c r="M271" s="65">
        <f t="shared" si="118"/>
        <v>0</v>
      </c>
      <c r="N271" s="65">
        <f t="shared" si="118"/>
        <v>0</v>
      </c>
      <c r="O271" s="65">
        <f t="shared" si="118"/>
        <v>0</v>
      </c>
      <c r="P271" s="65">
        <f t="shared" si="118"/>
        <v>0</v>
      </c>
      <c r="Q271" s="65">
        <f t="shared" si="118"/>
        <v>0</v>
      </c>
      <c r="R271" s="65">
        <f t="shared" si="118"/>
        <v>0</v>
      </c>
      <c r="S271" s="65">
        <f t="shared" si="118"/>
        <v>0</v>
      </c>
      <c r="T271" s="65">
        <f t="shared" si="118"/>
        <v>0</v>
      </c>
      <c r="U271" s="65">
        <f t="shared" si="118"/>
        <v>0</v>
      </c>
      <c r="V271" s="65">
        <f t="shared" si="118"/>
        <v>0</v>
      </c>
      <c r="W271" s="65">
        <f t="shared" si="118"/>
        <v>0</v>
      </c>
      <c r="X271" s="65">
        <f t="shared" si="118"/>
        <v>0</v>
      </c>
      <c r="Y271" s="65">
        <f t="shared" ref="Y271" si="125">Y234-Y233</f>
        <v>0</v>
      </c>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row>
    <row r="272" spans="1:79">
      <c r="D272" s="57" t="s">
        <v>273</v>
      </c>
      <c r="E272" s="65">
        <f t="shared" si="118"/>
        <v>0.46206614190565176</v>
      </c>
      <c r="F272" s="65">
        <f t="shared" si="118"/>
        <v>0.4610168907504173</v>
      </c>
      <c r="G272" s="65">
        <f t="shared" si="118"/>
        <v>0.45997002221508776</v>
      </c>
      <c r="H272" s="65">
        <f t="shared" si="118"/>
        <v>0.45892553088925325</v>
      </c>
      <c r="I272" s="65">
        <f t="shared" si="118"/>
        <v>0.45788341137479094</v>
      </c>
      <c r="J272" s="65">
        <f t="shared" si="118"/>
        <v>0.41115929245725358</v>
      </c>
      <c r="K272" s="65">
        <f t="shared" si="118"/>
        <v>0.32818051169910412</v>
      </c>
      <c r="L272" s="65">
        <f t="shared" si="118"/>
        <v>0.26194822842361809</v>
      </c>
      <c r="M272" s="65">
        <f t="shared" si="118"/>
        <v>0.20908272102757941</v>
      </c>
      <c r="N272" s="65">
        <f t="shared" si="118"/>
        <v>0.16688635191531254</v>
      </c>
      <c r="O272" s="65">
        <f t="shared" si="118"/>
        <v>0.13320591160628603</v>
      </c>
      <c r="P272" s="65">
        <f t="shared" si="118"/>
        <v>0.10632274409033715</v>
      </c>
      <c r="Q272" s="65">
        <f t="shared" si="118"/>
        <v>8.4865046712880421E-2</v>
      </c>
      <c r="R272" s="65">
        <f t="shared" si="118"/>
        <v>6.7737869401302886E-2</v>
      </c>
      <c r="S272" s="65">
        <f t="shared" si="118"/>
        <v>5.4067241211234074E-2</v>
      </c>
      <c r="T272" s="65">
        <f t="shared" si="118"/>
        <v>4.3155573064681374E-2</v>
      </c>
      <c r="U272" s="65">
        <f t="shared" si="118"/>
        <v>2.9368568573584454E-4</v>
      </c>
      <c r="V272" s="65">
        <f t="shared" si="118"/>
        <v>1.0464956777577134E-4</v>
      </c>
      <c r="W272" s="65">
        <f t="shared" si="118"/>
        <v>3.5594976645894865E-5</v>
      </c>
      <c r="X272" s="65">
        <f t="shared" si="118"/>
        <v>1.1580700512638776E-5</v>
      </c>
      <c r="Y272" s="65">
        <f t="shared" ref="Y272" si="126">Y235-Y234</f>
        <v>4.0460273599681145</v>
      </c>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row>
    <row r="273" spans="4:79">
      <c r="D273" s="57" t="s">
        <v>276</v>
      </c>
      <c r="E273" s="65">
        <f t="shared" si="118"/>
        <v>0.25346685613443309</v>
      </c>
      <c r="F273" s="65">
        <f t="shared" si="118"/>
        <v>0.25289128833689656</v>
      </c>
      <c r="G273" s="65">
        <f t="shared" si="118"/>
        <v>0.25231702752795382</v>
      </c>
      <c r="H273" s="65">
        <f t="shared" si="118"/>
        <v>0.25174407073971672</v>
      </c>
      <c r="I273" s="65">
        <f t="shared" si="118"/>
        <v>0.25117241501104193</v>
      </c>
      <c r="J273" s="65">
        <f t="shared" si="118"/>
        <v>0.22554185164875662</v>
      </c>
      <c r="K273" s="65">
        <f t="shared" si="118"/>
        <v>0.18002375634340773</v>
      </c>
      <c r="L273" s="65">
        <f t="shared" si="118"/>
        <v>0.14369196941089868</v>
      </c>
      <c r="M273" s="65">
        <f t="shared" si="118"/>
        <v>0.11469254109883309</v>
      </c>
      <c r="N273" s="65">
        <f t="shared" si="118"/>
        <v>9.1545679536840119E-2</v>
      </c>
      <c r="O273" s="65">
        <f t="shared" si="118"/>
        <v>7.3070239455589769E-2</v>
      </c>
      <c r="P273" s="65">
        <f t="shared" si="118"/>
        <v>5.8323450337692817E-2</v>
      </c>
      <c r="Q273" s="65">
        <f t="shared" si="118"/>
        <v>4.65528084297675E-2</v>
      </c>
      <c r="R273" s="65">
        <f t="shared" si="118"/>
        <v>3.7157677746271212E-2</v>
      </c>
      <c r="S273" s="65">
        <f t="shared" si="118"/>
        <v>2.9658640629141364E-2</v>
      </c>
      <c r="T273" s="65">
        <f t="shared" si="118"/>
        <v>2.3673033874051175E-2</v>
      </c>
      <c r="U273" s="65">
        <f t="shared" si="118"/>
        <v>1.6110158417612271E-4</v>
      </c>
      <c r="V273" s="65">
        <f t="shared" si="118"/>
        <v>5.7405627753976578E-5</v>
      </c>
      <c r="W273" s="65">
        <f t="shared" si="118"/>
        <v>1.9525660952790058E-5</v>
      </c>
      <c r="X273" s="65">
        <f t="shared" si="118"/>
        <v>6.3526051458068602E-6</v>
      </c>
      <c r="Y273" s="65">
        <f t="shared" ref="Y273" si="127">Y236-Y235</f>
        <v>2.2194524587659927</v>
      </c>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A273" s="59"/>
    </row>
    <row r="274" spans="4:79">
      <c r="D274" s="57" t="s">
        <v>279</v>
      </c>
      <c r="E274" s="65">
        <f t="shared" si="118"/>
        <v>1.5727892788640681</v>
      </c>
      <c r="F274" s="65">
        <f t="shared" si="118"/>
        <v>1.5692178183779513</v>
      </c>
      <c r="G274" s="65">
        <f t="shared" si="118"/>
        <v>1.5656544678975282</v>
      </c>
      <c r="H274" s="65">
        <f t="shared" si="118"/>
        <v>1.5620992090067469</v>
      </c>
      <c r="I274" s="65">
        <f t="shared" si="118"/>
        <v>1.5585520233313792</v>
      </c>
      <c r="J274" s="65">
        <f t="shared" si="118"/>
        <v>1.3995116032850241</v>
      </c>
      <c r="K274" s="65">
        <f t="shared" si="118"/>
        <v>1.1170668948037061</v>
      </c>
      <c r="L274" s="65">
        <f t="shared" si="118"/>
        <v>0.89162422414890052</v>
      </c>
      <c r="M274" s="65">
        <f t="shared" si="118"/>
        <v>0.71167963242597798</v>
      </c>
      <c r="N274" s="65">
        <f t="shared" si="118"/>
        <v>0.56805085089903429</v>
      </c>
      <c r="O274" s="65">
        <f t="shared" si="118"/>
        <v>0.45340874531867326</v>
      </c>
      <c r="P274" s="65">
        <f t="shared" si="118"/>
        <v>0.36190332257418478</v>
      </c>
      <c r="Q274" s="65">
        <f t="shared" si="118"/>
        <v>0.28886521542097943</v>
      </c>
      <c r="R274" s="65">
        <f t="shared" si="118"/>
        <v>0.23056741255284863</v>
      </c>
      <c r="S274" s="65">
        <f t="shared" si="118"/>
        <v>0.18403507550689557</v>
      </c>
      <c r="T274" s="65">
        <f t="shared" si="118"/>
        <v>0.14689373767884739</v>
      </c>
      <c r="U274" s="65">
        <f t="shared" si="118"/>
        <v>9.9965276827293286E-4</v>
      </c>
      <c r="V274" s="65">
        <f t="shared" si="118"/>
        <v>3.5620813409241187E-4</v>
      </c>
      <c r="W274" s="65">
        <f t="shared" si="118"/>
        <v>1.211588397695485E-4</v>
      </c>
      <c r="X274" s="65">
        <f t="shared" si="118"/>
        <v>3.9418602568229167E-5</v>
      </c>
      <c r="Y274" s="65">
        <f t="shared" ref="Y274" si="128">Y237-Y236</f>
        <v>13.771942751537722</v>
      </c>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row>
    <row r="275" spans="4:79">
      <c r="D275" s="57" t="s">
        <v>282</v>
      </c>
      <c r="E275" s="65">
        <f t="shared" si="118"/>
        <v>5.0400067240769175E-2</v>
      </c>
      <c r="F275" s="65">
        <f t="shared" si="118"/>
        <v>5.0285619710470186E-2</v>
      </c>
      <c r="G275" s="65">
        <f t="shared" si="118"/>
        <v>5.0171432065480914E-2</v>
      </c>
      <c r="H275" s="65">
        <f t="shared" si="118"/>
        <v>5.0057503715663643E-2</v>
      </c>
      <c r="I275" s="65">
        <f t="shared" si="118"/>
        <v>4.9943834072211146E-2</v>
      </c>
      <c r="J275" s="65">
        <f t="shared" si="118"/>
        <v>4.4847380292893924E-2</v>
      </c>
      <c r="K275" s="65">
        <f t="shared" si="118"/>
        <v>3.5796433360231639E-2</v>
      </c>
      <c r="L275" s="65">
        <f t="shared" si="118"/>
        <v>2.8572117990949053E-2</v>
      </c>
      <c r="M275" s="65">
        <f t="shared" si="118"/>
        <v>2.2805789567729828E-2</v>
      </c>
      <c r="N275" s="65">
        <f t="shared" si="118"/>
        <v>1.8203202085765646E-2</v>
      </c>
      <c r="O275" s="65">
        <f t="shared" si="118"/>
        <v>1.4529493275869054E-2</v>
      </c>
      <c r="P275" s="65">
        <f t="shared" si="118"/>
        <v>1.159719997937092E-2</v>
      </c>
      <c r="Q275" s="65">
        <f t="shared" si="118"/>
        <v>9.2566922196035684E-3</v>
      </c>
      <c r="R275" s="65">
        <f t="shared" si="118"/>
        <v>7.3885378367957166E-3</v>
      </c>
      <c r="S275" s="65">
        <f t="shared" si="118"/>
        <v>5.8974080665826767E-3</v>
      </c>
      <c r="T275" s="65">
        <f t="shared" si="118"/>
        <v>4.7072130740928309E-3</v>
      </c>
      <c r="U275" s="65">
        <f t="shared" si="118"/>
        <v>3.203389507764557E-5</v>
      </c>
      <c r="V275" s="65">
        <f t="shared" si="118"/>
        <v>1.1414697538460325E-5</v>
      </c>
      <c r="W275" s="65">
        <f t="shared" si="118"/>
        <v>3.8825377011783698E-6</v>
      </c>
      <c r="X275" s="65">
        <f t="shared" si="118"/>
        <v>1.2631699914758023E-6</v>
      </c>
      <c r="Y275" s="65">
        <f t="shared" ref="Y275" si="129">Y238-Y237</f>
        <v>0.44132221019134477</v>
      </c>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row>
    <row r="276" spans="4:79">
      <c r="D276" s="57" t="s">
        <v>285</v>
      </c>
      <c r="E276" s="65">
        <f t="shared" si="118"/>
        <v>1.215167292259844</v>
      </c>
      <c r="F276" s="65">
        <f t="shared" si="118"/>
        <v>1.2124079130940224</v>
      </c>
      <c r="G276" s="65">
        <f t="shared" si="118"/>
        <v>1.2096547998748131</v>
      </c>
      <c r="H276" s="65">
        <f t="shared" si="118"/>
        <v>1.2069079383736261</v>
      </c>
      <c r="I276" s="65">
        <f t="shared" si="118"/>
        <v>1.2041673143941747</v>
      </c>
      <c r="J276" s="65">
        <f t="shared" si="118"/>
        <v>1.0812896223951682</v>
      </c>
      <c r="K276" s="65">
        <f t="shared" si="118"/>
        <v>0.86306740011104122</v>
      </c>
      <c r="L276" s="65">
        <f t="shared" si="118"/>
        <v>0.68888605023734151</v>
      </c>
      <c r="M276" s="65">
        <f t="shared" si="118"/>
        <v>0.54985739254031341</v>
      </c>
      <c r="N276" s="65">
        <f t="shared" si="118"/>
        <v>0.43888702932374146</v>
      </c>
      <c r="O276" s="65">
        <f t="shared" si="118"/>
        <v>0.35031233029116082</v>
      </c>
      <c r="P276" s="65">
        <f t="shared" si="118"/>
        <v>0.27961347808139658</v>
      </c>
      <c r="Q276" s="65">
        <f t="shared" si="118"/>
        <v>0.22318282961891001</v>
      </c>
      <c r="R276" s="65">
        <f t="shared" si="118"/>
        <v>0.17814082417802313</v>
      </c>
      <c r="S276" s="65">
        <f t="shared" si="118"/>
        <v>0.14218904426031398</v>
      </c>
      <c r="T276" s="65">
        <f t="shared" si="118"/>
        <v>0.1134929312298294</v>
      </c>
      <c r="U276" s="65">
        <f t="shared" si="118"/>
        <v>7.7235098429690157E-4</v>
      </c>
      <c r="V276" s="65">
        <f t="shared" si="118"/>
        <v>2.7521326575841816E-4</v>
      </c>
      <c r="W276" s="65">
        <f t="shared" si="118"/>
        <v>9.3609653393899564E-5</v>
      </c>
      <c r="X276" s="65">
        <f t="shared" si="118"/>
        <v>3.0455571633917426E-5</v>
      </c>
      <c r="Y276" s="65">
        <f t="shared" ref="Y276" si="130">Y239-Y238</f>
        <v>10.640468247997305</v>
      </c>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A276" s="59"/>
    </row>
    <row r="277" spans="4:79">
      <c r="D277" s="57" t="s">
        <v>288</v>
      </c>
      <c r="E277" s="65">
        <f t="shared" si="118"/>
        <v>0.34499355958124944</v>
      </c>
      <c r="F277" s="65">
        <f t="shared" si="118"/>
        <v>0.34421015465690985</v>
      </c>
      <c r="G277" s="65">
        <f t="shared" si="118"/>
        <v>0.34342852867382412</v>
      </c>
      <c r="H277" s="65">
        <f t="shared" ref="H277:X277" si="131">H240-H239</f>
        <v>0.34264867759240758</v>
      </c>
      <c r="I277" s="65">
        <f t="shared" si="131"/>
        <v>0.34187059738224157</v>
      </c>
      <c r="J277" s="65">
        <f t="shared" si="131"/>
        <v>0.30698485561986644</v>
      </c>
      <c r="K277" s="65">
        <f t="shared" si="131"/>
        <v>0.24503020811983145</v>
      </c>
      <c r="L277" s="65">
        <f t="shared" si="131"/>
        <v>0.19557903848388491</v>
      </c>
      <c r="M277" s="65">
        <f t="shared" si="131"/>
        <v>0.15610793700821812</v>
      </c>
      <c r="N277" s="65">
        <f t="shared" si="131"/>
        <v>0.12460276001903781</v>
      </c>
      <c r="O277" s="65">
        <f t="shared" si="131"/>
        <v>9.9455851521146776E-2</v>
      </c>
      <c r="P277" s="65">
        <f t="shared" si="131"/>
        <v>7.9384007226526609E-2</v>
      </c>
      <c r="Q277" s="65">
        <f t="shared" si="131"/>
        <v>6.3362994805803652E-2</v>
      </c>
      <c r="R277" s="65">
        <f t="shared" si="131"/>
        <v>5.0575289041578042E-2</v>
      </c>
      <c r="S277" s="65">
        <f t="shared" si="131"/>
        <v>4.0368354896711311E-2</v>
      </c>
      <c r="T277" s="65">
        <f t="shared" si="131"/>
        <v>3.2221349752982076E-2</v>
      </c>
      <c r="U277" s="65">
        <f t="shared" si="131"/>
        <v>2.1927525289389647E-4</v>
      </c>
      <c r="V277" s="65">
        <f t="shared" si="131"/>
        <v>7.8134759553480327E-5</v>
      </c>
      <c r="W277" s="65">
        <f t="shared" si="131"/>
        <v>2.6576363387357041E-5</v>
      </c>
      <c r="X277" s="65">
        <f t="shared" si="131"/>
        <v>8.6465263951657765E-6</v>
      </c>
      <c r="Y277" s="65">
        <f t="shared" ref="Y277" si="132">Y240-Y239</f>
        <v>3.020895180334449</v>
      </c>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c r="BV277" s="59"/>
      <c r="BW277" s="59"/>
      <c r="BX277" s="59"/>
      <c r="BY277" s="59"/>
      <c r="BZ277" s="59"/>
      <c r="CA277" s="59"/>
    </row>
    <row r="278" spans="4:79">
      <c r="D278" s="57" t="s">
        <v>291</v>
      </c>
      <c r="E278" s="65">
        <f t="shared" ref="E278:X278" si="133">E241-E240</f>
        <v>0</v>
      </c>
      <c r="F278" s="65">
        <f t="shared" si="133"/>
        <v>0</v>
      </c>
      <c r="G278" s="65">
        <f t="shared" si="133"/>
        <v>0</v>
      </c>
      <c r="H278" s="65">
        <f t="shared" si="133"/>
        <v>0</v>
      </c>
      <c r="I278" s="65">
        <f t="shared" si="133"/>
        <v>0</v>
      </c>
      <c r="J278" s="65">
        <f t="shared" si="133"/>
        <v>0</v>
      </c>
      <c r="K278" s="65">
        <f t="shared" si="133"/>
        <v>0</v>
      </c>
      <c r="L278" s="65">
        <f t="shared" si="133"/>
        <v>0</v>
      </c>
      <c r="M278" s="65">
        <f t="shared" si="133"/>
        <v>0</v>
      </c>
      <c r="N278" s="65">
        <f t="shared" si="133"/>
        <v>0</v>
      </c>
      <c r="O278" s="65">
        <f t="shared" si="133"/>
        <v>0</v>
      </c>
      <c r="P278" s="65">
        <f t="shared" si="133"/>
        <v>0</v>
      </c>
      <c r="Q278" s="65">
        <f t="shared" si="133"/>
        <v>0</v>
      </c>
      <c r="R278" s="65">
        <f t="shared" si="133"/>
        <v>0</v>
      </c>
      <c r="S278" s="65">
        <f t="shared" si="133"/>
        <v>0</v>
      </c>
      <c r="T278" s="65">
        <f t="shared" si="133"/>
        <v>0</v>
      </c>
      <c r="U278" s="65">
        <f t="shared" si="133"/>
        <v>0</v>
      </c>
      <c r="V278" s="65">
        <f t="shared" si="133"/>
        <v>0</v>
      </c>
      <c r="W278" s="65">
        <f t="shared" si="133"/>
        <v>0</v>
      </c>
      <c r="X278" s="65">
        <f t="shared" si="133"/>
        <v>0</v>
      </c>
      <c r="Y278" s="65">
        <f t="shared" ref="Y278" si="134">Y241-Y240</f>
        <v>0</v>
      </c>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c r="BV278" s="59"/>
      <c r="BW278" s="59"/>
      <c r="BX278" s="59"/>
      <c r="BY278" s="59"/>
      <c r="BZ278" s="59"/>
      <c r="CA278" s="59"/>
    </row>
    <row r="279" spans="4:79">
      <c r="D279" s="57" t="s">
        <v>294</v>
      </c>
      <c r="E279" s="65">
        <f t="shared" ref="E279:X279" si="135">E242-E241</f>
        <v>0</v>
      </c>
      <c r="F279" s="65">
        <f t="shared" si="135"/>
        <v>0</v>
      </c>
      <c r="G279" s="65">
        <f t="shared" si="135"/>
        <v>0</v>
      </c>
      <c r="H279" s="65">
        <f t="shared" si="135"/>
        <v>0</v>
      </c>
      <c r="I279" s="65">
        <f t="shared" si="135"/>
        <v>0</v>
      </c>
      <c r="J279" s="65">
        <f t="shared" si="135"/>
        <v>0</v>
      </c>
      <c r="K279" s="65">
        <f t="shared" si="135"/>
        <v>0</v>
      </c>
      <c r="L279" s="65">
        <f t="shared" si="135"/>
        <v>0</v>
      </c>
      <c r="M279" s="65">
        <f t="shared" si="135"/>
        <v>0</v>
      </c>
      <c r="N279" s="65">
        <f t="shared" si="135"/>
        <v>0</v>
      </c>
      <c r="O279" s="65">
        <f t="shared" si="135"/>
        <v>0</v>
      </c>
      <c r="P279" s="65">
        <f t="shared" si="135"/>
        <v>0</v>
      </c>
      <c r="Q279" s="65">
        <f t="shared" si="135"/>
        <v>0</v>
      </c>
      <c r="R279" s="65">
        <f t="shared" si="135"/>
        <v>0</v>
      </c>
      <c r="S279" s="65">
        <f t="shared" si="135"/>
        <v>0</v>
      </c>
      <c r="T279" s="65">
        <f t="shared" si="135"/>
        <v>0</v>
      </c>
      <c r="U279" s="65">
        <f t="shared" si="135"/>
        <v>0</v>
      </c>
      <c r="V279" s="65">
        <f t="shared" si="135"/>
        <v>0</v>
      </c>
      <c r="W279" s="65">
        <f t="shared" si="135"/>
        <v>0</v>
      </c>
      <c r="X279" s="65">
        <f t="shared" si="135"/>
        <v>0</v>
      </c>
      <c r="Y279" s="65">
        <f t="shared" ref="Y279" si="136">Y242-Y241</f>
        <v>0</v>
      </c>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59"/>
      <c r="BU279" s="59"/>
      <c r="BV279" s="59"/>
      <c r="BW279" s="59"/>
      <c r="BX279" s="59"/>
      <c r="BY279" s="59"/>
      <c r="BZ279" s="59"/>
      <c r="CA279" s="59"/>
    </row>
    <row r="280" spans="4:79">
      <c r="D280" s="57" t="s">
        <v>297</v>
      </c>
      <c r="E280" s="65">
        <f t="shared" ref="E280:X280" si="137">E243-E242</f>
        <v>0</v>
      </c>
      <c r="F280" s="65">
        <f t="shared" si="137"/>
        <v>0</v>
      </c>
      <c r="G280" s="65">
        <f t="shared" si="137"/>
        <v>0</v>
      </c>
      <c r="H280" s="65">
        <f t="shared" si="137"/>
        <v>0</v>
      </c>
      <c r="I280" s="65">
        <f t="shared" si="137"/>
        <v>0</v>
      </c>
      <c r="J280" s="65">
        <f t="shared" si="137"/>
        <v>0</v>
      </c>
      <c r="K280" s="65">
        <f t="shared" si="137"/>
        <v>0</v>
      </c>
      <c r="L280" s="65">
        <f t="shared" si="137"/>
        <v>0</v>
      </c>
      <c r="M280" s="65">
        <f t="shared" si="137"/>
        <v>0</v>
      </c>
      <c r="N280" s="65">
        <f t="shared" si="137"/>
        <v>0</v>
      </c>
      <c r="O280" s="65">
        <f t="shared" si="137"/>
        <v>0</v>
      </c>
      <c r="P280" s="65">
        <f t="shared" si="137"/>
        <v>0</v>
      </c>
      <c r="Q280" s="65">
        <f t="shared" si="137"/>
        <v>0</v>
      </c>
      <c r="R280" s="65">
        <f t="shared" si="137"/>
        <v>0</v>
      </c>
      <c r="S280" s="65">
        <f t="shared" si="137"/>
        <v>0</v>
      </c>
      <c r="T280" s="65">
        <f t="shared" si="137"/>
        <v>0</v>
      </c>
      <c r="U280" s="65">
        <f t="shared" si="137"/>
        <v>0</v>
      </c>
      <c r="V280" s="65">
        <f t="shared" si="137"/>
        <v>0</v>
      </c>
      <c r="W280" s="65">
        <f t="shared" si="137"/>
        <v>0</v>
      </c>
      <c r="X280" s="65">
        <f t="shared" si="137"/>
        <v>0</v>
      </c>
      <c r="Y280" s="65">
        <f t="shared" ref="Y280" si="138">Y243-Y242</f>
        <v>0</v>
      </c>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row>
    <row r="281" spans="4:79">
      <c r="D281" s="57" t="s">
        <v>300</v>
      </c>
      <c r="E281" s="65">
        <f t="shared" ref="E281:X281" si="139">E244-E243</f>
        <v>2.8435545130873106</v>
      </c>
      <c r="F281" s="65">
        <f t="shared" si="139"/>
        <v>2.837097422668343</v>
      </c>
      <c r="G281" s="65">
        <f t="shared" si="139"/>
        <v>2.8306549948895636</v>
      </c>
      <c r="H281" s="65">
        <f t="shared" si="139"/>
        <v>2.8242271964553218</v>
      </c>
      <c r="I281" s="65">
        <f t="shared" si="139"/>
        <v>2.8178139941455758</v>
      </c>
      <c r="J281" s="65">
        <f t="shared" si="139"/>
        <v>2.5302738193341501</v>
      </c>
      <c r="K281" s="65">
        <f t="shared" si="139"/>
        <v>2.0196224966854173</v>
      </c>
      <c r="L281" s="65">
        <f t="shared" si="139"/>
        <v>1.6120291005466001</v>
      </c>
      <c r="M281" s="65">
        <f t="shared" si="139"/>
        <v>1.2866948280056976</v>
      </c>
      <c r="N281" s="65">
        <f t="shared" si="139"/>
        <v>1.0270184203593122</v>
      </c>
      <c r="O281" s="65">
        <f t="shared" si="139"/>
        <v>0.81974902890700507</v>
      </c>
      <c r="P281" s="65">
        <f t="shared" si="139"/>
        <v>0.65431004651199531</v>
      </c>
      <c r="Q281" s="65">
        <f t="shared" si="139"/>
        <v>0.52225940119423697</v>
      </c>
      <c r="R281" s="65">
        <f t="shared" si="139"/>
        <v>0.41685877144905259</v>
      </c>
      <c r="S281" s="65">
        <f t="shared" si="139"/>
        <v>0.33272974107628395</v>
      </c>
      <c r="T281" s="65">
        <f t="shared" si="139"/>
        <v>0.26557934768135605</v>
      </c>
      <c r="U281" s="65">
        <f t="shared" si="139"/>
        <v>1.807341376840855E-3</v>
      </c>
      <c r="V281" s="65">
        <f t="shared" si="139"/>
        <v>6.4401332137032545E-4</v>
      </c>
      <c r="W281" s="65">
        <f t="shared" si="139"/>
        <v>2.1905144589741204E-4</v>
      </c>
      <c r="X281" s="65">
        <f t="shared" si="139"/>
        <v>7.1267617816824305E-5</v>
      </c>
      <c r="Y281" s="65">
        <f t="shared" ref="Y281" si="140">Y244-Y243</f>
        <v>24.899247783148041</v>
      </c>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A281" s="59"/>
    </row>
    <row r="282" spans="4:79">
      <c r="D282" s="57" t="s">
        <v>303</v>
      </c>
      <c r="E282" s="65">
        <f t="shared" ref="E282:X282" si="141">E245-E244</f>
        <v>1.1644851845977762</v>
      </c>
      <c r="F282" s="65">
        <f t="shared" si="141"/>
        <v>1.1618408934143698</v>
      </c>
      <c r="G282" s="65">
        <f t="shared" si="141"/>
        <v>1.1592026068379386</v>
      </c>
      <c r="H282" s="65">
        <f t="shared" si="141"/>
        <v>1.156570311233331</v>
      </c>
      <c r="I282" s="65">
        <f t="shared" si="141"/>
        <v>1.153943992996366</v>
      </c>
      <c r="J282" s="65">
        <f t="shared" si="141"/>
        <v>1.0361912746983712</v>
      </c>
      <c r="K282" s="65">
        <f t="shared" si="141"/>
        <v>0.82707064874136194</v>
      </c>
      <c r="L282" s="65">
        <f t="shared" si="141"/>
        <v>0.66015404174154302</v>
      </c>
      <c r="M282" s="65">
        <f t="shared" si="141"/>
        <v>0.52692398102979876</v>
      </c>
      <c r="N282" s="65">
        <f t="shared" si="141"/>
        <v>0.42058196152496574</v>
      </c>
      <c r="O282" s="65">
        <f t="shared" si="141"/>
        <v>0.33570152949668808</v>
      </c>
      <c r="P282" s="65">
        <f t="shared" si="141"/>
        <v>0.26795137979241712</v>
      </c>
      <c r="Q282" s="65">
        <f t="shared" si="141"/>
        <v>0.21387433664751487</v>
      </c>
      <c r="R282" s="65">
        <f t="shared" si="141"/>
        <v>0.17071093984233654</v>
      </c>
      <c r="S282" s="65">
        <f t="shared" si="141"/>
        <v>0.13625863410570394</v>
      </c>
      <c r="T282" s="65">
        <f t="shared" si="141"/>
        <v>0.10875937643773437</v>
      </c>
      <c r="U282" s="65">
        <f t="shared" si="141"/>
        <v>7.4013782649684067E-4</v>
      </c>
      <c r="V282" s="65">
        <f t="shared" si="141"/>
        <v>2.6373469119996473E-4</v>
      </c>
      <c r="W282" s="65">
        <f t="shared" si="141"/>
        <v>8.9705388885022203E-5</v>
      </c>
      <c r="X282" s="65">
        <f t="shared" si="141"/>
        <v>2.9185332901940429E-5</v>
      </c>
      <c r="Y282" s="65">
        <f t="shared" ref="Y282" si="142">Y245-Y244</f>
        <v>10.196676384313307</v>
      </c>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c r="BV282" s="59"/>
      <c r="BW282" s="59"/>
      <c r="BX282" s="59"/>
      <c r="BY282" s="59"/>
      <c r="BZ282" s="59"/>
      <c r="CA282" s="59"/>
    </row>
    <row r="283" spans="4:79">
      <c r="D283" s="57" t="s">
        <v>306</v>
      </c>
      <c r="E283" s="65">
        <f t="shared" ref="E283:X283" si="143">E246-E245</f>
        <v>3.6027909741576991E-2</v>
      </c>
      <c r="F283" s="65">
        <f t="shared" si="143"/>
        <v>3.5946098237793933E-2</v>
      </c>
      <c r="G283" s="65">
        <f t="shared" si="143"/>
        <v>3.5864472510041878E-2</v>
      </c>
      <c r="H283" s="65">
        <f t="shared" si="143"/>
        <v>3.5783032136468051E-2</v>
      </c>
      <c r="I283" s="65">
        <f t="shared" si="143"/>
        <v>3.5701776696171805E-2</v>
      </c>
      <c r="J283" s="65">
        <f t="shared" si="143"/>
        <v>3.2058635192287355E-2</v>
      </c>
      <c r="K283" s="65">
        <f t="shared" si="143"/>
        <v>2.5588669634345251E-2</v>
      </c>
      <c r="L283" s="65">
        <f t="shared" si="143"/>
        <v>2.042445068944243E-2</v>
      </c>
      <c r="M283" s="65">
        <f t="shared" si="143"/>
        <v>1.6302456982972835E-2</v>
      </c>
      <c r="N283" s="65">
        <f t="shared" si="143"/>
        <v>1.3012350134785855E-2</v>
      </c>
      <c r="O283" s="65">
        <f t="shared" si="143"/>
        <v>1.0386241546727071E-2</v>
      </c>
      <c r="P283" s="65">
        <f t="shared" si="143"/>
        <v>8.2901253309013434E-3</v>
      </c>
      <c r="Q283" s="65">
        <f t="shared" si="143"/>
        <v>6.6170402154477337E-3</v>
      </c>
      <c r="R283" s="65">
        <f t="shared" si="143"/>
        <v>5.2816114914027157E-3</v>
      </c>
      <c r="S283" s="65">
        <f t="shared" si="143"/>
        <v>4.2156944854276901E-3</v>
      </c>
      <c r="T283" s="65">
        <f t="shared" si="143"/>
        <v>3.364897252172705E-3</v>
      </c>
      <c r="U283" s="65">
        <f t="shared" si="143"/>
        <v>2.2899062317022906E-5</v>
      </c>
      <c r="V283" s="65">
        <f t="shared" si="143"/>
        <v>8.1596655551762799E-6</v>
      </c>
      <c r="W283" s="65">
        <f t="shared" si="143"/>
        <v>2.7753875247447154E-6</v>
      </c>
      <c r="X283" s="65">
        <f t="shared" si="143"/>
        <v>9.0296257391391313E-7</v>
      </c>
      <c r="Y283" s="65">
        <f t="shared" ref="Y283" si="144">Y246-Y245</f>
        <v>0.31547411791676438</v>
      </c>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c r="BV283" s="59"/>
      <c r="BW283" s="59"/>
      <c r="BX283" s="59"/>
      <c r="BY283" s="59"/>
      <c r="BZ283" s="59"/>
      <c r="CA283" s="59"/>
    </row>
    <row r="284" spans="4:79">
      <c r="D284" s="57" t="s">
        <v>309</v>
      </c>
      <c r="E284" s="65">
        <f t="shared" ref="E284:X284" si="145">E247-E246</f>
        <v>2.0198487333370707E-2</v>
      </c>
      <c r="F284" s="65">
        <f t="shared" si="145"/>
        <v>2.0152620986010561E-2</v>
      </c>
      <c r="G284" s="65">
        <f t="shared" si="145"/>
        <v>2.0106858791091753E-2</v>
      </c>
      <c r="H284" s="65">
        <f t="shared" si="145"/>
        <v>2.006120051211191E-2</v>
      </c>
      <c r="I284" s="65">
        <f t="shared" si="145"/>
        <v>2.0015645913098012E-2</v>
      </c>
      <c r="J284" s="65">
        <f t="shared" si="145"/>
        <v>1.7973175282753218E-2</v>
      </c>
      <c r="K284" s="65">
        <f t="shared" si="145"/>
        <v>1.4345889705909443E-2</v>
      </c>
      <c r="L284" s="65">
        <f t="shared" si="145"/>
        <v>1.145065066224582E-2</v>
      </c>
      <c r="M284" s="65">
        <f t="shared" si="145"/>
        <v>9.1397189910633614E-3</v>
      </c>
      <c r="N284" s="65">
        <f t="shared" si="145"/>
        <v>7.2951717504601277E-3</v>
      </c>
      <c r="O284" s="65">
        <f t="shared" si="145"/>
        <v>5.8228848086843144E-3</v>
      </c>
      <c r="P284" s="65">
        <f t="shared" si="145"/>
        <v>4.6477298485902985E-3</v>
      </c>
      <c r="Q284" s="65">
        <f t="shared" si="145"/>
        <v>3.7097406964434754E-3</v>
      </c>
      <c r="R284" s="65">
        <f t="shared" si="145"/>
        <v>2.9610533493085178E-3</v>
      </c>
      <c r="S284" s="65">
        <f t="shared" si="145"/>
        <v>2.3634635557834294E-3</v>
      </c>
      <c r="T284" s="65">
        <f t="shared" si="145"/>
        <v>1.8864773175468752E-3</v>
      </c>
      <c r="U284" s="65">
        <f t="shared" si="145"/>
        <v>1.2838003189031763E-5</v>
      </c>
      <c r="V284" s="65">
        <f t="shared" si="145"/>
        <v>4.5745896040858512E-6</v>
      </c>
      <c r="W284" s="65">
        <f t="shared" si="145"/>
        <v>1.5559778562190471E-6</v>
      </c>
      <c r="X284" s="65">
        <f t="shared" si="145"/>
        <v>5.062319252637686E-7</v>
      </c>
      <c r="Y284" s="65">
        <f t="shared" ref="Y284:Y295" si="146">Y247-Y246</f>
        <v>0.17686565833139412</v>
      </c>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A284" s="59"/>
    </row>
    <row r="285" spans="4:79">
      <c r="D285" s="27" t="s">
        <v>1376</v>
      </c>
      <c r="E285" s="65">
        <f t="shared" ref="E285:X285" si="147">E248-E247</f>
        <v>0.53332274162402449</v>
      </c>
      <c r="F285" s="65">
        <f t="shared" si="147"/>
        <v>0.53211168231451822</v>
      </c>
      <c r="G285" s="65">
        <f t="shared" si="147"/>
        <v>0.53090337305584967</v>
      </c>
      <c r="H285" s="65">
        <f t="shared" si="147"/>
        <v>0.52969780760325236</v>
      </c>
      <c r="I285" s="65">
        <f t="shared" si="147"/>
        <v>0.52849497972614046</v>
      </c>
      <c r="J285" s="65">
        <f t="shared" si="147"/>
        <v>0.47456539488727678</v>
      </c>
      <c r="K285" s="65">
        <f t="shared" si="147"/>
        <v>0.3787902085296686</v>
      </c>
      <c r="L285" s="65">
        <f t="shared" si="147"/>
        <v>0.30234404704546769</v>
      </c>
      <c r="M285" s="65">
        <f t="shared" si="147"/>
        <v>0.24132599186938108</v>
      </c>
      <c r="N285" s="65">
        <f t="shared" si="147"/>
        <v>0.19262239465552433</v>
      </c>
      <c r="O285" s="65">
        <f t="shared" si="147"/>
        <v>0.15374799305874642</v>
      </c>
      <c r="P285" s="65">
        <f t="shared" si="147"/>
        <v>0.12271909199273567</v>
      </c>
      <c r="Q285" s="65">
        <f t="shared" si="147"/>
        <v>9.7952339018611667E-2</v>
      </c>
      <c r="R285" s="65">
        <f t="shared" si="147"/>
        <v>7.8183928542960412E-2</v>
      </c>
      <c r="S285" s="65">
        <f t="shared" si="147"/>
        <v>6.2405111951939096E-2</v>
      </c>
      <c r="T285" s="65">
        <f t="shared" si="147"/>
        <v>4.9810722872465574E-2</v>
      </c>
      <c r="U285" s="65">
        <f t="shared" si="147"/>
        <v>3.3897583243472883E-4</v>
      </c>
      <c r="V285" s="65">
        <f t="shared" si="147"/>
        <v>1.2078789016170674E-4</v>
      </c>
      <c r="W285" s="65">
        <f t="shared" si="147"/>
        <v>4.1084184299978533E-5</v>
      </c>
      <c r="X285" s="65">
        <f t="shared" si="147"/>
        <v>1.3366594924820027E-5</v>
      </c>
      <c r="Y285" s="65">
        <f t="shared" si="146"/>
        <v>4.6699773227370827</v>
      </c>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row>
    <row r="286" spans="4:79">
      <c r="D286" s="27" t="s">
        <v>1378</v>
      </c>
      <c r="E286" s="65">
        <f t="shared" ref="E286:X286" si="148">E249-E248</f>
        <v>0</v>
      </c>
      <c r="F286" s="65">
        <f t="shared" si="148"/>
        <v>0</v>
      </c>
      <c r="G286" s="65">
        <f t="shared" si="148"/>
        <v>0</v>
      </c>
      <c r="H286" s="65">
        <f t="shared" si="148"/>
        <v>0</v>
      </c>
      <c r="I286" s="65">
        <f t="shared" si="148"/>
        <v>0</v>
      </c>
      <c r="J286" s="65">
        <f t="shared" si="148"/>
        <v>0</v>
      </c>
      <c r="K286" s="65">
        <f t="shared" si="148"/>
        <v>0</v>
      </c>
      <c r="L286" s="65">
        <f t="shared" si="148"/>
        <v>0</v>
      </c>
      <c r="M286" s="65">
        <f t="shared" si="148"/>
        <v>0</v>
      </c>
      <c r="N286" s="65">
        <f t="shared" si="148"/>
        <v>0</v>
      </c>
      <c r="O286" s="65">
        <f t="shared" si="148"/>
        <v>0</v>
      </c>
      <c r="P286" s="65">
        <f t="shared" si="148"/>
        <v>0</v>
      </c>
      <c r="Q286" s="65">
        <f t="shared" si="148"/>
        <v>0</v>
      </c>
      <c r="R286" s="65">
        <f t="shared" si="148"/>
        <v>0</v>
      </c>
      <c r="S286" s="65">
        <f t="shared" si="148"/>
        <v>0</v>
      </c>
      <c r="T286" s="65">
        <f t="shared" si="148"/>
        <v>0</v>
      </c>
      <c r="U286" s="65">
        <f t="shared" si="148"/>
        <v>0</v>
      </c>
      <c r="V286" s="65">
        <f t="shared" si="148"/>
        <v>0</v>
      </c>
      <c r="W286" s="65">
        <f t="shared" si="148"/>
        <v>0</v>
      </c>
      <c r="X286" s="65">
        <f t="shared" si="148"/>
        <v>0</v>
      </c>
      <c r="Y286" s="65">
        <f t="shared" si="146"/>
        <v>0</v>
      </c>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row>
    <row r="287" spans="4:79">
      <c r="D287" s="27" t="s">
        <v>1381</v>
      </c>
      <c r="E287" s="65">
        <f t="shared" ref="E287:X287" si="149">E250-E249</f>
        <v>0</v>
      </c>
      <c r="F287" s="65">
        <f t="shared" si="149"/>
        <v>0</v>
      </c>
      <c r="G287" s="65">
        <f t="shared" si="149"/>
        <v>0</v>
      </c>
      <c r="H287" s="65">
        <f t="shared" si="149"/>
        <v>0</v>
      </c>
      <c r="I287" s="65">
        <f t="shared" si="149"/>
        <v>0</v>
      </c>
      <c r="J287" s="65">
        <f t="shared" si="149"/>
        <v>0</v>
      </c>
      <c r="K287" s="65">
        <f t="shared" si="149"/>
        <v>0</v>
      </c>
      <c r="L287" s="65">
        <f t="shared" si="149"/>
        <v>0</v>
      </c>
      <c r="M287" s="65">
        <f t="shared" si="149"/>
        <v>0</v>
      </c>
      <c r="N287" s="65">
        <f t="shared" si="149"/>
        <v>0</v>
      </c>
      <c r="O287" s="65">
        <f t="shared" si="149"/>
        <v>0</v>
      </c>
      <c r="P287" s="65">
        <f t="shared" si="149"/>
        <v>0</v>
      </c>
      <c r="Q287" s="65">
        <f t="shared" si="149"/>
        <v>0</v>
      </c>
      <c r="R287" s="65">
        <f t="shared" si="149"/>
        <v>0</v>
      </c>
      <c r="S287" s="65">
        <f t="shared" si="149"/>
        <v>0</v>
      </c>
      <c r="T287" s="65">
        <f t="shared" si="149"/>
        <v>0</v>
      </c>
      <c r="U287" s="65">
        <f t="shared" si="149"/>
        <v>0</v>
      </c>
      <c r="V287" s="65">
        <f t="shared" si="149"/>
        <v>0</v>
      </c>
      <c r="W287" s="65">
        <f t="shared" si="149"/>
        <v>0</v>
      </c>
      <c r="X287" s="65">
        <f t="shared" si="149"/>
        <v>0</v>
      </c>
      <c r="Y287" s="65">
        <f t="shared" si="146"/>
        <v>0</v>
      </c>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c r="CA287" s="59"/>
    </row>
    <row r="288" spans="4:79">
      <c r="D288" s="27" t="s">
        <v>1384</v>
      </c>
      <c r="E288" s="65">
        <f t="shared" ref="E288:X288" si="150">E251-E250</f>
        <v>0</v>
      </c>
      <c r="F288" s="65">
        <f t="shared" si="150"/>
        <v>0</v>
      </c>
      <c r="G288" s="65">
        <f t="shared" si="150"/>
        <v>0</v>
      </c>
      <c r="H288" s="65">
        <f t="shared" si="150"/>
        <v>0</v>
      </c>
      <c r="I288" s="65">
        <f t="shared" si="150"/>
        <v>0</v>
      </c>
      <c r="J288" s="65">
        <f t="shared" si="150"/>
        <v>0</v>
      </c>
      <c r="K288" s="65">
        <f t="shared" si="150"/>
        <v>0</v>
      </c>
      <c r="L288" s="65">
        <f t="shared" si="150"/>
        <v>0</v>
      </c>
      <c r="M288" s="65">
        <f t="shared" si="150"/>
        <v>0</v>
      </c>
      <c r="N288" s="65">
        <f t="shared" si="150"/>
        <v>0</v>
      </c>
      <c r="O288" s="65">
        <f t="shared" si="150"/>
        <v>0</v>
      </c>
      <c r="P288" s="65">
        <f t="shared" si="150"/>
        <v>0</v>
      </c>
      <c r="Q288" s="65">
        <f t="shared" si="150"/>
        <v>0</v>
      </c>
      <c r="R288" s="65">
        <f t="shared" si="150"/>
        <v>0</v>
      </c>
      <c r="S288" s="65">
        <f t="shared" si="150"/>
        <v>0</v>
      </c>
      <c r="T288" s="65">
        <f t="shared" si="150"/>
        <v>0</v>
      </c>
      <c r="U288" s="65">
        <f t="shared" si="150"/>
        <v>0</v>
      </c>
      <c r="V288" s="65">
        <f t="shared" si="150"/>
        <v>0</v>
      </c>
      <c r="W288" s="65">
        <f t="shared" si="150"/>
        <v>0</v>
      </c>
      <c r="X288" s="65">
        <f t="shared" si="150"/>
        <v>0</v>
      </c>
      <c r="Y288" s="65">
        <f t="shared" si="146"/>
        <v>0</v>
      </c>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row>
    <row r="289" spans="4:79">
      <c r="D289" s="27" t="s">
        <v>1387</v>
      </c>
      <c r="E289" s="65">
        <f t="shared" ref="E289:X289" si="151">E252-E251</f>
        <v>0</v>
      </c>
      <c r="F289" s="65">
        <f t="shared" si="151"/>
        <v>0</v>
      </c>
      <c r="G289" s="65">
        <f t="shared" si="151"/>
        <v>0</v>
      </c>
      <c r="H289" s="65">
        <f t="shared" si="151"/>
        <v>0</v>
      </c>
      <c r="I289" s="65">
        <f t="shared" si="151"/>
        <v>0</v>
      </c>
      <c r="J289" s="65">
        <f t="shared" si="151"/>
        <v>0</v>
      </c>
      <c r="K289" s="65">
        <f t="shared" si="151"/>
        <v>0</v>
      </c>
      <c r="L289" s="65">
        <f t="shared" si="151"/>
        <v>0</v>
      </c>
      <c r="M289" s="65">
        <f t="shared" si="151"/>
        <v>0</v>
      </c>
      <c r="N289" s="65">
        <f t="shared" si="151"/>
        <v>0</v>
      </c>
      <c r="O289" s="65">
        <f t="shared" si="151"/>
        <v>0</v>
      </c>
      <c r="P289" s="65">
        <f t="shared" si="151"/>
        <v>0</v>
      </c>
      <c r="Q289" s="65">
        <f t="shared" si="151"/>
        <v>0</v>
      </c>
      <c r="R289" s="65">
        <f t="shared" si="151"/>
        <v>0</v>
      </c>
      <c r="S289" s="65">
        <f t="shared" si="151"/>
        <v>0</v>
      </c>
      <c r="T289" s="65">
        <f t="shared" si="151"/>
        <v>0</v>
      </c>
      <c r="U289" s="65">
        <f t="shared" si="151"/>
        <v>0</v>
      </c>
      <c r="V289" s="65">
        <f t="shared" si="151"/>
        <v>0</v>
      </c>
      <c r="W289" s="65">
        <f t="shared" si="151"/>
        <v>0</v>
      </c>
      <c r="X289" s="65">
        <f t="shared" si="151"/>
        <v>0</v>
      </c>
      <c r="Y289" s="65">
        <f t="shared" si="146"/>
        <v>0</v>
      </c>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row>
    <row r="290" spans="4:79">
      <c r="D290" s="27" t="s">
        <v>1390</v>
      </c>
      <c r="E290" s="65">
        <f t="shared" ref="E290:X290" si="152">E253-E252</f>
        <v>0</v>
      </c>
      <c r="F290" s="65">
        <f t="shared" si="152"/>
        <v>0</v>
      </c>
      <c r="G290" s="65">
        <f t="shared" si="152"/>
        <v>0</v>
      </c>
      <c r="H290" s="65">
        <f t="shared" si="152"/>
        <v>0</v>
      </c>
      <c r="I290" s="65">
        <f t="shared" si="152"/>
        <v>0</v>
      </c>
      <c r="J290" s="65">
        <f t="shared" si="152"/>
        <v>0</v>
      </c>
      <c r="K290" s="65">
        <f t="shared" si="152"/>
        <v>0</v>
      </c>
      <c r="L290" s="65">
        <f t="shared" si="152"/>
        <v>0</v>
      </c>
      <c r="M290" s="65">
        <f t="shared" si="152"/>
        <v>0</v>
      </c>
      <c r="N290" s="65">
        <f t="shared" si="152"/>
        <v>0</v>
      </c>
      <c r="O290" s="65">
        <f t="shared" si="152"/>
        <v>0</v>
      </c>
      <c r="P290" s="65">
        <f t="shared" si="152"/>
        <v>0</v>
      </c>
      <c r="Q290" s="65">
        <f t="shared" si="152"/>
        <v>0</v>
      </c>
      <c r="R290" s="65">
        <f t="shared" si="152"/>
        <v>0</v>
      </c>
      <c r="S290" s="65">
        <f t="shared" si="152"/>
        <v>0</v>
      </c>
      <c r="T290" s="65">
        <f t="shared" si="152"/>
        <v>0</v>
      </c>
      <c r="U290" s="65">
        <f t="shared" si="152"/>
        <v>0</v>
      </c>
      <c r="V290" s="65">
        <f t="shared" si="152"/>
        <v>0</v>
      </c>
      <c r="W290" s="65">
        <f t="shared" si="152"/>
        <v>0</v>
      </c>
      <c r="X290" s="65">
        <f t="shared" si="152"/>
        <v>0</v>
      </c>
      <c r="Y290" s="65">
        <f t="shared" si="146"/>
        <v>0</v>
      </c>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row>
    <row r="291" spans="4:79">
      <c r="D291" s="27" t="s">
        <v>1393</v>
      </c>
      <c r="E291" s="65">
        <f t="shared" ref="E291:X291" si="153">E254-E253</f>
        <v>0</v>
      </c>
      <c r="F291" s="65">
        <f t="shared" si="153"/>
        <v>0</v>
      </c>
      <c r="G291" s="65">
        <f t="shared" si="153"/>
        <v>0</v>
      </c>
      <c r="H291" s="65">
        <f t="shared" si="153"/>
        <v>0</v>
      </c>
      <c r="I291" s="65">
        <f t="shared" si="153"/>
        <v>0</v>
      </c>
      <c r="J291" s="65">
        <f t="shared" si="153"/>
        <v>0</v>
      </c>
      <c r="K291" s="65">
        <f t="shared" si="153"/>
        <v>0</v>
      </c>
      <c r="L291" s="65">
        <f t="shared" si="153"/>
        <v>0</v>
      </c>
      <c r="M291" s="65">
        <f t="shared" si="153"/>
        <v>0</v>
      </c>
      <c r="N291" s="65">
        <f t="shared" si="153"/>
        <v>0</v>
      </c>
      <c r="O291" s="65">
        <f t="shared" si="153"/>
        <v>0</v>
      </c>
      <c r="P291" s="65">
        <f t="shared" si="153"/>
        <v>0</v>
      </c>
      <c r="Q291" s="65">
        <f t="shared" si="153"/>
        <v>0</v>
      </c>
      <c r="R291" s="65">
        <f t="shared" si="153"/>
        <v>0</v>
      </c>
      <c r="S291" s="65">
        <f t="shared" si="153"/>
        <v>0</v>
      </c>
      <c r="T291" s="65">
        <f t="shared" si="153"/>
        <v>0</v>
      </c>
      <c r="U291" s="65">
        <f t="shared" si="153"/>
        <v>0</v>
      </c>
      <c r="V291" s="65">
        <f t="shared" si="153"/>
        <v>0</v>
      </c>
      <c r="W291" s="65">
        <f t="shared" si="153"/>
        <v>0</v>
      </c>
      <c r="X291" s="65">
        <f t="shared" si="153"/>
        <v>0</v>
      </c>
      <c r="Y291" s="65">
        <f t="shared" si="146"/>
        <v>0</v>
      </c>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c r="CA291" s="59"/>
    </row>
    <row r="292" spans="4:79">
      <c r="D292" s="27" t="s">
        <v>1396</v>
      </c>
      <c r="E292" s="65">
        <f t="shared" ref="E292:X292" si="154">E255-E254</f>
        <v>0</v>
      </c>
      <c r="F292" s="65">
        <f t="shared" si="154"/>
        <v>0</v>
      </c>
      <c r="G292" s="65">
        <f t="shared" si="154"/>
        <v>0</v>
      </c>
      <c r="H292" s="65">
        <f t="shared" si="154"/>
        <v>0</v>
      </c>
      <c r="I292" s="65">
        <f t="shared" si="154"/>
        <v>0</v>
      </c>
      <c r="J292" s="65">
        <f t="shared" si="154"/>
        <v>0</v>
      </c>
      <c r="K292" s="65">
        <f t="shared" si="154"/>
        <v>0</v>
      </c>
      <c r="L292" s="65">
        <f t="shared" si="154"/>
        <v>0</v>
      </c>
      <c r="M292" s="65">
        <f t="shared" si="154"/>
        <v>0</v>
      </c>
      <c r="N292" s="65">
        <f t="shared" si="154"/>
        <v>0</v>
      </c>
      <c r="O292" s="65">
        <f t="shared" si="154"/>
        <v>0</v>
      </c>
      <c r="P292" s="65">
        <f t="shared" si="154"/>
        <v>0</v>
      </c>
      <c r="Q292" s="65">
        <f t="shared" si="154"/>
        <v>0</v>
      </c>
      <c r="R292" s="65">
        <f t="shared" si="154"/>
        <v>0</v>
      </c>
      <c r="S292" s="65">
        <f t="shared" si="154"/>
        <v>0</v>
      </c>
      <c r="T292" s="65">
        <f t="shared" si="154"/>
        <v>0</v>
      </c>
      <c r="U292" s="65">
        <f t="shared" si="154"/>
        <v>0</v>
      </c>
      <c r="V292" s="65">
        <f t="shared" si="154"/>
        <v>0</v>
      </c>
      <c r="W292" s="65">
        <f t="shared" si="154"/>
        <v>0</v>
      </c>
      <c r="X292" s="65">
        <f t="shared" si="154"/>
        <v>0</v>
      </c>
      <c r="Y292" s="65">
        <f t="shared" si="146"/>
        <v>0</v>
      </c>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row>
    <row r="293" spans="4:79">
      <c r="D293" s="27" t="s">
        <v>1399</v>
      </c>
      <c r="E293" s="65">
        <f t="shared" ref="E293:X293" si="155">E256-E255</f>
        <v>1.6914396781318732</v>
      </c>
      <c r="F293" s="65">
        <f t="shared" si="155"/>
        <v>1.6875987885376471</v>
      </c>
      <c r="G293" s="65">
        <f t="shared" si="155"/>
        <v>1.6837666207636985</v>
      </c>
      <c r="H293" s="65">
        <f t="shared" si="155"/>
        <v>1.679943155004672</v>
      </c>
      <c r="I293" s="65">
        <f t="shared" si="155"/>
        <v>1.6761283715002016</v>
      </c>
      <c r="J293" s="65">
        <f t="shared" si="155"/>
        <v>1.5050900254813033</v>
      </c>
      <c r="K293" s="65">
        <f t="shared" si="155"/>
        <v>1.2013378361551332</v>
      </c>
      <c r="L293" s="65">
        <f t="shared" si="155"/>
        <v>0.958887888527717</v>
      </c>
      <c r="M293" s="65">
        <f t="shared" si="155"/>
        <v>0.76536837107194078</v>
      </c>
      <c r="N293" s="65">
        <f t="shared" si="155"/>
        <v>0.61090430950873742</v>
      </c>
      <c r="O293" s="65">
        <f t="shared" si="155"/>
        <v>0.48761366354041291</v>
      </c>
      <c r="P293" s="65">
        <f t="shared" si="155"/>
        <v>0.38920511964059479</v>
      </c>
      <c r="Q293" s="65">
        <f t="shared" si="155"/>
        <v>0.31065705594588033</v>
      </c>
      <c r="R293" s="65">
        <f t="shared" si="155"/>
        <v>0.24796129736957262</v>
      </c>
      <c r="S293" s="65">
        <f t="shared" si="155"/>
        <v>0.19791858519354877</v>
      </c>
      <c r="T293" s="65">
        <f t="shared" si="155"/>
        <v>0.15797532429681005</v>
      </c>
      <c r="U293" s="65">
        <f t="shared" si="155"/>
        <v>1.0750660494280619E-3</v>
      </c>
      <c r="V293" s="65">
        <f t="shared" si="155"/>
        <v>3.8308028912326791E-4</v>
      </c>
      <c r="W293" s="65">
        <f t="shared" si="155"/>
        <v>1.3029899917085352E-4</v>
      </c>
      <c r="X293" s="65">
        <f t="shared" si="155"/>
        <v>4.2392321295938948E-5</v>
      </c>
      <c r="Y293" s="65">
        <f t="shared" si="146"/>
        <v>14.810890898071023</v>
      </c>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row>
    <row r="294" spans="4:79">
      <c r="D294" s="27" t="s">
        <v>1402</v>
      </c>
      <c r="E294" s="65">
        <f t="shared" ref="E294:X294" si="156">E257-E256</f>
        <v>0.14626049059207347</v>
      </c>
      <c r="F294" s="65">
        <f t="shared" si="156"/>
        <v>0.14592836500484374</v>
      </c>
      <c r="G294" s="65">
        <f t="shared" si="156"/>
        <v>0.14559699360219014</v>
      </c>
      <c r="H294" s="65">
        <f t="shared" si="156"/>
        <v>0.14526637467151993</v>
      </c>
      <c r="I294" s="65">
        <f t="shared" si="156"/>
        <v>0.14493650650413414</v>
      </c>
      <c r="J294" s="65">
        <f t="shared" si="156"/>
        <v>0.13014664865569614</v>
      </c>
      <c r="K294" s="65">
        <f t="shared" si="156"/>
        <v>0.10388089126354849</v>
      </c>
      <c r="L294" s="65">
        <f t="shared" si="156"/>
        <v>8.29160003824434E-2</v>
      </c>
      <c r="M294" s="65">
        <f t="shared" si="156"/>
        <v>6.6182173023324076E-2</v>
      </c>
      <c r="N294" s="65">
        <f t="shared" si="156"/>
        <v>5.2825510225847694E-2</v>
      </c>
      <c r="O294" s="65">
        <f t="shared" si="156"/>
        <v>4.2164444035975635E-2</v>
      </c>
      <c r="P294" s="65">
        <f t="shared" si="156"/>
        <v>3.3654958243885869E-2</v>
      </c>
      <c r="Q294" s="65">
        <f t="shared" si="156"/>
        <v>2.6862828155193696E-2</v>
      </c>
      <c r="R294" s="65">
        <f t="shared" si="156"/>
        <v>2.144146283784476E-2</v>
      </c>
      <c r="S294" s="65">
        <f t="shared" si="156"/>
        <v>1.7114219171959544E-2</v>
      </c>
      <c r="T294" s="65">
        <f t="shared" si="156"/>
        <v>1.3660285218455082E-2</v>
      </c>
      <c r="U294" s="65">
        <f t="shared" si="156"/>
        <v>9.2962042833176495E-5</v>
      </c>
      <c r="V294" s="65">
        <f t="shared" si="156"/>
        <v>3.312533798734401E-5</v>
      </c>
      <c r="W294" s="65">
        <f t="shared" si="156"/>
        <v>1.1267085541846527E-5</v>
      </c>
      <c r="X294" s="65">
        <f t="shared" si="156"/>
        <v>3.6657066700296489E-6</v>
      </c>
      <c r="Y294" s="65">
        <f t="shared" si="146"/>
        <v>1.2807126360250152</v>
      </c>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c r="BV294" s="59"/>
      <c r="BW294" s="59"/>
      <c r="BX294" s="59"/>
      <c r="BY294" s="59"/>
      <c r="BZ294" s="59"/>
      <c r="CA294" s="59"/>
    </row>
    <row r="295" spans="4:79">
      <c r="D295" s="27" t="s">
        <v>1405</v>
      </c>
      <c r="E295" s="65">
        <f t="shared" ref="E295:X295" si="157">E258-E257</f>
        <v>8.3404640232147997E-2</v>
      </c>
      <c r="F295" s="65">
        <f t="shared" si="157"/>
        <v>8.321524653462653E-2</v>
      </c>
      <c r="G295" s="65">
        <f t="shared" si="157"/>
        <v>8.3026282908770455E-2</v>
      </c>
      <c r="H295" s="65">
        <f t="shared" si="157"/>
        <v>8.2837748377983189E-2</v>
      </c>
      <c r="I295" s="65">
        <f t="shared" si="157"/>
        <v>8.2649641967881493E-2</v>
      </c>
      <c r="J295" s="65">
        <f t="shared" si="157"/>
        <v>7.4215766435672847E-2</v>
      </c>
      <c r="K295" s="65">
        <f t="shared" si="157"/>
        <v>5.9237790928760248E-2</v>
      </c>
      <c r="L295" s="65">
        <f t="shared" si="157"/>
        <v>4.7282619888608934E-2</v>
      </c>
      <c r="M295" s="65">
        <f t="shared" si="157"/>
        <v>3.7740201119571992E-2</v>
      </c>
      <c r="N295" s="65">
        <f t="shared" si="157"/>
        <v>3.0123601101234243E-2</v>
      </c>
      <c r="O295" s="65">
        <f t="shared" si="157"/>
        <v>2.4044157592888915E-2</v>
      </c>
      <c r="P295" s="65">
        <f t="shared" si="157"/>
        <v>1.9191646855527544E-2</v>
      </c>
      <c r="Q295" s="65">
        <f t="shared" si="157"/>
        <v>1.5318453458157855E-2</v>
      </c>
      <c r="R295" s="65">
        <f t="shared" si="157"/>
        <v>1.2226934880377627E-2</v>
      </c>
      <c r="S295" s="65">
        <f t="shared" si="157"/>
        <v>9.759336148218889E-3</v>
      </c>
      <c r="T295" s="65">
        <f t="shared" si="157"/>
        <v>7.7897398641404436E-3</v>
      </c>
      <c r="U295" s="65">
        <f t="shared" si="157"/>
        <v>5.301134781074586E-5</v>
      </c>
      <c r="V295" s="65">
        <f t="shared" si="157"/>
        <v>1.8889632369060994E-5</v>
      </c>
      <c r="W295" s="65">
        <f t="shared" si="157"/>
        <v>6.4250243676775877E-6</v>
      </c>
      <c r="X295" s="65">
        <f t="shared" si="157"/>
        <v>2.0903590899549844E-6</v>
      </c>
      <c r="Y295" s="65">
        <f t="shared" si="146"/>
        <v>0.73032283849195778</v>
      </c>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c r="BV295" s="59"/>
      <c r="BW295" s="59"/>
      <c r="BX295" s="59"/>
      <c r="BY295" s="59"/>
      <c r="BZ295" s="59"/>
      <c r="CA295" s="59"/>
    </row>
    <row r="296" spans="4:79">
      <c r="E296" s="65"/>
      <c r="F296" s="65"/>
      <c r="G296" s="65"/>
      <c r="H296" s="65"/>
      <c r="I296" s="65"/>
      <c r="J296" s="65"/>
      <c r="K296" s="65"/>
      <c r="L296" s="65"/>
      <c r="M296" s="65"/>
      <c r="N296" s="65"/>
      <c r="O296" s="65"/>
      <c r="P296" s="65"/>
      <c r="Q296" s="65"/>
      <c r="R296" s="65"/>
      <c r="S296" s="65"/>
      <c r="T296" s="65"/>
      <c r="U296" s="65"/>
      <c r="V296" s="65"/>
      <c r="W296" s="65"/>
      <c r="X296" s="65"/>
      <c r="Y296" s="65"/>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c r="BV296" s="59"/>
      <c r="BW296" s="59"/>
      <c r="BX296" s="59"/>
      <c r="BY296" s="59"/>
      <c r="BZ296" s="59"/>
      <c r="CA296" s="59"/>
    </row>
    <row r="297" spans="4:79" ht="15">
      <c r="D297" s="214" t="s">
        <v>1407</v>
      </c>
      <c r="E297" s="215">
        <f>SUM(E264:E295)</f>
        <v>15.438815341044407</v>
      </c>
      <c r="F297" s="215">
        <f t="shared" ref="F297:X297" si="158">SUM(F264:F295)</f>
        <v>15.40375716784602</v>
      </c>
      <c r="G297" s="215">
        <f t="shared" si="158"/>
        <v>15.368778604091812</v>
      </c>
      <c r="H297" s="215">
        <f t="shared" si="158"/>
        <v>15.333879469006138</v>
      </c>
      <c r="I297" s="215">
        <f t="shared" si="158"/>
        <v>15.299059582223865</v>
      </c>
      <c r="J297" s="215">
        <f t="shared" si="158"/>
        <v>13.737886887410493</v>
      </c>
      <c r="K297" s="215">
        <f t="shared" si="158"/>
        <v>10.965352920592258</v>
      </c>
      <c r="L297" s="215">
        <f t="shared" si="158"/>
        <v>8.7523624017700321</v>
      </c>
      <c r="M297" s="215">
        <f t="shared" si="158"/>
        <v>6.9859901607052137</v>
      </c>
      <c r="N297" s="215">
        <f t="shared" si="158"/>
        <v>5.5761012038989826</v>
      </c>
      <c r="O297" s="215">
        <f t="shared" si="158"/>
        <v>4.4507512780385818</v>
      </c>
      <c r="P297" s="215">
        <f t="shared" si="158"/>
        <v>3.5525156762059598</v>
      </c>
      <c r="Q297" s="215">
        <f t="shared" si="158"/>
        <v>2.835558952027263</v>
      </c>
      <c r="R297" s="215">
        <f t="shared" si="158"/>
        <v>2.2632960142230782</v>
      </c>
      <c r="S297" s="215">
        <f t="shared" si="158"/>
        <v>1.8065252511628349</v>
      </c>
      <c r="T297" s="215">
        <f t="shared" si="158"/>
        <v>1.4419384219210121</v>
      </c>
      <c r="U297" s="215">
        <f t="shared" si="158"/>
        <v>9.8127922805249044E-3</v>
      </c>
      <c r="V297" s="215">
        <f t="shared" si="158"/>
        <v>3.4966105626067345E-3</v>
      </c>
      <c r="W297" s="215">
        <f t="shared" si="158"/>
        <v>1.189319497070983E-3</v>
      </c>
      <c r="X297" s="215">
        <f t="shared" si="158"/>
        <v>3.8694091715353476E-4</v>
      </c>
      <c r="Y297" s="215"/>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c r="BV297" s="59"/>
      <c r="BW297" s="59"/>
      <c r="BX297" s="59"/>
      <c r="BY297" s="59"/>
      <c r="BZ297" s="59"/>
      <c r="CA297" s="59"/>
    </row>
    <row r="298" spans="4:79" ht="15">
      <c r="D298" s="214" t="s">
        <v>1408</v>
      </c>
      <c r="E298" s="215">
        <f>E297</f>
        <v>15.438815341044407</v>
      </c>
      <c r="F298" s="215">
        <f t="shared" ref="F298:X298" si="159">E298+F297</f>
        <v>30.842572508890427</v>
      </c>
      <c r="G298" s="215">
        <f t="shared" si="159"/>
        <v>46.211351112982243</v>
      </c>
      <c r="H298" s="215">
        <f t="shared" si="159"/>
        <v>61.545230581988378</v>
      </c>
      <c r="I298" s="215">
        <f t="shared" si="159"/>
        <v>76.844290164212239</v>
      </c>
      <c r="J298" s="215">
        <f t="shared" si="159"/>
        <v>90.582177051622736</v>
      </c>
      <c r="K298" s="215">
        <f t="shared" si="159"/>
        <v>101.54752997221499</v>
      </c>
      <c r="L298" s="215">
        <f t="shared" si="159"/>
        <v>110.29989237398502</v>
      </c>
      <c r="M298" s="215">
        <f t="shared" si="159"/>
        <v>117.28588253469023</v>
      </c>
      <c r="N298" s="215">
        <f t="shared" si="159"/>
        <v>122.86198373858922</v>
      </c>
      <c r="O298" s="215">
        <f t="shared" si="159"/>
        <v>127.3127350166278</v>
      </c>
      <c r="P298" s="215">
        <f t="shared" si="159"/>
        <v>130.86525069283377</v>
      </c>
      <c r="Q298" s="215">
        <f t="shared" si="159"/>
        <v>133.70080964486104</v>
      </c>
      <c r="R298" s="215">
        <f t="shared" si="159"/>
        <v>135.96410565908411</v>
      </c>
      <c r="S298" s="215">
        <f t="shared" si="159"/>
        <v>137.77063091024695</v>
      </c>
      <c r="T298" s="215">
        <f t="shared" si="159"/>
        <v>139.21256933216796</v>
      </c>
      <c r="U298" s="215">
        <f t="shared" si="159"/>
        <v>139.22238212444847</v>
      </c>
      <c r="V298" s="215">
        <f t="shared" si="159"/>
        <v>139.22587873501107</v>
      </c>
      <c r="W298" s="215">
        <f t="shared" si="159"/>
        <v>139.22706805450812</v>
      </c>
      <c r="X298" s="215">
        <f t="shared" si="159"/>
        <v>139.22745499542529</v>
      </c>
      <c r="Y298" s="215">
        <f>SUM(Y264:Y295)</f>
        <v>135.18815513670745</v>
      </c>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A298" s="59"/>
    </row>
    <row r="299" spans="4:7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c r="BV299" s="59"/>
      <c r="BW299" s="59"/>
      <c r="BX299" s="59"/>
      <c r="BY299" s="59"/>
      <c r="BZ299" s="59"/>
      <c r="CA299" s="59"/>
    </row>
    <row r="300" spans="4:7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c r="BV300" s="59"/>
      <c r="BW300" s="59"/>
      <c r="BX300" s="59"/>
      <c r="BY300" s="59"/>
      <c r="BZ300" s="59"/>
      <c r="CA300" s="59"/>
    </row>
    <row r="301" spans="4:79" s="59" customFormat="1"/>
    <row r="302" spans="4:79" s="59" customFormat="1"/>
    <row r="303" spans="4:79" s="59" customFormat="1"/>
    <row r="304" spans="4:79" s="59" customFormat="1"/>
    <row r="305" s="59" customFormat="1"/>
    <row r="306" s="59" customFormat="1"/>
    <row r="307" s="59" customFormat="1"/>
    <row r="308" s="59" customFormat="1"/>
  </sheetData>
  <mergeCells count="1">
    <mergeCell ref="B1:S6"/>
  </mergeCells>
  <pageMargins left="0.75" right="0.75" top="1" bottom="1" header="0.5" footer="0.5"/>
  <headerFooter alignWithMargins="0"/>
  <legacyDrawing r:id="rId1"/>
</worksheet>
</file>

<file path=xl/worksheets/sheet4.xml><?xml version="1.0" encoding="utf-8"?>
<worksheet xmlns="http://schemas.openxmlformats.org/spreadsheetml/2006/main" xmlns:r="http://schemas.openxmlformats.org/officeDocument/2006/relationships">
  <dimension ref="A1:EA64"/>
  <sheetViews>
    <sheetView workbookViewId="0">
      <selection sqref="A1:EA64"/>
    </sheetView>
  </sheetViews>
  <sheetFormatPr defaultRowHeight="12.75"/>
  <cols>
    <col min="1" max="1" width="66" customWidth="1"/>
  </cols>
  <sheetData>
    <row r="1" spans="1:131" ht="13.5" thickBot="1">
      <c r="A1" s="36" t="s">
        <v>30</v>
      </c>
      <c r="B1" s="37"/>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50"/>
      <c r="AT1" s="38"/>
      <c r="AU1" s="38"/>
      <c r="AV1" s="38"/>
      <c r="AW1" s="38"/>
      <c r="AX1" s="38"/>
      <c r="AY1" s="38"/>
      <c r="AZ1" s="50"/>
      <c r="BA1" s="38"/>
      <c r="BB1" s="38"/>
      <c r="BC1" s="38"/>
      <c r="BD1" s="38"/>
      <c r="BE1" s="38"/>
      <c r="BF1" s="38"/>
      <c r="BG1" s="38"/>
      <c r="BH1" s="50"/>
      <c r="BI1" s="38"/>
      <c r="BJ1" s="38"/>
      <c r="BK1" s="38"/>
      <c r="BL1" s="38"/>
      <c r="BM1" s="38"/>
      <c r="BN1" s="38"/>
      <c r="BO1" s="38"/>
      <c r="BP1" s="38"/>
      <c r="BQ1" s="38"/>
      <c r="BR1" s="38"/>
      <c r="BS1" s="38"/>
      <c r="BT1" s="38"/>
      <c r="BU1" s="38"/>
      <c r="BV1" s="38"/>
      <c r="BW1" s="38"/>
      <c r="BX1" s="38"/>
      <c r="BY1" s="38"/>
      <c r="BZ1" s="38"/>
      <c r="CA1" s="38"/>
      <c r="CB1" s="38"/>
      <c r="CC1" s="38"/>
      <c r="CD1" s="50"/>
      <c r="CE1" s="38"/>
      <c r="CF1" s="38"/>
      <c r="CG1" s="38"/>
      <c r="CH1" s="38"/>
      <c r="CI1" s="38"/>
      <c r="CJ1" s="38"/>
      <c r="CK1" s="38"/>
      <c r="CL1" s="38"/>
      <c r="CM1" s="38"/>
      <c r="CN1" s="38"/>
      <c r="CO1" s="38"/>
      <c r="CP1" s="38"/>
      <c r="CQ1" s="38"/>
      <c r="CR1" s="38"/>
      <c r="CS1" s="38"/>
      <c r="CT1" s="38"/>
      <c r="CU1" s="38"/>
      <c r="CV1" s="38"/>
      <c r="CW1" s="50"/>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row>
    <row r="2" spans="1:131" ht="13.5" thickBot="1">
      <c r="A2" s="39"/>
      <c r="B2" s="40"/>
      <c r="C2" s="41"/>
      <c r="D2" s="41"/>
      <c r="E2" s="41"/>
      <c r="F2" s="41"/>
      <c r="G2" s="41"/>
      <c r="H2" s="41"/>
      <c r="I2" s="41"/>
      <c r="J2" s="41"/>
      <c r="K2" s="41"/>
      <c r="L2" s="41"/>
      <c r="M2" s="41"/>
      <c r="N2" s="41"/>
      <c r="O2" s="42" t="s">
        <v>1409</v>
      </c>
      <c r="P2" s="43"/>
      <c r="Q2" s="43"/>
      <c r="R2" s="43"/>
      <c r="S2" s="43"/>
      <c r="T2" s="43"/>
      <c r="U2" s="43"/>
      <c r="V2" s="43"/>
      <c r="W2" s="43"/>
      <c r="X2" s="43"/>
      <c r="Y2" s="43"/>
      <c r="Z2" s="44"/>
      <c r="AA2" s="41"/>
      <c r="AB2" s="42" t="s">
        <v>1410</v>
      </c>
      <c r="AC2" s="43"/>
      <c r="AD2" s="43"/>
      <c r="AE2" s="43"/>
      <c r="AF2" s="43"/>
      <c r="AG2" s="43"/>
      <c r="AH2" s="43"/>
      <c r="AI2" s="43"/>
      <c r="AJ2" s="43"/>
      <c r="AK2" s="43"/>
      <c r="AL2" s="43"/>
      <c r="AM2" s="44"/>
      <c r="AN2" s="38"/>
      <c r="AO2" s="38"/>
      <c r="AP2" s="38"/>
      <c r="AQ2" s="38"/>
      <c r="AR2" s="38"/>
      <c r="AS2" s="50"/>
      <c r="AT2" s="38"/>
      <c r="AU2" s="38"/>
      <c r="AV2" s="38"/>
      <c r="AW2" s="38"/>
      <c r="AX2" s="38"/>
      <c r="AY2" s="38"/>
      <c r="AZ2" s="50"/>
      <c r="BA2" s="38"/>
      <c r="BB2" s="38"/>
      <c r="BC2" s="38"/>
      <c r="BD2" s="38"/>
      <c r="BE2" s="38"/>
      <c r="BF2" s="38"/>
      <c r="BG2" s="38"/>
      <c r="BH2" s="50"/>
      <c r="BI2" s="38"/>
      <c r="BJ2" s="38"/>
      <c r="BK2" s="38"/>
      <c r="BL2" s="38"/>
      <c r="BM2" s="38"/>
      <c r="BN2" s="38"/>
      <c r="BO2" s="38"/>
      <c r="BP2" s="38"/>
      <c r="BQ2" s="38"/>
      <c r="BR2" s="38"/>
      <c r="BS2" s="38"/>
      <c r="BT2" s="38"/>
      <c r="BU2" s="38"/>
      <c r="BV2" s="38"/>
      <c r="BW2" s="38"/>
      <c r="BX2" s="38"/>
      <c r="BY2" s="38"/>
      <c r="BZ2" s="38"/>
      <c r="CA2" s="38"/>
      <c r="CB2" s="38"/>
      <c r="CC2" s="38"/>
      <c r="CD2" s="50"/>
      <c r="CE2" s="38"/>
      <c r="CF2" s="38"/>
      <c r="CG2" s="38"/>
      <c r="CH2" s="38"/>
      <c r="CI2" s="38"/>
      <c r="CJ2" s="38"/>
      <c r="CK2" s="38"/>
      <c r="CL2" s="38"/>
      <c r="CM2" s="38"/>
      <c r="CN2" s="38"/>
      <c r="CO2" s="38"/>
      <c r="CP2" s="38"/>
      <c r="CQ2" s="38"/>
      <c r="CR2" s="38"/>
      <c r="CS2" s="38"/>
      <c r="CT2" s="38"/>
      <c r="CU2" s="38"/>
      <c r="CV2" s="38"/>
      <c r="CW2" s="50"/>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row>
    <row r="3" spans="1:131" ht="191.25">
      <c r="A3" s="45" t="s">
        <v>31</v>
      </c>
      <c r="B3" s="46" t="s">
        <v>32</v>
      </c>
      <c r="C3" s="47" t="s">
        <v>33</v>
      </c>
      <c r="D3" s="47" t="s">
        <v>34</v>
      </c>
      <c r="E3" s="47" t="s">
        <v>35</v>
      </c>
      <c r="F3" s="47" t="s">
        <v>36</v>
      </c>
      <c r="G3" s="47" t="s">
        <v>37</v>
      </c>
      <c r="H3" s="47" t="s">
        <v>38</v>
      </c>
      <c r="I3" s="47" t="s">
        <v>39</v>
      </c>
      <c r="J3" s="47" t="s">
        <v>40</v>
      </c>
      <c r="K3" s="47" t="s">
        <v>41</v>
      </c>
      <c r="L3" s="47" t="s">
        <v>42</v>
      </c>
      <c r="M3" s="47" t="s">
        <v>43</v>
      </c>
      <c r="N3" s="47" t="s">
        <v>1411</v>
      </c>
      <c r="O3" s="47" t="s">
        <v>44</v>
      </c>
      <c r="P3" s="47" t="s">
        <v>45</v>
      </c>
      <c r="Q3" s="47" t="s">
        <v>46</v>
      </c>
      <c r="R3" s="47" t="s">
        <v>47</v>
      </c>
      <c r="S3" s="47" t="s">
        <v>48</v>
      </c>
      <c r="T3" s="47" t="s">
        <v>49</v>
      </c>
      <c r="U3" s="47" t="s">
        <v>50</v>
      </c>
      <c r="V3" s="47" t="s">
        <v>51</v>
      </c>
      <c r="W3" s="47" t="s">
        <v>52</v>
      </c>
      <c r="X3" s="47" t="s">
        <v>53</v>
      </c>
      <c r="Y3" s="47" t="s">
        <v>54</v>
      </c>
      <c r="Z3" s="47" t="s">
        <v>55</v>
      </c>
      <c r="AA3" s="47"/>
      <c r="AB3" s="47" t="s">
        <v>44</v>
      </c>
      <c r="AC3" s="47" t="s">
        <v>45</v>
      </c>
      <c r="AD3" s="47" t="s">
        <v>46</v>
      </c>
      <c r="AE3" s="47" t="s">
        <v>47</v>
      </c>
      <c r="AF3" s="47" t="s">
        <v>48</v>
      </c>
      <c r="AG3" s="47" t="s">
        <v>49</v>
      </c>
      <c r="AH3" s="47" t="s">
        <v>50</v>
      </c>
      <c r="AI3" s="47" t="s">
        <v>51</v>
      </c>
      <c r="AJ3" s="47" t="s">
        <v>52</v>
      </c>
      <c r="AK3" s="47" t="s">
        <v>53</v>
      </c>
      <c r="AL3" s="47" t="s">
        <v>54</v>
      </c>
      <c r="AM3" s="47" t="s">
        <v>55</v>
      </c>
      <c r="AN3" s="38"/>
      <c r="AO3" s="38"/>
      <c r="AP3" s="38"/>
      <c r="AQ3" s="38"/>
      <c r="AR3" s="38"/>
      <c r="AS3" s="50"/>
      <c r="AT3" s="38"/>
      <c r="AU3" s="38"/>
      <c r="AV3" s="38"/>
      <c r="AW3" s="38"/>
      <c r="AX3" s="38"/>
      <c r="AY3" s="38"/>
      <c r="AZ3" s="50"/>
      <c r="BA3" s="38"/>
      <c r="BB3" s="38"/>
      <c r="BC3" s="38"/>
      <c r="BD3" s="38"/>
      <c r="BE3" s="38"/>
      <c r="BF3" s="38"/>
      <c r="BG3" s="38"/>
      <c r="BH3" s="50"/>
      <c r="BI3" s="38"/>
      <c r="BJ3" s="38"/>
      <c r="BK3" s="38"/>
      <c r="BL3" s="38"/>
      <c r="BM3" s="38"/>
      <c r="BN3" s="38"/>
      <c r="BO3" s="38"/>
      <c r="BP3" s="38"/>
      <c r="BQ3" s="38"/>
      <c r="BR3" s="38"/>
      <c r="BS3" s="38"/>
      <c r="BT3" s="38"/>
      <c r="BU3" s="38"/>
      <c r="BV3" s="38"/>
      <c r="BW3" s="38"/>
      <c r="BX3" s="38"/>
      <c r="BY3" s="38"/>
      <c r="BZ3" s="38"/>
      <c r="CA3" s="38"/>
      <c r="CB3" s="38"/>
      <c r="CC3" s="38"/>
      <c r="CD3" s="50"/>
      <c r="CE3" s="38"/>
      <c r="CF3" s="38"/>
      <c r="CG3" s="38"/>
      <c r="CH3" s="38"/>
      <c r="CI3" s="38"/>
      <c r="CJ3" s="38"/>
      <c r="CK3" s="38"/>
      <c r="CL3" s="38"/>
      <c r="CM3" s="38"/>
      <c r="CN3" s="38"/>
      <c r="CO3" s="38"/>
      <c r="CP3" s="38"/>
      <c r="CQ3" s="38"/>
      <c r="CR3" s="38"/>
      <c r="CS3" s="38"/>
      <c r="CT3" s="38"/>
      <c r="CU3" s="38"/>
      <c r="CV3" s="38"/>
      <c r="CW3" s="50"/>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row>
    <row r="4" spans="1:131">
      <c r="A4" s="27" t="s">
        <v>834</v>
      </c>
      <c r="B4" s="27"/>
      <c r="C4" s="48">
        <v>1989.2959574313022</v>
      </c>
      <c r="D4" s="48">
        <v>588.47688837074031</v>
      </c>
      <c r="E4" s="48">
        <v>117.69537767414806</v>
      </c>
      <c r="F4" s="48">
        <v>706.17226604488837</v>
      </c>
      <c r="G4" s="48">
        <v>510.06436419428849</v>
      </c>
      <c r="H4" s="48">
        <v>1839.294694814882</v>
      </c>
      <c r="I4" s="48">
        <v>3109.6775859038312</v>
      </c>
      <c r="J4" s="48">
        <v>-12.497968951468712</v>
      </c>
      <c r="K4" s="48">
        <v>-10.428816981598308</v>
      </c>
      <c r="L4" s="49">
        <v>3.6060050925539207</v>
      </c>
      <c r="M4" s="48">
        <v>18.898560731174999</v>
      </c>
      <c r="N4" s="48">
        <v>0.92069704234190197</v>
      </c>
      <c r="O4" s="48">
        <v>196.13210495703711</v>
      </c>
      <c r="P4" s="48">
        <v>143.09794574569767</v>
      </c>
      <c r="Q4" s="48">
        <v>129.66878003429974</v>
      </c>
      <c r="R4" s="48">
        <v>105.67339098893628</v>
      </c>
      <c r="S4" s="48">
        <v>51.545293544306183</v>
      </c>
      <c r="T4" s="48">
        <v>21.616528815031014</v>
      </c>
      <c r="U4" s="48">
        <v>68.972350255587386</v>
      </c>
      <c r="V4" s="48">
        <v>68.610731835967727</v>
      </c>
      <c r="W4" s="48">
        <v>50.573694352717872</v>
      </c>
      <c r="X4" s="48">
        <v>84.785209782594578</v>
      </c>
      <c r="Y4" s="48">
        <v>126.24355288931609</v>
      </c>
      <c r="Z4" s="48">
        <v>228.57301821866594</v>
      </c>
      <c r="AA4" s="48"/>
      <c r="AB4" s="48">
        <v>124.67013708828867</v>
      </c>
      <c r="AC4" s="48">
        <v>93.400466571445349</v>
      </c>
      <c r="AD4" s="48">
        <v>72.348942406654032</v>
      </c>
      <c r="AE4" s="48">
        <v>62.499002144256728</v>
      </c>
      <c r="AF4" s="48">
        <v>26.583906409018482</v>
      </c>
      <c r="AG4" s="48">
        <v>7.8052262088575493</v>
      </c>
      <c r="AH4" s="48">
        <v>19.65746818121848</v>
      </c>
      <c r="AI4" s="48">
        <v>12.813201234150894</v>
      </c>
      <c r="AJ4" s="48">
        <v>21.959426889943956</v>
      </c>
      <c r="AK4" s="48">
        <v>42.337618765560407</v>
      </c>
      <c r="AL4" s="48">
        <v>82.598255251760492</v>
      </c>
      <c r="AM4" s="38">
        <v>147.12970485998986</v>
      </c>
      <c r="AN4" s="38"/>
      <c r="AO4" s="38"/>
      <c r="AP4" s="38"/>
      <c r="AQ4" s="38"/>
      <c r="AR4" s="38"/>
      <c r="AS4" s="50"/>
      <c r="AT4" s="38"/>
      <c r="AU4" s="38"/>
      <c r="AV4" s="38"/>
      <c r="AW4" s="38"/>
      <c r="AX4" s="38"/>
      <c r="AY4" s="38"/>
      <c r="AZ4" s="50"/>
      <c r="BA4" s="38"/>
      <c r="BB4" s="38"/>
      <c r="BC4" s="38"/>
      <c r="BD4" s="38"/>
      <c r="BE4" s="38"/>
      <c r="BF4" s="38"/>
      <c r="BG4" s="38"/>
      <c r="BH4" s="50"/>
      <c r="BI4" s="38"/>
      <c r="BJ4" s="38"/>
      <c r="BK4" s="38"/>
      <c r="BL4" s="38"/>
      <c r="BM4" s="38"/>
      <c r="BN4" s="38"/>
      <c r="BO4" s="38"/>
      <c r="BP4" s="38"/>
      <c r="BQ4" s="38"/>
      <c r="BR4" s="38"/>
      <c r="BS4" s="38"/>
      <c r="BT4" s="38"/>
      <c r="BU4" s="38"/>
      <c r="BV4" s="38"/>
      <c r="BW4" s="38"/>
      <c r="BX4" s="38"/>
      <c r="BY4" s="38"/>
      <c r="BZ4" s="38"/>
      <c r="CA4" s="38"/>
      <c r="CB4" s="38"/>
      <c r="CC4" s="38"/>
      <c r="CD4" s="50"/>
      <c r="CE4" s="38"/>
      <c r="CF4" s="38"/>
      <c r="CG4" s="38"/>
      <c r="CH4" s="38"/>
      <c r="CI4" s="38"/>
      <c r="CJ4" s="38"/>
      <c r="CK4" s="38"/>
      <c r="CL4" s="38"/>
      <c r="CM4" s="38"/>
      <c r="CN4" s="38"/>
      <c r="CO4" s="38"/>
      <c r="CP4" s="38"/>
      <c r="CQ4" s="38"/>
      <c r="CR4" s="38"/>
      <c r="CS4" s="38"/>
      <c r="CT4" s="38"/>
      <c r="CU4" s="38"/>
      <c r="CV4" s="38"/>
      <c r="CW4" s="50"/>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row>
    <row r="5" spans="1:131">
      <c r="A5" s="27" t="s">
        <v>835</v>
      </c>
      <c r="B5" s="27"/>
      <c r="C5" s="48">
        <v>2017.4633697725581</v>
      </c>
      <c r="D5" s="48">
        <v>672.02883390154909</v>
      </c>
      <c r="E5" s="48">
        <v>134.40576678030982</v>
      </c>
      <c r="F5" s="48">
        <v>806.43460068185891</v>
      </c>
      <c r="G5" s="48">
        <v>582.48329995293329</v>
      </c>
      <c r="H5" s="48">
        <v>1867.1768520456508</v>
      </c>
      <c r="I5" s="48">
        <v>3501.6086080261753</v>
      </c>
      <c r="J5" s="48">
        <v>-10.771925843284963</v>
      </c>
      <c r="K5" s="48">
        <v>-8.1179366910875217</v>
      </c>
      <c r="L5" s="49">
        <v>3.205545724995936</v>
      </c>
      <c r="M5" s="48">
        <v>19.166154268131969</v>
      </c>
      <c r="N5" s="48">
        <v>0.93411288852968544</v>
      </c>
      <c r="O5" s="48">
        <v>198.99002458920717</v>
      </c>
      <c r="P5" s="48">
        <v>145.18308335516463</v>
      </c>
      <c r="Q5" s="48">
        <v>131.55823587948501</v>
      </c>
      <c r="R5" s="48">
        <v>107.20699828739455</v>
      </c>
      <c r="S5" s="48">
        <v>52.265126360535831</v>
      </c>
      <c r="T5" s="48">
        <v>21.89690772941935</v>
      </c>
      <c r="U5" s="48">
        <v>69.740591915961758</v>
      </c>
      <c r="V5" s="48">
        <v>69.37333655498206</v>
      </c>
      <c r="W5" s="48">
        <v>51.21263693822808</v>
      </c>
      <c r="X5" s="48">
        <v>86.002819932688666</v>
      </c>
      <c r="Y5" s="48">
        <v>128.08309837482599</v>
      </c>
      <c r="Z5" s="48">
        <v>231.90364742031846</v>
      </c>
      <c r="AA5" s="48"/>
      <c r="AB5" s="48">
        <v>126.48675570056531</v>
      </c>
      <c r="AC5" s="48">
        <v>94.761442262431004</v>
      </c>
      <c r="AD5" s="48">
        <v>73.403167888586268</v>
      </c>
      <c r="AE5" s="48">
        <v>63.408077818310232</v>
      </c>
      <c r="AF5" s="48">
        <v>26.963355257388681</v>
      </c>
      <c r="AG5" s="48">
        <v>7.9126724909846038</v>
      </c>
      <c r="AH5" s="48">
        <v>19.879287161607586</v>
      </c>
      <c r="AI5" s="48">
        <v>12.957886459144456</v>
      </c>
      <c r="AJ5" s="48">
        <v>22.24852415788726</v>
      </c>
      <c r="AK5" s="48">
        <v>42.950274802100409</v>
      </c>
      <c r="AL5" s="48">
        <v>83.80182758541136</v>
      </c>
      <c r="AM5" s="38">
        <v>149.27359084992943</v>
      </c>
      <c r="AN5" s="38"/>
      <c r="AO5" s="38"/>
      <c r="AP5" s="38"/>
      <c r="AQ5" s="38"/>
      <c r="AR5" s="38"/>
      <c r="AS5" s="50"/>
      <c r="AT5" s="38"/>
      <c r="AU5" s="38"/>
      <c r="AV5" s="38"/>
      <c r="AW5" s="38"/>
      <c r="AX5" s="38"/>
      <c r="AY5" s="38"/>
      <c r="AZ5" s="50"/>
      <c r="BA5" s="38"/>
      <c r="BB5" s="38"/>
      <c r="BC5" s="38"/>
      <c r="BD5" s="38"/>
      <c r="BE5" s="38"/>
      <c r="BF5" s="38"/>
      <c r="BG5" s="38"/>
      <c r="BH5" s="50"/>
      <c r="BI5" s="38"/>
      <c r="BJ5" s="38"/>
      <c r="BK5" s="38"/>
      <c r="BL5" s="38"/>
      <c r="BM5" s="38"/>
      <c r="BN5" s="38"/>
      <c r="BO5" s="38"/>
      <c r="BP5" s="38"/>
      <c r="BQ5" s="38"/>
      <c r="BR5" s="38"/>
      <c r="BS5" s="38"/>
      <c r="BT5" s="38"/>
      <c r="BU5" s="38"/>
      <c r="BV5" s="38"/>
      <c r="BW5" s="38"/>
      <c r="BX5" s="38"/>
      <c r="BY5" s="38"/>
      <c r="BZ5" s="38"/>
      <c r="CA5" s="38"/>
      <c r="CB5" s="38"/>
      <c r="CC5" s="38"/>
      <c r="CD5" s="50"/>
      <c r="CE5" s="38"/>
      <c r="CF5" s="38"/>
      <c r="CG5" s="38"/>
      <c r="CH5" s="38"/>
      <c r="CI5" s="38"/>
      <c r="CJ5" s="38"/>
      <c r="CK5" s="38"/>
      <c r="CL5" s="38"/>
      <c r="CM5" s="38"/>
      <c r="CN5" s="38"/>
      <c r="CO5" s="38"/>
      <c r="CP5" s="38"/>
      <c r="CQ5" s="38"/>
      <c r="CR5" s="38"/>
      <c r="CS5" s="38"/>
      <c r="CT5" s="38"/>
      <c r="CU5" s="38"/>
      <c r="CV5" s="38"/>
      <c r="CW5" s="50"/>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row>
    <row r="6" spans="1:131">
      <c r="A6" s="27" t="s">
        <v>848</v>
      </c>
      <c r="B6" s="27"/>
      <c r="C6" s="48">
        <v>1472.3208251380622</v>
      </c>
      <c r="D6" s="48">
        <v>580.85648064073723</v>
      </c>
      <c r="E6" s="48">
        <v>116.17129612814745</v>
      </c>
      <c r="F6" s="48">
        <v>697.02777676888468</v>
      </c>
      <c r="G6" s="48">
        <v>503.45934962104582</v>
      </c>
      <c r="H6" s="48">
        <v>1364.2022409761951</v>
      </c>
      <c r="I6" s="48">
        <v>4147.1690274589864</v>
      </c>
      <c r="J6" s="48">
        <v>-8.2034984473082293</v>
      </c>
      <c r="K6" s="48">
        <v>-4.2774845005057509</v>
      </c>
      <c r="L6" s="49">
        <v>2.7096571788825274</v>
      </c>
      <c r="M6" s="48">
        <v>13.987223782545716</v>
      </c>
      <c r="N6" s="48">
        <v>0.68928093337822249</v>
      </c>
      <c r="O6" s="48">
        <v>146.83453313410237</v>
      </c>
      <c r="P6" s="48">
        <v>107.13044690272029</v>
      </c>
      <c r="Q6" s="48">
        <v>97.076686055940272</v>
      </c>
      <c r="R6" s="48">
        <v>78.984080595443288</v>
      </c>
      <c r="S6" s="48">
        <v>37.942250961595022</v>
      </c>
      <c r="T6" s="48">
        <v>15.466679119039974</v>
      </c>
      <c r="U6" s="48">
        <v>46.733104858381694</v>
      </c>
      <c r="V6" s="48">
        <v>46.454765660729059</v>
      </c>
      <c r="W6" s="48">
        <v>35.833006378062187</v>
      </c>
      <c r="X6" s="48">
        <v>63.10535321269866</v>
      </c>
      <c r="Y6" s="48">
        <v>94.512385688990648</v>
      </c>
      <c r="Z6" s="48">
        <v>171.12146134638365</v>
      </c>
      <c r="AA6" s="48"/>
      <c r="AB6" s="48">
        <v>93.334446082314386</v>
      </c>
      <c r="AC6" s="48">
        <v>69.924370140878594</v>
      </c>
      <c r="AD6" s="48">
        <v>54.164121592200068</v>
      </c>
      <c r="AE6" s="48">
        <v>46.756357076523436</v>
      </c>
      <c r="AF6" s="48">
        <v>19.738155412714235</v>
      </c>
      <c r="AG6" s="48">
        <v>5.7132089497797454</v>
      </c>
      <c r="AH6" s="48">
        <v>13.378522841114712</v>
      </c>
      <c r="AI6" s="48">
        <v>8.7224738827357378</v>
      </c>
      <c r="AJ6" s="48">
        <v>15.800459722444225</v>
      </c>
      <c r="AK6" s="48">
        <v>31.607845558011778</v>
      </c>
      <c r="AL6" s="48">
        <v>61.837281816969117</v>
      </c>
      <c r="AM6" s="38">
        <v>110.1488281482891</v>
      </c>
      <c r="AN6" s="38"/>
      <c r="AO6" s="38"/>
      <c r="AP6" s="38"/>
      <c r="AQ6" s="38"/>
      <c r="AR6" s="38"/>
      <c r="AS6" s="50"/>
      <c r="AT6" s="38"/>
      <c r="AU6" s="38"/>
      <c r="AV6" s="38"/>
      <c r="AW6" s="38"/>
      <c r="AX6" s="38"/>
      <c r="AY6" s="38"/>
      <c r="AZ6" s="50"/>
      <c r="BA6" s="38"/>
      <c r="BB6" s="38"/>
      <c r="BC6" s="38"/>
      <c r="BD6" s="38"/>
      <c r="BE6" s="38"/>
      <c r="BF6" s="38"/>
      <c r="BG6" s="38"/>
      <c r="BH6" s="50"/>
      <c r="BI6" s="38"/>
      <c r="BJ6" s="38"/>
      <c r="BK6" s="38"/>
      <c r="BL6" s="38"/>
      <c r="BM6" s="38"/>
      <c r="BN6" s="38"/>
      <c r="BO6" s="38"/>
      <c r="BP6" s="38"/>
      <c r="BQ6" s="38"/>
      <c r="BR6" s="38"/>
      <c r="BS6" s="38"/>
      <c r="BT6" s="38"/>
      <c r="BU6" s="38"/>
      <c r="BV6" s="38"/>
      <c r="BW6" s="38"/>
      <c r="BX6" s="38"/>
      <c r="BY6" s="38"/>
      <c r="BZ6" s="38"/>
      <c r="CA6" s="38"/>
      <c r="CB6" s="38"/>
      <c r="CC6" s="38"/>
      <c r="CD6" s="50"/>
      <c r="CE6" s="38"/>
      <c r="CF6" s="38"/>
      <c r="CG6" s="38"/>
      <c r="CH6" s="38"/>
      <c r="CI6" s="38"/>
      <c r="CJ6" s="38"/>
      <c r="CK6" s="38"/>
      <c r="CL6" s="38"/>
      <c r="CM6" s="38"/>
      <c r="CN6" s="38"/>
      <c r="CO6" s="38"/>
      <c r="CP6" s="38"/>
      <c r="CQ6" s="38"/>
      <c r="CR6" s="38"/>
      <c r="CS6" s="38"/>
      <c r="CT6" s="38"/>
      <c r="CU6" s="38"/>
      <c r="CV6" s="38"/>
      <c r="CW6" s="50"/>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row>
    <row r="7" spans="1:131">
      <c r="A7" s="27" t="s">
        <v>876</v>
      </c>
      <c r="B7" s="27"/>
      <c r="C7" s="48">
        <v>1410.4445457359341</v>
      </c>
      <c r="D7" s="48">
        <v>603.23323201580342</v>
      </c>
      <c r="E7" s="48">
        <v>120.64664640316069</v>
      </c>
      <c r="F7" s="48">
        <v>723.87987841896415</v>
      </c>
      <c r="G7" s="48">
        <v>522.85447573119188</v>
      </c>
      <c r="H7" s="48">
        <v>1308.9944350855112</v>
      </c>
      <c r="I7" s="48">
        <v>4495.8788022690078</v>
      </c>
      <c r="J7" s="48">
        <v>-6.7142360962681957</v>
      </c>
      <c r="K7" s="48">
        <v>-2.2723506639345135</v>
      </c>
      <c r="L7" s="49">
        <v>2.5035540400700076</v>
      </c>
      <c r="M7" s="48">
        <v>13.399390239423273</v>
      </c>
      <c r="N7" s="48">
        <v>0.66170245511314385</v>
      </c>
      <c r="O7" s="48">
        <v>140.95960930477924</v>
      </c>
      <c r="P7" s="48">
        <v>102.84410361602207</v>
      </c>
      <c r="Q7" s="48">
        <v>93.192598818363138</v>
      </c>
      <c r="R7" s="48">
        <v>75.801423259528022</v>
      </c>
      <c r="S7" s="48">
        <v>36.310957220636148</v>
      </c>
      <c r="T7" s="48">
        <v>14.722510975932712</v>
      </c>
      <c r="U7" s="48">
        <v>44.005650631843835</v>
      </c>
      <c r="V7" s="48">
        <v>43.737116260504926</v>
      </c>
      <c r="W7" s="48">
        <v>34.044394854909264</v>
      </c>
      <c r="X7" s="48">
        <v>60.515897816455904</v>
      </c>
      <c r="Y7" s="48">
        <v>90.73089740419239</v>
      </c>
      <c r="Z7" s="48">
        <v>164.27480525319939</v>
      </c>
      <c r="AA7" s="48"/>
      <c r="AB7" s="48">
        <v>89.600087756096414</v>
      </c>
      <c r="AC7" s="48">
        <v>67.12666077631188</v>
      </c>
      <c r="AD7" s="48">
        <v>51.99698773176307</v>
      </c>
      <c r="AE7" s="48">
        <v>44.879735278483174</v>
      </c>
      <c r="AF7" s="48">
        <v>18.919749898159189</v>
      </c>
      <c r="AG7" s="48">
        <v>5.4618494004739375</v>
      </c>
      <c r="AH7" s="48">
        <v>12.609191556592352</v>
      </c>
      <c r="AI7" s="48">
        <v>8.2212804521125573</v>
      </c>
      <c r="AJ7" s="48">
        <v>15.056417605391397</v>
      </c>
      <c r="AK7" s="48">
        <v>30.327761020040125</v>
      </c>
      <c r="AL7" s="48">
        <v>59.363140940617548</v>
      </c>
      <c r="AM7" s="38">
        <v>105.74171790352537</v>
      </c>
      <c r="AN7" s="38"/>
      <c r="AO7" s="38"/>
      <c r="AP7" s="38"/>
      <c r="AQ7" s="38"/>
      <c r="AR7" s="38"/>
      <c r="AS7" s="50"/>
      <c r="AT7" s="38"/>
      <c r="AU7" s="38"/>
      <c r="AV7" s="38"/>
      <c r="AW7" s="38"/>
      <c r="AX7" s="38"/>
      <c r="AY7" s="38"/>
      <c r="AZ7" s="50"/>
      <c r="BA7" s="38"/>
      <c r="BB7" s="38"/>
      <c r="BC7" s="38"/>
      <c r="BD7" s="38"/>
      <c r="BE7" s="38"/>
      <c r="BF7" s="38"/>
      <c r="BG7" s="38"/>
      <c r="BH7" s="50"/>
      <c r="BI7" s="38"/>
      <c r="BJ7" s="38"/>
      <c r="BK7" s="38"/>
      <c r="BL7" s="38"/>
      <c r="BM7" s="38"/>
      <c r="BN7" s="38"/>
      <c r="BO7" s="38"/>
      <c r="BP7" s="38"/>
      <c r="BQ7" s="38"/>
      <c r="BR7" s="38"/>
      <c r="BS7" s="38"/>
      <c r="BT7" s="38"/>
      <c r="BU7" s="38"/>
      <c r="BV7" s="38"/>
      <c r="BW7" s="38"/>
      <c r="BX7" s="38"/>
      <c r="BY7" s="38"/>
      <c r="BZ7" s="38"/>
      <c r="CA7" s="38"/>
      <c r="CB7" s="38"/>
      <c r="CC7" s="38"/>
      <c r="CD7" s="50"/>
      <c r="CE7" s="38"/>
      <c r="CF7" s="38"/>
      <c r="CG7" s="38"/>
      <c r="CH7" s="38"/>
      <c r="CI7" s="38"/>
      <c r="CJ7" s="38"/>
      <c r="CK7" s="38"/>
      <c r="CL7" s="38"/>
      <c r="CM7" s="38"/>
      <c r="CN7" s="38"/>
      <c r="CO7" s="38"/>
      <c r="CP7" s="38"/>
      <c r="CQ7" s="38"/>
      <c r="CR7" s="38"/>
      <c r="CS7" s="38"/>
      <c r="CT7" s="38"/>
      <c r="CU7" s="38"/>
      <c r="CV7" s="38"/>
      <c r="CW7" s="50"/>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row>
    <row r="8" spans="1:131">
      <c r="A8" s="27" t="s">
        <v>840</v>
      </c>
      <c r="B8" s="27"/>
      <c r="C8" s="48">
        <v>2203.2727260729475</v>
      </c>
      <c r="D8" s="48">
        <v>1047.8220524597768</v>
      </c>
      <c r="E8" s="48">
        <v>209.56441049195539</v>
      </c>
      <c r="F8" s="48">
        <v>1257.3864629517323</v>
      </c>
      <c r="G8" s="48">
        <v>908.20336284802909</v>
      </c>
      <c r="H8" s="48">
        <v>2188.1829468286214</v>
      </c>
      <c r="I8" s="48">
        <v>4999.2473855424523</v>
      </c>
      <c r="J8" s="48">
        <v>-7.1064474849799799</v>
      </c>
      <c r="K8" s="48">
        <v>-3.9919083317794515</v>
      </c>
      <c r="L8" s="49">
        <v>2.4093534954183746</v>
      </c>
      <c r="M8" s="48">
        <v>20.931242384013029</v>
      </c>
      <c r="N8" s="48">
        <v>1.1354316849352235</v>
      </c>
      <c r="O8" s="48">
        <v>241.87609621815517</v>
      </c>
      <c r="P8" s="48">
        <v>176.47275289982994</v>
      </c>
      <c r="Q8" s="48">
        <v>159.91149599366889</v>
      </c>
      <c r="R8" s="48">
        <v>128.42751447925554</v>
      </c>
      <c r="S8" s="48">
        <v>54.032159112150715</v>
      </c>
      <c r="T8" s="48">
        <v>16.101119581738438</v>
      </c>
      <c r="U8" s="48">
        <v>12.821360979058218</v>
      </c>
      <c r="V8" s="48">
        <v>12.263238242203046</v>
      </c>
      <c r="W8" s="48">
        <v>32.475164815542463</v>
      </c>
      <c r="X8" s="48">
        <v>99.120386451118904</v>
      </c>
      <c r="Y8" s="48">
        <v>155.68740136790333</v>
      </c>
      <c r="Z8" s="48">
        <v>281.88322028993008</v>
      </c>
      <c r="AA8" s="48"/>
      <c r="AB8" s="48">
        <v>153.74701699399452</v>
      </c>
      <c r="AC8" s="48">
        <v>115.18430521206179</v>
      </c>
      <c r="AD8" s="48">
        <v>89.222923287683528</v>
      </c>
      <c r="AE8" s="48">
        <v>76.580722782059226</v>
      </c>
      <c r="AF8" s="48">
        <v>30.369096346810274</v>
      </c>
      <c r="AG8" s="48">
        <v>7.7076668522250014</v>
      </c>
      <c r="AH8" s="48">
        <v>4.5285805719495409</v>
      </c>
      <c r="AI8" s="48">
        <v>2.9818504502303695</v>
      </c>
      <c r="AJ8" s="48">
        <v>17.659452570342815</v>
      </c>
      <c r="AK8" s="48">
        <v>50.911670702953174</v>
      </c>
      <c r="AL8" s="48">
        <v>101.86268861542517</v>
      </c>
      <c r="AM8" s="38">
        <v>181.44484125665747</v>
      </c>
      <c r="AN8" s="38"/>
      <c r="AO8" s="38"/>
      <c r="AP8" s="38"/>
      <c r="AQ8" s="38"/>
      <c r="AR8" s="38"/>
      <c r="AS8" s="50"/>
      <c r="AT8" s="38"/>
      <c r="AU8" s="38"/>
      <c r="AV8" s="38"/>
      <c r="AW8" s="38"/>
      <c r="AX8" s="38"/>
      <c r="AY8" s="38"/>
      <c r="AZ8" s="50"/>
      <c r="BA8" s="38"/>
      <c r="BB8" s="38"/>
      <c r="BC8" s="38"/>
      <c r="BD8" s="38"/>
      <c r="BE8" s="38"/>
      <c r="BF8" s="38"/>
      <c r="BG8" s="38"/>
      <c r="BH8" s="50"/>
      <c r="BI8" s="38"/>
      <c r="BJ8" s="38"/>
      <c r="BK8" s="38"/>
      <c r="BL8" s="38"/>
      <c r="BM8" s="38"/>
      <c r="BN8" s="38"/>
      <c r="BO8" s="38"/>
      <c r="BP8" s="38"/>
      <c r="BQ8" s="38"/>
      <c r="BR8" s="38"/>
      <c r="BS8" s="38"/>
      <c r="BT8" s="38"/>
      <c r="BU8" s="38"/>
      <c r="BV8" s="38"/>
      <c r="BW8" s="38"/>
      <c r="BX8" s="38"/>
      <c r="BY8" s="38"/>
      <c r="BZ8" s="38"/>
      <c r="CA8" s="38"/>
      <c r="CB8" s="38"/>
      <c r="CC8" s="38"/>
      <c r="CD8" s="50"/>
      <c r="CE8" s="38"/>
      <c r="CF8" s="38"/>
      <c r="CG8" s="38"/>
      <c r="CH8" s="38"/>
      <c r="CI8" s="38"/>
      <c r="CJ8" s="38"/>
      <c r="CK8" s="38"/>
      <c r="CL8" s="38"/>
      <c r="CM8" s="38"/>
      <c r="CN8" s="38"/>
      <c r="CO8" s="38"/>
      <c r="CP8" s="38"/>
      <c r="CQ8" s="38"/>
      <c r="CR8" s="38"/>
      <c r="CS8" s="38"/>
      <c r="CT8" s="38"/>
      <c r="CU8" s="38"/>
      <c r="CV8" s="38"/>
      <c r="CW8" s="50"/>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row>
    <row r="9" spans="1:131">
      <c r="A9" s="27" t="s">
        <v>849</v>
      </c>
      <c r="B9" s="27"/>
      <c r="C9" s="48">
        <v>1493.0432070782967</v>
      </c>
      <c r="D9" s="48">
        <v>663.32648072192512</v>
      </c>
      <c r="E9" s="48">
        <v>132.66529614438502</v>
      </c>
      <c r="F9" s="48">
        <v>795.99177686631015</v>
      </c>
      <c r="G9" s="48">
        <v>574.94050544515198</v>
      </c>
      <c r="H9" s="48">
        <v>1384.6521653757327</v>
      </c>
      <c r="I9" s="48">
        <v>4670.2519607546838</v>
      </c>
      <c r="J9" s="48">
        <v>-5.8925163702700196</v>
      </c>
      <c r="K9" s="48">
        <v>-1.1654223661305556</v>
      </c>
      <c r="L9" s="49">
        <v>2.4083399104115224</v>
      </c>
      <c r="M9" s="48">
        <v>14.184088692399534</v>
      </c>
      <c r="N9" s="48">
        <v>0.69916353553121158</v>
      </c>
      <c r="O9" s="48">
        <v>148.93978108601107</v>
      </c>
      <c r="P9" s="48">
        <v>108.66643540021519</v>
      </c>
      <c r="Q9" s="48">
        <v>98.468528220962185</v>
      </c>
      <c r="R9" s="48">
        <v>80.113589165126228</v>
      </c>
      <c r="S9" s="48">
        <v>38.471485319348353</v>
      </c>
      <c r="T9" s="48">
        <v>15.672086279477517</v>
      </c>
      <c r="U9" s="48">
        <v>47.291286329050756</v>
      </c>
      <c r="V9" s="48">
        <v>47.00878274685715</v>
      </c>
      <c r="W9" s="48">
        <v>36.300474526167704</v>
      </c>
      <c r="X9" s="48">
        <v>64.001707000617458</v>
      </c>
      <c r="Y9" s="48">
        <v>95.867462060705151</v>
      </c>
      <c r="Z9" s="48">
        <v>173.5749244271569</v>
      </c>
      <c r="AA9" s="48"/>
      <c r="AB9" s="48">
        <v>94.67263368207928</v>
      </c>
      <c r="AC9" s="48">
        <v>70.926914527989126</v>
      </c>
      <c r="AD9" s="48">
        <v>54.940702574990894</v>
      </c>
      <c r="AE9" s="48">
        <v>47.425962423683302</v>
      </c>
      <c r="AF9" s="48">
        <v>20.017412752388438</v>
      </c>
      <c r="AG9" s="48">
        <v>5.7921524752241158</v>
      </c>
      <c r="AH9" s="48">
        <v>13.539812358913977</v>
      </c>
      <c r="AI9" s="48">
        <v>8.8276818794656169</v>
      </c>
      <c r="AJ9" s="48">
        <v>16.012410697294026</v>
      </c>
      <c r="AK9" s="48">
        <v>32.059011152841812</v>
      </c>
      <c r="AL9" s="48">
        <v>62.723877143818285</v>
      </c>
      <c r="AM9" s="38">
        <v>111.72809284791221</v>
      </c>
      <c r="AN9" s="38"/>
      <c r="AO9" s="38"/>
      <c r="AP9" s="38"/>
      <c r="AQ9" s="38"/>
      <c r="AR9" s="38"/>
      <c r="AS9" s="50"/>
      <c r="AT9" s="38"/>
      <c r="AU9" s="38"/>
      <c r="AV9" s="38"/>
      <c r="AW9" s="38"/>
      <c r="AX9" s="38"/>
      <c r="AY9" s="38"/>
      <c r="AZ9" s="50"/>
      <c r="BA9" s="38"/>
      <c r="BB9" s="38"/>
      <c r="BC9" s="38"/>
      <c r="BD9" s="38"/>
      <c r="BE9" s="38"/>
      <c r="BF9" s="38"/>
      <c r="BG9" s="38"/>
      <c r="BH9" s="50"/>
      <c r="BI9" s="38"/>
      <c r="BJ9" s="38"/>
      <c r="BK9" s="38"/>
      <c r="BL9" s="38"/>
      <c r="BM9" s="38"/>
      <c r="BN9" s="38"/>
      <c r="BO9" s="38"/>
      <c r="BP9" s="38"/>
      <c r="BQ9" s="38"/>
      <c r="BR9" s="38"/>
      <c r="BS9" s="38"/>
      <c r="BT9" s="38"/>
      <c r="BU9" s="38"/>
      <c r="BV9" s="38"/>
      <c r="BW9" s="38"/>
      <c r="BX9" s="38"/>
      <c r="BY9" s="38"/>
      <c r="BZ9" s="38"/>
      <c r="CA9" s="38"/>
      <c r="CB9" s="38"/>
      <c r="CC9" s="38"/>
      <c r="CD9" s="50"/>
      <c r="CE9" s="38"/>
      <c r="CF9" s="38"/>
      <c r="CG9" s="38"/>
      <c r="CH9" s="38"/>
      <c r="CI9" s="38"/>
      <c r="CJ9" s="38"/>
      <c r="CK9" s="38"/>
      <c r="CL9" s="38"/>
      <c r="CM9" s="38"/>
      <c r="CN9" s="38"/>
      <c r="CO9" s="38"/>
      <c r="CP9" s="38"/>
      <c r="CQ9" s="38"/>
      <c r="CR9" s="38"/>
      <c r="CS9" s="38"/>
      <c r="CT9" s="38"/>
      <c r="CU9" s="38"/>
      <c r="CV9" s="38"/>
      <c r="CW9" s="50"/>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row>
    <row r="10" spans="1:131">
      <c r="A10" s="27" t="s">
        <v>877</v>
      </c>
      <c r="B10" s="27"/>
      <c r="C10" s="48">
        <v>1430.1806332760389</v>
      </c>
      <c r="D10" s="48">
        <v>688.8802831401041</v>
      </c>
      <c r="E10" s="48">
        <v>137.77605662802083</v>
      </c>
      <c r="F10" s="48">
        <v>826.65633976812489</v>
      </c>
      <c r="G10" s="48">
        <v>597.08935145890302</v>
      </c>
      <c r="H10" s="48">
        <v>1328.700670429286</v>
      </c>
      <c r="I10" s="48">
        <v>5063.3530953226746</v>
      </c>
      <c r="J10" s="48">
        <v>-4.2060098482085699</v>
      </c>
      <c r="K10" s="48">
        <v>1.0991025649408628</v>
      </c>
      <c r="L10" s="49">
        <v>2.2252962093241062</v>
      </c>
      <c r="M10" s="48">
        <v>13.586885236488079</v>
      </c>
      <c r="N10" s="48">
        <v>0.67112157068610512</v>
      </c>
      <c r="O10" s="48">
        <v>142.96612271711675</v>
      </c>
      <c r="P10" s="48">
        <v>104.30805541259093</v>
      </c>
      <c r="Q10" s="48">
        <v>94.519164636627607</v>
      </c>
      <c r="R10" s="48">
        <v>76.87784950809376</v>
      </c>
      <c r="S10" s="48">
        <v>36.814820482713046</v>
      </c>
      <c r="T10" s="48">
        <v>14.917675299203953</v>
      </c>
      <c r="U10" s="48">
        <v>44.533483967347806</v>
      </c>
      <c r="V10" s="48">
        <v>44.260974043394356</v>
      </c>
      <c r="W10" s="48">
        <v>34.488213502054599</v>
      </c>
      <c r="X10" s="48">
        <v>61.369899308203827</v>
      </c>
      <c r="Y10" s="48">
        <v>92.022421717098936</v>
      </c>
      <c r="Z10" s="48">
        <v>166.61320276774543</v>
      </c>
      <c r="AA10" s="48"/>
      <c r="AB10" s="48">
        <v>90.875515367707493</v>
      </c>
      <c r="AC10" s="48">
        <v>68.082186588545625</v>
      </c>
      <c r="AD10" s="48">
        <v>52.737147652746863</v>
      </c>
      <c r="AE10" s="48">
        <v>45.517908069604303</v>
      </c>
      <c r="AF10" s="48">
        <v>19.185770876276543</v>
      </c>
      <c r="AG10" s="48">
        <v>5.5369798206130252</v>
      </c>
      <c r="AH10" s="48">
        <v>12.761778766333265</v>
      </c>
      <c r="AI10" s="48">
        <v>8.3208142622270689</v>
      </c>
      <c r="AJ10" s="48">
        <v>15.257884386625253</v>
      </c>
      <c r="AK10" s="48">
        <v>30.757692226174807</v>
      </c>
      <c r="AL10" s="48">
        <v>60.208155615979535</v>
      </c>
      <c r="AM10" s="38">
        <v>107.24691628101434</v>
      </c>
      <c r="AN10" s="38"/>
      <c r="AO10" s="38"/>
      <c r="AP10" s="38"/>
      <c r="AQ10" s="38"/>
      <c r="AR10" s="38"/>
      <c r="AS10" s="50"/>
      <c r="AT10" s="38"/>
      <c r="AU10" s="38"/>
      <c r="AV10" s="38"/>
      <c r="AW10" s="38"/>
      <c r="AX10" s="38"/>
      <c r="AY10" s="38"/>
      <c r="AZ10" s="50"/>
      <c r="BA10" s="38"/>
      <c r="BB10" s="38"/>
      <c r="BC10" s="38"/>
      <c r="BD10" s="38"/>
      <c r="BE10" s="38"/>
      <c r="BF10" s="38"/>
      <c r="BG10" s="38"/>
      <c r="BH10" s="50"/>
      <c r="BI10" s="38"/>
      <c r="BJ10" s="38"/>
      <c r="BK10" s="38"/>
      <c r="BL10" s="38"/>
      <c r="BM10" s="38"/>
      <c r="BN10" s="38"/>
      <c r="BO10" s="38"/>
      <c r="BP10" s="38"/>
      <c r="BQ10" s="38"/>
      <c r="BR10" s="38"/>
      <c r="BS10" s="38"/>
      <c r="BT10" s="38"/>
      <c r="BU10" s="38"/>
      <c r="BV10" s="38"/>
      <c r="BW10" s="38"/>
      <c r="BX10" s="38"/>
      <c r="BY10" s="38"/>
      <c r="BZ10" s="38"/>
      <c r="CA10" s="38"/>
      <c r="CB10" s="38"/>
      <c r="CC10" s="38"/>
      <c r="CD10" s="50"/>
      <c r="CE10" s="38"/>
      <c r="CF10" s="38"/>
      <c r="CG10" s="38"/>
      <c r="CH10" s="38"/>
      <c r="CI10" s="38"/>
      <c r="CJ10" s="38"/>
      <c r="CK10" s="38"/>
      <c r="CL10" s="38"/>
      <c r="CM10" s="38"/>
      <c r="CN10" s="38"/>
      <c r="CO10" s="38"/>
      <c r="CP10" s="38"/>
      <c r="CQ10" s="38"/>
      <c r="CR10" s="38"/>
      <c r="CS10" s="38"/>
      <c r="CT10" s="38"/>
      <c r="CU10" s="38"/>
      <c r="CV10" s="38"/>
      <c r="CW10" s="50"/>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row>
    <row r="11" spans="1:131">
      <c r="A11" s="27" t="s">
        <v>862</v>
      </c>
      <c r="B11" s="27"/>
      <c r="C11" s="48">
        <v>810.85108095413966</v>
      </c>
      <c r="D11" s="48">
        <v>595.71787033770602</v>
      </c>
      <c r="E11" s="48">
        <v>119.14357406754121</v>
      </c>
      <c r="F11" s="48">
        <v>714.8614444052472</v>
      </c>
      <c r="G11" s="48">
        <v>516.34051018423236</v>
      </c>
      <c r="H11" s="48">
        <v>762.01528352371224</v>
      </c>
      <c r="I11" s="48">
        <v>7722.9794719163037</v>
      </c>
      <c r="J11" s="48">
        <v>7.3231483139859979</v>
      </c>
      <c r="K11" s="48">
        <v>16.447363051407777</v>
      </c>
      <c r="L11" s="49">
        <v>1.475799919808388</v>
      </c>
      <c r="M11" s="48">
        <v>7.703177275469133</v>
      </c>
      <c r="N11" s="48">
        <v>0.38415491752086445</v>
      </c>
      <c r="O11" s="48">
        <v>81.83485895785536</v>
      </c>
      <c r="P11" s="48">
        <v>59.706697227479303</v>
      </c>
      <c r="Q11" s="48">
        <v>54.10346423227616</v>
      </c>
      <c r="R11" s="48">
        <v>43.946447527918281</v>
      </c>
      <c r="S11" s="48">
        <v>20.775762510126249</v>
      </c>
      <c r="T11" s="48">
        <v>8.2098097701090982</v>
      </c>
      <c r="U11" s="48">
        <v>23.238871294939905</v>
      </c>
      <c r="V11" s="48">
        <v>23.079387252151786</v>
      </c>
      <c r="W11" s="48">
        <v>18.809192058093117</v>
      </c>
      <c r="X11" s="48">
        <v>34.9589787806799</v>
      </c>
      <c r="Y11" s="48">
        <v>52.674310242572346</v>
      </c>
      <c r="Z11" s="48">
        <v>95.370621304417384</v>
      </c>
      <c r="AA11" s="48"/>
      <c r="AB11" s="48">
        <v>52.017812622321216</v>
      </c>
      <c r="AC11" s="48">
        <v>38.970743775713871</v>
      </c>
      <c r="AD11" s="48">
        <v>30.187130755036044</v>
      </c>
      <c r="AE11" s="48">
        <v>26.039351925458082</v>
      </c>
      <c r="AF11" s="48">
        <v>10.906774911787352</v>
      </c>
      <c r="AG11" s="48">
        <v>3.1096038732468969</v>
      </c>
      <c r="AH11" s="48">
        <v>6.6902496190235965</v>
      </c>
      <c r="AI11" s="48">
        <v>4.3631640763458002</v>
      </c>
      <c r="AJ11" s="48">
        <v>8.4399525333620886</v>
      </c>
      <c r="AK11" s="48">
        <v>17.565382324352914</v>
      </c>
      <c r="AL11" s="48">
        <v>34.46359059967979</v>
      </c>
      <c r="AM11" s="38">
        <v>61.388922779193138</v>
      </c>
      <c r="AN11" s="38"/>
      <c r="AO11" s="38"/>
      <c r="AP11" s="38"/>
      <c r="AQ11" s="38"/>
      <c r="AR11" s="38"/>
      <c r="AS11" s="50"/>
      <c r="AT11" s="38"/>
      <c r="AU11" s="38"/>
      <c r="AV11" s="38"/>
      <c r="AW11" s="38"/>
      <c r="AX11" s="38"/>
      <c r="AY11" s="38"/>
      <c r="AZ11" s="50"/>
      <c r="BA11" s="38"/>
      <c r="BB11" s="38"/>
      <c r="BC11" s="38"/>
      <c r="BD11" s="38"/>
      <c r="BE11" s="38"/>
      <c r="BF11" s="38"/>
      <c r="BG11" s="38"/>
      <c r="BH11" s="50"/>
      <c r="BI11" s="38"/>
      <c r="BJ11" s="38"/>
      <c r="BK11" s="38"/>
      <c r="BL11" s="38"/>
      <c r="BM11" s="38"/>
      <c r="BN11" s="38"/>
      <c r="BO11" s="38"/>
      <c r="BP11" s="38"/>
      <c r="BQ11" s="38"/>
      <c r="BR11" s="38"/>
      <c r="BS11" s="38"/>
      <c r="BT11" s="38"/>
      <c r="BU11" s="38"/>
      <c r="BV11" s="38"/>
      <c r="BW11" s="38"/>
      <c r="BX11" s="38"/>
      <c r="BY11" s="38"/>
      <c r="BZ11" s="38"/>
      <c r="CA11" s="38"/>
      <c r="CB11" s="38"/>
      <c r="CC11" s="38"/>
      <c r="CD11" s="50"/>
      <c r="CE11" s="38"/>
      <c r="CF11" s="38"/>
      <c r="CG11" s="38"/>
      <c r="CH11" s="38"/>
      <c r="CI11" s="38"/>
      <c r="CJ11" s="38"/>
      <c r="CK11" s="38"/>
      <c r="CL11" s="38"/>
      <c r="CM11" s="38"/>
      <c r="CN11" s="38"/>
      <c r="CO11" s="38"/>
      <c r="CP11" s="38"/>
      <c r="CQ11" s="38"/>
      <c r="CR11" s="38"/>
      <c r="CS11" s="38"/>
      <c r="CT11" s="38"/>
      <c r="CU11" s="38"/>
      <c r="CV11" s="38"/>
      <c r="CW11" s="50"/>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row>
    <row r="12" spans="1:131">
      <c r="A12" s="27" t="s">
        <v>854</v>
      </c>
      <c r="B12" s="27"/>
      <c r="C12" s="48">
        <v>1286.2683666714556</v>
      </c>
      <c r="D12" s="48">
        <v>1034.2534120831954</v>
      </c>
      <c r="E12" s="48">
        <v>206.85068241663907</v>
      </c>
      <c r="F12" s="48">
        <v>1241.1040944998344</v>
      </c>
      <c r="G12" s="48">
        <v>896.44269719840054</v>
      </c>
      <c r="H12" s="48">
        <v>1260.7404684563878</v>
      </c>
      <c r="I12" s="48">
        <v>8452.4133139904407</v>
      </c>
      <c r="J12" s="48">
        <v>8.3877155783262047</v>
      </c>
      <c r="K12" s="48">
        <v>17.914039421903194</v>
      </c>
      <c r="L12" s="49">
        <v>1.406381548309229</v>
      </c>
      <c r="M12" s="48">
        <v>12.219642613444346</v>
      </c>
      <c r="N12" s="48">
        <v>0.65850115617751936</v>
      </c>
      <c r="O12" s="48">
        <v>140.27765045190438</v>
      </c>
      <c r="P12" s="48">
        <v>102.34654656919967</v>
      </c>
      <c r="Q12" s="48">
        <v>92.741735495883404</v>
      </c>
      <c r="R12" s="48">
        <v>74.54646718376182</v>
      </c>
      <c r="S12" s="48">
        <v>31.659209879130568</v>
      </c>
      <c r="T12" s="48">
        <v>9.6954598432118626</v>
      </c>
      <c r="U12" s="48">
        <v>9.8821149710136655</v>
      </c>
      <c r="V12" s="48">
        <v>9.5622263460787362</v>
      </c>
      <c r="W12" s="48">
        <v>19.846526871902395</v>
      </c>
      <c r="X12" s="48">
        <v>57.669726886632972</v>
      </c>
      <c r="Y12" s="48">
        <v>90.291943727892928</v>
      </c>
      <c r="Z12" s="48">
        <v>163.48004810042886</v>
      </c>
      <c r="AA12" s="48"/>
      <c r="AB12" s="48">
        <v>89.166604906895856</v>
      </c>
      <c r="AC12" s="48">
        <v>66.801903771052636</v>
      </c>
      <c r="AD12" s="48">
        <v>51.745427683594727</v>
      </c>
      <c r="AE12" s="48">
        <v>44.430260763875758</v>
      </c>
      <c r="AF12" s="48">
        <v>17.694541624810864</v>
      </c>
      <c r="AG12" s="48">
        <v>4.5350638583250724</v>
      </c>
      <c r="AH12" s="48">
        <v>3.2939709531255938</v>
      </c>
      <c r="AI12" s="48">
        <v>2.1634788121957693</v>
      </c>
      <c r="AJ12" s="48">
        <v>10.560773672711321</v>
      </c>
      <c r="AK12" s="48">
        <v>29.570598383722167</v>
      </c>
      <c r="AL12" s="48">
        <v>59.075943638506843</v>
      </c>
      <c r="AM12" s="38">
        <v>105.23014227559788</v>
      </c>
      <c r="AN12" s="38"/>
      <c r="AO12" s="38"/>
      <c r="AP12" s="38"/>
      <c r="AQ12" s="38"/>
      <c r="AR12" s="38"/>
      <c r="AS12" s="50"/>
      <c r="AT12" s="38"/>
      <c r="AU12" s="38"/>
      <c r="AV12" s="38"/>
      <c r="AW12" s="38"/>
      <c r="AX12" s="38"/>
      <c r="AY12" s="38"/>
      <c r="AZ12" s="50"/>
      <c r="BA12" s="38"/>
      <c r="BB12" s="38"/>
      <c r="BC12" s="38"/>
      <c r="BD12" s="38"/>
      <c r="BE12" s="38"/>
      <c r="BF12" s="38"/>
      <c r="BG12" s="38"/>
      <c r="BH12" s="50"/>
      <c r="BI12" s="38"/>
      <c r="BJ12" s="38"/>
      <c r="BK12" s="38"/>
      <c r="BL12" s="38"/>
      <c r="BM12" s="38"/>
      <c r="BN12" s="38"/>
      <c r="BO12" s="38"/>
      <c r="BP12" s="38"/>
      <c r="BQ12" s="38"/>
      <c r="BR12" s="38"/>
      <c r="BS12" s="38"/>
      <c r="BT12" s="38"/>
      <c r="BU12" s="38"/>
      <c r="BV12" s="38"/>
      <c r="BW12" s="38"/>
      <c r="BX12" s="38"/>
      <c r="BY12" s="38"/>
      <c r="BZ12" s="38"/>
      <c r="CA12" s="38"/>
      <c r="CB12" s="38"/>
      <c r="CC12" s="38"/>
      <c r="CD12" s="50"/>
      <c r="CE12" s="38"/>
      <c r="CF12" s="38"/>
      <c r="CG12" s="38"/>
      <c r="CH12" s="38"/>
      <c r="CI12" s="38"/>
      <c r="CJ12" s="38"/>
      <c r="CK12" s="38"/>
      <c r="CL12" s="38"/>
      <c r="CM12" s="38"/>
      <c r="CN12" s="38"/>
      <c r="CO12" s="38"/>
      <c r="CP12" s="38"/>
      <c r="CQ12" s="38"/>
      <c r="CR12" s="38"/>
      <c r="CS12" s="38"/>
      <c r="CT12" s="38"/>
      <c r="CU12" s="38"/>
      <c r="CV12" s="38"/>
      <c r="CW12" s="50"/>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row>
    <row r="13" spans="1:131">
      <c r="A13" s="27" t="s">
        <v>882</v>
      </c>
      <c r="B13" s="27"/>
      <c r="C13" s="48">
        <v>1259.0493800803215</v>
      </c>
      <c r="D13" s="48">
        <v>1074.0966990780664</v>
      </c>
      <c r="E13" s="48">
        <v>214.81933981561329</v>
      </c>
      <c r="F13" s="48">
        <v>1288.9160388936798</v>
      </c>
      <c r="G13" s="48">
        <v>930.97700304805733</v>
      </c>
      <c r="H13" s="48">
        <v>1242.2265105047059</v>
      </c>
      <c r="I13" s="48">
        <v>8967.8011675668567</v>
      </c>
      <c r="J13" s="48">
        <v>10.662077126482917</v>
      </c>
      <c r="K13" s="48">
        <v>20.563825946152182</v>
      </c>
      <c r="L13" s="49">
        <v>1.3343256669473089</v>
      </c>
      <c r="M13" s="48">
        <v>11.961060045549338</v>
      </c>
      <c r="N13" s="48">
        <v>0.6447752331267802</v>
      </c>
      <c r="O13" s="48">
        <v>137.35367648803441</v>
      </c>
      <c r="P13" s="48">
        <v>100.21321573213274</v>
      </c>
      <c r="Q13" s="48">
        <v>90.808609163352955</v>
      </c>
      <c r="R13" s="48">
        <v>72.989520140920405</v>
      </c>
      <c r="S13" s="48">
        <v>30.983746280014437</v>
      </c>
      <c r="T13" s="48">
        <v>9.4761458366805691</v>
      </c>
      <c r="U13" s="48">
        <v>9.5583009984417</v>
      </c>
      <c r="V13" s="48">
        <v>9.2448972378790231</v>
      </c>
      <c r="W13" s="48">
        <v>19.384081071154988</v>
      </c>
      <c r="X13" s="48">
        <v>56.458775869204835</v>
      </c>
      <c r="Y13" s="48">
        <v>88.409881319825374</v>
      </c>
      <c r="Z13" s="48">
        <v>160.07243895729061</v>
      </c>
      <c r="AA13" s="48"/>
      <c r="AB13" s="48">
        <v>87.30799927474753</v>
      </c>
      <c r="AC13" s="48">
        <v>65.409472213108387</v>
      </c>
      <c r="AD13" s="48">
        <v>50.666836170201634</v>
      </c>
      <c r="AE13" s="48">
        <v>43.503340639797763</v>
      </c>
      <c r="AF13" s="48">
        <v>17.3217740609843</v>
      </c>
      <c r="AG13" s="48">
        <v>4.4374056414362855</v>
      </c>
      <c r="AH13" s="48">
        <v>3.1931551671670464</v>
      </c>
      <c r="AI13" s="48">
        <v>2.0974720096842785</v>
      </c>
      <c r="AJ13" s="48">
        <v>10.325274994275114</v>
      </c>
      <c r="AK13" s="48">
        <v>28.952102131950621</v>
      </c>
      <c r="AL13" s="48">
        <v>57.844553459575465</v>
      </c>
      <c r="AM13" s="38">
        <v>103.03670522246108</v>
      </c>
      <c r="AN13" s="38"/>
      <c r="AO13" s="38"/>
      <c r="AP13" s="38"/>
      <c r="AQ13" s="38"/>
      <c r="AR13" s="38"/>
      <c r="AS13" s="50"/>
      <c r="AT13" s="38"/>
      <c r="AU13" s="38"/>
      <c r="AV13" s="38"/>
      <c r="AW13" s="38"/>
      <c r="AX13" s="38"/>
      <c r="AY13" s="38"/>
      <c r="AZ13" s="50"/>
      <c r="BA13" s="38"/>
      <c r="BB13" s="38"/>
      <c r="BC13" s="38"/>
      <c r="BD13" s="38"/>
      <c r="BE13" s="38"/>
      <c r="BF13" s="38"/>
      <c r="BG13" s="38"/>
      <c r="BH13" s="50"/>
      <c r="BI13" s="38"/>
      <c r="BJ13" s="38"/>
      <c r="BK13" s="38"/>
      <c r="BL13" s="38"/>
      <c r="BM13" s="38"/>
      <c r="BN13" s="38"/>
      <c r="BO13" s="38"/>
      <c r="BP13" s="38"/>
      <c r="BQ13" s="38"/>
      <c r="BR13" s="38"/>
      <c r="BS13" s="38"/>
      <c r="BT13" s="38"/>
      <c r="BU13" s="38"/>
      <c r="BV13" s="38"/>
      <c r="BW13" s="38"/>
      <c r="BX13" s="38"/>
      <c r="BY13" s="38"/>
      <c r="BZ13" s="38"/>
      <c r="CA13" s="38"/>
      <c r="CB13" s="38"/>
      <c r="CC13" s="38"/>
      <c r="CD13" s="50"/>
      <c r="CE13" s="38"/>
      <c r="CF13" s="38"/>
      <c r="CG13" s="38"/>
      <c r="CH13" s="38"/>
      <c r="CI13" s="38"/>
      <c r="CJ13" s="38"/>
      <c r="CK13" s="38"/>
      <c r="CL13" s="38"/>
      <c r="CM13" s="38"/>
      <c r="CN13" s="38"/>
      <c r="CO13" s="38"/>
      <c r="CP13" s="38"/>
      <c r="CQ13" s="38"/>
      <c r="CR13" s="38"/>
      <c r="CS13" s="38"/>
      <c r="CT13" s="38"/>
      <c r="CU13" s="38"/>
      <c r="CV13" s="38"/>
      <c r="CW13" s="50"/>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row>
    <row r="14" spans="1:131">
      <c r="A14" s="27" t="s">
        <v>863</v>
      </c>
      <c r="B14" s="27"/>
      <c r="C14" s="48">
        <v>821.68425829354476</v>
      </c>
      <c r="D14" s="48">
        <v>680.29789045028565</v>
      </c>
      <c r="E14" s="48">
        <v>136.05957809005713</v>
      </c>
      <c r="F14" s="48">
        <v>816.35746854034278</v>
      </c>
      <c r="G14" s="48">
        <v>589.65053311768042</v>
      </c>
      <c r="H14" s="48">
        <v>773.04874893035753</v>
      </c>
      <c r="I14" s="48">
        <v>8703.2109380615893</v>
      </c>
      <c r="J14" s="48">
        <v>11.662853044376721</v>
      </c>
      <c r="K14" s="48">
        <v>22.318173045115</v>
      </c>
      <c r="L14" s="49">
        <v>1.3110286610663933</v>
      </c>
      <c r="M14" s="48">
        <v>7.8060936291001717</v>
      </c>
      <c r="N14" s="48">
        <v>0.38934340794320083</v>
      </c>
      <c r="O14" s="48">
        <v>82.940140609997727</v>
      </c>
      <c r="P14" s="48">
        <v>60.513110506562967</v>
      </c>
      <c r="Q14" s="48">
        <v>54.834198873904519</v>
      </c>
      <c r="R14" s="48">
        <v>44.539103036132687</v>
      </c>
      <c r="S14" s="48">
        <v>21.051849933327656</v>
      </c>
      <c r="T14" s="48">
        <v>8.3156944250062672</v>
      </c>
      <c r="U14" s="48">
        <v>23.51853478902855</v>
      </c>
      <c r="V14" s="48">
        <v>23.356843603048986</v>
      </c>
      <c r="W14" s="48">
        <v>19.049078059181095</v>
      </c>
      <c r="X14" s="48">
        <v>35.428567645510846</v>
      </c>
      <c r="Y14" s="48">
        <v>53.385742380316408</v>
      </c>
      <c r="Z14" s="48">
        <v>96.658720278663523</v>
      </c>
      <c r="AA14" s="48"/>
      <c r="AB14" s="48">
        <v>52.720377942384161</v>
      </c>
      <c r="AC14" s="48">
        <v>39.497092187798522</v>
      </c>
      <c r="AD14" s="48">
        <v>30.594845537944721</v>
      </c>
      <c r="AE14" s="48">
        <v>26.39081141741379</v>
      </c>
      <c r="AF14" s="48">
        <v>11.052940923025238</v>
      </c>
      <c r="AG14" s="48">
        <v>3.1506947310159266</v>
      </c>
      <c r="AH14" s="48">
        <v>6.7712748395048106</v>
      </c>
      <c r="AI14" s="48">
        <v>4.4160235247306314</v>
      </c>
      <c r="AJ14" s="48">
        <v>8.5494832242697836</v>
      </c>
      <c r="AK14" s="48">
        <v>17.802008919250316</v>
      </c>
      <c r="AL14" s="48">
        <v>34.929064296853142</v>
      </c>
      <c r="AM14" s="38">
        <v>62.21805660867247</v>
      </c>
      <c r="AN14" s="38"/>
      <c r="AO14" s="38"/>
      <c r="AP14" s="38"/>
      <c r="AQ14" s="38"/>
      <c r="AR14" s="38"/>
      <c r="AS14" s="50"/>
      <c r="AT14" s="38"/>
      <c r="AU14" s="38"/>
      <c r="AV14" s="38"/>
      <c r="AW14" s="38"/>
      <c r="AX14" s="38"/>
      <c r="AY14" s="38"/>
      <c r="AZ14" s="50"/>
      <c r="BA14" s="38"/>
      <c r="BB14" s="38"/>
      <c r="BC14" s="38"/>
      <c r="BD14" s="38"/>
      <c r="BE14" s="38"/>
      <c r="BF14" s="38"/>
      <c r="BG14" s="38"/>
      <c r="BH14" s="50"/>
      <c r="BI14" s="38"/>
      <c r="BJ14" s="38"/>
      <c r="BK14" s="38"/>
      <c r="BL14" s="38"/>
      <c r="BM14" s="38"/>
      <c r="BN14" s="38"/>
      <c r="BO14" s="38"/>
      <c r="BP14" s="38"/>
      <c r="BQ14" s="38"/>
      <c r="BR14" s="38"/>
      <c r="BS14" s="38"/>
      <c r="BT14" s="38"/>
      <c r="BU14" s="38"/>
      <c r="BV14" s="38"/>
      <c r="BW14" s="38"/>
      <c r="BX14" s="38"/>
      <c r="BY14" s="38"/>
      <c r="BZ14" s="38"/>
      <c r="CA14" s="38"/>
      <c r="CB14" s="38"/>
      <c r="CC14" s="38"/>
      <c r="CD14" s="50"/>
      <c r="CE14" s="38"/>
      <c r="CF14" s="38"/>
      <c r="CG14" s="38"/>
      <c r="CH14" s="38"/>
      <c r="CI14" s="38"/>
      <c r="CJ14" s="38"/>
      <c r="CK14" s="38"/>
      <c r="CL14" s="38"/>
      <c r="CM14" s="38"/>
      <c r="CN14" s="38"/>
      <c r="CO14" s="38"/>
      <c r="CP14" s="38"/>
      <c r="CQ14" s="38"/>
      <c r="CR14" s="38"/>
      <c r="CS14" s="38"/>
      <c r="CT14" s="38"/>
      <c r="CU14" s="38"/>
      <c r="CV14" s="38"/>
      <c r="CW14" s="50"/>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row>
    <row r="15" spans="1:131">
      <c r="A15" s="27" t="s">
        <v>844</v>
      </c>
      <c r="B15" s="27"/>
      <c r="C15" s="48">
        <v>1451.4464353474798</v>
      </c>
      <c r="D15" s="48">
        <v>1388.7391906273035</v>
      </c>
      <c r="E15" s="48">
        <v>277.7478381254607</v>
      </c>
      <c r="F15" s="48">
        <v>1666.4870287527642</v>
      </c>
      <c r="G15" s="48">
        <v>1203.6944632781369</v>
      </c>
      <c r="H15" s="48">
        <v>1478.3334047855305</v>
      </c>
      <c r="I15" s="48">
        <v>10057.84713535041</v>
      </c>
      <c r="J15" s="48">
        <v>16.247744372193427</v>
      </c>
      <c r="K15" s="48">
        <v>24.826671733747755</v>
      </c>
      <c r="L15" s="49">
        <v>1.2281633337079934</v>
      </c>
      <c r="M15" s="48">
        <v>13.788866739803893</v>
      </c>
      <c r="N15" s="48">
        <v>0.72399088979316295</v>
      </c>
      <c r="O15" s="48">
        <v>154.22864487938722</v>
      </c>
      <c r="P15" s="48">
        <v>112.52518939832636</v>
      </c>
      <c r="Q15" s="48">
        <v>101.96515370206274</v>
      </c>
      <c r="R15" s="48">
        <v>82.242297596346376</v>
      </c>
      <c r="S15" s="48">
        <v>36.228796978622789</v>
      </c>
      <c r="T15" s="48">
        <v>12.232994879138973</v>
      </c>
      <c r="U15" s="48">
        <v>21.630320947343872</v>
      </c>
      <c r="V15" s="48">
        <v>21.295334085277883</v>
      </c>
      <c r="W15" s="48">
        <v>26.27534018978583</v>
      </c>
      <c r="X15" s="48">
        <v>64.215749518519345</v>
      </c>
      <c r="Y15" s="48">
        <v>99.271723469971761</v>
      </c>
      <c r="Z15" s="48">
        <v>179.73858417304203</v>
      </c>
      <c r="AA15" s="48"/>
      <c r="AB15" s="48">
        <v>98.034466638014393</v>
      </c>
      <c r="AC15" s="48">
        <v>73.445535056955379</v>
      </c>
      <c r="AD15" s="48">
        <v>56.89165141157951</v>
      </c>
      <c r="AE15" s="48">
        <v>48.922733170930762</v>
      </c>
      <c r="AF15" s="48">
        <v>19.814212863924045</v>
      </c>
      <c r="AG15" s="48">
        <v>5.271920495195296</v>
      </c>
      <c r="AH15" s="48">
        <v>6.5594452318078265</v>
      </c>
      <c r="AI15" s="48">
        <v>4.289149001549287</v>
      </c>
      <c r="AJ15" s="48">
        <v>13.015151090477477</v>
      </c>
      <c r="AK15" s="48">
        <v>32.705266871960518</v>
      </c>
      <c r="AL15" s="48">
        <v>64.951207145159827</v>
      </c>
      <c r="AM15" s="38">
        <v>115.69556655210039</v>
      </c>
      <c r="AN15" s="38"/>
      <c r="AO15" s="38"/>
      <c r="AP15" s="38"/>
      <c r="AQ15" s="38"/>
      <c r="AR15" s="38"/>
      <c r="AS15" s="50"/>
      <c r="AT15" s="38"/>
      <c r="AU15" s="38"/>
      <c r="AV15" s="38"/>
      <c r="AW15" s="38"/>
      <c r="AX15" s="38"/>
      <c r="AY15" s="38"/>
      <c r="AZ15" s="50"/>
      <c r="BA15" s="38"/>
      <c r="BB15" s="38"/>
      <c r="BC15" s="38"/>
      <c r="BD15" s="38"/>
      <c r="BE15" s="38"/>
      <c r="BF15" s="38"/>
      <c r="BG15" s="38"/>
      <c r="BH15" s="50"/>
      <c r="BI15" s="38"/>
      <c r="BJ15" s="38"/>
      <c r="BK15" s="38"/>
      <c r="BL15" s="38"/>
      <c r="BM15" s="38"/>
      <c r="BN15" s="38"/>
      <c r="BO15" s="38"/>
      <c r="BP15" s="38"/>
      <c r="BQ15" s="38"/>
      <c r="BR15" s="38"/>
      <c r="BS15" s="38"/>
      <c r="BT15" s="38"/>
      <c r="BU15" s="38"/>
      <c r="BV15" s="38"/>
      <c r="BW15" s="38"/>
      <c r="BX15" s="38"/>
      <c r="BY15" s="38"/>
      <c r="BZ15" s="38"/>
      <c r="CA15" s="38"/>
      <c r="CB15" s="38"/>
      <c r="CC15" s="38"/>
      <c r="CD15" s="50"/>
      <c r="CE15" s="38"/>
      <c r="CF15" s="38"/>
      <c r="CG15" s="38"/>
      <c r="CH15" s="38"/>
      <c r="CI15" s="38"/>
      <c r="CJ15" s="38"/>
      <c r="CK15" s="38"/>
      <c r="CL15" s="38"/>
      <c r="CM15" s="38"/>
      <c r="CN15" s="38"/>
      <c r="CO15" s="38"/>
      <c r="CP15" s="38"/>
      <c r="CQ15" s="38"/>
      <c r="CR15" s="38"/>
      <c r="CS15" s="38"/>
      <c r="CT15" s="38"/>
      <c r="CU15" s="38"/>
      <c r="CV15" s="38"/>
      <c r="CW15" s="50"/>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row>
    <row r="16" spans="1:131">
      <c r="A16" s="27" t="s">
        <v>843</v>
      </c>
      <c r="B16" s="27"/>
      <c r="C16" s="48">
        <v>778.80226042812978</v>
      </c>
      <c r="D16" s="48">
        <v>789.31624793152037</v>
      </c>
      <c r="E16" s="48">
        <v>157.86324958630408</v>
      </c>
      <c r="F16" s="48">
        <v>947.17949751782442</v>
      </c>
      <c r="G16" s="48">
        <v>684.14256890199761</v>
      </c>
      <c r="H16" s="48">
        <v>784.79011206122198</v>
      </c>
      <c r="I16" s="48">
        <v>10653.914118963759</v>
      </c>
      <c r="J16" s="48">
        <v>16.017267427749879</v>
      </c>
      <c r="K16" s="48">
        <v>29.256890208988256</v>
      </c>
      <c r="L16" s="49">
        <v>1.1471148671844187</v>
      </c>
      <c r="M16" s="48">
        <v>7.3986464994862677</v>
      </c>
      <c r="N16" s="48">
        <v>0.4278636079896535</v>
      </c>
      <c r="O16" s="48">
        <v>91.145932060418559</v>
      </c>
      <c r="P16" s="48">
        <v>66.500054357647656</v>
      </c>
      <c r="Q16" s="48">
        <v>60.25929216408786</v>
      </c>
      <c r="R16" s="48">
        <v>48.00575707181163</v>
      </c>
      <c r="S16" s="48">
        <v>18.398287401744604</v>
      </c>
      <c r="T16" s="48">
        <v>3.8944187079806136</v>
      </c>
      <c r="U16" s="48">
        <v>-10.037132658043289</v>
      </c>
      <c r="V16" s="48">
        <v>-10.27053612841247</v>
      </c>
      <c r="W16" s="48">
        <v>6.0845482015238348</v>
      </c>
      <c r="X16" s="48">
        <v>36.231865511105944</v>
      </c>
      <c r="Y16" s="48">
        <v>58.667530730045385</v>
      </c>
      <c r="Z16" s="48">
        <v>106.22177737788994</v>
      </c>
      <c r="AA16" s="48"/>
      <c r="AB16" s="48">
        <v>57.936337589918487</v>
      </c>
      <c r="AC16" s="48">
        <v>43.404788738677681</v>
      </c>
      <c r="AD16" s="48">
        <v>33.621786655909865</v>
      </c>
      <c r="AE16" s="48">
        <v>28.755962608687199</v>
      </c>
      <c r="AF16" s="48">
        <v>10.946881105825243</v>
      </c>
      <c r="AG16" s="48">
        <v>2.5096965452824653</v>
      </c>
      <c r="AH16" s="48">
        <v>-2.351140662053421</v>
      </c>
      <c r="AI16" s="48">
        <v>-1.5150405046939885</v>
      </c>
      <c r="AJ16" s="48">
        <v>4.7153550310241528</v>
      </c>
      <c r="AK16" s="48">
        <v>18.917339961249489</v>
      </c>
      <c r="AL16" s="48">
        <v>38.38481702490877</v>
      </c>
      <c r="AM16" s="38">
        <v>68.373681535593576</v>
      </c>
      <c r="AN16" s="38"/>
      <c r="AO16" s="38"/>
      <c r="AP16" s="38"/>
      <c r="AQ16" s="38"/>
      <c r="AR16" s="38"/>
      <c r="AS16" s="50"/>
      <c r="AT16" s="38"/>
      <c r="AU16" s="38"/>
      <c r="AV16" s="38"/>
      <c r="AW16" s="38"/>
      <c r="AX16" s="38"/>
      <c r="AY16" s="38"/>
      <c r="AZ16" s="50"/>
      <c r="BA16" s="38"/>
      <c r="BB16" s="38"/>
      <c r="BC16" s="38"/>
      <c r="BD16" s="38"/>
      <c r="BE16" s="38"/>
      <c r="BF16" s="38"/>
      <c r="BG16" s="38"/>
      <c r="BH16" s="50"/>
      <c r="BI16" s="38"/>
      <c r="BJ16" s="38"/>
      <c r="BK16" s="38"/>
      <c r="BL16" s="38"/>
      <c r="BM16" s="38"/>
      <c r="BN16" s="38"/>
      <c r="BO16" s="38"/>
      <c r="BP16" s="38"/>
      <c r="BQ16" s="38"/>
      <c r="BR16" s="38"/>
      <c r="BS16" s="38"/>
      <c r="BT16" s="38"/>
      <c r="BU16" s="38"/>
      <c r="BV16" s="38"/>
      <c r="BW16" s="38"/>
      <c r="BX16" s="38"/>
      <c r="BY16" s="38"/>
      <c r="BZ16" s="38"/>
      <c r="CA16" s="38"/>
      <c r="CB16" s="38"/>
      <c r="CC16" s="38"/>
      <c r="CD16" s="50"/>
      <c r="CE16" s="38"/>
      <c r="CF16" s="38"/>
      <c r="CG16" s="38"/>
      <c r="CH16" s="38"/>
      <c r="CI16" s="38"/>
      <c r="CJ16" s="38"/>
      <c r="CK16" s="38"/>
      <c r="CL16" s="38"/>
      <c r="CM16" s="38"/>
      <c r="CN16" s="38"/>
      <c r="CO16" s="38"/>
      <c r="CP16" s="38"/>
      <c r="CQ16" s="38"/>
      <c r="CR16" s="38"/>
      <c r="CS16" s="38"/>
      <c r="CT16" s="38"/>
      <c r="CU16" s="38"/>
      <c r="CV16" s="38"/>
      <c r="CW16" s="50"/>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row>
    <row r="17" spans="1:131">
      <c r="A17" s="27" t="s">
        <v>846</v>
      </c>
      <c r="B17" s="27"/>
      <c r="C17" s="48">
        <v>1582.757261387319</v>
      </c>
      <c r="D17" s="48">
        <v>1635.52300175959</v>
      </c>
      <c r="E17" s="48">
        <v>327.10460035191801</v>
      </c>
      <c r="F17" s="48">
        <v>1962.6276021115079</v>
      </c>
      <c r="G17" s="48">
        <v>1417.5951791875295</v>
      </c>
      <c r="H17" s="48">
        <v>1616.2703555608534</v>
      </c>
      <c r="I17" s="48">
        <v>10862.447586831559</v>
      </c>
      <c r="J17" s="48">
        <v>19.792427969687754</v>
      </c>
      <c r="K17" s="48">
        <v>29.513409727402735</v>
      </c>
      <c r="L17" s="49">
        <v>1.1401494441362245</v>
      </c>
      <c r="M17" s="48">
        <v>15.03633033144208</v>
      </c>
      <c r="N17" s="48">
        <v>0.79006507718862173</v>
      </c>
      <c r="O17" s="48">
        <v>168.30414296530876</v>
      </c>
      <c r="P17" s="48">
        <v>122.79467007250808</v>
      </c>
      <c r="Q17" s="48">
        <v>111.27088498749593</v>
      </c>
      <c r="R17" s="48">
        <v>89.739312726515848</v>
      </c>
      <c r="S17" s="48">
        <v>39.491169671635284</v>
      </c>
      <c r="T17" s="48">
        <v>13.300701947272715</v>
      </c>
      <c r="U17" s="48">
        <v>23.270995905219532</v>
      </c>
      <c r="V17" s="48">
        <v>22.904919196318673</v>
      </c>
      <c r="W17" s="48">
        <v>28.535362080976622</v>
      </c>
      <c r="X17" s="48">
        <v>70.051221667417707</v>
      </c>
      <c r="Y17" s="48">
        <v>108.33164197460793</v>
      </c>
      <c r="Z17" s="48">
        <v>196.14221723013327</v>
      </c>
      <c r="AA17" s="48"/>
      <c r="AB17" s="48">
        <v>106.98146833537635</v>
      </c>
      <c r="AC17" s="48">
        <v>80.148456481974165</v>
      </c>
      <c r="AD17" s="48">
        <v>62.083801878665852</v>
      </c>
      <c r="AE17" s="48">
        <v>53.385325257272406</v>
      </c>
      <c r="AF17" s="48">
        <v>21.611388296793425</v>
      </c>
      <c r="AG17" s="48">
        <v>5.7442043263254394</v>
      </c>
      <c r="AH17" s="48">
        <v>7.0671028881810818</v>
      </c>
      <c r="AI17" s="48">
        <v>4.6214271936111908</v>
      </c>
      <c r="AJ17" s="48">
        <v>14.159481128379278</v>
      </c>
      <c r="AK17" s="48">
        <v>35.684073559221225</v>
      </c>
      <c r="AL17" s="48">
        <v>70.878903602357823</v>
      </c>
      <c r="AM17" s="38">
        <v>126.25438801375057</v>
      </c>
      <c r="AN17" s="38"/>
      <c r="AO17" s="38"/>
      <c r="AP17" s="38"/>
      <c r="AQ17" s="38"/>
      <c r="AR17" s="38"/>
      <c r="AS17" s="50"/>
      <c r="AT17" s="38"/>
      <c r="AU17" s="38"/>
      <c r="AV17" s="38"/>
      <c r="AW17" s="38"/>
      <c r="AX17" s="38"/>
      <c r="AY17" s="38"/>
      <c r="AZ17" s="50"/>
      <c r="BA17" s="38"/>
      <c r="BB17" s="38"/>
      <c r="BC17" s="38"/>
      <c r="BD17" s="38"/>
      <c r="BE17" s="38"/>
      <c r="BF17" s="38"/>
      <c r="BG17" s="38"/>
      <c r="BH17" s="50"/>
      <c r="BI17" s="38"/>
      <c r="BJ17" s="38"/>
      <c r="BK17" s="38"/>
      <c r="BL17" s="38"/>
      <c r="BM17" s="38"/>
      <c r="BN17" s="38"/>
      <c r="BO17" s="38"/>
      <c r="BP17" s="38"/>
      <c r="BQ17" s="38"/>
      <c r="BR17" s="38"/>
      <c r="BS17" s="38"/>
      <c r="BT17" s="38"/>
      <c r="BU17" s="38"/>
      <c r="BV17" s="38"/>
      <c r="BW17" s="38"/>
      <c r="BX17" s="38"/>
      <c r="BY17" s="38"/>
      <c r="BZ17" s="38"/>
      <c r="CA17" s="38"/>
      <c r="CB17" s="38"/>
      <c r="CC17" s="38"/>
      <c r="CD17" s="50"/>
      <c r="CE17" s="38"/>
      <c r="CF17" s="38"/>
      <c r="CG17" s="38"/>
      <c r="CH17" s="38"/>
      <c r="CI17" s="38"/>
      <c r="CJ17" s="38"/>
      <c r="CK17" s="38"/>
      <c r="CL17" s="38"/>
      <c r="CM17" s="38"/>
      <c r="CN17" s="38"/>
      <c r="CO17" s="38"/>
      <c r="CP17" s="38"/>
      <c r="CQ17" s="38"/>
      <c r="CR17" s="38"/>
      <c r="CS17" s="38"/>
      <c r="CT17" s="38"/>
      <c r="CU17" s="38"/>
      <c r="CV17" s="38"/>
      <c r="CW17" s="50"/>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row>
    <row r="18" spans="1:131">
      <c r="A18" s="27" t="s">
        <v>842</v>
      </c>
      <c r="B18" s="27"/>
      <c r="C18" s="48">
        <v>747.03411883358774</v>
      </c>
      <c r="D18" s="48">
        <v>765.78004410553206</v>
      </c>
      <c r="E18" s="48">
        <v>153.15600882110641</v>
      </c>
      <c r="F18" s="48">
        <v>918.93605292663847</v>
      </c>
      <c r="G18" s="48">
        <v>663.74248339772748</v>
      </c>
      <c r="H18" s="48">
        <v>750.11203228263219</v>
      </c>
      <c r="I18" s="48">
        <v>10775.786032646491</v>
      </c>
      <c r="J18" s="48">
        <v>16.595667647690256</v>
      </c>
      <c r="K18" s="48">
        <v>30.258643525641588</v>
      </c>
      <c r="L18" s="49">
        <v>1.1301250877339886</v>
      </c>
      <c r="M18" s="48">
        <v>7.0968486764610184</v>
      </c>
      <c r="N18" s="48">
        <v>0.40990583729839319</v>
      </c>
      <c r="O18" s="48">
        <v>87.320465914623398</v>
      </c>
      <c r="P18" s="48">
        <v>63.708994999451754</v>
      </c>
      <c r="Q18" s="48">
        <v>57.730162482354054</v>
      </c>
      <c r="R18" s="48">
        <v>45.997872165034664</v>
      </c>
      <c r="S18" s="48">
        <v>17.661141845383938</v>
      </c>
      <c r="T18" s="48">
        <v>3.7697680171650587</v>
      </c>
      <c r="U18" s="48">
        <v>-9.3503665074682303</v>
      </c>
      <c r="V18" s="48">
        <v>-9.5735616069267628</v>
      </c>
      <c r="W18" s="48">
        <v>5.939046141490393</v>
      </c>
      <c r="X18" s="48">
        <v>34.731177297132959</v>
      </c>
      <c r="Y18" s="48">
        <v>56.20520852222139</v>
      </c>
      <c r="Z18" s="48">
        <v>101.7635661980871</v>
      </c>
      <c r="AA18" s="48"/>
      <c r="AB18" s="48">
        <v>55.504704130789705</v>
      </c>
      <c r="AC18" s="48">
        <v>41.5830557646253</v>
      </c>
      <c r="AD18" s="48">
        <v>32.21065394043034</v>
      </c>
      <c r="AE18" s="48">
        <v>27.550871480040819</v>
      </c>
      <c r="AF18" s="48">
        <v>10.496307924692161</v>
      </c>
      <c r="AG18" s="48">
        <v>2.4114119013712085</v>
      </c>
      <c r="AH18" s="48">
        <v>-2.1800065061278113</v>
      </c>
      <c r="AI18" s="48">
        <v>-1.40433554525351</v>
      </c>
      <c r="AJ18" s="48">
        <v>4.5520757542238952</v>
      </c>
      <c r="AK18" s="48">
        <v>18.12814374789189</v>
      </c>
      <c r="AL18" s="48">
        <v>36.773776194869384</v>
      </c>
      <c r="AM18" s="38">
        <v>65.503984577484573</v>
      </c>
      <c r="AN18" s="38"/>
      <c r="AO18" s="38"/>
      <c r="AP18" s="38"/>
      <c r="AQ18" s="38"/>
      <c r="AR18" s="38"/>
      <c r="AS18" s="50"/>
      <c r="AT18" s="38"/>
      <c r="AU18" s="38"/>
      <c r="AV18" s="38"/>
      <c r="AW18" s="38"/>
      <c r="AX18" s="38"/>
      <c r="AY18" s="38"/>
      <c r="AZ18" s="50"/>
      <c r="BA18" s="38"/>
      <c r="BB18" s="38"/>
      <c r="BC18" s="38"/>
      <c r="BD18" s="38"/>
      <c r="BE18" s="38"/>
      <c r="BF18" s="38"/>
      <c r="BG18" s="38"/>
      <c r="BH18" s="50"/>
      <c r="BI18" s="38"/>
      <c r="BJ18" s="38"/>
      <c r="BK18" s="38"/>
      <c r="BL18" s="38"/>
      <c r="BM18" s="38"/>
      <c r="BN18" s="38"/>
      <c r="BO18" s="38"/>
      <c r="BP18" s="38"/>
      <c r="BQ18" s="38"/>
      <c r="BR18" s="38"/>
      <c r="BS18" s="38"/>
      <c r="BT18" s="38"/>
      <c r="BU18" s="38"/>
      <c r="BV18" s="38"/>
      <c r="BW18" s="38"/>
      <c r="BX18" s="38"/>
      <c r="BY18" s="38"/>
      <c r="BZ18" s="38"/>
      <c r="CA18" s="38"/>
      <c r="CB18" s="38"/>
      <c r="CC18" s="38"/>
      <c r="CD18" s="50"/>
      <c r="CE18" s="38"/>
      <c r="CF18" s="38"/>
      <c r="CG18" s="38"/>
      <c r="CH18" s="38"/>
      <c r="CI18" s="38"/>
      <c r="CJ18" s="38"/>
      <c r="CK18" s="38"/>
      <c r="CL18" s="38"/>
      <c r="CM18" s="38"/>
      <c r="CN18" s="38"/>
      <c r="CO18" s="38"/>
      <c r="CP18" s="38"/>
      <c r="CQ18" s="38"/>
      <c r="CR18" s="38"/>
      <c r="CS18" s="38"/>
      <c r="CT18" s="38"/>
      <c r="CU18" s="38"/>
      <c r="CV18" s="38"/>
      <c r="CW18" s="50"/>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row>
    <row r="19" spans="1:131">
      <c r="A19" s="27" t="s">
        <v>841</v>
      </c>
      <c r="B19" s="27"/>
      <c r="C19" s="48">
        <v>696.18068172704102</v>
      </c>
      <c r="D19" s="48">
        <v>737.53659951434634</v>
      </c>
      <c r="E19" s="48">
        <v>147.50731990286928</v>
      </c>
      <c r="F19" s="48">
        <v>885.04391941721565</v>
      </c>
      <c r="G19" s="48">
        <v>639.26238079260361</v>
      </c>
      <c r="H19" s="48">
        <v>695.02695722925739</v>
      </c>
      <c r="I19" s="48">
        <v>11136.454856606613</v>
      </c>
      <c r="J19" s="48">
        <v>18.253284969339905</v>
      </c>
      <c r="K19" s="48">
        <v>32.871622467373534</v>
      </c>
      <c r="L19" s="49">
        <v>1.0872326889743031</v>
      </c>
      <c r="M19" s="48">
        <v>6.6137401367092421</v>
      </c>
      <c r="N19" s="48">
        <v>0.38127328102225538</v>
      </c>
      <c r="O19" s="48">
        <v>81.220996410023531</v>
      </c>
      <c r="P19" s="48">
        <v>59.258823231612098</v>
      </c>
      <c r="Q19" s="48">
        <v>53.697621406576935</v>
      </c>
      <c r="R19" s="48">
        <v>42.794901601730594</v>
      </c>
      <c r="S19" s="48">
        <v>16.478138497052743</v>
      </c>
      <c r="T19" s="48">
        <v>3.5625277984431514</v>
      </c>
      <c r="U19" s="48">
        <v>-8.3134701851134096</v>
      </c>
      <c r="V19" s="48">
        <v>-8.5204788954921646</v>
      </c>
      <c r="W19" s="48">
        <v>5.6830046095935991</v>
      </c>
      <c r="X19" s="48">
        <v>32.33404707685505</v>
      </c>
      <c r="Y19" s="48">
        <v>52.2791878374926</v>
      </c>
      <c r="Z19" s="48">
        <v>94.655223815770341</v>
      </c>
      <c r="AA19" s="48"/>
      <c r="AB19" s="48">
        <v>51.627614760485571</v>
      </c>
      <c r="AC19" s="48">
        <v>38.678415049670839</v>
      </c>
      <c r="AD19" s="48">
        <v>29.96068997866027</v>
      </c>
      <c r="AE19" s="48">
        <v>25.629029948120209</v>
      </c>
      <c r="AF19" s="48">
        <v>9.7759541289748544</v>
      </c>
      <c r="AG19" s="48">
        <v>2.253160231278649</v>
      </c>
      <c r="AH19" s="48">
        <v>-1.9230018607804791</v>
      </c>
      <c r="AI19" s="48">
        <v>-1.2381359264623415</v>
      </c>
      <c r="AJ19" s="48">
        <v>4.2841580382333095</v>
      </c>
      <c r="AK19" s="48">
        <v>16.86877307001739</v>
      </c>
      <c r="AL19" s="48">
        <v>34.205071090972048</v>
      </c>
      <c r="AM19" s="38">
        <v>60.928430013325553</v>
      </c>
      <c r="AN19" s="38"/>
      <c r="AO19" s="38"/>
      <c r="AP19" s="38"/>
      <c r="AQ19" s="38"/>
      <c r="AR19" s="38"/>
      <c r="AS19" s="50"/>
      <c r="AT19" s="38"/>
      <c r="AU19" s="38"/>
      <c r="AV19" s="38"/>
      <c r="AW19" s="38"/>
      <c r="AX19" s="38"/>
      <c r="AY19" s="38"/>
      <c r="AZ19" s="50"/>
      <c r="BA19" s="38"/>
      <c r="BB19" s="38"/>
      <c r="BC19" s="38"/>
      <c r="BD19" s="38"/>
      <c r="BE19" s="38"/>
      <c r="BF19" s="38"/>
      <c r="BG19" s="38"/>
      <c r="BH19" s="50"/>
      <c r="BI19" s="38"/>
      <c r="BJ19" s="38"/>
      <c r="BK19" s="38"/>
      <c r="BL19" s="38"/>
      <c r="BM19" s="38"/>
      <c r="BN19" s="38"/>
      <c r="BO19" s="38"/>
      <c r="BP19" s="38"/>
      <c r="BQ19" s="38"/>
      <c r="BR19" s="38"/>
      <c r="BS19" s="38"/>
      <c r="BT19" s="38"/>
      <c r="BU19" s="38"/>
      <c r="BV19" s="38"/>
      <c r="BW19" s="38"/>
      <c r="BX19" s="38"/>
      <c r="BY19" s="38"/>
      <c r="BZ19" s="38"/>
      <c r="CA19" s="38"/>
      <c r="CB19" s="38"/>
      <c r="CC19" s="38"/>
      <c r="CD19" s="50"/>
      <c r="CE19" s="38"/>
      <c r="CF19" s="38"/>
      <c r="CG19" s="38"/>
      <c r="CH19" s="38"/>
      <c r="CI19" s="38"/>
      <c r="CJ19" s="38"/>
      <c r="CK19" s="38"/>
      <c r="CL19" s="38"/>
      <c r="CM19" s="38"/>
      <c r="CN19" s="38"/>
      <c r="CO19" s="38"/>
      <c r="CP19" s="38"/>
      <c r="CQ19" s="38"/>
      <c r="CR19" s="38"/>
      <c r="CS19" s="38"/>
      <c r="CT19" s="38"/>
      <c r="CU19" s="38"/>
      <c r="CV19" s="38"/>
      <c r="CW19" s="50"/>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row>
    <row r="20" spans="1:131">
      <c r="A20" s="27" t="s">
        <v>836</v>
      </c>
      <c r="B20" s="27"/>
      <c r="C20" s="48">
        <v>452.46669970672536</v>
      </c>
      <c r="D20" s="48">
        <v>504.9249428399313</v>
      </c>
      <c r="E20" s="48">
        <v>100.98498856798626</v>
      </c>
      <c r="F20" s="48">
        <v>605.90993140791761</v>
      </c>
      <c r="G20" s="48">
        <v>437.64542843564357</v>
      </c>
      <c r="H20" s="48">
        <v>449.28407048062797</v>
      </c>
      <c r="I20" s="48">
        <v>11730.743947728501</v>
      </c>
      <c r="J20" s="48">
        <v>24.325636125925989</v>
      </c>
      <c r="K20" s="48">
        <v>36.853078252497284</v>
      </c>
      <c r="L20" s="49">
        <v>1.0265937704104131</v>
      </c>
      <c r="M20" s="48">
        <v>4.2984785024942171</v>
      </c>
      <c r="N20" s="48">
        <v>0.22039383296775392</v>
      </c>
      <c r="O20" s="48">
        <v>46.949544086254463</v>
      </c>
      <c r="P20" s="48">
        <v>34.254378261589295</v>
      </c>
      <c r="Q20" s="48">
        <v>31.039742861908024</v>
      </c>
      <c r="R20" s="48">
        <v>25.116220344663656</v>
      </c>
      <c r="S20" s="48">
        <v>11.433831696366548</v>
      </c>
      <c r="T20" s="48">
        <v>4.1725780647525728</v>
      </c>
      <c r="U20" s="48">
        <v>9.6546497106177576</v>
      </c>
      <c r="V20" s="48">
        <v>9.5574415192158497</v>
      </c>
      <c r="W20" s="48">
        <v>9.2690853037082555</v>
      </c>
      <c r="X20" s="48">
        <v>19.779418482216293</v>
      </c>
      <c r="Y20" s="48">
        <v>30.21982175371377</v>
      </c>
      <c r="Z20" s="48">
        <v>54.715157409523655</v>
      </c>
      <c r="AA20" s="48"/>
      <c r="AB20" s="48">
        <v>29.843181965278685</v>
      </c>
      <c r="AC20" s="48">
        <v>22.357937390889528</v>
      </c>
      <c r="AD20" s="48">
        <v>17.318683556978847</v>
      </c>
      <c r="AE20" s="48">
        <v>14.913858954515687</v>
      </c>
      <c r="AF20" s="48">
        <v>6.1343832627231718</v>
      </c>
      <c r="AG20" s="48">
        <v>1.6863656647345879</v>
      </c>
      <c r="AH20" s="48">
        <v>2.8346122403655949</v>
      </c>
      <c r="AI20" s="48">
        <v>1.8505156766170554</v>
      </c>
      <c r="AJ20" s="48">
        <v>4.362421862271729</v>
      </c>
      <c r="AK20" s="48">
        <v>10.011245530821018</v>
      </c>
      <c r="AL20" s="48">
        <v>19.77213484370494</v>
      </c>
      <c r="AM20" s="38">
        <v>35.219489263294413</v>
      </c>
      <c r="AN20" s="38"/>
      <c r="AO20" s="38"/>
      <c r="AP20" s="38"/>
      <c r="AQ20" s="38"/>
      <c r="AR20" s="38"/>
      <c r="AS20" s="50"/>
      <c r="AT20" s="38"/>
      <c r="AU20" s="38"/>
      <c r="AV20" s="38"/>
      <c r="AW20" s="38"/>
      <c r="AX20" s="38"/>
      <c r="AY20" s="38"/>
      <c r="AZ20" s="50"/>
      <c r="BA20" s="38"/>
      <c r="BB20" s="38"/>
      <c r="BC20" s="38"/>
      <c r="BD20" s="38"/>
      <c r="BE20" s="38"/>
      <c r="BF20" s="38"/>
      <c r="BG20" s="38"/>
      <c r="BH20" s="50"/>
      <c r="BI20" s="38"/>
      <c r="BJ20" s="38"/>
      <c r="BK20" s="38"/>
      <c r="BL20" s="38"/>
      <c r="BM20" s="38"/>
      <c r="BN20" s="38"/>
      <c r="BO20" s="38"/>
      <c r="BP20" s="38"/>
      <c r="BQ20" s="38"/>
      <c r="BR20" s="38"/>
      <c r="BS20" s="38"/>
      <c r="BT20" s="38"/>
      <c r="BU20" s="38"/>
      <c r="BV20" s="38"/>
      <c r="BW20" s="38"/>
      <c r="BX20" s="38"/>
      <c r="BY20" s="38"/>
      <c r="BZ20" s="38"/>
      <c r="CA20" s="38"/>
      <c r="CB20" s="38"/>
      <c r="CC20" s="38"/>
      <c r="CD20" s="50"/>
      <c r="CE20" s="38"/>
      <c r="CF20" s="38"/>
      <c r="CG20" s="38"/>
      <c r="CH20" s="38"/>
      <c r="CI20" s="38"/>
      <c r="CJ20" s="38"/>
      <c r="CK20" s="38"/>
      <c r="CL20" s="38"/>
      <c r="CM20" s="38"/>
      <c r="CN20" s="38"/>
      <c r="CO20" s="38"/>
      <c r="CP20" s="38"/>
      <c r="CQ20" s="38"/>
      <c r="CR20" s="38"/>
      <c r="CS20" s="38"/>
      <c r="CT20" s="38"/>
      <c r="CU20" s="38"/>
      <c r="CV20" s="38"/>
      <c r="CW20" s="50"/>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row>
    <row r="21" spans="1:131">
      <c r="A21" s="27" t="s">
        <v>837</v>
      </c>
      <c r="B21" s="27"/>
      <c r="C21" s="48">
        <v>491.02684582146389</v>
      </c>
      <c r="D21" s="48">
        <v>588.47688837074031</v>
      </c>
      <c r="E21" s="48">
        <v>117.69537767414806</v>
      </c>
      <c r="F21" s="48">
        <v>706.17226604488837</v>
      </c>
      <c r="G21" s="48">
        <v>510.06436419428849</v>
      </c>
      <c r="H21" s="48">
        <v>488.07523693131822</v>
      </c>
      <c r="I21" s="48">
        <v>12598.229818176706</v>
      </c>
      <c r="J21" s="48">
        <v>28.161759264940045</v>
      </c>
      <c r="K21" s="48">
        <v>42.040973396789774</v>
      </c>
      <c r="L21" s="50">
        <v>0.95688950492021752</v>
      </c>
      <c r="M21" s="48">
        <v>4.6648036401190147</v>
      </c>
      <c r="N21" s="48">
        <v>0.23924423568170797</v>
      </c>
      <c r="O21" s="48">
        <v>50.965163767372879</v>
      </c>
      <c r="P21" s="48">
        <v>37.184173602285362</v>
      </c>
      <c r="Q21" s="48">
        <v>33.69458871310821</v>
      </c>
      <c r="R21" s="48">
        <v>27.263367720158765</v>
      </c>
      <c r="S21" s="48">
        <v>12.406449825653565</v>
      </c>
      <c r="T21" s="48">
        <v>4.5235666882136689</v>
      </c>
      <c r="U21" s="48">
        <v>10.440085415846143</v>
      </c>
      <c r="V21" s="48">
        <v>10.334500332298665</v>
      </c>
      <c r="W21" s="48">
        <v>10.045184780115715</v>
      </c>
      <c r="X21" s="48">
        <v>21.468125865528584</v>
      </c>
      <c r="Y21" s="48">
        <v>32.804539312869615</v>
      </c>
      <c r="Z21" s="48">
        <v>59.394974162281045</v>
      </c>
      <c r="AA21" s="48"/>
      <c r="AB21" s="48">
        <v>32.395685321366798</v>
      </c>
      <c r="AC21" s="48">
        <v>24.27022376477052</v>
      </c>
      <c r="AD21" s="48">
        <v>18.799959848282114</v>
      </c>
      <c r="AE21" s="48">
        <v>16.189172965188028</v>
      </c>
      <c r="AF21" s="48">
        <v>6.6577120146898823</v>
      </c>
      <c r="AG21" s="48">
        <v>1.8295305784519398</v>
      </c>
      <c r="AH21" s="48">
        <v>3.0660516292393281</v>
      </c>
      <c r="AI21" s="48">
        <v>2.0016337259917627</v>
      </c>
      <c r="AJ21" s="48">
        <v>4.7302818787051963</v>
      </c>
      <c r="AK21" s="48">
        <v>10.866786704406506</v>
      </c>
      <c r="AL21" s="48">
        <v>21.463256139158673</v>
      </c>
      <c r="AM21" s="38">
        <v>38.231831065480939</v>
      </c>
      <c r="AN21" s="38"/>
      <c r="AO21" s="38"/>
      <c r="AP21" s="38"/>
      <c r="AQ21" s="38"/>
      <c r="AR21" s="38"/>
      <c r="AS21" s="50"/>
      <c r="AT21" s="38"/>
      <c r="AU21" s="38"/>
      <c r="AV21" s="38"/>
      <c r="AW21" s="38"/>
      <c r="AX21" s="38"/>
      <c r="AY21" s="38"/>
      <c r="AZ21" s="50"/>
      <c r="BA21" s="38"/>
      <c r="BB21" s="38"/>
      <c r="BC21" s="38"/>
      <c r="BD21" s="38"/>
      <c r="BE21" s="38"/>
      <c r="BF21" s="38"/>
      <c r="BG21" s="38"/>
      <c r="BH21" s="50"/>
      <c r="BI21" s="38"/>
      <c r="BJ21" s="38"/>
      <c r="BK21" s="38"/>
      <c r="BL21" s="38"/>
      <c r="BM21" s="38"/>
      <c r="BN21" s="38"/>
      <c r="BO21" s="38"/>
      <c r="BP21" s="38"/>
      <c r="BQ21" s="38"/>
      <c r="BR21" s="38"/>
      <c r="BS21" s="38"/>
      <c r="BT21" s="38"/>
      <c r="BU21" s="38"/>
      <c r="BV21" s="38"/>
      <c r="BW21" s="38"/>
      <c r="BX21" s="38"/>
      <c r="BY21" s="38"/>
      <c r="BZ21" s="38"/>
      <c r="CA21" s="38"/>
      <c r="CB21" s="38"/>
      <c r="CC21" s="38"/>
      <c r="CD21" s="50"/>
      <c r="CE21" s="38"/>
      <c r="CF21" s="38"/>
      <c r="CG21" s="38"/>
      <c r="CH21" s="38"/>
      <c r="CI21" s="38"/>
      <c r="CJ21" s="38"/>
      <c r="CK21" s="38"/>
      <c r="CL21" s="38"/>
      <c r="CM21" s="38"/>
      <c r="CN21" s="38"/>
      <c r="CO21" s="38"/>
      <c r="CP21" s="38"/>
      <c r="CQ21" s="38"/>
      <c r="CR21" s="38"/>
      <c r="CS21" s="38"/>
      <c r="CT21" s="38"/>
      <c r="CU21" s="38"/>
      <c r="CV21" s="38"/>
      <c r="CW21" s="50"/>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row>
    <row r="22" spans="1:131">
      <c r="A22" s="27" t="s">
        <v>857</v>
      </c>
      <c r="B22" s="27"/>
      <c r="C22" s="48">
        <v>639.13948315058769</v>
      </c>
      <c r="D22" s="48">
        <v>779.09509607998802</v>
      </c>
      <c r="E22" s="48">
        <v>155.81901921599763</v>
      </c>
      <c r="F22" s="48">
        <v>934.91411529598565</v>
      </c>
      <c r="G22" s="48">
        <v>675.28335042883191</v>
      </c>
      <c r="H22" s="48">
        <v>645.31267052879775</v>
      </c>
      <c r="I22" s="48">
        <v>12813.865933648201</v>
      </c>
      <c r="J22" s="48">
        <v>25.901503977607479</v>
      </c>
      <c r="K22" s="48">
        <v>42.214748463118696</v>
      </c>
      <c r="L22" s="50">
        <v>0.95561762350426438</v>
      </c>
      <c r="M22" s="48">
        <v>6.07184941867511</v>
      </c>
      <c r="N22" s="48">
        <v>0.34761004959546665</v>
      </c>
      <c r="O22" s="48">
        <v>74.049863957378875</v>
      </c>
      <c r="P22" s="48">
        <v>54.026766384679568</v>
      </c>
      <c r="Q22" s="48">
        <v>48.956572016409545</v>
      </c>
      <c r="R22" s="48">
        <v>39.049968730288143</v>
      </c>
      <c r="S22" s="48">
        <v>15.19206337289237</v>
      </c>
      <c r="T22" s="48">
        <v>3.4348854626960721</v>
      </c>
      <c r="U22" s="48">
        <v>-6.3005887617597676</v>
      </c>
      <c r="V22" s="48">
        <v>-6.487334621931927</v>
      </c>
      <c r="W22" s="48">
        <v>5.7104755872081574</v>
      </c>
      <c r="X22" s="48">
        <v>29.575518275647308</v>
      </c>
      <c r="Y22" s="48">
        <v>47.663374229312318</v>
      </c>
      <c r="Z22" s="48">
        <v>86.297961810624045</v>
      </c>
      <c r="AA22" s="48"/>
      <c r="AB22" s="48">
        <v>47.069329587615371</v>
      </c>
      <c r="AC22" s="48">
        <v>35.263435553736912</v>
      </c>
      <c r="AD22" s="48">
        <v>27.315412455531028</v>
      </c>
      <c r="AE22" s="48">
        <v>23.374964180700264</v>
      </c>
      <c r="AF22" s="48">
        <v>8.9555736926609821</v>
      </c>
      <c r="AG22" s="48">
        <v>2.0881804106079587</v>
      </c>
      <c r="AH22" s="48">
        <v>-1.4042126506957526</v>
      </c>
      <c r="AI22" s="48">
        <v>-0.90186106870456295</v>
      </c>
      <c r="AJ22" s="48">
        <v>4.0726999267347894</v>
      </c>
      <c r="AK22" s="48">
        <v>15.402423391127591</v>
      </c>
      <c r="AL22" s="48">
        <v>31.185050330487808</v>
      </c>
      <c r="AM22" s="38">
        <v>55.548960897340592</v>
      </c>
      <c r="AN22" s="38"/>
      <c r="AO22" s="38"/>
      <c r="AP22" s="38"/>
      <c r="AQ22" s="38"/>
      <c r="AR22" s="38"/>
      <c r="AS22" s="50"/>
      <c r="AT22" s="38"/>
      <c r="AU22" s="38"/>
      <c r="AV22" s="38"/>
      <c r="AW22" s="38"/>
      <c r="AX22" s="38"/>
      <c r="AY22" s="38"/>
      <c r="AZ22" s="50"/>
      <c r="BA22" s="38"/>
      <c r="BB22" s="38"/>
      <c r="BC22" s="38"/>
      <c r="BD22" s="38"/>
      <c r="BE22" s="38"/>
      <c r="BF22" s="38"/>
      <c r="BG22" s="38"/>
      <c r="BH22" s="50"/>
      <c r="BI22" s="38"/>
      <c r="BJ22" s="38"/>
      <c r="BK22" s="38"/>
      <c r="BL22" s="38"/>
      <c r="BM22" s="38"/>
      <c r="BN22" s="38"/>
      <c r="BO22" s="38"/>
      <c r="BP22" s="38"/>
      <c r="BQ22" s="38"/>
      <c r="BR22" s="38"/>
      <c r="BS22" s="38"/>
      <c r="BT22" s="38"/>
      <c r="BU22" s="38"/>
      <c r="BV22" s="38"/>
      <c r="BW22" s="38"/>
      <c r="BX22" s="38"/>
      <c r="BY22" s="38"/>
      <c r="BZ22" s="38"/>
      <c r="CA22" s="38"/>
      <c r="CB22" s="38"/>
      <c r="CC22" s="38"/>
      <c r="CD22" s="50"/>
      <c r="CE22" s="38"/>
      <c r="CF22" s="38"/>
      <c r="CG22" s="38"/>
      <c r="CH22" s="38"/>
      <c r="CI22" s="38"/>
      <c r="CJ22" s="38"/>
      <c r="CK22" s="38"/>
      <c r="CL22" s="38"/>
      <c r="CM22" s="38"/>
      <c r="CN22" s="38"/>
      <c r="CO22" s="38"/>
      <c r="CP22" s="38"/>
      <c r="CQ22" s="38"/>
      <c r="CR22" s="38"/>
      <c r="CS22" s="38"/>
      <c r="CT22" s="38"/>
      <c r="CU22" s="38"/>
      <c r="CV22" s="38"/>
      <c r="CW22" s="50"/>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row>
    <row r="23" spans="1:131">
      <c r="A23" s="27" t="s">
        <v>868</v>
      </c>
      <c r="B23" s="27"/>
      <c r="C23" s="48">
        <v>873.35078334878551</v>
      </c>
      <c r="D23" s="48">
        <v>1060.7151001501568</v>
      </c>
      <c r="E23" s="48">
        <v>212.14302003003138</v>
      </c>
      <c r="F23" s="48">
        <v>1272.8581201801881</v>
      </c>
      <c r="G23" s="48">
        <v>919.37845621648307</v>
      </c>
      <c r="H23" s="48">
        <v>873.8063584152934</v>
      </c>
      <c r="I23" s="48">
        <v>12767.191998184122</v>
      </c>
      <c r="J23" s="48">
        <v>27.358070656582591</v>
      </c>
      <c r="K23" s="48">
        <v>42.594319944428157</v>
      </c>
      <c r="L23" s="50">
        <v>0.95043162313294516</v>
      </c>
      <c r="M23" s="48">
        <v>8.296893206805894</v>
      </c>
      <c r="N23" s="48">
        <v>0.44940424956184161</v>
      </c>
      <c r="O23" s="48">
        <v>95.734641678657383</v>
      </c>
      <c r="P23" s="48">
        <v>69.847976005341863</v>
      </c>
      <c r="Q23" s="48">
        <v>63.293024852874439</v>
      </c>
      <c r="R23" s="48">
        <v>50.841453544719798</v>
      </c>
      <c r="S23" s="48">
        <v>21.435329107728748</v>
      </c>
      <c r="T23" s="48">
        <v>6.4275034696270179</v>
      </c>
      <c r="U23" s="48">
        <v>5.4488161143873848</v>
      </c>
      <c r="V23" s="48">
        <v>5.2284918397055149</v>
      </c>
      <c r="W23" s="48">
        <v>13.008501359643814</v>
      </c>
      <c r="X23" s="48">
        <v>39.260053080052671</v>
      </c>
      <c r="Y23" s="48">
        <v>61.621126754065727</v>
      </c>
      <c r="Z23" s="48">
        <v>111.56947508092341</v>
      </c>
      <c r="AA23" s="48"/>
      <c r="AB23" s="48">
        <v>60.853121954668431</v>
      </c>
      <c r="AC23" s="48">
        <v>45.589987431152153</v>
      </c>
      <c r="AD23" s="48">
        <v>35.314463578760112</v>
      </c>
      <c r="AE23" s="48">
        <v>30.313239651329905</v>
      </c>
      <c r="AF23" s="48">
        <v>12.032605930484584</v>
      </c>
      <c r="AG23" s="48">
        <v>3.0606303594398501</v>
      </c>
      <c r="AH23" s="48">
        <v>1.8945103353263379</v>
      </c>
      <c r="AI23" s="48">
        <v>1.2466109498890892</v>
      </c>
      <c r="AJ23" s="48">
        <v>7.0384116601103068</v>
      </c>
      <c r="AK23" s="48">
        <v>20.15759130880863</v>
      </c>
      <c r="AL23" s="48">
        <v>40.317287022141109</v>
      </c>
      <c r="AM23" s="38">
        <v>71.815930278947263</v>
      </c>
      <c r="AN23" s="38"/>
      <c r="AO23" s="38"/>
      <c r="AP23" s="38"/>
      <c r="AQ23" s="38"/>
      <c r="AR23" s="38"/>
      <c r="AS23" s="50"/>
      <c r="AT23" s="38"/>
      <c r="AU23" s="38"/>
      <c r="AV23" s="38"/>
      <c r="AW23" s="38"/>
      <c r="AX23" s="38"/>
      <c r="AY23" s="38"/>
      <c r="AZ23" s="50"/>
      <c r="BA23" s="38"/>
      <c r="BB23" s="38"/>
      <c r="BC23" s="38"/>
      <c r="BD23" s="38"/>
      <c r="BE23" s="38"/>
      <c r="BF23" s="38"/>
      <c r="BG23" s="38"/>
      <c r="BH23" s="50"/>
      <c r="BI23" s="38"/>
      <c r="BJ23" s="38"/>
      <c r="BK23" s="38"/>
      <c r="BL23" s="38"/>
      <c r="BM23" s="38"/>
      <c r="BN23" s="38"/>
      <c r="BO23" s="38"/>
      <c r="BP23" s="38"/>
      <c r="BQ23" s="38"/>
      <c r="BR23" s="38"/>
      <c r="BS23" s="38"/>
      <c r="BT23" s="38"/>
      <c r="BU23" s="38"/>
      <c r="BV23" s="38"/>
      <c r="BW23" s="38"/>
      <c r="BX23" s="38"/>
      <c r="BY23" s="38"/>
      <c r="BZ23" s="38"/>
      <c r="CA23" s="38"/>
      <c r="CB23" s="38"/>
      <c r="CC23" s="38"/>
      <c r="CD23" s="50"/>
      <c r="CE23" s="38"/>
      <c r="CF23" s="38"/>
      <c r="CG23" s="38"/>
      <c r="CH23" s="38"/>
      <c r="CI23" s="38"/>
      <c r="CJ23" s="38"/>
      <c r="CK23" s="38"/>
      <c r="CL23" s="38"/>
      <c r="CM23" s="38"/>
      <c r="CN23" s="38"/>
      <c r="CO23" s="38"/>
      <c r="CP23" s="38"/>
      <c r="CQ23" s="38"/>
      <c r="CR23" s="38"/>
      <c r="CS23" s="38"/>
      <c r="CT23" s="38"/>
      <c r="CU23" s="38"/>
      <c r="CV23" s="38"/>
      <c r="CW23" s="50"/>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row>
    <row r="24" spans="1:131">
      <c r="A24" s="27" t="s">
        <v>856</v>
      </c>
      <c r="B24" s="27"/>
      <c r="C24" s="48">
        <v>614.24096297616722</v>
      </c>
      <c r="D24" s="48">
        <v>755.86367137636603</v>
      </c>
      <c r="E24" s="48">
        <v>151.1727342752732</v>
      </c>
      <c r="F24" s="48">
        <v>907.03640565163926</v>
      </c>
      <c r="G24" s="48">
        <v>655.14743327567555</v>
      </c>
      <c r="H24" s="48">
        <v>618.33702186904281</v>
      </c>
      <c r="I24" s="48">
        <v>12935.703400518167</v>
      </c>
      <c r="J24" s="48">
        <v>26.468915476447126</v>
      </c>
      <c r="K24" s="48">
        <v>43.173805867537062</v>
      </c>
      <c r="L24" s="50">
        <v>0.94381354556701202</v>
      </c>
      <c r="M24" s="48">
        <v>5.8353128495889521</v>
      </c>
      <c r="N24" s="48">
        <v>0.3337706270689636</v>
      </c>
      <c r="O24" s="48">
        <v>71.101711691560155</v>
      </c>
      <c r="P24" s="48">
        <v>51.875795063199099</v>
      </c>
      <c r="Q24" s="48">
        <v>47.00746068785979</v>
      </c>
      <c r="R24" s="48">
        <v>37.499414283664471</v>
      </c>
      <c r="S24" s="48">
        <v>14.608106732454331</v>
      </c>
      <c r="T24" s="48">
        <v>3.3212567187871942</v>
      </c>
      <c r="U24" s="48">
        <v>-5.8915111033242935</v>
      </c>
      <c r="V24" s="48">
        <v>-6.0705763494980802</v>
      </c>
      <c r="W24" s="48">
        <v>5.548604778261093</v>
      </c>
      <c r="X24" s="48">
        <v>28.409940670955191</v>
      </c>
      <c r="Y24" s="48">
        <v>45.765749072139961</v>
      </c>
      <c r="Z24" s="48">
        <v>82.862175192650426</v>
      </c>
      <c r="AA24" s="48"/>
      <c r="AB24" s="48">
        <v>45.1953551701314</v>
      </c>
      <c r="AC24" s="48">
        <v>33.859489997697267</v>
      </c>
      <c r="AD24" s="48">
        <v>26.227902083210861</v>
      </c>
      <c r="AE24" s="48">
        <v>22.445419310233866</v>
      </c>
      <c r="AF24" s="48">
        <v>8.6043147186436464</v>
      </c>
      <c r="AG24" s="48">
        <v>2.0092447565695921</v>
      </c>
      <c r="AH24" s="48">
        <v>-1.3051251323330055</v>
      </c>
      <c r="AI24" s="48">
        <v>-0.83787423562342522</v>
      </c>
      <c r="AJ24" s="48">
        <v>3.9311906723088272</v>
      </c>
      <c r="AK24" s="48">
        <v>14.792054051843063</v>
      </c>
      <c r="AL24" s="48">
        <v>29.943477802489433</v>
      </c>
      <c r="AM24" s="38">
        <v>53.337386342286301</v>
      </c>
      <c r="AN24" s="38"/>
      <c r="AO24" s="38"/>
      <c r="AP24" s="38"/>
      <c r="AQ24" s="38"/>
      <c r="AR24" s="38"/>
      <c r="AS24" s="50"/>
      <c r="AT24" s="38"/>
      <c r="AU24" s="38"/>
      <c r="AV24" s="38"/>
      <c r="AW24" s="38"/>
      <c r="AX24" s="38"/>
      <c r="AY24" s="38"/>
      <c r="AZ24" s="50"/>
      <c r="BA24" s="38"/>
      <c r="BB24" s="38"/>
      <c r="BC24" s="38"/>
      <c r="BD24" s="38"/>
      <c r="BE24" s="38"/>
      <c r="BF24" s="38"/>
      <c r="BG24" s="38"/>
      <c r="BH24" s="50"/>
      <c r="BI24" s="38"/>
      <c r="BJ24" s="38"/>
      <c r="BK24" s="38"/>
      <c r="BL24" s="38"/>
      <c r="BM24" s="38"/>
      <c r="BN24" s="38"/>
      <c r="BO24" s="38"/>
      <c r="BP24" s="38"/>
      <c r="BQ24" s="38"/>
      <c r="BR24" s="38"/>
      <c r="BS24" s="38"/>
      <c r="BT24" s="38"/>
      <c r="BU24" s="38"/>
      <c r="BV24" s="38"/>
      <c r="BW24" s="38"/>
      <c r="BX24" s="38"/>
      <c r="BY24" s="38"/>
      <c r="BZ24" s="38"/>
      <c r="CA24" s="38"/>
      <c r="CB24" s="38"/>
      <c r="CC24" s="38"/>
      <c r="CD24" s="50"/>
      <c r="CE24" s="38"/>
      <c r="CF24" s="38"/>
      <c r="CG24" s="38"/>
      <c r="CH24" s="38"/>
      <c r="CI24" s="38"/>
      <c r="CJ24" s="38"/>
      <c r="CK24" s="38"/>
      <c r="CL24" s="38"/>
      <c r="CM24" s="38"/>
      <c r="CN24" s="38"/>
      <c r="CO24" s="38"/>
      <c r="CP24" s="38"/>
      <c r="CQ24" s="38"/>
      <c r="CR24" s="38"/>
      <c r="CS24" s="38"/>
      <c r="CT24" s="38"/>
      <c r="CU24" s="38"/>
      <c r="CV24" s="38"/>
      <c r="CW24" s="50"/>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row>
    <row r="25" spans="1:131">
      <c r="A25" s="27" t="s">
        <v>885</v>
      </c>
      <c r="B25" s="27"/>
      <c r="C25" s="48">
        <v>639.94300129168926</v>
      </c>
      <c r="D25" s="48">
        <v>809.10873601266894</v>
      </c>
      <c r="E25" s="48">
        <v>161.8217472025338</v>
      </c>
      <c r="F25" s="48">
        <v>970.93048321520268</v>
      </c>
      <c r="G25" s="48">
        <v>701.29777592615847</v>
      </c>
      <c r="H25" s="48">
        <v>650.31049849726162</v>
      </c>
      <c r="I25" s="48">
        <v>13290.794673584365</v>
      </c>
      <c r="J25" s="48">
        <v>28.110738363455113</v>
      </c>
      <c r="K25" s="48">
        <v>44.626389319123021</v>
      </c>
      <c r="L25" s="50">
        <v>0.92729582328767368</v>
      </c>
      <c r="M25" s="48">
        <v>6.0794840339715801</v>
      </c>
      <c r="N25" s="48">
        <v>0.34696638564699878</v>
      </c>
      <c r="O25" s="48">
        <v>73.912747013050648</v>
      </c>
      <c r="P25" s="48">
        <v>53.926725888685326</v>
      </c>
      <c r="Q25" s="48">
        <v>48.865919917932516</v>
      </c>
      <c r="R25" s="48">
        <v>38.992699979598889</v>
      </c>
      <c r="S25" s="48">
        <v>15.239721015229662</v>
      </c>
      <c r="T25" s="48">
        <v>3.5124367376504035</v>
      </c>
      <c r="U25" s="48">
        <v>-5.7147499883730273</v>
      </c>
      <c r="V25" s="48">
        <v>-5.9002585310072533</v>
      </c>
      <c r="W25" s="48">
        <v>5.9375099168418393</v>
      </c>
      <c r="X25" s="48">
        <v>29.563987661006578</v>
      </c>
      <c r="Y25" s="48">
        <v>47.575116724417271</v>
      </c>
      <c r="Z25" s="48">
        <v>86.138165260126158</v>
      </c>
      <c r="AA25" s="48"/>
      <c r="AB25" s="48">
        <v>46.982172065646843</v>
      </c>
      <c r="AC25" s="48">
        <v>35.198138816224649</v>
      </c>
      <c r="AD25" s="48">
        <v>27.264832944795891</v>
      </c>
      <c r="AE25" s="48">
        <v>23.335615223954967</v>
      </c>
      <c r="AF25" s="48">
        <v>8.9581860912116191</v>
      </c>
      <c r="AG25" s="48">
        <v>2.09955860191535</v>
      </c>
      <c r="AH25" s="48">
        <v>-1.2449208540430983</v>
      </c>
      <c r="AI25" s="48">
        <v>-0.79829437269184644</v>
      </c>
      <c r="AJ25" s="48">
        <v>4.1400450763242498</v>
      </c>
      <c r="AK25" s="48">
        <v>15.384238851566806</v>
      </c>
      <c r="AL25" s="48">
        <v>31.127305473420957</v>
      </c>
      <c r="AM25" s="38">
        <v>55.446101778203847</v>
      </c>
      <c r="AN25" s="38"/>
      <c r="AO25" s="38"/>
      <c r="AP25" s="38"/>
      <c r="AQ25" s="38"/>
      <c r="AR25" s="38"/>
      <c r="AS25" s="50"/>
      <c r="AT25" s="38"/>
      <c r="AU25" s="38"/>
      <c r="AV25" s="38"/>
      <c r="AW25" s="38"/>
      <c r="AX25" s="38"/>
      <c r="AY25" s="38"/>
      <c r="AZ25" s="50"/>
      <c r="BA25" s="38"/>
      <c r="BB25" s="38"/>
      <c r="BC25" s="38"/>
      <c r="BD25" s="38"/>
      <c r="BE25" s="38"/>
      <c r="BF25" s="38"/>
      <c r="BG25" s="38"/>
      <c r="BH25" s="50"/>
      <c r="BI25" s="38"/>
      <c r="BJ25" s="38"/>
      <c r="BK25" s="38"/>
      <c r="BL25" s="38"/>
      <c r="BM25" s="38"/>
      <c r="BN25" s="38"/>
      <c r="BO25" s="38"/>
      <c r="BP25" s="38"/>
      <c r="BQ25" s="38"/>
      <c r="BR25" s="38"/>
      <c r="BS25" s="38"/>
      <c r="BT25" s="38"/>
      <c r="BU25" s="38"/>
      <c r="BV25" s="38"/>
      <c r="BW25" s="38"/>
      <c r="BX25" s="38"/>
      <c r="BY25" s="38"/>
      <c r="BZ25" s="38"/>
      <c r="CA25" s="38"/>
      <c r="CB25" s="38"/>
      <c r="CC25" s="38"/>
      <c r="CD25" s="50"/>
      <c r="CE25" s="38"/>
      <c r="CF25" s="38"/>
      <c r="CG25" s="38"/>
      <c r="CH25" s="38"/>
      <c r="CI25" s="38"/>
      <c r="CJ25" s="38"/>
      <c r="CK25" s="38"/>
      <c r="CL25" s="38"/>
      <c r="CM25" s="38"/>
      <c r="CN25" s="38"/>
      <c r="CO25" s="38"/>
      <c r="CP25" s="38"/>
      <c r="CQ25" s="38"/>
      <c r="CR25" s="38"/>
      <c r="CS25" s="38"/>
      <c r="CT25" s="38"/>
      <c r="CU25" s="38"/>
      <c r="CV25" s="38"/>
      <c r="CW25" s="50"/>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row>
    <row r="26" spans="1:131">
      <c r="A26" s="27" t="s">
        <v>884</v>
      </c>
      <c r="B26" s="27"/>
      <c r="C26" s="48">
        <v>615.13839465377009</v>
      </c>
      <c r="D26" s="48">
        <v>784.98235045037131</v>
      </c>
      <c r="E26" s="48">
        <v>156.99647009007427</v>
      </c>
      <c r="F26" s="48">
        <v>941.97882054044555</v>
      </c>
      <c r="G26" s="48">
        <v>680.38614837488774</v>
      </c>
      <c r="H26" s="48">
        <v>623.18000431046323</v>
      </c>
      <c r="I26" s="48">
        <v>13414.435742673455</v>
      </c>
      <c r="J26" s="48">
        <v>28.684308218594406</v>
      </c>
      <c r="K26" s="48">
        <v>45.606532666050889</v>
      </c>
      <c r="L26" s="50">
        <v>0.91592106305946674</v>
      </c>
      <c r="M26" s="48">
        <v>5.8438395811015029</v>
      </c>
      <c r="N26" s="48">
        <v>0.33323935997760962</v>
      </c>
      <c r="O26" s="48">
        <v>70.988538163103257</v>
      </c>
      <c r="P26" s="48">
        <v>51.793223678781843</v>
      </c>
      <c r="Q26" s="48">
        <v>46.932638295215831</v>
      </c>
      <c r="R26" s="48">
        <v>37.453918647872172</v>
      </c>
      <c r="S26" s="48">
        <v>14.656376192163254</v>
      </c>
      <c r="T26" s="48">
        <v>3.395157303774675</v>
      </c>
      <c r="U26" s="48">
        <v>-5.3402893833009273</v>
      </c>
      <c r="V26" s="48">
        <v>-5.5182282817032258</v>
      </c>
      <c r="W26" s="48">
        <v>5.7640031146602171</v>
      </c>
      <c r="X26" s="48">
        <v>28.405519869251503</v>
      </c>
      <c r="Y26" s="48">
        <v>45.692903128185257</v>
      </c>
      <c r="Z26" s="48">
        <v>82.730282379959135</v>
      </c>
      <c r="AA26" s="48"/>
      <c r="AB26" s="48">
        <v>45.123417129642938</v>
      </c>
      <c r="AC26" s="48">
        <v>33.805595402706174</v>
      </c>
      <c r="AD26" s="48">
        <v>26.186154786948073</v>
      </c>
      <c r="AE26" s="48">
        <v>22.413405227313227</v>
      </c>
      <c r="AF26" s="48">
        <v>8.60873364467305</v>
      </c>
      <c r="AG26" s="48">
        <v>2.0204331174239343</v>
      </c>
      <c r="AH26" s="48">
        <v>-1.1551784108959777</v>
      </c>
      <c r="AI26" s="48">
        <v>-0.74038099795065881</v>
      </c>
      <c r="AJ26" s="48">
        <v>3.9956034680869239</v>
      </c>
      <c r="AK26" s="48">
        <v>14.778263278479699</v>
      </c>
      <c r="AL26" s="48">
        <v>29.895816375548279</v>
      </c>
      <c r="AM26" s="38">
        <v>53.252488523831374</v>
      </c>
      <c r="AN26" s="38"/>
      <c r="AO26" s="38"/>
      <c r="AP26" s="38"/>
      <c r="AQ26" s="38"/>
      <c r="AR26" s="38"/>
      <c r="AS26" s="50"/>
      <c r="AT26" s="38"/>
      <c r="AU26" s="38"/>
      <c r="AV26" s="38"/>
      <c r="AW26" s="38"/>
      <c r="AX26" s="38"/>
      <c r="AY26" s="38"/>
      <c r="AZ26" s="50"/>
      <c r="BA26" s="38"/>
      <c r="BB26" s="38"/>
      <c r="BC26" s="38"/>
      <c r="BD26" s="38"/>
      <c r="BE26" s="38"/>
      <c r="BF26" s="38"/>
      <c r="BG26" s="38"/>
      <c r="BH26" s="50"/>
      <c r="BI26" s="38"/>
      <c r="BJ26" s="38"/>
      <c r="BK26" s="38"/>
      <c r="BL26" s="38"/>
      <c r="BM26" s="38"/>
      <c r="BN26" s="38"/>
      <c r="BO26" s="38"/>
      <c r="BP26" s="38"/>
      <c r="BQ26" s="38"/>
      <c r="BR26" s="38"/>
      <c r="BS26" s="38"/>
      <c r="BT26" s="38"/>
      <c r="BU26" s="38"/>
      <c r="BV26" s="38"/>
      <c r="BW26" s="38"/>
      <c r="BX26" s="38"/>
      <c r="BY26" s="38"/>
      <c r="BZ26" s="38"/>
      <c r="CA26" s="38"/>
      <c r="CB26" s="38"/>
      <c r="CC26" s="38"/>
      <c r="CD26" s="50"/>
      <c r="CE26" s="38"/>
      <c r="CF26" s="38"/>
      <c r="CG26" s="38"/>
      <c r="CH26" s="38"/>
      <c r="CI26" s="38"/>
      <c r="CJ26" s="38"/>
      <c r="CK26" s="38"/>
      <c r="CL26" s="38"/>
      <c r="CM26" s="38"/>
      <c r="CN26" s="38"/>
      <c r="CO26" s="38"/>
      <c r="CP26" s="38"/>
      <c r="CQ26" s="38"/>
      <c r="CR26" s="38"/>
      <c r="CS26" s="38"/>
      <c r="CT26" s="38"/>
      <c r="CU26" s="38"/>
      <c r="CV26" s="38"/>
      <c r="CW26" s="50"/>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row>
    <row r="27" spans="1:131">
      <c r="A27" s="27" t="s">
        <v>855</v>
      </c>
      <c r="B27" s="27"/>
      <c r="C27" s="48">
        <v>574.15335241032233</v>
      </c>
      <c r="D27" s="48">
        <v>727.98596173202009</v>
      </c>
      <c r="E27" s="48">
        <v>145.59719234640403</v>
      </c>
      <c r="F27" s="48">
        <v>873.58315407842406</v>
      </c>
      <c r="G27" s="48">
        <v>630.98433269188831</v>
      </c>
      <c r="H27" s="48">
        <v>575.24952273416636</v>
      </c>
      <c r="I27" s="48">
        <v>13328.474696875104</v>
      </c>
      <c r="J27" s="48">
        <v>28.25217766260948</v>
      </c>
      <c r="K27" s="48">
        <v>45.906735026032656</v>
      </c>
      <c r="L27" s="50">
        <v>0.91167005728977835</v>
      </c>
      <c r="M27" s="48">
        <v>5.454479468163437</v>
      </c>
      <c r="N27" s="48">
        <v>0.31155448827652776</v>
      </c>
      <c r="O27" s="48">
        <v>66.369103824921609</v>
      </c>
      <c r="P27" s="48">
        <v>48.422885281375002</v>
      </c>
      <c r="Q27" s="48">
        <v>43.878592578367083</v>
      </c>
      <c r="R27" s="48">
        <v>35.009444143882838</v>
      </c>
      <c r="S27" s="48">
        <v>13.666172185893906</v>
      </c>
      <c r="T27" s="48">
        <v>3.1338452524254135</v>
      </c>
      <c r="U27" s="48">
        <v>-5.26907838717477</v>
      </c>
      <c r="V27" s="48">
        <v>-5.435867284721156</v>
      </c>
      <c r="W27" s="48">
        <v>5.2745828240611683</v>
      </c>
      <c r="X27" s="48">
        <v>26.536284006013993</v>
      </c>
      <c r="Y27" s="48">
        <v>42.719530648862182</v>
      </c>
      <c r="Z27" s="48">
        <v>77.346777984427277</v>
      </c>
      <c r="AA27" s="48"/>
      <c r="AB27" s="48">
        <v>42.187102790195006</v>
      </c>
      <c r="AC27" s="48">
        <v>31.605765229176789</v>
      </c>
      <c r="AD27" s="48">
        <v>24.482144171461979</v>
      </c>
      <c r="AE27" s="48">
        <v>20.953005471071499</v>
      </c>
      <c r="AF27" s="48">
        <v>8.0393008913332888</v>
      </c>
      <c r="AG27" s="48">
        <v>1.8816215802193719</v>
      </c>
      <c r="AH27" s="48">
        <v>-1.1554091425250539</v>
      </c>
      <c r="AI27" s="48">
        <v>-0.74123595980984835</v>
      </c>
      <c r="AJ27" s="48">
        <v>3.6995615745439654</v>
      </c>
      <c r="AK27" s="48">
        <v>13.811624205357683</v>
      </c>
      <c r="AL27" s="48">
        <v>27.950407098125513</v>
      </c>
      <c r="AM27" s="38">
        <v>49.787191442837681</v>
      </c>
      <c r="AN27" s="38"/>
      <c r="AO27" s="38"/>
      <c r="AP27" s="38"/>
      <c r="AQ27" s="38"/>
      <c r="AR27" s="38"/>
      <c r="AS27" s="50"/>
      <c r="AT27" s="38"/>
      <c r="AU27" s="38"/>
      <c r="AV27" s="38"/>
      <c r="AW27" s="38"/>
      <c r="AX27" s="38"/>
      <c r="AY27" s="38"/>
      <c r="AZ27" s="50"/>
      <c r="BA27" s="38"/>
      <c r="BB27" s="38"/>
      <c r="BC27" s="38"/>
      <c r="BD27" s="38"/>
      <c r="BE27" s="38"/>
      <c r="BF27" s="38"/>
      <c r="BG27" s="38"/>
      <c r="BH27" s="50"/>
      <c r="BI27" s="38"/>
      <c r="BJ27" s="38"/>
      <c r="BK27" s="38"/>
      <c r="BL27" s="38"/>
      <c r="BM27" s="38"/>
      <c r="BN27" s="38"/>
      <c r="BO27" s="38"/>
      <c r="BP27" s="38"/>
      <c r="BQ27" s="38"/>
      <c r="BR27" s="38"/>
      <c r="BS27" s="38"/>
      <c r="BT27" s="38"/>
      <c r="BU27" s="38"/>
      <c r="BV27" s="38"/>
      <c r="BW27" s="38"/>
      <c r="BX27" s="38"/>
      <c r="BY27" s="38"/>
      <c r="BZ27" s="38"/>
      <c r="CA27" s="38"/>
      <c r="CB27" s="38"/>
      <c r="CC27" s="38"/>
      <c r="CD27" s="50"/>
      <c r="CE27" s="38"/>
      <c r="CF27" s="38"/>
      <c r="CG27" s="38"/>
      <c r="CH27" s="38"/>
      <c r="CI27" s="38"/>
      <c r="CJ27" s="38"/>
      <c r="CK27" s="38"/>
      <c r="CL27" s="38"/>
      <c r="CM27" s="38"/>
      <c r="CN27" s="38"/>
      <c r="CO27" s="38"/>
      <c r="CP27" s="38"/>
      <c r="CQ27" s="38"/>
      <c r="CR27" s="38"/>
      <c r="CS27" s="38"/>
      <c r="CT27" s="38"/>
      <c r="CU27" s="38"/>
      <c r="CV27" s="38"/>
      <c r="CW27" s="50"/>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row>
    <row r="28" spans="1:131">
      <c r="A28" s="27" t="s">
        <v>883</v>
      </c>
      <c r="B28" s="27"/>
      <c r="C28" s="48">
        <v>575.18700719783692</v>
      </c>
      <c r="D28" s="48">
        <v>756.03068777561452</v>
      </c>
      <c r="E28" s="48">
        <v>151.20613755512292</v>
      </c>
      <c r="F28" s="48">
        <v>907.23682533073747</v>
      </c>
      <c r="G28" s="48">
        <v>655.29219531336332</v>
      </c>
      <c r="H28" s="48">
        <v>579.85184372191009</v>
      </c>
      <c r="I28" s="48">
        <v>13817.062086667989</v>
      </c>
      <c r="J28" s="48">
        <v>30.508314079665759</v>
      </c>
      <c r="K28" s="48">
        <v>48.414238863463837</v>
      </c>
      <c r="L28" s="50">
        <v>0.88487524781921545</v>
      </c>
      <c r="M28" s="48">
        <v>5.4643002222553569</v>
      </c>
      <c r="N28" s="48">
        <v>0.31119227975864489</v>
      </c>
      <c r="O28" s="48">
        <v>66.291944112466098</v>
      </c>
      <c r="P28" s="48">
        <v>48.366589570129094</v>
      </c>
      <c r="Q28" s="48">
        <v>43.827579992823807</v>
      </c>
      <c r="R28" s="48">
        <v>34.98161860380074</v>
      </c>
      <c r="S28" s="48">
        <v>13.715169874627966</v>
      </c>
      <c r="T28" s="48">
        <v>3.2020421551495186</v>
      </c>
      <c r="U28" s="48">
        <v>-4.7713796651320335</v>
      </c>
      <c r="V28" s="48">
        <v>-4.9372113857374176</v>
      </c>
      <c r="W28" s="48">
        <v>5.4718772006163956</v>
      </c>
      <c r="X28" s="48">
        <v>26.542447691613411</v>
      </c>
      <c r="Y28" s="48">
        <v>42.669865571120646</v>
      </c>
      <c r="Z28" s="48">
        <v>77.256855794662854</v>
      </c>
      <c r="AA28" s="48"/>
      <c r="AB28" s="48">
        <v>42.138056704998355</v>
      </c>
      <c r="AC28" s="48">
        <v>31.569020846377029</v>
      </c>
      <c r="AD28" s="48">
        <v>24.453681602349281</v>
      </c>
      <c r="AE28" s="48">
        <v>20.932013964990048</v>
      </c>
      <c r="AF28" s="48">
        <v>8.0463884214450534</v>
      </c>
      <c r="AG28" s="48">
        <v>1.8924857883963881</v>
      </c>
      <c r="AH28" s="48">
        <v>-1.0199155493698822</v>
      </c>
      <c r="AI28" s="48">
        <v>-0.65313611073894651</v>
      </c>
      <c r="AJ28" s="48">
        <v>3.759374019298503</v>
      </c>
      <c r="AK28" s="48">
        <v>13.804416004796735</v>
      </c>
      <c r="AL28" s="48">
        <v>27.917912379191307</v>
      </c>
      <c r="AM28" s="38">
        <v>49.729309609962087</v>
      </c>
      <c r="AN28" s="38"/>
      <c r="AO28" s="38"/>
      <c r="AP28" s="38"/>
      <c r="AQ28" s="38"/>
      <c r="AR28" s="38"/>
      <c r="AS28" s="50"/>
      <c r="AT28" s="38"/>
      <c r="AU28" s="38"/>
      <c r="AV28" s="38"/>
      <c r="AW28" s="38"/>
      <c r="AX28" s="38"/>
      <c r="AY28" s="38"/>
      <c r="AZ28" s="50"/>
      <c r="BA28" s="38"/>
      <c r="BB28" s="38"/>
      <c r="BC28" s="38"/>
      <c r="BD28" s="38"/>
      <c r="BE28" s="38"/>
      <c r="BF28" s="38"/>
      <c r="BG28" s="38"/>
      <c r="BH28" s="50"/>
      <c r="BI28" s="38"/>
      <c r="BJ28" s="38"/>
      <c r="BK28" s="38"/>
      <c r="BL28" s="38"/>
      <c r="BM28" s="38"/>
      <c r="BN28" s="38"/>
      <c r="BO28" s="38"/>
      <c r="BP28" s="38"/>
      <c r="BQ28" s="38"/>
      <c r="BR28" s="38"/>
      <c r="BS28" s="38"/>
      <c r="BT28" s="38"/>
      <c r="BU28" s="38"/>
      <c r="BV28" s="38"/>
      <c r="BW28" s="38"/>
      <c r="BX28" s="38"/>
      <c r="BY28" s="38"/>
      <c r="BZ28" s="38"/>
      <c r="CA28" s="38"/>
      <c r="CB28" s="38"/>
      <c r="CC28" s="38"/>
      <c r="CD28" s="50"/>
      <c r="CE28" s="38"/>
      <c r="CF28" s="38"/>
      <c r="CG28" s="38"/>
      <c r="CH28" s="38"/>
      <c r="CI28" s="38"/>
      <c r="CJ28" s="38"/>
      <c r="CK28" s="38"/>
      <c r="CL28" s="38"/>
      <c r="CM28" s="38"/>
      <c r="CN28" s="38"/>
      <c r="CO28" s="38"/>
      <c r="CP28" s="38"/>
      <c r="CQ28" s="38"/>
      <c r="CR28" s="38"/>
      <c r="CS28" s="38"/>
      <c r="CT28" s="38"/>
      <c r="CU28" s="38"/>
      <c r="CV28" s="38"/>
      <c r="CW28" s="50"/>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row>
    <row r="29" spans="1:131">
      <c r="A29" s="27" t="s">
        <v>891</v>
      </c>
      <c r="B29" s="27"/>
      <c r="C29" s="48">
        <v>541.31676816379593</v>
      </c>
      <c r="D29" s="48">
        <v>555.67373558374129</v>
      </c>
      <c r="E29" s="48">
        <v>111.13474711674826</v>
      </c>
      <c r="F29" s="48">
        <v>666.80848270048955</v>
      </c>
      <c r="G29" s="48">
        <v>801.77306715660711</v>
      </c>
      <c r="H29" s="48">
        <v>564.60838971856299</v>
      </c>
      <c r="I29" s="48">
        <v>10790.802450606516</v>
      </c>
      <c r="J29" s="48">
        <v>35.393658488393733</v>
      </c>
      <c r="K29" s="48">
        <v>70.994917943067094</v>
      </c>
      <c r="L29" s="50">
        <v>0.70419974534799423</v>
      </c>
      <c r="M29" s="48">
        <v>5.1425432019382198</v>
      </c>
      <c r="N29" s="48">
        <v>0.28204248829858275</v>
      </c>
      <c r="O29" s="48">
        <v>60.082290235900736</v>
      </c>
      <c r="P29" s="48">
        <v>43.836027305868704</v>
      </c>
      <c r="Q29" s="48">
        <v>39.722192744846886</v>
      </c>
      <c r="R29" s="48">
        <v>31.856285221605336</v>
      </c>
      <c r="S29" s="48">
        <v>13.193610857317926</v>
      </c>
      <c r="T29" s="48">
        <v>3.7470574628364783</v>
      </c>
      <c r="U29" s="48">
        <v>1.4572353176968644</v>
      </c>
      <c r="V29" s="48">
        <v>1.3159145406033488</v>
      </c>
      <c r="W29" s="48">
        <v>7.3519360800703479</v>
      </c>
      <c r="X29" s="48">
        <v>24.491528930437294</v>
      </c>
      <c r="Y29" s="48">
        <v>38.67292296061715</v>
      </c>
      <c r="Z29" s="48">
        <v>70.020104172735913</v>
      </c>
      <c r="AA29" s="48"/>
      <c r="AB29" s="48">
        <v>38.190929332700961</v>
      </c>
      <c r="AC29" s="48">
        <v>28.611909008692759</v>
      </c>
      <c r="AD29" s="48">
        <v>22.163072980271352</v>
      </c>
      <c r="AE29" s="48">
        <v>19.010899236146965</v>
      </c>
      <c r="AF29" s="48">
        <v>7.485961179196214</v>
      </c>
      <c r="AG29" s="48">
        <v>1.8687233489754458</v>
      </c>
      <c r="AH29" s="48">
        <v>0.6534407997484879</v>
      </c>
      <c r="AI29" s="48">
        <v>0.43410166915411236</v>
      </c>
      <c r="AJ29" s="48">
        <v>4.1613043740450602</v>
      </c>
      <c r="AK29" s="48">
        <v>12.6154161536233</v>
      </c>
      <c r="AL29" s="48">
        <v>25.302804689229063</v>
      </c>
      <c r="AM29" s="38">
        <v>45.071099561475208</v>
      </c>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row>
    <row r="30" spans="1:131">
      <c r="A30" s="27" t="s">
        <v>858</v>
      </c>
      <c r="B30" s="27"/>
      <c r="C30" s="48">
        <v>755.41778328775206</v>
      </c>
      <c r="D30" s="48">
        <v>1370.7558864868229</v>
      </c>
      <c r="E30" s="48">
        <v>274.1511772973646</v>
      </c>
      <c r="F30" s="48">
        <v>1644.9070637841874</v>
      </c>
      <c r="G30" s="48">
        <v>1188.1073726484233</v>
      </c>
      <c r="H30" s="48">
        <v>753.38329972169151</v>
      </c>
      <c r="I30" s="48">
        <v>19074.72420894901</v>
      </c>
      <c r="J30" s="48">
        <v>56.721380735806612</v>
      </c>
      <c r="K30" s="48">
        <v>81.09109981605944</v>
      </c>
      <c r="L30" s="50">
        <v>0.63410371576292512</v>
      </c>
      <c r="M30" s="48">
        <v>7.176541729604522</v>
      </c>
      <c r="N30" s="48">
        <v>0.36991186919010871</v>
      </c>
      <c r="O30" s="48">
        <v>78.800724034373587</v>
      </c>
      <c r="P30" s="48">
        <v>57.492992975640327</v>
      </c>
      <c r="Q30" s="48">
        <v>52.097507206150695</v>
      </c>
      <c r="R30" s="48">
        <v>42.125052451361427</v>
      </c>
      <c r="S30" s="48">
        <v>19.037810249249649</v>
      </c>
      <c r="T30" s="48">
        <v>6.8340420381953102</v>
      </c>
      <c r="U30" s="48">
        <v>15.046264952723138</v>
      </c>
      <c r="V30" s="48">
        <v>14.881311075218967</v>
      </c>
      <c r="W30" s="48">
        <v>15.07804767862709</v>
      </c>
      <c r="X30" s="48">
        <v>33.110820890710045</v>
      </c>
      <c r="Y30" s="48">
        <v>50.721340978464376</v>
      </c>
      <c r="Z30" s="48">
        <v>91.834630206505054</v>
      </c>
      <c r="AA30" s="48"/>
      <c r="AB30" s="48">
        <v>50.089183870094772</v>
      </c>
      <c r="AC30" s="48">
        <v>37.525852244284117</v>
      </c>
      <c r="AD30" s="48">
        <v>29.067903217652066</v>
      </c>
      <c r="AE30" s="48">
        <v>25.023678523211355</v>
      </c>
      <c r="AF30" s="48">
        <v>10.257307580375738</v>
      </c>
      <c r="AG30" s="48">
        <v>2.7996660012216177</v>
      </c>
      <c r="AH30" s="48">
        <v>4.4415703669464719</v>
      </c>
      <c r="AI30" s="48">
        <v>2.9003826342807097</v>
      </c>
      <c r="AJ30" s="48">
        <v>7.1708838228853811</v>
      </c>
      <c r="AK30" s="48">
        <v>16.782154790466265</v>
      </c>
      <c r="AL30" s="48">
        <v>33.185807694464323</v>
      </c>
      <c r="AM30" s="38">
        <v>59.11284780464959</v>
      </c>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row>
    <row r="31" spans="1:131">
      <c r="A31" s="27" t="s">
        <v>886</v>
      </c>
      <c r="B31" s="27"/>
      <c r="C31" s="48">
        <v>737.561580957091</v>
      </c>
      <c r="D31" s="48">
        <v>1423.5624999793488</v>
      </c>
      <c r="E31" s="48">
        <v>284.71249999586979</v>
      </c>
      <c r="F31" s="48">
        <v>1708.2749999752186</v>
      </c>
      <c r="G31" s="48">
        <v>1233.8776862641209</v>
      </c>
      <c r="H31" s="48">
        <v>743.66136457970094</v>
      </c>
      <c r="I31" s="48">
        <v>20289.138407079667</v>
      </c>
      <c r="J31" s="48">
        <v>62.040001548740378</v>
      </c>
      <c r="K31" s="48">
        <v>87.652713083604795</v>
      </c>
      <c r="L31" s="50">
        <v>0.60270266077290469</v>
      </c>
      <c r="M31" s="48">
        <v>7.0069052113345709</v>
      </c>
      <c r="N31" s="48">
        <v>0.36198212290439746</v>
      </c>
      <c r="O31" s="48">
        <v>77.11148451337354</v>
      </c>
      <c r="P31" s="48">
        <v>56.260524148670349</v>
      </c>
      <c r="Q31" s="48">
        <v>50.980700613360689</v>
      </c>
      <c r="R31" s="48">
        <v>41.209441171109901</v>
      </c>
      <c r="S31" s="48">
        <v>18.566291147694905</v>
      </c>
      <c r="T31" s="48">
        <v>6.6173371779518924</v>
      </c>
      <c r="U31" s="48">
        <v>14.243340214336454</v>
      </c>
      <c r="V31" s="48">
        <v>14.081176537303055</v>
      </c>
      <c r="W31" s="48">
        <v>14.556027154686159</v>
      </c>
      <c r="X31" s="48">
        <v>32.364857524255619</v>
      </c>
      <c r="Y31" s="48">
        <v>49.634035058514115</v>
      </c>
      <c r="Z31" s="48">
        <v>89.865984757592884</v>
      </c>
      <c r="AA31" s="48"/>
      <c r="AB31" s="48">
        <v>49.015429409017827</v>
      </c>
      <c r="AC31" s="48">
        <v>36.721416073842313</v>
      </c>
      <c r="AD31" s="48">
        <v>28.444778855413428</v>
      </c>
      <c r="AE31" s="48">
        <v>24.483958160822052</v>
      </c>
      <c r="AF31" s="48">
        <v>10.021363477768116</v>
      </c>
      <c r="AG31" s="48">
        <v>2.726895400436212</v>
      </c>
      <c r="AH31" s="48">
        <v>4.2152612614627136</v>
      </c>
      <c r="AI31" s="48">
        <v>2.7529558146522293</v>
      </c>
      <c r="AJ31" s="48">
        <v>6.9545089661945436</v>
      </c>
      <c r="AK31" s="48">
        <v>16.413750710319444</v>
      </c>
      <c r="AL31" s="48">
        <v>32.474408420146197</v>
      </c>
      <c r="AM31" s="38">
        <v>57.845654388166302</v>
      </c>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row>
    <row r="32" spans="1:131">
      <c r="A32" s="27" t="s">
        <v>860</v>
      </c>
      <c r="B32" s="27"/>
      <c r="C32" s="48">
        <v>823.63357390767669</v>
      </c>
      <c r="D32" s="48">
        <v>1614.3440015787794</v>
      </c>
      <c r="E32" s="48">
        <v>322.86880031575589</v>
      </c>
      <c r="F32" s="48">
        <v>1937.2128018945352</v>
      </c>
      <c r="G32" s="48">
        <v>1399.2382080388338</v>
      </c>
      <c r="H32" s="48">
        <v>823.50858218191036</v>
      </c>
      <c r="I32" s="48">
        <v>20603.803295782523</v>
      </c>
      <c r="J32" s="48">
        <v>63.474840136230981</v>
      </c>
      <c r="K32" s="48">
        <v>90.181282369419662</v>
      </c>
      <c r="L32" s="50">
        <v>0.58854066266253291</v>
      </c>
      <c r="M32" s="48">
        <v>7.8245979676357402</v>
      </c>
      <c r="N32" s="48">
        <v>0.4036371720549527</v>
      </c>
      <c r="O32" s="48">
        <v>85.985079296741304</v>
      </c>
      <c r="P32" s="48">
        <v>62.734697181982852</v>
      </c>
      <c r="Q32" s="48">
        <v>56.847298589913642</v>
      </c>
      <c r="R32" s="48">
        <v>45.960674019449577</v>
      </c>
      <c r="S32" s="48">
        <v>20.748467992330056</v>
      </c>
      <c r="T32" s="48">
        <v>7.4293837828909988</v>
      </c>
      <c r="U32" s="48">
        <v>16.228333581980937</v>
      </c>
      <c r="V32" s="48">
        <v>16.048046088373457</v>
      </c>
      <c r="W32" s="48">
        <v>16.374220910507852</v>
      </c>
      <c r="X32" s="48">
        <v>36.115288328987354</v>
      </c>
      <c r="Y32" s="48">
        <v>55.345665658704924</v>
      </c>
      <c r="Z32" s="48">
        <v>100.20730211880753</v>
      </c>
      <c r="AA32" s="48"/>
      <c r="AB32" s="48">
        <v>54.655874038675542</v>
      </c>
      <c r="AC32" s="48">
        <v>40.947128601192404</v>
      </c>
      <c r="AD32" s="48">
        <v>31.718058352732289</v>
      </c>
      <c r="AE32" s="48">
        <v>27.303817010626346</v>
      </c>
      <c r="AF32" s="48">
        <v>11.186135969211955</v>
      </c>
      <c r="AG32" s="48">
        <v>3.0498776839775186</v>
      </c>
      <c r="AH32" s="48">
        <v>4.7947397563247653</v>
      </c>
      <c r="AI32" s="48">
        <v>3.1311453716299553</v>
      </c>
      <c r="AJ32" s="48">
        <v>7.7999178911179801</v>
      </c>
      <c r="AK32" s="48">
        <v>18.308788535050077</v>
      </c>
      <c r="AL32" s="48">
        <v>36.211397053791124</v>
      </c>
      <c r="AM32" s="38">
        <v>64.502236092676284</v>
      </c>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row>
    <row r="33" spans="1:131">
      <c r="A33" s="27" t="s">
        <v>892</v>
      </c>
      <c r="B33" s="27"/>
      <c r="C33" s="48">
        <v>436.32229192874519</v>
      </c>
      <c r="D33" s="48">
        <v>548.47810817052937</v>
      </c>
      <c r="E33" s="48">
        <v>109.69562163410588</v>
      </c>
      <c r="F33" s="48">
        <v>658.17372980463529</v>
      </c>
      <c r="G33" s="48">
        <v>791.39060728535469</v>
      </c>
      <c r="H33" s="48">
        <v>452.52706249815043</v>
      </c>
      <c r="I33" s="48">
        <v>13214.089629943024</v>
      </c>
      <c r="J33" s="48">
        <v>50.16600062626955</v>
      </c>
      <c r="K33" s="48">
        <v>95.9020646212862</v>
      </c>
      <c r="L33" s="50">
        <v>0.57181252637104019</v>
      </c>
      <c r="M33" s="48">
        <v>4.1450905955783925</v>
      </c>
      <c r="N33" s="48">
        <v>0.22594816964288897</v>
      </c>
      <c r="O33" s="48">
        <v>48.13276038177262</v>
      </c>
      <c r="P33" s="48">
        <v>35.117652641368025</v>
      </c>
      <c r="Q33" s="48">
        <v>31.822002419006804</v>
      </c>
      <c r="R33" s="48">
        <v>25.540692063653083</v>
      </c>
      <c r="S33" s="48">
        <v>10.671268065151706</v>
      </c>
      <c r="T33" s="48">
        <v>3.1144008145118627</v>
      </c>
      <c r="U33" s="48">
        <v>1.9377552736445485</v>
      </c>
      <c r="V33" s="48">
        <v>1.8257373499172727</v>
      </c>
      <c r="W33" s="48">
        <v>6.2085280972836596</v>
      </c>
      <c r="X33" s="48">
        <v>19.678510483883851</v>
      </c>
      <c r="Y33" s="48">
        <v>30.98141776582748</v>
      </c>
      <c r="Z33" s="48">
        <v>56.094081680648657</v>
      </c>
      <c r="AA33" s="48"/>
      <c r="AB33" s="48">
        <v>30.595285950496496</v>
      </c>
      <c r="AC33" s="48">
        <v>22.921399217195532</v>
      </c>
      <c r="AD33" s="48">
        <v>17.755146764457347</v>
      </c>
      <c r="AE33" s="48">
        <v>15.235174640441205</v>
      </c>
      <c r="AF33" s="48">
        <v>6.0228614255923603</v>
      </c>
      <c r="AG33" s="48">
        <v>1.5175137238099852</v>
      </c>
      <c r="AH33" s="48">
        <v>0.7337074494031558</v>
      </c>
      <c r="AI33" s="48">
        <v>0.48447567888653048</v>
      </c>
      <c r="AJ33" s="48">
        <v>3.4341511815829664</v>
      </c>
      <c r="AK33" s="48">
        <v>10.120253004381984</v>
      </c>
      <c r="AL33" s="48">
        <v>20.270429610982635</v>
      </c>
      <c r="AM33" s="38">
        <v>36.107086244845448</v>
      </c>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row>
    <row r="34" spans="1:131">
      <c r="A34" s="27" t="s">
        <v>850</v>
      </c>
      <c r="B34" s="27"/>
      <c r="C34" s="48">
        <v>250.87117127065753</v>
      </c>
      <c r="D34" s="48">
        <v>498.386480559549</v>
      </c>
      <c r="E34" s="48">
        <v>99.677296111909811</v>
      </c>
      <c r="F34" s="48">
        <v>598.06377667145875</v>
      </c>
      <c r="G34" s="48">
        <v>431.97819379693937</v>
      </c>
      <c r="H34" s="48">
        <v>246.64785031481475</v>
      </c>
      <c r="I34" s="48">
        <v>20883.382722320592</v>
      </c>
      <c r="J34" s="48">
        <v>65.47251949757478</v>
      </c>
      <c r="K34" s="48">
        <v>93.100705743060303</v>
      </c>
      <c r="L34" s="50">
        <v>0.5709729191347952</v>
      </c>
      <c r="M34" s="48">
        <v>2.3833038008192813</v>
      </c>
      <c r="N34" s="48">
        <v>0.11959126374110536</v>
      </c>
      <c r="O34" s="48">
        <v>25.47600916839362</v>
      </c>
      <c r="P34" s="48">
        <v>18.587291349339523</v>
      </c>
      <c r="Q34" s="48">
        <v>16.842948938583298</v>
      </c>
      <c r="R34" s="48">
        <v>13.669199479908382</v>
      </c>
      <c r="S34" s="48">
        <v>6.4083963077672292</v>
      </c>
      <c r="T34" s="48">
        <v>2.4901332182694493</v>
      </c>
      <c r="U34" s="48">
        <v>6.7851911201400874</v>
      </c>
      <c r="V34" s="48">
        <v>6.7348445086763302</v>
      </c>
      <c r="W34" s="48">
        <v>5.6695559066383456</v>
      </c>
      <c r="X34" s="48">
        <v>10.849247922474257</v>
      </c>
      <c r="Y34" s="48">
        <v>16.39803902356174</v>
      </c>
      <c r="Z34" s="48">
        <v>29.689827216516623</v>
      </c>
      <c r="AA34" s="48"/>
      <c r="AB34" s="48">
        <v>16.193664755608769</v>
      </c>
      <c r="AC34" s="48">
        <v>12.131981876335894</v>
      </c>
      <c r="AD34" s="48">
        <v>9.3975553899207185</v>
      </c>
      <c r="AE34" s="48">
        <v>8.103231894462569</v>
      </c>
      <c r="AF34" s="48">
        <v>3.3803672774371916</v>
      </c>
      <c r="AG34" s="48">
        <v>0.95612134440678487</v>
      </c>
      <c r="AH34" s="48">
        <v>1.9601270541136182</v>
      </c>
      <c r="AI34" s="48">
        <v>1.2785602369408013</v>
      </c>
      <c r="AJ34" s="48">
        <v>2.5688412853839955</v>
      </c>
      <c r="AK34" s="48">
        <v>5.4601909621193894</v>
      </c>
      <c r="AL34" s="48">
        <v>10.728860063721385</v>
      </c>
      <c r="AM34" s="38">
        <v>19.110984969937544</v>
      </c>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row>
    <row r="35" spans="1:131">
      <c r="A35" s="27" t="s">
        <v>878</v>
      </c>
      <c r="B35" s="27"/>
      <c r="C35" s="48">
        <v>254.89161364580158</v>
      </c>
      <c r="D35" s="48">
        <v>517.58618089150252</v>
      </c>
      <c r="E35" s="48">
        <v>103.51723617830051</v>
      </c>
      <c r="F35" s="48">
        <v>621.10341706980307</v>
      </c>
      <c r="G35" s="48">
        <v>448.61960000348034</v>
      </c>
      <c r="H35" s="48">
        <v>253.42835662501506</v>
      </c>
      <c r="I35" s="48">
        <v>21345.802067431388</v>
      </c>
      <c r="J35" s="48">
        <v>67.336308013987136</v>
      </c>
      <c r="K35" s="48">
        <v>95.091000531406678</v>
      </c>
      <c r="L35" s="50">
        <v>0.5649070094642521</v>
      </c>
      <c r="M35" s="48">
        <v>2.4214975522324709</v>
      </c>
      <c r="N35" s="48">
        <v>0.12233959347922661</v>
      </c>
      <c r="O35" s="48">
        <v>26.061473954163588</v>
      </c>
      <c r="P35" s="48">
        <v>19.014446343512859</v>
      </c>
      <c r="Q35" s="48">
        <v>17.230017157427245</v>
      </c>
      <c r="R35" s="48">
        <v>13.970125187092769</v>
      </c>
      <c r="S35" s="48">
        <v>6.4891160980534748</v>
      </c>
      <c r="T35" s="48">
        <v>2.4736742615159559</v>
      </c>
      <c r="U35" s="48">
        <v>6.4369276111550304</v>
      </c>
      <c r="V35" s="48">
        <v>6.3846411152460929</v>
      </c>
      <c r="W35" s="48">
        <v>5.5911985881884299</v>
      </c>
      <c r="X35" s="48">
        <v>11.060610038991125</v>
      </c>
      <c r="Y35" s="48">
        <v>16.774882756837194</v>
      </c>
      <c r="Z35" s="48">
        <v>30.372129857246961</v>
      </c>
      <c r="AA35" s="48"/>
      <c r="AB35" s="48">
        <v>16.565811758866065</v>
      </c>
      <c r="AC35" s="48">
        <v>12.410787246645077</v>
      </c>
      <c r="AD35" s="48">
        <v>9.6135208386985909</v>
      </c>
      <c r="AE35" s="48">
        <v>8.2859978462884527</v>
      </c>
      <c r="AF35" s="48">
        <v>3.4411957388961207</v>
      </c>
      <c r="AG35" s="48">
        <v>0.9647071344899083</v>
      </c>
      <c r="AH35" s="48">
        <v>1.8675781279159818</v>
      </c>
      <c r="AI35" s="48">
        <v>1.2184649155048313</v>
      </c>
      <c r="AJ35" s="48">
        <v>2.5621162707641578</v>
      </c>
      <c r="AK35" s="48">
        <v>5.5765955608112057</v>
      </c>
      <c r="AL35" s="48">
        <v>10.975420257558788</v>
      </c>
      <c r="AM35" s="38">
        <v>19.550174979931679</v>
      </c>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row>
    <row r="36" spans="1:131">
      <c r="A36" s="27" t="s">
        <v>888</v>
      </c>
      <c r="B36" s="27"/>
      <c r="C36" s="48">
        <v>804.07204601148794</v>
      </c>
      <c r="D36" s="48">
        <v>1676.5345349740685</v>
      </c>
      <c r="E36" s="48">
        <v>335.30690699481374</v>
      </c>
      <c r="F36" s="48">
        <v>2011.8414419688822</v>
      </c>
      <c r="G36" s="48">
        <v>1453.1420664605221</v>
      </c>
      <c r="H36" s="48">
        <v>812.90472190776381</v>
      </c>
      <c r="I36" s="48">
        <v>21918.099402992571</v>
      </c>
      <c r="J36" s="48">
        <v>69.237414383521227</v>
      </c>
      <c r="K36" s="48">
        <v>97.336128859188079</v>
      </c>
      <c r="L36" s="50">
        <v>0.55941173314718584</v>
      </c>
      <c r="M36" s="48">
        <v>7.638760642132036</v>
      </c>
      <c r="N36" s="48">
        <v>0.39491889156164106</v>
      </c>
      <c r="O36" s="48">
        <v>84.127861747296748</v>
      </c>
      <c r="P36" s="48">
        <v>61.379671618031495</v>
      </c>
      <c r="Q36" s="48">
        <v>55.619436716165225</v>
      </c>
      <c r="R36" s="48">
        <v>44.954546388405106</v>
      </c>
      <c r="S36" s="48">
        <v>20.232742247288758</v>
      </c>
      <c r="T36" s="48">
        <v>7.194098390551428</v>
      </c>
      <c r="U36" s="48">
        <v>15.365878914589175</v>
      </c>
      <c r="V36" s="48">
        <v>15.188690619179573</v>
      </c>
      <c r="W36" s="48">
        <v>15.808696704162482</v>
      </c>
      <c r="X36" s="48">
        <v>35.296675862228625</v>
      </c>
      <c r="Y36" s="48">
        <v>54.150238005584953</v>
      </c>
      <c r="Z36" s="48">
        <v>98.042894507630322</v>
      </c>
      <c r="AA36" s="48"/>
      <c r="AB36" s="48">
        <v>53.475345401904171</v>
      </c>
      <c r="AC36" s="48">
        <v>40.062699273924451</v>
      </c>
      <c r="AD36" s="48">
        <v>31.032970485293017</v>
      </c>
      <c r="AE36" s="48">
        <v>26.710566018598914</v>
      </c>
      <c r="AF36" s="48">
        <v>10.927408664679517</v>
      </c>
      <c r="AG36" s="48">
        <v>2.9704101010600059</v>
      </c>
      <c r="AH36" s="48">
        <v>4.5514698683058974</v>
      </c>
      <c r="AI36" s="48">
        <v>2.9726633044849229</v>
      </c>
      <c r="AJ36" s="48">
        <v>7.5646760301212819</v>
      </c>
      <c r="AK36" s="48">
        <v>17.904116002631639</v>
      </c>
      <c r="AL36" s="48">
        <v>35.429256214377432</v>
      </c>
      <c r="AM36" s="38">
        <v>63.10903292499281</v>
      </c>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row>
    <row r="37" spans="1:131">
      <c r="A37" s="27" t="s">
        <v>894</v>
      </c>
      <c r="B37" s="27"/>
      <c r="C37" s="48">
        <v>438.23635218758727</v>
      </c>
      <c r="D37" s="48">
        <v>569.60752424876659</v>
      </c>
      <c r="E37" s="48">
        <v>113.92150484975332</v>
      </c>
      <c r="F37" s="48">
        <v>683.52902909851991</v>
      </c>
      <c r="G37" s="48">
        <v>821.87791602684069</v>
      </c>
      <c r="H37" s="48">
        <v>458.82037916292734</v>
      </c>
      <c r="I37" s="48">
        <v>13663.207684651388</v>
      </c>
      <c r="J37" s="48">
        <v>52.875024850903003</v>
      </c>
      <c r="K37" s="48">
        <v>99.714717551795005</v>
      </c>
      <c r="L37" s="50">
        <v>0.55825855667345037</v>
      </c>
      <c r="M37" s="48">
        <v>4.1632743335086246</v>
      </c>
      <c r="N37" s="48">
        <v>0.2269030696801565</v>
      </c>
      <c r="O37" s="48">
        <v>48.336178602663658</v>
      </c>
      <c r="P37" s="48">
        <v>35.26606653588636</v>
      </c>
      <c r="Q37" s="48">
        <v>31.956488267437724</v>
      </c>
      <c r="R37" s="48">
        <v>25.649162319585994</v>
      </c>
      <c r="S37" s="48">
        <v>10.719039844798699</v>
      </c>
      <c r="T37" s="48">
        <v>3.1305223225293117</v>
      </c>
      <c r="U37" s="48">
        <v>1.9661949236164833</v>
      </c>
      <c r="V37" s="48">
        <v>1.853735033692357</v>
      </c>
      <c r="W37" s="48">
        <v>6.24314666729975</v>
      </c>
      <c r="X37" s="48">
        <v>19.76320042567944</v>
      </c>
      <c r="Y37" s="48">
        <v>31.112351143273941</v>
      </c>
      <c r="Z37" s="48">
        <v>56.331145963010393</v>
      </c>
      <c r="AA37" s="48"/>
      <c r="AB37" s="48">
        <v>30.724587461283306</v>
      </c>
      <c r="AC37" s="48">
        <v>23.018269419779237</v>
      </c>
      <c r="AD37" s="48">
        <v>17.830183399336342</v>
      </c>
      <c r="AE37" s="48">
        <v>15.299700143119891</v>
      </c>
      <c r="AF37" s="48">
        <v>6.048992179863891</v>
      </c>
      <c r="AG37" s="48">
        <v>1.5244646924705054</v>
      </c>
      <c r="AH37" s="48">
        <v>0.74233455393770686</v>
      </c>
      <c r="AI37" s="48">
        <v>0.4901169351022413</v>
      </c>
      <c r="AJ37" s="48">
        <v>3.4513057118732502</v>
      </c>
      <c r="AK37" s="48">
        <v>10.163387656301785</v>
      </c>
      <c r="AL37" s="48">
        <v>20.356096310657826</v>
      </c>
      <c r="AM37" s="38">
        <v>36.259681674387181</v>
      </c>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row>
    <row r="38" spans="1:131">
      <c r="A38" s="27" t="s">
        <v>851</v>
      </c>
      <c r="B38" s="27"/>
      <c r="C38" s="48">
        <v>272.17611365046236</v>
      </c>
      <c r="D38" s="48">
        <v>580.85648064073723</v>
      </c>
      <c r="E38" s="48">
        <v>116.17129612814745</v>
      </c>
      <c r="F38" s="48">
        <v>697.02777676888468</v>
      </c>
      <c r="G38" s="48">
        <v>503.45934962104582</v>
      </c>
      <c r="H38" s="48">
        <v>267.90516141048522</v>
      </c>
      <c r="I38" s="48">
        <v>22433.869168757814</v>
      </c>
      <c r="J38" s="48">
        <v>72.336516223325418</v>
      </c>
      <c r="K38" s="48">
        <v>102.42359603296441</v>
      </c>
      <c r="L38" s="50">
        <v>0.53212868449486062</v>
      </c>
      <c r="M38" s="48">
        <v>2.5857030701533206</v>
      </c>
      <c r="N38" s="48">
        <v>0.12977849773666439</v>
      </c>
      <c r="O38" s="48">
        <v>27.646151522882583</v>
      </c>
      <c r="P38" s="48">
        <v>20.17062679037365</v>
      </c>
      <c r="Q38" s="48">
        <v>18.277694727239304</v>
      </c>
      <c r="R38" s="48">
        <v>14.833099787584699</v>
      </c>
      <c r="S38" s="48">
        <v>6.9518004428189384</v>
      </c>
      <c r="T38" s="48">
        <v>2.6994983770596779</v>
      </c>
      <c r="U38" s="48">
        <v>7.3443363959586305</v>
      </c>
      <c r="V38" s="48">
        <v>7.2896718131336558</v>
      </c>
      <c r="W38" s="48">
        <v>6.1447123281464862</v>
      </c>
      <c r="X38" s="48">
        <v>11.77200887305551</v>
      </c>
      <c r="Y38" s="48">
        <v>17.794885710983387</v>
      </c>
      <c r="Z38" s="48">
        <v>32.218918453457974</v>
      </c>
      <c r="AA38" s="48"/>
      <c r="AB38" s="48">
        <v>17.573102073606783</v>
      </c>
      <c r="AC38" s="48">
        <v>13.165429758211857</v>
      </c>
      <c r="AD38" s="48">
        <v>10.198074531106476</v>
      </c>
      <c r="AE38" s="48">
        <v>8.7933665817381748</v>
      </c>
      <c r="AF38" s="48">
        <v>3.6676897462402107</v>
      </c>
      <c r="AG38" s="48">
        <v>1.0370670631309629</v>
      </c>
      <c r="AH38" s="48">
        <v>2.1219558399743774</v>
      </c>
      <c r="AI38" s="48">
        <v>1.3841288230094277</v>
      </c>
      <c r="AJ38" s="48">
        <v>2.7852072738752738</v>
      </c>
      <c r="AK38" s="48">
        <v>5.9249713839320384</v>
      </c>
      <c r="AL38" s="48">
        <v>11.642784748147735</v>
      </c>
      <c r="AM38" s="38">
        <v>20.738930604794547</v>
      </c>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row>
    <row r="39" spans="1:131">
      <c r="A39" s="27" t="s">
        <v>879</v>
      </c>
      <c r="B39" s="27"/>
      <c r="C39" s="48">
        <v>276.53115538238461</v>
      </c>
      <c r="D39" s="48">
        <v>603.23323201580342</v>
      </c>
      <c r="E39" s="48">
        <v>120.64664640316069</v>
      </c>
      <c r="F39" s="48">
        <v>723.87987841896415</v>
      </c>
      <c r="G39" s="48">
        <v>522.85447573119188</v>
      </c>
      <c r="H39" s="48">
        <v>275.28076015871227</v>
      </c>
      <c r="I39" s="48">
        <v>22931.187359997799</v>
      </c>
      <c r="J39" s="48">
        <v>74.355642368520833</v>
      </c>
      <c r="K39" s="48">
        <v>104.62001156125437</v>
      </c>
      <c r="L39" s="50">
        <v>0.52649594282183909</v>
      </c>
      <c r="M39" s="48">
        <v>2.6270754795168223</v>
      </c>
      <c r="N39" s="48">
        <v>0.13275406115599428</v>
      </c>
      <c r="O39" s="48">
        <v>28.280022915997815</v>
      </c>
      <c r="P39" s="48">
        <v>20.633099235879815</v>
      </c>
      <c r="Q39" s="48">
        <v>18.69676599689145</v>
      </c>
      <c r="R39" s="48">
        <v>15.158922777001141</v>
      </c>
      <c r="S39" s="48">
        <v>7.039277598441334</v>
      </c>
      <c r="T39" s="48">
        <v>2.681770922897269</v>
      </c>
      <c r="U39" s="48">
        <v>6.9679100773444533</v>
      </c>
      <c r="V39" s="48">
        <v>6.911146200242027</v>
      </c>
      <c r="W39" s="48">
        <v>6.0601378499135814</v>
      </c>
      <c r="X39" s="48">
        <v>12.000894122505848</v>
      </c>
      <c r="Y39" s="48">
        <v>18.202887127983914</v>
      </c>
      <c r="Z39" s="48">
        <v>32.957634318046061</v>
      </c>
      <c r="AA39" s="48"/>
      <c r="AB39" s="48">
        <v>17.976018431911971</v>
      </c>
      <c r="AC39" s="48">
        <v>13.467286936954844</v>
      </c>
      <c r="AD39" s="48">
        <v>10.431896142941852</v>
      </c>
      <c r="AE39" s="48">
        <v>8.9912480699641417</v>
      </c>
      <c r="AF39" s="48">
        <v>3.7335686675453346</v>
      </c>
      <c r="AG39" s="48">
        <v>1.0463795079470424</v>
      </c>
      <c r="AH39" s="48">
        <v>2.0219273386184335</v>
      </c>
      <c r="AI39" s="48">
        <v>1.3191769128827093</v>
      </c>
      <c r="AJ39" s="48">
        <v>2.7780086388943386</v>
      </c>
      <c r="AK39" s="48">
        <v>6.0510117641995427</v>
      </c>
      <c r="AL39" s="48">
        <v>11.909730698362207</v>
      </c>
      <c r="AM39" s="38">
        <v>21.214433129017511</v>
      </c>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row>
    <row r="40" spans="1:131">
      <c r="A40" s="27" t="s">
        <v>872</v>
      </c>
      <c r="B40" s="27"/>
      <c r="C40" s="48">
        <v>582.5730862074488</v>
      </c>
      <c r="D40" s="48">
        <v>1405.8270926925682</v>
      </c>
      <c r="E40" s="48">
        <v>281.16541853851362</v>
      </c>
      <c r="F40" s="48">
        <v>1686.9925112310818</v>
      </c>
      <c r="G40" s="48">
        <v>1218.5054610837849</v>
      </c>
      <c r="H40" s="48">
        <v>608.86065979987325</v>
      </c>
      <c r="I40" s="48">
        <v>25366.867691381729</v>
      </c>
      <c r="J40" s="48">
        <v>83.93545591585395</v>
      </c>
      <c r="K40" s="48">
        <v>115.75151545553935</v>
      </c>
      <c r="L40" s="50">
        <v>0.4996782363686163</v>
      </c>
      <c r="M40" s="48">
        <v>5.5344930856327776</v>
      </c>
      <c r="N40" s="48">
        <v>0.29212297541532162</v>
      </c>
      <c r="O40" s="48">
        <v>62.229692764933837</v>
      </c>
      <c r="P40" s="48">
        <v>45.402771774659591</v>
      </c>
      <c r="Q40" s="48">
        <v>41.14190455716485</v>
      </c>
      <c r="R40" s="48">
        <v>33.160689552585076</v>
      </c>
      <c r="S40" s="48">
        <v>14.500824256013438</v>
      </c>
      <c r="T40" s="48">
        <v>4.8062078736206439</v>
      </c>
      <c r="U40" s="48">
        <v>7.8402592447627795</v>
      </c>
      <c r="V40" s="48">
        <v>7.703717639226527</v>
      </c>
      <c r="W40" s="48">
        <v>10.23462067105026</v>
      </c>
      <c r="X40" s="48">
        <v>25.843587192927494</v>
      </c>
      <c r="Y40" s="48">
        <v>40.055132797237349</v>
      </c>
      <c r="Z40" s="48">
        <v>72.52269434021008</v>
      </c>
      <c r="AA40" s="48"/>
      <c r="AB40" s="48">
        <v>39.555912223885137</v>
      </c>
      <c r="AC40" s="48">
        <v>29.634527912274748</v>
      </c>
      <c r="AD40" s="48">
        <v>22.95520388576972</v>
      </c>
      <c r="AE40" s="48">
        <v>19.733746313164129</v>
      </c>
      <c r="AF40" s="48">
        <v>7.965168362232669</v>
      </c>
      <c r="AG40" s="48">
        <v>2.1036062296642277</v>
      </c>
      <c r="AH40" s="48">
        <v>2.4045100764444154</v>
      </c>
      <c r="AI40" s="48">
        <v>1.573151516891653</v>
      </c>
      <c r="AJ40" s="48">
        <v>5.135747821454534</v>
      </c>
      <c r="AK40" s="48">
        <v>13.180269606303618</v>
      </c>
      <c r="AL40" s="48">
        <v>26.207152818568751</v>
      </c>
      <c r="AM40" s="38">
        <v>46.681986776403356</v>
      </c>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row>
    <row r="41" spans="1:131">
      <c r="A41" s="27" t="s">
        <v>839</v>
      </c>
      <c r="B41" s="27"/>
      <c r="C41" s="48">
        <v>224.01460250228615</v>
      </c>
      <c r="D41" s="48">
        <v>527.71183707560658</v>
      </c>
      <c r="E41" s="48">
        <v>105.54236741512132</v>
      </c>
      <c r="F41" s="48">
        <v>633.25420449072794</v>
      </c>
      <c r="G41" s="48">
        <v>457.39604727891043</v>
      </c>
      <c r="H41" s="48">
        <v>224.32886542809393</v>
      </c>
      <c r="I41" s="48">
        <v>24763.148336645438</v>
      </c>
      <c r="J41" s="48">
        <v>82.034666847461139</v>
      </c>
      <c r="K41" s="48">
        <v>115.30126296869003</v>
      </c>
      <c r="L41" s="50">
        <v>0.49044775695515125</v>
      </c>
      <c r="M41" s="48">
        <v>2.1281607622539429</v>
      </c>
      <c r="N41" s="48">
        <v>0.10927348820846707</v>
      </c>
      <c r="O41" s="48">
        <v>23.278058115414044</v>
      </c>
      <c r="P41" s="48">
        <v>16.983666687278884</v>
      </c>
      <c r="Q41" s="48">
        <v>15.389817990555198</v>
      </c>
      <c r="R41" s="48">
        <v>12.450431270975855</v>
      </c>
      <c r="S41" s="48">
        <v>5.6566909623114743</v>
      </c>
      <c r="T41" s="48">
        <v>2.0551678000452145</v>
      </c>
      <c r="U41" s="48">
        <v>4.6935499575755388</v>
      </c>
      <c r="V41" s="48">
        <v>4.6452082511019643</v>
      </c>
      <c r="W41" s="48">
        <v>4.5570865117629626</v>
      </c>
      <c r="X41" s="48">
        <v>9.7998084340094529</v>
      </c>
      <c r="Y41" s="48">
        <v>14.983292824484661</v>
      </c>
      <c r="Z41" s="48">
        <v>27.128327628336066</v>
      </c>
      <c r="AA41" s="48"/>
      <c r="AB41" s="48">
        <v>14.796551013580984</v>
      </c>
      <c r="AC41" s="48">
        <v>11.085291157881306</v>
      </c>
      <c r="AD41" s="48">
        <v>8.5867782141008941</v>
      </c>
      <c r="AE41" s="48">
        <v>7.3938024632347519</v>
      </c>
      <c r="AF41" s="48">
        <v>3.0383692742186952</v>
      </c>
      <c r="AG41" s="48">
        <v>0.83363931226442911</v>
      </c>
      <c r="AH41" s="48">
        <v>1.3799615510869145</v>
      </c>
      <c r="AI41" s="48">
        <v>0.90094260830658512</v>
      </c>
      <c r="AJ41" s="48">
        <v>2.1507611629971821</v>
      </c>
      <c r="AK41" s="48">
        <v>4.9619967016989452</v>
      </c>
      <c r="AL41" s="48">
        <v>9.8032241401960114</v>
      </c>
      <c r="AM41" s="38">
        <v>17.462178468868142</v>
      </c>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row>
    <row r="42" spans="1:131">
      <c r="A42" s="27" t="s">
        <v>838</v>
      </c>
      <c r="B42" s="27"/>
      <c r="C42" s="48">
        <v>185.82051227713686</v>
      </c>
      <c r="D42" s="48">
        <v>444.15989154479752</v>
      </c>
      <c r="E42" s="48">
        <v>88.831978308959506</v>
      </c>
      <c r="F42" s="48">
        <v>532.99186985375707</v>
      </c>
      <c r="G42" s="48">
        <v>384.97711152026545</v>
      </c>
      <c r="H42" s="48">
        <v>185.88423927219074</v>
      </c>
      <c r="I42" s="48">
        <v>25126.444452781659</v>
      </c>
      <c r="J42" s="48">
        <v>83.653067121763527</v>
      </c>
      <c r="K42" s="48">
        <v>117.58335406700746</v>
      </c>
      <c r="L42" s="50">
        <v>0.48284491131989199</v>
      </c>
      <c r="M42" s="48">
        <v>1.765313177763931</v>
      </c>
      <c r="N42" s="48">
        <v>9.0614503024016732E-2</v>
      </c>
      <c r="O42" s="48">
        <v>19.303215281902038</v>
      </c>
      <c r="P42" s="48">
        <v>14.083622126689626</v>
      </c>
      <c r="Q42" s="48">
        <v>12.761930928605381</v>
      </c>
      <c r="R42" s="48">
        <v>10.324894182397882</v>
      </c>
      <c r="S42" s="48">
        <v>4.6929765107923229</v>
      </c>
      <c r="T42" s="48">
        <v>1.7066662122795979</v>
      </c>
      <c r="U42" s="48">
        <v>3.9087198659924041</v>
      </c>
      <c r="V42" s="48">
        <v>3.8686585443214732</v>
      </c>
      <c r="W42" s="48">
        <v>3.7858180152309604</v>
      </c>
      <c r="X42" s="48">
        <v>8.1276941743686901</v>
      </c>
      <c r="Y42" s="48">
        <v>12.424821932688992</v>
      </c>
      <c r="Z42" s="48">
        <v>22.496032351641357</v>
      </c>
      <c r="AA42" s="48"/>
      <c r="AB42" s="48">
        <v>12.269967203822285</v>
      </c>
      <c r="AC42" s="48">
        <v>9.1924232091101921</v>
      </c>
      <c r="AD42" s="48">
        <v>7.1205436305264422</v>
      </c>
      <c r="AE42" s="48">
        <v>6.1313882057009703</v>
      </c>
      <c r="AF42" s="48">
        <v>2.5201083020347608</v>
      </c>
      <c r="AG42" s="48">
        <v>0.69173249057047315</v>
      </c>
      <c r="AH42" s="48">
        <v>1.1488610150369725</v>
      </c>
      <c r="AI42" s="48">
        <v>0.75005113774191323</v>
      </c>
      <c r="AJ42" s="48">
        <v>1.7856753509832128</v>
      </c>
      <c r="AK42" s="48">
        <v>4.1150104990043737</v>
      </c>
      <c r="AL42" s="48">
        <v>8.12927543597967</v>
      </c>
      <c r="AM42" s="38">
        <v>14.480425669714876</v>
      </c>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row>
    <row r="43" spans="1:131">
      <c r="A43" s="27" t="s">
        <v>845</v>
      </c>
      <c r="B43" s="27"/>
      <c r="C43" s="48">
        <v>590.32056679253151</v>
      </c>
      <c r="D43" s="48">
        <v>1388.7391906273035</v>
      </c>
      <c r="E43" s="48">
        <v>277.7478381254607</v>
      </c>
      <c r="F43" s="48">
        <v>1666.4870287527642</v>
      </c>
      <c r="G43" s="48">
        <v>1203.6944632781369</v>
      </c>
      <c r="H43" s="48">
        <v>566.29320185376207</v>
      </c>
      <c r="I43" s="48">
        <v>24729.659092167189</v>
      </c>
      <c r="J43" s="48">
        <v>84.244973483862424</v>
      </c>
      <c r="K43" s="48">
        <v>118.1826823416875</v>
      </c>
      <c r="L43" s="50">
        <v>0.47046257927574187</v>
      </c>
      <c r="M43" s="48">
        <v>5.6081298381936824</v>
      </c>
      <c r="N43" s="48">
        <v>0.2634319918938765</v>
      </c>
      <c r="O43" s="48">
        <v>56.117776757215175</v>
      </c>
      <c r="P43" s="48">
        <v>40.943519040557909</v>
      </c>
      <c r="Q43" s="48">
        <v>37.10113472722503</v>
      </c>
      <c r="R43" s="48">
        <v>30.395513749603996</v>
      </c>
      <c r="S43" s="48">
        <v>15.554529813017712</v>
      </c>
      <c r="T43" s="48">
        <v>7.0776580403153782</v>
      </c>
      <c r="U43" s="48">
        <v>25.842809978482613</v>
      </c>
      <c r="V43" s="48">
        <v>25.74882726261221</v>
      </c>
      <c r="W43" s="48">
        <v>16.998039291962147</v>
      </c>
      <c r="X43" s="48">
        <v>24.718882660242382</v>
      </c>
      <c r="Y43" s="48">
        <v>36.121100722557351</v>
      </c>
      <c r="Z43" s="48">
        <v>65.399846761078393</v>
      </c>
      <c r="AA43" s="48"/>
      <c r="AB43" s="48">
        <v>35.670911312273532</v>
      </c>
      <c r="AC43" s="48">
        <v>26.723960022884818</v>
      </c>
      <c r="AD43" s="48">
        <v>20.700648674966235</v>
      </c>
      <c r="AE43" s="48">
        <v>17.924213187420047</v>
      </c>
      <c r="AF43" s="48">
        <v>7.8104569316107435</v>
      </c>
      <c r="AG43" s="48">
        <v>2.3954305065027555</v>
      </c>
      <c r="AH43" s="48">
        <v>7.2913911782619518</v>
      </c>
      <c r="AI43" s="48">
        <v>4.7501626753169122</v>
      </c>
      <c r="AJ43" s="48">
        <v>7.0797561550603145</v>
      </c>
      <c r="AK43" s="48">
        <v>12.223695905638577</v>
      </c>
      <c r="AL43" s="48">
        <v>23.633206046348821</v>
      </c>
      <c r="AM43" s="38">
        <v>42.097095391376541</v>
      </c>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row>
    <row r="44" spans="1:131">
      <c r="A44" s="27" t="s">
        <v>874</v>
      </c>
      <c r="B44" s="27"/>
      <c r="C44" s="48">
        <v>638.75356520811931</v>
      </c>
      <c r="D44" s="48">
        <v>1655.6474837848516</v>
      </c>
      <c r="E44" s="48">
        <v>331.12949675697035</v>
      </c>
      <c r="F44" s="48">
        <v>1986.776980541822</v>
      </c>
      <c r="G44" s="48">
        <v>1435.0381431030262</v>
      </c>
      <c r="H44" s="48">
        <v>669.56039552253662</v>
      </c>
      <c r="I44" s="48">
        <v>27247.075081100673</v>
      </c>
      <c r="J44" s="48">
        <v>92.246508148166242</v>
      </c>
      <c r="K44" s="48">
        <v>126.93044494164164</v>
      </c>
      <c r="L44" s="50">
        <v>0.46658020815720341</v>
      </c>
      <c r="M44" s="48">
        <v>6.068212091118391</v>
      </c>
      <c r="N44" s="48">
        <v>0.32052429492895801</v>
      </c>
      <c r="O44" s="48">
        <v>68.279902903111193</v>
      </c>
      <c r="P44" s="48">
        <v>49.817003918309005</v>
      </c>
      <c r="Q44" s="48">
        <v>45.141878797692478</v>
      </c>
      <c r="R44" s="48">
        <v>36.381221315749407</v>
      </c>
      <c r="S44" s="48">
        <v>15.893123185294289</v>
      </c>
      <c r="T44" s="48">
        <v>5.2540803494419404</v>
      </c>
      <c r="U44" s="48">
        <v>8.4697353651526122</v>
      </c>
      <c r="V44" s="48">
        <v>8.3197124841957084</v>
      </c>
      <c r="W44" s="48">
        <v>11.174720146651484</v>
      </c>
      <c r="X44" s="48">
        <v>28.346201816820106</v>
      </c>
      <c r="Y44" s="48">
        <v>43.94944690628023</v>
      </c>
      <c r="Z44" s="48">
        <v>79.573629690357365</v>
      </c>
      <c r="AA44" s="48"/>
      <c r="AB44" s="48">
        <v>43.401690188205407</v>
      </c>
      <c r="AC44" s="48">
        <v>32.515710724669681</v>
      </c>
      <c r="AD44" s="48">
        <v>25.186997119881148</v>
      </c>
      <c r="AE44" s="48">
        <v>21.651427244206289</v>
      </c>
      <c r="AF44" s="48">
        <v>8.7351335369432732</v>
      </c>
      <c r="AG44" s="48">
        <v>2.3046013713123408</v>
      </c>
      <c r="AH44" s="48">
        <v>2.6020490120295245</v>
      </c>
      <c r="AI44" s="48">
        <v>1.7025345411095871</v>
      </c>
      <c r="AJ44" s="48">
        <v>5.6177465980755832</v>
      </c>
      <c r="AK44" s="48">
        <v>14.459315830069855</v>
      </c>
      <c r="AL44" s="48">
        <v>28.755113038694009</v>
      </c>
      <c r="AM44" s="38">
        <v>51.220589123866787</v>
      </c>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row>
    <row r="45" spans="1:131">
      <c r="A45" s="27" t="s">
        <v>847</v>
      </c>
      <c r="B45" s="27"/>
      <c r="C45" s="48">
        <v>681.56344540520035</v>
      </c>
      <c r="D45" s="48">
        <v>1635.52300175959</v>
      </c>
      <c r="E45" s="48">
        <v>327.10460035191801</v>
      </c>
      <c r="F45" s="48">
        <v>1962.6276021115079</v>
      </c>
      <c r="G45" s="48">
        <v>1417.5951791875295</v>
      </c>
      <c r="H45" s="48">
        <v>660.21905439626119</v>
      </c>
      <c r="I45" s="48">
        <v>25225.263928694891</v>
      </c>
      <c r="J45" s="48">
        <v>86.074174977275945</v>
      </c>
      <c r="K45" s="48">
        <v>120.50107493823872</v>
      </c>
      <c r="L45" s="50">
        <v>0.46573172940292762</v>
      </c>
      <c r="M45" s="48">
        <v>6.4749455010787003</v>
      </c>
      <c r="N45" s="48">
        <v>0.30855389378615189</v>
      </c>
      <c r="O45" s="48">
        <v>65.729900171108454</v>
      </c>
      <c r="P45" s="48">
        <v>47.956522419497574</v>
      </c>
      <c r="Q45" s="48">
        <v>43.455995992246848</v>
      </c>
      <c r="R45" s="48">
        <v>35.52709817722841</v>
      </c>
      <c r="S45" s="48">
        <v>17.842318834909285</v>
      </c>
      <c r="T45" s="48">
        <v>7.8731377837971666</v>
      </c>
      <c r="U45" s="48">
        <v>27.41719534400594</v>
      </c>
      <c r="V45" s="48">
        <v>27.302686335262546</v>
      </c>
      <c r="W45" s="48">
        <v>18.729269123861744</v>
      </c>
      <c r="X45" s="48">
        <v>28.738095527888426</v>
      </c>
      <c r="Y45" s="48">
        <v>42.30809703734365</v>
      </c>
      <c r="Z45" s="48">
        <v>76.601847885194019</v>
      </c>
      <c r="AA45" s="48"/>
      <c r="AB45" s="48">
        <v>41.780797013964857</v>
      </c>
      <c r="AC45" s="48">
        <v>31.301368763777106</v>
      </c>
      <c r="AD45" s="48">
        <v>24.246355602599266</v>
      </c>
      <c r="AE45" s="48">
        <v>20.974816981047038</v>
      </c>
      <c r="AF45" s="48">
        <v>9.0529205303484126</v>
      </c>
      <c r="AG45" s="48">
        <v>2.730005407150899</v>
      </c>
      <c r="AH45" s="48">
        <v>7.7619584953855512</v>
      </c>
      <c r="AI45" s="48">
        <v>5.0576398790412238</v>
      </c>
      <c r="AJ45" s="48">
        <v>7.9204257957550253</v>
      </c>
      <c r="AK45" s="48">
        <v>14.266087871412727</v>
      </c>
      <c r="AL45" s="48">
        <v>27.681215541918625</v>
      </c>
      <c r="AM45" s="38">
        <v>49.307688890455658</v>
      </c>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row>
    <row r="46" spans="1:131">
      <c r="A46" s="27" t="s">
        <v>859</v>
      </c>
      <c r="B46" s="27"/>
      <c r="C46" s="48">
        <v>439.06031889213284</v>
      </c>
      <c r="D46" s="48">
        <v>1370.7558864868229</v>
      </c>
      <c r="E46" s="48">
        <v>274.1511772973646</v>
      </c>
      <c r="F46" s="48">
        <v>1644.9070637841874</v>
      </c>
      <c r="G46" s="48">
        <v>1188.1073726484233</v>
      </c>
      <c r="H46" s="48">
        <v>422.47853922372718</v>
      </c>
      <c r="I46" s="48">
        <v>32818.693147010497</v>
      </c>
      <c r="J46" s="48">
        <v>119.75274828506343</v>
      </c>
      <c r="K46" s="48">
        <v>167.04548665953993</v>
      </c>
      <c r="L46" s="50">
        <v>0.35558952747004302</v>
      </c>
      <c r="M46" s="48">
        <v>4.1711330470216472</v>
      </c>
      <c r="N46" s="48">
        <v>0.19853142158497575</v>
      </c>
      <c r="O46" s="48">
        <v>42.292289238303461</v>
      </c>
      <c r="P46" s="48">
        <v>30.856446027588319</v>
      </c>
      <c r="Q46" s="48">
        <v>27.960692878862574</v>
      </c>
      <c r="R46" s="48">
        <v>22.863012580170142</v>
      </c>
      <c r="S46" s="48">
        <v>11.500228817519057</v>
      </c>
      <c r="T46" s="48">
        <v>5.0879507409106015</v>
      </c>
      <c r="U46" s="48">
        <v>17.792645947224841</v>
      </c>
      <c r="V46" s="48">
        <v>17.719203524574841</v>
      </c>
      <c r="W46" s="48">
        <v>12.113676147764989</v>
      </c>
      <c r="X46" s="48">
        <v>18.502246032939613</v>
      </c>
      <c r="Y46" s="48">
        <v>27.222105500960982</v>
      </c>
      <c r="Z46" s="48">
        <v>49.287576864039487</v>
      </c>
      <c r="AA46" s="48"/>
      <c r="AB46" s="48">
        <v>26.882827257025625</v>
      </c>
      <c r="AC46" s="48">
        <v>20.14009663587375</v>
      </c>
      <c r="AD46" s="48">
        <v>15.600721763618573</v>
      </c>
      <c r="AE46" s="48">
        <v>13.496770206491167</v>
      </c>
      <c r="AF46" s="48">
        <v>5.8299516443180224</v>
      </c>
      <c r="AG46" s="48">
        <v>1.7605833582852941</v>
      </c>
      <c r="AH46" s="48">
        <v>5.0356473223544951</v>
      </c>
      <c r="AI46" s="48">
        <v>3.2811403743270882</v>
      </c>
      <c r="AJ46" s="48">
        <v>5.115992164496018</v>
      </c>
      <c r="AK46" s="48">
        <v>9.1818949753947372</v>
      </c>
      <c r="AL46" s="48">
        <v>17.810797994810059</v>
      </c>
      <c r="AM46" s="38">
        <v>31.725820894279121</v>
      </c>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row>
    <row r="47" spans="1:131">
      <c r="A47" s="27" t="s">
        <v>861</v>
      </c>
      <c r="B47" s="27"/>
      <c r="C47" s="48">
        <v>507.58277006475492</v>
      </c>
      <c r="D47" s="48">
        <v>1614.3440015787794</v>
      </c>
      <c r="E47" s="48">
        <v>322.86880031575589</v>
      </c>
      <c r="F47" s="48">
        <v>1937.2128018945352</v>
      </c>
      <c r="G47" s="48">
        <v>1399.2382080388338</v>
      </c>
      <c r="H47" s="48">
        <v>493.11798834983318</v>
      </c>
      <c r="I47" s="48">
        <v>33432.939700516588</v>
      </c>
      <c r="J47" s="48">
        <v>122.15001903295359</v>
      </c>
      <c r="K47" s="48">
        <v>170.09200247778341</v>
      </c>
      <c r="L47" s="50">
        <v>0.35241889873846799</v>
      </c>
      <c r="M47" s="48">
        <v>4.8221025788877299</v>
      </c>
      <c r="N47" s="48">
        <v>0.23241708303730066</v>
      </c>
      <c r="O47" s="48">
        <v>49.51080499632193</v>
      </c>
      <c r="P47" s="48">
        <v>36.123073724933739</v>
      </c>
      <c r="Q47" s="48">
        <v>32.73306878440674</v>
      </c>
      <c r="R47" s="48">
        <v>26.716738002665327</v>
      </c>
      <c r="S47" s="48">
        <v>13.218345549303066</v>
      </c>
      <c r="T47" s="48">
        <v>5.6853759809485176</v>
      </c>
      <c r="U47" s="48">
        <v>18.975221924733152</v>
      </c>
      <c r="V47" s="48">
        <v>18.886365037683277</v>
      </c>
      <c r="W47" s="48">
        <v>13.413896496495422</v>
      </c>
      <c r="X47" s="48">
        <v>21.520614235064208</v>
      </c>
      <c r="Y47" s="48">
        <v>31.868418128255659</v>
      </c>
      <c r="Z47" s="48">
        <v>57.700059533466337</v>
      </c>
      <c r="AA47" s="48"/>
      <c r="AB47" s="48">
        <v>31.471231329491303</v>
      </c>
      <c r="AC47" s="48">
        <v>23.57764063153903</v>
      </c>
      <c r="AD47" s="48">
        <v>18.263477975574808</v>
      </c>
      <c r="AE47" s="48">
        <v>15.787715364525694</v>
      </c>
      <c r="AF47" s="48">
        <v>6.7630255273351381</v>
      </c>
      <c r="AG47" s="48">
        <v>2.0118489981177272</v>
      </c>
      <c r="AH47" s="48">
        <v>5.3891005831228744</v>
      </c>
      <c r="AI47" s="48">
        <v>3.5120929263606242</v>
      </c>
      <c r="AJ47" s="48">
        <v>5.7473503014972769</v>
      </c>
      <c r="AK47" s="48">
        <v>10.715695582133566</v>
      </c>
      <c r="AL47" s="48">
        <v>20.850773562554416</v>
      </c>
      <c r="AM47" s="38">
        <v>37.140834888225129</v>
      </c>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row>
    <row r="48" spans="1:131">
      <c r="A48" s="27" t="s">
        <v>887</v>
      </c>
      <c r="B48" s="27"/>
      <c r="C48" s="48">
        <v>437.59839445869</v>
      </c>
      <c r="D48" s="48">
        <v>1423.5624999793488</v>
      </c>
      <c r="E48" s="48">
        <v>284.71249999586979</v>
      </c>
      <c r="F48" s="48">
        <v>1708.2749999752186</v>
      </c>
      <c r="G48" s="48">
        <v>1233.8776862641209</v>
      </c>
      <c r="H48" s="48">
        <v>426.20018324728534</v>
      </c>
      <c r="I48" s="48">
        <v>34196.855357054075</v>
      </c>
      <c r="J48" s="48">
        <v>125.62857343970386</v>
      </c>
      <c r="K48" s="48">
        <v>174.54591942439049</v>
      </c>
      <c r="L48" s="50">
        <v>0.34541526116556576</v>
      </c>
      <c r="M48" s="48">
        <v>4.157242649589274</v>
      </c>
      <c r="N48" s="48">
        <v>0.19965122834119201</v>
      </c>
      <c r="O48" s="48">
        <v>42.530836823601611</v>
      </c>
      <c r="P48" s="48">
        <v>31.030490299566324</v>
      </c>
      <c r="Q48" s="48">
        <v>28.118403797085342</v>
      </c>
      <c r="R48" s="48">
        <v>22.96216070254015</v>
      </c>
      <c r="S48" s="48">
        <v>11.414875394638457</v>
      </c>
      <c r="T48" s="48">
        <v>4.9503285313814569</v>
      </c>
      <c r="U48" s="48">
        <v>16.754942340398774</v>
      </c>
      <c r="V48" s="48">
        <v>16.679318587873169</v>
      </c>
      <c r="W48" s="48">
        <v>11.711041067622972</v>
      </c>
      <c r="X48" s="48">
        <v>18.5209134612398</v>
      </c>
      <c r="Y48" s="48">
        <v>27.375650453266481</v>
      </c>
      <c r="Z48" s="48">
        <v>49.565581026449898</v>
      </c>
      <c r="AA48" s="48"/>
      <c r="AB48" s="48">
        <v>27.034458527019464</v>
      </c>
      <c r="AC48" s="48">
        <v>20.253695864165412</v>
      </c>
      <c r="AD48" s="48">
        <v>15.688716870354222</v>
      </c>
      <c r="AE48" s="48">
        <v>13.565100348953774</v>
      </c>
      <c r="AF48" s="48">
        <v>5.8247883596699763</v>
      </c>
      <c r="AG48" s="48">
        <v>1.7402971567569372</v>
      </c>
      <c r="AH48" s="48">
        <v>4.7534733247106438</v>
      </c>
      <c r="AI48" s="48">
        <v>3.0976787342833823</v>
      </c>
      <c r="AJ48" s="48">
        <v>4.9964166933627521</v>
      </c>
      <c r="AK48" s="48">
        <v>9.213198332909176</v>
      </c>
      <c r="AL48" s="48">
        <v>17.911258928242976</v>
      </c>
      <c r="AM48" s="38">
        <v>31.904768832596854</v>
      </c>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row>
    <row r="49" spans="1:131">
      <c r="A49" s="27" t="s">
        <v>864</v>
      </c>
      <c r="B49" s="27"/>
      <c r="C49" s="48">
        <v>152.20883549304395</v>
      </c>
      <c r="D49" s="48">
        <v>511.13785022512633</v>
      </c>
      <c r="E49" s="48">
        <v>102.22757004502527</v>
      </c>
      <c r="F49" s="48">
        <v>613.36542027015162</v>
      </c>
      <c r="G49" s="48">
        <v>443.03048725078446</v>
      </c>
      <c r="H49" s="48">
        <v>152.99358277568479</v>
      </c>
      <c r="I49" s="48">
        <v>35300.717360866227</v>
      </c>
      <c r="J49" s="48">
        <v>128.89047308167832</v>
      </c>
      <c r="K49" s="48">
        <v>178.95655386408794</v>
      </c>
      <c r="L49" s="50">
        <v>0.34533420876988163</v>
      </c>
      <c r="M49" s="48">
        <v>1.445999378465803</v>
      </c>
      <c r="N49" s="48">
        <v>7.3812699729113154E-2</v>
      </c>
      <c r="O49" s="48">
        <v>15.72399986602392</v>
      </c>
      <c r="P49" s="48">
        <v>11.472227253292003</v>
      </c>
      <c r="Q49" s="48">
        <v>10.395604943583507</v>
      </c>
      <c r="R49" s="48">
        <v>8.4168280114626182</v>
      </c>
      <c r="S49" s="48">
        <v>3.8549664812743232</v>
      </c>
      <c r="T49" s="48">
        <v>1.4258273362265441</v>
      </c>
      <c r="U49" s="48">
        <v>3.4276427662532378</v>
      </c>
      <c r="V49" s="48">
        <v>3.395388007557798</v>
      </c>
      <c r="W49" s="48">
        <v>3.1846907566821945</v>
      </c>
      <c r="X49" s="48">
        <v>6.6390001475157474</v>
      </c>
      <c r="Y49" s="48">
        <v>10.121002928882129</v>
      </c>
      <c r="Z49" s="48">
        <v>18.324802605031302</v>
      </c>
      <c r="AA49" s="48"/>
      <c r="AB49" s="48">
        <v>9.9948614700425651</v>
      </c>
      <c r="AC49" s="48">
        <v>7.4879577934356156</v>
      </c>
      <c r="AD49" s="48">
        <v>5.8002475472253536</v>
      </c>
      <c r="AE49" s="48">
        <v>4.9961716393544142</v>
      </c>
      <c r="AF49" s="48">
        <v>2.0609746335312193</v>
      </c>
      <c r="AG49" s="48">
        <v>0.56994093601377638</v>
      </c>
      <c r="AH49" s="48">
        <v>1.0023388376842508</v>
      </c>
      <c r="AI49" s="48">
        <v>0.65422143313319991</v>
      </c>
      <c r="AJ49" s="48">
        <v>1.4863562679772697</v>
      </c>
      <c r="AK49" s="48">
        <v>3.3563890101079963</v>
      </c>
      <c r="AL49" s="48">
        <v>6.6219396095146639</v>
      </c>
      <c r="AM49" s="38">
        <v>11.795455211238293</v>
      </c>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row>
    <row r="50" spans="1:131">
      <c r="A50" s="27" t="s">
        <v>881</v>
      </c>
      <c r="B50" s="27"/>
      <c r="C50" s="48">
        <v>160.0762961366737</v>
      </c>
      <c r="D50" s="48">
        <v>540.94446756176649</v>
      </c>
      <c r="E50" s="48">
        <v>108.1888935123533</v>
      </c>
      <c r="F50" s="48">
        <v>649.13336107411976</v>
      </c>
      <c r="G50" s="48">
        <v>468.86547520194711</v>
      </c>
      <c r="H50" s="48">
        <v>161.12731601700136</v>
      </c>
      <c r="I50" s="48">
        <v>35523.112292367223</v>
      </c>
      <c r="J50" s="48">
        <v>129.62275223133949</v>
      </c>
      <c r="K50" s="48">
        <v>180.20354833551988</v>
      </c>
      <c r="L50" s="50">
        <v>0.34365361609873601</v>
      </c>
      <c r="M50" s="48">
        <v>1.5207402848970255</v>
      </c>
      <c r="N50" s="48">
        <v>7.8341830715264196E-2</v>
      </c>
      <c r="O50" s="48">
        <v>16.688821032040082</v>
      </c>
      <c r="P50" s="48">
        <v>12.176160588933939</v>
      </c>
      <c r="Q50" s="48">
        <v>11.033476971602537</v>
      </c>
      <c r="R50" s="48">
        <v>8.9221409801725979</v>
      </c>
      <c r="S50" s="48">
        <v>4.0353596089424535</v>
      </c>
      <c r="T50" s="48">
        <v>1.451151182047226</v>
      </c>
      <c r="U50" s="48">
        <v>3.2125956955481865</v>
      </c>
      <c r="V50" s="48">
        <v>3.1777013208144367</v>
      </c>
      <c r="W50" s="48">
        <v>3.2040742370570001</v>
      </c>
      <c r="X50" s="48">
        <v>7.0143385706911845</v>
      </c>
      <c r="Y50" s="48">
        <v>10.742025437804745</v>
      </c>
      <c r="Z50" s="48">
        <v>19.449208453864028</v>
      </c>
      <c r="AA50" s="48"/>
      <c r="AB50" s="48">
        <v>10.608143966853914</v>
      </c>
      <c r="AC50" s="48">
        <v>7.947417233202783</v>
      </c>
      <c r="AD50" s="48">
        <v>6.1561494582771656</v>
      </c>
      <c r="AE50" s="48">
        <v>5.2998211209815791</v>
      </c>
      <c r="AF50" s="48">
        <v>2.1732150494836979</v>
      </c>
      <c r="AG50" s="48">
        <v>0.59361848189749722</v>
      </c>
      <c r="AH50" s="48">
        <v>0.94775955778311238</v>
      </c>
      <c r="AI50" s="48">
        <v>0.6188757009368292</v>
      </c>
      <c r="AJ50" s="48">
        <v>1.522080257027193</v>
      </c>
      <c r="AK50" s="48">
        <v>3.5546791231776198</v>
      </c>
      <c r="AL50" s="48">
        <v>7.0282603643975055</v>
      </c>
      <c r="AM50" s="38">
        <v>12.519221743136395</v>
      </c>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row>
    <row r="51" spans="1:131">
      <c r="A51" s="27" t="s">
        <v>889</v>
      </c>
      <c r="B51" s="27"/>
      <c r="C51" s="48">
        <v>506.57122802411897</v>
      </c>
      <c r="D51" s="48">
        <v>1676.5345349740685</v>
      </c>
      <c r="E51" s="48">
        <v>335.30690699481374</v>
      </c>
      <c r="F51" s="48">
        <v>2011.8414419688822</v>
      </c>
      <c r="G51" s="48">
        <v>1453.1420664605221</v>
      </c>
      <c r="H51" s="48">
        <v>498.14181656570742</v>
      </c>
      <c r="I51" s="48">
        <v>34790.232955765707</v>
      </c>
      <c r="J51" s="48">
        <v>127.94904267394971</v>
      </c>
      <c r="K51" s="48">
        <v>177.4555820264554</v>
      </c>
      <c r="L51" s="50">
        <v>0.34280324550720076</v>
      </c>
      <c r="M51" s="48">
        <v>4.8124907304658384</v>
      </c>
      <c r="N51" s="48">
        <v>0.23387561594000897</v>
      </c>
      <c r="O51" s="48">
        <v>49.821509946160411</v>
      </c>
      <c r="P51" s="48">
        <v>36.349763996088711</v>
      </c>
      <c r="Q51" s="48">
        <v>32.938485086877968</v>
      </c>
      <c r="R51" s="48">
        <v>26.852633038716654</v>
      </c>
      <c r="S51" s="48">
        <v>13.141219358659573</v>
      </c>
      <c r="T51" s="48">
        <v>5.5438194253125328</v>
      </c>
      <c r="U51" s="48">
        <v>17.881554855640751</v>
      </c>
      <c r="V51" s="48">
        <v>17.790257303427932</v>
      </c>
      <c r="W51" s="48">
        <v>12.996207438106888</v>
      </c>
      <c r="X51" s="48">
        <v>21.56434968705581</v>
      </c>
      <c r="Y51" s="48">
        <v>32.068408317401378</v>
      </c>
      <c r="Z51" s="48">
        <v>58.062156132468409</v>
      </c>
      <c r="AA51" s="48"/>
      <c r="AB51" s="48">
        <v>31.668728973739082</v>
      </c>
      <c r="AC51" s="48">
        <v>23.7256020644076</v>
      </c>
      <c r="AD51" s="48">
        <v>18.378090392171522</v>
      </c>
      <c r="AE51" s="48">
        <v>15.878481693599312</v>
      </c>
      <c r="AF51" s="48">
        <v>6.7649232626953726</v>
      </c>
      <c r="AG51" s="48">
        <v>1.9922747349644436</v>
      </c>
      <c r="AH51" s="48">
        <v>5.0919613116892304</v>
      </c>
      <c r="AI51" s="48">
        <v>3.3189103643989286</v>
      </c>
      <c r="AJ51" s="48">
        <v>5.6252451524480342</v>
      </c>
      <c r="AK51" s="48">
        <v>10.761110823705804</v>
      </c>
      <c r="AL51" s="48">
        <v>20.981622547020095</v>
      </c>
      <c r="AM51" s="38">
        <v>37.373912117362536</v>
      </c>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row>
    <row r="52" spans="1:131">
      <c r="A52" s="27" t="s">
        <v>853</v>
      </c>
      <c r="B52" s="27"/>
      <c r="C52" s="48">
        <v>154.79735270397916</v>
      </c>
      <c r="D52" s="48">
        <v>520.87829876350941</v>
      </c>
      <c r="E52" s="48">
        <v>104.17565975270189</v>
      </c>
      <c r="F52" s="48">
        <v>625.05395851621131</v>
      </c>
      <c r="G52" s="48">
        <v>451.47305447624109</v>
      </c>
      <c r="H52" s="48">
        <v>154.18219675314808</v>
      </c>
      <c r="I52" s="48">
        <v>35371.875429115527</v>
      </c>
      <c r="J52" s="48">
        <v>129.13225972230339</v>
      </c>
      <c r="K52" s="48">
        <v>180.06047621908655</v>
      </c>
      <c r="L52" s="50">
        <v>0.34150918914090356</v>
      </c>
      <c r="M52" s="48">
        <v>1.4705903389464006</v>
      </c>
      <c r="N52" s="48">
        <v>7.5268453028015742E-2</v>
      </c>
      <c r="O52" s="48">
        <v>16.034112688897405</v>
      </c>
      <c r="P52" s="48">
        <v>11.698485508728133</v>
      </c>
      <c r="Q52" s="48">
        <v>10.600629773270652</v>
      </c>
      <c r="R52" s="48">
        <v>8.5796980107794063</v>
      </c>
      <c r="S52" s="48">
        <v>3.9152277388127064</v>
      </c>
      <c r="T52" s="48">
        <v>1.436490520908263</v>
      </c>
      <c r="U52" s="48">
        <v>3.3757902379558558</v>
      </c>
      <c r="V52" s="48">
        <v>3.3427138659225704</v>
      </c>
      <c r="W52" s="48">
        <v>3.1980669316852413</v>
      </c>
      <c r="X52" s="48">
        <v>6.7609416600723877</v>
      </c>
      <c r="Y52" s="48">
        <v>10.320611986076818</v>
      </c>
      <c r="Z52" s="48">
        <v>18.686209137266449</v>
      </c>
      <c r="AA52" s="48"/>
      <c r="AB52" s="48">
        <v>10.191982732514829</v>
      </c>
      <c r="AC52" s="48">
        <v>7.6356372483240254</v>
      </c>
      <c r="AD52" s="48">
        <v>5.9146415408377377</v>
      </c>
      <c r="AE52" s="48">
        <v>5.0938889724190561</v>
      </c>
      <c r="AF52" s="48">
        <v>2.0976282360175946</v>
      </c>
      <c r="AG52" s="48">
        <v>0.57800985292919593</v>
      </c>
      <c r="AH52" s="48">
        <v>0.98950837817540049</v>
      </c>
      <c r="AI52" s="48">
        <v>0.64592509469353399</v>
      </c>
      <c r="AJ52" s="48">
        <v>1.5000908420959298</v>
      </c>
      <c r="AK52" s="48">
        <v>3.4204342648008286</v>
      </c>
      <c r="AL52" s="48">
        <v>6.7525392281041805</v>
      </c>
      <c r="AM52" s="38">
        <v>12.028088252690987</v>
      </c>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row>
    <row r="53" spans="1:131">
      <c r="A53" s="27" t="s">
        <v>880</v>
      </c>
      <c r="B53" s="27"/>
      <c r="C53" s="48">
        <v>132.85764643621707</v>
      </c>
      <c r="D53" s="48">
        <v>455.29741643746559</v>
      </c>
      <c r="E53" s="48">
        <v>91.059483287493123</v>
      </c>
      <c r="F53" s="48">
        <v>546.35689972495868</v>
      </c>
      <c r="G53" s="48">
        <v>394.63059947423562</v>
      </c>
      <c r="H53" s="48">
        <v>133.56698892519387</v>
      </c>
      <c r="I53" s="48">
        <v>36024.170004308828</v>
      </c>
      <c r="J53" s="48">
        <v>131.84772788645472</v>
      </c>
      <c r="K53" s="48">
        <v>183.33374014386877</v>
      </c>
      <c r="L53" s="50">
        <v>0.3384608013244399</v>
      </c>
      <c r="M53" s="48">
        <v>1.2621604938511459</v>
      </c>
      <c r="N53" s="48">
        <v>6.5009942246611968E-2</v>
      </c>
      <c r="O53" s="48">
        <v>13.848786549298474</v>
      </c>
      <c r="P53" s="48">
        <v>10.104071981021979</v>
      </c>
      <c r="Q53" s="48">
        <v>9.1558455317466478</v>
      </c>
      <c r="R53" s="48">
        <v>7.4039780466925933</v>
      </c>
      <c r="S53" s="48">
        <v>3.3494959358666878</v>
      </c>
      <c r="T53" s="48">
        <v>1.2051492689005132</v>
      </c>
      <c r="U53" s="48">
        <v>2.6723829888208122</v>
      </c>
      <c r="V53" s="48">
        <v>2.6434368769158696</v>
      </c>
      <c r="W53" s="48">
        <v>2.6615053491927263</v>
      </c>
      <c r="X53" s="48">
        <v>5.8211564159959375</v>
      </c>
      <c r="Y53" s="48">
        <v>8.9139920135573014</v>
      </c>
      <c r="Z53" s="48">
        <v>16.139422665823179</v>
      </c>
      <c r="AA53" s="48"/>
      <c r="AB53" s="48">
        <v>8.8028939371536676</v>
      </c>
      <c r="AC53" s="48">
        <v>6.5949586654167227</v>
      </c>
      <c r="AD53" s="48">
        <v>5.1085214257845095</v>
      </c>
      <c r="AE53" s="48">
        <v>4.3979639924201512</v>
      </c>
      <c r="AF53" s="48">
        <v>1.8036033948656929</v>
      </c>
      <c r="AG53" s="48">
        <v>0.49277135554978585</v>
      </c>
      <c r="AH53" s="48">
        <v>0.78824584476951431</v>
      </c>
      <c r="AI53" s="48">
        <v>0.51471038487329379</v>
      </c>
      <c r="AJ53" s="48">
        <v>1.2639058592659598</v>
      </c>
      <c r="AK53" s="48">
        <v>2.9498754363867401</v>
      </c>
      <c r="AL53" s="48">
        <v>5.8322201078536917</v>
      </c>
      <c r="AM53" s="38">
        <v>10.388752408044633</v>
      </c>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row>
    <row r="54" spans="1:131">
      <c r="A54" s="27" t="s">
        <v>852</v>
      </c>
      <c r="B54" s="27"/>
      <c r="C54" s="48">
        <v>128.47289430492631</v>
      </c>
      <c r="D54" s="48">
        <v>438.40829868232129</v>
      </c>
      <c r="E54" s="48">
        <v>87.681659736464269</v>
      </c>
      <c r="F54" s="48">
        <v>526.0899584187855</v>
      </c>
      <c r="G54" s="48">
        <v>379.99189865213475</v>
      </c>
      <c r="H54" s="48">
        <v>127.8143546274425</v>
      </c>
      <c r="I54" s="48">
        <v>35871.753809876187</v>
      </c>
      <c r="J54" s="48">
        <v>131.352641590129</v>
      </c>
      <c r="K54" s="48">
        <v>183.17801518961477</v>
      </c>
      <c r="L54" s="50">
        <v>0.33636073579676684</v>
      </c>
      <c r="M54" s="48">
        <v>1.220505363237133</v>
      </c>
      <c r="N54" s="48">
        <v>6.2456419423885523E-2</v>
      </c>
      <c r="O54" s="48">
        <v>13.304820637337622</v>
      </c>
      <c r="P54" s="48">
        <v>9.7071945571329437</v>
      </c>
      <c r="Q54" s="48">
        <v>8.7962134551946747</v>
      </c>
      <c r="R54" s="48">
        <v>7.1194681412899321</v>
      </c>
      <c r="S54" s="48">
        <v>3.2497325393714145</v>
      </c>
      <c r="T54" s="48">
        <v>1.1930220574890353</v>
      </c>
      <c r="U54" s="48">
        <v>2.8083405269943138</v>
      </c>
      <c r="V54" s="48">
        <v>2.780905476574421</v>
      </c>
      <c r="W54" s="48">
        <v>2.6566660334095333</v>
      </c>
      <c r="X54" s="48">
        <v>5.6106486510066045</v>
      </c>
      <c r="Y54" s="48">
        <v>8.5638596913061438</v>
      </c>
      <c r="Z54" s="48">
        <v>15.505482952933253</v>
      </c>
      <c r="AA54" s="48"/>
      <c r="AB54" s="48">
        <v>8.4571254316335196</v>
      </c>
      <c r="AC54" s="48">
        <v>6.3359155577764179</v>
      </c>
      <c r="AD54" s="48">
        <v>4.9078640247727803</v>
      </c>
      <c r="AE54" s="48">
        <v>4.2268673141511242</v>
      </c>
      <c r="AF54" s="48">
        <v>1.7408141881275352</v>
      </c>
      <c r="AG54" s="48">
        <v>0.47981263451678619</v>
      </c>
      <c r="AH54" s="48">
        <v>0.82303309645005041</v>
      </c>
      <c r="AI54" s="48">
        <v>0.53724956239363364</v>
      </c>
      <c r="AJ54" s="48">
        <v>1.2456837677476147</v>
      </c>
      <c r="AK54" s="48">
        <v>2.8383443974842621</v>
      </c>
      <c r="AL54" s="48">
        <v>5.6031365763520986</v>
      </c>
      <c r="AM54" s="38">
        <v>9.9806930334806001</v>
      </c>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row>
    <row r="55" spans="1:131">
      <c r="A55" s="27" t="s">
        <v>865</v>
      </c>
      <c r="B55" s="27"/>
      <c r="C55" s="48">
        <v>165.03918128276874</v>
      </c>
      <c r="D55" s="48">
        <v>595.71787033770602</v>
      </c>
      <c r="E55" s="48">
        <v>119.14357406754121</v>
      </c>
      <c r="F55" s="48">
        <v>714.8614444052472</v>
      </c>
      <c r="G55" s="48">
        <v>516.34051018423236</v>
      </c>
      <c r="H55" s="48">
        <v>166.09722695520765</v>
      </c>
      <c r="I55" s="48">
        <v>37943.633774216876</v>
      </c>
      <c r="J55" s="48">
        <v>140.59797180965288</v>
      </c>
      <c r="K55" s="48">
        <v>194.89902724657949</v>
      </c>
      <c r="L55" s="50">
        <v>0.32168157190677038</v>
      </c>
      <c r="M55" s="48">
        <v>1.5678889534071376</v>
      </c>
      <c r="N55" s="48">
        <v>8.004554720630265E-2</v>
      </c>
      <c r="O55" s="48">
        <v>17.051756380227395</v>
      </c>
      <c r="P55" s="48">
        <v>12.440958148596497</v>
      </c>
      <c r="Q55" s="48">
        <v>11.273424347077254</v>
      </c>
      <c r="R55" s="48">
        <v>9.1273873274307764</v>
      </c>
      <c r="S55" s="48">
        <v>4.1796315802775021</v>
      </c>
      <c r="T55" s="48">
        <v>1.5452810371822376</v>
      </c>
      <c r="U55" s="48">
        <v>3.7106104346490731</v>
      </c>
      <c r="V55" s="48">
        <v>3.6756219972631001</v>
      </c>
      <c r="W55" s="48">
        <v>3.4509341552763861</v>
      </c>
      <c r="X55" s="48">
        <v>7.199119622648376</v>
      </c>
      <c r="Y55" s="48">
        <v>10.975634554651393</v>
      </c>
      <c r="Z55" s="48">
        <v>19.87217453568724</v>
      </c>
      <c r="AA55" s="48"/>
      <c r="AB55" s="48">
        <v>10.83884153481511</v>
      </c>
      <c r="AC55" s="48">
        <v>8.1202514097563387</v>
      </c>
      <c r="AD55" s="48">
        <v>6.290028552722692</v>
      </c>
      <c r="AE55" s="48">
        <v>5.418011039728345</v>
      </c>
      <c r="AF55" s="48">
        <v>2.2347900015563615</v>
      </c>
      <c r="AG55" s="48">
        <v>0.61789583222115696</v>
      </c>
      <c r="AH55" s="48">
        <v>1.0852128091027504</v>
      </c>
      <c r="AI55" s="48">
        <v>0.70831707539930233</v>
      </c>
      <c r="AJ55" s="48">
        <v>1.61102277201879</v>
      </c>
      <c r="AK55" s="48">
        <v>3.639690767030284</v>
      </c>
      <c r="AL55" s="48">
        <v>7.1811054406078956</v>
      </c>
      <c r="AM55" s="38">
        <v>12.791479926842497</v>
      </c>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row>
    <row r="56" spans="1:131">
      <c r="A56" s="27" t="s">
        <v>893</v>
      </c>
      <c r="B56" s="27"/>
      <c r="C56" s="48">
        <v>243.51386470524091</v>
      </c>
      <c r="D56" s="48">
        <v>562.51108736151139</v>
      </c>
      <c r="E56" s="48">
        <v>112.50221747230228</v>
      </c>
      <c r="F56" s="48">
        <v>675.01330483381366</v>
      </c>
      <c r="G56" s="48">
        <v>811.6385766364325</v>
      </c>
      <c r="H56" s="48">
        <v>259.79972535707776</v>
      </c>
      <c r="I56" s="48">
        <v>24282.463577594175</v>
      </c>
      <c r="J56" s="48">
        <v>116.81924159911102</v>
      </c>
      <c r="K56" s="48">
        <v>205.50305810789797</v>
      </c>
      <c r="L56" s="50">
        <v>0.32009287487754928</v>
      </c>
      <c r="M56" s="48">
        <v>2.3133978284992556</v>
      </c>
      <c r="N56" s="48">
        <v>0.1260769360878535</v>
      </c>
      <c r="O56" s="48">
        <v>26.857623870004648</v>
      </c>
      <c r="P56" s="48">
        <v>19.595317167733203</v>
      </c>
      <c r="Q56" s="48">
        <v>17.756375594941257</v>
      </c>
      <c r="R56" s="48">
        <v>14.251843661182113</v>
      </c>
      <c r="S56" s="48">
        <v>5.9563797241113372</v>
      </c>
      <c r="T56" s="48">
        <v>1.7399245291240386</v>
      </c>
      <c r="U56" s="48">
        <v>1.0957444449930065</v>
      </c>
      <c r="V56" s="48">
        <v>1.0332620129026755</v>
      </c>
      <c r="W56" s="48">
        <v>3.4702983944254542</v>
      </c>
      <c r="X56" s="48">
        <v>10.981513716955426</v>
      </c>
      <c r="Y56" s="48">
        <v>17.287337329383192</v>
      </c>
      <c r="Z56" s="48">
        <v>31.299965660866107</v>
      </c>
      <c r="AA56" s="48"/>
      <c r="AB56" s="48">
        <v>17.071879437956525</v>
      </c>
      <c r="AC56" s="48">
        <v>12.789923409063057</v>
      </c>
      <c r="AD56" s="48">
        <v>9.9072035298666918</v>
      </c>
      <c r="AE56" s="48">
        <v>8.5011822993612771</v>
      </c>
      <c r="AF56" s="48">
        <v>3.3611841617718565</v>
      </c>
      <c r="AG56" s="48">
        <v>0.84714313466021252</v>
      </c>
      <c r="AH56" s="48">
        <v>0.41335758977743076</v>
      </c>
      <c r="AI56" s="48">
        <v>0.27290528935239239</v>
      </c>
      <c r="AJ56" s="48">
        <v>1.9181143570393793</v>
      </c>
      <c r="AK56" s="48">
        <v>5.6472661468422656</v>
      </c>
      <c r="AL56" s="48">
        <v>11.310707506842695</v>
      </c>
      <c r="AM56" s="38">
        <v>20.147411736084681</v>
      </c>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row>
    <row r="57" spans="1:131">
      <c r="A57" s="27" t="s">
        <v>873</v>
      </c>
      <c r="B57" s="27"/>
      <c r="C57" s="48">
        <v>281.25569038844571</v>
      </c>
      <c r="D57" s="48">
        <v>1405.8270926925682</v>
      </c>
      <c r="E57" s="48">
        <v>281.16541853851362</v>
      </c>
      <c r="F57" s="48">
        <v>1686.9925112310818</v>
      </c>
      <c r="G57" s="48">
        <v>1218.5054610837849</v>
      </c>
      <c r="H57" s="48">
        <v>283.07581344072287</v>
      </c>
      <c r="I57" s="48">
        <v>52543.130337999995</v>
      </c>
      <c r="J57" s="48">
        <v>206.23593402984486</v>
      </c>
      <c r="K57" s="48">
        <v>283.46557599461369</v>
      </c>
      <c r="L57" s="50">
        <v>0.23231394727516816</v>
      </c>
      <c r="M57" s="48">
        <v>2.6719626067975666</v>
      </c>
      <c r="N57" s="48">
        <v>0.13173035584737974</v>
      </c>
      <c r="O57" s="48">
        <v>28.061947406030328</v>
      </c>
      <c r="P57" s="48">
        <v>20.473991386093427</v>
      </c>
      <c r="Q57" s="48">
        <v>18.552589777811786</v>
      </c>
      <c r="R57" s="48">
        <v>15.093927540767549</v>
      </c>
      <c r="S57" s="48">
        <v>7.2465343797313402</v>
      </c>
      <c r="T57" s="48">
        <v>2.9506615631173871</v>
      </c>
      <c r="U57" s="48">
        <v>8.895589089339957</v>
      </c>
      <c r="V57" s="48">
        <v>8.8423394928557055</v>
      </c>
      <c r="W57" s="48">
        <v>6.8333690073360582</v>
      </c>
      <c r="X57" s="48">
        <v>12.057547597572841</v>
      </c>
      <c r="Y57" s="48">
        <v>18.062519352996361</v>
      </c>
      <c r="Z57" s="48">
        <v>32.703488381439904</v>
      </c>
      <c r="AA57" s="48"/>
      <c r="AB57" s="48">
        <v>17.837400107649351</v>
      </c>
      <c r="AC57" s="48">
        <v>13.36343675708128</v>
      </c>
      <c r="AD57" s="48">
        <v>10.351452747331555</v>
      </c>
      <c r="AE57" s="48">
        <v>8.93549008172063</v>
      </c>
      <c r="AF57" s="48">
        <v>3.7710190645484731</v>
      </c>
      <c r="AG57" s="48">
        <v>1.0909189985624193</v>
      </c>
      <c r="AH57" s="48">
        <v>2.5470628941119964</v>
      </c>
      <c r="AI57" s="48">
        <v>1.6606398287986697</v>
      </c>
      <c r="AJ57" s="48">
        <v>3.0150124602115498</v>
      </c>
      <c r="AK57" s="48">
        <v>6.0400187402101881</v>
      </c>
      <c r="AL57" s="48">
        <v>11.817891289202764</v>
      </c>
      <c r="AM57" s="38">
        <v>21.050842443924235</v>
      </c>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row>
    <row r="58" spans="1:131">
      <c r="A58" s="27" t="s">
        <v>875</v>
      </c>
      <c r="B58" s="27"/>
      <c r="C58" s="48">
        <v>326.86560849508749</v>
      </c>
      <c r="D58" s="48">
        <v>1655.6474837848516</v>
      </c>
      <c r="E58" s="48">
        <v>331.12949675697035</v>
      </c>
      <c r="F58" s="48">
        <v>1986.776980541822</v>
      </c>
      <c r="G58" s="48">
        <v>1435.0381431030262</v>
      </c>
      <c r="H58" s="48">
        <v>331.94609763456231</v>
      </c>
      <c r="I58" s="48">
        <v>53245.633364967274</v>
      </c>
      <c r="J58" s="48">
        <v>209.08627259312746</v>
      </c>
      <c r="K58" s="48">
        <v>287.06172747484032</v>
      </c>
      <c r="L58" s="50">
        <v>0.23131517390665676</v>
      </c>
      <c r="M58" s="48">
        <v>3.105260643193489</v>
      </c>
      <c r="N58" s="48">
        <v>0.1546041296791954</v>
      </c>
      <c r="O58" s="48">
        <v>32.934648418009047</v>
      </c>
      <c r="P58" s="48">
        <v>24.029113099592987</v>
      </c>
      <c r="Q58" s="48">
        <v>21.774077640972095</v>
      </c>
      <c r="R58" s="48">
        <v>17.69042111661755</v>
      </c>
      <c r="S58" s="48">
        <v>8.3817226581450619</v>
      </c>
      <c r="T58" s="48">
        <v>3.3267161471566689</v>
      </c>
      <c r="U58" s="48">
        <v>9.5075769624499831</v>
      </c>
      <c r="V58" s="48">
        <v>9.4436329238515384</v>
      </c>
      <c r="W58" s="48">
        <v>7.6339647393732699</v>
      </c>
      <c r="X58" s="48">
        <v>14.081004177077999</v>
      </c>
      <c r="Y58" s="48">
        <v>21.198910960348496</v>
      </c>
      <c r="Z58" s="48">
        <v>38.382150614882491</v>
      </c>
      <c r="AA58" s="48"/>
      <c r="AB58" s="48">
        <v>20.934701812980556</v>
      </c>
      <c r="AC58" s="48">
        <v>15.683875565820212</v>
      </c>
      <c r="AD58" s="48">
        <v>12.148888026770972</v>
      </c>
      <c r="AE58" s="48">
        <v>10.480666075819732</v>
      </c>
      <c r="AF58" s="48">
        <v>4.3946424474319423</v>
      </c>
      <c r="AG58" s="48">
        <v>1.2555843372437743</v>
      </c>
      <c r="AH58" s="48">
        <v>2.7348168091309462</v>
      </c>
      <c r="AI58" s="48">
        <v>1.7834799584016221</v>
      </c>
      <c r="AJ58" s="48">
        <v>3.4169008012876576</v>
      </c>
      <c r="AK58" s="48">
        <v>7.0720238882255284</v>
      </c>
      <c r="AL58" s="48">
        <v>13.86996023549329</v>
      </c>
      <c r="AM58" s="38">
        <v>24.706129078004082</v>
      </c>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row>
    <row r="59" spans="1:131">
      <c r="A59" s="27" t="s">
        <v>871</v>
      </c>
      <c r="B59" s="27"/>
      <c r="C59" s="48">
        <v>156.57714680994795</v>
      </c>
      <c r="D59" s="48">
        <v>799.02848103778376</v>
      </c>
      <c r="E59" s="48">
        <v>159.80569620755676</v>
      </c>
      <c r="F59" s="48">
        <v>958.83417724534047</v>
      </c>
      <c r="G59" s="48">
        <v>692.56068030475512</v>
      </c>
      <c r="H59" s="48">
        <v>153.56009126268296</v>
      </c>
      <c r="I59" s="48">
        <v>53643.763242564957</v>
      </c>
      <c r="J59" s="48">
        <v>205.68597870229235</v>
      </c>
      <c r="K59" s="48">
        <v>292.06843657065644</v>
      </c>
      <c r="L59" s="50">
        <v>0.22172799529293263</v>
      </c>
      <c r="M59" s="48">
        <v>1.4874854730527454</v>
      </c>
      <c r="N59" s="48">
        <v>8.830196857402918E-2</v>
      </c>
      <c r="O59" s="48">
        <v>18.810586079674955</v>
      </c>
      <c r="P59" s="48">
        <v>13.724199956267915</v>
      </c>
      <c r="Q59" s="48">
        <v>12.436239080878316</v>
      </c>
      <c r="R59" s="48">
        <v>9.8759500749132005</v>
      </c>
      <c r="S59" s="48">
        <v>3.6386837423094405</v>
      </c>
      <c r="T59" s="48">
        <v>0.62842290412527679</v>
      </c>
      <c r="U59" s="48">
        <v>-3.270972885005984</v>
      </c>
      <c r="V59" s="48">
        <v>-3.3210049184182422</v>
      </c>
      <c r="W59" s="48">
        <v>0.75932627646352824</v>
      </c>
      <c r="X59" s="48">
        <v>7.3871667755880157</v>
      </c>
      <c r="Y59" s="48">
        <v>12.107733301229095</v>
      </c>
      <c r="Z59" s="48">
        <v>21.921920613839106</v>
      </c>
      <c r="AA59" s="48"/>
      <c r="AB59" s="48">
        <v>11.956830554476694</v>
      </c>
      <c r="AC59" s="48">
        <v>8.9578272598911326</v>
      </c>
      <c r="AD59" s="48">
        <v>6.9388232447305001</v>
      </c>
      <c r="AE59" s="48">
        <v>5.9264015890967698</v>
      </c>
      <c r="AF59" s="48">
        <v>2.2191024345571453</v>
      </c>
      <c r="AG59" s="48">
        <v>0.48609960792573814</v>
      </c>
      <c r="AH59" s="48">
        <v>-0.81257517823740166</v>
      </c>
      <c r="AI59" s="48">
        <v>-0.52554801775908189</v>
      </c>
      <c r="AJ59" s="48">
        <v>0.81670136035716356</v>
      </c>
      <c r="AK59" s="48">
        <v>3.8825444774032167</v>
      </c>
      <c r="AL59" s="48">
        <v>7.9218116319332239</v>
      </c>
      <c r="AM59" s="38">
        <v>14.110876843708242</v>
      </c>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row>
    <row r="60" spans="1:131">
      <c r="A60" s="27" t="s">
        <v>870</v>
      </c>
      <c r="B60" s="27"/>
      <c r="C60" s="48">
        <v>150.18689121837056</v>
      </c>
      <c r="D60" s="48">
        <v>775.20267326839053</v>
      </c>
      <c r="E60" s="48">
        <v>155.04053465367812</v>
      </c>
      <c r="F60" s="48">
        <v>930.24320792206868</v>
      </c>
      <c r="G60" s="48">
        <v>671.90957958785702</v>
      </c>
      <c r="H60" s="48">
        <v>146.3844992182548</v>
      </c>
      <c r="I60" s="48">
        <v>54258.60030319717</v>
      </c>
      <c r="J60" s="48">
        <v>208.4596823015319</v>
      </c>
      <c r="K60" s="48">
        <v>296.24351461814291</v>
      </c>
      <c r="L60" s="50">
        <v>0.21786339064855373</v>
      </c>
      <c r="M60" s="48">
        <v>1.4267780798346494</v>
      </c>
      <c r="N60" s="48">
        <v>8.4567890739138257E-2</v>
      </c>
      <c r="O60" s="48">
        <v>18.01513164444869</v>
      </c>
      <c r="P60" s="48">
        <v>13.143836554569264</v>
      </c>
      <c r="Q60" s="48">
        <v>11.910340446326584</v>
      </c>
      <c r="R60" s="48">
        <v>9.4600684382064255</v>
      </c>
      <c r="S60" s="48">
        <v>3.493623979365839</v>
      </c>
      <c r="T60" s="48">
        <v>0.61160424312813155</v>
      </c>
      <c r="U60" s="48">
        <v>-3.0658962200253566</v>
      </c>
      <c r="V60" s="48">
        <v>-3.1137088677450659</v>
      </c>
      <c r="W60" s="48">
        <v>0.75484130222539114</v>
      </c>
      <c r="X60" s="48">
        <v>7.0798077748231538</v>
      </c>
      <c r="Y60" s="48">
        <v>11.595726385856796</v>
      </c>
      <c r="Z60" s="48">
        <v>20.994895325679785</v>
      </c>
      <c r="AA60" s="48"/>
      <c r="AB60" s="48">
        <v>11.451204953258223</v>
      </c>
      <c r="AC60" s="48">
        <v>8.5790222937040141</v>
      </c>
      <c r="AD60" s="48">
        <v>6.6453971014995945</v>
      </c>
      <c r="AE60" s="48">
        <v>5.6762457120849845</v>
      </c>
      <c r="AF60" s="48">
        <v>2.127493636953858</v>
      </c>
      <c r="AG60" s="48">
        <v>0.46731603910035863</v>
      </c>
      <c r="AH60" s="48">
        <v>-0.75999585528501745</v>
      </c>
      <c r="AI60" s="48">
        <v>-0.49147701459188581</v>
      </c>
      <c r="AJ60" s="48">
        <v>0.7908715698701515</v>
      </c>
      <c r="AK60" s="48">
        <v>3.7195626938508553</v>
      </c>
      <c r="AL60" s="48">
        <v>7.5868172744497491</v>
      </c>
      <c r="AM60" s="38">
        <v>13.514161806616039</v>
      </c>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row>
    <row r="61" spans="1:131">
      <c r="A61" s="27" t="s">
        <v>869</v>
      </c>
      <c r="B61" s="27"/>
      <c r="C61" s="48">
        <v>139.96110175796073</v>
      </c>
      <c r="D61" s="48">
        <v>746.61170394511896</v>
      </c>
      <c r="E61" s="48">
        <v>149.3223407890238</v>
      </c>
      <c r="F61" s="48">
        <v>895.93404473414273</v>
      </c>
      <c r="G61" s="48">
        <v>647.12825872757969</v>
      </c>
      <c r="H61" s="48">
        <v>135.01318430670585</v>
      </c>
      <c r="I61" s="48">
        <v>56075.453345912865</v>
      </c>
      <c r="J61" s="48">
        <v>216.58730406901029</v>
      </c>
      <c r="K61" s="48">
        <v>308.00442643674728</v>
      </c>
      <c r="L61" s="50">
        <v>0.20863435105148465</v>
      </c>
      <c r="M61" s="48">
        <v>1.3296331057266657</v>
      </c>
      <c r="N61" s="48">
        <v>7.8620529718667787E-2</v>
      </c>
      <c r="O61" s="48">
        <v>16.748191074163753</v>
      </c>
      <c r="P61" s="48">
        <v>12.219476960155232</v>
      </c>
      <c r="Q61" s="48">
        <v>11.072728275892814</v>
      </c>
      <c r="R61" s="48">
        <v>8.7973208502609701</v>
      </c>
      <c r="S61" s="48">
        <v>3.2607578684025555</v>
      </c>
      <c r="T61" s="48">
        <v>0.5827953242721402</v>
      </c>
      <c r="U61" s="48">
        <v>-2.7530970396800631</v>
      </c>
      <c r="V61" s="48">
        <v>-2.7973962917544353</v>
      </c>
      <c r="W61" s="48">
        <v>0.74197404685367851</v>
      </c>
      <c r="X61" s="48">
        <v>6.5892277605604432</v>
      </c>
      <c r="Y61" s="48">
        <v>10.780239910924902</v>
      </c>
      <c r="Z61" s="48">
        <v>19.518398501678732</v>
      </c>
      <c r="AA61" s="48"/>
      <c r="AB61" s="48">
        <v>10.645882160160497</v>
      </c>
      <c r="AC61" s="48">
        <v>7.9756899610967285</v>
      </c>
      <c r="AD61" s="48">
        <v>6.1780497981487379</v>
      </c>
      <c r="AE61" s="48">
        <v>5.2777212943448077</v>
      </c>
      <c r="AF61" s="48">
        <v>1.9811235586201577</v>
      </c>
      <c r="AG61" s="48">
        <v>0.43703172563261494</v>
      </c>
      <c r="AH61" s="48">
        <v>-0.6800260870124829</v>
      </c>
      <c r="AI61" s="48">
        <v>-0.43966592444074926</v>
      </c>
      <c r="AJ61" s="48">
        <v>0.74792780738056219</v>
      </c>
      <c r="AK61" s="48">
        <v>3.4597284610109114</v>
      </c>
      <c r="AL61" s="48">
        <v>7.0532632158924855</v>
      </c>
      <c r="AM61" s="38">
        <v>12.563758545395739</v>
      </c>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row>
    <row r="62" spans="1:131">
      <c r="A62" s="27" t="s">
        <v>867</v>
      </c>
      <c r="B62" s="27"/>
      <c r="C62" s="48">
        <v>92.391365978509668</v>
      </c>
      <c r="D62" s="48">
        <v>534.20512843764811</v>
      </c>
      <c r="E62" s="48">
        <v>106.84102568752962</v>
      </c>
      <c r="F62" s="48">
        <v>641.04615412517774</v>
      </c>
      <c r="G62" s="48">
        <v>463.02412986899753</v>
      </c>
      <c r="H62" s="48">
        <v>94.408767527630189</v>
      </c>
      <c r="I62" s="48">
        <v>60780.184930296877</v>
      </c>
      <c r="J62" s="48">
        <v>241.3803396359252</v>
      </c>
      <c r="K62" s="48">
        <v>332.31780304984051</v>
      </c>
      <c r="L62" s="50">
        <v>0.20389599901487007</v>
      </c>
      <c r="M62" s="48">
        <v>0.87772662476594654</v>
      </c>
      <c r="N62" s="48">
        <v>4.5478598379474544E-2</v>
      </c>
      <c r="O62" s="48">
        <v>9.6881089223154646</v>
      </c>
      <c r="P62" s="48">
        <v>7.0684423911505396</v>
      </c>
      <c r="Q62" s="48">
        <v>6.4050975492831332</v>
      </c>
      <c r="R62" s="48">
        <v>5.1753839091344656</v>
      </c>
      <c r="S62" s="48">
        <v>2.3221685856248087</v>
      </c>
      <c r="T62" s="48">
        <v>0.81980876270167502</v>
      </c>
      <c r="U62" s="48">
        <v>1.7102755516605548</v>
      </c>
      <c r="V62" s="48">
        <v>1.6897786683265628</v>
      </c>
      <c r="W62" s="48">
        <v>1.7960002190030933</v>
      </c>
      <c r="X62" s="48">
        <v>4.0602805370764132</v>
      </c>
      <c r="Y62" s="48">
        <v>6.2359055974018114</v>
      </c>
      <c r="Z62" s="48">
        <v>11.290554892529745</v>
      </c>
      <c r="AA62" s="48"/>
      <c r="AB62" s="48">
        <v>6.1581854114904591</v>
      </c>
      <c r="AC62" s="48">
        <v>4.6135939536133579</v>
      </c>
      <c r="AD62" s="48">
        <v>3.5737363579691892</v>
      </c>
      <c r="AE62" s="48">
        <v>3.0755651588816231</v>
      </c>
      <c r="AF62" s="48">
        <v>1.2564123902666964</v>
      </c>
      <c r="AG62" s="48">
        <v>0.34049734534045784</v>
      </c>
      <c r="AH62" s="48">
        <v>0.50797522638340342</v>
      </c>
      <c r="AI62" s="48">
        <v>0.33181520097441647</v>
      </c>
      <c r="AJ62" s="48">
        <v>0.86341553945640404</v>
      </c>
      <c r="AK62" s="48">
        <v>2.0607595972251418</v>
      </c>
      <c r="AL62" s="48">
        <v>4.0800097151231816</v>
      </c>
      <c r="AM62" s="38">
        <v>7.2675944955770779</v>
      </c>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row>
    <row r="63" spans="1:131">
      <c r="A63" s="27" t="s">
        <v>866</v>
      </c>
      <c r="B63" s="27"/>
      <c r="C63" s="48">
        <v>76.720309131071929</v>
      </c>
      <c r="D63" s="48">
        <v>449.62510832506831</v>
      </c>
      <c r="E63" s="48">
        <v>89.925021665013674</v>
      </c>
      <c r="F63" s="48">
        <v>539.55012999008204</v>
      </c>
      <c r="G63" s="48">
        <v>389.71410693554941</v>
      </c>
      <c r="H63" s="48">
        <v>78.307259258860412</v>
      </c>
      <c r="I63" s="48">
        <v>61606.362021277229</v>
      </c>
      <c r="J63" s="48">
        <v>245.04454042240647</v>
      </c>
      <c r="K63" s="48">
        <v>337.4149306714537</v>
      </c>
      <c r="L63" s="50">
        <v>0.20093514159550505</v>
      </c>
      <c r="M63" s="48">
        <v>0.72885012262375548</v>
      </c>
      <c r="N63" s="48">
        <v>3.7760289506453951E-2</v>
      </c>
      <c r="O63" s="48">
        <v>8.0439109979650656</v>
      </c>
      <c r="P63" s="48">
        <v>5.868835904362359</v>
      </c>
      <c r="Q63" s="48">
        <v>5.3180692984409479</v>
      </c>
      <c r="R63" s="48">
        <v>4.2971218386095122</v>
      </c>
      <c r="S63" s="48">
        <v>1.9284080926973002</v>
      </c>
      <c r="T63" s="48">
        <v>0.68105486742591992</v>
      </c>
      <c r="U63" s="48">
        <v>1.4226081272228397</v>
      </c>
      <c r="V63" s="48">
        <v>1.4055938504999537</v>
      </c>
      <c r="W63" s="48">
        <v>1.4922668678030273</v>
      </c>
      <c r="X63" s="48">
        <v>3.3713931026340318</v>
      </c>
      <c r="Y63" s="48">
        <v>5.1775914184523666</v>
      </c>
      <c r="Z63" s="48">
        <v>9.3744010726339155</v>
      </c>
      <c r="AA63" s="48"/>
      <c r="AB63" s="48">
        <v>5.1130613576087889</v>
      </c>
      <c r="AC63" s="48">
        <v>3.8306071330529576</v>
      </c>
      <c r="AD63" s="48">
        <v>2.9672268782487503</v>
      </c>
      <c r="AE63" s="48">
        <v>2.5536195385979652</v>
      </c>
      <c r="AF63" s="48">
        <v>1.0432694264387903</v>
      </c>
      <c r="AG63" s="48">
        <v>0.28277925169759377</v>
      </c>
      <c r="AH63" s="48">
        <v>0.42247164841886498</v>
      </c>
      <c r="AI63" s="48">
        <v>0.27596123450314058</v>
      </c>
      <c r="AJ63" s="48">
        <v>0.71722031973251454</v>
      </c>
      <c r="AK63" s="48">
        <v>1.7110685235362009</v>
      </c>
      <c r="AL63" s="48">
        <v>3.3875790706366105</v>
      </c>
      <c r="AM63" s="38">
        <v>6.0341893098525246</v>
      </c>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row>
    <row r="64" spans="1:131">
      <c r="A64" s="27"/>
      <c r="B64" s="27"/>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EA436"/>
  <sheetViews>
    <sheetView topLeftCell="A115" workbookViewId="0">
      <selection activeCell="A130" sqref="A130:EA436"/>
    </sheetView>
  </sheetViews>
  <sheetFormatPr defaultRowHeight="12.75"/>
  <cols>
    <col min="1" max="1" width="44.42578125" customWidth="1"/>
    <col min="2" max="2" width="45.140625" customWidth="1"/>
    <col min="7" max="7" width="26.7109375" customWidth="1"/>
    <col min="15" max="15" width="9.85546875" customWidth="1"/>
  </cols>
  <sheetData>
    <row r="1" spans="1:20">
      <c r="A1" s="1" t="s">
        <v>0</v>
      </c>
      <c r="B1" s="32"/>
      <c r="C1" s="32"/>
      <c r="D1" s="32" t="s">
        <v>65</v>
      </c>
      <c r="E1" s="32" t="s">
        <v>65</v>
      </c>
      <c r="F1" s="32" t="s">
        <v>65</v>
      </c>
      <c r="G1" s="32" t="s">
        <v>65</v>
      </c>
      <c r="H1" s="2"/>
      <c r="I1" s="3"/>
      <c r="J1" s="3"/>
      <c r="K1" s="3"/>
      <c r="L1" s="3"/>
      <c r="M1" s="3"/>
      <c r="N1" s="4"/>
      <c r="O1" s="33" t="s">
        <v>65</v>
      </c>
      <c r="P1" s="4"/>
    </row>
    <row r="2" spans="1:20">
      <c r="A2" s="8" t="s">
        <v>29</v>
      </c>
      <c r="B2" s="2"/>
      <c r="C2" s="2"/>
      <c r="D2" s="2"/>
      <c r="E2" s="2"/>
      <c r="F2" s="2"/>
      <c r="G2" s="2"/>
      <c r="H2" s="2"/>
      <c r="I2" s="3"/>
      <c r="J2" s="3"/>
      <c r="K2" s="3"/>
      <c r="L2" s="3"/>
      <c r="M2" s="3"/>
      <c r="N2" s="4"/>
      <c r="O2" s="4"/>
      <c r="P2" s="4"/>
    </row>
    <row r="3" spans="1:20">
      <c r="A3" s="8" t="s">
        <v>1</v>
      </c>
      <c r="B3" s="27"/>
      <c r="C3" s="8">
        <v>2012</v>
      </c>
      <c r="D3" s="27"/>
      <c r="E3" s="27"/>
      <c r="F3" s="27"/>
      <c r="G3" s="27"/>
      <c r="H3" s="27"/>
      <c r="I3" s="27"/>
      <c r="J3" s="34"/>
      <c r="K3" s="35"/>
      <c r="L3" s="27"/>
      <c r="M3" s="27"/>
      <c r="N3" s="27"/>
      <c r="O3" s="27"/>
      <c r="P3" s="27"/>
    </row>
    <row r="4" spans="1:20">
      <c r="A4" s="27"/>
      <c r="B4" s="27"/>
      <c r="C4" s="27"/>
      <c r="D4" s="27"/>
      <c r="E4" s="27"/>
      <c r="F4" s="27"/>
      <c r="G4" s="27"/>
      <c r="H4" s="27"/>
      <c r="I4" s="27"/>
      <c r="J4" s="27"/>
      <c r="K4" s="27"/>
      <c r="L4" s="27"/>
      <c r="M4" s="27"/>
      <c r="N4" s="27"/>
      <c r="O4" s="27"/>
      <c r="P4" s="27"/>
    </row>
    <row r="5" spans="1:20">
      <c r="A5" s="11">
        <v>1</v>
      </c>
      <c r="B5" s="11">
        <v>2</v>
      </c>
      <c r="C5" s="11">
        <v>3</v>
      </c>
      <c r="D5" s="11">
        <v>4</v>
      </c>
      <c r="E5" s="11">
        <v>5</v>
      </c>
      <c r="F5" s="11">
        <v>6</v>
      </c>
      <c r="G5" s="11">
        <v>7</v>
      </c>
      <c r="H5" s="11">
        <v>8</v>
      </c>
      <c r="I5" s="11">
        <v>9</v>
      </c>
      <c r="J5" s="11">
        <v>10</v>
      </c>
      <c r="K5" s="11">
        <v>11</v>
      </c>
      <c r="L5" s="11">
        <v>12</v>
      </c>
      <c r="M5" s="11">
        <v>13</v>
      </c>
      <c r="N5" s="11">
        <v>14</v>
      </c>
      <c r="O5" s="11">
        <v>15</v>
      </c>
      <c r="P5" s="11">
        <v>16</v>
      </c>
    </row>
    <row r="6" spans="1:20">
      <c r="A6" s="12" t="s">
        <v>2</v>
      </c>
      <c r="B6" s="13"/>
      <c r="C6" s="13"/>
      <c r="D6" s="13"/>
      <c r="E6" s="13"/>
      <c r="F6" s="13"/>
      <c r="G6" s="14"/>
      <c r="H6" s="28"/>
      <c r="I6" s="401" t="s">
        <v>3</v>
      </c>
      <c r="J6" s="402"/>
      <c r="K6" s="402"/>
      <c r="L6" s="402"/>
      <c r="M6" s="402"/>
      <c r="N6" s="403"/>
      <c r="O6" s="404" t="s">
        <v>4</v>
      </c>
      <c r="P6" s="405"/>
      <c r="Q6" s="327" t="s">
        <v>1344</v>
      </c>
      <c r="R6" s="406" t="s">
        <v>1345</v>
      </c>
      <c r="S6" s="406"/>
      <c r="T6" s="406"/>
    </row>
    <row r="7" spans="1:20" ht="38.25">
      <c r="A7" s="29" t="s">
        <v>5</v>
      </c>
      <c r="B7" s="29" t="s">
        <v>6</v>
      </c>
      <c r="C7" s="29" t="s">
        <v>7</v>
      </c>
      <c r="D7" s="29" t="s">
        <v>8</v>
      </c>
      <c r="E7" s="29" t="s">
        <v>9</v>
      </c>
      <c r="F7" s="29" t="s">
        <v>10</v>
      </c>
      <c r="G7" s="29" t="s">
        <v>11</v>
      </c>
      <c r="H7" s="29" t="s">
        <v>12</v>
      </c>
      <c r="I7" s="29" t="s">
        <v>13</v>
      </c>
      <c r="J7" s="29" t="s">
        <v>14</v>
      </c>
      <c r="K7" s="29" t="s">
        <v>15</v>
      </c>
      <c r="L7" s="29" t="s">
        <v>16</v>
      </c>
      <c r="M7" s="29" t="s">
        <v>17</v>
      </c>
      <c r="N7" s="29" t="s">
        <v>18</v>
      </c>
      <c r="O7" s="30" t="s">
        <v>19</v>
      </c>
      <c r="P7" s="29" t="s">
        <v>11</v>
      </c>
      <c r="Q7" s="328" t="s">
        <v>1346</v>
      </c>
      <c r="R7" s="329" t="s">
        <v>1347</v>
      </c>
      <c r="S7" s="329" t="s">
        <v>1348</v>
      </c>
      <c r="T7" s="329" t="s">
        <v>1349</v>
      </c>
    </row>
    <row r="8" spans="1:20">
      <c r="A8" s="55" t="str">
        <f>Segmented!F282</f>
        <v>ATTIC R0 - R38_Electric FAF</v>
      </c>
      <c r="B8" s="55" t="str">
        <f>Segmented!G282</f>
        <v>ATTIC R0 - R38</v>
      </c>
      <c r="C8" s="55">
        <f>Segmented!H282</f>
        <v>1632.7147021344419</v>
      </c>
      <c r="D8" s="55">
        <f>Segmented!I282</f>
        <v>45</v>
      </c>
      <c r="E8" s="55">
        <f>Segmented!J282</f>
        <v>588.47688837074031</v>
      </c>
      <c r="F8" s="55">
        <f>Segmented!K282</f>
        <v>0</v>
      </c>
      <c r="G8" s="55" t="s">
        <v>1360</v>
      </c>
      <c r="H8" s="55">
        <f>Segmented!M282</f>
        <v>6.0037012759703945</v>
      </c>
      <c r="I8" s="55">
        <f>Segmented!N282</f>
        <v>0</v>
      </c>
      <c r="J8" s="55">
        <f>Segmented!O282</f>
        <v>0</v>
      </c>
      <c r="K8" s="55">
        <f>Segmented!P282</f>
        <v>0</v>
      </c>
      <c r="L8" s="55">
        <f>Segmented!Q282</f>
        <v>0</v>
      </c>
      <c r="M8" s="55">
        <f>Segmented!R282</f>
        <v>0</v>
      </c>
      <c r="N8" s="55">
        <f>Segmented!S282</f>
        <v>0</v>
      </c>
      <c r="O8" s="55">
        <f>Segmented!T282</f>
        <v>0</v>
      </c>
      <c r="P8" s="55"/>
      <c r="Q8" t="s">
        <v>1350</v>
      </c>
    </row>
    <row r="9" spans="1:20">
      <c r="A9" s="55" t="str">
        <f>Segmented!F283</f>
        <v>ATTIC R0 - R49_Electric FAF</v>
      </c>
      <c r="B9" s="55" t="str">
        <f>Segmented!G283</f>
        <v>ATTIC R0 - R49</v>
      </c>
      <c r="C9" s="55">
        <f>Segmented!H283</f>
        <v>1656.5056434593455</v>
      </c>
      <c r="D9" s="55">
        <f>Segmented!I283</f>
        <v>45</v>
      </c>
      <c r="E9" s="55">
        <f>Segmented!J283</f>
        <v>672.02883390154909</v>
      </c>
      <c r="F9" s="55">
        <f>Segmented!K283</f>
        <v>0</v>
      </c>
      <c r="G9" s="55" t="s">
        <v>1360</v>
      </c>
      <c r="H9" s="55">
        <f>Segmented!M283</f>
        <v>6.2023482598491819</v>
      </c>
      <c r="I9" s="55">
        <f>Segmented!N283</f>
        <v>0</v>
      </c>
      <c r="J9" s="55">
        <f>Segmented!O283</f>
        <v>0</v>
      </c>
      <c r="K9" s="55">
        <f>Segmented!P283</f>
        <v>0</v>
      </c>
      <c r="L9" s="55">
        <f>Segmented!Q283</f>
        <v>0</v>
      </c>
      <c r="M9" s="55">
        <f>Segmented!R283</f>
        <v>0</v>
      </c>
      <c r="N9" s="55">
        <f>Segmented!S283</f>
        <v>0</v>
      </c>
      <c r="O9" s="55">
        <f>Segmented!T283</f>
        <v>0</v>
      </c>
      <c r="P9" s="55"/>
      <c r="Q9" t="s">
        <v>1350</v>
      </c>
    </row>
    <row r="10" spans="1:20">
      <c r="A10" s="55" t="str">
        <f>Segmented!F284</f>
        <v>ATTIC R11 - R38_Electric FAF</v>
      </c>
      <c r="B10" s="55" t="str">
        <f>Segmented!G284</f>
        <v>ATTIC R11 - R38</v>
      </c>
      <c r="C10" s="55">
        <f>Segmented!H284</f>
        <v>390.83459031313708</v>
      </c>
      <c r="D10" s="55">
        <f>Segmented!I284</f>
        <v>45</v>
      </c>
      <c r="E10" s="55">
        <f>Segmented!J284</f>
        <v>504.9249428399313</v>
      </c>
      <c r="F10" s="55">
        <f>Segmented!K284</f>
        <v>0</v>
      </c>
      <c r="G10" s="55" t="s">
        <v>1360</v>
      </c>
      <c r="H10" s="55">
        <f>Segmented!M284</f>
        <v>3.0147892969312537</v>
      </c>
      <c r="I10" s="55">
        <f>Segmented!N284</f>
        <v>0</v>
      </c>
      <c r="J10" s="55">
        <f>Segmented!O284</f>
        <v>0</v>
      </c>
      <c r="K10" s="55">
        <f>Segmented!P284</f>
        <v>0</v>
      </c>
      <c r="L10" s="55">
        <f>Segmented!Q284</f>
        <v>0</v>
      </c>
      <c r="M10" s="55">
        <f>Segmented!R284</f>
        <v>0</v>
      </c>
      <c r="N10" s="55">
        <f>Segmented!S284</f>
        <v>0</v>
      </c>
      <c r="O10" s="55">
        <f>Segmented!T284</f>
        <v>0</v>
      </c>
      <c r="P10" s="55"/>
      <c r="Q10" t="s">
        <v>1350</v>
      </c>
    </row>
    <row r="11" spans="1:20">
      <c r="A11" s="55" t="str">
        <f>Segmented!F285</f>
        <v>ATTIC R11 - R49_Electric FAF</v>
      </c>
      <c r="B11" s="55" t="str">
        <f>Segmented!G285</f>
        <v>ATTIC R11 - R49</v>
      </c>
      <c r="C11" s="55">
        <f>Segmented!H285</f>
        <v>424.26288239708038</v>
      </c>
      <c r="D11" s="55">
        <f>Segmented!I285</f>
        <v>45</v>
      </c>
      <c r="E11" s="55">
        <f>Segmented!J285</f>
        <v>588.47688837074031</v>
      </c>
      <c r="F11" s="55">
        <f>Segmented!K285</f>
        <v>0</v>
      </c>
      <c r="G11" s="55" t="s">
        <v>1360</v>
      </c>
      <c r="H11" s="55">
        <f>Segmented!M285</f>
        <v>3.3047901873017453</v>
      </c>
      <c r="I11" s="55">
        <f>Segmented!N285</f>
        <v>0</v>
      </c>
      <c r="J11" s="55">
        <f>Segmented!O285</f>
        <v>0</v>
      </c>
      <c r="K11" s="55">
        <f>Segmented!P285</f>
        <v>0</v>
      </c>
      <c r="L11" s="55">
        <f>Segmented!Q285</f>
        <v>0</v>
      </c>
      <c r="M11" s="55">
        <f>Segmented!R285</f>
        <v>0</v>
      </c>
      <c r="N11" s="55">
        <f>Segmented!S285</f>
        <v>0</v>
      </c>
      <c r="O11" s="55">
        <f>Segmented!T285</f>
        <v>0</v>
      </c>
      <c r="P11" s="55"/>
      <c r="Q11" t="s">
        <v>1350</v>
      </c>
    </row>
    <row r="12" spans="1:20">
      <c r="A12" s="55" t="str">
        <f>Segmented!F286</f>
        <v>ATTIC R19 - R38_Electric FAF</v>
      </c>
      <c r="B12" s="55" t="str">
        <f>Segmented!G286</f>
        <v>ATTIC R19 - R38</v>
      </c>
      <c r="C12" s="55">
        <f>Segmented!H286</f>
        <v>160.69089451791402</v>
      </c>
      <c r="D12" s="55">
        <f>Segmented!I286</f>
        <v>45</v>
      </c>
      <c r="E12" s="55">
        <f>Segmented!J286</f>
        <v>444.15989154479752</v>
      </c>
      <c r="F12" s="55">
        <f>Segmented!K286</f>
        <v>0</v>
      </c>
      <c r="G12" s="55" t="s">
        <v>1360</v>
      </c>
      <c r="H12" s="55">
        <f>Segmented!M286</f>
        <v>1.333138402024034</v>
      </c>
      <c r="I12" s="55">
        <f>Segmented!N286</f>
        <v>0</v>
      </c>
      <c r="J12" s="55">
        <f>Segmented!O286</f>
        <v>0</v>
      </c>
      <c r="K12" s="55">
        <f>Segmented!P286</f>
        <v>0</v>
      </c>
      <c r="L12" s="55">
        <f>Segmented!Q286</f>
        <v>0</v>
      </c>
      <c r="M12" s="55">
        <f>Segmented!R286</f>
        <v>0</v>
      </c>
      <c r="N12" s="55">
        <f>Segmented!S286</f>
        <v>0</v>
      </c>
      <c r="O12" s="55">
        <f>Segmented!T286</f>
        <v>0</v>
      </c>
      <c r="P12" s="55"/>
      <c r="Q12" t="s">
        <v>1350</v>
      </c>
    </row>
    <row r="13" spans="1:20">
      <c r="A13" s="55" t="str">
        <f>Segmented!F287</f>
        <v>ATTIC R19 - R49_Electric FAF</v>
      </c>
      <c r="B13" s="55" t="str">
        <f>Segmented!G287</f>
        <v>ATTIC R19 - R49</v>
      </c>
      <c r="C13" s="55">
        <f>Segmented!H287</f>
        <v>193.77973703235281</v>
      </c>
      <c r="D13" s="55">
        <f>Segmented!I287</f>
        <v>45</v>
      </c>
      <c r="E13" s="55">
        <f>Segmented!J287</f>
        <v>527.71183707560658</v>
      </c>
      <c r="F13" s="55">
        <f>Segmented!K287</f>
        <v>0</v>
      </c>
      <c r="G13" s="55" t="s">
        <v>1360</v>
      </c>
      <c r="H13" s="55">
        <f>Segmented!M287</f>
        <v>1.6226956304349578</v>
      </c>
      <c r="I13" s="55">
        <f>Segmented!N287</f>
        <v>0</v>
      </c>
      <c r="J13" s="55">
        <f>Segmented!O287</f>
        <v>0</v>
      </c>
      <c r="K13" s="55">
        <f>Segmented!P287</f>
        <v>0</v>
      </c>
      <c r="L13" s="55">
        <f>Segmented!Q287</f>
        <v>0</v>
      </c>
      <c r="M13" s="55">
        <f>Segmented!R287</f>
        <v>0</v>
      </c>
      <c r="N13" s="55">
        <f>Segmented!S287</f>
        <v>0</v>
      </c>
      <c r="O13" s="55">
        <f>Segmented!T287</f>
        <v>0</v>
      </c>
      <c r="P13" s="55"/>
      <c r="Q13" t="s">
        <v>1350</v>
      </c>
    </row>
    <row r="14" spans="1:20">
      <c r="A14" s="55" t="str">
        <f>Segmented!F288</f>
        <v>WALL R0 - R11_Electric FAF</v>
      </c>
      <c r="B14" s="55" t="str">
        <f>Segmented!G288</f>
        <v>WALL R0 - R11</v>
      </c>
      <c r="C14" s="55">
        <f>Segmented!H288</f>
        <v>2013.5135880827527</v>
      </c>
      <c r="D14" s="55">
        <f>Segmented!I288</f>
        <v>45</v>
      </c>
      <c r="E14" s="55">
        <f>Segmented!J288</f>
        <v>1047.8220524597768</v>
      </c>
      <c r="F14" s="55">
        <f>Segmented!K288</f>
        <v>0</v>
      </c>
      <c r="G14" s="55" t="s">
        <v>1360</v>
      </c>
      <c r="H14" s="55">
        <f>Segmented!M288</f>
        <v>11.156895942259389</v>
      </c>
      <c r="I14" s="55">
        <f>Segmented!N288</f>
        <v>0</v>
      </c>
      <c r="J14" s="55">
        <f>Segmented!O288</f>
        <v>0</v>
      </c>
      <c r="K14" s="55">
        <f>Segmented!P288</f>
        <v>0</v>
      </c>
      <c r="L14" s="55">
        <f>Segmented!Q288</f>
        <v>0</v>
      </c>
      <c r="M14" s="55">
        <f>Segmented!R288</f>
        <v>0</v>
      </c>
      <c r="N14" s="55">
        <f>Segmented!S288</f>
        <v>0</v>
      </c>
      <c r="O14" s="55">
        <f>Segmented!T288</f>
        <v>0</v>
      </c>
      <c r="P14" s="55"/>
      <c r="Q14" t="s">
        <v>1350</v>
      </c>
    </row>
    <row r="15" spans="1:20">
      <c r="A15" s="55" t="str">
        <f>Segmented!F289</f>
        <v>FLOOR R0 - R19_Electric FAF</v>
      </c>
      <c r="B15" s="55" t="str">
        <f>Segmented!G289</f>
        <v>FLOOR R0 - R19</v>
      </c>
      <c r="C15" s="55">
        <f>Segmented!H289</f>
        <v>676.12956578272906</v>
      </c>
      <c r="D15" s="55">
        <f>Segmented!I289</f>
        <v>45</v>
      </c>
      <c r="E15" s="55">
        <f>Segmented!J289</f>
        <v>737.53659951434634</v>
      </c>
      <c r="F15" s="55">
        <f>Segmented!K289</f>
        <v>0</v>
      </c>
      <c r="G15" s="55" t="s">
        <v>1360</v>
      </c>
      <c r="H15" s="55">
        <f>Segmented!M289</f>
        <v>2.5061869873364602</v>
      </c>
      <c r="I15" s="55">
        <f>Segmented!N289</f>
        <v>0</v>
      </c>
      <c r="J15" s="55">
        <f>Segmented!O289</f>
        <v>0</v>
      </c>
      <c r="K15" s="55">
        <f>Segmented!P289</f>
        <v>0</v>
      </c>
      <c r="L15" s="55">
        <f>Segmented!Q289</f>
        <v>0</v>
      </c>
      <c r="M15" s="55">
        <f>Segmented!R289</f>
        <v>0</v>
      </c>
      <c r="N15" s="55">
        <f>Segmented!S289</f>
        <v>0</v>
      </c>
      <c r="O15" s="55">
        <f>Segmented!T289</f>
        <v>0</v>
      </c>
      <c r="P15" s="55"/>
      <c r="Q15" t="s">
        <v>1350</v>
      </c>
    </row>
    <row r="16" spans="1:20">
      <c r="A16" s="55" t="str">
        <f>Segmented!F290</f>
        <v>FLOOR R0 - R25_Electric FAF</v>
      </c>
      <c r="B16" s="55" t="str">
        <f>Segmented!G290</f>
        <v>FLOOR R0 - R25</v>
      </c>
      <c r="C16" s="55">
        <f>Segmented!H290</f>
        <v>726.90500378438799</v>
      </c>
      <c r="D16" s="55">
        <f>Segmented!I290</f>
        <v>45</v>
      </c>
      <c r="E16" s="55">
        <f>Segmented!J290</f>
        <v>765.78004410553206</v>
      </c>
      <c r="F16" s="55">
        <f>Segmented!K290</f>
        <v>0</v>
      </c>
      <c r="G16" s="55" t="s">
        <v>1360</v>
      </c>
      <c r="H16" s="55">
        <f>Segmented!M290</f>
        <v>2.9621758785233308</v>
      </c>
      <c r="I16" s="55">
        <f>Segmented!N290</f>
        <v>0</v>
      </c>
      <c r="J16" s="55">
        <f>Segmented!O290</f>
        <v>0</v>
      </c>
      <c r="K16" s="55">
        <f>Segmented!P290</f>
        <v>0</v>
      </c>
      <c r="L16" s="55">
        <f>Segmented!Q290</f>
        <v>0</v>
      </c>
      <c r="M16" s="55">
        <f>Segmented!R290</f>
        <v>0</v>
      </c>
      <c r="N16" s="55">
        <f>Segmented!S290</f>
        <v>0</v>
      </c>
      <c r="O16" s="55">
        <f>Segmented!T290</f>
        <v>0</v>
      </c>
      <c r="P16" s="55"/>
      <c r="Q16" t="s">
        <v>1350</v>
      </c>
    </row>
    <row r="17" spans="1:17">
      <c r="A17" s="55" t="str">
        <f>Segmented!F291</f>
        <v>FLOOR R0 - R30_Electric FAF</v>
      </c>
      <c r="B17" s="55" t="str">
        <f>Segmented!G291</f>
        <v>FLOOR R0 - R30</v>
      </c>
      <c r="C17" s="55">
        <f>Segmented!H291</f>
        <v>758.75035016521383</v>
      </c>
      <c r="D17" s="55">
        <f>Segmented!I291</f>
        <v>45</v>
      </c>
      <c r="E17" s="55">
        <f>Segmented!J291</f>
        <v>789.31624793152037</v>
      </c>
      <c r="F17" s="55">
        <f>Segmented!K291</f>
        <v>0</v>
      </c>
      <c r="G17" s="55" t="s">
        <v>1360</v>
      </c>
      <c r="H17" s="55">
        <f>Segmented!M291</f>
        <v>3.2625817680088827</v>
      </c>
      <c r="I17" s="55">
        <f>Segmented!N291</f>
        <v>0</v>
      </c>
      <c r="J17" s="55">
        <f>Segmented!O291</f>
        <v>0</v>
      </c>
      <c r="K17" s="55">
        <f>Segmented!P291</f>
        <v>0</v>
      </c>
      <c r="L17" s="55">
        <f>Segmented!Q291</f>
        <v>0</v>
      </c>
      <c r="M17" s="55">
        <f>Segmented!R291</f>
        <v>0</v>
      </c>
      <c r="N17" s="55">
        <f>Segmented!S291</f>
        <v>0</v>
      </c>
      <c r="O17" s="55">
        <f>Segmented!T291</f>
        <v>0</v>
      </c>
      <c r="P17" s="55"/>
      <c r="Q17" t="s">
        <v>1350</v>
      </c>
    </row>
    <row r="18" spans="1:17" ht="25.5">
      <c r="A18" s="55" t="str">
        <f>Segmented!F292</f>
        <v>WINDOW CL30 Prime Window Replacement of Single Pane Base_Electric FAF</v>
      </c>
      <c r="B18" s="55" t="str">
        <f>Segmented!G292</f>
        <v>WINDOW CL30 Prime Window Replacement of Single Pane Base</v>
      </c>
      <c r="C18" s="55">
        <f>Segmented!H292</f>
        <v>1283.8865724711759</v>
      </c>
      <c r="D18" s="55">
        <f>Segmented!I292</f>
        <v>45</v>
      </c>
      <c r="E18" s="55">
        <f>Segmented!J292</f>
        <v>1388.7391906273035</v>
      </c>
      <c r="F18" s="55">
        <f>Segmented!K292</f>
        <v>0</v>
      </c>
      <c r="G18" s="55" t="s">
        <v>1360</v>
      </c>
      <c r="H18" s="55">
        <f>Segmented!M292</f>
        <v>11.429869249961627</v>
      </c>
      <c r="I18" s="55">
        <f>Segmented!N292</f>
        <v>0</v>
      </c>
      <c r="J18" s="55">
        <f>Segmented!O292</f>
        <v>0</v>
      </c>
      <c r="K18" s="55">
        <f>Segmented!P292</f>
        <v>0</v>
      </c>
      <c r="L18" s="55">
        <f>Segmented!Q292</f>
        <v>0</v>
      </c>
      <c r="M18" s="55">
        <f>Segmented!R292</f>
        <v>0</v>
      </c>
      <c r="N18" s="55">
        <f>Segmented!S292</f>
        <v>0</v>
      </c>
      <c r="O18" s="55">
        <f>Segmented!T292</f>
        <v>0</v>
      </c>
      <c r="P18" s="55"/>
      <c r="Q18" t="s">
        <v>1350</v>
      </c>
    </row>
    <row r="19" spans="1:17" ht="25.5">
      <c r="A19" s="55" t="str">
        <f>Segmented!F293</f>
        <v>WINDOW CL30 Prime Window Replacement of Double Pane Base_Electric FAF</v>
      </c>
      <c r="B19" s="55" t="str">
        <f>Segmented!G293</f>
        <v>WINDOW CL30 Prime Window Replacement of Double Pane Base</v>
      </c>
      <c r="C19" s="55">
        <f>Segmented!H293</f>
        <v>467.15615060917264</v>
      </c>
      <c r="D19" s="55">
        <f>Segmented!I293</f>
        <v>45</v>
      </c>
      <c r="E19" s="55">
        <f>Segmented!J293</f>
        <v>1388.7391906273035</v>
      </c>
      <c r="F19" s="55">
        <f>Segmented!K293</f>
        <v>0</v>
      </c>
      <c r="G19" s="55" t="s">
        <v>1360</v>
      </c>
      <c r="H19" s="55">
        <f>Segmented!M293</f>
        <v>3.8475952594034228</v>
      </c>
      <c r="I19" s="55">
        <f>Segmented!N293</f>
        <v>0</v>
      </c>
      <c r="J19" s="55">
        <f>Segmented!O293</f>
        <v>0</v>
      </c>
      <c r="K19" s="55">
        <f>Segmented!P293</f>
        <v>0</v>
      </c>
      <c r="L19" s="55">
        <f>Segmented!Q293</f>
        <v>0</v>
      </c>
      <c r="M19" s="55">
        <f>Segmented!R293</f>
        <v>0</v>
      </c>
      <c r="N19" s="55">
        <f>Segmented!S293</f>
        <v>0</v>
      </c>
      <c r="O19" s="55">
        <f>Segmented!T293</f>
        <v>0</v>
      </c>
      <c r="P19" s="55"/>
      <c r="Q19" t="s">
        <v>1350</v>
      </c>
    </row>
    <row r="20" spans="1:17" ht="25.5">
      <c r="A20" s="55" t="str">
        <f>Segmented!F294</f>
        <v>WINDOW CL22 Prime Window Replacement of Single Pane Base_Electric FAF</v>
      </c>
      <c r="B20" s="55" t="str">
        <f>Segmented!G294</f>
        <v>WINDOW CL22 Prime Window Replacement of Single Pane Base</v>
      </c>
      <c r="C20" s="55">
        <f>Segmented!H294</f>
        <v>1401.058988837091</v>
      </c>
      <c r="D20" s="55">
        <f>Segmented!I294</f>
        <v>45</v>
      </c>
      <c r="E20" s="55">
        <f>Segmented!J294</f>
        <v>1635.52300175959</v>
      </c>
      <c r="F20" s="55">
        <f>Segmented!K294</f>
        <v>0</v>
      </c>
      <c r="G20" s="55" t="s">
        <v>1360</v>
      </c>
      <c r="H20" s="55">
        <f>Segmented!M294</f>
        <v>12.739633986201129</v>
      </c>
      <c r="I20" s="55">
        <f>Segmented!N294</f>
        <v>0</v>
      </c>
      <c r="J20" s="55">
        <f>Segmented!O294</f>
        <v>0</v>
      </c>
      <c r="K20" s="55">
        <f>Segmented!P294</f>
        <v>0</v>
      </c>
      <c r="L20" s="55">
        <f>Segmented!Q294</f>
        <v>0</v>
      </c>
      <c r="M20" s="55">
        <f>Segmented!R294</f>
        <v>0</v>
      </c>
      <c r="N20" s="55">
        <f>Segmented!S294</f>
        <v>0</v>
      </c>
      <c r="O20" s="55">
        <f>Segmented!T294</f>
        <v>0</v>
      </c>
      <c r="P20" s="55"/>
      <c r="Q20" t="s">
        <v>1350</v>
      </c>
    </row>
    <row r="21" spans="1:17" ht="25.5">
      <c r="A21" s="55" t="str">
        <f>Segmented!F295</f>
        <v>WINDOW CL22 Prime Window Replacement of Double Pane Base_Electric FAF</v>
      </c>
      <c r="B21" s="55" t="str">
        <f>Segmented!G295</f>
        <v>WINDOW CL22 Prime Window Replacement of Double Pane Base</v>
      </c>
      <c r="C21" s="55">
        <f>Segmented!H295</f>
        <v>547.172908804023</v>
      </c>
      <c r="D21" s="55">
        <f>Segmented!I295</f>
        <v>45</v>
      </c>
      <c r="E21" s="55">
        <f>Segmented!J295</f>
        <v>1635.52300175959</v>
      </c>
      <c r="F21" s="55">
        <f>Segmented!K295</f>
        <v>0</v>
      </c>
      <c r="G21" s="55" t="s">
        <v>1360</v>
      </c>
      <c r="H21" s="55">
        <f>Segmented!M295</f>
        <v>4.6614718990242254</v>
      </c>
      <c r="I21" s="55">
        <f>Segmented!N295</f>
        <v>0</v>
      </c>
      <c r="J21" s="55">
        <f>Segmented!O295</f>
        <v>0</v>
      </c>
      <c r="K21" s="55">
        <f>Segmented!P295</f>
        <v>0</v>
      </c>
      <c r="L21" s="55">
        <f>Segmented!Q295</f>
        <v>0</v>
      </c>
      <c r="M21" s="55">
        <f>Segmented!R295</f>
        <v>0</v>
      </c>
      <c r="N21" s="55">
        <f>Segmented!S295</f>
        <v>0</v>
      </c>
      <c r="O21" s="55">
        <f>Segmented!T295</f>
        <v>0</v>
      </c>
      <c r="P21" s="55"/>
      <c r="Q21" t="s">
        <v>1350</v>
      </c>
    </row>
    <row r="22" spans="1:17">
      <c r="A22" s="55" t="str">
        <f>Segmented!F296</f>
        <v>CFM50 Infiltration Reduction_Electric FAF</v>
      </c>
      <c r="B22" s="55" t="str">
        <f>Segmented!G296</f>
        <v>CFM50 Infiltration Reduction</v>
      </c>
      <c r="C22" s="55">
        <f>Segmented!H296</f>
        <v>500.15900572500374</v>
      </c>
      <c r="D22" s="55">
        <f>Segmented!I296</f>
        <v>15</v>
      </c>
      <c r="E22" s="55">
        <f>Segmented!J296</f>
        <v>555.67373558374129</v>
      </c>
      <c r="F22" s="55">
        <f>Segmented!K296</f>
        <v>0</v>
      </c>
      <c r="G22" s="55" t="s">
        <v>1360</v>
      </c>
      <c r="H22" s="55">
        <f>Segmented!M296</f>
        <v>4.5518096199345557</v>
      </c>
      <c r="I22" s="55">
        <f>Segmented!N296</f>
        <v>0</v>
      </c>
      <c r="J22" s="55">
        <f>Segmented!O296</f>
        <v>0</v>
      </c>
      <c r="K22" s="55">
        <f>Segmented!P296</f>
        <v>0</v>
      </c>
      <c r="L22" s="55">
        <f>Segmented!Q296</f>
        <v>0</v>
      </c>
      <c r="M22" s="55">
        <f>Segmented!R296</f>
        <v>0</v>
      </c>
      <c r="N22" s="55">
        <f>Segmented!S296</f>
        <v>0</v>
      </c>
      <c r="O22" s="55">
        <f>Segmented!T296</f>
        <v>0</v>
      </c>
      <c r="P22" s="55"/>
      <c r="Q22" t="s">
        <v>1350</v>
      </c>
    </row>
    <row r="23" spans="1:17">
      <c r="A23" s="55" t="str">
        <f>Segmented!F297</f>
        <v>ATTIC R0 - R38_Electric Zonal</v>
      </c>
      <c r="B23" s="55" t="str">
        <f>Segmented!G297</f>
        <v>ATTIC R0 - R38</v>
      </c>
      <c r="C23" s="55">
        <f>Segmented!H297</f>
        <v>1222.3337993624796</v>
      </c>
      <c r="D23" s="55">
        <f>Segmented!I297</f>
        <v>45</v>
      </c>
      <c r="E23" s="55">
        <f>Segmented!J297</f>
        <v>580.85648064073723</v>
      </c>
      <c r="F23" s="55">
        <f>Segmented!K297</f>
        <v>0</v>
      </c>
      <c r="G23" s="55" t="s">
        <v>1360</v>
      </c>
      <c r="H23" s="55">
        <f>Segmented!M297</f>
        <v>4.2084590120498966</v>
      </c>
      <c r="I23" s="55">
        <f>Segmented!N297</f>
        <v>0</v>
      </c>
      <c r="J23" s="55">
        <f>Segmented!O297</f>
        <v>0</v>
      </c>
      <c r="K23" s="55">
        <f>Segmented!P297</f>
        <v>0</v>
      </c>
      <c r="L23" s="55">
        <f>Segmented!Q297</f>
        <v>0</v>
      </c>
      <c r="M23" s="55">
        <f>Segmented!R297</f>
        <v>0</v>
      </c>
      <c r="N23" s="55">
        <f>Segmented!S297</f>
        <v>0</v>
      </c>
      <c r="O23" s="55">
        <f>Segmented!T297</f>
        <v>0</v>
      </c>
      <c r="P23" s="55"/>
      <c r="Q23" t="s">
        <v>1350</v>
      </c>
    </row>
    <row r="24" spans="1:17">
      <c r="A24" s="55" t="str">
        <f>Segmented!F298</f>
        <v>ATTIC R0 - R49_Electric Zonal</v>
      </c>
      <c r="B24" s="55" t="str">
        <f>Segmented!G298</f>
        <v>ATTIC R0 - R49</v>
      </c>
      <c r="C24" s="55">
        <f>Segmented!H298</f>
        <v>1239.8590754179866</v>
      </c>
      <c r="D24" s="55">
        <f>Segmented!I298</f>
        <v>45</v>
      </c>
      <c r="E24" s="55">
        <f>Segmented!J298</f>
        <v>663.32648072192512</v>
      </c>
      <c r="F24" s="55">
        <f>Segmented!K298</f>
        <v>0</v>
      </c>
      <c r="G24" s="55" t="s">
        <v>1360</v>
      </c>
      <c r="H24" s="55">
        <f>Segmented!M298</f>
        <v>4.3492668621162434</v>
      </c>
      <c r="I24" s="55">
        <f>Segmented!N298</f>
        <v>0</v>
      </c>
      <c r="J24" s="55">
        <f>Segmented!O298</f>
        <v>0</v>
      </c>
      <c r="K24" s="55">
        <f>Segmented!P298</f>
        <v>0</v>
      </c>
      <c r="L24" s="55">
        <f>Segmented!Q298</f>
        <v>0</v>
      </c>
      <c r="M24" s="55">
        <f>Segmented!R298</f>
        <v>0</v>
      </c>
      <c r="N24" s="55">
        <f>Segmented!S298</f>
        <v>0</v>
      </c>
      <c r="O24" s="55">
        <f>Segmented!T298</f>
        <v>0</v>
      </c>
      <c r="P24" s="55"/>
      <c r="Q24" t="s">
        <v>1350</v>
      </c>
    </row>
    <row r="25" spans="1:17">
      <c r="A25" s="55" t="str">
        <f>Segmented!F299</f>
        <v>ATTIC R11 - R38_Electric Zonal</v>
      </c>
      <c r="B25" s="55" t="str">
        <f>Segmented!G299</f>
        <v>ATTIC R11 - R38</v>
      </c>
      <c r="C25" s="55">
        <f>Segmented!H299</f>
        <v>212.07672619462036</v>
      </c>
      <c r="D25" s="55">
        <f>Segmented!I299</f>
        <v>45</v>
      </c>
      <c r="E25" s="55">
        <f>Segmented!J299</f>
        <v>498.386480559549</v>
      </c>
      <c r="F25" s="55">
        <f>Segmented!K299</f>
        <v>0</v>
      </c>
      <c r="G25" s="55" t="s">
        <v>1360</v>
      </c>
      <c r="H25" s="55">
        <f>Segmented!M299</f>
        <v>1.6394843137132875</v>
      </c>
      <c r="I25" s="55">
        <f>Segmented!N299</f>
        <v>0</v>
      </c>
      <c r="J25" s="55">
        <f>Segmented!O299</f>
        <v>0</v>
      </c>
      <c r="K25" s="55">
        <f>Segmented!P299</f>
        <v>0</v>
      </c>
      <c r="L25" s="55">
        <f>Segmented!Q299</f>
        <v>0</v>
      </c>
      <c r="M25" s="55">
        <f>Segmented!R299</f>
        <v>0</v>
      </c>
      <c r="N25" s="55">
        <f>Segmented!S299</f>
        <v>0</v>
      </c>
      <c r="O25" s="55">
        <f>Segmented!T299</f>
        <v>0</v>
      </c>
      <c r="P25" s="55"/>
      <c r="Q25" t="s">
        <v>1350</v>
      </c>
    </row>
    <row r="26" spans="1:17">
      <c r="A26" s="55" t="str">
        <f>Segmented!F300</f>
        <v>ATTIC R11 - R49_Electric Zonal</v>
      </c>
      <c r="B26" s="55" t="str">
        <f>Segmented!G300</f>
        <v>ATTIC R11 - R49</v>
      </c>
      <c r="C26" s="55">
        <f>Segmented!H300</f>
        <v>230.14222000388187</v>
      </c>
      <c r="D26" s="55">
        <f>Segmented!I300</f>
        <v>45</v>
      </c>
      <c r="E26" s="55">
        <f>Segmented!J300</f>
        <v>580.85648064073723</v>
      </c>
      <c r="F26" s="55">
        <f>Segmented!K300</f>
        <v>0</v>
      </c>
      <c r="G26" s="55" t="s">
        <v>1360</v>
      </c>
      <c r="H26" s="55">
        <f>Segmented!M300</f>
        <v>1.7998266520308326</v>
      </c>
      <c r="I26" s="55">
        <f>Segmented!N300</f>
        <v>0</v>
      </c>
      <c r="J26" s="55">
        <f>Segmented!O300</f>
        <v>0</v>
      </c>
      <c r="K26" s="55">
        <f>Segmented!P300</f>
        <v>0</v>
      </c>
      <c r="L26" s="55">
        <f>Segmented!Q300</f>
        <v>0</v>
      </c>
      <c r="M26" s="55">
        <f>Segmented!R300</f>
        <v>0</v>
      </c>
      <c r="N26" s="55">
        <f>Segmented!S300</f>
        <v>0</v>
      </c>
      <c r="O26" s="55">
        <f>Segmented!T300</f>
        <v>0</v>
      </c>
      <c r="P26" s="55"/>
      <c r="Q26" t="s">
        <v>1350</v>
      </c>
    </row>
    <row r="27" spans="1:17">
      <c r="A27" s="55" t="str">
        <f>Segmented!F301</f>
        <v>ATTIC R19 - R38_Electric Zonal</v>
      </c>
      <c r="B27" s="55" t="str">
        <f>Segmented!G301</f>
        <v>ATTIC R19 - R38</v>
      </c>
      <c r="C27" s="55">
        <f>Segmented!H301</f>
        <v>110.75686088517382</v>
      </c>
      <c r="D27" s="55">
        <f>Segmented!I301</f>
        <v>45</v>
      </c>
      <c r="E27" s="55">
        <f>Segmented!J301</f>
        <v>438.40829868232129</v>
      </c>
      <c r="F27" s="55">
        <f>Segmented!K301</f>
        <v>0</v>
      </c>
      <c r="G27" s="55" t="s">
        <v>1360</v>
      </c>
      <c r="H27" s="55">
        <f>Segmented!M301</f>
        <v>0.88101757716384188</v>
      </c>
      <c r="I27" s="55">
        <f>Segmented!N301</f>
        <v>0</v>
      </c>
      <c r="J27" s="55">
        <f>Segmented!O301</f>
        <v>0</v>
      </c>
      <c r="K27" s="55">
        <f>Segmented!P301</f>
        <v>0</v>
      </c>
      <c r="L27" s="55">
        <f>Segmented!Q301</f>
        <v>0</v>
      </c>
      <c r="M27" s="55">
        <f>Segmented!R301</f>
        <v>0</v>
      </c>
      <c r="N27" s="55">
        <f>Segmented!S301</f>
        <v>0</v>
      </c>
      <c r="O27" s="55">
        <f>Segmented!T301</f>
        <v>0</v>
      </c>
      <c r="P27" s="55"/>
      <c r="Q27" t="s">
        <v>1350</v>
      </c>
    </row>
    <row r="28" spans="1:17">
      <c r="A28" s="55" t="str">
        <f>Segmented!F302</f>
        <v>ATTIC R19 - R49_Electric Zonal</v>
      </c>
      <c r="B28" s="55" t="str">
        <f>Segmented!G302</f>
        <v>ATTIC R19 - R49</v>
      </c>
      <c r="C28" s="55">
        <f>Segmented!H302</f>
        <v>133.47703339327217</v>
      </c>
      <c r="D28" s="55">
        <f>Segmented!I302</f>
        <v>45</v>
      </c>
      <c r="E28" s="55">
        <f>Segmented!J302</f>
        <v>520.87829876350941</v>
      </c>
      <c r="F28" s="55">
        <f>Segmented!K302</f>
        <v>0</v>
      </c>
      <c r="G28" s="55" t="s">
        <v>1360</v>
      </c>
      <c r="H28" s="55">
        <f>Segmented!M302</f>
        <v>1.0738315787942998</v>
      </c>
      <c r="I28" s="55">
        <f>Segmented!N302</f>
        <v>0</v>
      </c>
      <c r="J28" s="55">
        <f>Segmented!O302</f>
        <v>0</v>
      </c>
      <c r="K28" s="55">
        <f>Segmented!P302</f>
        <v>0</v>
      </c>
      <c r="L28" s="55">
        <f>Segmented!Q302</f>
        <v>0</v>
      </c>
      <c r="M28" s="55">
        <f>Segmented!R302</f>
        <v>0</v>
      </c>
      <c r="N28" s="55">
        <f>Segmented!S302</f>
        <v>0</v>
      </c>
      <c r="O28" s="55">
        <f>Segmented!T302</f>
        <v>0</v>
      </c>
      <c r="P28" s="55"/>
      <c r="Q28" t="s">
        <v>1350</v>
      </c>
    </row>
    <row r="29" spans="1:17">
      <c r="A29" s="55" t="str">
        <f>Segmented!F303</f>
        <v>WALL R0 - R11_Electric Zonal</v>
      </c>
      <c r="B29" s="55" t="str">
        <f>Segmented!G303</f>
        <v>WALL R0 - R11</v>
      </c>
      <c r="C29" s="55">
        <f>Segmented!H303</f>
        <v>1167.7505950587251</v>
      </c>
      <c r="D29" s="55">
        <f>Segmented!I303</f>
        <v>45</v>
      </c>
      <c r="E29" s="55">
        <f>Segmented!J303</f>
        <v>1034.2534120831954</v>
      </c>
      <c r="F29" s="55">
        <f>Segmented!K303</f>
        <v>0</v>
      </c>
      <c r="G29" s="55" t="s">
        <v>1360</v>
      </c>
      <c r="H29" s="55">
        <f>Segmented!M303</f>
        <v>5.5323303467421932</v>
      </c>
      <c r="I29" s="55">
        <f>Segmented!N303</f>
        <v>0</v>
      </c>
      <c r="J29" s="55">
        <f>Segmented!O303</f>
        <v>0</v>
      </c>
      <c r="K29" s="55">
        <f>Segmented!P303</f>
        <v>0</v>
      </c>
      <c r="L29" s="55">
        <f>Segmented!Q303</f>
        <v>0</v>
      </c>
      <c r="M29" s="55">
        <f>Segmented!R303</f>
        <v>0</v>
      </c>
      <c r="N29" s="55">
        <f>Segmented!S303</f>
        <v>0</v>
      </c>
      <c r="O29" s="55">
        <f>Segmented!T303</f>
        <v>0</v>
      </c>
      <c r="P29" s="55"/>
      <c r="Q29" t="s">
        <v>1350</v>
      </c>
    </row>
    <row r="30" spans="1:17">
      <c r="A30" s="55" t="str">
        <f>Segmented!F304</f>
        <v>FLOOR R0 - R19_Electric Zonal</v>
      </c>
      <c r="B30" s="55" t="str">
        <f>Segmented!G304</f>
        <v>FLOOR R0 - R19</v>
      </c>
      <c r="C30" s="55">
        <f>Segmented!H304</f>
        <v>552.49400196960858</v>
      </c>
      <c r="D30" s="55">
        <f>Segmented!I304</f>
        <v>45</v>
      </c>
      <c r="E30" s="55">
        <f>Segmented!J304</f>
        <v>727.98596173202009</v>
      </c>
      <c r="F30" s="55">
        <f>Segmented!K304</f>
        <v>0</v>
      </c>
      <c r="G30" s="55" t="s">
        <v>1360</v>
      </c>
      <c r="H30" s="55">
        <f>Segmented!M304</f>
        <v>2.3825284622748026</v>
      </c>
      <c r="I30" s="55">
        <f>Segmented!N304</f>
        <v>0</v>
      </c>
      <c r="J30" s="55">
        <f>Segmented!O304</f>
        <v>0</v>
      </c>
      <c r="K30" s="55">
        <f>Segmented!P304</f>
        <v>0</v>
      </c>
      <c r="L30" s="55">
        <f>Segmented!Q304</f>
        <v>0</v>
      </c>
      <c r="M30" s="55">
        <f>Segmented!R304</f>
        <v>0</v>
      </c>
      <c r="N30" s="55">
        <f>Segmented!S304</f>
        <v>0</v>
      </c>
      <c r="O30" s="55">
        <f>Segmented!T304</f>
        <v>0</v>
      </c>
      <c r="P30" s="55"/>
      <c r="Q30" t="s">
        <v>1350</v>
      </c>
    </row>
    <row r="31" spans="1:17">
      <c r="A31" s="55" t="str">
        <f>Segmented!F305</f>
        <v>FLOOR R0 - R25_Electric Zonal</v>
      </c>
      <c r="B31" s="55" t="str">
        <f>Segmented!G305</f>
        <v>FLOOR R0 - R25</v>
      </c>
      <c r="C31" s="55">
        <f>Segmented!H305</f>
        <v>591.89090970682207</v>
      </c>
      <c r="D31" s="55">
        <f>Segmented!I305</f>
        <v>45</v>
      </c>
      <c r="E31" s="55">
        <f>Segmented!J305</f>
        <v>755.86367137636603</v>
      </c>
      <c r="F31" s="55">
        <f>Segmented!K305</f>
        <v>0</v>
      </c>
      <c r="G31" s="55" t="s">
        <v>1360</v>
      </c>
      <c r="H31" s="55">
        <f>Segmented!M305</f>
        <v>2.7375282373553889</v>
      </c>
      <c r="I31" s="55">
        <f>Segmented!N305</f>
        <v>0</v>
      </c>
      <c r="J31" s="55">
        <f>Segmented!O305</f>
        <v>0</v>
      </c>
      <c r="K31" s="55">
        <f>Segmented!P305</f>
        <v>0</v>
      </c>
      <c r="L31" s="55">
        <f>Segmented!Q305</f>
        <v>0</v>
      </c>
      <c r="M31" s="55">
        <f>Segmented!R305</f>
        <v>0</v>
      </c>
      <c r="N31" s="55">
        <f>Segmented!S305</f>
        <v>0</v>
      </c>
      <c r="O31" s="55">
        <f>Segmented!T305</f>
        <v>0</v>
      </c>
      <c r="P31" s="55"/>
      <c r="Q31" t="s">
        <v>1350</v>
      </c>
    </row>
    <row r="32" spans="1:17">
      <c r="A32" s="55" t="str">
        <f>Segmented!F306</f>
        <v>FLOOR R0 - R30_Electric Zonal</v>
      </c>
      <c r="B32" s="55" t="str">
        <f>Segmented!G306</f>
        <v>FLOOR R0 - R30</v>
      </c>
      <c r="C32" s="55">
        <f>Segmented!H306</f>
        <v>616.43299856875319</v>
      </c>
      <c r="D32" s="55">
        <f>Segmented!I306</f>
        <v>45</v>
      </c>
      <c r="E32" s="55">
        <f>Segmented!J306</f>
        <v>779.09509607998802</v>
      </c>
      <c r="F32" s="55">
        <f>Segmented!K306</f>
        <v>0</v>
      </c>
      <c r="G32" s="55" t="s">
        <v>1360</v>
      </c>
      <c r="H32" s="55">
        <f>Segmented!M306</f>
        <v>2.9714212484320175</v>
      </c>
      <c r="I32" s="55">
        <f>Segmented!N306</f>
        <v>0</v>
      </c>
      <c r="J32" s="55">
        <f>Segmented!O306</f>
        <v>0</v>
      </c>
      <c r="K32" s="55">
        <f>Segmented!P306</f>
        <v>0</v>
      </c>
      <c r="L32" s="55">
        <f>Segmented!Q306</f>
        <v>0</v>
      </c>
      <c r="M32" s="55">
        <f>Segmented!R306</f>
        <v>0</v>
      </c>
      <c r="N32" s="55">
        <f>Segmented!S306</f>
        <v>0</v>
      </c>
      <c r="O32" s="55">
        <f>Segmented!T306</f>
        <v>0</v>
      </c>
      <c r="P32" s="55"/>
      <c r="Q32" t="s">
        <v>1350</v>
      </c>
    </row>
    <row r="33" spans="1:17" ht="25.5">
      <c r="A33" s="55" t="str">
        <f>Segmented!F307</f>
        <v>WINDOW CL30 Prime Window Replacement of Single Pane Base_Electric Zonal</v>
      </c>
      <c r="B33" s="55" t="str">
        <f>Segmented!G307</f>
        <v>WINDOW CL30 Prime Window Replacement of Single Pane Base</v>
      </c>
      <c r="C33" s="55">
        <f>Segmented!H307</f>
        <v>655.98184804034759</v>
      </c>
      <c r="D33" s="55">
        <f>Segmented!I307</f>
        <v>45</v>
      </c>
      <c r="E33" s="55">
        <f>Segmented!J307</f>
        <v>1370.7558864868229</v>
      </c>
      <c r="F33" s="55">
        <f>Segmented!K307</f>
        <v>0</v>
      </c>
      <c r="G33" s="55" t="s">
        <v>1360</v>
      </c>
      <c r="H33" s="55">
        <f>Segmented!M307</f>
        <v>5.1631502441734076</v>
      </c>
      <c r="I33" s="55">
        <f>Segmented!N307</f>
        <v>0</v>
      </c>
      <c r="J33" s="55">
        <f>Segmented!O307</f>
        <v>0</v>
      </c>
      <c r="K33" s="55">
        <f>Segmented!P307</f>
        <v>0</v>
      </c>
      <c r="L33" s="55">
        <f>Segmented!Q307</f>
        <v>0</v>
      </c>
      <c r="M33" s="55">
        <f>Segmented!R307</f>
        <v>0</v>
      </c>
      <c r="N33" s="55">
        <f>Segmented!S307</f>
        <v>0</v>
      </c>
      <c r="O33" s="55">
        <f>Segmented!T307</f>
        <v>0</v>
      </c>
      <c r="P33" s="55"/>
      <c r="Q33" t="s">
        <v>1350</v>
      </c>
    </row>
    <row r="34" spans="1:17" ht="25.5">
      <c r="A34" s="55" t="str">
        <f>Segmented!F308</f>
        <v>WINDOW CL30 Prime Window Replacement of Double Pane Base_Electric Zonal</v>
      </c>
      <c r="B34" s="55" t="str">
        <f>Segmented!G308</f>
        <v>WINDOW CL30 Prime Window Replacement of Double Pane Base</v>
      </c>
      <c r="C34" s="55">
        <f>Segmented!H308</f>
        <v>352.06496377238204</v>
      </c>
      <c r="D34" s="55">
        <f>Segmented!I308</f>
        <v>45</v>
      </c>
      <c r="E34" s="55">
        <f>Segmented!J308</f>
        <v>1370.7558864868229</v>
      </c>
      <c r="F34" s="55">
        <f>Segmented!K308</f>
        <v>0</v>
      </c>
      <c r="G34" s="55" t="s">
        <v>1360</v>
      </c>
      <c r="H34" s="55">
        <f>Segmented!M308</f>
        <v>2.8081046191433794</v>
      </c>
      <c r="I34" s="55">
        <f>Segmented!N308</f>
        <v>0</v>
      </c>
      <c r="J34" s="55">
        <f>Segmented!O308</f>
        <v>0</v>
      </c>
      <c r="K34" s="55">
        <f>Segmented!P308</f>
        <v>0</v>
      </c>
      <c r="L34" s="55">
        <f>Segmented!Q308</f>
        <v>0</v>
      </c>
      <c r="M34" s="55">
        <f>Segmented!R308</f>
        <v>0</v>
      </c>
      <c r="N34" s="55">
        <f>Segmented!S308</f>
        <v>0</v>
      </c>
      <c r="O34" s="55">
        <f>Segmented!T308</f>
        <v>0</v>
      </c>
      <c r="P34" s="55"/>
      <c r="Q34" t="s">
        <v>1350</v>
      </c>
    </row>
    <row r="35" spans="1:17" ht="25.5">
      <c r="A35" s="55" t="str">
        <f>Segmented!F309</f>
        <v>WINDOW CL22 Prime Window Replacement of Single Pane Base_Electric Zonal</v>
      </c>
      <c r="B35" s="55" t="str">
        <f>Segmented!G309</f>
        <v>WINDOW CL22 Prime Window Replacement of Single Pane Base</v>
      </c>
      <c r="C35" s="55">
        <f>Segmented!H309</f>
        <v>715.78848940991941</v>
      </c>
      <c r="D35" s="55">
        <f>Segmented!I309</f>
        <v>45</v>
      </c>
      <c r="E35" s="55">
        <f>Segmented!J309</f>
        <v>1614.3440015787794</v>
      </c>
      <c r="F35" s="55">
        <f>Segmented!K309</f>
        <v>0</v>
      </c>
      <c r="G35" s="55" t="s">
        <v>1360</v>
      </c>
      <c r="H35" s="55">
        <f>Segmented!M309</f>
        <v>5.7650572046379827</v>
      </c>
      <c r="I35" s="55">
        <f>Segmented!N309</f>
        <v>0</v>
      </c>
      <c r="J35" s="55">
        <f>Segmented!O309</f>
        <v>0</v>
      </c>
      <c r="K35" s="55">
        <f>Segmented!P309</f>
        <v>0</v>
      </c>
      <c r="L35" s="55">
        <f>Segmented!Q309</f>
        <v>0</v>
      </c>
      <c r="M35" s="55">
        <f>Segmented!R309</f>
        <v>0</v>
      </c>
      <c r="N35" s="55">
        <f>Segmented!S309</f>
        <v>0</v>
      </c>
      <c r="O35" s="55">
        <f>Segmented!T309</f>
        <v>0</v>
      </c>
      <c r="P35" s="55"/>
      <c r="Q35" t="s">
        <v>1350</v>
      </c>
    </row>
    <row r="36" spans="1:17" ht="25.5">
      <c r="A36" s="55" t="str">
        <f>Segmented!F310</f>
        <v>WINDOW CL22 Prime Window Replacement of Double Pane Base_Electric Zonal</v>
      </c>
      <c r="B36" s="55" t="str">
        <f>Segmented!G310</f>
        <v>WINDOW CL22 Prime Window Replacement of Double Pane Base</v>
      </c>
      <c r="C36" s="55">
        <f>Segmented!H310</f>
        <v>412.15597645124757</v>
      </c>
      <c r="D36" s="55">
        <f>Segmented!I310</f>
        <v>45</v>
      </c>
      <c r="E36" s="55">
        <f>Segmented!J310</f>
        <v>1614.3440015787794</v>
      </c>
      <c r="F36" s="55">
        <f>Segmented!K310</f>
        <v>0</v>
      </c>
      <c r="G36" s="55" t="s">
        <v>1360</v>
      </c>
      <c r="H36" s="55">
        <f>Segmented!M310</f>
        <v>3.426854908192754</v>
      </c>
      <c r="I36" s="55">
        <f>Segmented!N310</f>
        <v>0</v>
      </c>
      <c r="J36" s="55">
        <f>Segmented!O310</f>
        <v>0</v>
      </c>
      <c r="K36" s="55">
        <f>Segmented!P310</f>
        <v>0</v>
      </c>
      <c r="L36" s="55">
        <f>Segmented!Q310</f>
        <v>0</v>
      </c>
      <c r="M36" s="55">
        <f>Segmented!R310</f>
        <v>0</v>
      </c>
      <c r="N36" s="55">
        <f>Segmented!S310</f>
        <v>0</v>
      </c>
      <c r="O36" s="55">
        <f>Segmented!T310</f>
        <v>0</v>
      </c>
      <c r="P36" s="55"/>
      <c r="Q36" t="s">
        <v>1350</v>
      </c>
    </row>
    <row r="37" spans="1:17">
      <c r="A37" s="55" t="str">
        <f>Segmented!F311</f>
        <v>CFM50 Infiltration Reduction_Electric Zonal</v>
      </c>
      <c r="B37" s="55" t="str">
        <f>Segmented!G311</f>
        <v>CFM50 Infiltration Reduction</v>
      </c>
      <c r="C37" s="55">
        <f>Segmented!H311</f>
        <v>400.68435275728524</v>
      </c>
      <c r="D37" s="55">
        <f>Segmented!I311</f>
        <v>15</v>
      </c>
      <c r="E37" s="55">
        <f>Segmented!J311</f>
        <v>548.47810817052937</v>
      </c>
      <c r="F37" s="55">
        <f>Segmented!K311</f>
        <v>0</v>
      </c>
      <c r="G37" s="55" t="s">
        <v>1360</v>
      </c>
      <c r="H37" s="55">
        <f>Segmented!M311</f>
        <v>3.5592063412578261</v>
      </c>
      <c r="I37" s="55">
        <f>Segmented!N311</f>
        <v>0</v>
      </c>
      <c r="J37" s="55">
        <f>Segmented!O311</f>
        <v>0</v>
      </c>
      <c r="K37" s="55">
        <f>Segmented!P311</f>
        <v>0</v>
      </c>
      <c r="L37" s="55">
        <f>Segmented!Q311</f>
        <v>0</v>
      </c>
      <c r="M37" s="55">
        <f>Segmented!R311</f>
        <v>0</v>
      </c>
      <c r="N37" s="55">
        <f>Segmented!S311</f>
        <v>0</v>
      </c>
      <c r="O37" s="55">
        <f>Segmented!T311</f>
        <v>0</v>
      </c>
      <c r="P37" s="55"/>
      <c r="Q37" t="s">
        <v>1350</v>
      </c>
    </row>
    <row r="38" spans="1:17">
      <c r="A38" s="55" t="str">
        <f>Segmented!F312</f>
        <v>ATTIC R0 - R38_Heat Pump</v>
      </c>
      <c r="B38" s="55" t="str">
        <f>Segmented!G312</f>
        <v>ATTIC R0 - R38</v>
      </c>
      <c r="C38" s="55">
        <f>Segmented!H312</f>
        <v>681.23970523263847</v>
      </c>
      <c r="D38" s="55">
        <f>Segmented!I312</f>
        <v>45</v>
      </c>
      <c r="E38" s="55">
        <f>Segmented!J312</f>
        <v>595.71787033770602</v>
      </c>
      <c r="F38" s="55">
        <f>Segmented!K312</f>
        <v>0</v>
      </c>
      <c r="G38" s="55" t="s">
        <v>1360</v>
      </c>
      <c r="H38" s="55">
        <f>Segmented!M312</f>
        <v>2.8459984927732611</v>
      </c>
      <c r="I38" s="55">
        <f>Segmented!N312</f>
        <v>0</v>
      </c>
      <c r="J38" s="55">
        <f>Segmented!O312</f>
        <v>0</v>
      </c>
      <c r="K38" s="55">
        <f>Segmented!P312</f>
        <v>0</v>
      </c>
      <c r="L38" s="55">
        <f>Segmented!Q312</f>
        <v>0</v>
      </c>
      <c r="M38" s="55">
        <f>Segmented!R312</f>
        <v>0</v>
      </c>
      <c r="N38" s="55">
        <f>Segmented!S312</f>
        <v>0</v>
      </c>
      <c r="O38" s="55">
        <f>Segmented!T312</f>
        <v>0</v>
      </c>
      <c r="P38" s="55"/>
      <c r="Q38" t="s">
        <v>1350</v>
      </c>
    </row>
    <row r="39" spans="1:17">
      <c r="A39" s="55" t="str">
        <f>Segmented!F313</f>
        <v>ATTIC R0 - R49_Heat Pump</v>
      </c>
      <c r="B39" s="55" t="str">
        <f>Segmented!G313</f>
        <v>ATTIC R0 - R49</v>
      </c>
      <c r="C39" s="55">
        <f>Segmented!H313</f>
        <v>690.44069557456953</v>
      </c>
      <c r="D39" s="55">
        <f>Segmented!I313</f>
        <v>45</v>
      </c>
      <c r="E39" s="55">
        <f>Segmented!J313</f>
        <v>680.29789045028565</v>
      </c>
      <c r="F39" s="55">
        <f>Segmented!K313</f>
        <v>0</v>
      </c>
      <c r="G39" s="55" t="s">
        <v>1360</v>
      </c>
      <c r="H39" s="55">
        <f>Segmented!M313</f>
        <v>2.9435658809228014</v>
      </c>
      <c r="I39" s="55">
        <f>Segmented!N313</f>
        <v>0</v>
      </c>
      <c r="J39" s="55">
        <f>Segmented!O313</f>
        <v>0</v>
      </c>
      <c r="K39" s="55">
        <f>Segmented!P313</f>
        <v>0</v>
      </c>
      <c r="L39" s="55">
        <f>Segmented!Q313</f>
        <v>0</v>
      </c>
      <c r="M39" s="55">
        <f>Segmented!R313</f>
        <v>0</v>
      </c>
      <c r="N39" s="55">
        <f>Segmented!S313</f>
        <v>0</v>
      </c>
      <c r="O39" s="55">
        <f>Segmented!T313</f>
        <v>0</v>
      </c>
      <c r="P39" s="55"/>
      <c r="Q39" t="s">
        <v>1350</v>
      </c>
    </row>
    <row r="40" spans="1:17">
      <c r="A40" s="55" t="str">
        <f>Segmented!F314</f>
        <v>ATTIC R11 - R38_Heat Pump</v>
      </c>
      <c r="B40" s="55" t="str">
        <f>Segmented!G314</f>
        <v>ATTIC R11 - R38</v>
      </c>
      <c r="C40" s="55">
        <f>Segmented!H314</f>
        <v>130.89547865323169</v>
      </c>
      <c r="D40" s="55">
        <f>Segmented!I314</f>
        <v>45</v>
      </c>
      <c r="E40" s="55">
        <f>Segmented!J314</f>
        <v>511.13785022512633</v>
      </c>
      <c r="F40" s="55">
        <f>Segmented!K314</f>
        <v>0</v>
      </c>
      <c r="G40" s="55" t="s">
        <v>1360</v>
      </c>
      <c r="H40" s="55">
        <f>Segmented!M314</f>
        <v>1.1693813047377639</v>
      </c>
      <c r="I40" s="55">
        <f>Segmented!N314</f>
        <v>0</v>
      </c>
      <c r="J40" s="55">
        <f>Segmented!O314</f>
        <v>0</v>
      </c>
      <c r="K40" s="55">
        <f>Segmented!P314</f>
        <v>0</v>
      </c>
      <c r="L40" s="55">
        <f>Segmented!Q314</f>
        <v>0</v>
      </c>
      <c r="M40" s="55">
        <f>Segmented!R314</f>
        <v>0</v>
      </c>
      <c r="N40" s="55">
        <f>Segmented!S314</f>
        <v>0</v>
      </c>
      <c r="O40" s="55">
        <f>Segmented!T314</f>
        <v>0</v>
      </c>
      <c r="P40" s="55"/>
      <c r="Q40" t="s">
        <v>1350</v>
      </c>
    </row>
    <row r="41" spans="1:17">
      <c r="A41" s="55" t="str">
        <f>Segmented!F315</f>
        <v>ATTIC R11 - R49_Heat Pump</v>
      </c>
      <c r="B41" s="55" t="str">
        <f>Segmented!G315</f>
        <v>ATTIC R11 - R49</v>
      </c>
      <c r="C41" s="55">
        <f>Segmented!H315</f>
        <v>141.94847572410728</v>
      </c>
      <c r="D41" s="55">
        <f>Segmented!I315</f>
        <v>45</v>
      </c>
      <c r="E41" s="55">
        <f>Segmented!J315</f>
        <v>595.71787033770602</v>
      </c>
      <c r="F41" s="55">
        <f>Segmented!K315</f>
        <v>0</v>
      </c>
      <c r="G41" s="55" t="s">
        <v>1360</v>
      </c>
      <c r="H41" s="55">
        <f>Segmented!M315</f>
        <v>1.282576143368783</v>
      </c>
      <c r="I41" s="55">
        <f>Segmented!N315</f>
        <v>0</v>
      </c>
      <c r="J41" s="55">
        <f>Segmented!O315</f>
        <v>0</v>
      </c>
      <c r="K41" s="55">
        <f>Segmented!P315</f>
        <v>0</v>
      </c>
      <c r="L41" s="55">
        <f>Segmented!Q315</f>
        <v>0</v>
      </c>
      <c r="M41" s="55">
        <f>Segmented!R315</f>
        <v>0</v>
      </c>
      <c r="N41" s="55">
        <f>Segmented!S315</f>
        <v>0</v>
      </c>
      <c r="O41" s="55">
        <f>Segmented!T315</f>
        <v>0</v>
      </c>
      <c r="P41" s="55"/>
      <c r="Q41" t="s">
        <v>1350</v>
      </c>
    </row>
    <row r="42" spans="1:17">
      <c r="A42" s="55" t="str">
        <f>Segmented!F316</f>
        <v>ATTIC R19 - R38_Heat Pump</v>
      </c>
      <c r="B42" s="55" t="str">
        <f>Segmented!G316</f>
        <v>ATTIC R19 - R38</v>
      </c>
      <c r="C42" s="55">
        <f>Segmented!H316</f>
        <v>66.962070039045258</v>
      </c>
      <c r="D42" s="55">
        <f>Segmented!I316</f>
        <v>45</v>
      </c>
      <c r="E42" s="55">
        <f>Segmented!J316</f>
        <v>449.62510832506831</v>
      </c>
      <c r="F42" s="55">
        <f>Segmented!K316</f>
        <v>0</v>
      </c>
      <c r="G42" s="55" t="s">
        <v>1360</v>
      </c>
      <c r="H42" s="55">
        <f>Segmented!M316</f>
        <v>0.64538046958039907</v>
      </c>
      <c r="I42" s="55">
        <f>Segmented!N316</f>
        <v>0</v>
      </c>
      <c r="J42" s="55">
        <f>Segmented!O316</f>
        <v>0</v>
      </c>
      <c r="K42" s="55">
        <f>Segmented!P316</f>
        <v>0</v>
      </c>
      <c r="L42" s="55">
        <f>Segmented!Q316</f>
        <v>0</v>
      </c>
      <c r="M42" s="55">
        <f>Segmented!R316</f>
        <v>0</v>
      </c>
      <c r="N42" s="55">
        <f>Segmented!S316</f>
        <v>0</v>
      </c>
      <c r="O42" s="55">
        <f>Segmented!T316</f>
        <v>0</v>
      </c>
      <c r="P42" s="55"/>
      <c r="Q42" t="s">
        <v>1350</v>
      </c>
    </row>
    <row r="43" spans="1:17">
      <c r="A43" s="55" t="str">
        <f>Segmented!F317</f>
        <v>ATTIC R19 - R49_Heat Pump</v>
      </c>
      <c r="B43" s="55" t="str">
        <f>Segmented!G317</f>
        <v>ATTIC R19 - R49</v>
      </c>
      <c r="C43" s="55">
        <f>Segmented!H317</f>
        <v>80.649304594009479</v>
      </c>
      <c r="D43" s="55">
        <f>Segmented!I317</f>
        <v>45</v>
      </c>
      <c r="E43" s="55">
        <f>Segmented!J317</f>
        <v>534.20512843764811</v>
      </c>
      <c r="F43" s="55">
        <f>Segmented!K317</f>
        <v>0</v>
      </c>
      <c r="G43" s="55" t="s">
        <v>1360</v>
      </c>
      <c r="H43" s="55">
        <f>Segmented!M317</f>
        <v>0.78472561775308336</v>
      </c>
      <c r="I43" s="55">
        <f>Segmented!N317</f>
        <v>0</v>
      </c>
      <c r="J43" s="55">
        <f>Segmented!O317</f>
        <v>0</v>
      </c>
      <c r="K43" s="55">
        <f>Segmented!P317</f>
        <v>0</v>
      </c>
      <c r="L43" s="55">
        <f>Segmented!Q317</f>
        <v>0</v>
      </c>
      <c r="M43" s="55">
        <f>Segmented!R317</f>
        <v>0</v>
      </c>
      <c r="N43" s="55">
        <f>Segmented!S317</f>
        <v>0</v>
      </c>
      <c r="O43" s="55">
        <f>Segmented!T317</f>
        <v>0</v>
      </c>
      <c r="P43" s="55"/>
      <c r="Q43" t="s">
        <v>1350</v>
      </c>
    </row>
    <row r="44" spans="1:17">
      <c r="A44" s="55" t="str">
        <f>Segmented!F318</f>
        <v>WALL R0 - R11_Heat Pump</v>
      </c>
      <c r="B44" s="55" t="str">
        <f>Segmented!G318</f>
        <v>WALL R0 - R11</v>
      </c>
      <c r="C44" s="55">
        <f>Segmented!H318</f>
        <v>796.94936739987497</v>
      </c>
      <c r="D44" s="55">
        <f>Segmented!I318</f>
        <v>45</v>
      </c>
      <c r="E44" s="55">
        <f>Segmented!J318</f>
        <v>1060.7151001501568</v>
      </c>
      <c r="F44" s="55">
        <f>Segmented!K318</f>
        <v>0</v>
      </c>
      <c r="G44" s="55" t="s">
        <v>1360</v>
      </c>
      <c r="H44" s="55">
        <f>Segmented!M318</f>
        <v>4.9342026567089254</v>
      </c>
      <c r="I44" s="55">
        <f>Segmented!N318</f>
        <v>0</v>
      </c>
      <c r="J44" s="55">
        <f>Segmented!O318</f>
        <v>0</v>
      </c>
      <c r="K44" s="55">
        <f>Segmented!P318</f>
        <v>0</v>
      </c>
      <c r="L44" s="55">
        <f>Segmented!Q318</f>
        <v>0</v>
      </c>
      <c r="M44" s="55">
        <f>Segmented!R318</f>
        <v>0</v>
      </c>
      <c r="N44" s="55">
        <f>Segmented!S318</f>
        <v>0</v>
      </c>
      <c r="O44" s="55">
        <f>Segmented!T318</f>
        <v>0</v>
      </c>
      <c r="P44" s="55"/>
      <c r="Q44" t="s">
        <v>1350</v>
      </c>
    </row>
    <row r="45" spans="1:17">
      <c r="A45" s="55" t="str">
        <f>Segmented!F319</f>
        <v>FLOOR R0 - R19_Heat Pump</v>
      </c>
      <c r="B45" s="55" t="str">
        <f>Segmented!G319</f>
        <v>FLOOR R0 - R19</v>
      </c>
      <c r="C45" s="55">
        <f>Segmented!H319</f>
        <v>139.4214262215456</v>
      </c>
      <c r="D45" s="55">
        <f>Segmented!I319</f>
        <v>45</v>
      </c>
      <c r="E45" s="55">
        <f>Segmented!J319</f>
        <v>746.61170394511896</v>
      </c>
      <c r="F45" s="55">
        <f>Segmented!K319</f>
        <v>0</v>
      </c>
      <c r="G45" s="55" t="s">
        <v>1360</v>
      </c>
      <c r="H45" s="55">
        <f>Segmented!M319</f>
        <v>4.4411779438895939E-2</v>
      </c>
      <c r="I45" s="55">
        <f>Segmented!N319</f>
        <v>0</v>
      </c>
      <c r="J45" s="55">
        <f>Segmented!O319</f>
        <v>0</v>
      </c>
      <c r="K45" s="55">
        <f>Segmented!P319</f>
        <v>0</v>
      </c>
      <c r="L45" s="55">
        <f>Segmented!Q319</f>
        <v>0</v>
      </c>
      <c r="M45" s="55">
        <f>Segmented!R319</f>
        <v>0</v>
      </c>
      <c r="N45" s="55">
        <f>Segmented!S319</f>
        <v>0</v>
      </c>
      <c r="O45" s="55">
        <f>Segmented!T319</f>
        <v>0</v>
      </c>
      <c r="P45" s="55"/>
      <c r="Q45" t="s">
        <v>1350</v>
      </c>
    </row>
    <row r="46" spans="1:17">
      <c r="A46" s="55" t="str">
        <f>Segmented!F320</f>
        <v>FLOOR R0 - R25_Heat Pump</v>
      </c>
      <c r="B46" s="55" t="str">
        <f>Segmented!G320</f>
        <v>FLOOR R0 - R25</v>
      </c>
      <c r="C46" s="55">
        <f>Segmented!H320</f>
        <v>149.96815693800801</v>
      </c>
      <c r="D46" s="55">
        <f>Segmented!I320</f>
        <v>45</v>
      </c>
      <c r="E46" s="55">
        <f>Segmented!J320</f>
        <v>775.20267326839053</v>
      </c>
      <c r="F46" s="55">
        <f>Segmented!K320</f>
        <v>0</v>
      </c>
      <c r="G46" s="55" t="s">
        <v>1360</v>
      </c>
      <c r="H46" s="55">
        <f>Segmented!M320</f>
        <v>0.14694221886824657</v>
      </c>
      <c r="I46" s="55">
        <f>Segmented!N320</f>
        <v>0</v>
      </c>
      <c r="J46" s="55">
        <f>Segmented!O320</f>
        <v>0</v>
      </c>
      <c r="K46" s="55">
        <f>Segmented!P320</f>
        <v>0</v>
      </c>
      <c r="L46" s="55">
        <f>Segmented!Q320</f>
        <v>0</v>
      </c>
      <c r="M46" s="55">
        <f>Segmented!R320</f>
        <v>0</v>
      </c>
      <c r="N46" s="55">
        <f>Segmented!S320</f>
        <v>0</v>
      </c>
      <c r="O46" s="55">
        <f>Segmented!T320</f>
        <v>0</v>
      </c>
      <c r="P46" s="55"/>
      <c r="Q46" t="s">
        <v>1350</v>
      </c>
    </row>
    <row r="47" spans="1:17">
      <c r="A47" s="55" t="str">
        <f>Segmented!F321</f>
        <v>FLOOR R0 - R30_Heat Pump</v>
      </c>
      <c r="B47" s="55" t="str">
        <f>Segmented!G321</f>
        <v>FLOOR R0 - R30</v>
      </c>
      <c r="C47" s="55">
        <f>Segmented!H321</f>
        <v>156.58997008561312</v>
      </c>
      <c r="D47" s="55">
        <f>Segmented!I321</f>
        <v>45</v>
      </c>
      <c r="E47" s="55">
        <f>Segmented!J321</f>
        <v>799.02848103778376</v>
      </c>
      <c r="F47" s="55">
        <f>Segmented!K321</f>
        <v>0</v>
      </c>
      <c r="G47" s="55" t="s">
        <v>1360</v>
      </c>
      <c r="H47" s="55">
        <f>Segmented!M321</f>
        <v>0.21512942974674334</v>
      </c>
      <c r="I47" s="55">
        <f>Segmented!N321</f>
        <v>0</v>
      </c>
      <c r="J47" s="55">
        <f>Segmented!O321</f>
        <v>0</v>
      </c>
      <c r="K47" s="55">
        <f>Segmented!P321</f>
        <v>0</v>
      </c>
      <c r="L47" s="55">
        <f>Segmented!Q321</f>
        <v>0</v>
      </c>
      <c r="M47" s="55">
        <f>Segmented!R321</f>
        <v>0</v>
      </c>
      <c r="N47" s="55">
        <f>Segmented!S321</f>
        <v>0</v>
      </c>
      <c r="O47" s="55">
        <f>Segmented!T321</f>
        <v>0</v>
      </c>
      <c r="P47" s="55"/>
      <c r="Q47" t="s">
        <v>1350</v>
      </c>
    </row>
    <row r="48" spans="1:17" ht="25.5">
      <c r="A48" s="55" t="str">
        <f>Segmented!F322</f>
        <v>WINDOW CL30 Prime Window Replacement of Single Pane Base_Heat Pump</v>
      </c>
      <c r="B48" s="55" t="str">
        <f>Segmented!G322</f>
        <v>WINDOW CL30 Prime Window Replacement of Single Pane Base</v>
      </c>
      <c r="C48" s="55">
        <f>Segmented!H322</f>
        <v>518.03520035066708</v>
      </c>
      <c r="D48" s="55">
        <f>Segmented!I322</f>
        <v>45</v>
      </c>
      <c r="E48" s="55">
        <f>Segmented!J322</f>
        <v>1405.8270926925682</v>
      </c>
      <c r="F48" s="55">
        <f>Segmented!K322</f>
        <v>0</v>
      </c>
      <c r="G48" s="55" t="s">
        <v>1360</v>
      </c>
      <c r="H48" s="55">
        <f>Segmented!M322</f>
        <v>5.6403982124538938</v>
      </c>
      <c r="I48" s="55">
        <f>Segmented!N322</f>
        <v>0</v>
      </c>
      <c r="J48" s="55">
        <f>Segmented!O322</f>
        <v>0</v>
      </c>
      <c r="K48" s="55">
        <f>Segmented!P322</f>
        <v>0</v>
      </c>
      <c r="L48" s="55">
        <f>Segmented!Q322</f>
        <v>0</v>
      </c>
      <c r="M48" s="55">
        <f>Segmented!R322</f>
        <v>0</v>
      </c>
      <c r="N48" s="55">
        <f>Segmented!S322</f>
        <v>0</v>
      </c>
      <c r="O48" s="55">
        <f>Segmented!T322</f>
        <v>0</v>
      </c>
      <c r="P48" s="55"/>
      <c r="Q48" t="s">
        <v>1350</v>
      </c>
    </row>
    <row r="49" spans="1:17" ht="25.5">
      <c r="A49" s="55" t="str">
        <f>Segmented!F323</f>
        <v>WINDOW CL30 Prime Window Replacement of Double Pane Base_Heat Pump</v>
      </c>
      <c r="B49" s="55" t="str">
        <f>Segmented!G323</f>
        <v>WINDOW CL30 Prime Window Replacement of Double Pane Base</v>
      </c>
      <c r="C49" s="55">
        <f>Segmented!H323</f>
        <v>233.6035403810379</v>
      </c>
      <c r="D49" s="55">
        <f>Segmented!I323</f>
        <v>45</v>
      </c>
      <c r="E49" s="55">
        <f>Segmented!J323</f>
        <v>1405.8270926925682</v>
      </c>
      <c r="F49" s="55">
        <f>Segmented!K323</f>
        <v>0</v>
      </c>
      <c r="G49" s="55" t="s">
        <v>1360</v>
      </c>
      <c r="H49" s="55">
        <f>Segmented!M323</f>
        <v>2.4543019401947928</v>
      </c>
      <c r="I49" s="55">
        <f>Segmented!N323</f>
        <v>0</v>
      </c>
      <c r="J49" s="55">
        <f>Segmented!O323</f>
        <v>0</v>
      </c>
      <c r="K49" s="55">
        <f>Segmented!P323</f>
        <v>0</v>
      </c>
      <c r="L49" s="55">
        <f>Segmented!Q323</f>
        <v>0</v>
      </c>
      <c r="M49" s="55">
        <f>Segmented!R323</f>
        <v>0</v>
      </c>
      <c r="N49" s="55">
        <f>Segmented!S323</f>
        <v>0</v>
      </c>
      <c r="O49" s="55">
        <f>Segmented!T323</f>
        <v>0</v>
      </c>
      <c r="P49" s="55"/>
      <c r="Q49" t="s">
        <v>1350</v>
      </c>
    </row>
    <row r="50" spans="1:17" ht="25.5">
      <c r="A50" s="55" t="str">
        <f>Segmented!F324</f>
        <v>WINDOW CL22 Prime Window Replacement of Single Pane Base_Heat Pump</v>
      </c>
      <c r="B50" s="55" t="str">
        <f>Segmented!G324</f>
        <v>WINDOW CL22 Prime Window Replacement of Single Pane Base</v>
      </c>
      <c r="C50" s="55">
        <f>Segmented!H324</f>
        <v>568.40057549294102</v>
      </c>
      <c r="D50" s="55">
        <f>Segmented!I324</f>
        <v>45</v>
      </c>
      <c r="E50" s="55">
        <f>Segmented!J324</f>
        <v>1655.6474837848516</v>
      </c>
      <c r="F50" s="55">
        <f>Segmented!K324</f>
        <v>0</v>
      </c>
      <c r="G50" s="55" t="s">
        <v>1360</v>
      </c>
      <c r="H50" s="55">
        <f>Segmented!M324</f>
        <v>6.3171747263247342</v>
      </c>
      <c r="I50" s="55">
        <f>Segmented!N324</f>
        <v>0</v>
      </c>
      <c r="J50" s="55">
        <f>Segmented!O324</f>
        <v>0</v>
      </c>
      <c r="K50" s="55">
        <f>Segmented!P324</f>
        <v>0</v>
      </c>
      <c r="L50" s="55">
        <f>Segmented!Q324</f>
        <v>0</v>
      </c>
      <c r="M50" s="55">
        <f>Segmented!R324</f>
        <v>0</v>
      </c>
      <c r="N50" s="55">
        <f>Segmented!S324</f>
        <v>0</v>
      </c>
      <c r="O50" s="55">
        <f>Segmented!T324</f>
        <v>0</v>
      </c>
      <c r="P50" s="55"/>
      <c r="Q50" t="s">
        <v>1350</v>
      </c>
    </row>
    <row r="51" spans="1:17" ht="25.5">
      <c r="A51" s="55" t="str">
        <f>Segmented!F325</f>
        <v>WINDOW CL22 Prime Window Replacement of Double Pane Base_Heat Pump</v>
      </c>
      <c r="B51" s="55" t="str">
        <f>Segmented!G325</f>
        <v>WINDOW CL22 Prime Window Replacement of Double Pane Base</v>
      </c>
      <c r="C51" s="55">
        <f>Segmented!H325</f>
        <v>274.16666278828347</v>
      </c>
      <c r="D51" s="55">
        <f>Segmented!I325</f>
        <v>45</v>
      </c>
      <c r="E51" s="55">
        <f>Segmented!J325</f>
        <v>1655.6474837848516</v>
      </c>
      <c r="F51" s="55">
        <f>Segmented!K325</f>
        <v>0</v>
      </c>
      <c r="G51" s="55" t="s">
        <v>1360</v>
      </c>
      <c r="H51" s="55">
        <f>Segmented!M325</f>
        <v>2.9841685010178933</v>
      </c>
      <c r="I51" s="55">
        <f>Segmented!N325</f>
        <v>0</v>
      </c>
      <c r="J51" s="55">
        <f>Segmented!O325</f>
        <v>0</v>
      </c>
      <c r="K51" s="55">
        <f>Segmented!P325</f>
        <v>0</v>
      </c>
      <c r="L51" s="55">
        <f>Segmented!Q325</f>
        <v>0</v>
      </c>
      <c r="M51" s="55">
        <f>Segmented!R325</f>
        <v>0</v>
      </c>
      <c r="N51" s="55">
        <f>Segmented!S325</f>
        <v>0</v>
      </c>
      <c r="O51" s="55">
        <f>Segmented!T325</f>
        <v>0</v>
      </c>
      <c r="P51" s="55"/>
      <c r="Q51" t="s">
        <v>1350</v>
      </c>
    </row>
    <row r="52" spans="1:17">
      <c r="A52" s="55" t="str">
        <f>Segmented!F326</f>
        <v>CFM50 Infiltration Reduction_Heat Pump</v>
      </c>
      <c r="B52" s="55" t="str">
        <f>Segmented!G326</f>
        <v>CFM50 Infiltration Reduction</v>
      </c>
      <c r="C52" s="55">
        <f>Segmented!H326</f>
        <v>223.57806931485834</v>
      </c>
      <c r="D52" s="55">
        <f>Segmented!I326</f>
        <v>15</v>
      </c>
      <c r="E52" s="55">
        <f>Segmented!J326</f>
        <v>562.51108736151139</v>
      </c>
      <c r="F52" s="55">
        <f>Segmented!K326</f>
        <v>0</v>
      </c>
      <c r="G52" s="55" t="s">
        <v>1360</v>
      </c>
      <c r="H52" s="55">
        <f>Segmented!M326</f>
        <v>2.5207668279130764</v>
      </c>
      <c r="I52" s="55">
        <f>Segmented!N326</f>
        <v>0</v>
      </c>
      <c r="J52" s="55">
        <f>Segmented!O326</f>
        <v>0</v>
      </c>
      <c r="K52" s="55">
        <f>Segmented!P326</f>
        <v>0</v>
      </c>
      <c r="L52" s="55">
        <f>Segmented!Q326</f>
        <v>0</v>
      </c>
      <c r="M52" s="55">
        <f>Segmented!R326</f>
        <v>0</v>
      </c>
      <c r="N52" s="55">
        <f>Segmented!S326</f>
        <v>0</v>
      </c>
      <c r="O52" s="55">
        <f>Segmented!T326</f>
        <v>0</v>
      </c>
      <c r="P52" s="55"/>
      <c r="Q52" t="s">
        <v>1350</v>
      </c>
    </row>
    <row r="53" spans="1:17">
      <c r="A53" s="55" t="str">
        <f>Segmented!F327</f>
        <v>ATTIC R0 - R38_DHP</v>
      </c>
      <c r="B53" s="55" t="str">
        <f>Segmented!G327</f>
        <v>ATTIC R0 - R38</v>
      </c>
      <c r="C53" s="55">
        <f>Segmented!H327</f>
        <v>1173.4276067115773</v>
      </c>
      <c r="D53" s="55">
        <f>Segmented!I327</f>
        <v>45</v>
      </c>
      <c r="E53" s="55">
        <f>Segmented!J327</f>
        <v>603.23323201580342</v>
      </c>
      <c r="F53" s="55">
        <f>Segmented!K327</f>
        <v>0</v>
      </c>
      <c r="G53" s="55" t="s">
        <v>1360</v>
      </c>
      <c r="H53" s="55">
        <f>Segmented!M327</f>
        <v>4.1085841690838736</v>
      </c>
      <c r="I53" s="55">
        <f>Segmented!N327</f>
        <v>0</v>
      </c>
      <c r="J53" s="55">
        <f>Segmented!O327</f>
        <v>0</v>
      </c>
      <c r="K53" s="55">
        <f>Segmented!P327</f>
        <v>0</v>
      </c>
      <c r="L53" s="55">
        <f>Segmented!Q327</f>
        <v>0</v>
      </c>
      <c r="M53" s="55">
        <f>Segmented!R327</f>
        <v>0</v>
      </c>
      <c r="N53" s="55">
        <f>Segmented!S327</f>
        <v>0</v>
      </c>
      <c r="O53" s="55">
        <f>Segmented!T327</f>
        <v>0</v>
      </c>
      <c r="P53" s="55"/>
      <c r="Q53" t="s">
        <v>1350</v>
      </c>
    </row>
    <row r="54" spans="1:17">
      <c r="A54" s="55" t="str">
        <f>Segmented!F328</f>
        <v>ATTIC R0 - R49_DHP</v>
      </c>
      <c r="B54" s="55" t="str">
        <f>Segmented!G328</f>
        <v>ATTIC R0 - R49</v>
      </c>
      <c r="C54" s="55">
        <f>Segmented!H328</f>
        <v>1190.1309605509246</v>
      </c>
      <c r="D54" s="55">
        <f>Segmented!I328</f>
        <v>45</v>
      </c>
      <c r="E54" s="55">
        <f>Segmented!J328</f>
        <v>688.8802831401041</v>
      </c>
      <c r="F54" s="55">
        <f>Segmented!K328</f>
        <v>0</v>
      </c>
      <c r="G54" s="55" t="s">
        <v>1360</v>
      </c>
      <c r="H54" s="55">
        <f>Segmented!M328</f>
        <v>4.2591943421101961</v>
      </c>
      <c r="I54" s="55">
        <f>Segmented!N328</f>
        <v>0</v>
      </c>
      <c r="J54" s="55">
        <f>Segmented!O328</f>
        <v>0</v>
      </c>
      <c r="K54" s="55">
        <f>Segmented!P328</f>
        <v>0</v>
      </c>
      <c r="L54" s="55">
        <f>Segmented!Q328</f>
        <v>0</v>
      </c>
      <c r="M54" s="55">
        <f>Segmented!R328</f>
        <v>0</v>
      </c>
      <c r="N54" s="55">
        <f>Segmented!S328</f>
        <v>0</v>
      </c>
      <c r="O54" s="55">
        <f>Segmented!T328</f>
        <v>0</v>
      </c>
      <c r="P54" s="55"/>
      <c r="Q54" t="s">
        <v>1350</v>
      </c>
    </row>
    <row r="55" spans="1:17">
      <c r="A55" s="55" t="str">
        <f>Segmented!F329</f>
        <v>ATTIC R11 - R38_DHP</v>
      </c>
      <c r="B55" s="55" t="str">
        <f>Segmented!G329</f>
        <v>ATTIC R11 - R38</v>
      </c>
      <c r="C55" s="55">
        <f>Segmented!H329</f>
        <v>216.95046659279743</v>
      </c>
      <c r="D55" s="55">
        <f>Segmented!I329</f>
        <v>45</v>
      </c>
      <c r="E55" s="55">
        <f>Segmented!J329</f>
        <v>517.58618089150252</v>
      </c>
      <c r="F55" s="55">
        <f>Segmented!K329</f>
        <v>0</v>
      </c>
      <c r="G55" s="55" t="s">
        <v>1360</v>
      </c>
      <c r="H55" s="55">
        <f>Segmented!M329</f>
        <v>1.8263327650486645</v>
      </c>
      <c r="I55" s="55">
        <f>Segmented!N329</f>
        <v>0</v>
      </c>
      <c r="J55" s="55">
        <f>Segmented!O329</f>
        <v>0</v>
      </c>
      <c r="K55" s="55">
        <f>Segmented!P329</f>
        <v>0</v>
      </c>
      <c r="L55" s="55">
        <f>Segmented!Q329</f>
        <v>0</v>
      </c>
      <c r="M55" s="55">
        <f>Segmented!R329</f>
        <v>0</v>
      </c>
      <c r="N55" s="55">
        <f>Segmented!S329</f>
        <v>0</v>
      </c>
      <c r="O55" s="55">
        <f>Segmented!T329</f>
        <v>0</v>
      </c>
      <c r="P55" s="55"/>
      <c r="Q55" t="s">
        <v>1350</v>
      </c>
    </row>
    <row r="56" spans="1:17">
      <c r="A56" s="55" t="str">
        <f>Segmented!F330</f>
        <v>ATTIC R11 - R49_DHP</v>
      </c>
      <c r="B56" s="55" t="str">
        <f>Segmented!G330</f>
        <v>ATTIC R11 - R49</v>
      </c>
      <c r="C56" s="55">
        <f>Segmented!H330</f>
        <v>235.4189244120071</v>
      </c>
      <c r="D56" s="55">
        <f>Segmented!I330</f>
        <v>45</v>
      </c>
      <c r="E56" s="55">
        <f>Segmented!J330</f>
        <v>603.23323201580342</v>
      </c>
      <c r="F56" s="55">
        <f>Segmented!K330</f>
        <v>0</v>
      </c>
      <c r="G56" s="55" t="s">
        <v>1360</v>
      </c>
      <c r="H56" s="55">
        <f>Segmented!M330</f>
        <v>2.0045762701171626</v>
      </c>
      <c r="I56" s="55">
        <f>Segmented!N330</f>
        <v>0</v>
      </c>
      <c r="J56" s="55">
        <f>Segmented!O330</f>
        <v>0</v>
      </c>
      <c r="K56" s="55">
        <f>Segmented!P330</f>
        <v>0</v>
      </c>
      <c r="L56" s="55">
        <f>Segmented!Q330</f>
        <v>0</v>
      </c>
      <c r="M56" s="55">
        <f>Segmented!R330</f>
        <v>0</v>
      </c>
      <c r="N56" s="55">
        <f>Segmented!S330</f>
        <v>0</v>
      </c>
      <c r="O56" s="55">
        <f>Segmented!T330</f>
        <v>0</v>
      </c>
      <c r="P56" s="55"/>
      <c r="Q56" t="s">
        <v>1350</v>
      </c>
    </row>
    <row r="57" spans="1:17">
      <c r="A57" s="55" t="str">
        <f>Segmented!F331</f>
        <v>ATTIC R19 - R38_DHP</v>
      </c>
      <c r="B57" s="55" t="str">
        <f>Segmented!G331</f>
        <v>ATTIC R19 - R38</v>
      </c>
      <c r="C57" s="55">
        <f>Segmented!H331</f>
        <v>115.28514115888527</v>
      </c>
      <c r="D57" s="55">
        <f>Segmented!I331</f>
        <v>45</v>
      </c>
      <c r="E57" s="55">
        <f>Segmented!J331</f>
        <v>455.29741643746559</v>
      </c>
      <c r="F57" s="55">
        <f>Segmented!K331</f>
        <v>0</v>
      </c>
      <c r="G57" s="55" t="s">
        <v>1360</v>
      </c>
      <c r="H57" s="55">
        <f>Segmented!M331</f>
        <v>0.98929989753523129</v>
      </c>
      <c r="I57" s="55">
        <f>Segmented!N331</f>
        <v>0</v>
      </c>
      <c r="J57" s="55">
        <f>Segmented!O331</f>
        <v>0</v>
      </c>
      <c r="K57" s="55">
        <f>Segmented!P331</f>
        <v>0</v>
      </c>
      <c r="L57" s="55">
        <f>Segmented!Q331</f>
        <v>0</v>
      </c>
      <c r="M57" s="55">
        <f>Segmented!R331</f>
        <v>0</v>
      </c>
      <c r="N57" s="55">
        <f>Segmented!S331</f>
        <v>0</v>
      </c>
      <c r="O57" s="55">
        <f>Segmented!T331</f>
        <v>0</v>
      </c>
      <c r="P57" s="55"/>
      <c r="Q57" t="s">
        <v>1350</v>
      </c>
    </row>
    <row r="58" spans="1:17">
      <c r="A58" s="55" t="str">
        <f>Segmented!F332</f>
        <v>ATTIC R19 - R49_DHP</v>
      </c>
      <c r="B58" s="55" t="str">
        <f>Segmented!G332</f>
        <v>ATTIC R19 - R49</v>
      </c>
      <c r="C58" s="55">
        <f>Segmented!H332</f>
        <v>138.92719637241973</v>
      </c>
      <c r="D58" s="55">
        <f>Segmented!I332</f>
        <v>45</v>
      </c>
      <c r="E58" s="55">
        <f>Segmented!J332</f>
        <v>540.94446756176649</v>
      </c>
      <c r="F58" s="55">
        <f>Segmented!K332</f>
        <v>0</v>
      </c>
      <c r="G58" s="55" t="s">
        <v>1360</v>
      </c>
      <c r="H58" s="55">
        <f>Segmented!M332</f>
        <v>1.2056699372860331</v>
      </c>
      <c r="I58" s="55">
        <f>Segmented!N332</f>
        <v>0</v>
      </c>
      <c r="J58" s="55">
        <f>Segmented!O332</f>
        <v>0</v>
      </c>
      <c r="K58" s="55">
        <f>Segmented!P332</f>
        <v>0</v>
      </c>
      <c r="L58" s="55">
        <f>Segmented!Q332</f>
        <v>0</v>
      </c>
      <c r="M58" s="55">
        <f>Segmented!R332</f>
        <v>0</v>
      </c>
      <c r="N58" s="55">
        <f>Segmented!S332</f>
        <v>0</v>
      </c>
      <c r="O58" s="55">
        <f>Segmented!T332</f>
        <v>0</v>
      </c>
      <c r="P58" s="55"/>
      <c r="Q58" t="s">
        <v>1350</v>
      </c>
    </row>
    <row r="59" spans="1:17">
      <c r="A59" s="55" t="str">
        <f>Segmented!F333</f>
        <v>WALL R0 - R11_DHP</v>
      </c>
      <c r="B59" s="55" t="str">
        <f>Segmented!G333</f>
        <v>WALL R0 - R11</v>
      </c>
      <c r="C59" s="55">
        <f>Segmented!H333</f>
        <v>1143.4097800732613</v>
      </c>
      <c r="D59" s="55">
        <f>Segmented!I333</f>
        <v>45</v>
      </c>
      <c r="E59" s="55">
        <f>Segmented!J333</f>
        <v>1074.0966990780664</v>
      </c>
      <c r="F59" s="55">
        <f>Segmented!K333</f>
        <v>0</v>
      </c>
      <c r="G59" s="55" t="s">
        <v>1360</v>
      </c>
      <c r="H59" s="55">
        <f>Segmented!M333</f>
        <v>6.0041214552776063</v>
      </c>
      <c r="I59" s="55">
        <f>Segmented!N333</f>
        <v>0</v>
      </c>
      <c r="J59" s="55">
        <f>Segmented!O333</f>
        <v>0</v>
      </c>
      <c r="K59" s="55">
        <f>Segmented!P333</f>
        <v>0</v>
      </c>
      <c r="L59" s="55">
        <f>Segmented!Q333</f>
        <v>0</v>
      </c>
      <c r="M59" s="55">
        <f>Segmented!R333</f>
        <v>0</v>
      </c>
      <c r="N59" s="55">
        <f>Segmented!S333</f>
        <v>0</v>
      </c>
      <c r="O59" s="55">
        <f>Segmented!T333</f>
        <v>0</v>
      </c>
      <c r="P59" s="55"/>
      <c r="Q59" t="s">
        <v>1350</v>
      </c>
    </row>
    <row r="60" spans="1:17">
      <c r="A60" s="55" t="str">
        <f>Segmented!F334</f>
        <v>FLOOR R0 - R19_DHP</v>
      </c>
      <c r="B60" s="55" t="str">
        <f>Segmented!G334</f>
        <v>FLOOR R0 - R19</v>
      </c>
      <c r="C60" s="55">
        <f>Segmented!H334</f>
        <v>551.85168083117901</v>
      </c>
      <c r="D60" s="55">
        <f>Segmented!I334</f>
        <v>45</v>
      </c>
      <c r="E60" s="55">
        <f>Segmented!J334</f>
        <v>756.03068777561452</v>
      </c>
      <c r="F60" s="55">
        <f>Segmented!K334</f>
        <v>0</v>
      </c>
      <c r="G60" s="55" t="s">
        <v>1360</v>
      </c>
      <c r="H60" s="55">
        <f>Segmented!M334</f>
        <v>2.7019730399839528</v>
      </c>
      <c r="I60" s="55">
        <f>Segmented!N334</f>
        <v>0</v>
      </c>
      <c r="J60" s="55">
        <f>Segmented!O334</f>
        <v>0</v>
      </c>
      <c r="K60" s="55">
        <f>Segmented!P334</f>
        <v>0</v>
      </c>
      <c r="L60" s="55">
        <f>Segmented!Q334</f>
        <v>0</v>
      </c>
      <c r="M60" s="55">
        <f>Segmented!R334</f>
        <v>0</v>
      </c>
      <c r="N60" s="55">
        <f>Segmented!S334</f>
        <v>0</v>
      </c>
      <c r="O60" s="55">
        <f>Segmented!T334</f>
        <v>0</v>
      </c>
      <c r="P60" s="55"/>
      <c r="Q60" t="s">
        <v>1350</v>
      </c>
    </row>
    <row r="61" spans="1:17">
      <c r="A61" s="55" t="str">
        <f>Segmented!F335</f>
        <v>FLOOR R0 - R25_DHP</v>
      </c>
      <c r="B61" s="55" t="str">
        <f>Segmented!G335</f>
        <v>FLOOR R0 - R25</v>
      </c>
      <c r="C61" s="55">
        <f>Segmented!H335</f>
        <v>590.9487891710512</v>
      </c>
      <c r="D61" s="55">
        <f>Segmented!I335</f>
        <v>45</v>
      </c>
      <c r="E61" s="55">
        <f>Segmented!J335</f>
        <v>784.98235045037131</v>
      </c>
      <c r="F61" s="55">
        <f>Segmented!K335</f>
        <v>0</v>
      </c>
      <c r="G61" s="55" t="s">
        <v>1360</v>
      </c>
      <c r="H61" s="55">
        <f>Segmented!M335</f>
        <v>3.0895912282346907</v>
      </c>
      <c r="I61" s="55">
        <f>Segmented!N335</f>
        <v>0</v>
      </c>
      <c r="J61" s="55">
        <f>Segmented!O335</f>
        <v>0</v>
      </c>
      <c r="K61" s="55">
        <f>Segmented!P335</f>
        <v>0</v>
      </c>
      <c r="L61" s="55">
        <f>Segmented!Q335</f>
        <v>0</v>
      </c>
      <c r="M61" s="55">
        <f>Segmented!R335</f>
        <v>0</v>
      </c>
      <c r="N61" s="55">
        <f>Segmented!S335</f>
        <v>0</v>
      </c>
      <c r="O61" s="55">
        <f>Segmented!T335</f>
        <v>0</v>
      </c>
      <c r="P61" s="55"/>
      <c r="Q61" t="s">
        <v>1350</v>
      </c>
    </row>
    <row r="62" spans="1:17">
      <c r="A62" s="55" t="str">
        <f>Segmented!F336</f>
        <v>FLOOR R0 - R30_DHP</v>
      </c>
      <c r="B62" s="55" t="str">
        <f>Segmented!G336</f>
        <v>FLOOR R0 - R30</v>
      </c>
      <c r="C62" s="55">
        <f>Segmented!H336</f>
        <v>615.29155948122855</v>
      </c>
      <c r="D62" s="55">
        <f>Segmented!I336</f>
        <v>45</v>
      </c>
      <c r="E62" s="55">
        <f>Segmented!J336</f>
        <v>809.10873601266894</v>
      </c>
      <c r="F62" s="55">
        <f>Segmented!K336</f>
        <v>0</v>
      </c>
      <c r="G62" s="55" t="s">
        <v>1360</v>
      </c>
      <c r="H62" s="55">
        <f>Segmented!M336</f>
        <v>3.3449200357307398</v>
      </c>
      <c r="I62" s="55">
        <f>Segmented!N336</f>
        <v>0</v>
      </c>
      <c r="J62" s="55">
        <f>Segmented!O336</f>
        <v>0</v>
      </c>
      <c r="K62" s="55">
        <f>Segmented!P336</f>
        <v>0</v>
      </c>
      <c r="L62" s="55">
        <f>Segmented!Q336</f>
        <v>0</v>
      </c>
      <c r="M62" s="55">
        <f>Segmented!R336</f>
        <v>0</v>
      </c>
      <c r="N62" s="55">
        <f>Segmented!S336</f>
        <v>0</v>
      </c>
      <c r="O62" s="55">
        <f>Segmented!T336</f>
        <v>0</v>
      </c>
      <c r="P62" s="55"/>
      <c r="Q62" t="s">
        <v>1350</v>
      </c>
    </row>
    <row r="63" spans="1:17" ht="25.5">
      <c r="A63" s="55" t="str">
        <f>Segmented!F337</f>
        <v>WINDOW CL30 Prime Window Replacement of Single Pane Base_DHP</v>
      </c>
      <c r="B63" s="55" t="str">
        <f>Segmented!G337</f>
        <v>WINDOW CL30 Prime Window Replacement of Single Pane Base</v>
      </c>
      <c r="C63" s="55">
        <f>Segmented!H337</f>
        <v>641.91966172991431</v>
      </c>
      <c r="D63" s="55">
        <f>Segmented!I337</f>
        <v>45</v>
      </c>
      <c r="E63" s="55">
        <f>Segmented!J337</f>
        <v>1423.5624999793488</v>
      </c>
      <c r="F63" s="55">
        <f>Segmented!K337</f>
        <v>0</v>
      </c>
      <c r="G63" s="55" t="s">
        <v>1360</v>
      </c>
      <c r="H63" s="55">
        <f>Segmented!M337</f>
        <v>5.5896165677518299</v>
      </c>
      <c r="I63" s="55">
        <f>Segmented!N337</f>
        <v>0</v>
      </c>
      <c r="J63" s="55">
        <f>Segmented!O337</f>
        <v>0</v>
      </c>
      <c r="K63" s="55">
        <f>Segmented!P337</f>
        <v>0</v>
      </c>
      <c r="L63" s="55">
        <f>Segmented!Q337</f>
        <v>0</v>
      </c>
      <c r="M63" s="55">
        <f>Segmented!R337</f>
        <v>0</v>
      </c>
      <c r="N63" s="55">
        <f>Segmented!S337</f>
        <v>0</v>
      </c>
      <c r="O63" s="55">
        <f>Segmented!T337</f>
        <v>0</v>
      </c>
      <c r="P63" s="55"/>
      <c r="Q63" t="s">
        <v>1350</v>
      </c>
    </row>
    <row r="64" spans="1:17" ht="25.5">
      <c r="A64" s="55" t="str">
        <f>Segmented!F338</f>
        <v>WINDOW CL30 Prime Window Replacement of Double Pane Base_DHP</v>
      </c>
      <c r="B64" s="55" t="str">
        <f>Segmented!G338</f>
        <v>WINDOW CL30 Prime Window Replacement of Double Pane Base</v>
      </c>
      <c r="C64" s="55">
        <f>Segmented!H338</f>
        <v>354.05076895078599</v>
      </c>
      <c r="D64" s="55">
        <f>Segmented!I338</f>
        <v>45</v>
      </c>
      <c r="E64" s="55">
        <f>Segmented!J338</f>
        <v>1423.5624999793488</v>
      </c>
      <c r="F64" s="55">
        <f>Segmented!K338</f>
        <v>0</v>
      </c>
      <c r="G64" s="55" t="s">
        <v>1360</v>
      </c>
      <c r="H64" s="55">
        <f>Segmented!M338</f>
        <v>3.074416515925221</v>
      </c>
      <c r="I64" s="55">
        <f>Segmented!N338</f>
        <v>0</v>
      </c>
      <c r="J64" s="55">
        <f>Segmented!O338</f>
        <v>0</v>
      </c>
      <c r="K64" s="55">
        <f>Segmented!P338</f>
        <v>0</v>
      </c>
      <c r="L64" s="55">
        <f>Segmented!Q338</f>
        <v>0</v>
      </c>
      <c r="M64" s="55">
        <f>Segmented!R338</f>
        <v>0</v>
      </c>
      <c r="N64" s="55">
        <f>Segmented!S338</f>
        <v>0</v>
      </c>
      <c r="O64" s="55">
        <f>Segmented!T338</f>
        <v>0</v>
      </c>
      <c r="P64" s="55"/>
      <c r="Q64" t="s">
        <v>1350</v>
      </c>
    </row>
    <row r="65" spans="1:17" ht="25.5">
      <c r="A65" s="55" t="str">
        <f>Segmented!F339</f>
        <v>WINDOW CL22 Prime Window Replacement of Single Pane Base_DHP</v>
      </c>
      <c r="B65" s="55" t="str">
        <f>Segmented!G339</f>
        <v>WINDOW CL22 Prime Window Replacement of Single Pane Base</v>
      </c>
      <c r="C65" s="55">
        <f>Segmented!H339</f>
        <v>700.32795887258351</v>
      </c>
      <c r="D65" s="55">
        <f>Segmented!I339</f>
        <v>45</v>
      </c>
      <c r="E65" s="55">
        <f>Segmented!J339</f>
        <v>1676.5345349740685</v>
      </c>
      <c r="F65" s="55">
        <f>Segmented!K339</f>
        <v>0</v>
      </c>
      <c r="G65" s="55" t="s">
        <v>1360</v>
      </c>
      <c r="H65" s="55">
        <f>Segmented!M339</f>
        <v>6.2374603959411825</v>
      </c>
      <c r="I65" s="55">
        <f>Segmented!N339</f>
        <v>0</v>
      </c>
      <c r="J65" s="55">
        <f>Segmented!O339</f>
        <v>0</v>
      </c>
      <c r="K65" s="55">
        <f>Segmented!P339</f>
        <v>0</v>
      </c>
      <c r="L65" s="55">
        <f>Segmented!Q339</f>
        <v>0</v>
      </c>
      <c r="M65" s="55">
        <f>Segmented!R339</f>
        <v>0</v>
      </c>
      <c r="N65" s="55">
        <f>Segmented!S339</f>
        <v>0</v>
      </c>
      <c r="O65" s="55">
        <f>Segmented!T339</f>
        <v>0</v>
      </c>
      <c r="P65" s="55"/>
      <c r="Q65" t="s">
        <v>1350</v>
      </c>
    </row>
    <row r="66" spans="1:17" ht="25.5">
      <c r="A66" s="55" t="str">
        <f>Segmented!F340</f>
        <v>WINDOW CL22 Prime Window Replacement of Double Pane Base_DHP</v>
      </c>
      <c r="B66" s="55" t="str">
        <f>Segmented!G340</f>
        <v>WINDOW CL22 Prime Window Replacement of Double Pane Base</v>
      </c>
      <c r="C66" s="55">
        <f>Segmented!H340</f>
        <v>414.74246039143856</v>
      </c>
      <c r="D66" s="55">
        <f>Segmented!I340</f>
        <v>45</v>
      </c>
      <c r="E66" s="55">
        <f>Segmented!J340</f>
        <v>1676.5345349740685</v>
      </c>
      <c r="F66" s="55">
        <f>Segmented!K340</f>
        <v>0</v>
      </c>
      <c r="G66" s="55" t="s">
        <v>1360</v>
      </c>
      <c r="H66" s="55">
        <f>Segmented!M340</f>
        <v>3.7522627996600946</v>
      </c>
      <c r="I66" s="55">
        <f>Segmented!N340</f>
        <v>0</v>
      </c>
      <c r="J66" s="55">
        <f>Segmented!O340</f>
        <v>0</v>
      </c>
      <c r="K66" s="55">
        <f>Segmented!P340</f>
        <v>0</v>
      </c>
      <c r="L66" s="55">
        <f>Segmented!Q340</f>
        <v>0</v>
      </c>
      <c r="M66" s="55">
        <f>Segmented!R340</f>
        <v>0</v>
      </c>
      <c r="N66" s="55">
        <f>Segmented!S340</f>
        <v>0</v>
      </c>
      <c r="O66" s="55">
        <f>Segmented!T340</f>
        <v>0</v>
      </c>
      <c r="P66" s="55"/>
      <c r="Q66" t="s">
        <v>1350</v>
      </c>
    </row>
    <row r="67" spans="1:17">
      <c r="A67" s="55" t="str">
        <f>Segmented!F341</f>
        <v>CFM50 Infiltration Reduction_DHP</v>
      </c>
      <c r="B67" s="55" t="str">
        <f>Segmented!G341</f>
        <v>CFM50 Infiltration Reduction</v>
      </c>
      <c r="C67" s="55">
        <f>Segmented!H341</f>
        <v>402.37772121424229</v>
      </c>
      <c r="D67" s="55">
        <f>Segmented!I341</f>
        <v>15</v>
      </c>
      <c r="E67" s="55">
        <f>Segmented!J341</f>
        <v>569.60752424876659</v>
      </c>
      <c r="F67" s="55">
        <f>Segmented!K341</f>
        <v>0</v>
      </c>
      <c r="G67" s="55" t="s">
        <v>1360</v>
      </c>
      <c r="H67" s="55">
        <f>Segmented!M341</f>
        <v>3.8938947893331792</v>
      </c>
      <c r="I67" s="55">
        <f>Segmented!N341</f>
        <v>0</v>
      </c>
      <c r="J67" s="55">
        <f>Segmented!O341</f>
        <v>0</v>
      </c>
      <c r="K67" s="55">
        <f>Segmented!P341</f>
        <v>0</v>
      </c>
      <c r="L67" s="55">
        <f>Segmented!Q341</f>
        <v>0</v>
      </c>
      <c r="M67" s="55">
        <f>Segmented!R341</f>
        <v>0</v>
      </c>
      <c r="N67" s="55">
        <f>Segmented!S341</f>
        <v>0</v>
      </c>
      <c r="O67" s="55">
        <f>Segmented!T341</f>
        <v>0</v>
      </c>
      <c r="P67" s="55"/>
      <c r="Q67" t="s">
        <v>1350</v>
      </c>
    </row>
    <row r="68" spans="1:17">
      <c r="A68" s="55" t="str">
        <f>Segmented!F342</f>
        <v>ATTIC R0 - R38_Electric FAF</v>
      </c>
      <c r="B68" s="55" t="str">
        <f>Segmented!G342</f>
        <v>ATTIC R0 - R38 (cooling savings)</v>
      </c>
      <c r="C68" s="55">
        <f>Segmented!H342</f>
        <v>213.25355911402769</v>
      </c>
      <c r="D68" s="55">
        <f>Segmented!I342</f>
        <v>45</v>
      </c>
      <c r="E68" s="55">
        <f>Segmented!J342</f>
        <v>0</v>
      </c>
      <c r="F68" s="55">
        <f>Segmented!K342</f>
        <v>0</v>
      </c>
      <c r="G68" s="55" t="s">
        <v>1361</v>
      </c>
      <c r="H68" s="55">
        <f>Segmented!M342</f>
        <v>0</v>
      </c>
      <c r="I68" s="55">
        <f>Segmented!N342</f>
        <v>0</v>
      </c>
      <c r="J68" s="55">
        <f>Segmented!O342</f>
        <v>0</v>
      </c>
      <c r="K68" s="55">
        <f>Segmented!P342</f>
        <v>0</v>
      </c>
      <c r="L68" s="55">
        <f>Segmented!Q342</f>
        <v>0</v>
      </c>
      <c r="M68" s="55">
        <f>Segmented!R342</f>
        <v>0</v>
      </c>
      <c r="N68" s="55">
        <f>Segmented!S342</f>
        <v>0</v>
      </c>
      <c r="O68" s="55">
        <f>Segmented!T342</f>
        <v>0</v>
      </c>
      <c r="P68" s="55"/>
      <c r="Q68" t="s">
        <v>1350</v>
      </c>
    </row>
    <row r="69" spans="1:17">
      <c r="A69" s="55" t="str">
        <f>Segmented!F343</f>
        <v>ATTIC R0 - R49_Electric FAF</v>
      </c>
      <c r="B69" s="55" t="str">
        <f>Segmented!G343</f>
        <v>ATTIC R0 - R49 (cooling savings)</v>
      </c>
      <c r="C69" s="55">
        <f>Segmented!H343</f>
        <v>215.59658023633463</v>
      </c>
      <c r="D69" s="55">
        <f>Segmented!I343</f>
        <v>45</v>
      </c>
      <c r="E69" s="55">
        <f>Segmented!J343</f>
        <v>0</v>
      </c>
      <c r="F69" s="55">
        <f>Segmented!K343</f>
        <v>0</v>
      </c>
      <c r="G69" s="55" t="s">
        <v>1361</v>
      </c>
      <c r="H69" s="55">
        <f>Segmented!M343</f>
        <v>0</v>
      </c>
      <c r="I69" s="55">
        <f>Segmented!N343</f>
        <v>0</v>
      </c>
      <c r="J69" s="55">
        <f>Segmented!O343</f>
        <v>0</v>
      </c>
      <c r="K69" s="55">
        <f>Segmented!P343</f>
        <v>0</v>
      </c>
      <c r="L69" s="55">
        <f>Segmented!Q343</f>
        <v>0</v>
      </c>
      <c r="M69" s="55">
        <f>Segmented!R343</f>
        <v>0</v>
      </c>
      <c r="N69" s="55">
        <f>Segmented!S343</f>
        <v>0</v>
      </c>
      <c r="O69" s="55">
        <f>Segmented!T343</f>
        <v>0</v>
      </c>
      <c r="P69" s="55"/>
      <c r="Q69" t="s">
        <v>1350</v>
      </c>
    </row>
    <row r="70" spans="1:17">
      <c r="A70" s="55" t="str">
        <f>Segmented!F344</f>
        <v>ATTIC R11 - R38_Electric FAF</v>
      </c>
      <c r="B70" s="55" t="str">
        <f>Segmented!G344</f>
        <v>ATTIC R11 - R38 (cooling savings)</v>
      </c>
      <c r="C70" s="55">
        <f>Segmented!H344</f>
        <v>28.916223828072983</v>
      </c>
      <c r="D70" s="55">
        <f>Segmented!I344</f>
        <v>45</v>
      </c>
      <c r="E70" s="55">
        <f>Segmented!J344</f>
        <v>0</v>
      </c>
      <c r="F70" s="55">
        <f>Segmented!K344</f>
        <v>0</v>
      </c>
      <c r="G70" s="55" t="s">
        <v>1361</v>
      </c>
      <c r="H70" s="55">
        <f>Segmented!M344</f>
        <v>0</v>
      </c>
      <c r="I70" s="55">
        <f>Segmented!N344</f>
        <v>0</v>
      </c>
      <c r="J70" s="55">
        <f>Segmented!O344</f>
        <v>0</v>
      </c>
      <c r="K70" s="55">
        <f>Segmented!P344</f>
        <v>0</v>
      </c>
      <c r="L70" s="55">
        <f>Segmented!Q344</f>
        <v>0</v>
      </c>
      <c r="M70" s="55">
        <f>Segmented!R344</f>
        <v>0</v>
      </c>
      <c r="N70" s="55">
        <f>Segmented!S344</f>
        <v>0</v>
      </c>
      <c r="O70" s="55">
        <f>Segmented!T344</f>
        <v>0</v>
      </c>
      <c r="P70" s="55"/>
      <c r="Q70" t="s">
        <v>1350</v>
      </c>
    </row>
    <row r="71" spans="1:17">
      <c r="A71" s="55" t="str">
        <f>Segmented!F345</f>
        <v>ATTIC R11 - R49_Electric FAF</v>
      </c>
      <c r="B71" s="55" t="str">
        <f>Segmented!G345</f>
        <v>ATTIC R11 - R49 (cooling savings)</v>
      </c>
      <c r="C71" s="55">
        <f>Segmented!H345</f>
        <v>31.259244950379944</v>
      </c>
      <c r="D71" s="55">
        <f>Segmented!I345</f>
        <v>45</v>
      </c>
      <c r="E71" s="55">
        <f>Segmented!J345</f>
        <v>0</v>
      </c>
      <c r="F71" s="55">
        <f>Segmented!K345</f>
        <v>0</v>
      </c>
      <c r="G71" s="55" t="s">
        <v>1361</v>
      </c>
      <c r="H71" s="55">
        <f>Segmented!M345</f>
        <v>0</v>
      </c>
      <c r="I71" s="55">
        <f>Segmented!N345</f>
        <v>0</v>
      </c>
      <c r="J71" s="55">
        <f>Segmented!O345</f>
        <v>0</v>
      </c>
      <c r="K71" s="55">
        <f>Segmented!P345</f>
        <v>0</v>
      </c>
      <c r="L71" s="55">
        <f>Segmented!Q345</f>
        <v>0</v>
      </c>
      <c r="M71" s="55">
        <f>Segmented!R345</f>
        <v>0</v>
      </c>
      <c r="N71" s="55">
        <f>Segmented!S345</f>
        <v>0</v>
      </c>
      <c r="O71" s="55">
        <f>Segmented!T345</f>
        <v>0</v>
      </c>
      <c r="P71" s="55"/>
      <c r="Q71" t="s">
        <v>1350</v>
      </c>
    </row>
    <row r="72" spans="1:17">
      <c r="A72" s="55" t="str">
        <f>Segmented!F346</f>
        <v>ATTIC R19 - R38_Electric FAF</v>
      </c>
      <c r="B72" s="55" t="str">
        <f>Segmented!G346</f>
        <v>ATTIC R19 - R38 (cooling savings)</v>
      </c>
      <c r="C72" s="55">
        <f>Segmented!H346</f>
        <v>11.692669002264317</v>
      </c>
      <c r="D72" s="55">
        <f>Segmented!I346</f>
        <v>45</v>
      </c>
      <c r="E72" s="55">
        <f>Segmented!J346</f>
        <v>0</v>
      </c>
      <c r="F72" s="55">
        <f>Segmented!K346</f>
        <v>0</v>
      </c>
      <c r="G72" s="55" t="s">
        <v>1361</v>
      </c>
      <c r="H72" s="55">
        <f>Segmented!M346</f>
        <v>0</v>
      </c>
      <c r="I72" s="55">
        <f>Segmented!N346</f>
        <v>0</v>
      </c>
      <c r="J72" s="55">
        <f>Segmented!O346</f>
        <v>0</v>
      </c>
      <c r="K72" s="55">
        <f>Segmented!P346</f>
        <v>0</v>
      </c>
      <c r="L72" s="55">
        <f>Segmented!Q346</f>
        <v>0</v>
      </c>
      <c r="M72" s="55">
        <f>Segmented!R346</f>
        <v>0</v>
      </c>
      <c r="N72" s="55">
        <f>Segmented!S346</f>
        <v>0</v>
      </c>
      <c r="O72" s="55">
        <f>Segmented!T346</f>
        <v>0</v>
      </c>
      <c r="P72" s="55"/>
      <c r="Q72" t="s">
        <v>1350</v>
      </c>
    </row>
    <row r="73" spans="1:17">
      <c r="A73" s="55" t="str">
        <f>Segmented!F347</f>
        <v>ATTIC R19 - R49_Electric FAF</v>
      </c>
      <c r="B73" s="55" t="str">
        <f>Segmented!G347</f>
        <v>ATTIC R19 - R49 (cooling savings)</v>
      </c>
      <c r="C73" s="55">
        <f>Segmented!H347</f>
        <v>14.035690124571275</v>
      </c>
      <c r="D73" s="55">
        <f>Segmented!I347</f>
        <v>45</v>
      </c>
      <c r="E73" s="55">
        <f>Segmented!J347</f>
        <v>0</v>
      </c>
      <c r="F73" s="55">
        <f>Segmented!K347</f>
        <v>0</v>
      </c>
      <c r="G73" s="55" t="s">
        <v>1361</v>
      </c>
      <c r="H73" s="55">
        <f>Segmented!M347</f>
        <v>0</v>
      </c>
      <c r="I73" s="55">
        <f>Segmented!N347</f>
        <v>0</v>
      </c>
      <c r="J73" s="55">
        <f>Segmented!O347</f>
        <v>0</v>
      </c>
      <c r="K73" s="55">
        <f>Segmented!P347</f>
        <v>0</v>
      </c>
      <c r="L73" s="55">
        <f>Segmented!Q347</f>
        <v>0</v>
      </c>
      <c r="M73" s="55">
        <f>Segmented!R347</f>
        <v>0</v>
      </c>
      <c r="N73" s="55">
        <f>Segmented!S347</f>
        <v>0</v>
      </c>
      <c r="O73" s="55">
        <f>Segmented!T347</f>
        <v>0</v>
      </c>
      <c r="P73" s="55"/>
      <c r="Q73" t="s">
        <v>1350</v>
      </c>
    </row>
    <row r="74" spans="1:17">
      <c r="A74" s="55" t="str">
        <f>Segmented!F348</f>
        <v>WALL R0 - R11_Electric FAF</v>
      </c>
      <c r="B74" s="55" t="str">
        <f>Segmented!G348</f>
        <v>WALL R0 - R11 (cooling savings)</v>
      </c>
      <c r="C74" s="55">
        <f>Segmented!H348</f>
        <v>29.793268943788341</v>
      </c>
      <c r="D74" s="55">
        <f>Segmented!I348</f>
        <v>45</v>
      </c>
      <c r="E74" s="55">
        <f>Segmented!J348</f>
        <v>0</v>
      </c>
      <c r="F74" s="55">
        <f>Segmented!K348</f>
        <v>0</v>
      </c>
      <c r="G74" s="55" t="s">
        <v>1361</v>
      </c>
      <c r="H74" s="55">
        <f>Segmented!M348</f>
        <v>0</v>
      </c>
      <c r="I74" s="55">
        <f>Segmented!N348</f>
        <v>0</v>
      </c>
      <c r="J74" s="55">
        <f>Segmented!O348</f>
        <v>0</v>
      </c>
      <c r="K74" s="55">
        <f>Segmented!P348</f>
        <v>0</v>
      </c>
      <c r="L74" s="55">
        <f>Segmented!Q348</f>
        <v>0</v>
      </c>
      <c r="M74" s="55">
        <f>Segmented!R348</f>
        <v>0</v>
      </c>
      <c r="N74" s="55">
        <f>Segmented!S348</f>
        <v>0</v>
      </c>
      <c r="O74" s="55">
        <f>Segmented!T348</f>
        <v>0</v>
      </c>
      <c r="P74" s="55"/>
      <c r="Q74" t="s">
        <v>1350</v>
      </c>
    </row>
    <row r="75" spans="1:17">
      <c r="A75" s="55" t="str">
        <f>Segmented!F349</f>
        <v>FLOOR R0 - R19_Electric FAF</v>
      </c>
      <c r="B75" s="55" t="str">
        <f>Segmented!G349</f>
        <v>FLOOR R0 - R19 (cooling savings)</v>
      </c>
      <c r="C75" s="55">
        <f>Segmented!H349</f>
        <v>-30.731756814566555</v>
      </c>
      <c r="D75" s="55">
        <f>Segmented!I349</f>
        <v>45</v>
      </c>
      <c r="E75" s="55">
        <f>Segmented!J349</f>
        <v>0</v>
      </c>
      <c r="F75" s="55">
        <f>Segmented!K349</f>
        <v>0</v>
      </c>
      <c r="G75" s="55" t="s">
        <v>1361</v>
      </c>
      <c r="H75" s="55">
        <f>Segmented!M349</f>
        <v>0</v>
      </c>
      <c r="I75" s="55">
        <f>Segmented!N349</f>
        <v>0</v>
      </c>
      <c r="J75" s="55">
        <f>Segmented!O349</f>
        <v>0</v>
      </c>
      <c r="K75" s="55">
        <f>Segmented!P349</f>
        <v>0</v>
      </c>
      <c r="L75" s="55">
        <f>Segmented!Q349</f>
        <v>0</v>
      </c>
      <c r="M75" s="55">
        <f>Segmented!R349</f>
        <v>0</v>
      </c>
      <c r="N75" s="55">
        <f>Segmented!S349</f>
        <v>0</v>
      </c>
      <c r="O75" s="55">
        <f>Segmented!T349</f>
        <v>0</v>
      </c>
      <c r="P75" s="55"/>
      <c r="Q75" t="s">
        <v>1350</v>
      </c>
    </row>
    <row r="76" spans="1:17">
      <c r="A76" s="55" t="str">
        <f>Segmented!F350</f>
        <v>FLOOR R0 - R25_Electric FAF</v>
      </c>
      <c r="B76" s="55" t="str">
        <f>Segmented!G350</f>
        <v>FLOOR R0 - R25 (cooling savings)</v>
      </c>
      <c r="C76" s="55">
        <f>Segmented!H350</f>
        <v>-34.371513422843577</v>
      </c>
      <c r="D76" s="55">
        <f>Segmented!I350</f>
        <v>45</v>
      </c>
      <c r="E76" s="55">
        <f>Segmented!J350</f>
        <v>0</v>
      </c>
      <c r="F76" s="55">
        <f>Segmented!K350</f>
        <v>0</v>
      </c>
      <c r="G76" s="55" t="s">
        <v>1361</v>
      </c>
      <c r="H76" s="55">
        <f>Segmented!M350</f>
        <v>0</v>
      </c>
      <c r="I76" s="55">
        <f>Segmented!N350</f>
        <v>0</v>
      </c>
      <c r="J76" s="55">
        <f>Segmented!O350</f>
        <v>0</v>
      </c>
      <c r="K76" s="55">
        <f>Segmented!P350</f>
        <v>0</v>
      </c>
      <c r="L76" s="55">
        <f>Segmented!Q350</f>
        <v>0</v>
      </c>
      <c r="M76" s="55">
        <f>Segmented!R350</f>
        <v>0</v>
      </c>
      <c r="N76" s="55">
        <f>Segmented!S350</f>
        <v>0</v>
      </c>
      <c r="O76" s="55">
        <f>Segmented!T350</f>
        <v>0</v>
      </c>
      <c r="P76" s="55"/>
      <c r="Q76" t="s">
        <v>1350</v>
      </c>
    </row>
    <row r="77" spans="1:17">
      <c r="A77" s="55" t="str">
        <f>Segmented!F351</f>
        <v>FLOOR R0 - R30_Electric FAF</v>
      </c>
      <c r="B77" s="55" t="str">
        <f>Segmented!G351</f>
        <v>FLOOR R0 - R30 (cooling savings)</v>
      </c>
      <c r="C77" s="55">
        <f>Segmented!H351</f>
        <v>-36.771949730535425</v>
      </c>
      <c r="D77" s="55">
        <f>Segmented!I351</f>
        <v>45</v>
      </c>
      <c r="E77" s="55">
        <f>Segmented!J351</f>
        <v>0</v>
      </c>
      <c r="F77" s="55">
        <f>Segmented!K351</f>
        <v>0</v>
      </c>
      <c r="G77" s="55" t="s">
        <v>1361</v>
      </c>
      <c r="H77" s="55">
        <f>Segmented!M351</f>
        <v>0</v>
      </c>
      <c r="I77" s="55">
        <f>Segmented!N351</f>
        <v>0</v>
      </c>
      <c r="J77" s="55">
        <f>Segmented!O351</f>
        <v>0</v>
      </c>
      <c r="K77" s="55">
        <f>Segmented!P351</f>
        <v>0</v>
      </c>
      <c r="L77" s="55">
        <f>Segmented!Q351</f>
        <v>0</v>
      </c>
      <c r="M77" s="55">
        <f>Segmented!R351</f>
        <v>0</v>
      </c>
      <c r="N77" s="55">
        <f>Segmented!S351</f>
        <v>0</v>
      </c>
      <c r="O77" s="55">
        <f>Segmented!T351</f>
        <v>0</v>
      </c>
      <c r="P77" s="55"/>
      <c r="Q77" t="s">
        <v>1350</v>
      </c>
    </row>
    <row r="78" spans="1:17" ht="25.5">
      <c r="A78" s="55" t="str">
        <f>Segmented!F352</f>
        <v>WINDOW CL30 Prime Window Replacement of Single Pane Base_Electric FAF</v>
      </c>
      <c r="B78" s="55" t="str">
        <f>Segmented!G352</f>
        <v>WINDOW CL30 Prime Window Replacement of Single Pane Base (cooling savings)</v>
      </c>
      <c r="C78" s="55">
        <f>Segmented!H352</f>
        <v>62.43268657262869</v>
      </c>
      <c r="D78" s="55">
        <f>Segmented!I352</f>
        <v>45</v>
      </c>
      <c r="E78" s="55">
        <f>Segmented!J352</f>
        <v>0</v>
      </c>
      <c r="F78" s="55">
        <f>Segmented!K352</f>
        <v>0</v>
      </c>
      <c r="G78" s="55" t="s">
        <v>1361</v>
      </c>
      <c r="H78" s="55">
        <f>Segmented!M352</f>
        <v>0</v>
      </c>
      <c r="I78" s="55">
        <f>Segmented!N352</f>
        <v>0</v>
      </c>
      <c r="J78" s="55">
        <f>Segmented!O352</f>
        <v>0</v>
      </c>
      <c r="K78" s="55">
        <f>Segmented!P352</f>
        <v>0</v>
      </c>
      <c r="L78" s="55">
        <f>Segmented!Q352</f>
        <v>0</v>
      </c>
      <c r="M78" s="55">
        <f>Segmented!R352</f>
        <v>0</v>
      </c>
      <c r="N78" s="55">
        <f>Segmented!S352</f>
        <v>0</v>
      </c>
      <c r="O78" s="55">
        <f>Segmented!T352</f>
        <v>0</v>
      </c>
      <c r="P78" s="55"/>
      <c r="Q78" t="s">
        <v>1350</v>
      </c>
    </row>
    <row r="79" spans="1:17" ht="25.5">
      <c r="A79" s="55" t="str">
        <f>Segmented!F353</f>
        <v>WINDOW CL30 Prime Window Replacement of Double Pane Base_Electric FAF</v>
      </c>
      <c r="B79" s="55" t="str">
        <f>Segmented!G353</f>
        <v>WINDOW CL30 Prime Window Replacement of Double Pane Base (cooling savings)</v>
      </c>
      <c r="C79" s="55">
        <f>Segmented!H353</f>
        <v>80.735407065541963</v>
      </c>
      <c r="D79" s="55">
        <f>Segmented!I353</f>
        <v>45</v>
      </c>
      <c r="E79" s="55">
        <f>Segmented!J353</f>
        <v>0</v>
      </c>
      <c r="F79" s="55">
        <f>Segmented!K353</f>
        <v>0</v>
      </c>
      <c r="G79" s="55" t="s">
        <v>1361</v>
      </c>
      <c r="H79" s="55">
        <f>Segmented!M353</f>
        <v>0</v>
      </c>
      <c r="I79" s="55">
        <f>Segmented!N353</f>
        <v>0</v>
      </c>
      <c r="J79" s="55">
        <f>Segmented!O353</f>
        <v>0</v>
      </c>
      <c r="K79" s="55">
        <f>Segmented!P353</f>
        <v>0</v>
      </c>
      <c r="L79" s="55">
        <f>Segmented!Q353</f>
        <v>0</v>
      </c>
      <c r="M79" s="55">
        <f>Segmented!R353</f>
        <v>0</v>
      </c>
      <c r="N79" s="55">
        <f>Segmented!S353</f>
        <v>0</v>
      </c>
      <c r="O79" s="55">
        <f>Segmented!T353</f>
        <v>0</v>
      </c>
      <c r="P79" s="55"/>
      <c r="Q79" t="s">
        <v>1350</v>
      </c>
    </row>
    <row r="80" spans="1:17" ht="25.5">
      <c r="A80" s="55" t="str">
        <f>Segmented!F354</f>
        <v>WINDOW CL22 Prime Window Replacement of Single Pane Base_Electric FAF</v>
      </c>
      <c r="B80" s="55" t="str">
        <f>Segmented!G354</f>
        <v>WINDOW CL22 Prime Window Replacement of Single Pane Base (cooling savings)</v>
      </c>
      <c r="C80" s="55">
        <f>Segmented!H354</f>
        <v>67.054277068763767</v>
      </c>
      <c r="D80" s="55">
        <f>Segmented!I354</f>
        <v>45</v>
      </c>
      <c r="E80" s="55">
        <f>Segmented!J354</f>
        <v>0</v>
      </c>
      <c r="F80" s="55">
        <f>Segmented!K354</f>
        <v>0</v>
      </c>
      <c r="G80" s="55" t="s">
        <v>1361</v>
      </c>
      <c r="H80" s="55">
        <f>Segmented!M354</f>
        <v>0</v>
      </c>
      <c r="I80" s="55">
        <f>Segmented!N354</f>
        <v>0</v>
      </c>
      <c r="J80" s="55">
        <f>Segmented!O354</f>
        <v>0</v>
      </c>
      <c r="K80" s="55">
        <f>Segmented!P354</f>
        <v>0</v>
      </c>
      <c r="L80" s="55">
        <f>Segmented!Q354</f>
        <v>0</v>
      </c>
      <c r="M80" s="55">
        <f>Segmented!R354</f>
        <v>0</v>
      </c>
      <c r="N80" s="55">
        <f>Segmented!S354</f>
        <v>0</v>
      </c>
      <c r="O80" s="55">
        <f>Segmented!T354</f>
        <v>0</v>
      </c>
      <c r="P80" s="55"/>
      <c r="Q80" t="s">
        <v>1350</v>
      </c>
    </row>
    <row r="81" spans="1:17" ht="25.5">
      <c r="A81" s="55" t="str">
        <f>Segmented!F355</f>
        <v>WINDOW CL22 Prime Window Replacement of Double Pane Base_Electric FAF</v>
      </c>
      <c r="B81" s="55" t="str">
        <f>Segmented!G355</f>
        <v>WINDOW CL22 Prime Window Replacement of Double Pane Base (cooling savings)</v>
      </c>
      <c r="C81" s="55">
        <f>Segmented!H355</f>
        <v>85.356997561677034</v>
      </c>
      <c r="D81" s="55">
        <f>Segmented!I355</f>
        <v>45</v>
      </c>
      <c r="E81" s="55">
        <f>Segmented!J355</f>
        <v>0</v>
      </c>
      <c r="F81" s="55">
        <f>Segmented!K355</f>
        <v>0</v>
      </c>
      <c r="G81" s="55" t="s">
        <v>1361</v>
      </c>
      <c r="H81" s="55">
        <f>Segmented!M355</f>
        <v>0</v>
      </c>
      <c r="I81" s="55">
        <f>Segmented!N355</f>
        <v>0</v>
      </c>
      <c r="J81" s="55">
        <f>Segmented!O355</f>
        <v>0</v>
      </c>
      <c r="K81" s="55">
        <f>Segmented!P355</f>
        <v>0</v>
      </c>
      <c r="L81" s="55">
        <f>Segmented!Q355</f>
        <v>0</v>
      </c>
      <c r="M81" s="55">
        <f>Segmented!R355</f>
        <v>0</v>
      </c>
      <c r="N81" s="55">
        <f>Segmented!S355</f>
        <v>0</v>
      </c>
      <c r="O81" s="55">
        <f>Segmented!T355</f>
        <v>0</v>
      </c>
      <c r="P81" s="55"/>
      <c r="Q81" t="s">
        <v>1350</v>
      </c>
    </row>
    <row r="82" spans="1:17">
      <c r="A82" s="55" t="str">
        <f>Segmented!F356</f>
        <v>CFM50 Infiltration Reduction_Electric FAF</v>
      </c>
      <c r="B82" s="55" t="str">
        <f>Segmented!G356</f>
        <v>CFM50 Infiltration Reduction (cooling savings)</v>
      </c>
      <c r="C82" s="55">
        <f>Segmented!H356</f>
        <v>1.8236122501655805</v>
      </c>
      <c r="D82" s="55">
        <f>Segmented!I356</f>
        <v>15</v>
      </c>
      <c r="E82" s="55">
        <f>Segmented!J356</f>
        <v>0</v>
      </c>
      <c r="F82" s="55">
        <f>Segmented!K356</f>
        <v>0</v>
      </c>
      <c r="G82" s="55" t="s">
        <v>1361</v>
      </c>
      <c r="H82" s="55">
        <f>Segmented!M356</f>
        <v>0</v>
      </c>
      <c r="I82" s="55">
        <f>Segmented!N356</f>
        <v>0</v>
      </c>
      <c r="J82" s="55">
        <f>Segmented!O356</f>
        <v>0</v>
      </c>
      <c r="K82" s="55">
        <f>Segmented!P356</f>
        <v>0</v>
      </c>
      <c r="L82" s="55">
        <f>Segmented!Q356</f>
        <v>0</v>
      </c>
      <c r="M82" s="55">
        <f>Segmented!R356</f>
        <v>0</v>
      </c>
      <c r="N82" s="55">
        <f>Segmented!S356</f>
        <v>0</v>
      </c>
      <c r="O82" s="55">
        <f>Segmented!T356</f>
        <v>0</v>
      </c>
      <c r="P82" s="55"/>
      <c r="Q82" t="s">
        <v>1350</v>
      </c>
    </row>
    <row r="83" spans="1:17">
      <c r="A83" s="55" t="str">
        <f>Segmented!F357</f>
        <v>ATTIC R0 - R38_Electric Zonal</v>
      </c>
      <c r="B83" s="55" t="str">
        <f>Segmented!G357</f>
        <v>ATTIC R0 - R38 (cooling savings)</v>
      </c>
      <c r="C83" s="55">
        <f>Segmented!H357</f>
        <v>143.82421446881312</v>
      </c>
      <c r="D83" s="55">
        <f>Segmented!I357</f>
        <v>45</v>
      </c>
      <c r="E83" s="55">
        <f>Segmented!J357</f>
        <v>0</v>
      </c>
      <c r="F83" s="55">
        <f>Segmented!K357</f>
        <v>0</v>
      </c>
      <c r="G83" s="55" t="s">
        <v>1361</v>
      </c>
      <c r="H83" s="55">
        <f>Segmented!M357</f>
        <v>0</v>
      </c>
      <c r="I83" s="55">
        <f>Segmented!N357</f>
        <v>0</v>
      </c>
      <c r="J83" s="55">
        <f>Segmented!O357</f>
        <v>0</v>
      </c>
      <c r="K83" s="55">
        <f>Segmented!P357</f>
        <v>0</v>
      </c>
      <c r="L83" s="55">
        <f>Segmented!Q357</f>
        <v>0</v>
      </c>
      <c r="M83" s="55">
        <f>Segmented!R357</f>
        <v>0</v>
      </c>
      <c r="N83" s="55">
        <f>Segmented!S357</f>
        <v>0</v>
      </c>
      <c r="O83" s="55">
        <f>Segmented!T357</f>
        <v>0</v>
      </c>
      <c r="P83" s="55"/>
      <c r="Q83" t="s">
        <v>1350</v>
      </c>
    </row>
    <row r="84" spans="1:17">
      <c r="A84" s="55" t="str">
        <f>Segmented!F358</f>
        <v>ATTIC R0 - R49_Electric Zonal</v>
      </c>
      <c r="B84" s="55" t="str">
        <f>Segmented!G358</f>
        <v>ATTIC R0 - R49 (cooling savings)</v>
      </c>
      <c r="C84" s="55">
        <f>Segmented!H358</f>
        <v>145.52520439309671</v>
      </c>
      <c r="D84" s="55">
        <f>Segmented!I358</f>
        <v>45</v>
      </c>
      <c r="E84" s="55">
        <f>Segmented!J358</f>
        <v>0</v>
      </c>
      <c r="F84" s="55">
        <f>Segmented!K358</f>
        <v>0</v>
      </c>
      <c r="G84" s="55" t="s">
        <v>1361</v>
      </c>
      <c r="H84" s="55">
        <f>Segmented!M358</f>
        <v>0</v>
      </c>
      <c r="I84" s="55">
        <f>Segmented!N358</f>
        <v>0</v>
      </c>
      <c r="J84" s="55">
        <f>Segmented!O358</f>
        <v>0</v>
      </c>
      <c r="K84" s="55">
        <f>Segmented!P358</f>
        <v>0</v>
      </c>
      <c r="L84" s="55">
        <f>Segmented!Q358</f>
        <v>0</v>
      </c>
      <c r="M84" s="55">
        <f>Segmented!R358</f>
        <v>0</v>
      </c>
      <c r="N84" s="55">
        <f>Segmented!S358</f>
        <v>0</v>
      </c>
      <c r="O84" s="55">
        <f>Segmented!T358</f>
        <v>0</v>
      </c>
      <c r="P84" s="55"/>
      <c r="Q84" t="s">
        <v>1350</v>
      </c>
    </row>
    <row r="85" spans="1:17">
      <c r="A85" s="55" t="str">
        <f>Segmented!F359</f>
        <v>ATTIC R11 - R38_Electric Zonal</v>
      </c>
      <c r="B85" s="55" t="str">
        <f>Segmented!G359</f>
        <v>ATTIC R11 - R38 (cooling savings)</v>
      </c>
      <c r="C85" s="55">
        <f>Segmented!H359</f>
        <v>20.682562801409109</v>
      </c>
      <c r="D85" s="55">
        <f>Segmented!I359</f>
        <v>45</v>
      </c>
      <c r="E85" s="55">
        <f>Segmented!J359</f>
        <v>0</v>
      </c>
      <c r="F85" s="55">
        <f>Segmented!K359</f>
        <v>0</v>
      </c>
      <c r="G85" s="55" t="s">
        <v>1361</v>
      </c>
      <c r="H85" s="55">
        <f>Segmented!M359</f>
        <v>0</v>
      </c>
      <c r="I85" s="55">
        <f>Segmented!N359</f>
        <v>0</v>
      </c>
      <c r="J85" s="55">
        <f>Segmented!O359</f>
        <v>0</v>
      </c>
      <c r="K85" s="55">
        <f>Segmented!P359</f>
        <v>0</v>
      </c>
      <c r="L85" s="55">
        <f>Segmented!Q359</f>
        <v>0</v>
      </c>
      <c r="M85" s="55">
        <f>Segmented!R359</f>
        <v>0</v>
      </c>
      <c r="N85" s="55">
        <f>Segmented!S359</f>
        <v>0</v>
      </c>
      <c r="O85" s="55">
        <f>Segmented!T359</f>
        <v>0</v>
      </c>
      <c r="P85" s="55"/>
      <c r="Q85" t="s">
        <v>1350</v>
      </c>
    </row>
    <row r="86" spans="1:17">
      <c r="A86" s="55" t="str">
        <f>Segmented!F360</f>
        <v>ATTIC R11 - R49_Electric Zonal</v>
      </c>
      <c r="B86" s="55" t="str">
        <f>Segmented!G360</f>
        <v>ATTIC R11 - R49 (cooling savings)</v>
      </c>
      <c r="C86" s="55">
        <f>Segmented!H360</f>
        <v>22.383552725692695</v>
      </c>
      <c r="D86" s="55">
        <f>Segmented!I360</f>
        <v>45</v>
      </c>
      <c r="E86" s="55">
        <f>Segmented!J360</f>
        <v>0</v>
      </c>
      <c r="F86" s="55">
        <f>Segmented!K360</f>
        <v>0</v>
      </c>
      <c r="G86" s="55" t="s">
        <v>1361</v>
      </c>
      <c r="H86" s="55">
        <f>Segmented!M360</f>
        <v>0</v>
      </c>
      <c r="I86" s="55">
        <f>Segmented!N360</f>
        <v>0</v>
      </c>
      <c r="J86" s="55">
        <f>Segmented!O360</f>
        <v>0</v>
      </c>
      <c r="K86" s="55">
        <f>Segmented!P360</f>
        <v>0</v>
      </c>
      <c r="L86" s="55">
        <f>Segmented!Q360</f>
        <v>0</v>
      </c>
      <c r="M86" s="55">
        <f>Segmented!R360</f>
        <v>0</v>
      </c>
      <c r="N86" s="55">
        <f>Segmented!S360</f>
        <v>0</v>
      </c>
      <c r="O86" s="55">
        <f>Segmented!T360</f>
        <v>0</v>
      </c>
      <c r="P86" s="55"/>
      <c r="Q86" t="s">
        <v>1350</v>
      </c>
    </row>
    <row r="87" spans="1:17">
      <c r="A87" s="55" t="str">
        <f>Segmented!F361</f>
        <v>ATTIC R19 - R38_Electric Zonal</v>
      </c>
      <c r="B87" s="55" t="str">
        <f>Segmented!G361</f>
        <v>ATTIC R19 - R38 (cooling savings)</v>
      </c>
      <c r="C87" s="55">
        <f>Segmented!H361</f>
        <v>8.4280084048355715</v>
      </c>
      <c r="D87" s="55">
        <f>Segmented!I361</f>
        <v>45</v>
      </c>
      <c r="E87" s="55">
        <f>Segmented!J361</f>
        <v>0</v>
      </c>
      <c r="F87" s="55">
        <f>Segmented!K361</f>
        <v>0</v>
      </c>
      <c r="G87" s="55" t="s">
        <v>1361</v>
      </c>
      <c r="H87" s="55">
        <f>Segmented!M361</f>
        <v>0</v>
      </c>
      <c r="I87" s="55">
        <f>Segmented!N361</f>
        <v>0</v>
      </c>
      <c r="J87" s="55">
        <f>Segmented!O361</f>
        <v>0</v>
      </c>
      <c r="K87" s="55">
        <f>Segmented!P361</f>
        <v>0</v>
      </c>
      <c r="L87" s="55">
        <f>Segmented!Q361</f>
        <v>0</v>
      </c>
      <c r="M87" s="55">
        <f>Segmented!R361</f>
        <v>0</v>
      </c>
      <c r="N87" s="55">
        <f>Segmented!S361</f>
        <v>0</v>
      </c>
      <c r="O87" s="55">
        <f>Segmented!T361</f>
        <v>0</v>
      </c>
      <c r="P87" s="55"/>
      <c r="Q87" t="s">
        <v>1350</v>
      </c>
    </row>
    <row r="88" spans="1:17">
      <c r="A88" s="55" t="str">
        <f>Segmented!F362</f>
        <v>ATTIC R19 - R49_Electric Zonal</v>
      </c>
      <c r="B88" s="55" t="str">
        <f>Segmented!G362</f>
        <v>ATTIC R19 - R49 (cooling savings)</v>
      </c>
      <c r="C88" s="55">
        <f>Segmented!H362</f>
        <v>10.128998329119161</v>
      </c>
      <c r="D88" s="55">
        <f>Segmented!I362</f>
        <v>45</v>
      </c>
      <c r="E88" s="55">
        <f>Segmented!J362</f>
        <v>0</v>
      </c>
      <c r="F88" s="55">
        <f>Segmented!K362</f>
        <v>0</v>
      </c>
      <c r="G88" s="55" t="s">
        <v>1361</v>
      </c>
      <c r="H88" s="55">
        <f>Segmented!M362</f>
        <v>0</v>
      </c>
      <c r="I88" s="55">
        <f>Segmented!N362</f>
        <v>0</v>
      </c>
      <c r="J88" s="55">
        <f>Segmented!O362</f>
        <v>0</v>
      </c>
      <c r="K88" s="55">
        <f>Segmented!P362</f>
        <v>0</v>
      </c>
      <c r="L88" s="55">
        <f>Segmented!Q362</f>
        <v>0</v>
      </c>
      <c r="M88" s="55">
        <f>Segmented!R362</f>
        <v>0</v>
      </c>
      <c r="N88" s="55">
        <f>Segmented!S362</f>
        <v>0</v>
      </c>
      <c r="O88" s="55">
        <f>Segmented!T362</f>
        <v>0</v>
      </c>
      <c r="P88" s="55"/>
      <c r="Q88" t="s">
        <v>1350</v>
      </c>
    </row>
    <row r="89" spans="1:17">
      <c r="A89" s="55" t="str">
        <f>Segmented!F363</f>
        <v>WALL R0 - R11_Electric Zonal</v>
      </c>
      <c r="B89" s="55" t="str">
        <f>Segmented!G363</f>
        <v>WALL R0 - R11 (cooling savings)</v>
      </c>
      <c r="C89" s="55">
        <f>Segmented!H363</f>
        <v>25.175910559281874</v>
      </c>
      <c r="D89" s="55">
        <f>Segmented!I363</f>
        <v>45</v>
      </c>
      <c r="E89" s="55">
        <f>Segmented!J363</f>
        <v>0</v>
      </c>
      <c r="F89" s="55">
        <f>Segmented!K363</f>
        <v>0</v>
      </c>
      <c r="G89" s="55" t="s">
        <v>1361</v>
      </c>
      <c r="H89" s="55">
        <f>Segmented!M363</f>
        <v>0</v>
      </c>
      <c r="I89" s="55">
        <f>Segmented!N363</f>
        <v>0</v>
      </c>
      <c r="J89" s="55">
        <f>Segmented!O363</f>
        <v>0</v>
      </c>
      <c r="K89" s="55">
        <f>Segmented!P363</f>
        <v>0</v>
      </c>
      <c r="L89" s="55">
        <f>Segmented!Q363</f>
        <v>0</v>
      </c>
      <c r="M89" s="55">
        <f>Segmented!R363</f>
        <v>0</v>
      </c>
      <c r="N89" s="55">
        <f>Segmented!S363</f>
        <v>0</v>
      </c>
      <c r="O89" s="55">
        <f>Segmented!T363</f>
        <v>0</v>
      </c>
      <c r="P89" s="55"/>
      <c r="Q89" t="s">
        <v>1350</v>
      </c>
    </row>
    <row r="90" spans="1:17">
      <c r="A90" s="55" t="str">
        <f>Segmented!F364</f>
        <v>FLOOR R0 - R19_Electric Zonal</v>
      </c>
      <c r="B90" s="55" t="str">
        <f>Segmented!G364</f>
        <v>FLOOR R0 - R19 (cooling savings)</v>
      </c>
      <c r="C90" s="55">
        <f>Segmented!H364</f>
        <v>-20.191751362951553</v>
      </c>
      <c r="D90" s="55">
        <f>Segmented!I364</f>
        <v>45</v>
      </c>
      <c r="E90" s="55">
        <f>Segmented!J364</f>
        <v>0</v>
      </c>
      <c r="F90" s="55">
        <f>Segmented!K364</f>
        <v>0</v>
      </c>
      <c r="G90" s="55" t="s">
        <v>1361</v>
      </c>
      <c r="H90" s="55">
        <f>Segmented!M364</f>
        <v>0</v>
      </c>
      <c r="I90" s="55">
        <f>Segmented!N364</f>
        <v>0</v>
      </c>
      <c r="J90" s="55">
        <f>Segmented!O364</f>
        <v>0</v>
      </c>
      <c r="K90" s="55">
        <f>Segmented!P364</f>
        <v>0</v>
      </c>
      <c r="L90" s="55">
        <f>Segmented!Q364</f>
        <v>0</v>
      </c>
      <c r="M90" s="55">
        <f>Segmented!R364</f>
        <v>0</v>
      </c>
      <c r="N90" s="55">
        <f>Segmented!S364</f>
        <v>0</v>
      </c>
      <c r="O90" s="55">
        <f>Segmented!T364</f>
        <v>0</v>
      </c>
      <c r="P90" s="55"/>
      <c r="Q90" t="s">
        <v>1350</v>
      </c>
    </row>
    <row r="91" spans="1:17">
      <c r="A91" s="55" t="str">
        <f>Segmented!F365</f>
        <v>FLOOR R0 - R25_Electric Zonal</v>
      </c>
      <c r="B91" s="55" t="str">
        <f>Segmented!G365</f>
        <v>FLOOR R0 - R25 (cooling savings)</v>
      </c>
      <c r="C91" s="55">
        <f>Segmented!H365</f>
        <v>-22.42799887323461</v>
      </c>
      <c r="D91" s="55">
        <f>Segmented!I365</f>
        <v>45</v>
      </c>
      <c r="E91" s="55">
        <f>Segmented!J365</f>
        <v>0</v>
      </c>
      <c r="F91" s="55">
        <f>Segmented!K365</f>
        <v>0</v>
      </c>
      <c r="G91" s="55" t="s">
        <v>1361</v>
      </c>
      <c r="H91" s="55">
        <f>Segmented!M365</f>
        <v>0</v>
      </c>
      <c r="I91" s="55">
        <f>Segmented!N365</f>
        <v>0</v>
      </c>
      <c r="J91" s="55">
        <f>Segmented!O365</f>
        <v>0</v>
      </c>
      <c r="K91" s="55">
        <f>Segmented!P365</f>
        <v>0</v>
      </c>
      <c r="L91" s="55">
        <f>Segmented!Q365</f>
        <v>0</v>
      </c>
      <c r="M91" s="55">
        <f>Segmented!R365</f>
        <v>0</v>
      </c>
      <c r="N91" s="55">
        <f>Segmented!S365</f>
        <v>0</v>
      </c>
      <c r="O91" s="55">
        <f>Segmented!T365</f>
        <v>0</v>
      </c>
      <c r="P91" s="55"/>
      <c r="Q91" t="s">
        <v>1350</v>
      </c>
    </row>
    <row r="92" spans="1:17">
      <c r="A92" s="55" t="str">
        <f>Segmented!F366</f>
        <v>FLOOR R0 - R30_Electric Zonal</v>
      </c>
      <c r="B92" s="55" t="str">
        <f>Segmented!G366</f>
        <v>FLOOR R0 - R30 (cooling savings)</v>
      </c>
      <c r="C92" s="55">
        <f>Segmented!H366</f>
        <v>-23.889936030509713</v>
      </c>
      <c r="D92" s="55">
        <f>Segmented!I366</f>
        <v>45</v>
      </c>
      <c r="E92" s="55">
        <f>Segmented!J366</f>
        <v>0</v>
      </c>
      <c r="F92" s="55">
        <f>Segmented!K366</f>
        <v>0</v>
      </c>
      <c r="G92" s="55" t="s">
        <v>1361</v>
      </c>
      <c r="H92" s="55">
        <f>Segmented!M366</f>
        <v>0</v>
      </c>
      <c r="I92" s="55">
        <f>Segmented!N366</f>
        <v>0</v>
      </c>
      <c r="J92" s="55">
        <f>Segmented!O366</f>
        <v>0</v>
      </c>
      <c r="K92" s="55">
        <f>Segmented!P366</f>
        <v>0</v>
      </c>
      <c r="L92" s="55">
        <f>Segmented!Q366</f>
        <v>0</v>
      </c>
      <c r="M92" s="55">
        <f>Segmented!R366</f>
        <v>0</v>
      </c>
      <c r="N92" s="55">
        <f>Segmented!S366</f>
        <v>0</v>
      </c>
      <c r="O92" s="55">
        <f>Segmented!T366</f>
        <v>0</v>
      </c>
      <c r="P92" s="55"/>
      <c r="Q92" t="s">
        <v>1350</v>
      </c>
    </row>
    <row r="93" spans="1:17" ht="25.5">
      <c r="A93" s="55" t="str">
        <f>Segmented!F367</f>
        <v>WINDOW CL30 Prime Window Replacement of Single Pane Base_Electric Zonal</v>
      </c>
      <c r="B93" s="55" t="str">
        <f>Segmented!G367</f>
        <v>WINDOW CL30 Prime Window Replacement of Single Pane Base (cooling savings)</v>
      </c>
      <c r="C93" s="55">
        <f>Segmented!H367</f>
        <v>44.79437559091857</v>
      </c>
      <c r="D93" s="55">
        <f>Segmented!I367</f>
        <v>45</v>
      </c>
      <c r="E93" s="55">
        <f>Segmented!J367</f>
        <v>0</v>
      </c>
      <c r="F93" s="55">
        <f>Segmented!K367</f>
        <v>0</v>
      </c>
      <c r="G93" s="55" t="s">
        <v>1361</v>
      </c>
      <c r="H93" s="55">
        <f>Segmented!M367</f>
        <v>0</v>
      </c>
      <c r="I93" s="55">
        <f>Segmented!N367</f>
        <v>0</v>
      </c>
      <c r="J93" s="55">
        <f>Segmented!O367</f>
        <v>0</v>
      </c>
      <c r="K93" s="55">
        <f>Segmented!P367</f>
        <v>0</v>
      </c>
      <c r="L93" s="55">
        <f>Segmented!Q367</f>
        <v>0</v>
      </c>
      <c r="M93" s="55">
        <f>Segmented!R367</f>
        <v>0</v>
      </c>
      <c r="N93" s="55">
        <f>Segmented!S367</f>
        <v>0</v>
      </c>
      <c r="O93" s="55">
        <f>Segmented!T367</f>
        <v>0</v>
      </c>
      <c r="P93" s="55"/>
      <c r="Q93" t="s">
        <v>1350</v>
      </c>
    </row>
    <row r="94" spans="1:17" ht="25.5">
      <c r="A94" s="55" t="str">
        <f>Segmented!F368</f>
        <v>WINDOW CL30 Prime Window Replacement of Double Pane Base_Electric Zonal</v>
      </c>
      <c r="B94" s="55" t="str">
        <f>Segmented!G368</f>
        <v>WINDOW CL30 Prime Window Replacement of Double Pane Base (cooling savings)</v>
      </c>
      <c r="C94" s="55">
        <f>Segmented!H368</f>
        <v>55.41066356235681</v>
      </c>
      <c r="D94" s="55">
        <f>Segmented!I368</f>
        <v>45</v>
      </c>
      <c r="E94" s="55">
        <f>Segmented!J368</f>
        <v>0</v>
      </c>
      <c r="F94" s="55">
        <f>Segmented!K368</f>
        <v>0</v>
      </c>
      <c r="G94" s="55" t="s">
        <v>1361</v>
      </c>
      <c r="H94" s="55">
        <f>Segmented!M368</f>
        <v>0</v>
      </c>
      <c r="I94" s="55">
        <f>Segmented!N368</f>
        <v>0</v>
      </c>
      <c r="J94" s="55">
        <f>Segmented!O368</f>
        <v>0</v>
      </c>
      <c r="K94" s="55">
        <f>Segmented!P368</f>
        <v>0</v>
      </c>
      <c r="L94" s="55">
        <f>Segmented!Q368</f>
        <v>0</v>
      </c>
      <c r="M94" s="55">
        <f>Segmented!R368</f>
        <v>0</v>
      </c>
      <c r="N94" s="55">
        <f>Segmented!S368</f>
        <v>0</v>
      </c>
      <c r="O94" s="55">
        <f>Segmented!T368</f>
        <v>0</v>
      </c>
      <c r="P94" s="55"/>
      <c r="Q94" t="s">
        <v>1350</v>
      </c>
    </row>
    <row r="95" spans="1:17" ht="25.5">
      <c r="A95" s="55" t="str">
        <f>Segmented!F369</f>
        <v>WINDOW CL22 Prime Window Replacement of Single Pane Base_Electric Zonal</v>
      </c>
      <c r="B95" s="55" t="str">
        <f>Segmented!G369</f>
        <v>WINDOW CL22 Prime Window Replacement of Single Pane Base (cooling savings)</v>
      </c>
      <c r="C95" s="55">
        <f>Segmented!H369</f>
        <v>48.26588532536595</v>
      </c>
      <c r="D95" s="55">
        <f>Segmented!I369</f>
        <v>45</v>
      </c>
      <c r="E95" s="55">
        <f>Segmented!J369</f>
        <v>0</v>
      </c>
      <c r="F95" s="55">
        <f>Segmented!K369</f>
        <v>0</v>
      </c>
      <c r="G95" s="55" t="s">
        <v>1361</v>
      </c>
      <c r="H95" s="55">
        <f>Segmented!M369</f>
        <v>0</v>
      </c>
      <c r="I95" s="55">
        <f>Segmented!N369</f>
        <v>0</v>
      </c>
      <c r="J95" s="55">
        <f>Segmented!O369</f>
        <v>0</v>
      </c>
      <c r="K95" s="55">
        <f>Segmented!P369</f>
        <v>0</v>
      </c>
      <c r="L95" s="55">
        <f>Segmented!Q369</f>
        <v>0</v>
      </c>
      <c r="M95" s="55">
        <f>Segmented!R369</f>
        <v>0</v>
      </c>
      <c r="N95" s="55">
        <f>Segmented!S369</f>
        <v>0</v>
      </c>
      <c r="O95" s="55">
        <f>Segmented!T369</f>
        <v>0</v>
      </c>
      <c r="P95" s="55"/>
      <c r="Q95" t="s">
        <v>1350</v>
      </c>
    </row>
    <row r="96" spans="1:17" ht="25.5">
      <c r="A96" s="55" t="str">
        <f>Segmented!F370</f>
        <v>WINDOW CL22 Prime Window Replacement of Double Pane Base_Electric Zonal</v>
      </c>
      <c r="B96" s="55" t="str">
        <f>Segmented!G370</f>
        <v>WINDOW CL22 Prime Window Replacement of Double Pane Base (cooling savings)</v>
      </c>
      <c r="C96" s="55">
        <f>Segmented!H370</f>
        <v>58.88217329680419</v>
      </c>
      <c r="D96" s="55">
        <f>Segmented!I370</f>
        <v>45</v>
      </c>
      <c r="E96" s="55">
        <f>Segmented!J370</f>
        <v>0</v>
      </c>
      <c r="F96" s="55">
        <f>Segmented!K370</f>
        <v>0</v>
      </c>
      <c r="G96" s="55" t="s">
        <v>1361</v>
      </c>
      <c r="H96" s="55">
        <f>Segmented!M370</f>
        <v>0</v>
      </c>
      <c r="I96" s="55">
        <f>Segmented!N370</f>
        <v>0</v>
      </c>
      <c r="J96" s="55">
        <f>Segmented!O370</f>
        <v>0</v>
      </c>
      <c r="K96" s="55">
        <f>Segmented!P370</f>
        <v>0</v>
      </c>
      <c r="L96" s="55">
        <f>Segmented!Q370</f>
        <v>0</v>
      </c>
      <c r="M96" s="55">
        <f>Segmented!R370</f>
        <v>0</v>
      </c>
      <c r="N96" s="55">
        <f>Segmented!S370</f>
        <v>0</v>
      </c>
      <c r="O96" s="55">
        <f>Segmented!T370</f>
        <v>0</v>
      </c>
      <c r="P96" s="55"/>
      <c r="Q96" t="s">
        <v>1350</v>
      </c>
    </row>
    <row r="97" spans="1:17">
      <c r="A97" s="55" t="str">
        <f>Segmented!F371</f>
        <v>CFM50 Infiltration Reduction_Electric Zonal</v>
      </c>
      <c r="B97" s="55" t="str">
        <f>Segmented!G371</f>
        <v>CFM50 Infiltration Reduction (cooling savings)</v>
      </c>
      <c r="C97" s="55">
        <f>Segmented!H371</f>
        <v>3.9477513161705269</v>
      </c>
      <c r="D97" s="55">
        <f>Segmented!I371</f>
        <v>15</v>
      </c>
      <c r="E97" s="55">
        <f>Segmented!J371</f>
        <v>0</v>
      </c>
      <c r="F97" s="55">
        <f>Segmented!K371</f>
        <v>0</v>
      </c>
      <c r="G97" s="55" t="s">
        <v>1361</v>
      </c>
      <c r="H97" s="55">
        <f>Segmented!M371</f>
        <v>0</v>
      </c>
      <c r="I97" s="55">
        <f>Segmented!N371</f>
        <v>0</v>
      </c>
      <c r="J97" s="55">
        <f>Segmented!O371</f>
        <v>0</v>
      </c>
      <c r="K97" s="55">
        <f>Segmented!P371</f>
        <v>0</v>
      </c>
      <c r="L97" s="55">
        <f>Segmented!Q371</f>
        <v>0</v>
      </c>
      <c r="M97" s="55">
        <f>Segmented!R371</f>
        <v>0</v>
      </c>
      <c r="N97" s="55">
        <f>Segmented!S371</f>
        <v>0</v>
      </c>
      <c r="O97" s="55">
        <f>Segmented!T371</f>
        <v>0</v>
      </c>
      <c r="P97" s="55"/>
      <c r="Q97" t="s">
        <v>1350</v>
      </c>
    </row>
    <row r="98" spans="1:17">
      <c r="A98" s="55" t="str">
        <f>Segmented!F372</f>
        <v>ATTIC R0 - R38_Heat Pump</v>
      </c>
      <c r="B98" s="55" t="str">
        <f>Segmented!G372</f>
        <v>ATTIC R0 - R38 (cooling savings)</v>
      </c>
      <c r="C98" s="55">
        <f>Segmented!H372</f>
        <v>71.096344239180198</v>
      </c>
      <c r="D98" s="55">
        <f>Segmented!I372</f>
        <v>45</v>
      </c>
      <c r="E98" s="55">
        <f>Segmented!J372</f>
        <v>0</v>
      </c>
      <c r="F98" s="55">
        <f>Segmented!K372</f>
        <v>0</v>
      </c>
      <c r="G98" s="55" t="s">
        <v>1361</v>
      </c>
      <c r="H98" s="55">
        <f>Segmented!M372</f>
        <v>0</v>
      </c>
      <c r="I98" s="55">
        <f>Segmented!N372</f>
        <v>0</v>
      </c>
      <c r="J98" s="55">
        <f>Segmented!O372</f>
        <v>0</v>
      </c>
      <c r="K98" s="55">
        <f>Segmented!P372</f>
        <v>0</v>
      </c>
      <c r="L98" s="55">
        <f>Segmented!Q372</f>
        <v>0</v>
      </c>
      <c r="M98" s="55">
        <f>Segmented!R372</f>
        <v>0</v>
      </c>
      <c r="N98" s="55">
        <f>Segmented!S372</f>
        <v>0</v>
      </c>
      <c r="O98" s="55">
        <f>Segmented!T372</f>
        <v>0</v>
      </c>
      <c r="P98" s="55"/>
      <c r="Q98" t="s">
        <v>1350</v>
      </c>
    </row>
    <row r="99" spans="1:17">
      <c r="A99" s="55" t="str">
        <f>Segmented!F373</f>
        <v>ATTIC R0 - R49_Heat Pump</v>
      </c>
      <c r="B99" s="55" t="str">
        <f>Segmented!G373</f>
        <v>ATTIC R0 - R49 (cooling savings)</v>
      </c>
      <c r="C99" s="55">
        <f>Segmented!H373</f>
        <v>71.946163512247395</v>
      </c>
      <c r="D99" s="55">
        <f>Segmented!I373</f>
        <v>45</v>
      </c>
      <c r="E99" s="55">
        <f>Segmented!J373</f>
        <v>0</v>
      </c>
      <c r="F99" s="55">
        <f>Segmented!K373</f>
        <v>0</v>
      </c>
      <c r="G99" s="55" t="s">
        <v>1361</v>
      </c>
      <c r="H99" s="55">
        <f>Segmented!M373</f>
        <v>0</v>
      </c>
      <c r="I99" s="55">
        <f>Segmented!N373</f>
        <v>0</v>
      </c>
      <c r="J99" s="55">
        <f>Segmented!O373</f>
        <v>0</v>
      </c>
      <c r="K99" s="55">
        <f>Segmented!P373</f>
        <v>0</v>
      </c>
      <c r="L99" s="55">
        <f>Segmented!Q373</f>
        <v>0</v>
      </c>
      <c r="M99" s="55">
        <f>Segmented!R373</f>
        <v>0</v>
      </c>
      <c r="N99" s="55">
        <f>Segmented!S373</f>
        <v>0</v>
      </c>
      <c r="O99" s="55">
        <f>Segmented!T373</f>
        <v>0</v>
      </c>
      <c r="P99" s="55"/>
      <c r="Q99" t="s">
        <v>1350</v>
      </c>
    </row>
    <row r="100" spans="1:17">
      <c r="A100" s="55" t="str">
        <f>Segmented!F374</f>
        <v>ATTIC R11 - R38_Heat Pump</v>
      </c>
      <c r="B100" s="55" t="str">
        <f>Segmented!G374</f>
        <v>ATTIC R11 - R38 (cooling savings)</v>
      </c>
      <c r="C100" s="55">
        <f>Segmented!H374</f>
        <v>10.311257462214382</v>
      </c>
      <c r="D100" s="55">
        <f>Segmented!I374</f>
        <v>45</v>
      </c>
      <c r="E100" s="55">
        <f>Segmented!J374</f>
        <v>0</v>
      </c>
      <c r="F100" s="55">
        <f>Segmented!K374</f>
        <v>0</v>
      </c>
      <c r="G100" s="55" t="s">
        <v>1361</v>
      </c>
      <c r="H100" s="55">
        <f>Segmented!M374</f>
        <v>0</v>
      </c>
      <c r="I100" s="55">
        <f>Segmented!N374</f>
        <v>0</v>
      </c>
      <c r="J100" s="55">
        <f>Segmented!O374</f>
        <v>0</v>
      </c>
      <c r="K100" s="55">
        <f>Segmented!P374</f>
        <v>0</v>
      </c>
      <c r="L100" s="55">
        <f>Segmented!Q374</f>
        <v>0</v>
      </c>
      <c r="M100" s="55">
        <f>Segmented!R374</f>
        <v>0</v>
      </c>
      <c r="N100" s="55">
        <f>Segmented!S374</f>
        <v>0</v>
      </c>
      <c r="O100" s="55">
        <f>Segmented!T374</f>
        <v>0</v>
      </c>
      <c r="P100" s="55"/>
      <c r="Q100" t="s">
        <v>1350</v>
      </c>
    </row>
    <row r="101" spans="1:17">
      <c r="A101" s="55" t="str">
        <f>Segmented!F375</f>
        <v>ATTIC R11 - R49_Heat Pump</v>
      </c>
      <c r="B101" s="55" t="str">
        <f>Segmented!G375</f>
        <v>ATTIC R11 - R49 (cooling savings)</v>
      </c>
      <c r="C101" s="55">
        <f>Segmented!H375</f>
        <v>11.161076735281577</v>
      </c>
      <c r="D101" s="55">
        <f>Segmented!I375</f>
        <v>45</v>
      </c>
      <c r="E101" s="55">
        <f>Segmented!J375</f>
        <v>0</v>
      </c>
      <c r="F101" s="55">
        <f>Segmented!K375</f>
        <v>0</v>
      </c>
      <c r="G101" s="55" t="s">
        <v>1361</v>
      </c>
      <c r="H101" s="55">
        <f>Segmented!M375</f>
        <v>0</v>
      </c>
      <c r="I101" s="55">
        <f>Segmented!N375</f>
        <v>0</v>
      </c>
      <c r="J101" s="55">
        <f>Segmented!O375</f>
        <v>0</v>
      </c>
      <c r="K101" s="55">
        <f>Segmented!P375</f>
        <v>0</v>
      </c>
      <c r="L101" s="55">
        <f>Segmented!Q375</f>
        <v>0</v>
      </c>
      <c r="M101" s="55">
        <f>Segmented!R375</f>
        <v>0</v>
      </c>
      <c r="N101" s="55">
        <f>Segmented!S375</f>
        <v>0</v>
      </c>
      <c r="O101" s="55">
        <f>Segmented!T375</f>
        <v>0</v>
      </c>
      <c r="P101" s="55"/>
      <c r="Q101" t="s">
        <v>1350</v>
      </c>
    </row>
    <row r="102" spans="1:17">
      <c r="A102" s="55" t="str">
        <f>Segmented!F376</f>
        <v>ATTIC R19 - R38_Heat Pump</v>
      </c>
      <c r="B102" s="55" t="str">
        <f>Segmented!G376</f>
        <v>ATTIC R19 - R38 (cooling savings)</v>
      </c>
      <c r="C102" s="55">
        <f>Segmented!H376</f>
        <v>4.2068099315057452</v>
      </c>
      <c r="D102" s="55">
        <f>Segmented!I376</f>
        <v>45</v>
      </c>
      <c r="E102" s="55">
        <f>Segmented!J376</f>
        <v>0</v>
      </c>
      <c r="F102" s="55">
        <f>Segmented!K376</f>
        <v>0</v>
      </c>
      <c r="G102" s="55" t="s">
        <v>1361</v>
      </c>
      <c r="H102" s="55">
        <f>Segmented!M376</f>
        <v>0</v>
      </c>
      <c r="I102" s="55">
        <f>Segmented!N376</f>
        <v>0</v>
      </c>
      <c r="J102" s="55">
        <f>Segmented!O376</f>
        <v>0</v>
      </c>
      <c r="K102" s="55">
        <f>Segmented!P376</f>
        <v>0</v>
      </c>
      <c r="L102" s="55">
        <f>Segmented!Q376</f>
        <v>0</v>
      </c>
      <c r="M102" s="55">
        <f>Segmented!R376</f>
        <v>0</v>
      </c>
      <c r="N102" s="55">
        <f>Segmented!S376</f>
        <v>0</v>
      </c>
      <c r="O102" s="55">
        <f>Segmented!T376</f>
        <v>0</v>
      </c>
      <c r="P102" s="55"/>
      <c r="Q102" t="s">
        <v>1350</v>
      </c>
    </row>
    <row r="103" spans="1:17">
      <c r="A103" s="55" t="str">
        <f>Segmented!F377</f>
        <v>ATTIC R19 - R49_Heat Pump</v>
      </c>
      <c r="B103" s="55" t="str">
        <f>Segmented!G377</f>
        <v>ATTIC R19 - R49 (cooling savings)</v>
      </c>
      <c r="C103" s="55">
        <f>Segmented!H377</f>
        <v>5.0566292045729426</v>
      </c>
      <c r="D103" s="55">
        <f>Segmented!I377</f>
        <v>45</v>
      </c>
      <c r="E103" s="55">
        <f>Segmented!J377</f>
        <v>0</v>
      </c>
      <c r="F103" s="55">
        <f>Segmented!K377</f>
        <v>0</v>
      </c>
      <c r="G103" s="55" t="s">
        <v>1361</v>
      </c>
      <c r="H103" s="55">
        <f>Segmented!M377</f>
        <v>0</v>
      </c>
      <c r="I103" s="55">
        <f>Segmented!N377</f>
        <v>0</v>
      </c>
      <c r="J103" s="55">
        <f>Segmented!O377</f>
        <v>0</v>
      </c>
      <c r="K103" s="55">
        <f>Segmented!P377</f>
        <v>0</v>
      </c>
      <c r="L103" s="55">
        <f>Segmented!Q377</f>
        <v>0</v>
      </c>
      <c r="M103" s="55">
        <f>Segmented!R377</f>
        <v>0</v>
      </c>
      <c r="N103" s="55">
        <f>Segmented!S377</f>
        <v>0</v>
      </c>
      <c r="O103" s="55">
        <f>Segmented!T377</f>
        <v>0</v>
      </c>
      <c r="P103" s="55"/>
      <c r="Q103" t="s">
        <v>1350</v>
      </c>
    </row>
    <row r="104" spans="1:17">
      <c r="A104" s="55" t="str">
        <f>Segmented!F378</f>
        <v>WALL R0 - R11_Heat Pump</v>
      </c>
      <c r="B104" s="55" t="str">
        <f>Segmented!G378</f>
        <v>WALL R0 - R11 (cooling savings)</v>
      </c>
      <c r="C104" s="55">
        <f>Segmented!H378</f>
        <v>12.999913836925906</v>
      </c>
      <c r="D104" s="55">
        <f>Segmented!I378</f>
        <v>45</v>
      </c>
      <c r="E104" s="55">
        <f>Segmented!J378</f>
        <v>0</v>
      </c>
      <c r="F104" s="55">
        <f>Segmented!K378</f>
        <v>0</v>
      </c>
      <c r="G104" s="55" t="s">
        <v>1361</v>
      </c>
      <c r="H104" s="55">
        <f>Segmented!M378</f>
        <v>0</v>
      </c>
      <c r="I104" s="55">
        <f>Segmented!N378</f>
        <v>0</v>
      </c>
      <c r="J104" s="55">
        <f>Segmented!O378</f>
        <v>0</v>
      </c>
      <c r="K104" s="55">
        <f>Segmented!P378</f>
        <v>0</v>
      </c>
      <c r="L104" s="55">
        <f>Segmented!Q378</f>
        <v>0</v>
      </c>
      <c r="M104" s="55">
        <f>Segmented!R378</f>
        <v>0</v>
      </c>
      <c r="N104" s="55">
        <f>Segmented!S378</f>
        <v>0</v>
      </c>
      <c r="O104" s="55">
        <f>Segmented!T378</f>
        <v>0</v>
      </c>
      <c r="P104" s="55"/>
      <c r="Q104" t="s">
        <v>1350</v>
      </c>
    </row>
    <row r="105" spans="1:17">
      <c r="A105" s="55" t="str">
        <f>Segmented!F379</f>
        <v>FLOOR R0 - R19_Heat Pump</v>
      </c>
      <c r="B105" s="55" t="str">
        <f>Segmented!G379</f>
        <v>FLOOR R0 - R19 (cooling savings)</v>
      </c>
      <c r="C105" s="55">
        <f>Segmented!H379</f>
        <v>-9.6905633573986592</v>
      </c>
      <c r="D105" s="55">
        <f>Segmented!I379</f>
        <v>45</v>
      </c>
      <c r="E105" s="55">
        <f>Segmented!J379</f>
        <v>0</v>
      </c>
      <c r="F105" s="55">
        <f>Segmented!K379</f>
        <v>0</v>
      </c>
      <c r="G105" s="55" t="s">
        <v>1361</v>
      </c>
      <c r="H105" s="55">
        <f>Segmented!M379</f>
        <v>0</v>
      </c>
      <c r="I105" s="55">
        <f>Segmented!N379</f>
        <v>0</v>
      </c>
      <c r="J105" s="55">
        <f>Segmented!O379</f>
        <v>0</v>
      </c>
      <c r="K105" s="55">
        <f>Segmented!P379</f>
        <v>0</v>
      </c>
      <c r="L105" s="55">
        <f>Segmented!Q379</f>
        <v>0</v>
      </c>
      <c r="M105" s="55">
        <f>Segmented!R379</f>
        <v>0</v>
      </c>
      <c r="N105" s="55">
        <f>Segmented!S379</f>
        <v>0</v>
      </c>
      <c r="O105" s="55">
        <f>Segmented!T379</f>
        <v>0</v>
      </c>
      <c r="P105" s="55"/>
      <c r="Q105" t="s">
        <v>1350</v>
      </c>
    </row>
    <row r="106" spans="1:17">
      <c r="A106" s="55" t="str">
        <f>Segmented!F380</f>
        <v>FLOOR R0 - R25_Heat Pump</v>
      </c>
      <c r="B106" s="55" t="str">
        <f>Segmented!G380</f>
        <v>FLOOR R0 - R25 (cooling savings)</v>
      </c>
      <c r="C106" s="55">
        <f>Segmented!H380</f>
        <v>-10.761087787151384</v>
      </c>
      <c r="D106" s="55">
        <f>Segmented!I380</f>
        <v>45</v>
      </c>
      <c r="E106" s="55">
        <f>Segmented!J380</f>
        <v>0</v>
      </c>
      <c r="F106" s="55">
        <f>Segmented!K380</f>
        <v>0</v>
      </c>
      <c r="G106" s="55" t="s">
        <v>1361</v>
      </c>
      <c r="H106" s="55">
        <f>Segmented!M380</f>
        <v>0</v>
      </c>
      <c r="I106" s="55">
        <f>Segmented!N380</f>
        <v>0</v>
      </c>
      <c r="J106" s="55">
        <f>Segmented!O380</f>
        <v>0</v>
      </c>
      <c r="K106" s="55">
        <f>Segmented!P380</f>
        <v>0</v>
      </c>
      <c r="L106" s="55">
        <f>Segmented!Q380</f>
        <v>0</v>
      </c>
      <c r="M106" s="55">
        <f>Segmented!R380</f>
        <v>0</v>
      </c>
      <c r="N106" s="55">
        <f>Segmented!S380</f>
        <v>0</v>
      </c>
      <c r="O106" s="55">
        <f>Segmented!T380</f>
        <v>0</v>
      </c>
      <c r="P106" s="55"/>
      <c r="Q106" t="s">
        <v>1350</v>
      </c>
    </row>
    <row r="107" spans="1:17">
      <c r="A107" s="55" t="str">
        <f>Segmented!F381</f>
        <v>FLOOR R0 - R30_Heat Pump</v>
      </c>
      <c r="B107" s="55" t="str">
        <f>Segmented!G381</f>
        <v>FLOOR R0 - R30 (cooling savings)</v>
      </c>
      <c r="C107" s="55">
        <f>Segmented!H381</f>
        <v>-11.461256076474838</v>
      </c>
      <c r="D107" s="55">
        <f>Segmented!I381</f>
        <v>45</v>
      </c>
      <c r="E107" s="55">
        <f>Segmented!J381</f>
        <v>0</v>
      </c>
      <c r="F107" s="55">
        <f>Segmented!K381</f>
        <v>0</v>
      </c>
      <c r="G107" s="55" t="s">
        <v>1361</v>
      </c>
      <c r="H107" s="55">
        <f>Segmented!M381</f>
        <v>0</v>
      </c>
      <c r="I107" s="55">
        <f>Segmented!N381</f>
        <v>0</v>
      </c>
      <c r="J107" s="55">
        <f>Segmented!O381</f>
        <v>0</v>
      </c>
      <c r="K107" s="55">
        <f>Segmented!P381</f>
        <v>0</v>
      </c>
      <c r="L107" s="55">
        <f>Segmented!Q381</f>
        <v>0</v>
      </c>
      <c r="M107" s="55">
        <f>Segmented!R381</f>
        <v>0</v>
      </c>
      <c r="N107" s="55">
        <f>Segmented!S381</f>
        <v>0</v>
      </c>
      <c r="O107" s="55">
        <f>Segmented!T381</f>
        <v>0</v>
      </c>
      <c r="P107" s="55"/>
      <c r="Q107" t="s">
        <v>1350</v>
      </c>
    </row>
    <row r="108" spans="1:17" ht="25.5">
      <c r="A108" s="55" t="str">
        <f>Segmented!F382</f>
        <v>WINDOW CL30 Prime Window Replacement of Single Pane Base_Heat Pump</v>
      </c>
      <c r="B108" s="55" t="str">
        <f>Segmented!G382</f>
        <v>WINDOW CL30 Prime Window Replacement of Single Pane Base (cooling savings)</v>
      </c>
      <c r="C108" s="55">
        <f>Segmented!H382</f>
        <v>22.326386216265778</v>
      </c>
      <c r="D108" s="55">
        <f>Segmented!I382</f>
        <v>45</v>
      </c>
      <c r="E108" s="55">
        <f>Segmented!J382</f>
        <v>0</v>
      </c>
      <c r="F108" s="55">
        <f>Segmented!K382</f>
        <v>0</v>
      </c>
      <c r="G108" s="55" t="s">
        <v>1361</v>
      </c>
      <c r="H108" s="55">
        <f>Segmented!M382</f>
        <v>0</v>
      </c>
      <c r="I108" s="55">
        <f>Segmented!N382</f>
        <v>0</v>
      </c>
      <c r="J108" s="55">
        <f>Segmented!O382</f>
        <v>0</v>
      </c>
      <c r="K108" s="55">
        <f>Segmented!P382</f>
        <v>0</v>
      </c>
      <c r="L108" s="55">
        <f>Segmented!Q382</f>
        <v>0</v>
      </c>
      <c r="M108" s="55">
        <f>Segmented!R382</f>
        <v>0</v>
      </c>
      <c r="N108" s="55">
        <f>Segmented!S382</f>
        <v>0</v>
      </c>
      <c r="O108" s="55">
        <f>Segmented!T382</f>
        <v>0</v>
      </c>
      <c r="P108" s="55"/>
      <c r="Q108" t="s">
        <v>1350</v>
      </c>
    </row>
    <row r="109" spans="1:17" ht="25.5">
      <c r="A109" s="55" t="str">
        <f>Segmented!F383</f>
        <v>WINDOW CL30 Prime Window Replacement of Double Pane Base_Heat Pump</v>
      </c>
      <c r="B109" s="55" t="str">
        <f>Segmented!G383</f>
        <v>WINDOW CL30 Prime Window Replacement of Double Pane Base (cooling savings)</v>
      </c>
      <c r="C109" s="55">
        <f>Segmented!H383</f>
        <v>27.37138430251478</v>
      </c>
      <c r="D109" s="55">
        <f>Segmented!I383</f>
        <v>45</v>
      </c>
      <c r="E109" s="55">
        <f>Segmented!J383</f>
        <v>0</v>
      </c>
      <c r="F109" s="55">
        <f>Segmented!K383</f>
        <v>0</v>
      </c>
      <c r="G109" s="55" t="s">
        <v>1361</v>
      </c>
      <c r="H109" s="55">
        <f>Segmented!M383</f>
        <v>0</v>
      </c>
      <c r="I109" s="55">
        <f>Segmented!N383</f>
        <v>0</v>
      </c>
      <c r="J109" s="55">
        <f>Segmented!O383</f>
        <v>0</v>
      </c>
      <c r="K109" s="55">
        <f>Segmented!P383</f>
        <v>0</v>
      </c>
      <c r="L109" s="55">
        <f>Segmented!Q383</f>
        <v>0</v>
      </c>
      <c r="M109" s="55">
        <f>Segmented!R383</f>
        <v>0</v>
      </c>
      <c r="N109" s="55">
        <f>Segmented!S383</f>
        <v>0</v>
      </c>
      <c r="O109" s="55">
        <f>Segmented!T383</f>
        <v>0</v>
      </c>
      <c r="P109" s="55"/>
      <c r="Q109" t="s">
        <v>1350</v>
      </c>
    </row>
    <row r="110" spans="1:17" ht="25.5">
      <c r="A110" s="55" t="str">
        <f>Segmented!F384</f>
        <v>WINDOW CL22 Prime Window Replacement of Single Pane Base_Heat Pump</v>
      </c>
      <c r="B110" s="55" t="str">
        <f>Segmented!G384</f>
        <v>WINDOW CL22 Prime Window Replacement of Single Pane Base (cooling savings)</v>
      </c>
      <c r="C110" s="55">
        <f>Segmented!H384</f>
        <v>24.068388808939833</v>
      </c>
      <c r="D110" s="55">
        <f>Segmented!I384</f>
        <v>45</v>
      </c>
      <c r="E110" s="55">
        <f>Segmented!J384</f>
        <v>0</v>
      </c>
      <c r="F110" s="55">
        <f>Segmented!K384</f>
        <v>0</v>
      </c>
      <c r="G110" s="55" t="s">
        <v>1361</v>
      </c>
      <c r="H110" s="55">
        <f>Segmented!M384</f>
        <v>0</v>
      </c>
      <c r="I110" s="55">
        <f>Segmented!N384</f>
        <v>0</v>
      </c>
      <c r="J110" s="55">
        <f>Segmented!O384</f>
        <v>0</v>
      </c>
      <c r="K110" s="55">
        <f>Segmented!P384</f>
        <v>0</v>
      </c>
      <c r="L110" s="55">
        <f>Segmented!Q384</f>
        <v>0</v>
      </c>
      <c r="M110" s="55">
        <f>Segmented!R384</f>
        <v>0</v>
      </c>
      <c r="N110" s="55">
        <f>Segmented!S384</f>
        <v>0</v>
      </c>
      <c r="O110" s="55">
        <f>Segmented!T384</f>
        <v>0</v>
      </c>
      <c r="P110" s="55"/>
      <c r="Q110" t="s">
        <v>1350</v>
      </c>
    </row>
    <row r="111" spans="1:17" ht="25.5">
      <c r="A111" s="55" t="str">
        <f>Segmented!F385</f>
        <v>WINDOW CL22 Prime Window Replacement of Double Pane Base_Heat Pump</v>
      </c>
      <c r="B111" s="55" t="str">
        <f>Segmented!G385</f>
        <v>WINDOW CL22 Prime Window Replacement of Double Pane Base (cooling savings)</v>
      </c>
      <c r="C111" s="55">
        <f>Segmented!H385</f>
        <v>29.113386895188835</v>
      </c>
      <c r="D111" s="55">
        <f>Segmented!I385</f>
        <v>45</v>
      </c>
      <c r="E111" s="55">
        <f>Segmented!J385</f>
        <v>0</v>
      </c>
      <c r="F111" s="55">
        <f>Segmented!K385</f>
        <v>0</v>
      </c>
      <c r="G111" s="55" t="s">
        <v>1361</v>
      </c>
      <c r="H111" s="55">
        <f>Segmented!M385</f>
        <v>0</v>
      </c>
      <c r="I111" s="55">
        <f>Segmented!N385</f>
        <v>0</v>
      </c>
      <c r="J111" s="55">
        <f>Segmented!O385</f>
        <v>0</v>
      </c>
      <c r="K111" s="55">
        <f>Segmented!P385</f>
        <v>0</v>
      </c>
      <c r="L111" s="55">
        <f>Segmented!Q385</f>
        <v>0</v>
      </c>
      <c r="M111" s="55">
        <f>Segmented!R385</f>
        <v>0</v>
      </c>
      <c r="N111" s="55">
        <f>Segmented!S385</f>
        <v>0</v>
      </c>
      <c r="O111" s="55">
        <f>Segmented!T385</f>
        <v>0</v>
      </c>
      <c r="P111" s="55"/>
      <c r="Q111" t="s">
        <v>1350</v>
      </c>
    </row>
    <row r="112" spans="1:17">
      <c r="A112" s="55" t="str">
        <f>Segmented!F386</f>
        <v>CFM50 Infiltration Reduction_Heat Pump</v>
      </c>
      <c r="B112" s="55" t="str">
        <f>Segmented!G386</f>
        <v>CFM50 Infiltration Reduction (cooling savings)</v>
      </c>
      <c r="C112" s="55">
        <f>Segmented!H386</f>
        <v>2.2496018975639354</v>
      </c>
      <c r="D112" s="55">
        <f>Segmented!I386</f>
        <v>15</v>
      </c>
      <c r="E112" s="55">
        <f>Segmented!J386</f>
        <v>0</v>
      </c>
      <c r="F112" s="55">
        <f>Segmented!K386</f>
        <v>0</v>
      </c>
      <c r="G112" s="55" t="s">
        <v>1361</v>
      </c>
      <c r="H112" s="55">
        <f>Segmented!M386</f>
        <v>0</v>
      </c>
      <c r="I112" s="55">
        <f>Segmented!N386</f>
        <v>0</v>
      </c>
      <c r="J112" s="55">
        <f>Segmented!O386</f>
        <v>0</v>
      </c>
      <c r="K112" s="55">
        <f>Segmented!P386</f>
        <v>0</v>
      </c>
      <c r="L112" s="55">
        <f>Segmented!Q386</f>
        <v>0</v>
      </c>
      <c r="M112" s="55">
        <f>Segmented!R386</f>
        <v>0</v>
      </c>
      <c r="N112" s="55">
        <f>Segmented!S386</f>
        <v>0</v>
      </c>
      <c r="O112" s="55">
        <f>Segmented!T386</f>
        <v>0</v>
      </c>
      <c r="P112" s="55"/>
      <c r="Q112" t="s">
        <v>1350</v>
      </c>
    </row>
    <row r="113" spans="1:17">
      <c r="A113" s="55" t="str">
        <f>Segmented!F387</f>
        <v>ATTIC R0 - R38_DHP</v>
      </c>
      <c r="B113" s="55" t="str">
        <f>Segmented!G387</f>
        <v>ATTIC R0 - R38 (cooling savings)</v>
      </c>
      <c r="C113" s="55">
        <f>Segmented!H387</f>
        <v>135.30109729700632</v>
      </c>
      <c r="D113" s="55">
        <f>Segmented!I387</f>
        <v>45</v>
      </c>
      <c r="E113" s="55">
        <f>Segmented!J387</f>
        <v>0</v>
      </c>
      <c r="F113" s="55">
        <f>Segmented!K387</f>
        <v>0</v>
      </c>
      <c r="G113" s="55" t="s">
        <v>1361</v>
      </c>
      <c r="H113" s="55">
        <f>Segmented!M387</f>
        <v>0</v>
      </c>
      <c r="I113" s="55">
        <f>Segmented!N387</f>
        <v>0</v>
      </c>
      <c r="J113" s="55">
        <f>Segmented!O387</f>
        <v>0</v>
      </c>
      <c r="K113" s="55">
        <f>Segmented!P387</f>
        <v>0</v>
      </c>
      <c r="L113" s="55">
        <f>Segmented!Q387</f>
        <v>0</v>
      </c>
      <c r="M113" s="55">
        <f>Segmented!R387</f>
        <v>0</v>
      </c>
      <c r="N113" s="55">
        <f>Segmented!S387</f>
        <v>0</v>
      </c>
      <c r="O113" s="55">
        <f>Segmented!T387</f>
        <v>0</v>
      </c>
      <c r="P113" s="55"/>
      <c r="Q113" t="s">
        <v>1350</v>
      </c>
    </row>
    <row r="114" spans="1:17">
      <c r="A114" s="55" t="str">
        <f>Segmented!F388</f>
        <v>ATTIC R0 - R49_DHP</v>
      </c>
      <c r="B114" s="55" t="str">
        <f>Segmented!G388</f>
        <v>ATTIC R0 - R49 (cooling savings)</v>
      </c>
      <c r="C114" s="55">
        <f>Segmented!H388</f>
        <v>136.90885094758767</v>
      </c>
      <c r="D114" s="55">
        <f>Segmented!I388</f>
        <v>45</v>
      </c>
      <c r="E114" s="55">
        <f>Segmented!J388</f>
        <v>0</v>
      </c>
      <c r="F114" s="55">
        <f>Segmented!K388</f>
        <v>0</v>
      </c>
      <c r="G114" s="55" t="s">
        <v>1361</v>
      </c>
      <c r="H114" s="55">
        <f>Segmented!M388</f>
        <v>0</v>
      </c>
      <c r="I114" s="55">
        <f>Segmented!N388</f>
        <v>0</v>
      </c>
      <c r="J114" s="55">
        <f>Segmented!O388</f>
        <v>0</v>
      </c>
      <c r="K114" s="55">
        <f>Segmented!P388</f>
        <v>0</v>
      </c>
      <c r="L114" s="55">
        <f>Segmented!Q388</f>
        <v>0</v>
      </c>
      <c r="M114" s="55">
        <f>Segmented!R388</f>
        <v>0</v>
      </c>
      <c r="N114" s="55">
        <f>Segmented!S388</f>
        <v>0</v>
      </c>
      <c r="O114" s="55">
        <f>Segmented!T388</f>
        <v>0</v>
      </c>
      <c r="P114" s="55"/>
      <c r="Q114" t="s">
        <v>1350</v>
      </c>
    </row>
    <row r="115" spans="1:17">
      <c r="A115" s="55" t="str">
        <f>Segmented!F389</f>
        <v>ATTIC R11 - R38_DHP</v>
      </c>
      <c r="B115" s="55" t="str">
        <f>Segmented!G389</f>
        <v>ATTIC R11 - R38 (cooling savings)</v>
      </c>
      <c r="C115" s="55">
        <f>Segmented!H389</f>
        <v>19.53022550376431</v>
      </c>
      <c r="D115" s="55">
        <f>Segmented!I389</f>
        <v>45</v>
      </c>
      <c r="E115" s="55">
        <f>Segmented!J389</f>
        <v>0</v>
      </c>
      <c r="F115" s="55">
        <f>Segmented!K389</f>
        <v>0</v>
      </c>
      <c r="G115" s="55" t="s">
        <v>1361</v>
      </c>
      <c r="H115" s="55">
        <f>Segmented!M389</f>
        <v>0</v>
      </c>
      <c r="I115" s="55">
        <f>Segmented!N389</f>
        <v>0</v>
      </c>
      <c r="J115" s="55">
        <f>Segmented!O389</f>
        <v>0</v>
      </c>
      <c r="K115" s="55">
        <f>Segmented!P389</f>
        <v>0</v>
      </c>
      <c r="L115" s="55">
        <f>Segmented!Q389</f>
        <v>0</v>
      </c>
      <c r="M115" s="55">
        <f>Segmented!R389</f>
        <v>0</v>
      </c>
      <c r="N115" s="55">
        <f>Segmented!S389</f>
        <v>0</v>
      </c>
      <c r="O115" s="55">
        <f>Segmented!T389</f>
        <v>0</v>
      </c>
      <c r="P115" s="55"/>
      <c r="Q115" t="s">
        <v>1350</v>
      </c>
    </row>
    <row r="116" spans="1:17">
      <c r="A116" s="55" t="str">
        <f>Segmented!F390</f>
        <v>ATTIC R11 - R49_DHP</v>
      </c>
      <c r="B116" s="55" t="str">
        <f>Segmented!G390</f>
        <v>ATTIC R11 - R49 (cooling savings)</v>
      </c>
      <c r="C116" s="55">
        <f>Segmented!H390</f>
        <v>21.137979154345654</v>
      </c>
      <c r="D116" s="55">
        <f>Segmented!I390</f>
        <v>45</v>
      </c>
      <c r="E116" s="55">
        <f>Segmented!J390</f>
        <v>0</v>
      </c>
      <c r="F116" s="55">
        <f>Segmented!K390</f>
        <v>0</v>
      </c>
      <c r="G116" s="55" t="s">
        <v>1361</v>
      </c>
      <c r="H116" s="55">
        <f>Segmented!M390</f>
        <v>0</v>
      </c>
      <c r="I116" s="55">
        <f>Segmented!N390</f>
        <v>0</v>
      </c>
      <c r="J116" s="55">
        <f>Segmented!O390</f>
        <v>0</v>
      </c>
      <c r="K116" s="55">
        <f>Segmented!P390</f>
        <v>0</v>
      </c>
      <c r="L116" s="55">
        <f>Segmented!Q390</f>
        <v>0</v>
      </c>
      <c r="M116" s="55">
        <f>Segmented!R390</f>
        <v>0</v>
      </c>
      <c r="N116" s="55">
        <f>Segmented!S390</f>
        <v>0</v>
      </c>
      <c r="O116" s="55">
        <f>Segmented!T390</f>
        <v>0</v>
      </c>
      <c r="P116" s="55"/>
      <c r="Q116" t="s">
        <v>1350</v>
      </c>
    </row>
    <row r="117" spans="1:17">
      <c r="A117" s="55" t="str">
        <f>Segmented!F391</f>
        <v>ATTIC R19 - R38_DHP</v>
      </c>
      <c r="B117" s="55" t="str">
        <f>Segmented!G391</f>
        <v>ATTIC R19 - R38 (cooling savings)</v>
      </c>
      <c r="C117" s="55">
        <f>Segmented!H391</f>
        <v>7.9630286827628565</v>
      </c>
      <c r="D117" s="55">
        <f>Segmented!I391</f>
        <v>45</v>
      </c>
      <c r="E117" s="55">
        <f>Segmented!J391</f>
        <v>0</v>
      </c>
      <c r="F117" s="55">
        <f>Segmented!K391</f>
        <v>0</v>
      </c>
      <c r="G117" s="55" t="s">
        <v>1361</v>
      </c>
      <c r="H117" s="55">
        <f>Segmented!M391</f>
        <v>0</v>
      </c>
      <c r="I117" s="55">
        <f>Segmented!N391</f>
        <v>0</v>
      </c>
      <c r="J117" s="55">
        <f>Segmented!O391</f>
        <v>0</v>
      </c>
      <c r="K117" s="55">
        <f>Segmented!P391</f>
        <v>0</v>
      </c>
      <c r="L117" s="55">
        <f>Segmented!Q391</f>
        <v>0</v>
      </c>
      <c r="M117" s="55">
        <f>Segmented!R391</f>
        <v>0</v>
      </c>
      <c r="N117" s="55">
        <f>Segmented!S391</f>
        <v>0</v>
      </c>
      <c r="O117" s="55">
        <f>Segmented!T391</f>
        <v>0</v>
      </c>
      <c r="P117" s="55"/>
      <c r="Q117" t="s">
        <v>1350</v>
      </c>
    </row>
    <row r="118" spans="1:17">
      <c r="A118" s="55" t="str">
        <f>Segmented!F392</f>
        <v>ATTIC R19 - R49_DHP</v>
      </c>
      <c r="B118" s="55" t="str">
        <f>Segmented!G392</f>
        <v>ATTIC R19 - R49 (cooling savings)</v>
      </c>
      <c r="C118" s="55">
        <f>Segmented!H392</f>
        <v>9.5707823333441979</v>
      </c>
      <c r="D118" s="55">
        <f>Segmented!I392</f>
        <v>45</v>
      </c>
      <c r="E118" s="55">
        <f>Segmented!J392</f>
        <v>0</v>
      </c>
      <c r="F118" s="55">
        <f>Segmented!K392</f>
        <v>0</v>
      </c>
      <c r="G118" s="55" t="s">
        <v>1361</v>
      </c>
      <c r="H118" s="55">
        <f>Segmented!M392</f>
        <v>0</v>
      </c>
      <c r="I118" s="55">
        <f>Segmented!N392</f>
        <v>0</v>
      </c>
      <c r="J118" s="55">
        <f>Segmented!O392</f>
        <v>0</v>
      </c>
      <c r="K118" s="55">
        <f>Segmented!P392</f>
        <v>0</v>
      </c>
      <c r="L118" s="55">
        <f>Segmented!Q392</f>
        <v>0</v>
      </c>
      <c r="M118" s="55">
        <f>Segmented!R392</f>
        <v>0</v>
      </c>
      <c r="N118" s="55">
        <f>Segmented!S392</f>
        <v>0</v>
      </c>
      <c r="O118" s="55">
        <f>Segmented!T392</f>
        <v>0</v>
      </c>
      <c r="P118" s="55"/>
      <c r="Q118" t="s">
        <v>1350</v>
      </c>
    </row>
    <row r="119" spans="1:17">
      <c r="A119" s="55" t="str">
        <f>Segmented!F393</f>
        <v>WALL R0 - R11_DHP</v>
      </c>
      <c r="B119" s="55" t="str">
        <f>Segmented!G393</f>
        <v>WALL R0 - R11 (cooling savings)</v>
      </c>
      <c r="C119" s="55">
        <f>Segmented!H393</f>
        <v>24.270761593175429</v>
      </c>
      <c r="D119" s="55">
        <f>Segmented!I393</f>
        <v>45</v>
      </c>
      <c r="E119" s="55">
        <f>Segmented!J393</f>
        <v>0</v>
      </c>
      <c r="F119" s="55">
        <f>Segmented!K393</f>
        <v>0</v>
      </c>
      <c r="G119" s="55" t="s">
        <v>1361</v>
      </c>
      <c r="H119" s="55">
        <f>Segmented!M393</f>
        <v>0</v>
      </c>
      <c r="I119" s="55">
        <f>Segmented!N393</f>
        <v>0</v>
      </c>
      <c r="J119" s="55">
        <f>Segmented!O393</f>
        <v>0</v>
      </c>
      <c r="K119" s="55">
        <f>Segmented!P393</f>
        <v>0</v>
      </c>
      <c r="L119" s="55">
        <f>Segmented!Q393</f>
        <v>0</v>
      </c>
      <c r="M119" s="55">
        <f>Segmented!R393</f>
        <v>0</v>
      </c>
      <c r="N119" s="55">
        <f>Segmented!S393</f>
        <v>0</v>
      </c>
      <c r="O119" s="55">
        <f>Segmented!T393</f>
        <v>0</v>
      </c>
      <c r="P119" s="55"/>
      <c r="Q119" t="s">
        <v>1350</v>
      </c>
    </row>
    <row r="120" spans="1:17">
      <c r="A120" s="55" t="str">
        <f>Segmented!F394</f>
        <v>FLOOR R0 - R19_DHP</v>
      </c>
      <c r="B120" s="55" t="str">
        <f>Segmented!G394</f>
        <v>FLOOR R0 - R19 (cooling savings)</v>
      </c>
      <c r="C120" s="55">
        <f>Segmented!H394</f>
        <v>-18.581376760616067</v>
      </c>
      <c r="D120" s="55">
        <f>Segmented!I394</f>
        <v>45</v>
      </c>
      <c r="E120" s="55">
        <f>Segmented!J394</f>
        <v>0</v>
      </c>
      <c r="F120" s="55">
        <f>Segmented!K394</f>
        <v>0</v>
      </c>
      <c r="G120" s="55" t="s">
        <v>1361</v>
      </c>
      <c r="H120" s="55">
        <f>Segmented!M394</f>
        <v>0</v>
      </c>
      <c r="I120" s="55">
        <f>Segmented!N394</f>
        <v>0</v>
      </c>
      <c r="J120" s="55">
        <f>Segmented!O394</f>
        <v>0</v>
      </c>
      <c r="K120" s="55">
        <f>Segmented!P394</f>
        <v>0</v>
      </c>
      <c r="L120" s="55">
        <f>Segmented!Q394</f>
        <v>0</v>
      </c>
      <c r="M120" s="55">
        <f>Segmented!R394</f>
        <v>0</v>
      </c>
      <c r="N120" s="55">
        <f>Segmented!S394</f>
        <v>0</v>
      </c>
      <c r="O120" s="55">
        <f>Segmented!T394</f>
        <v>0</v>
      </c>
      <c r="P120" s="55"/>
      <c r="Q120" t="s">
        <v>1350</v>
      </c>
    </row>
    <row r="121" spans="1:17">
      <c r="A121" s="55" t="str">
        <f>Segmented!F395</f>
        <v>FLOOR R0 - R25_DHP</v>
      </c>
      <c r="B121" s="55" t="str">
        <f>Segmented!G395</f>
        <v>FLOOR R0 - R25 (cooling savings)</v>
      </c>
      <c r="C121" s="55">
        <f>Segmented!H395</f>
        <v>-20.643114197724046</v>
      </c>
      <c r="D121" s="55">
        <f>Segmented!I395</f>
        <v>45</v>
      </c>
      <c r="E121" s="55">
        <f>Segmented!J395</f>
        <v>0</v>
      </c>
      <c r="F121" s="55">
        <f>Segmented!K395</f>
        <v>0</v>
      </c>
      <c r="G121" s="55" t="s">
        <v>1361</v>
      </c>
      <c r="H121" s="55">
        <f>Segmented!M395</f>
        <v>0</v>
      </c>
      <c r="I121" s="55">
        <f>Segmented!N395</f>
        <v>0</v>
      </c>
      <c r="J121" s="55">
        <f>Segmented!O395</f>
        <v>0</v>
      </c>
      <c r="K121" s="55">
        <f>Segmented!P395</f>
        <v>0</v>
      </c>
      <c r="L121" s="55">
        <f>Segmented!Q395</f>
        <v>0</v>
      </c>
      <c r="M121" s="55">
        <f>Segmented!R395</f>
        <v>0</v>
      </c>
      <c r="N121" s="55">
        <f>Segmented!S395</f>
        <v>0</v>
      </c>
      <c r="O121" s="55">
        <f>Segmented!T395</f>
        <v>0</v>
      </c>
      <c r="P121" s="55"/>
      <c r="Q121" t="s">
        <v>1350</v>
      </c>
    </row>
    <row r="122" spans="1:17">
      <c r="A122" s="55" t="str">
        <f>Segmented!F396</f>
        <v>FLOOR R0 - R30_DHP</v>
      </c>
      <c r="B122" s="55" t="str">
        <f>Segmented!G396</f>
        <v>FLOOR R0 - R30 (cooling savings)</v>
      </c>
      <c r="C122" s="55">
        <f>Segmented!H396</f>
        <v>-21.992152326043964</v>
      </c>
      <c r="D122" s="55">
        <f>Segmented!I396</f>
        <v>45</v>
      </c>
      <c r="E122" s="55">
        <f>Segmented!J396</f>
        <v>0</v>
      </c>
      <c r="F122" s="55">
        <f>Segmented!K396</f>
        <v>0</v>
      </c>
      <c r="G122" s="55" t="s">
        <v>1361</v>
      </c>
      <c r="H122" s="55">
        <f>Segmented!M396</f>
        <v>0</v>
      </c>
      <c r="I122" s="55">
        <f>Segmented!N396</f>
        <v>0</v>
      </c>
      <c r="J122" s="55">
        <f>Segmented!O396</f>
        <v>0</v>
      </c>
      <c r="K122" s="55">
        <f>Segmented!P396</f>
        <v>0</v>
      </c>
      <c r="L122" s="55">
        <f>Segmented!Q396</f>
        <v>0</v>
      </c>
      <c r="M122" s="55">
        <f>Segmented!R396</f>
        <v>0</v>
      </c>
      <c r="N122" s="55">
        <f>Segmented!S396</f>
        <v>0</v>
      </c>
      <c r="O122" s="55">
        <f>Segmented!T396</f>
        <v>0</v>
      </c>
      <c r="P122" s="55"/>
      <c r="Q122" t="s">
        <v>1350</v>
      </c>
    </row>
    <row r="123" spans="1:17" ht="25.5">
      <c r="A123" s="55" t="str">
        <f>Segmented!F397</f>
        <v>WINDOW CL30 Prime Window Replacement of Single Pane Base_DHP</v>
      </c>
      <c r="B123" s="55" t="str">
        <f>Segmented!G397</f>
        <v>WINDOW CL30 Prime Window Replacement of Single Pane Base (cooling savings)</v>
      </c>
      <c r="C123" s="55">
        <f>Segmented!H397</f>
        <v>42.283357867235111</v>
      </c>
      <c r="D123" s="55">
        <f>Segmented!I397</f>
        <v>45</v>
      </c>
      <c r="E123" s="55">
        <f>Segmented!J397</f>
        <v>0</v>
      </c>
      <c r="F123" s="55">
        <f>Segmented!K397</f>
        <v>0</v>
      </c>
      <c r="G123" s="55" t="s">
        <v>1361</v>
      </c>
      <c r="H123" s="55">
        <f>Segmented!M397</f>
        <v>0</v>
      </c>
      <c r="I123" s="55">
        <f>Segmented!N397</f>
        <v>0</v>
      </c>
      <c r="J123" s="55">
        <f>Segmented!O397</f>
        <v>0</v>
      </c>
      <c r="K123" s="55">
        <f>Segmented!P397</f>
        <v>0</v>
      </c>
      <c r="L123" s="55">
        <f>Segmented!Q397</f>
        <v>0</v>
      </c>
      <c r="M123" s="55">
        <f>Segmented!R397</f>
        <v>0</v>
      </c>
      <c r="N123" s="55">
        <f>Segmented!S397</f>
        <v>0</v>
      </c>
      <c r="O123" s="55">
        <f>Segmented!T397</f>
        <v>0</v>
      </c>
      <c r="P123" s="55"/>
      <c r="Q123" t="s">
        <v>1350</v>
      </c>
    </row>
    <row r="124" spans="1:17" ht="25.5">
      <c r="A124" s="55" t="str">
        <f>Segmented!F398</f>
        <v>WINDOW CL30 Prime Window Replacement of Double Pane Base_DHP</v>
      </c>
      <c r="B124" s="55" t="str">
        <f>Segmented!G398</f>
        <v>WINDOW CL30 Prime Window Replacement of Double Pane Base (cooling savings)</v>
      </c>
      <c r="C124" s="55">
        <f>Segmented!H398</f>
        <v>52.04930292784924</v>
      </c>
      <c r="D124" s="55">
        <f>Segmented!I398</f>
        <v>45</v>
      </c>
      <c r="E124" s="55">
        <f>Segmented!J398</f>
        <v>0</v>
      </c>
      <c r="F124" s="55">
        <f>Segmented!K398</f>
        <v>0</v>
      </c>
      <c r="G124" s="55" t="s">
        <v>1361</v>
      </c>
      <c r="H124" s="55">
        <f>Segmented!M398</f>
        <v>0</v>
      </c>
      <c r="I124" s="55">
        <f>Segmented!N398</f>
        <v>0</v>
      </c>
      <c r="J124" s="55">
        <f>Segmented!O398</f>
        <v>0</v>
      </c>
      <c r="K124" s="55">
        <f>Segmented!P398</f>
        <v>0</v>
      </c>
      <c r="L124" s="55">
        <f>Segmented!Q398</f>
        <v>0</v>
      </c>
      <c r="M124" s="55">
        <f>Segmented!R398</f>
        <v>0</v>
      </c>
      <c r="N124" s="55">
        <f>Segmented!S398</f>
        <v>0</v>
      </c>
      <c r="O124" s="55">
        <f>Segmented!T398</f>
        <v>0</v>
      </c>
      <c r="P124" s="55"/>
      <c r="Q124" t="s">
        <v>1350</v>
      </c>
    </row>
    <row r="125" spans="1:17" ht="25.5">
      <c r="A125" s="55" t="str">
        <f>Segmented!F399</f>
        <v>WINDOW CL22 Prime Window Replacement of Single Pane Base_DHP</v>
      </c>
      <c r="B125" s="55" t="str">
        <f>Segmented!G399</f>
        <v>WINDOW CL22 Prime Window Replacement of Single Pane Base (cooling savings)</v>
      </c>
      <c r="C125" s="55">
        <f>Segmented!H399</f>
        <v>45.570746297895624</v>
      </c>
      <c r="D125" s="55">
        <f>Segmented!I399</f>
        <v>45</v>
      </c>
      <c r="E125" s="55">
        <f>Segmented!J399</f>
        <v>0</v>
      </c>
      <c r="F125" s="55">
        <f>Segmented!K399</f>
        <v>0</v>
      </c>
      <c r="G125" s="55" t="s">
        <v>1361</v>
      </c>
      <c r="H125" s="55">
        <f>Segmented!M399</f>
        <v>0</v>
      </c>
      <c r="I125" s="55">
        <f>Segmented!N399</f>
        <v>0</v>
      </c>
      <c r="J125" s="55">
        <f>Segmented!O399</f>
        <v>0</v>
      </c>
      <c r="K125" s="55">
        <f>Segmented!P399</f>
        <v>0</v>
      </c>
      <c r="L125" s="55">
        <f>Segmented!Q399</f>
        <v>0</v>
      </c>
      <c r="M125" s="55">
        <f>Segmented!R399</f>
        <v>0</v>
      </c>
      <c r="N125" s="55">
        <f>Segmented!S399</f>
        <v>0</v>
      </c>
      <c r="O125" s="55">
        <f>Segmented!T399</f>
        <v>0</v>
      </c>
      <c r="P125" s="55"/>
      <c r="Q125" t="s">
        <v>1350</v>
      </c>
    </row>
    <row r="126" spans="1:17" ht="25.5">
      <c r="A126" s="55" t="str">
        <f>Segmented!F400</f>
        <v>WINDOW CL22 Prime Window Replacement of Double Pane Base_DHP</v>
      </c>
      <c r="B126" s="55" t="str">
        <f>Segmented!G400</f>
        <v>WINDOW CL22 Prime Window Replacement of Double Pane Base (cooling savings)</v>
      </c>
      <c r="C126" s="55">
        <f>Segmented!H400</f>
        <v>55.336691358509754</v>
      </c>
      <c r="D126" s="55">
        <f>Segmented!I400</f>
        <v>45</v>
      </c>
      <c r="E126" s="55">
        <f>Segmented!J400</f>
        <v>0</v>
      </c>
      <c r="F126" s="55">
        <f>Segmented!K400</f>
        <v>0</v>
      </c>
      <c r="G126" s="55" t="s">
        <v>1361</v>
      </c>
      <c r="H126" s="55">
        <f>Segmented!M400</f>
        <v>0</v>
      </c>
      <c r="I126" s="55">
        <f>Segmented!N400</f>
        <v>0</v>
      </c>
      <c r="J126" s="55">
        <f>Segmented!O400</f>
        <v>0</v>
      </c>
      <c r="K126" s="55">
        <f>Segmented!P400</f>
        <v>0</v>
      </c>
      <c r="L126" s="55">
        <f>Segmented!Q400</f>
        <v>0</v>
      </c>
      <c r="M126" s="55">
        <f>Segmented!R400</f>
        <v>0</v>
      </c>
      <c r="N126" s="55">
        <f>Segmented!S400</f>
        <v>0</v>
      </c>
      <c r="O126" s="55">
        <f>Segmented!T400</f>
        <v>0</v>
      </c>
      <c r="P126" s="55"/>
      <c r="Q126" t="s">
        <v>1350</v>
      </c>
    </row>
    <row r="127" spans="1:17">
      <c r="A127" s="55" t="str">
        <f>Segmented!F401</f>
        <v>CFM50 Infiltration Reduction_DHP</v>
      </c>
      <c r="B127" s="55" t="str">
        <f>Segmented!G401</f>
        <v>CFM50 Infiltration Reduction (cooling savings)</v>
      </c>
      <c r="C127" s="55">
        <f>Segmented!H401</f>
        <v>4.0298075401408768</v>
      </c>
      <c r="D127" s="55">
        <f>Segmented!I401</f>
        <v>15</v>
      </c>
      <c r="E127" s="55">
        <f>Segmented!J401</f>
        <v>0</v>
      </c>
      <c r="F127" s="55">
        <f>Segmented!K401</f>
        <v>0</v>
      </c>
      <c r="G127" s="55" t="s">
        <v>1361</v>
      </c>
      <c r="H127" s="55">
        <f>Segmented!M401</f>
        <v>0</v>
      </c>
      <c r="I127" s="55">
        <f>Segmented!N401</f>
        <v>0</v>
      </c>
      <c r="J127" s="55">
        <f>Segmented!O401</f>
        <v>0</v>
      </c>
      <c r="K127" s="55">
        <f>Segmented!P401</f>
        <v>0</v>
      </c>
      <c r="L127" s="55">
        <f>Segmented!Q401</f>
        <v>0</v>
      </c>
      <c r="M127" s="55">
        <f>Segmented!R401</f>
        <v>0</v>
      </c>
      <c r="N127" s="55">
        <f>Segmented!S401</f>
        <v>0</v>
      </c>
      <c r="O127" s="55">
        <f>Segmented!T401</f>
        <v>0</v>
      </c>
      <c r="P127" s="55"/>
      <c r="Q127" t="s">
        <v>1350</v>
      </c>
    </row>
    <row r="130" spans="1:13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row>
    <row r="131" spans="1:131">
      <c r="A131" s="347" t="s">
        <v>1414</v>
      </c>
      <c r="B131" s="348"/>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row>
    <row r="132" spans="1:131">
      <c r="A132" s="27" t="s">
        <v>1415</v>
      </c>
      <c r="B132" s="27" t="s">
        <v>1416</v>
      </c>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row>
    <row r="133" spans="1:131">
      <c r="A133" s="27" t="s">
        <v>1417</v>
      </c>
      <c r="B133" s="27" t="s">
        <v>1622</v>
      </c>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row>
    <row r="134" spans="1:13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row>
    <row r="135" spans="1:131" ht="13.5" thickBot="1">
      <c r="A135" s="36" t="s">
        <v>1418</v>
      </c>
      <c r="B135" s="349"/>
      <c r="C135" s="349"/>
      <c r="D135" s="349"/>
      <c r="E135" s="349"/>
      <c r="F135" s="349"/>
      <c r="G135" s="349"/>
      <c r="H135" s="349"/>
      <c r="I135" s="349"/>
      <c r="J135" s="349"/>
      <c r="K135" s="349"/>
      <c r="L135" s="349"/>
      <c r="M135" s="349"/>
      <c r="N135" s="349"/>
      <c r="O135" s="349"/>
      <c r="P135" s="349"/>
      <c r="Q135" s="349"/>
      <c r="R135" s="349"/>
      <c r="S135" s="349"/>
      <c r="T135" s="349"/>
      <c r="U135" s="349"/>
      <c r="V135" s="349"/>
      <c r="W135" s="349"/>
      <c r="X135" s="349"/>
      <c r="Y135" s="349"/>
      <c r="Z135" s="349"/>
      <c r="AA135" s="349"/>
      <c r="AB135" s="349"/>
      <c r="AC135" s="349"/>
      <c r="AD135" s="349"/>
      <c r="AE135" s="349"/>
      <c r="AF135" s="349"/>
      <c r="AG135" s="349"/>
      <c r="AH135" s="349"/>
      <c r="AI135" s="3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row>
    <row r="136" spans="1:131">
      <c r="A136" s="27"/>
      <c r="B136" s="350" t="s">
        <v>1419</v>
      </c>
      <c r="C136" s="351"/>
      <c r="D136" s="351" t="s">
        <v>1419</v>
      </c>
      <c r="E136" s="352"/>
      <c r="F136" s="27"/>
      <c r="G136" s="350" t="s">
        <v>1420</v>
      </c>
      <c r="H136" s="351"/>
      <c r="I136" s="351"/>
      <c r="J136" s="351"/>
      <c r="K136" s="351"/>
      <c r="L136" s="351"/>
      <c r="M136" s="351"/>
      <c r="N136" s="351"/>
      <c r="O136" s="352"/>
      <c r="P136" s="27"/>
      <c r="Q136" s="350" t="s">
        <v>1421</v>
      </c>
      <c r="R136" s="351"/>
      <c r="S136" s="351"/>
      <c r="T136" s="351"/>
      <c r="U136" s="352"/>
      <c r="V136" s="27"/>
      <c r="W136" s="350" t="s">
        <v>1422</v>
      </c>
      <c r="X136" s="352"/>
      <c r="Y136" s="27"/>
      <c r="Z136" s="350" t="s">
        <v>1423</v>
      </c>
      <c r="AA136" s="351"/>
      <c r="AB136" s="352"/>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row>
    <row r="137" spans="1:131">
      <c r="A137" s="27"/>
      <c r="B137" s="353" t="s">
        <v>1424</v>
      </c>
      <c r="C137" s="354" t="s">
        <v>1425</v>
      </c>
      <c r="D137" s="354" t="s">
        <v>1424</v>
      </c>
      <c r="E137" s="355" t="s">
        <v>1425</v>
      </c>
      <c r="F137" s="27"/>
      <c r="G137" s="353" t="s">
        <v>1426</v>
      </c>
      <c r="H137" s="354" t="s">
        <v>1623</v>
      </c>
      <c r="I137" s="354"/>
      <c r="J137" s="354"/>
      <c r="K137" s="354" t="s">
        <v>1427</v>
      </c>
      <c r="L137" s="354"/>
      <c r="M137" s="354"/>
      <c r="N137" s="354"/>
      <c r="O137" s="355"/>
      <c r="P137" s="27"/>
      <c r="Q137" s="353"/>
      <c r="R137" s="354" t="s">
        <v>1428</v>
      </c>
      <c r="S137" s="354" t="s">
        <v>1429</v>
      </c>
      <c r="T137" s="354" t="s">
        <v>1430</v>
      </c>
      <c r="U137" s="355" t="s">
        <v>1431</v>
      </c>
      <c r="V137" s="27"/>
      <c r="W137" s="353" t="s">
        <v>1432</v>
      </c>
      <c r="X137" s="355">
        <v>20</v>
      </c>
      <c r="Y137" s="27"/>
      <c r="Z137" s="353"/>
      <c r="AA137" s="354" t="s">
        <v>1425</v>
      </c>
      <c r="AB137" s="355" t="s">
        <v>1433</v>
      </c>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row>
    <row r="138" spans="1:131">
      <c r="A138" s="27"/>
      <c r="B138" s="353" t="s">
        <v>1434</v>
      </c>
      <c r="C138" s="354" t="s">
        <v>1435</v>
      </c>
      <c r="D138" s="354" t="s">
        <v>1434</v>
      </c>
      <c r="E138" s="355" t="s">
        <v>1435</v>
      </c>
      <c r="F138" s="27"/>
      <c r="G138" s="353" t="s">
        <v>1436</v>
      </c>
      <c r="H138" s="354" t="s">
        <v>1437</v>
      </c>
      <c r="I138" s="354"/>
      <c r="J138" s="354"/>
      <c r="K138" s="354" t="s">
        <v>1438</v>
      </c>
      <c r="L138" s="354"/>
      <c r="M138" s="354"/>
      <c r="N138" s="354"/>
      <c r="O138" s="355"/>
      <c r="P138" s="27"/>
      <c r="Q138" s="353" t="s">
        <v>1439</v>
      </c>
      <c r="R138" s="354">
        <v>4.3096045197740109E-2</v>
      </c>
      <c r="S138" s="354">
        <v>4.387844424080023E-2</v>
      </c>
      <c r="T138" s="354">
        <v>5.3289007766645871E-2</v>
      </c>
      <c r="U138" s="355">
        <v>5.447903102274565E-2</v>
      </c>
      <c r="V138" s="27"/>
      <c r="W138" s="353" t="s">
        <v>1440</v>
      </c>
      <c r="X138" s="355">
        <v>2016</v>
      </c>
      <c r="Y138" s="27"/>
      <c r="Z138" s="353" t="s">
        <v>1441</v>
      </c>
      <c r="AA138" s="354">
        <v>4.03890184699085E-3</v>
      </c>
      <c r="AB138" s="355">
        <v>0.01</v>
      </c>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row>
    <row r="139" spans="1:131">
      <c r="A139" s="27"/>
      <c r="B139" s="353" t="s">
        <v>1442</v>
      </c>
      <c r="C139" s="354" t="s">
        <v>1443</v>
      </c>
      <c r="D139" s="354" t="s">
        <v>1442</v>
      </c>
      <c r="E139" s="355" t="s">
        <v>1443</v>
      </c>
      <c r="F139" s="27"/>
      <c r="G139" s="353" t="s">
        <v>1444</v>
      </c>
      <c r="H139" s="354" t="s">
        <v>1445</v>
      </c>
      <c r="I139" s="354"/>
      <c r="J139" s="354"/>
      <c r="K139" s="354" t="s">
        <v>1446</v>
      </c>
      <c r="L139" s="354"/>
      <c r="M139" s="354"/>
      <c r="N139" s="354"/>
      <c r="O139" s="355"/>
      <c r="P139" s="27"/>
      <c r="Q139" s="353" t="s">
        <v>1447</v>
      </c>
      <c r="R139" s="354">
        <v>12</v>
      </c>
      <c r="S139" s="354">
        <v>12</v>
      </c>
      <c r="T139" s="354">
        <v>1</v>
      </c>
      <c r="U139" s="355">
        <v>1</v>
      </c>
      <c r="V139" s="27"/>
      <c r="W139" s="353" t="s">
        <v>1448</v>
      </c>
      <c r="X139" s="355">
        <v>2016</v>
      </c>
      <c r="Y139" s="27"/>
      <c r="Z139" s="353" t="s">
        <v>1449</v>
      </c>
      <c r="AA139" s="354">
        <v>26</v>
      </c>
      <c r="AB139" s="355">
        <v>0</v>
      </c>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row>
    <row r="140" spans="1:131" ht="13.5" thickBot="1">
      <c r="A140" s="27"/>
      <c r="B140" s="356" t="s">
        <v>1450</v>
      </c>
      <c r="C140" s="357" t="s">
        <v>1443</v>
      </c>
      <c r="D140" s="357" t="s">
        <v>1450</v>
      </c>
      <c r="E140" s="358" t="s">
        <v>1443</v>
      </c>
      <c r="F140" s="27"/>
      <c r="G140" s="353" t="s">
        <v>1451</v>
      </c>
      <c r="H140" s="354" t="s">
        <v>1452</v>
      </c>
      <c r="I140" s="354"/>
      <c r="J140" s="354"/>
      <c r="K140" s="354" t="s">
        <v>1438</v>
      </c>
      <c r="L140" s="354"/>
      <c r="M140" s="354"/>
      <c r="N140" s="354"/>
      <c r="O140" s="355"/>
      <c r="P140" s="27"/>
      <c r="Q140" s="353"/>
      <c r="R140" s="354" t="s">
        <v>1428</v>
      </c>
      <c r="S140" s="354" t="s">
        <v>1429</v>
      </c>
      <c r="T140" s="354" t="s">
        <v>1430</v>
      </c>
      <c r="U140" s="355" t="s">
        <v>1431</v>
      </c>
      <c r="V140" s="27"/>
      <c r="W140" s="353" t="s">
        <v>1453</v>
      </c>
      <c r="X140" s="355">
        <v>2012</v>
      </c>
      <c r="Y140" s="27"/>
      <c r="Z140" s="353" t="s">
        <v>1454</v>
      </c>
      <c r="AA140" s="354">
        <v>0.9</v>
      </c>
      <c r="AB140" s="355" t="s">
        <v>1455</v>
      </c>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row>
    <row r="141" spans="1:131">
      <c r="A141" s="27"/>
      <c r="B141" s="27"/>
      <c r="C141" s="27"/>
      <c r="D141" s="27"/>
      <c r="E141" s="27"/>
      <c r="F141" s="27"/>
      <c r="G141" s="353" t="s">
        <v>1456</v>
      </c>
      <c r="H141" s="354" t="s">
        <v>1445</v>
      </c>
      <c r="I141" s="354"/>
      <c r="J141" s="354"/>
      <c r="K141" s="354"/>
      <c r="L141" s="354"/>
      <c r="M141" s="354"/>
      <c r="N141" s="354"/>
      <c r="O141" s="355"/>
      <c r="P141" s="27"/>
      <c r="Q141" s="353" t="s">
        <v>1457</v>
      </c>
      <c r="R141" s="354">
        <v>0.35</v>
      </c>
      <c r="S141" s="354">
        <v>0.19500000000000001</v>
      </c>
      <c r="T141" s="354">
        <v>0.45499999999999996</v>
      </c>
      <c r="U141" s="355">
        <v>0</v>
      </c>
      <c r="V141" s="27"/>
      <c r="W141" s="353" t="s">
        <v>1458</v>
      </c>
      <c r="X141" s="355">
        <v>0.04</v>
      </c>
      <c r="Y141" s="27"/>
      <c r="Z141" s="353" t="s">
        <v>1459</v>
      </c>
      <c r="AA141" s="354">
        <v>4.7399348199455904E-2</v>
      </c>
      <c r="AB141" s="355">
        <v>0</v>
      </c>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row>
    <row r="142" spans="1:131">
      <c r="A142" s="27"/>
      <c r="B142" s="27" t="s">
        <v>1460</v>
      </c>
      <c r="C142" s="27" t="s">
        <v>1425</v>
      </c>
      <c r="D142" s="27"/>
      <c r="E142" s="27"/>
      <c r="F142" s="27"/>
      <c r="G142" s="353" t="s">
        <v>1461</v>
      </c>
      <c r="H142" s="354" t="s">
        <v>1462</v>
      </c>
      <c r="I142" s="354"/>
      <c r="J142" s="354"/>
      <c r="K142" s="354" t="s">
        <v>1463</v>
      </c>
      <c r="L142" s="354"/>
      <c r="M142" s="354"/>
      <c r="N142" s="354"/>
      <c r="O142" s="355"/>
      <c r="P142" s="27"/>
      <c r="Q142" s="353" t="s">
        <v>1464</v>
      </c>
      <c r="R142" s="354">
        <v>1</v>
      </c>
      <c r="S142" s="354">
        <v>0</v>
      </c>
      <c r="T142" s="354">
        <v>0</v>
      </c>
      <c r="U142" s="355">
        <v>0</v>
      </c>
      <c r="V142" s="27"/>
      <c r="W142" s="353" t="s">
        <v>1465</v>
      </c>
      <c r="X142" s="355">
        <v>0</v>
      </c>
      <c r="Y142" s="27"/>
      <c r="Z142" s="353" t="s">
        <v>1466</v>
      </c>
      <c r="AA142" s="354">
        <v>31</v>
      </c>
      <c r="AB142" s="355">
        <v>0</v>
      </c>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row>
    <row r="143" spans="1:131">
      <c r="A143" s="27"/>
      <c r="B143" s="27" t="s">
        <v>1467</v>
      </c>
      <c r="C143" s="27" t="s">
        <v>1468</v>
      </c>
      <c r="D143" s="27"/>
      <c r="E143" s="27"/>
      <c r="F143" s="27"/>
      <c r="G143" s="353" t="s">
        <v>1469</v>
      </c>
      <c r="H143" s="354" t="s">
        <v>1463</v>
      </c>
      <c r="I143" s="354"/>
      <c r="J143" s="354"/>
      <c r="K143" s="354" t="s">
        <v>1470</v>
      </c>
      <c r="L143" s="354"/>
      <c r="M143" s="354"/>
      <c r="N143" s="354"/>
      <c r="O143" s="355"/>
      <c r="P143" s="27"/>
      <c r="Q143" s="353" t="s">
        <v>1471</v>
      </c>
      <c r="R143" s="354">
        <v>1</v>
      </c>
      <c r="S143" s="354">
        <v>0</v>
      </c>
      <c r="T143" s="354">
        <v>0</v>
      </c>
      <c r="U143" s="355">
        <v>0</v>
      </c>
      <c r="V143" s="27"/>
      <c r="W143" s="353" t="s">
        <v>1472</v>
      </c>
      <c r="X143" s="355">
        <v>0.2</v>
      </c>
      <c r="Y143" s="27"/>
      <c r="Z143" s="353" t="s">
        <v>1473</v>
      </c>
      <c r="AA143" s="354">
        <v>0.7</v>
      </c>
      <c r="AB143" s="355" t="s">
        <v>1455</v>
      </c>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row>
    <row r="144" spans="1:131">
      <c r="A144" s="27"/>
      <c r="B144" s="27" t="s">
        <v>1474</v>
      </c>
      <c r="C144" s="27" t="s">
        <v>1475</v>
      </c>
      <c r="D144" s="27"/>
      <c r="E144" s="27"/>
      <c r="F144" s="27"/>
      <c r="G144" s="353" t="s">
        <v>1476</v>
      </c>
      <c r="H144" s="354" t="s">
        <v>1470</v>
      </c>
      <c r="I144" s="354"/>
      <c r="J144" s="354"/>
      <c r="K144" s="354" t="s">
        <v>1477</v>
      </c>
      <c r="L144" s="354"/>
      <c r="M144" s="354"/>
      <c r="N144" s="354"/>
      <c r="O144" s="355"/>
      <c r="P144" s="27"/>
      <c r="Q144" s="353" t="s">
        <v>1478</v>
      </c>
      <c r="R144" s="354"/>
      <c r="S144" s="354">
        <v>0.3</v>
      </c>
      <c r="T144" s="354">
        <v>0.7</v>
      </c>
      <c r="U144" s="355">
        <v>0</v>
      </c>
      <c r="V144" s="27"/>
      <c r="W144" s="353" t="s">
        <v>1479</v>
      </c>
      <c r="X144" s="355">
        <v>0</v>
      </c>
      <c r="Y144" s="27"/>
      <c r="Z144" s="353" t="s">
        <v>1480</v>
      </c>
      <c r="AA144" s="354">
        <v>0</v>
      </c>
      <c r="AB144" s="355">
        <v>0</v>
      </c>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row>
    <row r="145" spans="1:131" ht="13.5" thickBot="1">
      <c r="A145" s="27"/>
      <c r="B145" s="27" t="s">
        <v>1481</v>
      </c>
      <c r="C145" s="27" t="s">
        <v>1482</v>
      </c>
      <c r="D145" s="27"/>
      <c r="E145" s="27"/>
      <c r="F145" s="27"/>
      <c r="G145" s="356" t="s">
        <v>1483</v>
      </c>
      <c r="H145" s="357" t="s">
        <v>1477</v>
      </c>
      <c r="I145" s="357"/>
      <c r="J145" s="357"/>
      <c r="K145" s="357"/>
      <c r="L145" s="357"/>
      <c r="M145" s="357"/>
      <c r="N145" s="357"/>
      <c r="O145" s="358"/>
      <c r="P145" s="27"/>
      <c r="Q145" s="356" t="s">
        <v>1484</v>
      </c>
      <c r="R145" s="357"/>
      <c r="S145" s="357">
        <v>20</v>
      </c>
      <c r="T145" s="357"/>
      <c r="U145" s="358"/>
      <c r="V145" s="27"/>
      <c r="W145" s="356" t="s">
        <v>1485</v>
      </c>
      <c r="X145" s="358">
        <v>2018</v>
      </c>
      <c r="Y145" s="27"/>
      <c r="Z145" s="356" t="s">
        <v>1486</v>
      </c>
      <c r="AA145" s="357">
        <v>0</v>
      </c>
      <c r="AB145" s="358">
        <v>0</v>
      </c>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row>
    <row r="146" spans="1:13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row>
    <row r="147" spans="1:13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row>
    <row r="148" spans="1:13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row>
    <row r="149" spans="1:13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row>
    <row r="150" spans="1:13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row>
    <row r="151" spans="1:13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row>
    <row r="152" spans="1:13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row>
    <row r="153" spans="1:131" ht="13.5" thickBot="1">
      <c r="A153" s="36" t="s">
        <v>1487</v>
      </c>
      <c r="B153" s="37"/>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row>
    <row r="154" spans="1:131" ht="26.25" thickBot="1">
      <c r="A154" s="359" t="s">
        <v>1488</v>
      </c>
      <c r="B154" s="360"/>
      <c r="C154" s="361" t="s">
        <v>1489</v>
      </c>
      <c r="D154" s="362"/>
      <c r="E154" s="362"/>
      <c r="F154" s="362"/>
      <c r="G154" s="362"/>
      <c r="H154" s="362"/>
      <c r="I154" s="362"/>
      <c r="J154" s="362"/>
      <c r="K154" s="363"/>
      <c r="L154" s="361" t="s">
        <v>1490</v>
      </c>
      <c r="M154" s="362"/>
      <c r="N154" s="362"/>
      <c r="O154" s="362"/>
      <c r="P154" s="362"/>
      <c r="Q154" s="363"/>
      <c r="R154" s="361" t="s">
        <v>1491</v>
      </c>
      <c r="S154" s="362"/>
      <c r="T154" s="362"/>
      <c r="U154" s="363"/>
      <c r="V154" s="361" t="s">
        <v>1492</v>
      </c>
      <c r="W154" s="362"/>
      <c r="X154" s="362"/>
      <c r="Y154" s="363"/>
      <c r="Z154" s="361" t="s">
        <v>1493</v>
      </c>
      <c r="AA154" s="362"/>
      <c r="AB154" s="362"/>
      <c r="AC154" s="363"/>
      <c r="AD154" s="361" t="s">
        <v>1494</v>
      </c>
      <c r="AE154" s="362"/>
      <c r="AF154" s="362"/>
      <c r="AG154" s="363"/>
      <c r="AH154" s="361" t="s">
        <v>1495</v>
      </c>
      <c r="AI154" s="362"/>
      <c r="AJ154" s="362"/>
      <c r="AK154" s="362"/>
      <c r="AL154" s="363"/>
      <c r="AM154" s="361" t="s">
        <v>1496</v>
      </c>
      <c r="AN154" s="362"/>
      <c r="AO154" s="362"/>
      <c r="AP154" s="362"/>
      <c r="AQ154" s="362"/>
      <c r="AR154" s="362"/>
      <c r="AS154" s="363"/>
      <c r="AT154" s="361" t="s">
        <v>1497</v>
      </c>
      <c r="AU154" s="362"/>
      <c r="AV154" s="362"/>
      <c r="AW154" s="362"/>
      <c r="AX154" s="362"/>
      <c r="AY154" s="362"/>
      <c r="AZ154" s="363"/>
      <c r="BA154" s="361" t="s">
        <v>1498</v>
      </c>
      <c r="BB154" s="362"/>
      <c r="BC154" s="362"/>
      <c r="BD154" s="362"/>
      <c r="BE154" s="362"/>
      <c r="BF154" s="363"/>
      <c r="BG154" s="361" t="s">
        <v>1499</v>
      </c>
      <c r="BH154" s="363"/>
      <c r="BI154" s="361" t="s">
        <v>1500</v>
      </c>
      <c r="BJ154" s="362"/>
      <c r="BK154" s="362"/>
      <c r="BL154" s="362"/>
      <c r="BM154" s="363"/>
      <c r="BN154" s="361" t="s">
        <v>1501</v>
      </c>
      <c r="BO154" s="362"/>
      <c r="BP154" s="362"/>
      <c r="BQ154" s="362"/>
      <c r="BR154" s="362"/>
      <c r="BS154" s="362"/>
      <c r="BT154" s="362"/>
      <c r="BU154" s="362"/>
      <c r="BV154" s="362"/>
      <c r="BW154" s="362"/>
      <c r="BX154" s="362"/>
      <c r="BY154" s="362"/>
      <c r="BZ154" s="362"/>
      <c r="CA154" s="362"/>
      <c r="CB154" s="362"/>
      <c r="CC154" s="363"/>
      <c r="CD154" s="361" t="s">
        <v>1502</v>
      </c>
      <c r="CE154" s="363"/>
      <c r="CF154" s="361" t="s">
        <v>1503</v>
      </c>
      <c r="CG154" s="362"/>
      <c r="CH154" s="362"/>
      <c r="CI154" s="362"/>
      <c r="CJ154" s="362"/>
      <c r="CK154" s="363"/>
      <c r="CL154" s="364"/>
      <c r="CM154" s="361" t="s">
        <v>4</v>
      </c>
      <c r="CN154" s="362"/>
      <c r="CO154" s="362"/>
      <c r="CP154" s="363"/>
      <c r="CQ154" s="361" t="s">
        <v>1504</v>
      </c>
      <c r="CR154" s="362"/>
      <c r="CS154" s="362"/>
      <c r="CT154" s="362"/>
      <c r="CU154" s="363"/>
      <c r="CV154" s="361" t="s">
        <v>1505</v>
      </c>
      <c r="CW154" s="363"/>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row>
    <row r="155" spans="1:131" ht="204">
      <c r="A155" s="45" t="s">
        <v>31</v>
      </c>
      <c r="B155" s="46" t="s">
        <v>32</v>
      </c>
      <c r="C155" s="47" t="s">
        <v>1149</v>
      </c>
      <c r="D155" s="47" t="s">
        <v>1506</v>
      </c>
      <c r="E155" s="47" t="s">
        <v>1507</v>
      </c>
      <c r="F155" s="47" t="s">
        <v>1508</v>
      </c>
      <c r="G155" s="47" t="s">
        <v>1509</v>
      </c>
      <c r="H155" s="47" t="s">
        <v>1510</v>
      </c>
      <c r="I155" s="47" t="s">
        <v>1511</v>
      </c>
      <c r="J155" s="47" t="s">
        <v>1512</v>
      </c>
      <c r="K155" s="47" t="s">
        <v>1513</v>
      </c>
      <c r="L155" s="47" t="s">
        <v>1514</v>
      </c>
      <c r="M155" s="47" t="s">
        <v>1515</v>
      </c>
      <c r="N155" s="47" t="s">
        <v>1516</v>
      </c>
      <c r="O155" s="47" t="s">
        <v>1517</v>
      </c>
      <c r="P155" s="47" t="s">
        <v>1518</v>
      </c>
      <c r="Q155" s="47" t="s">
        <v>1519</v>
      </c>
      <c r="R155" s="47" t="s">
        <v>1520</v>
      </c>
      <c r="S155" s="47" t="s">
        <v>1521</v>
      </c>
      <c r="T155" s="47" t="s">
        <v>1522</v>
      </c>
      <c r="U155" s="47" t="s">
        <v>1428</v>
      </c>
      <c r="V155" s="47" t="s">
        <v>1520</v>
      </c>
      <c r="W155" s="47" t="s">
        <v>1521</v>
      </c>
      <c r="X155" s="47" t="s">
        <v>1522</v>
      </c>
      <c r="Y155" s="47" t="s">
        <v>1428</v>
      </c>
      <c r="Z155" s="47" t="s">
        <v>1520</v>
      </c>
      <c r="AA155" s="47" t="s">
        <v>1521</v>
      </c>
      <c r="AB155" s="47" t="s">
        <v>1522</v>
      </c>
      <c r="AC155" s="47" t="s">
        <v>1428</v>
      </c>
      <c r="AD155" s="47" t="s">
        <v>1520</v>
      </c>
      <c r="AE155" s="47" t="s">
        <v>1521</v>
      </c>
      <c r="AF155" s="47" t="s">
        <v>1522</v>
      </c>
      <c r="AG155" s="47" t="s">
        <v>1428</v>
      </c>
      <c r="AH155" s="47" t="s">
        <v>1520</v>
      </c>
      <c r="AI155" s="47" t="s">
        <v>1521</v>
      </c>
      <c r="AJ155" s="47" t="s">
        <v>1522</v>
      </c>
      <c r="AK155" s="47" t="s">
        <v>1428</v>
      </c>
      <c r="AL155" s="47" t="s">
        <v>1523</v>
      </c>
      <c r="AM155" s="47" t="s">
        <v>1524</v>
      </c>
      <c r="AN155" s="47" t="s">
        <v>1525</v>
      </c>
      <c r="AO155" s="47" t="s">
        <v>1526</v>
      </c>
      <c r="AP155" s="47" t="s">
        <v>1527</v>
      </c>
      <c r="AQ155" s="47" t="s">
        <v>1528</v>
      </c>
      <c r="AR155" s="47" t="s">
        <v>1529</v>
      </c>
      <c r="AS155" s="47" t="s">
        <v>1530</v>
      </c>
      <c r="AT155" s="47" t="s">
        <v>1531</v>
      </c>
      <c r="AU155" s="47" t="s">
        <v>1532</v>
      </c>
      <c r="AV155" s="47" t="s">
        <v>1533</v>
      </c>
      <c r="AW155" s="47" t="s">
        <v>1534</v>
      </c>
      <c r="AX155" s="47" t="s">
        <v>1535</v>
      </c>
      <c r="AY155" s="47" t="s">
        <v>1536</v>
      </c>
      <c r="AZ155" s="47" t="s">
        <v>1537</v>
      </c>
      <c r="BA155" s="47" t="s">
        <v>1538</v>
      </c>
      <c r="BB155" s="47" t="s">
        <v>1539</v>
      </c>
      <c r="BC155" s="47" t="s">
        <v>1540</v>
      </c>
      <c r="BD155" s="47" t="s">
        <v>1541</v>
      </c>
      <c r="BE155" s="47" t="s">
        <v>1542</v>
      </c>
      <c r="BF155" s="47" t="s">
        <v>1543</v>
      </c>
      <c r="BG155" s="47" t="s">
        <v>1544</v>
      </c>
      <c r="BH155" s="47" t="s">
        <v>1545</v>
      </c>
      <c r="BI155" s="47" t="s">
        <v>1546</v>
      </c>
      <c r="BJ155" s="47" t="s">
        <v>1547</v>
      </c>
      <c r="BK155" s="47" t="s">
        <v>1548</v>
      </c>
      <c r="BL155" s="47" t="s">
        <v>1549</v>
      </c>
      <c r="BM155" s="47" t="s">
        <v>1550</v>
      </c>
      <c r="BN155" s="47" t="s">
        <v>1551</v>
      </c>
      <c r="BO155" s="47" t="s">
        <v>1552</v>
      </c>
      <c r="BP155" s="47" t="s">
        <v>1553</v>
      </c>
      <c r="BQ155" s="47" t="s">
        <v>1554</v>
      </c>
      <c r="BR155" s="47" t="s">
        <v>1555</v>
      </c>
      <c r="BS155" s="47" t="s">
        <v>1556</v>
      </c>
      <c r="BT155" s="47" t="s">
        <v>1557</v>
      </c>
      <c r="BU155" s="47" t="s">
        <v>1558</v>
      </c>
      <c r="BV155" s="47" t="s">
        <v>1559</v>
      </c>
      <c r="BW155" s="47" t="s">
        <v>1560</v>
      </c>
      <c r="BX155" s="47" t="s">
        <v>1561</v>
      </c>
      <c r="BY155" s="47" t="s">
        <v>1562</v>
      </c>
      <c r="BZ155" s="47" t="s">
        <v>1563</v>
      </c>
      <c r="CA155" s="47" t="s">
        <v>1564</v>
      </c>
      <c r="CB155" s="47" t="s">
        <v>1565</v>
      </c>
      <c r="CC155" s="47" t="s">
        <v>1566</v>
      </c>
      <c r="CD155" s="47" t="s">
        <v>42</v>
      </c>
      <c r="CE155" s="47" t="s">
        <v>41</v>
      </c>
      <c r="CF155" s="47" t="s">
        <v>1567</v>
      </c>
      <c r="CG155" s="47" t="s">
        <v>1568</v>
      </c>
      <c r="CH155" s="47" t="s">
        <v>1569</v>
      </c>
      <c r="CI155" s="47" t="s">
        <v>1570</v>
      </c>
      <c r="CJ155" s="47" t="s">
        <v>1571</v>
      </c>
      <c r="CK155" s="47" t="s">
        <v>1572</v>
      </c>
      <c r="CL155" s="47"/>
      <c r="CM155" s="47" t="s">
        <v>1573</v>
      </c>
      <c r="CN155" s="47" t="s">
        <v>1574</v>
      </c>
      <c r="CO155" s="47" t="s">
        <v>1575</v>
      </c>
      <c r="CP155" s="47" t="s">
        <v>1576</v>
      </c>
      <c r="CQ155" s="47" t="s">
        <v>1577</v>
      </c>
      <c r="CR155" s="47" t="s">
        <v>1578</v>
      </c>
      <c r="CS155" s="47" t="s">
        <v>1579</v>
      </c>
      <c r="CT155" s="47" t="s">
        <v>1580</v>
      </c>
      <c r="CU155" s="47" t="s">
        <v>1581</v>
      </c>
      <c r="CV155" s="47" t="s">
        <v>1582</v>
      </c>
      <c r="CW155" s="365" t="s">
        <v>1583</v>
      </c>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row>
    <row r="156" spans="1:131">
      <c r="A156" s="27" t="s">
        <v>834</v>
      </c>
      <c r="B156" s="27" t="s">
        <v>68</v>
      </c>
      <c r="C156" s="38">
        <v>45</v>
      </c>
      <c r="D156" s="38">
        <v>1632.7147021344419</v>
      </c>
      <c r="E156" s="38">
        <v>0</v>
      </c>
      <c r="F156" s="38">
        <v>588.47688837074031</v>
      </c>
      <c r="G156" s="38">
        <v>0</v>
      </c>
      <c r="H156" s="38">
        <v>0</v>
      </c>
      <c r="I156" s="38" t="s">
        <v>1360</v>
      </c>
      <c r="J156" s="38"/>
      <c r="K156" s="38"/>
      <c r="L156" s="38">
        <v>1760.6881446561738</v>
      </c>
      <c r="M156" s="38">
        <v>0.92069704234190197</v>
      </c>
      <c r="N156" s="38">
        <v>0.91405186397095395</v>
      </c>
      <c r="O156" s="38">
        <v>0</v>
      </c>
      <c r="P156" s="38">
        <v>0</v>
      </c>
      <c r="Q156" s="38">
        <v>0</v>
      </c>
      <c r="R156" s="38">
        <v>76.970261388230981</v>
      </c>
      <c r="S156" s="38">
        <v>177.86656695753103</v>
      </c>
      <c r="T156" s="38">
        <v>0</v>
      </c>
      <c r="U156" s="38">
        <v>137.53215817437845</v>
      </c>
      <c r="V156" s="38" t="s">
        <v>1584</v>
      </c>
      <c r="W156" s="38" t="s">
        <v>1584</v>
      </c>
      <c r="X156" s="38" t="s">
        <v>1584</v>
      </c>
      <c r="Y156" s="38" t="s">
        <v>1584</v>
      </c>
      <c r="Z156" s="38">
        <v>0</v>
      </c>
      <c r="AA156" s="38">
        <v>0</v>
      </c>
      <c r="AB156" s="38">
        <v>0</v>
      </c>
      <c r="AC156" s="38">
        <v>0</v>
      </c>
      <c r="AD156" s="38">
        <v>0</v>
      </c>
      <c r="AE156" s="38">
        <v>0</v>
      </c>
      <c r="AF156" s="38">
        <v>0</v>
      </c>
      <c r="AG156" s="38">
        <v>0</v>
      </c>
      <c r="AH156" s="38">
        <v>76.970261388230981</v>
      </c>
      <c r="AI156" s="38">
        <v>177.86656695753103</v>
      </c>
      <c r="AJ156" s="38">
        <v>0</v>
      </c>
      <c r="AK156" s="38">
        <v>137.53215817437845</v>
      </c>
      <c r="AL156" s="38">
        <v>392.36898652014042</v>
      </c>
      <c r="AM156" s="38">
        <v>927.40196378293217</v>
      </c>
      <c r="AN156" s="38">
        <v>325.32690502709744</v>
      </c>
      <c r="AO156" s="38">
        <v>0</v>
      </c>
      <c r="AP156" s="38">
        <v>0</v>
      </c>
      <c r="AQ156" s="38">
        <v>1252.7288688100296</v>
      </c>
      <c r="AR156" s="38">
        <v>76.970261388230981</v>
      </c>
      <c r="AS156" s="49">
        <v>16.275491939560649</v>
      </c>
      <c r="AT156" s="38">
        <v>927.40196378293217</v>
      </c>
      <c r="AU156" s="38">
        <v>385.09015695532952</v>
      </c>
      <c r="AV156" s="38">
        <v>0</v>
      </c>
      <c r="AW156" s="38">
        <v>0</v>
      </c>
      <c r="AX156" s="38">
        <v>1312.4921207382617</v>
      </c>
      <c r="AY156" s="38">
        <v>177.86656695753103</v>
      </c>
      <c r="AZ156" s="49">
        <v>7.3790827764255651</v>
      </c>
      <c r="BA156" s="38">
        <v>927.40196378293217</v>
      </c>
      <c r="BB156" s="38">
        <v>710.41706198242696</v>
      </c>
      <c r="BC156" s="38">
        <v>0</v>
      </c>
      <c r="BD156" s="38">
        <v>0</v>
      </c>
      <c r="BE156" s="38">
        <v>1637.8190257653591</v>
      </c>
      <c r="BF156" s="38">
        <v>254.836828345762</v>
      </c>
      <c r="BG156" s="38">
        <v>-19.039368844422874</v>
      </c>
      <c r="BH156" s="49">
        <v>6.4269322310948329</v>
      </c>
      <c r="BI156" s="38">
        <v>3.2167005686882155</v>
      </c>
      <c r="BJ156" s="38">
        <v>7.4333057568438159</v>
      </c>
      <c r="BK156" s="38">
        <v>0</v>
      </c>
      <c r="BL156" s="38">
        <v>5.7476714179391521</v>
      </c>
      <c r="BM156" s="38">
        <v>16.397677743471181</v>
      </c>
      <c r="BN156" s="38">
        <v>927.40196378293217</v>
      </c>
      <c r="BO156" s="38">
        <v>0</v>
      </c>
      <c r="BP156" s="38">
        <v>710.41706198242696</v>
      </c>
      <c r="BQ156" s="38">
        <v>0</v>
      </c>
      <c r="BR156" s="38">
        <v>0</v>
      </c>
      <c r="BS156" s="38">
        <v>0</v>
      </c>
      <c r="BT156" s="38">
        <v>0</v>
      </c>
      <c r="BU156" s="38">
        <v>0</v>
      </c>
      <c r="BV156" s="38">
        <v>81.59225961813658</v>
      </c>
      <c r="BW156" s="38">
        <v>0</v>
      </c>
      <c r="BX156" s="38">
        <v>392.36898652014042</v>
      </c>
      <c r="BY156" s="38"/>
      <c r="BZ156" s="38">
        <v>0</v>
      </c>
      <c r="CA156" s="38">
        <v>0</v>
      </c>
      <c r="CB156" s="38">
        <v>1719.4112853834956</v>
      </c>
      <c r="CC156" s="38">
        <v>392.36898652014042</v>
      </c>
      <c r="CD156" s="49">
        <v>4.3821284159909961</v>
      </c>
      <c r="CE156" s="38">
        <v>-16.70155810748626</v>
      </c>
      <c r="CF156" s="38">
        <v>16.726644075337902</v>
      </c>
      <c r="CG156" s="38">
        <v>0</v>
      </c>
      <c r="CH156" s="38">
        <v>16.726644075337902</v>
      </c>
      <c r="CI156" s="38">
        <v>0.83632686871168249</v>
      </c>
      <c r="CJ156" s="38">
        <v>0</v>
      </c>
      <c r="CK156" s="38">
        <v>0.83632686871168249</v>
      </c>
      <c r="CL156" s="38"/>
      <c r="CM156" s="38">
        <v>0</v>
      </c>
      <c r="CN156" s="38"/>
      <c r="CO156" s="38">
        <v>0</v>
      </c>
      <c r="CP156" s="38">
        <v>0</v>
      </c>
      <c r="CQ156" s="38">
        <v>0</v>
      </c>
      <c r="CR156" s="38">
        <v>0</v>
      </c>
      <c r="CS156" s="38">
        <v>0</v>
      </c>
      <c r="CT156" s="38">
        <v>0</v>
      </c>
      <c r="CU156" s="38">
        <v>0</v>
      </c>
      <c r="CV156" s="38">
        <v>9999</v>
      </c>
      <c r="CW156" s="49">
        <v>9999</v>
      </c>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row>
    <row r="157" spans="1:131">
      <c r="A157" s="27" t="s">
        <v>835</v>
      </c>
      <c r="B157" s="27" t="s">
        <v>71</v>
      </c>
      <c r="C157" s="38">
        <v>45</v>
      </c>
      <c r="D157" s="38">
        <v>1656.5056434593455</v>
      </c>
      <c r="E157" s="38">
        <v>0</v>
      </c>
      <c r="F157" s="38">
        <v>672.02883390154909</v>
      </c>
      <c r="G157" s="38">
        <v>0</v>
      </c>
      <c r="H157" s="38">
        <v>0</v>
      </c>
      <c r="I157" s="38" t="s">
        <v>1360</v>
      </c>
      <c r="J157" s="38"/>
      <c r="K157" s="38"/>
      <c r="L157" s="38">
        <v>1786.3438383828291</v>
      </c>
      <c r="M157" s="38">
        <v>0.93411288852968544</v>
      </c>
      <c r="N157" s="38">
        <v>0.92737088059720418</v>
      </c>
      <c r="O157" s="38">
        <v>0</v>
      </c>
      <c r="P157" s="38">
        <v>0</v>
      </c>
      <c r="Q157" s="38">
        <v>0</v>
      </c>
      <c r="R157" s="38">
        <v>87.898498697272146</v>
      </c>
      <c r="S157" s="38">
        <v>203.12006120321351</v>
      </c>
      <c r="T157" s="38">
        <v>0</v>
      </c>
      <c r="U157" s="38">
        <v>157.05897327213785</v>
      </c>
      <c r="V157" s="38" t="s">
        <v>1584</v>
      </c>
      <c r="W157" s="38" t="s">
        <v>1584</v>
      </c>
      <c r="X157" s="38" t="s">
        <v>1584</v>
      </c>
      <c r="Y157" s="38" t="s">
        <v>1584</v>
      </c>
      <c r="Z157" s="38">
        <v>0</v>
      </c>
      <c r="AA157" s="38">
        <v>0</v>
      </c>
      <c r="AB157" s="38">
        <v>0</v>
      </c>
      <c r="AC157" s="38">
        <v>0</v>
      </c>
      <c r="AD157" s="38">
        <v>0</v>
      </c>
      <c r="AE157" s="38">
        <v>0</v>
      </c>
      <c r="AF157" s="38">
        <v>0</v>
      </c>
      <c r="AG157" s="38">
        <v>0</v>
      </c>
      <c r="AH157" s="38">
        <v>87.898498697272146</v>
      </c>
      <c r="AI157" s="38">
        <v>203.12006120321351</v>
      </c>
      <c r="AJ157" s="38">
        <v>0</v>
      </c>
      <c r="AK157" s="38">
        <v>157.05897327213785</v>
      </c>
      <c r="AL157" s="38">
        <v>448.07753317262353</v>
      </c>
      <c r="AM157" s="38">
        <v>940.91551007250564</v>
      </c>
      <c r="AN157" s="38">
        <v>330.06737395213008</v>
      </c>
      <c r="AO157" s="38">
        <v>0</v>
      </c>
      <c r="AP157" s="38">
        <v>0</v>
      </c>
      <c r="AQ157" s="38">
        <v>1270.9828840246357</v>
      </c>
      <c r="AR157" s="38">
        <v>87.898498697272146</v>
      </c>
      <c r="AS157" s="49">
        <v>14.459665442091101</v>
      </c>
      <c r="AT157" s="38">
        <v>940.91551007250564</v>
      </c>
      <c r="AU157" s="38">
        <v>390.70146021421795</v>
      </c>
      <c r="AV157" s="38">
        <v>0</v>
      </c>
      <c r="AW157" s="38">
        <v>0</v>
      </c>
      <c r="AX157" s="38">
        <v>1331.6169702867237</v>
      </c>
      <c r="AY157" s="38">
        <v>203.12006120321351</v>
      </c>
      <c r="AZ157" s="49">
        <v>6.5558121753148457</v>
      </c>
      <c r="BA157" s="38">
        <v>940.91551007250564</v>
      </c>
      <c r="BB157" s="38">
        <v>720.76883416634803</v>
      </c>
      <c r="BC157" s="38">
        <v>0</v>
      </c>
      <c r="BD157" s="38">
        <v>0</v>
      </c>
      <c r="BE157" s="38">
        <v>1661.6843442388538</v>
      </c>
      <c r="BF157" s="38">
        <v>291.01855990048568</v>
      </c>
      <c r="BG157" s="38">
        <v>-17.701954520310913</v>
      </c>
      <c r="BH157" s="49">
        <v>5.7098913031769163</v>
      </c>
      <c r="BI157" s="38">
        <v>3.6206497575848537</v>
      </c>
      <c r="BJ157" s="38">
        <v>8.3667708920591473</v>
      </c>
      <c r="BK157" s="38">
        <v>0</v>
      </c>
      <c r="BL157" s="38">
        <v>6.4694567248841937</v>
      </c>
      <c r="BM157" s="38">
        <v>18.456877374528197</v>
      </c>
      <c r="BN157" s="38">
        <v>940.91551007250564</v>
      </c>
      <c r="BO157" s="38">
        <v>0</v>
      </c>
      <c r="BP157" s="38">
        <v>720.76883416634803</v>
      </c>
      <c r="BQ157" s="38">
        <v>0</v>
      </c>
      <c r="BR157" s="38">
        <v>0</v>
      </c>
      <c r="BS157" s="38">
        <v>0</v>
      </c>
      <c r="BT157" s="38">
        <v>0</v>
      </c>
      <c r="BU157" s="38">
        <v>0</v>
      </c>
      <c r="BV157" s="38">
        <v>84.291936956492805</v>
      </c>
      <c r="BW157" s="38">
        <v>0</v>
      </c>
      <c r="BX157" s="38">
        <v>448.07753317262353</v>
      </c>
      <c r="BY157" s="38"/>
      <c r="BZ157" s="38">
        <v>0</v>
      </c>
      <c r="CA157" s="38">
        <v>0</v>
      </c>
      <c r="CB157" s="38">
        <v>1745.9762811953465</v>
      </c>
      <c r="CC157" s="38">
        <v>448.07753317262353</v>
      </c>
      <c r="CD157" s="49">
        <v>3.8965941202919065</v>
      </c>
      <c r="CE157" s="38">
        <v>-14.704588737036326</v>
      </c>
      <c r="CF157" s="38">
        <v>16.970374720525758</v>
      </c>
      <c r="CG157" s="38">
        <v>0</v>
      </c>
      <c r="CH157" s="38">
        <v>16.970374720525758</v>
      </c>
      <c r="CI157" s="38">
        <v>0.84851332323184381</v>
      </c>
      <c r="CJ157" s="38">
        <v>0</v>
      </c>
      <c r="CK157" s="38">
        <v>0.84851332323184381</v>
      </c>
      <c r="CL157" s="38"/>
      <c r="CM157" s="38">
        <v>0</v>
      </c>
      <c r="CN157" s="38"/>
      <c r="CO157" s="38">
        <v>0</v>
      </c>
      <c r="CP157" s="38">
        <v>0</v>
      </c>
      <c r="CQ157" s="38">
        <v>0</v>
      </c>
      <c r="CR157" s="38">
        <v>0</v>
      </c>
      <c r="CS157" s="38">
        <v>0</v>
      </c>
      <c r="CT157" s="38">
        <v>0</v>
      </c>
      <c r="CU157" s="38">
        <v>0</v>
      </c>
      <c r="CV157" s="38">
        <v>9999</v>
      </c>
      <c r="CW157" s="49">
        <v>9999</v>
      </c>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row>
    <row r="158" spans="1:131">
      <c r="A158" s="27" t="s">
        <v>836</v>
      </c>
      <c r="B158" s="27" t="s">
        <v>73</v>
      </c>
      <c r="C158" s="38">
        <v>45</v>
      </c>
      <c r="D158" s="38">
        <v>390.83459031313708</v>
      </c>
      <c r="E158" s="38">
        <v>0</v>
      </c>
      <c r="F158" s="38">
        <v>504.9249428399313</v>
      </c>
      <c r="G158" s="38">
        <v>0</v>
      </c>
      <c r="H158" s="38">
        <v>0</v>
      </c>
      <c r="I158" s="38" t="s">
        <v>1360</v>
      </c>
      <c r="J158" s="38"/>
      <c r="K158" s="38"/>
      <c r="L158" s="38">
        <v>421.46850811491629</v>
      </c>
      <c r="M158" s="38">
        <v>0.22039383296775392</v>
      </c>
      <c r="N158" s="38">
        <v>0.21880312911559169</v>
      </c>
      <c r="O158" s="38">
        <v>0</v>
      </c>
      <c r="P158" s="38">
        <v>0</v>
      </c>
      <c r="Q158" s="38">
        <v>0</v>
      </c>
      <c r="R158" s="38">
        <v>66.042024079189744</v>
      </c>
      <c r="S158" s="38">
        <v>152.61307271184856</v>
      </c>
      <c r="T158" s="38">
        <v>0</v>
      </c>
      <c r="U158" s="38">
        <v>118.00534307661898</v>
      </c>
      <c r="V158" s="38" t="s">
        <v>1584</v>
      </c>
      <c r="W158" s="38" t="s">
        <v>1584</v>
      </c>
      <c r="X158" s="38" t="s">
        <v>1584</v>
      </c>
      <c r="Y158" s="38" t="s">
        <v>1584</v>
      </c>
      <c r="Z158" s="38">
        <v>0</v>
      </c>
      <c r="AA158" s="38">
        <v>0</v>
      </c>
      <c r="AB158" s="38">
        <v>0</v>
      </c>
      <c r="AC158" s="38">
        <v>0</v>
      </c>
      <c r="AD158" s="38">
        <v>0</v>
      </c>
      <c r="AE158" s="38">
        <v>0</v>
      </c>
      <c r="AF158" s="38">
        <v>0</v>
      </c>
      <c r="AG158" s="38">
        <v>0</v>
      </c>
      <c r="AH158" s="38">
        <v>66.042024079189744</v>
      </c>
      <c r="AI158" s="38">
        <v>152.61307271184856</v>
      </c>
      <c r="AJ158" s="38">
        <v>0</v>
      </c>
      <c r="AK158" s="38">
        <v>118.00534307661898</v>
      </c>
      <c r="AL158" s="38">
        <v>336.66043986765732</v>
      </c>
      <c r="AM158" s="38">
        <v>221.99883794569718</v>
      </c>
      <c r="AN158" s="38">
        <v>77.875826975701912</v>
      </c>
      <c r="AO158" s="38">
        <v>0</v>
      </c>
      <c r="AP158" s="38">
        <v>0</v>
      </c>
      <c r="AQ158" s="38">
        <v>299.87466492139907</v>
      </c>
      <c r="AR158" s="38">
        <v>66.042024079189744</v>
      </c>
      <c r="AS158" s="49">
        <v>4.5406643588304476</v>
      </c>
      <c r="AT158" s="38">
        <v>221.99883794569718</v>
      </c>
      <c r="AU158" s="38">
        <v>92.181783829410747</v>
      </c>
      <c r="AV158" s="38">
        <v>0</v>
      </c>
      <c r="AW158" s="38">
        <v>0</v>
      </c>
      <c r="AX158" s="38">
        <v>314.18062177510791</v>
      </c>
      <c r="AY158" s="38">
        <v>152.61307271184856</v>
      </c>
      <c r="AZ158" s="49">
        <v>2.0586743729897758</v>
      </c>
      <c r="BA158" s="38">
        <v>221.99883794569718</v>
      </c>
      <c r="BB158" s="38">
        <v>170.05761080511266</v>
      </c>
      <c r="BC158" s="38">
        <v>0</v>
      </c>
      <c r="BD158" s="38">
        <v>0</v>
      </c>
      <c r="BE158" s="38">
        <v>392.05644875080981</v>
      </c>
      <c r="BF158" s="38">
        <v>218.65509679103832</v>
      </c>
      <c r="BG158" s="38">
        <v>8.4843541369416684</v>
      </c>
      <c r="BH158" s="49">
        <v>1.7930359479591076</v>
      </c>
      <c r="BI158" s="38">
        <v>11.529895196030306</v>
      </c>
      <c r="BJ158" s="38">
        <v>26.643834110866266</v>
      </c>
      <c r="BK158" s="38">
        <v>0</v>
      </c>
      <c r="BL158" s="38">
        <v>20.601870660619984</v>
      </c>
      <c r="BM158" s="38">
        <v>58.775599967516555</v>
      </c>
      <c r="BN158" s="38">
        <v>221.99883794569718</v>
      </c>
      <c r="BO158" s="38">
        <v>0</v>
      </c>
      <c r="BP158" s="38">
        <v>170.05761080511266</v>
      </c>
      <c r="BQ158" s="38">
        <v>0</v>
      </c>
      <c r="BR158" s="38">
        <v>0</v>
      </c>
      <c r="BS158" s="38">
        <v>0</v>
      </c>
      <c r="BT158" s="38">
        <v>0</v>
      </c>
      <c r="BU158" s="38">
        <v>0</v>
      </c>
      <c r="BV158" s="38">
        <v>40.971970406611433</v>
      </c>
      <c r="BW158" s="38">
        <v>0</v>
      </c>
      <c r="BX158" s="38">
        <v>336.66043986765732</v>
      </c>
      <c r="BY158" s="38"/>
      <c r="BZ158" s="38">
        <v>0</v>
      </c>
      <c r="CA158" s="38">
        <v>0</v>
      </c>
      <c r="CB158" s="38">
        <v>433.02841915742124</v>
      </c>
      <c r="CC158" s="38">
        <v>336.66043986765732</v>
      </c>
      <c r="CD158" s="49">
        <v>1.2862468169044352</v>
      </c>
      <c r="CE158" s="38">
        <v>21.933165342620718</v>
      </c>
      <c r="CF158" s="38">
        <v>4.0039763688978258</v>
      </c>
      <c r="CG158" s="38">
        <v>0</v>
      </c>
      <c r="CH158" s="38">
        <v>4.0039763688978258</v>
      </c>
      <c r="CI158" s="38">
        <v>0.20019754135458523</v>
      </c>
      <c r="CJ158" s="38">
        <v>0</v>
      </c>
      <c r="CK158" s="38">
        <v>0.20019754135458523</v>
      </c>
      <c r="CL158" s="38"/>
      <c r="CM158" s="38">
        <v>0</v>
      </c>
      <c r="CN158" s="38"/>
      <c r="CO158" s="38">
        <v>0</v>
      </c>
      <c r="CP158" s="38">
        <v>0</v>
      </c>
      <c r="CQ158" s="38">
        <v>0</v>
      </c>
      <c r="CR158" s="38">
        <v>0</v>
      </c>
      <c r="CS158" s="38">
        <v>0</v>
      </c>
      <c r="CT158" s="38">
        <v>0</v>
      </c>
      <c r="CU158" s="38">
        <v>0</v>
      </c>
      <c r="CV158" s="38">
        <v>9999</v>
      </c>
      <c r="CW158" s="49">
        <v>9999</v>
      </c>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row>
    <row r="159" spans="1:131">
      <c r="A159" s="27" t="s">
        <v>837</v>
      </c>
      <c r="B159" s="27" t="s">
        <v>75</v>
      </c>
      <c r="C159" s="38">
        <v>45</v>
      </c>
      <c r="D159" s="38">
        <v>424.26288239708038</v>
      </c>
      <c r="E159" s="38">
        <v>0</v>
      </c>
      <c r="F159" s="38">
        <v>588.47688837074031</v>
      </c>
      <c r="G159" s="38">
        <v>0</v>
      </c>
      <c r="H159" s="38">
        <v>0</v>
      </c>
      <c r="I159" s="38" t="s">
        <v>1360</v>
      </c>
      <c r="J159" s="38"/>
      <c r="K159" s="38"/>
      <c r="L159" s="38">
        <v>457.51693561505425</v>
      </c>
      <c r="M159" s="38">
        <v>0.23924423568170797</v>
      </c>
      <c r="N159" s="38">
        <v>0.23751747807609846</v>
      </c>
      <c r="O159" s="38">
        <v>0</v>
      </c>
      <c r="P159" s="38">
        <v>0</v>
      </c>
      <c r="Q159" s="38">
        <v>0</v>
      </c>
      <c r="R159" s="38">
        <v>76.970261388230981</v>
      </c>
      <c r="S159" s="38">
        <v>177.86656695753103</v>
      </c>
      <c r="T159" s="38">
        <v>0</v>
      </c>
      <c r="U159" s="38">
        <v>137.53215817437845</v>
      </c>
      <c r="V159" s="38" t="s">
        <v>1584</v>
      </c>
      <c r="W159" s="38" t="s">
        <v>1584</v>
      </c>
      <c r="X159" s="38" t="s">
        <v>1584</v>
      </c>
      <c r="Y159" s="38" t="s">
        <v>1584</v>
      </c>
      <c r="Z159" s="38">
        <v>0</v>
      </c>
      <c r="AA159" s="38">
        <v>0</v>
      </c>
      <c r="AB159" s="38">
        <v>0</v>
      </c>
      <c r="AC159" s="38">
        <v>0</v>
      </c>
      <c r="AD159" s="38">
        <v>0</v>
      </c>
      <c r="AE159" s="38">
        <v>0</v>
      </c>
      <c r="AF159" s="38">
        <v>0</v>
      </c>
      <c r="AG159" s="38">
        <v>0</v>
      </c>
      <c r="AH159" s="38">
        <v>76.970261388230981</v>
      </c>
      <c r="AI159" s="38">
        <v>177.86656695753103</v>
      </c>
      <c r="AJ159" s="38">
        <v>0</v>
      </c>
      <c r="AK159" s="38">
        <v>137.53215817437845</v>
      </c>
      <c r="AL159" s="38">
        <v>392.36898652014042</v>
      </c>
      <c r="AM159" s="38">
        <v>240.98651759605551</v>
      </c>
      <c r="AN159" s="38">
        <v>84.536588215736103</v>
      </c>
      <c r="AO159" s="38">
        <v>0</v>
      </c>
      <c r="AP159" s="38">
        <v>0</v>
      </c>
      <c r="AQ159" s="38">
        <v>325.52310581179159</v>
      </c>
      <c r="AR159" s="38">
        <v>76.970261388230981</v>
      </c>
      <c r="AS159" s="49">
        <v>4.2292061887367476</v>
      </c>
      <c r="AT159" s="38">
        <v>240.98651759605551</v>
      </c>
      <c r="AU159" s="38">
        <v>100.06614123032445</v>
      </c>
      <c r="AV159" s="38">
        <v>0</v>
      </c>
      <c r="AW159" s="38">
        <v>0</v>
      </c>
      <c r="AX159" s="38">
        <v>341.05265882637997</v>
      </c>
      <c r="AY159" s="38">
        <v>177.86656695753103</v>
      </c>
      <c r="AZ159" s="49">
        <v>1.9174635495596688</v>
      </c>
      <c r="BA159" s="38">
        <v>240.98651759605551</v>
      </c>
      <c r="BB159" s="38">
        <v>184.60272944606055</v>
      </c>
      <c r="BC159" s="38">
        <v>0</v>
      </c>
      <c r="BD159" s="38">
        <v>0</v>
      </c>
      <c r="BE159" s="38">
        <v>425.58924704211609</v>
      </c>
      <c r="BF159" s="38">
        <v>254.836828345762</v>
      </c>
      <c r="BG159" s="38">
        <v>11.295642909582401</v>
      </c>
      <c r="BH159" s="49">
        <v>1.6700460832320421</v>
      </c>
      <c r="BI159" s="38">
        <v>12.379009639466899</v>
      </c>
      <c r="BJ159" s="38">
        <v>28.606008440070411</v>
      </c>
      <c r="BK159" s="38">
        <v>0</v>
      </c>
      <c r="BL159" s="38">
        <v>22.119087048308206</v>
      </c>
      <c r="BM159" s="38">
        <v>63.104105127845507</v>
      </c>
      <c r="BN159" s="38">
        <v>240.98651759605551</v>
      </c>
      <c r="BO159" s="38">
        <v>0</v>
      </c>
      <c r="BP159" s="38">
        <v>184.60272944606055</v>
      </c>
      <c r="BQ159" s="38">
        <v>0</v>
      </c>
      <c r="BR159" s="38">
        <v>0</v>
      </c>
      <c r="BS159" s="38">
        <v>0</v>
      </c>
      <c r="BT159" s="38">
        <v>0</v>
      </c>
      <c r="BU159" s="38">
        <v>0</v>
      </c>
      <c r="BV159" s="38">
        <v>44.913177147077597</v>
      </c>
      <c r="BW159" s="38">
        <v>0</v>
      </c>
      <c r="BX159" s="38">
        <v>392.36898652014042</v>
      </c>
      <c r="BY159" s="38"/>
      <c r="BZ159" s="38">
        <v>0</v>
      </c>
      <c r="CA159" s="38">
        <v>0</v>
      </c>
      <c r="CB159" s="38">
        <v>470.50242418919362</v>
      </c>
      <c r="CC159" s="38">
        <v>392.36898652014042</v>
      </c>
      <c r="CD159" s="49">
        <v>1.1991325521469127</v>
      </c>
      <c r="CE159" s="38">
        <v>26.191412239915845</v>
      </c>
      <c r="CF159" s="38">
        <v>4.3464386147535086</v>
      </c>
      <c r="CG159" s="38">
        <v>0</v>
      </c>
      <c r="CH159" s="38">
        <v>4.3464386147535086</v>
      </c>
      <c r="CI159" s="38">
        <v>0.21732054441715076</v>
      </c>
      <c r="CJ159" s="38">
        <v>0</v>
      </c>
      <c r="CK159" s="38">
        <v>0.21732054441715076</v>
      </c>
      <c r="CL159" s="38"/>
      <c r="CM159" s="38">
        <v>0</v>
      </c>
      <c r="CN159" s="38"/>
      <c r="CO159" s="38">
        <v>0</v>
      </c>
      <c r="CP159" s="38">
        <v>0</v>
      </c>
      <c r="CQ159" s="38">
        <v>0</v>
      </c>
      <c r="CR159" s="38">
        <v>0</v>
      </c>
      <c r="CS159" s="38">
        <v>0</v>
      </c>
      <c r="CT159" s="38">
        <v>0</v>
      </c>
      <c r="CU159" s="38">
        <v>0</v>
      </c>
      <c r="CV159" s="38">
        <v>9999</v>
      </c>
      <c r="CW159" s="49">
        <v>9999</v>
      </c>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row>
    <row r="160" spans="1:131">
      <c r="A160" s="27" t="s">
        <v>838</v>
      </c>
      <c r="B160" s="27" t="s">
        <v>77</v>
      </c>
      <c r="C160" s="38">
        <v>45</v>
      </c>
      <c r="D160" s="38">
        <v>160.69089451791402</v>
      </c>
      <c r="E160" s="38">
        <v>0</v>
      </c>
      <c r="F160" s="38">
        <v>444.15989154479752</v>
      </c>
      <c r="G160" s="38">
        <v>0</v>
      </c>
      <c r="H160" s="38">
        <v>0</v>
      </c>
      <c r="I160" s="38" t="s">
        <v>1360</v>
      </c>
      <c r="J160" s="38"/>
      <c r="K160" s="38"/>
      <c r="L160" s="38">
        <v>173.28597124899906</v>
      </c>
      <c r="M160" s="38">
        <v>9.0614503024016732E-2</v>
      </c>
      <c r="N160" s="38">
        <v>8.9960488176681341E-2</v>
      </c>
      <c r="O160" s="38">
        <v>0</v>
      </c>
      <c r="P160" s="38">
        <v>0</v>
      </c>
      <c r="Q160" s="38">
        <v>0</v>
      </c>
      <c r="R160" s="38">
        <v>58.094215127159785</v>
      </c>
      <c r="S160" s="38">
        <v>134.24689507862493</v>
      </c>
      <c r="T160" s="38">
        <v>0</v>
      </c>
      <c r="U160" s="38">
        <v>103.80402300552122</v>
      </c>
      <c r="V160" s="38" t="s">
        <v>1584</v>
      </c>
      <c r="W160" s="38" t="s">
        <v>1584</v>
      </c>
      <c r="X160" s="38" t="s">
        <v>1584</v>
      </c>
      <c r="Y160" s="38" t="s">
        <v>1584</v>
      </c>
      <c r="Z160" s="38">
        <v>0</v>
      </c>
      <c r="AA160" s="38">
        <v>0</v>
      </c>
      <c r="AB160" s="38">
        <v>0</v>
      </c>
      <c r="AC160" s="38">
        <v>0</v>
      </c>
      <c r="AD160" s="38">
        <v>0</v>
      </c>
      <c r="AE160" s="38">
        <v>0</v>
      </c>
      <c r="AF160" s="38">
        <v>0</v>
      </c>
      <c r="AG160" s="38">
        <v>0</v>
      </c>
      <c r="AH160" s="38">
        <v>58.094215127159785</v>
      </c>
      <c r="AI160" s="38">
        <v>134.24689507862493</v>
      </c>
      <c r="AJ160" s="38">
        <v>0</v>
      </c>
      <c r="AK160" s="38">
        <v>103.80402300552122</v>
      </c>
      <c r="AL160" s="38">
        <v>296.14513321130596</v>
      </c>
      <c r="AM160" s="38">
        <v>91.274397751872712</v>
      </c>
      <c r="AN160" s="38">
        <v>32.018497359769661</v>
      </c>
      <c r="AO160" s="38">
        <v>0</v>
      </c>
      <c r="AP160" s="38">
        <v>0</v>
      </c>
      <c r="AQ160" s="38">
        <v>123.29289511164237</v>
      </c>
      <c r="AR160" s="38">
        <v>58.094215127159785</v>
      </c>
      <c r="AS160" s="49">
        <v>2.1222921222323454</v>
      </c>
      <c r="AT160" s="38">
        <v>91.274397751872712</v>
      </c>
      <c r="AU160" s="38">
        <v>37.900364166684881</v>
      </c>
      <c r="AV160" s="38">
        <v>0</v>
      </c>
      <c r="AW160" s="38">
        <v>0</v>
      </c>
      <c r="AX160" s="38">
        <v>129.17476191855758</v>
      </c>
      <c r="AY160" s="38">
        <v>134.24689507862493</v>
      </c>
      <c r="AZ160" s="50">
        <v>0.96221787358957733</v>
      </c>
      <c r="BA160" s="38">
        <v>91.274397751872712</v>
      </c>
      <c r="BB160" s="38">
        <v>69.918861526454549</v>
      </c>
      <c r="BC160" s="38">
        <v>0</v>
      </c>
      <c r="BD160" s="38">
        <v>0</v>
      </c>
      <c r="BE160" s="38">
        <v>161.19325927832725</v>
      </c>
      <c r="BF160" s="38">
        <v>192.34111020578473</v>
      </c>
      <c r="BG160" s="38">
        <v>51.983684957669759</v>
      </c>
      <c r="BH160" s="50">
        <v>0.8380593161070321</v>
      </c>
      <c r="BI160" s="38">
        <v>24.668321400824393</v>
      </c>
      <c r="BJ160" s="38">
        <v>57.004738726800248</v>
      </c>
      <c r="BK160" s="38">
        <v>0</v>
      </c>
      <c r="BL160" s="38">
        <v>44.077899952582726</v>
      </c>
      <c r="BM160" s="38">
        <v>125.75096008020738</v>
      </c>
      <c r="BN160" s="38">
        <v>91.274397751872712</v>
      </c>
      <c r="BO160" s="38">
        <v>0</v>
      </c>
      <c r="BP160" s="38">
        <v>69.918861526454549</v>
      </c>
      <c r="BQ160" s="38">
        <v>0</v>
      </c>
      <c r="BR160" s="38">
        <v>0</v>
      </c>
      <c r="BS160" s="38">
        <v>0</v>
      </c>
      <c r="BT160" s="38">
        <v>0</v>
      </c>
      <c r="BU160" s="38">
        <v>0</v>
      </c>
      <c r="BV160" s="38">
        <v>18.117785946515351</v>
      </c>
      <c r="BW160" s="38">
        <v>0</v>
      </c>
      <c r="BX160" s="38">
        <v>296.14513321130596</v>
      </c>
      <c r="BY160" s="38"/>
      <c r="BZ160" s="38">
        <v>0</v>
      </c>
      <c r="CA160" s="38">
        <v>0</v>
      </c>
      <c r="CB160" s="38">
        <v>179.31104522484259</v>
      </c>
      <c r="CC160" s="38">
        <v>296.14513321130596</v>
      </c>
      <c r="CD160" s="50">
        <v>0.60548368051991686</v>
      </c>
      <c r="CE160" s="38">
        <v>88.368299686901011</v>
      </c>
      <c r="CF160" s="38">
        <v>1.6462272283302388</v>
      </c>
      <c r="CG160" s="38">
        <v>0</v>
      </c>
      <c r="CH160" s="38">
        <v>1.6462272283302388</v>
      </c>
      <c r="CI160" s="38">
        <v>8.2310836343274546E-2</v>
      </c>
      <c r="CJ160" s="38">
        <v>0</v>
      </c>
      <c r="CK160" s="38">
        <v>8.2310836343274546E-2</v>
      </c>
      <c r="CL160" s="38"/>
      <c r="CM160" s="38">
        <v>0</v>
      </c>
      <c r="CN160" s="38"/>
      <c r="CO160" s="38">
        <v>0</v>
      </c>
      <c r="CP160" s="38">
        <v>0</v>
      </c>
      <c r="CQ160" s="38">
        <v>0</v>
      </c>
      <c r="CR160" s="38">
        <v>0</v>
      </c>
      <c r="CS160" s="38">
        <v>0</v>
      </c>
      <c r="CT160" s="38">
        <v>0</v>
      </c>
      <c r="CU160" s="38">
        <v>0</v>
      </c>
      <c r="CV160" s="38">
        <v>9999</v>
      </c>
      <c r="CW160" s="49">
        <v>9999</v>
      </c>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row>
    <row r="161" spans="1:131">
      <c r="A161" s="27" t="s">
        <v>839</v>
      </c>
      <c r="B161" s="27" t="s">
        <v>79</v>
      </c>
      <c r="C161" s="38">
        <v>45</v>
      </c>
      <c r="D161" s="38">
        <v>193.77973703235281</v>
      </c>
      <c r="E161" s="38">
        <v>0</v>
      </c>
      <c r="F161" s="38">
        <v>527.71183707560658</v>
      </c>
      <c r="G161" s="38">
        <v>0</v>
      </c>
      <c r="H161" s="38">
        <v>0</v>
      </c>
      <c r="I161" s="38" t="s">
        <v>1360</v>
      </c>
      <c r="J161" s="38"/>
      <c r="K161" s="38"/>
      <c r="L161" s="38">
        <v>208.96834285954782</v>
      </c>
      <c r="M161" s="38">
        <v>0.10927348820846707</v>
      </c>
      <c r="N161" s="38">
        <v>0.10848480117357238</v>
      </c>
      <c r="O161" s="38">
        <v>0</v>
      </c>
      <c r="P161" s="38">
        <v>0</v>
      </c>
      <c r="Q161" s="38">
        <v>0</v>
      </c>
      <c r="R161" s="38">
        <v>69.022452436201007</v>
      </c>
      <c r="S161" s="38">
        <v>159.50038932430746</v>
      </c>
      <c r="T161" s="38">
        <v>0</v>
      </c>
      <c r="U161" s="38">
        <v>123.33083810328067</v>
      </c>
      <c r="V161" s="38" t="s">
        <v>1584</v>
      </c>
      <c r="W161" s="38" t="s">
        <v>1584</v>
      </c>
      <c r="X161" s="38" t="s">
        <v>1584</v>
      </c>
      <c r="Y161" s="38" t="s">
        <v>1584</v>
      </c>
      <c r="Z161" s="38">
        <v>0</v>
      </c>
      <c r="AA161" s="38">
        <v>0</v>
      </c>
      <c r="AB161" s="38">
        <v>0</v>
      </c>
      <c r="AC161" s="38">
        <v>0</v>
      </c>
      <c r="AD161" s="38">
        <v>0</v>
      </c>
      <c r="AE161" s="38">
        <v>0</v>
      </c>
      <c r="AF161" s="38">
        <v>0</v>
      </c>
      <c r="AG161" s="38">
        <v>0</v>
      </c>
      <c r="AH161" s="38">
        <v>69.022452436201007</v>
      </c>
      <c r="AI161" s="38">
        <v>159.50038932430746</v>
      </c>
      <c r="AJ161" s="38">
        <v>0</v>
      </c>
      <c r="AK161" s="38">
        <v>123.33083810328067</v>
      </c>
      <c r="AL161" s="38">
        <v>351.85367986378913</v>
      </c>
      <c r="AM161" s="38">
        <v>110.06926588595536</v>
      </c>
      <c r="AN161" s="38">
        <v>38.611621505757178</v>
      </c>
      <c r="AO161" s="38">
        <v>0</v>
      </c>
      <c r="AP161" s="38">
        <v>0</v>
      </c>
      <c r="AQ161" s="38">
        <v>148.68088739171253</v>
      </c>
      <c r="AR161" s="38">
        <v>69.022452436201007</v>
      </c>
      <c r="AS161" s="49">
        <v>2.1540945321979335</v>
      </c>
      <c r="AT161" s="38">
        <v>110.06926588595536</v>
      </c>
      <c r="AU161" s="38">
        <v>45.704659393951253</v>
      </c>
      <c r="AV161" s="38">
        <v>0</v>
      </c>
      <c r="AW161" s="38">
        <v>0</v>
      </c>
      <c r="AX161" s="38">
        <v>155.77392527990662</v>
      </c>
      <c r="AY161" s="38">
        <v>159.50038932430746</v>
      </c>
      <c r="AZ161" s="50">
        <v>0.97663664609103906</v>
      </c>
      <c r="BA161" s="38">
        <v>110.06926588595536</v>
      </c>
      <c r="BB161" s="38">
        <v>84.316280899708431</v>
      </c>
      <c r="BC161" s="38">
        <v>0</v>
      </c>
      <c r="BD161" s="38">
        <v>0</v>
      </c>
      <c r="BE161" s="38">
        <v>194.38554678566379</v>
      </c>
      <c r="BF161" s="38">
        <v>228.52284176050847</v>
      </c>
      <c r="BG161" s="38">
        <v>50.777888228464697</v>
      </c>
      <c r="BH161" s="50">
        <v>0.85061758066784199</v>
      </c>
      <c r="BI161" s="38">
        <v>24.30412565239018</v>
      </c>
      <c r="BJ161" s="38">
        <v>56.163137746029427</v>
      </c>
      <c r="BK161" s="38">
        <v>0</v>
      </c>
      <c r="BL161" s="38">
        <v>43.427146968551021</v>
      </c>
      <c r="BM161" s="38">
        <v>123.89441036697062</v>
      </c>
      <c r="BN161" s="38">
        <v>110.06926588595536</v>
      </c>
      <c r="BO161" s="38">
        <v>0</v>
      </c>
      <c r="BP161" s="38">
        <v>84.316280899708431</v>
      </c>
      <c r="BQ161" s="38">
        <v>0</v>
      </c>
      <c r="BR161" s="38">
        <v>0</v>
      </c>
      <c r="BS161" s="38">
        <v>0</v>
      </c>
      <c r="BT161" s="38">
        <v>0</v>
      </c>
      <c r="BU161" s="38">
        <v>0</v>
      </c>
      <c r="BV161" s="38">
        <v>22.052963176164152</v>
      </c>
      <c r="BW161" s="38">
        <v>0</v>
      </c>
      <c r="BX161" s="38">
        <v>351.85367986378913</v>
      </c>
      <c r="BY161" s="38"/>
      <c r="BZ161" s="38">
        <v>0</v>
      </c>
      <c r="CA161" s="38">
        <v>0</v>
      </c>
      <c r="CB161" s="38">
        <v>216.43850996182795</v>
      </c>
      <c r="CC161" s="38">
        <v>351.85367986378913</v>
      </c>
      <c r="CD161" s="50">
        <v>0.61513783242402464</v>
      </c>
      <c r="CE161" s="38">
        <v>86.439765069350457</v>
      </c>
      <c r="CF161" s="38">
        <v>1.9852119210511359</v>
      </c>
      <c r="CG161" s="38">
        <v>0</v>
      </c>
      <c r="CH161" s="38">
        <v>1.9852119210511359</v>
      </c>
      <c r="CI161" s="38">
        <v>9.9259962858285228E-2</v>
      </c>
      <c r="CJ161" s="38">
        <v>0</v>
      </c>
      <c r="CK161" s="38">
        <v>9.9259962858285228E-2</v>
      </c>
      <c r="CL161" s="38"/>
      <c r="CM161" s="38">
        <v>0</v>
      </c>
      <c r="CN161" s="38"/>
      <c r="CO161" s="38">
        <v>0</v>
      </c>
      <c r="CP161" s="38">
        <v>0</v>
      </c>
      <c r="CQ161" s="38">
        <v>0</v>
      </c>
      <c r="CR161" s="38">
        <v>0</v>
      </c>
      <c r="CS161" s="38">
        <v>0</v>
      </c>
      <c r="CT161" s="38">
        <v>0</v>
      </c>
      <c r="CU161" s="38">
        <v>0</v>
      </c>
      <c r="CV161" s="38">
        <v>9999</v>
      </c>
      <c r="CW161" s="49">
        <v>9999</v>
      </c>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row>
    <row r="162" spans="1:131">
      <c r="A162" s="27" t="s">
        <v>840</v>
      </c>
      <c r="B162" s="27" t="s">
        <v>85</v>
      </c>
      <c r="C162" s="38">
        <v>45</v>
      </c>
      <c r="D162" s="38">
        <v>2013.5135880827527</v>
      </c>
      <c r="E162" s="38">
        <v>0</v>
      </c>
      <c r="F162" s="38">
        <v>1047.8220524597768</v>
      </c>
      <c r="G162" s="38">
        <v>0</v>
      </c>
      <c r="H162" s="38">
        <v>0</v>
      </c>
      <c r="I162" s="38" t="s">
        <v>1360</v>
      </c>
      <c r="J162" s="38"/>
      <c r="K162" s="38"/>
      <c r="L162" s="38">
        <v>2171.3343421277646</v>
      </c>
      <c r="M162" s="38">
        <v>1.1354316849352235</v>
      </c>
      <c r="N162" s="38">
        <v>1.1272366482104084</v>
      </c>
      <c r="O162" s="38">
        <v>0</v>
      </c>
      <c r="P162" s="38">
        <v>0</v>
      </c>
      <c r="Q162" s="38">
        <v>0</v>
      </c>
      <c r="R162" s="38">
        <v>137.05064525044099</v>
      </c>
      <c r="S162" s="38">
        <v>316.70319588829778</v>
      </c>
      <c r="T162" s="38">
        <v>0</v>
      </c>
      <c r="U162" s="38">
        <v>244.8851112173349</v>
      </c>
      <c r="V162" s="38" t="s">
        <v>1584</v>
      </c>
      <c r="W162" s="38" t="s">
        <v>1584</v>
      </c>
      <c r="X162" s="38" t="s">
        <v>1584</v>
      </c>
      <c r="Y162" s="38" t="s">
        <v>1584</v>
      </c>
      <c r="Z162" s="38">
        <v>0</v>
      </c>
      <c r="AA162" s="38">
        <v>0</v>
      </c>
      <c r="AB162" s="38">
        <v>0</v>
      </c>
      <c r="AC162" s="38">
        <v>0</v>
      </c>
      <c r="AD162" s="38">
        <v>0</v>
      </c>
      <c r="AE162" s="38">
        <v>0</v>
      </c>
      <c r="AF162" s="38">
        <v>0</v>
      </c>
      <c r="AG162" s="38">
        <v>0</v>
      </c>
      <c r="AH162" s="38">
        <v>137.05064525044099</v>
      </c>
      <c r="AI162" s="38">
        <v>316.70319588829778</v>
      </c>
      <c r="AJ162" s="38">
        <v>0</v>
      </c>
      <c r="AK162" s="38">
        <v>244.8851112173349</v>
      </c>
      <c r="AL162" s="38">
        <v>698.63895235607367</v>
      </c>
      <c r="AM162" s="38">
        <v>1143.7003986369464</v>
      </c>
      <c r="AN162" s="38">
        <v>401.20306565784165</v>
      </c>
      <c r="AO162" s="38">
        <v>0</v>
      </c>
      <c r="AP162" s="38">
        <v>0</v>
      </c>
      <c r="AQ162" s="38">
        <v>1544.9034642947881</v>
      </c>
      <c r="AR162" s="38">
        <v>137.05064525044099</v>
      </c>
      <c r="AS162" s="49">
        <v>11.272500479451898</v>
      </c>
      <c r="AT162" s="38">
        <v>1143.7003986369464</v>
      </c>
      <c r="AU162" s="38">
        <v>474.90493143279656</v>
      </c>
      <c r="AV162" s="38">
        <v>0</v>
      </c>
      <c r="AW162" s="38">
        <v>0</v>
      </c>
      <c r="AX162" s="38">
        <v>1618.6053300697429</v>
      </c>
      <c r="AY162" s="38">
        <v>316.70319588829778</v>
      </c>
      <c r="AZ162" s="49">
        <v>5.1107956947824107</v>
      </c>
      <c r="BA162" s="38">
        <v>1143.7003986369464</v>
      </c>
      <c r="BB162" s="38">
        <v>876.10799709063826</v>
      </c>
      <c r="BC162" s="38">
        <v>0</v>
      </c>
      <c r="BD162" s="38">
        <v>0</v>
      </c>
      <c r="BE162" s="38">
        <v>2019.8083957275844</v>
      </c>
      <c r="BF162" s="38">
        <v>453.75384113873878</v>
      </c>
      <c r="BG162" s="38">
        <v>-14.312654412796444</v>
      </c>
      <c r="BH162" s="49">
        <v>4.4513306833032678</v>
      </c>
      <c r="BI162" s="38">
        <v>4.6443452606719964</v>
      </c>
      <c r="BJ162" s="38">
        <v>10.732375496486457</v>
      </c>
      <c r="BK162" s="38">
        <v>0</v>
      </c>
      <c r="BL162" s="38">
        <v>8.298618394776982</v>
      </c>
      <c r="BM162" s="38">
        <v>23.675339151935432</v>
      </c>
      <c r="BN162" s="38">
        <v>1143.7003986369464</v>
      </c>
      <c r="BO162" s="38">
        <v>0</v>
      </c>
      <c r="BP162" s="38">
        <v>876.10799709063826</v>
      </c>
      <c r="BQ162" s="38">
        <v>0</v>
      </c>
      <c r="BR162" s="38">
        <v>0</v>
      </c>
      <c r="BS162" s="38">
        <v>0</v>
      </c>
      <c r="BT162" s="38">
        <v>0</v>
      </c>
      <c r="BU162" s="38">
        <v>0</v>
      </c>
      <c r="BV162" s="38">
        <v>151.6258568521508</v>
      </c>
      <c r="BW162" s="38">
        <v>0</v>
      </c>
      <c r="BX162" s="38">
        <v>698.63895235607367</v>
      </c>
      <c r="BY162" s="38"/>
      <c r="BZ162" s="38">
        <v>0</v>
      </c>
      <c r="CA162" s="38">
        <v>0</v>
      </c>
      <c r="CB162" s="38">
        <v>2171.4342525797356</v>
      </c>
      <c r="CC162" s="38">
        <v>698.63895235607367</v>
      </c>
      <c r="CD162" s="49">
        <v>3.1080921629932621</v>
      </c>
      <c r="CE162" s="38">
        <v>-11.152303177431854</v>
      </c>
      <c r="CF162" s="38">
        <v>20.627807837271195</v>
      </c>
      <c r="CG162" s="38">
        <v>0</v>
      </c>
      <c r="CH162" s="38">
        <v>20.627807837271195</v>
      </c>
      <c r="CI162" s="38">
        <v>1.0313838125106882</v>
      </c>
      <c r="CJ162" s="38">
        <v>0</v>
      </c>
      <c r="CK162" s="38">
        <v>1.0313838125106882</v>
      </c>
      <c r="CL162" s="38"/>
      <c r="CM162" s="38">
        <v>0</v>
      </c>
      <c r="CN162" s="38"/>
      <c r="CO162" s="38">
        <v>0</v>
      </c>
      <c r="CP162" s="38">
        <v>0</v>
      </c>
      <c r="CQ162" s="38">
        <v>0</v>
      </c>
      <c r="CR162" s="38">
        <v>0</v>
      </c>
      <c r="CS162" s="38">
        <v>0</v>
      </c>
      <c r="CT162" s="38">
        <v>0</v>
      </c>
      <c r="CU162" s="38">
        <v>0</v>
      </c>
      <c r="CV162" s="38">
        <v>9999</v>
      </c>
      <c r="CW162" s="49">
        <v>9999</v>
      </c>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row>
    <row r="163" spans="1:131">
      <c r="A163" s="27" t="s">
        <v>841</v>
      </c>
      <c r="B163" s="27" t="s">
        <v>87</v>
      </c>
      <c r="C163" s="38">
        <v>45</v>
      </c>
      <c r="D163" s="38">
        <v>676.12956578272906</v>
      </c>
      <c r="E163" s="38">
        <v>0</v>
      </c>
      <c r="F163" s="38">
        <v>737.53659951434634</v>
      </c>
      <c r="G163" s="38">
        <v>0</v>
      </c>
      <c r="H163" s="38">
        <v>0</v>
      </c>
      <c r="I163" s="38" t="s">
        <v>1360</v>
      </c>
      <c r="J163" s="38"/>
      <c r="K163" s="38"/>
      <c r="L163" s="38">
        <v>729.12512465827774</v>
      </c>
      <c r="M163" s="38">
        <v>0.38127328102225538</v>
      </c>
      <c r="N163" s="38">
        <v>0.37852142145939105</v>
      </c>
      <c r="O163" s="38">
        <v>0</v>
      </c>
      <c r="P163" s="38">
        <v>0</v>
      </c>
      <c r="Q163" s="38">
        <v>0</v>
      </c>
      <c r="R163" s="38">
        <v>96.466634407980678</v>
      </c>
      <c r="S163" s="38">
        <v>222.91971962457586</v>
      </c>
      <c r="T163" s="38">
        <v>0</v>
      </c>
      <c r="U163" s="38">
        <v>172.36870685717778</v>
      </c>
      <c r="V163" s="38" t="s">
        <v>1584</v>
      </c>
      <c r="W163" s="38" t="s">
        <v>1584</v>
      </c>
      <c r="X163" s="38" t="s">
        <v>1584</v>
      </c>
      <c r="Y163" s="38" t="s">
        <v>1584</v>
      </c>
      <c r="Z163" s="38">
        <v>0</v>
      </c>
      <c r="AA163" s="38">
        <v>0</v>
      </c>
      <c r="AB163" s="38">
        <v>0</v>
      </c>
      <c r="AC163" s="38">
        <v>0</v>
      </c>
      <c r="AD163" s="38">
        <v>0</v>
      </c>
      <c r="AE163" s="38">
        <v>0</v>
      </c>
      <c r="AF163" s="38">
        <v>0</v>
      </c>
      <c r="AG163" s="38">
        <v>0</v>
      </c>
      <c r="AH163" s="38">
        <v>96.466634407980678</v>
      </c>
      <c r="AI163" s="38">
        <v>222.91971962457586</v>
      </c>
      <c r="AJ163" s="38">
        <v>0</v>
      </c>
      <c r="AK163" s="38">
        <v>172.36870685717778</v>
      </c>
      <c r="AL163" s="38">
        <v>491.7550608897343</v>
      </c>
      <c r="AM163" s="38">
        <v>384.04988101036429</v>
      </c>
      <c r="AN163" s="38">
        <v>134.72233620843463</v>
      </c>
      <c r="AO163" s="38">
        <v>0</v>
      </c>
      <c r="AP163" s="38">
        <v>0</v>
      </c>
      <c r="AQ163" s="38">
        <v>518.77221721879891</v>
      </c>
      <c r="AR163" s="38">
        <v>96.466634407980678</v>
      </c>
      <c r="AS163" s="49">
        <v>5.3777372912668024</v>
      </c>
      <c r="AT163" s="38">
        <v>384.04988101036429</v>
      </c>
      <c r="AU163" s="38">
        <v>159.47111903201952</v>
      </c>
      <c r="AV163" s="38">
        <v>0</v>
      </c>
      <c r="AW163" s="38">
        <v>0</v>
      </c>
      <c r="AX163" s="38">
        <v>543.52100004238378</v>
      </c>
      <c r="AY163" s="38">
        <v>222.91971962457586</v>
      </c>
      <c r="AZ163" s="49">
        <v>2.4381916546357574</v>
      </c>
      <c r="BA163" s="38">
        <v>384.04988101036429</v>
      </c>
      <c r="BB163" s="38">
        <v>294.19345524045411</v>
      </c>
      <c r="BC163" s="38">
        <v>0</v>
      </c>
      <c r="BD163" s="38">
        <v>0</v>
      </c>
      <c r="BE163" s="38">
        <v>678.2433362508184</v>
      </c>
      <c r="BF163" s="38">
        <v>319.38635403255654</v>
      </c>
      <c r="BG163" s="38">
        <v>2.5424135395741509</v>
      </c>
      <c r="BH163" s="49">
        <v>2.1235827006612871</v>
      </c>
      <c r="BI163" s="38">
        <v>9.735206712809255</v>
      </c>
      <c r="BJ163" s="38">
        <v>22.496581996719794</v>
      </c>
      <c r="BK163" s="38">
        <v>0</v>
      </c>
      <c r="BL163" s="38">
        <v>17.395081754147146</v>
      </c>
      <c r="BM163" s="38">
        <v>49.626870463676191</v>
      </c>
      <c r="BN163" s="38">
        <v>384.04988101036429</v>
      </c>
      <c r="BO163" s="38">
        <v>0</v>
      </c>
      <c r="BP163" s="38">
        <v>294.19345524045411</v>
      </c>
      <c r="BQ163" s="38">
        <v>0</v>
      </c>
      <c r="BR163" s="38">
        <v>0</v>
      </c>
      <c r="BS163" s="38">
        <v>0</v>
      </c>
      <c r="BT163" s="38">
        <v>0</v>
      </c>
      <c r="BU163" s="38">
        <v>0</v>
      </c>
      <c r="BV163" s="38">
        <v>34.059899039413885</v>
      </c>
      <c r="BW163" s="38">
        <v>0</v>
      </c>
      <c r="BX163" s="38">
        <v>491.7550608897343</v>
      </c>
      <c r="BY163" s="38"/>
      <c r="BZ163" s="38">
        <v>0</v>
      </c>
      <c r="CA163" s="38">
        <v>0</v>
      </c>
      <c r="CB163" s="38">
        <v>712.30323529023224</v>
      </c>
      <c r="CC163" s="38">
        <v>491.7550608897343</v>
      </c>
      <c r="CD163" s="49">
        <v>1.4484919260443589</v>
      </c>
      <c r="CE163" s="38">
        <v>16.500243027162739</v>
      </c>
      <c r="CF163" s="38">
        <v>6.9267328706452904</v>
      </c>
      <c r="CG163" s="38">
        <v>0</v>
      </c>
      <c r="CH163" s="38">
        <v>6.9267328706452904</v>
      </c>
      <c r="CI163" s="38">
        <v>0.34633443421268184</v>
      </c>
      <c r="CJ163" s="38">
        <v>0</v>
      </c>
      <c r="CK163" s="38">
        <v>0.34633443421268184</v>
      </c>
      <c r="CL163" s="38"/>
      <c r="CM163" s="38">
        <v>0</v>
      </c>
      <c r="CN163" s="38"/>
      <c r="CO163" s="38">
        <v>0</v>
      </c>
      <c r="CP163" s="38">
        <v>0</v>
      </c>
      <c r="CQ163" s="38">
        <v>0</v>
      </c>
      <c r="CR163" s="38">
        <v>0</v>
      </c>
      <c r="CS163" s="38">
        <v>0</v>
      </c>
      <c r="CT163" s="38">
        <v>0</v>
      </c>
      <c r="CU163" s="38">
        <v>0</v>
      </c>
      <c r="CV163" s="38">
        <v>9999</v>
      </c>
      <c r="CW163" s="49">
        <v>9999</v>
      </c>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row>
    <row r="164" spans="1:131">
      <c r="A164" s="27" t="s">
        <v>842</v>
      </c>
      <c r="B164" s="27" t="s">
        <v>89</v>
      </c>
      <c r="C164" s="38">
        <v>45</v>
      </c>
      <c r="D164" s="38">
        <v>726.90500378438799</v>
      </c>
      <c r="E164" s="38">
        <v>0</v>
      </c>
      <c r="F164" s="38">
        <v>765.78004410553206</v>
      </c>
      <c r="G164" s="38">
        <v>0</v>
      </c>
      <c r="H164" s="38">
        <v>0</v>
      </c>
      <c r="I164" s="38" t="s">
        <v>1360</v>
      </c>
      <c r="J164" s="38"/>
      <c r="K164" s="38"/>
      <c r="L164" s="38">
        <v>783.88038080460478</v>
      </c>
      <c r="M164" s="38">
        <v>0.40990583729839319</v>
      </c>
      <c r="N164" s="38">
        <v>0.4069473207844137</v>
      </c>
      <c r="O164" s="38">
        <v>0</v>
      </c>
      <c r="P164" s="38">
        <v>0</v>
      </c>
      <c r="Q164" s="38">
        <v>0</v>
      </c>
      <c r="R164" s="38">
        <v>100.16075622592712</v>
      </c>
      <c r="S164" s="38">
        <v>231.45627327309336</v>
      </c>
      <c r="T164" s="38">
        <v>0</v>
      </c>
      <c r="U164" s="38">
        <v>178.96944507760065</v>
      </c>
      <c r="V164" s="38" t="s">
        <v>1584</v>
      </c>
      <c r="W164" s="38" t="s">
        <v>1584</v>
      </c>
      <c r="X164" s="38" t="s">
        <v>1584</v>
      </c>
      <c r="Y164" s="38" t="s">
        <v>1584</v>
      </c>
      <c r="Z164" s="38">
        <v>0</v>
      </c>
      <c r="AA164" s="38">
        <v>0</v>
      </c>
      <c r="AB164" s="38">
        <v>0</v>
      </c>
      <c r="AC164" s="38">
        <v>0</v>
      </c>
      <c r="AD164" s="38">
        <v>0</v>
      </c>
      <c r="AE164" s="38">
        <v>0</v>
      </c>
      <c r="AF164" s="38">
        <v>0</v>
      </c>
      <c r="AG164" s="38">
        <v>0</v>
      </c>
      <c r="AH164" s="38">
        <v>100.16075622592712</v>
      </c>
      <c r="AI164" s="38">
        <v>231.45627327309336</v>
      </c>
      <c r="AJ164" s="38">
        <v>0</v>
      </c>
      <c r="AK164" s="38">
        <v>178.96944507760065</v>
      </c>
      <c r="AL164" s="38">
        <v>510.58647457662113</v>
      </c>
      <c r="AM164" s="38">
        <v>412.8909521743081</v>
      </c>
      <c r="AN164" s="38">
        <v>144.83960658940214</v>
      </c>
      <c r="AO164" s="38">
        <v>0</v>
      </c>
      <c r="AP164" s="38">
        <v>0</v>
      </c>
      <c r="AQ164" s="38">
        <v>557.73055876371018</v>
      </c>
      <c r="AR164" s="38">
        <v>100.16075622592712</v>
      </c>
      <c r="AS164" s="49">
        <v>5.5683541117208417</v>
      </c>
      <c r="AT164" s="38">
        <v>412.8909521743081</v>
      </c>
      <c r="AU164" s="38">
        <v>171.44695373478345</v>
      </c>
      <c r="AV164" s="38">
        <v>0</v>
      </c>
      <c r="AW164" s="38">
        <v>0</v>
      </c>
      <c r="AX164" s="38">
        <v>584.33790590909155</v>
      </c>
      <c r="AY164" s="38">
        <v>231.45627327309336</v>
      </c>
      <c r="AZ164" s="49">
        <v>2.5246146827035276</v>
      </c>
      <c r="BA164" s="38">
        <v>412.8909521743081</v>
      </c>
      <c r="BB164" s="38">
        <v>316.28656032418559</v>
      </c>
      <c r="BC164" s="38">
        <v>0</v>
      </c>
      <c r="BD164" s="38">
        <v>0</v>
      </c>
      <c r="BE164" s="38">
        <v>729.17751249849368</v>
      </c>
      <c r="BF164" s="38">
        <v>331.61702949902048</v>
      </c>
      <c r="BG164" s="38">
        <v>1.4390496086731692</v>
      </c>
      <c r="BH164" s="49">
        <v>2.1988542434026219</v>
      </c>
      <c r="BI164" s="38">
        <v>9.4019495037979812</v>
      </c>
      <c r="BJ164" s="38">
        <v>21.726475274830097</v>
      </c>
      <c r="BK164" s="38">
        <v>0</v>
      </c>
      <c r="BL164" s="38">
        <v>16.799610433719771</v>
      </c>
      <c r="BM164" s="38">
        <v>47.928035212347844</v>
      </c>
      <c r="BN164" s="38">
        <v>412.8909521743081</v>
      </c>
      <c r="BO164" s="38">
        <v>0</v>
      </c>
      <c r="BP164" s="38">
        <v>316.28656032418559</v>
      </c>
      <c r="BQ164" s="38">
        <v>0</v>
      </c>
      <c r="BR164" s="38">
        <v>0</v>
      </c>
      <c r="BS164" s="38">
        <v>0</v>
      </c>
      <c r="BT164" s="38">
        <v>0</v>
      </c>
      <c r="BU164" s="38">
        <v>0</v>
      </c>
      <c r="BV164" s="38">
        <v>40.256936880323416</v>
      </c>
      <c r="BW164" s="38">
        <v>0</v>
      </c>
      <c r="BX164" s="38">
        <v>510.58647457662113</v>
      </c>
      <c r="BY164" s="38"/>
      <c r="BZ164" s="38">
        <v>0</v>
      </c>
      <c r="CA164" s="38">
        <v>0</v>
      </c>
      <c r="CB164" s="38">
        <v>769.43444937881702</v>
      </c>
      <c r="CC164" s="38">
        <v>510.58647457662113</v>
      </c>
      <c r="CD164" s="49">
        <v>1.5069620675260404</v>
      </c>
      <c r="CE164" s="38">
        <v>14.459797921258039</v>
      </c>
      <c r="CF164" s="38">
        <v>7.4469111223097446</v>
      </c>
      <c r="CG164" s="38">
        <v>0</v>
      </c>
      <c r="CH164" s="38">
        <v>7.4469111223097446</v>
      </c>
      <c r="CI164" s="38">
        <v>0.37234318088218732</v>
      </c>
      <c r="CJ164" s="38">
        <v>0</v>
      </c>
      <c r="CK164" s="38">
        <v>0.37234318088218732</v>
      </c>
      <c r="CL164" s="38"/>
      <c r="CM164" s="38">
        <v>0</v>
      </c>
      <c r="CN164" s="38"/>
      <c r="CO164" s="38">
        <v>0</v>
      </c>
      <c r="CP164" s="38">
        <v>0</v>
      </c>
      <c r="CQ164" s="38">
        <v>0</v>
      </c>
      <c r="CR164" s="38">
        <v>0</v>
      </c>
      <c r="CS164" s="38">
        <v>0</v>
      </c>
      <c r="CT164" s="38">
        <v>0</v>
      </c>
      <c r="CU164" s="38">
        <v>0</v>
      </c>
      <c r="CV164" s="38">
        <v>9999</v>
      </c>
      <c r="CW164" s="49">
        <v>9999</v>
      </c>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row>
    <row r="165" spans="1:131">
      <c r="A165" s="27" t="s">
        <v>843</v>
      </c>
      <c r="B165" s="27" t="s">
        <v>91</v>
      </c>
      <c r="C165" s="38">
        <v>45</v>
      </c>
      <c r="D165" s="38">
        <v>758.75035016521383</v>
      </c>
      <c r="E165" s="38">
        <v>0</v>
      </c>
      <c r="F165" s="38">
        <v>789.31624793152037</v>
      </c>
      <c r="G165" s="38">
        <v>0</v>
      </c>
      <c r="H165" s="38">
        <v>0</v>
      </c>
      <c r="I165" s="38" t="s">
        <v>1360</v>
      </c>
      <c r="J165" s="38"/>
      <c r="K165" s="38"/>
      <c r="L165" s="38">
        <v>818.22179009178126</v>
      </c>
      <c r="M165" s="38">
        <v>0.4278636079896535</v>
      </c>
      <c r="N165" s="38">
        <v>0.42477548033987145</v>
      </c>
      <c r="O165" s="38">
        <v>0</v>
      </c>
      <c r="P165" s="38">
        <v>0</v>
      </c>
      <c r="Q165" s="38">
        <v>0</v>
      </c>
      <c r="R165" s="38">
        <v>103.23919107421585</v>
      </c>
      <c r="S165" s="38">
        <v>238.57006798019131</v>
      </c>
      <c r="T165" s="38">
        <v>0</v>
      </c>
      <c r="U165" s="38">
        <v>184.47006026128639</v>
      </c>
      <c r="V165" s="38" t="s">
        <v>1584</v>
      </c>
      <c r="W165" s="38" t="s">
        <v>1584</v>
      </c>
      <c r="X165" s="38" t="s">
        <v>1584</v>
      </c>
      <c r="Y165" s="38" t="s">
        <v>1584</v>
      </c>
      <c r="Z165" s="38">
        <v>0</v>
      </c>
      <c r="AA165" s="38">
        <v>0</v>
      </c>
      <c r="AB165" s="38">
        <v>0</v>
      </c>
      <c r="AC165" s="38">
        <v>0</v>
      </c>
      <c r="AD165" s="38">
        <v>0</v>
      </c>
      <c r="AE165" s="38">
        <v>0</v>
      </c>
      <c r="AF165" s="38">
        <v>0</v>
      </c>
      <c r="AG165" s="38">
        <v>0</v>
      </c>
      <c r="AH165" s="38">
        <v>103.23919107421585</v>
      </c>
      <c r="AI165" s="38">
        <v>238.57006798019131</v>
      </c>
      <c r="AJ165" s="38">
        <v>0</v>
      </c>
      <c r="AK165" s="38">
        <v>184.47006026128639</v>
      </c>
      <c r="AL165" s="38">
        <v>526.27931931569356</v>
      </c>
      <c r="AM165" s="38">
        <v>430.97949926236754</v>
      </c>
      <c r="AN165" s="38">
        <v>151.18495765658255</v>
      </c>
      <c r="AO165" s="38">
        <v>0</v>
      </c>
      <c r="AP165" s="38">
        <v>0</v>
      </c>
      <c r="AQ165" s="38">
        <v>582.16445691895012</v>
      </c>
      <c r="AR165" s="38">
        <v>103.23919107421585</v>
      </c>
      <c r="AS165" s="49">
        <v>5.6389870054333135</v>
      </c>
      <c r="AT165" s="38">
        <v>430.97949926236754</v>
      </c>
      <c r="AU165" s="38">
        <v>178.957959435937</v>
      </c>
      <c r="AV165" s="38">
        <v>0</v>
      </c>
      <c r="AW165" s="38">
        <v>0</v>
      </c>
      <c r="AX165" s="38">
        <v>609.93745869830457</v>
      </c>
      <c r="AY165" s="38">
        <v>238.57006798019131</v>
      </c>
      <c r="AZ165" s="49">
        <v>2.5566386590833692</v>
      </c>
      <c r="BA165" s="38">
        <v>430.97949926236754</v>
      </c>
      <c r="BB165" s="38">
        <v>330.14291709251955</v>
      </c>
      <c r="BC165" s="38">
        <v>0</v>
      </c>
      <c r="BD165" s="38">
        <v>0</v>
      </c>
      <c r="BE165" s="38">
        <v>761.12241635488715</v>
      </c>
      <c r="BF165" s="38">
        <v>341.80925905440716</v>
      </c>
      <c r="BG165" s="38">
        <v>1.0491407976212959</v>
      </c>
      <c r="BH165" s="49">
        <v>2.2267460467878557</v>
      </c>
      <c r="BI165" s="38">
        <v>9.2841824475249481</v>
      </c>
      <c r="BJ165" s="38">
        <v>21.454333520051257</v>
      </c>
      <c r="BK165" s="38">
        <v>0</v>
      </c>
      <c r="BL165" s="38">
        <v>16.589181663972205</v>
      </c>
      <c r="BM165" s="38">
        <v>47.327697631548411</v>
      </c>
      <c r="BN165" s="38">
        <v>430.97949926236754</v>
      </c>
      <c r="BO165" s="38">
        <v>0</v>
      </c>
      <c r="BP165" s="38">
        <v>330.14291709251955</v>
      </c>
      <c r="BQ165" s="38">
        <v>0</v>
      </c>
      <c r="BR165" s="38">
        <v>0</v>
      </c>
      <c r="BS165" s="38">
        <v>0</v>
      </c>
      <c r="BT165" s="38">
        <v>0</v>
      </c>
      <c r="BU165" s="38">
        <v>0</v>
      </c>
      <c r="BV165" s="38">
        <v>44.339550954382361</v>
      </c>
      <c r="BW165" s="38">
        <v>0</v>
      </c>
      <c r="BX165" s="38">
        <v>526.27931931569356</v>
      </c>
      <c r="BY165" s="38"/>
      <c r="BZ165" s="38">
        <v>0</v>
      </c>
      <c r="CA165" s="38">
        <v>0</v>
      </c>
      <c r="CB165" s="38">
        <v>805.46196730926954</v>
      </c>
      <c r="CC165" s="38">
        <v>526.27931931569356</v>
      </c>
      <c r="CD165" s="49">
        <v>1.5304837901603077</v>
      </c>
      <c r="CE165" s="38">
        <v>13.650917325825958</v>
      </c>
      <c r="CF165" s="38">
        <v>7.7731565916936844</v>
      </c>
      <c r="CG165" s="38">
        <v>0</v>
      </c>
      <c r="CH165" s="38">
        <v>7.7731565916936844</v>
      </c>
      <c r="CI165" s="38">
        <v>0.3886553502935961</v>
      </c>
      <c r="CJ165" s="38">
        <v>0</v>
      </c>
      <c r="CK165" s="38">
        <v>0.3886553502935961</v>
      </c>
      <c r="CL165" s="38"/>
      <c r="CM165" s="38">
        <v>0</v>
      </c>
      <c r="CN165" s="38"/>
      <c r="CO165" s="38">
        <v>0</v>
      </c>
      <c r="CP165" s="38">
        <v>0</v>
      </c>
      <c r="CQ165" s="38">
        <v>0</v>
      </c>
      <c r="CR165" s="38">
        <v>0</v>
      </c>
      <c r="CS165" s="38">
        <v>0</v>
      </c>
      <c r="CT165" s="38">
        <v>0</v>
      </c>
      <c r="CU165" s="38">
        <v>0</v>
      </c>
      <c r="CV165" s="38">
        <v>9999</v>
      </c>
      <c r="CW165" s="49">
        <v>9999</v>
      </c>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row>
    <row r="166" spans="1:131">
      <c r="A166" s="27" t="s">
        <v>844</v>
      </c>
      <c r="B166" s="27" t="s">
        <v>93</v>
      </c>
      <c r="C166" s="38">
        <v>45</v>
      </c>
      <c r="D166" s="38">
        <v>1283.8865724711759</v>
      </c>
      <c r="E166" s="38">
        <v>0</v>
      </c>
      <c r="F166" s="38">
        <v>1388.7391906273035</v>
      </c>
      <c r="G166" s="38">
        <v>0</v>
      </c>
      <c r="H166" s="38">
        <v>0</v>
      </c>
      <c r="I166" s="38" t="s">
        <v>1360</v>
      </c>
      <c r="J166" s="38"/>
      <c r="K166" s="38"/>
      <c r="L166" s="38">
        <v>1384.5185961013731</v>
      </c>
      <c r="M166" s="38">
        <v>0.72399088979316295</v>
      </c>
      <c r="N166" s="38">
        <v>0.7187654482197009</v>
      </c>
      <c r="O166" s="38">
        <v>0</v>
      </c>
      <c r="P166" s="38">
        <v>0</v>
      </c>
      <c r="Q166" s="38">
        <v>0</v>
      </c>
      <c r="R166" s="38">
        <v>181.64114957616175</v>
      </c>
      <c r="S166" s="38">
        <v>419.74506920761576</v>
      </c>
      <c r="T166" s="38">
        <v>0</v>
      </c>
      <c r="U166" s="38">
        <v>324.56040636889878</v>
      </c>
      <c r="V166" s="38" t="s">
        <v>1584</v>
      </c>
      <c r="W166" s="38" t="s">
        <v>1584</v>
      </c>
      <c r="X166" s="38" t="s">
        <v>1584</v>
      </c>
      <c r="Y166" s="38" t="s">
        <v>1584</v>
      </c>
      <c r="Z166" s="38">
        <v>0</v>
      </c>
      <c r="AA166" s="38">
        <v>0</v>
      </c>
      <c r="AB166" s="38">
        <v>0</v>
      </c>
      <c r="AC166" s="38">
        <v>0</v>
      </c>
      <c r="AD166" s="38">
        <v>0</v>
      </c>
      <c r="AE166" s="38">
        <v>0</v>
      </c>
      <c r="AF166" s="38">
        <v>0</v>
      </c>
      <c r="AG166" s="38">
        <v>0</v>
      </c>
      <c r="AH166" s="38">
        <v>181.64114957616175</v>
      </c>
      <c r="AI166" s="38">
        <v>419.74506920761576</v>
      </c>
      <c r="AJ166" s="38">
        <v>0</v>
      </c>
      <c r="AK166" s="38">
        <v>324.56040636889878</v>
      </c>
      <c r="AL166" s="38">
        <v>925.94662515267623</v>
      </c>
      <c r="AM166" s="38">
        <v>729.26331037978412</v>
      </c>
      <c r="AN166" s="38">
        <v>255.82108403988815</v>
      </c>
      <c r="AO166" s="38">
        <v>0</v>
      </c>
      <c r="AP166" s="38">
        <v>0</v>
      </c>
      <c r="AQ166" s="38">
        <v>985.08439441967221</v>
      </c>
      <c r="AR166" s="38">
        <v>181.64114957616175</v>
      </c>
      <c r="AS166" s="49">
        <v>5.4232446596944071</v>
      </c>
      <c r="AT166" s="38">
        <v>729.26331037978412</v>
      </c>
      <c r="AU166" s="38">
        <v>302.81596721057383</v>
      </c>
      <c r="AV166" s="38">
        <v>0</v>
      </c>
      <c r="AW166" s="38">
        <v>0</v>
      </c>
      <c r="AX166" s="38">
        <v>1032.0792775903578</v>
      </c>
      <c r="AY166" s="38">
        <v>419.74506920761576</v>
      </c>
      <c r="AZ166" s="49">
        <v>2.4588240656136624</v>
      </c>
      <c r="BA166" s="38">
        <v>729.26331037978412</v>
      </c>
      <c r="BB166" s="38">
        <v>558.63705125046204</v>
      </c>
      <c r="BC166" s="38">
        <v>0</v>
      </c>
      <c r="BD166" s="38">
        <v>0</v>
      </c>
      <c r="BE166" s="38">
        <v>1287.9003616302459</v>
      </c>
      <c r="BF166" s="38">
        <v>601.38621878377751</v>
      </c>
      <c r="BG166" s="38">
        <v>2.2719511179197243</v>
      </c>
      <c r="BH166" s="49">
        <v>2.1415528347737176</v>
      </c>
      <c r="BI166" s="38">
        <v>9.6535169373338299</v>
      </c>
      <c r="BJ166" s="38">
        <v>22.30780935054079</v>
      </c>
      <c r="BK166" s="38">
        <v>0</v>
      </c>
      <c r="BL166" s="38">
        <v>17.249116664263305</v>
      </c>
      <c r="BM166" s="38">
        <v>49.210442952137925</v>
      </c>
      <c r="BN166" s="38">
        <v>729.26331037978412</v>
      </c>
      <c r="BO166" s="38">
        <v>0</v>
      </c>
      <c r="BP166" s="38">
        <v>558.63705125046204</v>
      </c>
      <c r="BQ166" s="38">
        <v>0</v>
      </c>
      <c r="BR166" s="38">
        <v>0</v>
      </c>
      <c r="BS166" s="38">
        <v>0</v>
      </c>
      <c r="BT166" s="38">
        <v>0</v>
      </c>
      <c r="BU166" s="38">
        <v>0</v>
      </c>
      <c r="BV166" s="38">
        <v>155.33565318728952</v>
      </c>
      <c r="BW166" s="38">
        <v>0</v>
      </c>
      <c r="BX166" s="38">
        <v>925.94662515267623</v>
      </c>
      <c r="BY166" s="38"/>
      <c r="BZ166" s="38">
        <v>0</v>
      </c>
      <c r="CA166" s="38">
        <v>0</v>
      </c>
      <c r="CB166" s="38">
        <v>1443.2360148175358</v>
      </c>
      <c r="CC166" s="38">
        <v>925.94662515267623</v>
      </c>
      <c r="CD166" s="49">
        <v>1.5586600519004705</v>
      </c>
      <c r="CE166" s="38">
        <v>11.265585131284231</v>
      </c>
      <c r="CF166" s="38">
        <v>13.153010567465667</v>
      </c>
      <c r="CG166" s="38">
        <v>0</v>
      </c>
      <c r="CH166" s="38">
        <v>13.153010567465667</v>
      </c>
      <c r="CI166" s="38">
        <v>0.65764633314815213</v>
      </c>
      <c r="CJ166" s="38">
        <v>0</v>
      </c>
      <c r="CK166" s="38">
        <v>0.65764633314815213</v>
      </c>
      <c r="CL166" s="38"/>
      <c r="CM166" s="38">
        <v>0</v>
      </c>
      <c r="CN166" s="38"/>
      <c r="CO166" s="38">
        <v>0</v>
      </c>
      <c r="CP166" s="38">
        <v>0</v>
      </c>
      <c r="CQ166" s="38">
        <v>0</v>
      </c>
      <c r="CR166" s="38">
        <v>0</v>
      </c>
      <c r="CS166" s="38">
        <v>0</v>
      </c>
      <c r="CT166" s="38">
        <v>0</v>
      </c>
      <c r="CU166" s="38">
        <v>0</v>
      </c>
      <c r="CV166" s="38">
        <v>9999</v>
      </c>
      <c r="CW166" s="49">
        <v>9999</v>
      </c>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row>
    <row r="167" spans="1:131">
      <c r="A167" s="27" t="s">
        <v>845</v>
      </c>
      <c r="B167" s="27" t="s">
        <v>95</v>
      </c>
      <c r="C167" s="38">
        <v>45</v>
      </c>
      <c r="D167" s="38">
        <v>467.15615060917264</v>
      </c>
      <c r="E167" s="38">
        <v>0</v>
      </c>
      <c r="F167" s="38">
        <v>1388.7391906273035</v>
      </c>
      <c r="G167" s="38">
        <v>0</v>
      </c>
      <c r="H167" s="38">
        <v>0</v>
      </c>
      <c r="I167" s="38" t="s">
        <v>1360</v>
      </c>
      <c r="J167" s="38"/>
      <c r="K167" s="38"/>
      <c r="L167" s="38">
        <v>503.77221140074977</v>
      </c>
      <c r="M167" s="38">
        <v>0.2634319918938765</v>
      </c>
      <c r="N167" s="38">
        <v>0.26153065791077151</v>
      </c>
      <c r="O167" s="38">
        <v>0</v>
      </c>
      <c r="P167" s="38">
        <v>0</v>
      </c>
      <c r="Q167" s="38">
        <v>0</v>
      </c>
      <c r="R167" s="38">
        <v>181.64114957616175</v>
      </c>
      <c r="S167" s="38">
        <v>419.74506920761576</v>
      </c>
      <c r="T167" s="38">
        <v>0</v>
      </c>
      <c r="U167" s="38">
        <v>324.56040636889878</v>
      </c>
      <c r="V167" s="38" t="s">
        <v>1584</v>
      </c>
      <c r="W167" s="38" t="s">
        <v>1584</v>
      </c>
      <c r="X167" s="38" t="s">
        <v>1584</v>
      </c>
      <c r="Y167" s="38" t="s">
        <v>1584</v>
      </c>
      <c r="Z167" s="38">
        <v>0</v>
      </c>
      <c r="AA167" s="38">
        <v>0</v>
      </c>
      <c r="AB167" s="38">
        <v>0</v>
      </c>
      <c r="AC167" s="38">
        <v>0</v>
      </c>
      <c r="AD167" s="38">
        <v>0</v>
      </c>
      <c r="AE167" s="38">
        <v>0</v>
      </c>
      <c r="AF167" s="38">
        <v>0</v>
      </c>
      <c r="AG167" s="38">
        <v>0</v>
      </c>
      <c r="AH167" s="38">
        <v>181.64114957616175</v>
      </c>
      <c r="AI167" s="38">
        <v>419.74506920761576</v>
      </c>
      <c r="AJ167" s="38">
        <v>0</v>
      </c>
      <c r="AK167" s="38">
        <v>324.56040636889878</v>
      </c>
      <c r="AL167" s="38">
        <v>925.94662515267623</v>
      </c>
      <c r="AM167" s="38">
        <v>265.35041970397339</v>
      </c>
      <c r="AN167" s="38">
        <v>93.083295228109236</v>
      </c>
      <c r="AO167" s="38">
        <v>0</v>
      </c>
      <c r="AP167" s="38">
        <v>0</v>
      </c>
      <c r="AQ167" s="38">
        <v>358.43371493208264</v>
      </c>
      <c r="AR167" s="38">
        <v>181.64114957616175</v>
      </c>
      <c r="AS167" s="49">
        <v>1.9733067962212612</v>
      </c>
      <c r="AT167" s="38">
        <v>265.35041970397339</v>
      </c>
      <c r="AU167" s="38">
        <v>110.18289669686618</v>
      </c>
      <c r="AV167" s="38">
        <v>0</v>
      </c>
      <c r="AW167" s="38">
        <v>0</v>
      </c>
      <c r="AX167" s="38">
        <v>375.53331640083957</v>
      </c>
      <c r="AY167" s="38">
        <v>419.74506920761576</v>
      </c>
      <c r="AZ167" s="50">
        <v>0.89466998888101767</v>
      </c>
      <c r="BA167" s="38">
        <v>265.35041970397339</v>
      </c>
      <c r="BB167" s="38">
        <v>203.26619192497543</v>
      </c>
      <c r="BC167" s="38">
        <v>0</v>
      </c>
      <c r="BD167" s="38">
        <v>0</v>
      </c>
      <c r="BE167" s="38">
        <v>468.61661162894882</v>
      </c>
      <c r="BF167" s="38">
        <v>601.38621878377751</v>
      </c>
      <c r="BG167" s="38">
        <v>58.150028433878362</v>
      </c>
      <c r="BH167" s="50">
        <v>0.77922738664790603</v>
      </c>
      <c r="BI167" s="38">
        <v>26.530787953458699</v>
      </c>
      <c r="BJ167" s="38">
        <v>61.30861565037457</v>
      </c>
      <c r="BK167" s="38">
        <v>0</v>
      </c>
      <c r="BL167" s="38">
        <v>47.405796206168205</v>
      </c>
      <c r="BM167" s="38">
        <v>135.24519981000145</v>
      </c>
      <c r="BN167" s="38">
        <v>265.35041970397339</v>
      </c>
      <c r="BO167" s="38">
        <v>0</v>
      </c>
      <c r="BP167" s="38">
        <v>203.26619192497543</v>
      </c>
      <c r="BQ167" s="38">
        <v>0</v>
      </c>
      <c r="BR167" s="38">
        <v>0</v>
      </c>
      <c r="BS167" s="38">
        <v>0</v>
      </c>
      <c r="BT167" s="38">
        <v>0</v>
      </c>
      <c r="BU167" s="38">
        <v>0</v>
      </c>
      <c r="BV167" s="38">
        <v>52.290075218643111</v>
      </c>
      <c r="BW167" s="38">
        <v>0</v>
      </c>
      <c r="BX167" s="38">
        <v>925.94662515267623</v>
      </c>
      <c r="BY167" s="38"/>
      <c r="BZ167" s="38">
        <v>0</v>
      </c>
      <c r="CA167" s="38">
        <v>0</v>
      </c>
      <c r="CB167" s="38">
        <v>520.90668684759191</v>
      </c>
      <c r="CC167" s="38">
        <v>925.94662515267623</v>
      </c>
      <c r="CD167" s="50">
        <v>0.5625666455252768</v>
      </c>
      <c r="CE167" s="38">
        <v>97.918255174463908</v>
      </c>
      <c r="CF167" s="38">
        <v>4.7858665378767222</v>
      </c>
      <c r="CG167" s="38">
        <v>0</v>
      </c>
      <c r="CH167" s="38">
        <v>4.7858665378767222</v>
      </c>
      <c r="CI167" s="38">
        <v>0.23929180041535614</v>
      </c>
      <c r="CJ167" s="38">
        <v>0</v>
      </c>
      <c r="CK167" s="38">
        <v>0.23929180041535614</v>
      </c>
      <c r="CL167" s="38"/>
      <c r="CM167" s="38">
        <v>0</v>
      </c>
      <c r="CN167" s="38"/>
      <c r="CO167" s="38">
        <v>0</v>
      </c>
      <c r="CP167" s="38">
        <v>0</v>
      </c>
      <c r="CQ167" s="38">
        <v>0</v>
      </c>
      <c r="CR167" s="38">
        <v>0</v>
      </c>
      <c r="CS167" s="38">
        <v>0</v>
      </c>
      <c r="CT167" s="38">
        <v>0</v>
      </c>
      <c r="CU167" s="38">
        <v>0</v>
      </c>
      <c r="CV167" s="38">
        <v>9999</v>
      </c>
      <c r="CW167" s="49">
        <v>9999</v>
      </c>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row>
    <row r="168" spans="1:131">
      <c r="A168" s="27" t="s">
        <v>846</v>
      </c>
      <c r="B168" s="27" t="s">
        <v>99</v>
      </c>
      <c r="C168" s="38">
        <v>45</v>
      </c>
      <c r="D168" s="38">
        <v>1401.058988837091</v>
      </c>
      <c r="E168" s="38">
        <v>0</v>
      </c>
      <c r="F168" s="38">
        <v>1635.52300175959</v>
      </c>
      <c r="G168" s="38">
        <v>0</v>
      </c>
      <c r="H168" s="38">
        <v>0</v>
      </c>
      <c r="I168" s="38" t="s">
        <v>1360</v>
      </c>
      <c r="J168" s="38"/>
      <c r="K168" s="38"/>
      <c r="L168" s="38">
        <v>1510.8750771855962</v>
      </c>
      <c r="M168" s="38">
        <v>0.79006507718862173</v>
      </c>
      <c r="N168" s="38">
        <v>0.78436274176108434</v>
      </c>
      <c r="O168" s="38">
        <v>0</v>
      </c>
      <c r="P168" s="38">
        <v>0</v>
      </c>
      <c r="Q168" s="38">
        <v>0</v>
      </c>
      <c r="R168" s="38">
        <v>213.91941712516538</v>
      </c>
      <c r="S168" s="38">
        <v>494.335236016583</v>
      </c>
      <c r="T168" s="38">
        <v>0</v>
      </c>
      <c r="U168" s="38">
        <v>382.23592569386329</v>
      </c>
      <c r="V168" s="38" t="s">
        <v>1584</v>
      </c>
      <c r="W168" s="38" t="s">
        <v>1584</v>
      </c>
      <c r="X168" s="38" t="s">
        <v>1584</v>
      </c>
      <c r="Y168" s="38" t="s">
        <v>1584</v>
      </c>
      <c r="Z168" s="38">
        <v>0</v>
      </c>
      <c r="AA168" s="38">
        <v>0</v>
      </c>
      <c r="AB168" s="38">
        <v>0</v>
      </c>
      <c r="AC168" s="38">
        <v>0</v>
      </c>
      <c r="AD168" s="38">
        <v>0</v>
      </c>
      <c r="AE168" s="38">
        <v>0</v>
      </c>
      <c r="AF168" s="38">
        <v>0</v>
      </c>
      <c r="AG168" s="38">
        <v>0</v>
      </c>
      <c r="AH168" s="38">
        <v>213.91941712516538</v>
      </c>
      <c r="AI168" s="38">
        <v>494.335236016583</v>
      </c>
      <c r="AJ168" s="38">
        <v>0</v>
      </c>
      <c r="AK168" s="38">
        <v>382.23592569386329</v>
      </c>
      <c r="AL168" s="38">
        <v>1090.4905788356116</v>
      </c>
      <c r="AM168" s="38">
        <v>795.81867911437314</v>
      </c>
      <c r="AN168" s="38">
        <v>279.16829805164173</v>
      </c>
      <c r="AO168" s="38">
        <v>0</v>
      </c>
      <c r="AP168" s="38">
        <v>0</v>
      </c>
      <c r="AQ168" s="38">
        <v>1074.9869771660149</v>
      </c>
      <c r="AR168" s="38">
        <v>213.91941712516538</v>
      </c>
      <c r="AS168" s="49">
        <v>5.0251958967195307</v>
      </c>
      <c r="AT168" s="38">
        <v>795.81867911437314</v>
      </c>
      <c r="AU168" s="38">
        <v>330.4521146343692</v>
      </c>
      <c r="AV168" s="38">
        <v>0</v>
      </c>
      <c r="AW168" s="38">
        <v>0</v>
      </c>
      <c r="AX168" s="38">
        <v>1126.2707937487423</v>
      </c>
      <c r="AY168" s="38">
        <v>494.335236016583</v>
      </c>
      <c r="AZ168" s="49">
        <v>2.2783542658710259</v>
      </c>
      <c r="BA168" s="38">
        <v>795.81867911437314</v>
      </c>
      <c r="BB168" s="38">
        <v>609.62041268601092</v>
      </c>
      <c r="BC168" s="38">
        <v>0</v>
      </c>
      <c r="BD168" s="38">
        <v>0</v>
      </c>
      <c r="BE168" s="38">
        <v>1405.4390918003842</v>
      </c>
      <c r="BF168" s="38">
        <v>708.25465314174835</v>
      </c>
      <c r="BG168" s="38">
        <v>4.8036268283591985</v>
      </c>
      <c r="BH168" s="49">
        <v>1.9843697257278774</v>
      </c>
      <c r="BI168" s="38">
        <v>10.418177769316763</v>
      </c>
      <c r="BJ168" s="38">
        <v>24.07482422899734</v>
      </c>
      <c r="BK168" s="38">
        <v>0</v>
      </c>
      <c r="BL168" s="38">
        <v>18.615429479073484</v>
      </c>
      <c r="BM168" s="38">
        <v>53.10843147738759</v>
      </c>
      <c r="BN168" s="38">
        <v>795.81867911437314</v>
      </c>
      <c r="BO168" s="38">
        <v>0</v>
      </c>
      <c r="BP168" s="38">
        <v>609.62041268601092</v>
      </c>
      <c r="BQ168" s="38">
        <v>0</v>
      </c>
      <c r="BR168" s="38">
        <v>0</v>
      </c>
      <c r="BS168" s="38">
        <v>0</v>
      </c>
      <c r="BT168" s="38">
        <v>0</v>
      </c>
      <c r="BU168" s="38">
        <v>0</v>
      </c>
      <c r="BV168" s="38">
        <v>173.1357833879149</v>
      </c>
      <c r="BW168" s="38">
        <v>0</v>
      </c>
      <c r="BX168" s="38">
        <v>1090.4905788356116</v>
      </c>
      <c r="BY168" s="38"/>
      <c r="BZ168" s="38">
        <v>0</v>
      </c>
      <c r="CA168" s="38">
        <v>0</v>
      </c>
      <c r="CB168" s="38">
        <v>1578.5748751882991</v>
      </c>
      <c r="CC168" s="38">
        <v>1090.4905788356116</v>
      </c>
      <c r="CD168" s="49">
        <v>1.4475823137086128</v>
      </c>
      <c r="CE168" s="38">
        <v>14.987099106886324</v>
      </c>
      <c r="CF168" s="38">
        <v>14.353404795212736</v>
      </c>
      <c r="CG168" s="38">
        <v>0</v>
      </c>
      <c r="CH168" s="38">
        <v>14.353404795212736</v>
      </c>
      <c r="CI168" s="38">
        <v>0.71766566166315815</v>
      </c>
      <c r="CJ168" s="38">
        <v>0</v>
      </c>
      <c r="CK168" s="38">
        <v>0.71766566166315815</v>
      </c>
      <c r="CL168" s="38"/>
      <c r="CM168" s="38">
        <v>0</v>
      </c>
      <c r="CN168" s="38"/>
      <c r="CO168" s="38">
        <v>0</v>
      </c>
      <c r="CP168" s="38">
        <v>0</v>
      </c>
      <c r="CQ168" s="38">
        <v>0</v>
      </c>
      <c r="CR168" s="38">
        <v>0</v>
      </c>
      <c r="CS168" s="38">
        <v>0</v>
      </c>
      <c r="CT168" s="38">
        <v>0</v>
      </c>
      <c r="CU168" s="38">
        <v>0</v>
      </c>
      <c r="CV168" s="38">
        <v>9999</v>
      </c>
      <c r="CW168" s="49">
        <v>9999</v>
      </c>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row>
    <row r="169" spans="1:131">
      <c r="A169" s="27" t="s">
        <v>847</v>
      </c>
      <c r="B169" s="27" t="s">
        <v>101</v>
      </c>
      <c r="C169" s="38">
        <v>45</v>
      </c>
      <c r="D169" s="38">
        <v>547.172908804023</v>
      </c>
      <c r="E169" s="38">
        <v>0</v>
      </c>
      <c r="F169" s="38">
        <v>1635.52300175959</v>
      </c>
      <c r="G169" s="38">
        <v>0</v>
      </c>
      <c r="H169" s="38">
        <v>0</v>
      </c>
      <c r="I169" s="38" t="s">
        <v>1360</v>
      </c>
      <c r="J169" s="38"/>
      <c r="K169" s="38"/>
      <c r="L169" s="38">
        <v>590.06074505780259</v>
      </c>
      <c r="M169" s="38">
        <v>0.30855389378615189</v>
      </c>
      <c r="N169" s="38">
        <v>0.30632689014981557</v>
      </c>
      <c r="O169" s="38">
        <v>0</v>
      </c>
      <c r="P169" s="38">
        <v>0</v>
      </c>
      <c r="Q169" s="38">
        <v>0</v>
      </c>
      <c r="R169" s="38">
        <v>213.91941712516538</v>
      </c>
      <c r="S169" s="38">
        <v>494.335236016583</v>
      </c>
      <c r="T169" s="38">
        <v>0</v>
      </c>
      <c r="U169" s="38">
        <v>382.23592569386329</v>
      </c>
      <c r="V169" s="38" t="s">
        <v>1584</v>
      </c>
      <c r="W169" s="38" t="s">
        <v>1584</v>
      </c>
      <c r="X169" s="38" t="s">
        <v>1584</v>
      </c>
      <c r="Y169" s="38" t="s">
        <v>1584</v>
      </c>
      <c r="Z169" s="38">
        <v>0</v>
      </c>
      <c r="AA169" s="38">
        <v>0</v>
      </c>
      <c r="AB169" s="38">
        <v>0</v>
      </c>
      <c r="AC169" s="38">
        <v>0</v>
      </c>
      <c r="AD169" s="38">
        <v>0</v>
      </c>
      <c r="AE169" s="38">
        <v>0</v>
      </c>
      <c r="AF169" s="38">
        <v>0</v>
      </c>
      <c r="AG169" s="38">
        <v>0</v>
      </c>
      <c r="AH169" s="38">
        <v>213.91941712516538</v>
      </c>
      <c r="AI169" s="38">
        <v>494.335236016583</v>
      </c>
      <c r="AJ169" s="38">
        <v>0</v>
      </c>
      <c r="AK169" s="38">
        <v>382.23592569386329</v>
      </c>
      <c r="AL169" s="38">
        <v>1090.4905788356116</v>
      </c>
      <c r="AM169" s="38">
        <v>310.8009191625971</v>
      </c>
      <c r="AN169" s="38">
        <v>109.0270509006718</v>
      </c>
      <c r="AO169" s="38">
        <v>0</v>
      </c>
      <c r="AP169" s="38">
        <v>0</v>
      </c>
      <c r="AQ169" s="38">
        <v>419.82797006326888</v>
      </c>
      <c r="AR169" s="38">
        <v>213.91941712516538</v>
      </c>
      <c r="AS169" s="49">
        <v>1.9625519539333136</v>
      </c>
      <c r="AT169" s="38">
        <v>310.8009191625971</v>
      </c>
      <c r="AU169" s="38">
        <v>129.05555456662685</v>
      </c>
      <c r="AV169" s="38">
        <v>0</v>
      </c>
      <c r="AW169" s="38">
        <v>0</v>
      </c>
      <c r="AX169" s="38">
        <v>439.85647372922392</v>
      </c>
      <c r="AY169" s="38">
        <v>494.335236016583</v>
      </c>
      <c r="AZ169" s="50">
        <v>0.88979389224535976</v>
      </c>
      <c r="BA169" s="38">
        <v>310.8009191625971</v>
      </c>
      <c r="BB169" s="38">
        <v>238.08260546729866</v>
      </c>
      <c r="BC169" s="38">
        <v>0</v>
      </c>
      <c r="BD169" s="38">
        <v>0</v>
      </c>
      <c r="BE169" s="38">
        <v>548.88352462989576</v>
      </c>
      <c r="BF169" s="38">
        <v>708.25465314174835</v>
      </c>
      <c r="BG169" s="38">
        <v>58.631390942796045</v>
      </c>
      <c r="BH169" s="50">
        <v>0.77498047092963263</v>
      </c>
      <c r="BI169" s="38">
        <v>26.67617744984506</v>
      </c>
      <c r="BJ169" s="38">
        <v>61.644588662905889</v>
      </c>
      <c r="BK169" s="38">
        <v>0</v>
      </c>
      <c r="BL169" s="38">
        <v>47.665581360242804</v>
      </c>
      <c r="BM169" s="38">
        <v>135.98634747299374</v>
      </c>
      <c r="BN169" s="38">
        <v>310.8009191625971</v>
      </c>
      <c r="BO169" s="38">
        <v>0</v>
      </c>
      <c r="BP169" s="38">
        <v>238.08260546729866</v>
      </c>
      <c r="BQ169" s="38">
        <v>0</v>
      </c>
      <c r="BR169" s="38">
        <v>0</v>
      </c>
      <c r="BS169" s="38">
        <v>0</v>
      </c>
      <c r="BT169" s="38">
        <v>0</v>
      </c>
      <c r="BU169" s="38">
        <v>0</v>
      </c>
      <c r="BV169" s="38">
        <v>63.35092435563547</v>
      </c>
      <c r="BW169" s="38">
        <v>0</v>
      </c>
      <c r="BX169" s="38">
        <v>1090.4905788356116</v>
      </c>
      <c r="BY169" s="38"/>
      <c r="BZ169" s="38">
        <v>0</v>
      </c>
      <c r="CA169" s="38">
        <v>0</v>
      </c>
      <c r="CB169" s="38">
        <v>612.23444898553123</v>
      </c>
      <c r="CC169" s="38">
        <v>1090.4905788356116</v>
      </c>
      <c r="CD169" s="50">
        <v>0.56143029648110687</v>
      </c>
      <c r="CE169" s="38">
        <v>98.396985838818821</v>
      </c>
      <c r="CF169" s="38">
        <v>5.6056128368706206</v>
      </c>
      <c r="CG169" s="38">
        <v>0</v>
      </c>
      <c r="CH169" s="38">
        <v>5.6056128368706206</v>
      </c>
      <c r="CI169" s="38">
        <v>0.28027885390245627</v>
      </c>
      <c r="CJ169" s="38">
        <v>0</v>
      </c>
      <c r="CK169" s="38">
        <v>0.28027885390245627</v>
      </c>
      <c r="CL169" s="38"/>
      <c r="CM169" s="38">
        <v>0</v>
      </c>
      <c r="CN169" s="38"/>
      <c r="CO169" s="38">
        <v>0</v>
      </c>
      <c r="CP169" s="38">
        <v>0</v>
      </c>
      <c r="CQ169" s="38">
        <v>0</v>
      </c>
      <c r="CR169" s="38">
        <v>0</v>
      </c>
      <c r="CS169" s="38">
        <v>0</v>
      </c>
      <c r="CT169" s="38">
        <v>0</v>
      </c>
      <c r="CU169" s="38">
        <v>0</v>
      </c>
      <c r="CV169" s="38">
        <v>9999</v>
      </c>
      <c r="CW169" s="49">
        <v>9999</v>
      </c>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row>
    <row r="170" spans="1:131">
      <c r="A170" s="27" t="s">
        <v>891</v>
      </c>
      <c r="B170" s="27" t="s">
        <v>1362</v>
      </c>
      <c r="C170" s="38">
        <v>15</v>
      </c>
      <c r="D170" s="38">
        <v>500.15900572500374</v>
      </c>
      <c r="E170" s="38">
        <v>0</v>
      </c>
      <c r="F170" s="38">
        <v>555.67373558374129</v>
      </c>
      <c r="G170" s="38">
        <v>0</v>
      </c>
      <c r="H170" s="38">
        <v>0</v>
      </c>
      <c r="I170" s="38" t="s">
        <v>1360</v>
      </c>
      <c r="J170" s="38"/>
      <c r="K170" s="38"/>
      <c r="L170" s="38">
        <v>539.3618558538102</v>
      </c>
      <c r="M170" s="38">
        <v>0.28204248829858275</v>
      </c>
      <c r="N170" s="38">
        <v>0.28000683209818616</v>
      </c>
      <c r="O170" s="38">
        <v>0</v>
      </c>
      <c r="P170" s="38">
        <v>0</v>
      </c>
      <c r="Q170" s="38">
        <v>0</v>
      </c>
      <c r="R170" s="38">
        <v>110.80876584420187</v>
      </c>
      <c r="S170" s="38">
        <v>256.0622039478057</v>
      </c>
      <c r="T170" s="38">
        <v>0</v>
      </c>
      <c r="U170" s="38">
        <v>323.76735024785125</v>
      </c>
      <c r="V170" s="38" t="s">
        <v>1584</v>
      </c>
      <c r="W170" s="38" t="s">
        <v>1584</v>
      </c>
      <c r="X170" s="38" t="s">
        <v>1584</v>
      </c>
      <c r="Y170" s="38" t="s">
        <v>1584</v>
      </c>
      <c r="Z170" s="38">
        <v>0</v>
      </c>
      <c r="AA170" s="38">
        <v>0</v>
      </c>
      <c r="AB170" s="38">
        <v>0</v>
      </c>
      <c r="AC170" s="38">
        <v>0</v>
      </c>
      <c r="AD170" s="38">
        <v>0</v>
      </c>
      <c r="AE170" s="38">
        <v>0</v>
      </c>
      <c r="AF170" s="38">
        <v>0</v>
      </c>
      <c r="AG170" s="38">
        <v>0</v>
      </c>
      <c r="AH170" s="38">
        <v>110.80876584420187</v>
      </c>
      <c r="AI170" s="38">
        <v>256.0622039478057</v>
      </c>
      <c r="AJ170" s="38">
        <v>0</v>
      </c>
      <c r="AK170" s="38">
        <v>323.76735024785125</v>
      </c>
      <c r="AL170" s="38">
        <v>690.63832003985885</v>
      </c>
      <c r="AM170" s="38">
        <v>284.09644594165803</v>
      </c>
      <c r="AN170" s="38">
        <v>99.659285937236206</v>
      </c>
      <c r="AO170" s="38">
        <v>0</v>
      </c>
      <c r="AP170" s="38">
        <v>0</v>
      </c>
      <c r="AQ170" s="38">
        <v>383.75573187889427</v>
      </c>
      <c r="AR170" s="38">
        <v>110.80876584420187</v>
      </c>
      <c r="AS170" s="49">
        <v>3.4632253951682697</v>
      </c>
      <c r="AT170" s="38">
        <v>284.09644594165803</v>
      </c>
      <c r="AU170" s="38">
        <v>117.96691103808261</v>
      </c>
      <c r="AV170" s="38">
        <v>0</v>
      </c>
      <c r="AW170" s="38">
        <v>0</v>
      </c>
      <c r="AX170" s="38">
        <v>402.06335697974066</v>
      </c>
      <c r="AY170" s="38">
        <v>256.0622039478057</v>
      </c>
      <c r="AZ170" s="49">
        <v>1.5701784596905799</v>
      </c>
      <c r="BA170" s="38">
        <v>284.09644594165803</v>
      </c>
      <c r="BB170" s="38">
        <v>217.62619697531881</v>
      </c>
      <c r="BC170" s="38">
        <v>0</v>
      </c>
      <c r="BD170" s="38">
        <v>0</v>
      </c>
      <c r="BE170" s="38">
        <v>501.72264291697684</v>
      </c>
      <c r="BF170" s="38">
        <v>366.8709697920076</v>
      </c>
      <c r="BG170" s="38">
        <v>20.360526967311216</v>
      </c>
      <c r="BH170" s="49">
        <v>1.3675724825036484</v>
      </c>
      <c r="BI170" s="38">
        <v>15.116943947889228</v>
      </c>
      <c r="BJ170" s="38">
        <v>34.932958189376897</v>
      </c>
      <c r="BK170" s="38">
        <v>0</v>
      </c>
      <c r="BL170" s="38">
        <v>44.169546051391997</v>
      </c>
      <c r="BM170" s="38">
        <v>94.219448188658106</v>
      </c>
      <c r="BN170" s="38">
        <v>284.09644594165803</v>
      </c>
      <c r="BO170" s="38">
        <v>0</v>
      </c>
      <c r="BP170" s="38">
        <v>217.62619697531881</v>
      </c>
      <c r="BQ170" s="38">
        <v>0</v>
      </c>
      <c r="BR170" s="38">
        <v>0</v>
      </c>
      <c r="BS170" s="38">
        <v>0</v>
      </c>
      <c r="BT170" s="38">
        <v>0</v>
      </c>
      <c r="BU170" s="38">
        <v>0</v>
      </c>
      <c r="BV170" s="38">
        <v>61.860578195073934</v>
      </c>
      <c r="BW170" s="38">
        <v>0</v>
      </c>
      <c r="BX170" s="38">
        <v>690.63832003985885</v>
      </c>
      <c r="BY170" s="38"/>
      <c r="BZ170" s="38">
        <v>0</v>
      </c>
      <c r="CA170" s="38">
        <v>0</v>
      </c>
      <c r="CB170" s="38">
        <v>563.58322111205086</v>
      </c>
      <c r="CC170" s="38">
        <v>690.63832003985885</v>
      </c>
      <c r="CD170" s="50">
        <v>0.81603236420406666</v>
      </c>
      <c r="CE170" s="38">
        <v>56.090822874235648</v>
      </c>
      <c r="CF170" s="38">
        <v>5.1239703169820281</v>
      </c>
      <c r="CG170" s="38">
        <v>0</v>
      </c>
      <c r="CH170" s="38">
        <v>5.1239703169820281</v>
      </c>
      <c r="CI170" s="38">
        <v>0.25619688153055981</v>
      </c>
      <c r="CJ170" s="38">
        <v>0</v>
      </c>
      <c r="CK170" s="38">
        <v>0.25619688153055981</v>
      </c>
      <c r="CL170" s="38"/>
      <c r="CM170" s="38">
        <v>0</v>
      </c>
      <c r="CN170" s="38"/>
      <c r="CO170" s="38">
        <v>0</v>
      </c>
      <c r="CP170" s="38">
        <v>0</v>
      </c>
      <c r="CQ170" s="38">
        <v>0</v>
      </c>
      <c r="CR170" s="38">
        <v>0</v>
      </c>
      <c r="CS170" s="38">
        <v>0</v>
      </c>
      <c r="CT170" s="38">
        <v>0</v>
      </c>
      <c r="CU170" s="38">
        <v>0</v>
      </c>
      <c r="CV170" s="38">
        <v>9999</v>
      </c>
      <c r="CW170" s="49">
        <v>9999</v>
      </c>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row>
    <row r="171" spans="1:131">
      <c r="A171" s="27" t="s">
        <v>848</v>
      </c>
      <c r="B171" s="27" t="s">
        <v>68</v>
      </c>
      <c r="C171" s="38">
        <v>45</v>
      </c>
      <c r="D171" s="38">
        <v>1222.3337993624796</v>
      </c>
      <c r="E171" s="38">
        <v>0</v>
      </c>
      <c r="F171" s="38">
        <v>580.85648064073723</v>
      </c>
      <c r="G171" s="38">
        <v>0</v>
      </c>
      <c r="H171" s="38">
        <v>0</v>
      </c>
      <c r="I171" s="38" t="s">
        <v>1360</v>
      </c>
      <c r="J171" s="38"/>
      <c r="K171" s="38"/>
      <c r="L171" s="38">
        <v>1318.1412689777094</v>
      </c>
      <c r="M171" s="38">
        <v>0.68928093337822249</v>
      </c>
      <c r="N171" s="38">
        <v>0.68430601270470648</v>
      </c>
      <c r="O171" s="38">
        <v>0</v>
      </c>
      <c r="P171" s="38">
        <v>0</v>
      </c>
      <c r="Q171" s="38">
        <v>0</v>
      </c>
      <c r="R171" s="38">
        <v>75.973544632731631</v>
      </c>
      <c r="S171" s="38">
        <v>175.56330613533481</v>
      </c>
      <c r="T171" s="38">
        <v>0</v>
      </c>
      <c r="U171" s="38">
        <v>135.75120272483196</v>
      </c>
      <c r="V171" s="38" t="s">
        <v>1584</v>
      </c>
      <c r="W171" s="38" t="s">
        <v>1584</v>
      </c>
      <c r="X171" s="38" t="s">
        <v>1584</v>
      </c>
      <c r="Y171" s="38" t="s">
        <v>1584</v>
      </c>
      <c r="Z171" s="38">
        <v>0</v>
      </c>
      <c r="AA171" s="38">
        <v>0</v>
      </c>
      <c r="AB171" s="38">
        <v>0</v>
      </c>
      <c r="AC171" s="38">
        <v>0</v>
      </c>
      <c r="AD171" s="38">
        <v>0</v>
      </c>
      <c r="AE171" s="38">
        <v>0</v>
      </c>
      <c r="AF171" s="38">
        <v>0</v>
      </c>
      <c r="AG171" s="38">
        <v>0</v>
      </c>
      <c r="AH171" s="38">
        <v>75.973544632731631</v>
      </c>
      <c r="AI171" s="38">
        <v>175.56330613533481</v>
      </c>
      <c r="AJ171" s="38">
        <v>0</v>
      </c>
      <c r="AK171" s="38">
        <v>135.75120272483196</v>
      </c>
      <c r="AL171" s="38">
        <v>387.28805349289837</v>
      </c>
      <c r="AM171" s="38">
        <v>694.30058077205535</v>
      </c>
      <c r="AN171" s="38">
        <v>243.55637352732327</v>
      </c>
      <c r="AO171" s="38">
        <v>0</v>
      </c>
      <c r="AP171" s="38">
        <v>0</v>
      </c>
      <c r="AQ171" s="38">
        <v>937.85695429937869</v>
      </c>
      <c r="AR171" s="38">
        <v>75.973544632731631</v>
      </c>
      <c r="AS171" s="49">
        <v>12.344520172556519</v>
      </c>
      <c r="AT171" s="38">
        <v>694.30058077205535</v>
      </c>
      <c r="AU171" s="38">
        <v>288.29820300689744</v>
      </c>
      <c r="AV171" s="38">
        <v>0</v>
      </c>
      <c r="AW171" s="38">
        <v>0</v>
      </c>
      <c r="AX171" s="38">
        <v>982.59878377895279</v>
      </c>
      <c r="AY171" s="38">
        <v>175.56330613533481</v>
      </c>
      <c r="AZ171" s="49">
        <v>5.5968345858188968</v>
      </c>
      <c r="BA171" s="38">
        <v>694.30058077205535</v>
      </c>
      <c r="BB171" s="38">
        <v>531.85457653422077</v>
      </c>
      <c r="BC171" s="38">
        <v>0</v>
      </c>
      <c r="BD171" s="38">
        <v>0</v>
      </c>
      <c r="BE171" s="38">
        <v>1226.1551573062761</v>
      </c>
      <c r="BF171" s="38">
        <v>251.53685076806644</v>
      </c>
      <c r="BG171" s="38">
        <v>-15.647995700803008</v>
      </c>
      <c r="BH171" s="49">
        <v>4.8746541652335145</v>
      </c>
      <c r="BI171" s="38">
        <v>4.241022206278509</v>
      </c>
      <c r="BJ171" s="38">
        <v>9.800357262873387</v>
      </c>
      <c r="BK171" s="38">
        <v>0</v>
      </c>
      <c r="BL171" s="38">
        <v>7.5779518787516107</v>
      </c>
      <c r="BM171" s="38">
        <v>21.619331347903504</v>
      </c>
      <c r="BN171" s="38">
        <v>694.30058077205535</v>
      </c>
      <c r="BO171" s="38">
        <v>0</v>
      </c>
      <c r="BP171" s="38">
        <v>531.85457653422077</v>
      </c>
      <c r="BQ171" s="38">
        <v>0</v>
      </c>
      <c r="BR171" s="38">
        <v>0</v>
      </c>
      <c r="BS171" s="38">
        <v>0</v>
      </c>
      <c r="BT171" s="38">
        <v>0</v>
      </c>
      <c r="BU171" s="38">
        <v>0</v>
      </c>
      <c r="BV171" s="38">
        <v>57.19433138317838</v>
      </c>
      <c r="BW171" s="38">
        <v>0</v>
      </c>
      <c r="BX171" s="38">
        <v>387.28805349289837</v>
      </c>
      <c r="BY171" s="38"/>
      <c r="BZ171" s="38">
        <v>0</v>
      </c>
      <c r="CA171" s="38">
        <v>0</v>
      </c>
      <c r="CB171" s="38">
        <v>1283.3494886894546</v>
      </c>
      <c r="CC171" s="38">
        <v>387.28805349289837</v>
      </c>
      <c r="CD171" s="49">
        <v>3.3136820955748565</v>
      </c>
      <c r="CE171" s="38">
        <v>-11.262766112973818</v>
      </c>
      <c r="CF171" s="38">
        <v>12.522421937196565</v>
      </c>
      <c r="CG171" s="38">
        <v>0</v>
      </c>
      <c r="CH171" s="38">
        <v>12.522421937196565</v>
      </c>
      <c r="CI171" s="38">
        <v>0.6261171027644119</v>
      </c>
      <c r="CJ171" s="38">
        <v>0</v>
      </c>
      <c r="CK171" s="38">
        <v>0.6261171027644119</v>
      </c>
      <c r="CL171" s="38"/>
      <c r="CM171" s="38">
        <v>0</v>
      </c>
      <c r="CN171" s="38"/>
      <c r="CO171" s="38">
        <v>0</v>
      </c>
      <c r="CP171" s="38">
        <v>0</v>
      </c>
      <c r="CQ171" s="38">
        <v>0</v>
      </c>
      <c r="CR171" s="38">
        <v>0</v>
      </c>
      <c r="CS171" s="38">
        <v>0</v>
      </c>
      <c r="CT171" s="38">
        <v>0</v>
      </c>
      <c r="CU171" s="38">
        <v>0</v>
      </c>
      <c r="CV171" s="38">
        <v>9999</v>
      </c>
      <c r="CW171" s="49">
        <v>9999</v>
      </c>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row>
    <row r="172" spans="1:131">
      <c r="A172" s="27" t="s">
        <v>849</v>
      </c>
      <c r="B172" s="27" t="s">
        <v>71</v>
      </c>
      <c r="C172" s="38">
        <v>45</v>
      </c>
      <c r="D172" s="38">
        <v>1239.8590754179866</v>
      </c>
      <c r="E172" s="38">
        <v>0</v>
      </c>
      <c r="F172" s="38">
        <v>663.32648072192512</v>
      </c>
      <c r="G172" s="38">
        <v>0</v>
      </c>
      <c r="H172" s="38">
        <v>0</v>
      </c>
      <c r="I172" s="38" t="s">
        <v>1360</v>
      </c>
      <c r="J172" s="38"/>
      <c r="K172" s="38"/>
      <c r="L172" s="38">
        <v>1337.0401897398115</v>
      </c>
      <c r="M172" s="38">
        <v>0.69916353553121158</v>
      </c>
      <c r="N172" s="38">
        <v>0.69411728666714467</v>
      </c>
      <c r="O172" s="38">
        <v>0</v>
      </c>
      <c r="P172" s="38">
        <v>0</v>
      </c>
      <c r="Q172" s="38">
        <v>0</v>
      </c>
      <c r="R172" s="38">
        <v>86.760268102043781</v>
      </c>
      <c r="S172" s="38">
        <v>200.489783421537</v>
      </c>
      <c r="T172" s="38">
        <v>0</v>
      </c>
      <c r="U172" s="38">
        <v>155.02515777718619</v>
      </c>
      <c r="V172" s="38" t="s">
        <v>1584</v>
      </c>
      <c r="W172" s="38" t="s">
        <v>1584</v>
      </c>
      <c r="X172" s="38" t="s">
        <v>1584</v>
      </c>
      <c r="Y172" s="38" t="s">
        <v>1584</v>
      </c>
      <c r="Z172" s="38">
        <v>0</v>
      </c>
      <c r="AA172" s="38">
        <v>0</v>
      </c>
      <c r="AB172" s="38">
        <v>0</v>
      </c>
      <c r="AC172" s="38">
        <v>0</v>
      </c>
      <c r="AD172" s="38">
        <v>0</v>
      </c>
      <c r="AE172" s="38">
        <v>0</v>
      </c>
      <c r="AF172" s="38">
        <v>0</v>
      </c>
      <c r="AG172" s="38">
        <v>0</v>
      </c>
      <c r="AH172" s="38">
        <v>86.760268102043781</v>
      </c>
      <c r="AI172" s="38">
        <v>200.489783421537</v>
      </c>
      <c r="AJ172" s="38">
        <v>0</v>
      </c>
      <c r="AK172" s="38">
        <v>155.02515777718619</v>
      </c>
      <c r="AL172" s="38">
        <v>442.27520930076696</v>
      </c>
      <c r="AM172" s="38">
        <v>704.25515238733374</v>
      </c>
      <c r="AN172" s="38">
        <v>247.04837602563495</v>
      </c>
      <c r="AO172" s="38">
        <v>0</v>
      </c>
      <c r="AP172" s="38">
        <v>0</v>
      </c>
      <c r="AQ172" s="38">
        <v>951.30352841296872</v>
      </c>
      <c r="AR172" s="38">
        <v>86.760268102043781</v>
      </c>
      <c r="AS172" s="49">
        <v>10.964737076354876</v>
      </c>
      <c r="AT172" s="38">
        <v>704.25515238733374</v>
      </c>
      <c r="AU172" s="38">
        <v>292.4316938721895</v>
      </c>
      <c r="AV172" s="38">
        <v>0</v>
      </c>
      <c r="AW172" s="38">
        <v>0</v>
      </c>
      <c r="AX172" s="38">
        <v>996.68684625952324</v>
      </c>
      <c r="AY172" s="38">
        <v>200.489783421537</v>
      </c>
      <c r="AZ172" s="49">
        <v>4.9712600275693513</v>
      </c>
      <c r="BA172" s="38">
        <v>704.25515238733374</v>
      </c>
      <c r="BB172" s="38">
        <v>539.48006989782448</v>
      </c>
      <c r="BC172" s="38">
        <v>0</v>
      </c>
      <c r="BD172" s="38">
        <v>0</v>
      </c>
      <c r="BE172" s="38">
        <v>1243.7352222851582</v>
      </c>
      <c r="BF172" s="38">
        <v>287.25005152358079</v>
      </c>
      <c r="BG172" s="38">
        <v>-13.881053374327326</v>
      </c>
      <c r="BH172" s="49">
        <v>4.3297998231448815</v>
      </c>
      <c r="BI172" s="38">
        <v>4.7747049302772337</v>
      </c>
      <c r="BJ172" s="38">
        <v>11.033616865350341</v>
      </c>
      <c r="BK172" s="38">
        <v>0</v>
      </c>
      <c r="BL172" s="38">
        <v>8.5315479233552569</v>
      </c>
      <c r="BM172" s="38">
        <v>24.339869718982829</v>
      </c>
      <c r="BN172" s="38">
        <v>704.25515238733374</v>
      </c>
      <c r="BO172" s="38">
        <v>0</v>
      </c>
      <c r="BP172" s="38">
        <v>539.48006989782448</v>
      </c>
      <c r="BQ172" s="38">
        <v>0</v>
      </c>
      <c r="BR172" s="38">
        <v>0</v>
      </c>
      <c r="BS172" s="38">
        <v>0</v>
      </c>
      <c r="BT172" s="38">
        <v>0</v>
      </c>
      <c r="BU172" s="38">
        <v>0</v>
      </c>
      <c r="BV172" s="38">
        <v>59.107956017513324</v>
      </c>
      <c r="BW172" s="38">
        <v>0</v>
      </c>
      <c r="BX172" s="38">
        <v>442.27520930076696</v>
      </c>
      <c r="BY172" s="38"/>
      <c r="BZ172" s="38">
        <v>0</v>
      </c>
      <c r="CA172" s="38">
        <v>0</v>
      </c>
      <c r="CB172" s="38">
        <v>1302.8431783026715</v>
      </c>
      <c r="CC172" s="38">
        <v>442.27520930076696</v>
      </c>
      <c r="CD172" s="49">
        <v>2.9457748273127371</v>
      </c>
      <c r="CE172" s="38">
        <v>-8.6024120542975915</v>
      </c>
      <c r="CF172" s="38">
        <v>12.701962829747643</v>
      </c>
      <c r="CG172" s="38">
        <v>0</v>
      </c>
      <c r="CH172" s="38">
        <v>12.701962829747643</v>
      </c>
      <c r="CI172" s="38">
        <v>0.63509409012641038</v>
      </c>
      <c r="CJ172" s="38">
        <v>0</v>
      </c>
      <c r="CK172" s="38">
        <v>0.63509409012641038</v>
      </c>
      <c r="CL172" s="38"/>
      <c r="CM172" s="38">
        <v>0</v>
      </c>
      <c r="CN172" s="38"/>
      <c r="CO172" s="38">
        <v>0</v>
      </c>
      <c r="CP172" s="38">
        <v>0</v>
      </c>
      <c r="CQ172" s="38">
        <v>0</v>
      </c>
      <c r="CR172" s="38">
        <v>0</v>
      </c>
      <c r="CS172" s="38">
        <v>0</v>
      </c>
      <c r="CT172" s="38">
        <v>0</v>
      </c>
      <c r="CU172" s="38">
        <v>0</v>
      </c>
      <c r="CV172" s="38">
        <v>9999</v>
      </c>
      <c r="CW172" s="49">
        <v>9999</v>
      </c>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row>
    <row r="173" spans="1:131">
      <c r="A173" s="27" t="s">
        <v>850</v>
      </c>
      <c r="B173" s="27" t="s">
        <v>73</v>
      </c>
      <c r="C173" s="38">
        <v>45</v>
      </c>
      <c r="D173" s="38">
        <v>212.07672619462036</v>
      </c>
      <c r="E173" s="38">
        <v>0</v>
      </c>
      <c r="F173" s="38">
        <v>498.386480559549</v>
      </c>
      <c r="G173" s="38">
        <v>0</v>
      </c>
      <c r="H173" s="38">
        <v>0</v>
      </c>
      <c r="I173" s="38" t="s">
        <v>1360</v>
      </c>
      <c r="J173" s="38"/>
      <c r="K173" s="38"/>
      <c r="L173" s="38">
        <v>228.69946419923565</v>
      </c>
      <c r="M173" s="38">
        <v>0.11959126374110536</v>
      </c>
      <c r="N173" s="38">
        <v>0.11872810762935627</v>
      </c>
      <c r="O173" s="38">
        <v>0</v>
      </c>
      <c r="P173" s="38">
        <v>0</v>
      </c>
      <c r="Q173" s="38">
        <v>0</v>
      </c>
      <c r="R173" s="38">
        <v>65.186821163419424</v>
      </c>
      <c r="S173" s="38">
        <v>150.63682884913254</v>
      </c>
      <c r="T173" s="38">
        <v>0</v>
      </c>
      <c r="U173" s="38">
        <v>116.4772476724776</v>
      </c>
      <c r="V173" s="38" t="s">
        <v>1584</v>
      </c>
      <c r="W173" s="38" t="s">
        <v>1584</v>
      </c>
      <c r="X173" s="38" t="s">
        <v>1584</v>
      </c>
      <c r="Y173" s="38" t="s">
        <v>1584</v>
      </c>
      <c r="Z173" s="38">
        <v>0</v>
      </c>
      <c r="AA173" s="38">
        <v>0</v>
      </c>
      <c r="AB173" s="38">
        <v>0</v>
      </c>
      <c r="AC173" s="38">
        <v>0</v>
      </c>
      <c r="AD173" s="38">
        <v>0</v>
      </c>
      <c r="AE173" s="38">
        <v>0</v>
      </c>
      <c r="AF173" s="38">
        <v>0</v>
      </c>
      <c r="AG173" s="38">
        <v>0</v>
      </c>
      <c r="AH173" s="38">
        <v>65.186821163419424</v>
      </c>
      <c r="AI173" s="38">
        <v>150.63682884913254</v>
      </c>
      <c r="AJ173" s="38">
        <v>0</v>
      </c>
      <c r="AK173" s="38">
        <v>116.4772476724776</v>
      </c>
      <c r="AL173" s="38">
        <v>332.30089768502955</v>
      </c>
      <c r="AM173" s="38">
        <v>120.46218000513288</v>
      </c>
      <c r="AN173" s="38">
        <v>42.257391858466796</v>
      </c>
      <c r="AO173" s="38">
        <v>0</v>
      </c>
      <c r="AP173" s="38">
        <v>0</v>
      </c>
      <c r="AQ173" s="38">
        <v>162.71957186359967</v>
      </c>
      <c r="AR173" s="38">
        <v>65.186821163419424</v>
      </c>
      <c r="AS173" s="49">
        <v>2.4962035110696918</v>
      </c>
      <c r="AT173" s="38">
        <v>120.46218000513288</v>
      </c>
      <c r="AU173" s="38">
        <v>50.020165599105383</v>
      </c>
      <c r="AV173" s="38">
        <v>0</v>
      </c>
      <c r="AW173" s="38">
        <v>0</v>
      </c>
      <c r="AX173" s="38">
        <v>170.48234560423828</v>
      </c>
      <c r="AY173" s="38">
        <v>150.63682884913254</v>
      </c>
      <c r="AZ173" s="49">
        <v>1.1317441219834867</v>
      </c>
      <c r="BA173" s="38">
        <v>120.46218000513288</v>
      </c>
      <c r="BB173" s="38">
        <v>92.277557457572186</v>
      </c>
      <c r="BC173" s="38">
        <v>0</v>
      </c>
      <c r="BD173" s="38">
        <v>0</v>
      </c>
      <c r="BE173" s="38">
        <v>212.73973746270508</v>
      </c>
      <c r="BF173" s="38">
        <v>215.82365001255198</v>
      </c>
      <c r="BG173" s="38">
        <v>39.749711562676126</v>
      </c>
      <c r="BH173" s="50">
        <v>0.98571096101067912</v>
      </c>
      <c r="BI173" s="38">
        <v>20.973203485011652</v>
      </c>
      <c r="BJ173" s="38">
        <v>48.465883247619388</v>
      </c>
      <c r="BK173" s="38">
        <v>0</v>
      </c>
      <c r="BL173" s="38">
        <v>37.475381882555176</v>
      </c>
      <c r="BM173" s="38">
        <v>106.91446861518621</v>
      </c>
      <c r="BN173" s="38">
        <v>120.46218000513288</v>
      </c>
      <c r="BO173" s="38">
        <v>0</v>
      </c>
      <c r="BP173" s="38">
        <v>92.277557457572186</v>
      </c>
      <c r="BQ173" s="38">
        <v>0</v>
      </c>
      <c r="BR173" s="38">
        <v>0</v>
      </c>
      <c r="BS173" s="38">
        <v>0</v>
      </c>
      <c r="BT173" s="38">
        <v>0</v>
      </c>
      <c r="BU173" s="38">
        <v>0</v>
      </c>
      <c r="BV173" s="38">
        <v>22.281126860818951</v>
      </c>
      <c r="BW173" s="38">
        <v>0</v>
      </c>
      <c r="BX173" s="38">
        <v>332.30089768502955</v>
      </c>
      <c r="BY173" s="38"/>
      <c r="BZ173" s="38">
        <v>0</v>
      </c>
      <c r="CA173" s="38">
        <v>0</v>
      </c>
      <c r="CB173" s="38">
        <v>235.02086432352399</v>
      </c>
      <c r="CC173" s="38">
        <v>332.30089768502955</v>
      </c>
      <c r="CD173" s="50">
        <v>0.70725317313553526</v>
      </c>
      <c r="CE173" s="38">
        <v>70.056365177966896</v>
      </c>
      <c r="CF173" s="38">
        <v>2.1726587695222523</v>
      </c>
      <c r="CG173" s="38">
        <v>0</v>
      </c>
      <c r="CH173" s="38">
        <v>2.1726587695222523</v>
      </c>
      <c r="CI173" s="38">
        <v>0.1086322454946369</v>
      </c>
      <c r="CJ173" s="38">
        <v>0</v>
      </c>
      <c r="CK173" s="38">
        <v>0.1086322454946369</v>
      </c>
      <c r="CL173" s="38"/>
      <c r="CM173" s="38">
        <v>0</v>
      </c>
      <c r="CN173" s="38"/>
      <c r="CO173" s="38">
        <v>0</v>
      </c>
      <c r="CP173" s="38">
        <v>0</v>
      </c>
      <c r="CQ173" s="38">
        <v>0</v>
      </c>
      <c r="CR173" s="38">
        <v>0</v>
      </c>
      <c r="CS173" s="38">
        <v>0</v>
      </c>
      <c r="CT173" s="38">
        <v>0</v>
      </c>
      <c r="CU173" s="38">
        <v>0</v>
      </c>
      <c r="CV173" s="38">
        <v>9999</v>
      </c>
      <c r="CW173" s="49">
        <v>9999</v>
      </c>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row>
    <row r="174" spans="1:131">
      <c r="A174" s="27" t="s">
        <v>851</v>
      </c>
      <c r="B174" s="27" t="s">
        <v>75</v>
      </c>
      <c r="C174" s="38">
        <v>45</v>
      </c>
      <c r="D174" s="38">
        <v>230.14222000388187</v>
      </c>
      <c r="E174" s="38">
        <v>0</v>
      </c>
      <c r="F174" s="38">
        <v>580.85648064073723</v>
      </c>
      <c r="G174" s="38">
        <v>0</v>
      </c>
      <c r="H174" s="38">
        <v>0</v>
      </c>
      <c r="I174" s="38" t="s">
        <v>1360</v>
      </c>
      <c r="J174" s="38"/>
      <c r="K174" s="38"/>
      <c r="L174" s="38">
        <v>248.18094540090803</v>
      </c>
      <c r="M174" s="38">
        <v>0.12977849773666439</v>
      </c>
      <c r="N174" s="38">
        <v>0.128841814738335</v>
      </c>
      <c r="O174" s="38">
        <v>0</v>
      </c>
      <c r="P174" s="38">
        <v>0</v>
      </c>
      <c r="Q174" s="38">
        <v>0</v>
      </c>
      <c r="R174" s="38">
        <v>75.973544632731631</v>
      </c>
      <c r="S174" s="38">
        <v>175.56330613533481</v>
      </c>
      <c r="T174" s="38">
        <v>0</v>
      </c>
      <c r="U174" s="38">
        <v>135.75120272483196</v>
      </c>
      <c r="V174" s="38" t="s">
        <v>1584</v>
      </c>
      <c r="W174" s="38" t="s">
        <v>1584</v>
      </c>
      <c r="X174" s="38" t="s">
        <v>1584</v>
      </c>
      <c r="Y174" s="38" t="s">
        <v>1584</v>
      </c>
      <c r="Z174" s="38">
        <v>0</v>
      </c>
      <c r="AA174" s="38">
        <v>0</v>
      </c>
      <c r="AB174" s="38">
        <v>0</v>
      </c>
      <c r="AC174" s="38">
        <v>0</v>
      </c>
      <c r="AD174" s="38">
        <v>0</v>
      </c>
      <c r="AE174" s="38">
        <v>0</v>
      </c>
      <c r="AF174" s="38">
        <v>0</v>
      </c>
      <c r="AG174" s="38">
        <v>0</v>
      </c>
      <c r="AH174" s="38">
        <v>75.973544632731631</v>
      </c>
      <c r="AI174" s="38">
        <v>175.56330613533481</v>
      </c>
      <c r="AJ174" s="38">
        <v>0</v>
      </c>
      <c r="AK174" s="38">
        <v>135.75120272483196</v>
      </c>
      <c r="AL174" s="38">
        <v>387.28805349289837</v>
      </c>
      <c r="AM174" s="38">
        <v>130.72360192625317</v>
      </c>
      <c r="AN174" s="38">
        <v>45.857035556823895</v>
      </c>
      <c r="AO174" s="38">
        <v>0</v>
      </c>
      <c r="AP174" s="38">
        <v>0</v>
      </c>
      <c r="AQ174" s="38">
        <v>176.58063748307706</v>
      </c>
      <c r="AR174" s="38">
        <v>75.973544632731631</v>
      </c>
      <c r="AS174" s="49">
        <v>2.3242385008715383</v>
      </c>
      <c r="AT174" s="38">
        <v>130.72360192625317</v>
      </c>
      <c r="AU174" s="38">
        <v>54.281071584327037</v>
      </c>
      <c r="AV174" s="38">
        <v>0</v>
      </c>
      <c r="AW174" s="38">
        <v>0</v>
      </c>
      <c r="AX174" s="38">
        <v>185.0046735105802</v>
      </c>
      <c r="AY174" s="38">
        <v>175.56330613533481</v>
      </c>
      <c r="AZ174" s="49">
        <v>1.0537775665261591</v>
      </c>
      <c r="BA174" s="38">
        <v>130.72360192625317</v>
      </c>
      <c r="BB174" s="38">
        <v>100.13810714115093</v>
      </c>
      <c r="BC174" s="38">
        <v>0</v>
      </c>
      <c r="BD174" s="38">
        <v>0</v>
      </c>
      <c r="BE174" s="38">
        <v>230.86170906740409</v>
      </c>
      <c r="BF174" s="38">
        <v>251.53685076806644</v>
      </c>
      <c r="BG174" s="38">
        <v>44.887348364428568</v>
      </c>
      <c r="BH174" s="50">
        <v>0.91780472070978503</v>
      </c>
      <c r="BI174" s="38">
        <v>22.524962114702884</v>
      </c>
      <c r="BJ174" s="38">
        <v>52.051761419680581</v>
      </c>
      <c r="BK174" s="38">
        <v>0</v>
      </c>
      <c r="BL174" s="38">
        <v>40.24809837666578</v>
      </c>
      <c r="BM174" s="38">
        <v>114.82482191104923</v>
      </c>
      <c r="BN174" s="38">
        <v>130.72360192625317</v>
      </c>
      <c r="BO174" s="38">
        <v>0</v>
      </c>
      <c r="BP174" s="38">
        <v>100.13810714115093</v>
      </c>
      <c r="BQ174" s="38">
        <v>0</v>
      </c>
      <c r="BR174" s="38">
        <v>0</v>
      </c>
      <c r="BS174" s="38">
        <v>0</v>
      </c>
      <c r="BT174" s="38">
        <v>0</v>
      </c>
      <c r="BU174" s="38">
        <v>0</v>
      </c>
      <c r="BV174" s="38">
        <v>24.460231565469609</v>
      </c>
      <c r="BW174" s="38">
        <v>0</v>
      </c>
      <c r="BX174" s="38">
        <v>387.28805349289837</v>
      </c>
      <c r="BY174" s="38"/>
      <c r="BZ174" s="38">
        <v>0</v>
      </c>
      <c r="CA174" s="38">
        <v>0</v>
      </c>
      <c r="CB174" s="38">
        <v>255.32194063287369</v>
      </c>
      <c r="CC174" s="38">
        <v>387.28805349289837</v>
      </c>
      <c r="CD174" s="50">
        <v>0.65925591644296744</v>
      </c>
      <c r="CE174" s="38">
        <v>77.883372456650704</v>
      </c>
      <c r="CF174" s="38">
        <v>2.3577340215535498</v>
      </c>
      <c r="CG174" s="38">
        <v>0</v>
      </c>
      <c r="CH174" s="38">
        <v>2.3577340215535498</v>
      </c>
      <c r="CI174" s="38">
        <v>0.1178859490654313</v>
      </c>
      <c r="CJ174" s="38">
        <v>0</v>
      </c>
      <c r="CK174" s="38">
        <v>0.1178859490654313</v>
      </c>
      <c r="CL174" s="38"/>
      <c r="CM174" s="38">
        <v>0</v>
      </c>
      <c r="CN174" s="38"/>
      <c r="CO174" s="38">
        <v>0</v>
      </c>
      <c r="CP174" s="38">
        <v>0</v>
      </c>
      <c r="CQ174" s="38">
        <v>0</v>
      </c>
      <c r="CR174" s="38">
        <v>0</v>
      </c>
      <c r="CS174" s="38">
        <v>0</v>
      </c>
      <c r="CT174" s="38">
        <v>0</v>
      </c>
      <c r="CU174" s="38">
        <v>0</v>
      </c>
      <c r="CV174" s="38">
        <v>9999</v>
      </c>
      <c r="CW174" s="49">
        <v>9999</v>
      </c>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row>
    <row r="175" spans="1:131">
      <c r="A175" s="27" t="s">
        <v>852</v>
      </c>
      <c r="B175" s="27" t="s">
        <v>77</v>
      </c>
      <c r="C175" s="38">
        <v>45</v>
      </c>
      <c r="D175" s="38">
        <v>110.75686088517382</v>
      </c>
      <c r="E175" s="38">
        <v>0</v>
      </c>
      <c r="F175" s="38">
        <v>438.40829868232129</v>
      </c>
      <c r="G175" s="38">
        <v>0</v>
      </c>
      <c r="H175" s="38">
        <v>0</v>
      </c>
      <c r="I175" s="38" t="s">
        <v>1360</v>
      </c>
      <c r="J175" s="38"/>
      <c r="K175" s="38"/>
      <c r="L175" s="38">
        <v>119.43806939750407</v>
      </c>
      <c r="M175" s="38">
        <v>6.2456419423885523E-2</v>
      </c>
      <c r="N175" s="38">
        <v>6.2005636996664108E-2</v>
      </c>
      <c r="O175" s="38">
        <v>0</v>
      </c>
      <c r="P175" s="38">
        <v>0</v>
      </c>
      <c r="Q175" s="38">
        <v>0</v>
      </c>
      <c r="R175" s="38">
        <v>57.341931367555993</v>
      </c>
      <c r="S175" s="38">
        <v>132.50848173189453</v>
      </c>
      <c r="T175" s="38">
        <v>0</v>
      </c>
      <c r="U175" s="38">
        <v>102.45982581621995</v>
      </c>
      <c r="V175" s="38" t="s">
        <v>1584</v>
      </c>
      <c r="W175" s="38" t="s">
        <v>1584</v>
      </c>
      <c r="X175" s="38" t="s">
        <v>1584</v>
      </c>
      <c r="Y175" s="38" t="s">
        <v>1584</v>
      </c>
      <c r="Z175" s="38">
        <v>0</v>
      </c>
      <c r="AA175" s="38">
        <v>0</v>
      </c>
      <c r="AB175" s="38">
        <v>0</v>
      </c>
      <c r="AC175" s="38">
        <v>0</v>
      </c>
      <c r="AD175" s="38">
        <v>0</v>
      </c>
      <c r="AE175" s="38">
        <v>0</v>
      </c>
      <c r="AF175" s="38">
        <v>0</v>
      </c>
      <c r="AG175" s="38">
        <v>0</v>
      </c>
      <c r="AH175" s="38">
        <v>57.341931367555993</v>
      </c>
      <c r="AI175" s="38">
        <v>132.50848173189453</v>
      </c>
      <c r="AJ175" s="38">
        <v>0</v>
      </c>
      <c r="AK175" s="38">
        <v>102.45982581621995</v>
      </c>
      <c r="AL175" s="38">
        <v>292.31023891567048</v>
      </c>
      <c r="AM175" s="38">
        <v>62.911254582973243</v>
      </c>
      <c r="AN175" s="38">
        <v>22.068881180028352</v>
      </c>
      <c r="AO175" s="38">
        <v>0</v>
      </c>
      <c r="AP175" s="38">
        <v>0</v>
      </c>
      <c r="AQ175" s="38">
        <v>84.980135763001599</v>
      </c>
      <c r="AR175" s="38">
        <v>57.341931367555993</v>
      </c>
      <c r="AS175" s="49">
        <v>1.4819894226842047</v>
      </c>
      <c r="AT175" s="38">
        <v>62.911254582973243</v>
      </c>
      <c r="AU175" s="38">
        <v>26.122982102380277</v>
      </c>
      <c r="AV175" s="38">
        <v>0</v>
      </c>
      <c r="AW175" s="38">
        <v>0</v>
      </c>
      <c r="AX175" s="38">
        <v>89.03423668535352</v>
      </c>
      <c r="AY175" s="38">
        <v>132.50848173189453</v>
      </c>
      <c r="AZ175" s="50">
        <v>0.67191349203968087</v>
      </c>
      <c r="BA175" s="38">
        <v>62.911254582973243</v>
      </c>
      <c r="BB175" s="38">
        <v>48.191863282408633</v>
      </c>
      <c r="BC175" s="38">
        <v>0</v>
      </c>
      <c r="BD175" s="38">
        <v>0</v>
      </c>
      <c r="BE175" s="38">
        <v>111.10311786538188</v>
      </c>
      <c r="BF175" s="38">
        <v>189.85041309945052</v>
      </c>
      <c r="BG175" s="38">
        <v>87.271035919566117</v>
      </c>
      <c r="BH175" s="50">
        <v>0.58521399059154033</v>
      </c>
      <c r="BI175" s="38">
        <v>35.326422291760927</v>
      </c>
      <c r="BJ175" s="38">
        <v>81.633988797760097</v>
      </c>
      <c r="BK175" s="38">
        <v>0</v>
      </c>
      <c r="BL175" s="38">
        <v>63.122029349223929</v>
      </c>
      <c r="BM175" s="38">
        <v>180.08244043874495</v>
      </c>
      <c r="BN175" s="38">
        <v>62.911254582973243</v>
      </c>
      <c r="BO175" s="38">
        <v>0</v>
      </c>
      <c r="BP175" s="38">
        <v>48.191863282408633</v>
      </c>
      <c r="BQ175" s="38">
        <v>0</v>
      </c>
      <c r="BR175" s="38">
        <v>0</v>
      </c>
      <c r="BS175" s="38">
        <v>0</v>
      </c>
      <c r="BT175" s="38">
        <v>0</v>
      </c>
      <c r="BU175" s="38">
        <v>0</v>
      </c>
      <c r="BV175" s="38">
        <v>11.973316389309359</v>
      </c>
      <c r="BW175" s="38">
        <v>0</v>
      </c>
      <c r="BX175" s="38">
        <v>292.31023891567048</v>
      </c>
      <c r="BY175" s="38"/>
      <c r="BZ175" s="38">
        <v>0</v>
      </c>
      <c r="CA175" s="38">
        <v>0</v>
      </c>
      <c r="CB175" s="38">
        <v>123.07643425469124</v>
      </c>
      <c r="CC175" s="38">
        <v>292.31023891567048</v>
      </c>
      <c r="CD175" s="50">
        <v>0.42104729109471239</v>
      </c>
      <c r="CE175" s="38">
        <v>143.01671046325723</v>
      </c>
      <c r="CF175" s="38">
        <v>1.1346688974541179</v>
      </c>
      <c r="CG175" s="38">
        <v>0</v>
      </c>
      <c r="CH175" s="38">
        <v>1.1346688974541179</v>
      </c>
      <c r="CI175" s="38">
        <v>5.6733082963814435E-2</v>
      </c>
      <c r="CJ175" s="38">
        <v>0</v>
      </c>
      <c r="CK175" s="38">
        <v>5.6733082963814435E-2</v>
      </c>
      <c r="CL175" s="38"/>
      <c r="CM175" s="38">
        <v>0</v>
      </c>
      <c r="CN175" s="38"/>
      <c r="CO175" s="38">
        <v>0</v>
      </c>
      <c r="CP175" s="38">
        <v>0</v>
      </c>
      <c r="CQ175" s="38">
        <v>0</v>
      </c>
      <c r="CR175" s="38">
        <v>0</v>
      </c>
      <c r="CS175" s="38">
        <v>0</v>
      </c>
      <c r="CT175" s="38">
        <v>0</v>
      </c>
      <c r="CU175" s="38">
        <v>0</v>
      </c>
      <c r="CV175" s="38">
        <v>9999</v>
      </c>
      <c r="CW175" s="49">
        <v>9999</v>
      </c>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row>
    <row r="176" spans="1:131">
      <c r="A176" s="27" t="s">
        <v>853</v>
      </c>
      <c r="B176" s="27" t="s">
        <v>79</v>
      </c>
      <c r="C176" s="38">
        <v>45</v>
      </c>
      <c r="D176" s="38">
        <v>133.47703339327217</v>
      </c>
      <c r="E176" s="38">
        <v>0</v>
      </c>
      <c r="F176" s="38">
        <v>520.87829876350941</v>
      </c>
      <c r="G176" s="38">
        <v>0</v>
      </c>
      <c r="H176" s="38">
        <v>0</v>
      </c>
      <c r="I176" s="38" t="s">
        <v>1360</v>
      </c>
      <c r="J176" s="38"/>
      <c r="K176" s="38"/>
      <c r="L176" s="38">
        <v>143.93906661842448</v>
      </c>
      <c r="M176" s="38">
        <v>7.5268453028015742E-2</v>
      </c>
      <c r="N176" s="38">
        <v>7.4725199087713912E-2</v>
      </c>
      <c r="O176" s="38">
        <v>0</v>
      </c>
      <c r="P176" s="38">
        <v>0</v>
      </c>
      <c r="Q176" s="38">
        <v>0</v>
      </c>
      <c r="R176" s="38">
        <v>68.128654836868193</v>
      </c>
      <c r="S176" s="38">
        <v>157.43495901809678</v>
      </c>
      <c r="T176" s="38">
        <v>0</v>
      </c>
      <c r="U176" s="38">
        <v>121.73378086857424</v>
      </c>
      <c r="V176" s="38" t="s">
        <v>1584</v>
      </c>
      <c r="W176" s="38" t="s">
        <v>1584</v>
      </c>
      <c r="X176" s="38" t="s">
        <v>1584</v>
      </c>
      <c r="Y176" s="38" t="s">
        <v>1584</v>
      </c>
      <c r="Z176" s="38">
        <v>0</v>
      </c>
      <c r="AA176" s="38">
        <v>0</v>
      </c>
      <c r="AB176" s="38">
        <v>0</v>
      </c>
      <c r="AC176" s="38">
        <v>0</v>
      </c>
      <c r="AD176" s="38">
        <v>0</v>
      </c>
      <c r="AE176" s="38">
        <v>0</v>
      </c>
      <c r="AF176" s="38">
        <v>0</v>
      </c>
      <c r="AG176" s="38">
        <v>0</v>
      </c>
      <c r="AH176" s="38">
        <v>68.128654836868193</v>
      </c>
      <c r="AI176" s="38">
        <v>157.43495901809678</v>
      </c>
      <c r="AJ176" s="38">
        <v>0</v>
      </c>
      <c r="AK176" s="38">
        <v>121.73378086857424</v>
      </c>
      <c r="AL176" s="38">
        <v>347.29739472353918</v>
      </c>
      <c r="AM176" s="38">
        <v>75.816591059671765</v>
      </c>
      <c r="AN176" s="38">
        <v>26.595993843421731</v>
      </c>
      <c r="AO176" s="38">
        <v>0</v>
      </c>
      <c r="AP176" s="38">
        <v>0</v>
      </c>
      <c r="AQ176" s="38">
        <v>102.41258490309349</v>
      </c>
      <c r="AR176" s="38">
        <v>68.128654836868193</v>
      </c>
      <c r="AS176" s="49">
        <v>1.5032233521756304</v>
      </c>
      <c r="AT176" s="38">
        <v>75.816591059671765</v>
      </c>
      <c r="AU176" s="38">
        <v>31.481735095636122</v>
      </c>
      <c r="AV176" s="38">
        <v>0</v>
      </c>
      <c r="AW176" s="38">
        <v>0</v>
      </c>
      <c r="AX176" s="38">
        <v>107.29832615530789</v>
      </c>
      <c r="AY176" s="38">
        <v>157.43495901809678</v>
      </c>
      <c r="AZ176" s="50">
        <v>0.68154066177242245</v>
      </c>
      <c r="BA176" s="38">
        <v>75.816591059671765</v>
      </c>
      <c r="BB176" s="38">
        <v>58.077728939057849</v>
      </c>
      <c r="BC176" s="38">
        <v>0</v>
      </c>
      <c r="BD176" s="38">
        <v>0</v>
      </c>
      <c r="BE176" s="38">
        <v>133.89431999872963</v>
      </c>
      <c r="BF176" s="38">
        <v>225.56361385496496</v>
      </c>
      <c r="BG176" s="38">
        <v>85.618900115017524</v>
      </c>
      <c r="BH176" s="50">
        <v>0.59359893074253667</v>
      </c>
      <c r="BI176" s="38">
        <v>34.827415434901049</v>
      </c>
      <c r="BJ176" s="38">
        <v>80.480859850071397</v>
      </c>
      <c r="BK176" s="38">
        <v>0</v>
      </c>
      <c r="BL176" s="38">
        <v>62.230392907695027</v>
      </c>
      <c r="BM176" s="38">
        <v>177.53866819266744</v>
      </c>
      <c r="BN176" s="38">
        <v>75.816591059671765</v>
      </c>
      <c r="BO176" s="38">
        <v>0</v>
      </c>
      <c r="BP176" s="38">
        <v>58.077728939057849</v>
      </c>
      <c r="BQ176" s="38">
        <v>0</v>
      </c>
      <c r="BR176" s="38">
        <v>0</v>
      </c>
      <c r="BS176" s="38">
        <v>0</v>
      </c>
      <c r="BT176" s="38">
        <v>0</v>
      </c>
      <c r="BU176" s="38">
        <v>0</v>
      </c>
      <c r="BV176" s="38">
        <v>14.593721595346414</v>
      </c>
      <c r="BW176" s="38">
        <v>0</v>
      </c>
      <c r="BX176" s="38">
        <v>347.29739472353918</v>
      </c>
      <c r="BY176" s="38"/>
      <c r="BZ176" s="38">
        <v>0</v>
      </c>
      <c r="CA176" s="38">
        <v>0</v>
      </c>
      <c r="CB176" s="38">
        <v>148.48804159407601</v>
      </c>
      <c r="CC176" s="38">
        <v>347.29739472353918</v>
      </c>
      <c r="CD176" s="50">
        <v>0.42755299593386714</v>
      </c>
      <c r="CE176" s="38">
        <v>140.38897245775451</v>
      </c>
      <c r="CF176" s="38">
        <v>1.3674298558606441</v>
      </c>
      <c r="CG176" s="38">
        <v>0</v>
      </c>
      <c r="CH176" s="38">
        <v>1.3674298558606441</v>
      </c>
      <c r="CI176" s="38">
        <v>6.8371056643751635E-2</v>
      </c>
      <c r="CJ176" s="38">
        <v>0</v>
      </c>
      <c r="CK176" s="38">
        <v>6.8371056643751635E-2</v>
      </c>
      <c r="CL176" s="38"/>
      <c r="CM176" s="38">
        <v>0</v>
      </c>
      <c r="CN176" s="38"/>
      <c r="CO176" s="38">
        <v>0</v>
      </c>
      <c r="CP176" s="38">
        <v>0</v>
      </c>
      <c r="CQ176" s="38">
        <v>0</v>
      </c>
      <c r="CR176" s="38">
        <v>0</v>
      </c>
      <c r="CS176" s="38">
        <v>0</v>
      </c>
      <c r="CT176" s="38">
        <v>0</v>
      </c>
      <c r="CU176" s="38">
        <v>0</v>
      </c>
      <c r="CV176" s="38">
        <v>9999</v>
      </c>
      <c r="CW176" s="49">
        <v>9999</v>
      </c>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row>
    <row r="177" spans="1:131">
      <c r="A177" s="27" t="s">
        <v>854</v>
      </c>
      <c r="B177" s="27" t="s">
        <v>85</v>
      </c>
      <c r="C177" s="38">
        <v>45</v>
      </c>
      <c r="D177" s="38">
        <v>1167.7505950587251</v>
      </c>
      <c r="E177" s="38">
        <v>0</v>
      </c>
      <c r="F177" s="38">
        <v>1034.2534120831954</v>
      </c>
      <c r="G177" s="38">
        <v>0</v>
      </c>
      <c r="H177" s="38">
        <v>0</v>
      </c>
      <c r="I177" s="38" t="s">
        <v>1360</v>
      </c>
      <c r="J177" s="38"/>
      <c r="K177" s="38"/>
      <c r="L177" s="38">
        <v>1259.2797908582743</v>
      </c>
      <c r="M177" s="38">
        <v>0.65850115617751936</v>
      </c>
      <c r="N177" s="38">
        <v>0.65374839013284469</v>
      </c>
      <c r="O177" s="38">
        <v>0</v>
      </c>
      <c r="P177" s="38">
        <v>0</v>
      </c>
      <c r="Q177" s="38">
        <v>0</v>
      </c>
      <c r="R177" s="38">
        <v>135.27592509216956</v>
      </c>
      <c r="S177" s="38">
        <v>312.60208753594492</v>
      </c>
      <c r="T177" s="38">
        <v>0</v>
      </c>
      <c r="U177" s="38">
        <v>241.71400215364704</v>
      </c>
      <c r="V177" s="38" t="s">
        <v>1584</v>
      </c>
      <c r="W177" s="38" t="s">
        <v>1584</v>
      </c>
      <c r="X177" s="38" t="s">
        <v>1584</v>
      </c>
      <c r="Y177" s="38" t="s">
        <v>1584</v>
      </c>
      <c r="Z177" s="38">
        <v>0</v>
      </c>
      <c r="AA177" s="38">
        <v>0</v>
      </c>
      <c r="AB177" s="38">
        <v>0</v>
      </c>
      <c r="AC177" s="38">
        <v>0</v>
      </c>
      <c r="AD177" s="38">
        <v>0</v>
      </c>
      <c r="AE177" s="38">
        <v>0</v>
      </c>
      <c r="AF177" s="38">
        <v>0</v>
      </c>
      <c r="AG177" s="38">
        <v>0</v>
      </c>
      <c r="AH177" s="38">
        <v>135.27592509216956</v>
      </c>
      <c r="AI177" s="38">
        <v>312.60208753594492</v>
      </c>
      <c r="AJ177" s="38">
        <v>0</v>
      </c>
      <c r="AK177" s="38">
        <v>241.71400215364704</v>
      </c>
      <c r="AL177" s="38">
        <v>689.59201478176146</v>
      </c>
      <c r="AM177" s="38">
        <v>663.29665167489543</v>
      </c>
      <c r="AN177" s="38">
        <v>232.68038588576653</v>
      </c>
      <c r="AO177" s="38">
        <v>0</v>
      </c>
      <c r="AP177" s="38">
        <v>0</v>
      </c>
      <c r="AQ177" s="38">
        <v>895.97703756066198</v>
      </c>
      <c r="AR177" s="38">
        <v>135.27592509216956</v>
      </c>
      <c r="AS177" s="49">
        <v>6.6233295906140919</v>
      </c>
      <c r="AT177" s="38">
        <v>663.29665167489543</v>
      </c>
      <c r="AU177" s="38">
        <v>275.42427305148095</v>
      </c>
      <c r="AV177" s="38">
        <v>0</v>
      </c>
      <c r="AW177" s="38">
        <v>0</v>
      </c>
      <c r="AX177" s="38">
        <v>938.72092472637632</v>
      </c>
      <c r="AY177" s="38">
        <v>312.60208753594492</v>
      </c>
      <c r="AZ177" s="49">
        <v>3.0029259629254281</v>
      </c>
      <c r="BA177" s="38">
        <v>663.29665167489543</v>
      </c>
      <c r="BB177" s="38">
        <v>508.10465893724745</v>
      </c>
      <c r="BC177" s="38">
        <v>0</v>
      </c>
      <c r="BD177" s="38">
        <v>0</v>
      </c>
      <c r="BE177" s="38">
        <v>1171.4013106121429</v>
      </c>
      <c r="BF177" s="38">
        <v>447.87801262811445</v>
      </c>
      <c r="BG177" s="38">
        <v>-3.5191401339243864</v>
      </c>
      <c r="BH177" s="49">
        <v>2.6154472369350041</v>
      </c>
      <c r="BI177" s="38">
        <v>7.904390603157526</v>
      </c>
      <c r="BJ177" s="38">
        <v>18.265844432872996</v>
      </c>
      <c r="BK177" s="38">
        <v>0</v>
      </c>
      <c r="BL177" s="38">
        <v>14.123739209124661</v>
      </c>
      <c r="BM177" s="38">
        <v>40.293974245155177</v>
      </c>
      <c r="BN177" s="38">
        <v>663.29665167489543</v>
      </c>
      <c r="BO177" s="38">
        <v>0</v>
      </c>
      <c r="BP177" s="38">
        <v>508.10465893724745</v>
      </c>
      <c r="BQ177" s="38">
        <v>0</v>
      </c>
      <c r="BR177" s="38">
        <v>0</v>
      </c>
      <c r="BS177" s="38">
        <v>0</v>
      </c>
      <c r="BT177" s="38">
        <v>0</v>
      </c>
      <c r="BU177" s="38">
        <v>0</v>
      </c>
      <c r="BV177" s="38">
        <v>75.186174860394615</v>
      </c>
      <c r="BW177" s="38">
        <v>0</v>
      </c>
      <c r="BX177" s="38">
        <v>689.59201478176146</v>
      </c>
      <c r="BY177" s="38"/>
      <c r="BZ177" s="38">
        <v>0</v>
      </c>
      <c r="CA177" s="38">
        <v>0</v>
      </c>
      <c r="CB177" s="38">
        <v>1246.5874854725375</v>
      </c>
      <c r="CC177" s="38">
        <v>689.59201478176146</v>
      </c>
      <c r="CD177" s="49">
        <v>1.8077174021034033</v>
      </c>
      <c r="CE177" s="38">
        <v>6.211349547252575</v>
      </c>
      <c r="CF177" s="38">
        <v>11.963234327942619</v>
      </c>
      <c r="CG177" s="38">
        <v>0</v>
      </c>
      <c r="CH177" s="38">
        <v>11.963234327942619</v>
      </c>
      <c r="CI177" s="38">
        <v>0.59815790065768037</v>
      </c>
      <c r="CJ177" s="38">
        <v>0</v>
      </c>
      <c r="CK177" s="38">
        <v>0.59815790065768037</v>
      </c>
      <c r="CL177" s="38"/>
      <c r="CM177" s="38">
        <v>0</v>
      </c>
      <c r="CN177" s="38"/>
      <c r="CO177" s="38">
        <v>0</v>
      </c>
      <c r="CP177" s="38">
        <v>0</v>
      </c>
      <c r="CQ177" s="38">
        <v>0</v>
      </c>
      <c r="CR177" s="38">
        <v>0</v>
      </c>
      <c r="CS177" s="38">
        <v>0</v>
      </c>
      <c r="CT177" s="38">
        <v>0</v>
      </c>
      <c r="CU177" s="38">
        <v>0</v>
      </c>
      <c r="CV177" s="38">
        <v>9999</v>
      </c>
      <c r="CW177" s="49">
        <v>9999</v>
      </c>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row>
    <row r="178" spans="1:131">
      <c r="A178" s="27" t="s">
        <v>855</v>
      </c>
      <c r="B178" s="27" t="s">
        <v>87</v>
      </c>
      <c r="C178" s="38">
        <v>45</v>
      </c>
      <c r="D178" s="38">
        <v>552.49400196960858</v>
      </c>
      <c r="E178" s="38">
        <v>0</v>
      </c>
      <c r="F178" s="38">
        <v>727.98596173202009</v>
      </c>
      <c r="G178" s="38">
        <v>0</v>
      </c>
      <c r="H178" s="38">
        <v>0</v>
      </c>
      <c r="I178" s="38" t="s">
        <v>1360</v>
      </c>
      <c r="J178" s="38"/>
      <c r="K178" s="38"/>
      <c r="L178" s="38">
        <v>595.7989096256905</v>
      </c>
      <c r="M178" s="38">
        <v>0.31155448827652776</v>
      </c>
      <c r="N178" s="38">
        <v>0.30930582769475728</v>
      </c>
      <c r="O178" s="38">
        <v>0</v>
      </c>
      <c r="P178" s="38">
        <v>0</v>
      </c>
      <c r="Q178" s="38">
        <v>0</v>
      </c>
      <c r="R178" s="38">
        <v>95.217451812950969</v>
      </c>
      <c r="S178" s="38">
        <v>220.03304864706237</v>
      </c>
      <c r="T178" s="38">
        <v>0</v>
      </c>
      <c r="U178" s="38">
        <v>170.13663988547106</v>
      </c>
      <c r="V178" s="38" t="s">
        <v>1584</v>
      </c>
      <c r="W178" s="38" t="s">
        <v>1584</v>
      </c>
      <c r="X178" s="38" t="s">
        <v>1584</v>
      </c>
      <c r="Y178" s="38" t="s">
        <v>1584</v>
      </c>
      <c r="Z178" s="38">
        <v>0</v>
      </c>
      <c r="AA178" s="38">
        <v>0</v>
      </c>
      <c r="AB178" s="38">
        <v>0</v>
      </c>
      <c r="AC178" s="38">
        <v>0</v>
      </c>
      <c r="AD178" s="38">
        <v>0</v>
      </c>
      <c r="AE178" s="38">
        <v>0</v>
      </c>
      <c r="AF178" s="38">
        <v>0</v>
      </c>
      <c r="AG178" s="38">
        <v>0</v>
      </c>
      <c r="AH178" s="38">
        <v>95.217451812950969</v>
      </c>
      <c r="AI178" s="38">
        <v>220.03304864706237</v>
      </c>
      <c r="AJ178" s="38">
        <v>0</v>
      </c>
      <c r="AK178" s="38">
        <v>170.13663988547106</v>
      </c>
      <c r="AL178" s="38">
        <v>485.38714034548434</v>
      </c>
      <c r="AM178" s="38">
        <v>313.82336530385163</v>
      </c>
      <c r="AN178" s="38">
        <v>110.08730641785296</v>
      </c>
      <c r="AO178" s="38">
        <v>0</v>
      </c>
      <c r="AP178" s="38">
        <v>0</v>
      </c>
      <c r="AQ178" s="38">
        <v>423.9106717217046</v>
      </c>
      <c r="AR178" s="38">
        <v>95.217451812950969</v>
      </c>
      <c r="AS178" s="49">
        <v>4.4520270564943489</v>
      </c>
      <c r="AT178" s="38">
        <v>313.82336530385163</v>
      </c>
      <c r="AU178" s="38">
        <v>130.31058130193497</v>
      </c>
      <c r="AV178" s="38">
        <v>0</v>
      </c>
      <c r="AW178" s="38">
        <v>0</v>
      </c>
      <c r="AX178" s="38">
        <v>444.1339466057866</v>
      </c>
      <c r="AY178" s="38">
        <v>220.03304864706237</v>
      </c>
      <c r="AZ178" s="49">
        <v>2.0184874469388769</v>
      </c>
      <c r="BA178" s="38">
        <v>313.82336530385163</v>
      </c>
      <c r="BB178" s="38">
        <v>240.39788771978795</v>
      </c>
      <c r="BC178" s="38">
        <v>0</v>
      </c>
      <c r="BD178" s="38">
        <v>0</v>
      </c>
      <c r="BE178" s="38">
        <v>554.22125302363952</v>
      </c>
      <c r="BF178" s="38">
        <v>315.25050046001331</v>
      </c>
      <c r="BG178" s="38">
        <v>9.244371168045717</v>
      </c>
      <c r="BH178" s="49">
        <v>1.758034490714274</v>
      </c>
      <c r="BI178" s="38">
        <v>11.759448788905102</v>
      </c>
      <c r="BJ178" s="38">
        <v>27.174297549095524</v>
      </c>
      <c r="BK178" s="38">
        <v>0</v>
      </c>
      <c r="BL178" s="38">
        <v>21.012042075856726</v>
      </c>
      <c r="BM178" s="38">
        <v>59.94578841385735</v>
      </c>
      <c r="BN178" s="38">
        <v>313.82336530385163</v>
      </c>
      <c r="BO178" s="38">
        <v>0</v>
      </c>
      <c r="BP178" s="38">
        <v>240.39788771978795</v>
      </c>
      <c r="BQ178" s="38">
        <v>0</v>
      </c>
      <c r="BR178" s="38">
        <v>0</v>
      </c>
      <c r="BS178" s="38">
        <v>0</v>
      </c>
      <c r="BT178" s="38">
        <v>0</v>
      </c>
      <c r="BU178" s="38">
        <v>0</v>
      </c>
      <c r="BV178" s="38">
        <v>32.379339328488598</v>
      </c>
      <c r="BW178" s="38">
        <v>0</v>
      </c>
      <c r="BX178" s="38">
        <v>485.38714034548434</v>
      </c>
      <c r="BY178" s="38"/>
      <c r="BZ178" s="38">
        <v>0</v>
      </c>
      <c r="CA178" s="38">
        <v>0</v>
      </c>
      <c r="CB178" s="38">
        <v>586.60059235212816</v>
      </c>
      <c r="CC178" s="38">
        <v>485.38714034548434</v>
      </c>
      <c r="CD178" s="49">
        <v>1.2085210826446762</v>
      </c>
      <c r="CE178" s="38">
        <v>26.257533044924532</v>
      </c>
      <c r="CF178" s="38">
        <v>5.6601257480094231</v>
      </c>
      <c r="CG178" s="38">
        <v>0</v>
      </c>
      <c r="CH178" s="38">
        <v>5.6601257480094231</v>
      </c>
      <c r="CI178" s="38">
        <v>0.28300448207220302</v>
      </c>
      <c r="CJ178" s="38">
        <v>0</v>
      </c>
      <c r="CK178" s="38">
        <v>0.28300448207220302</v>
      </c>
      <c r="CL178" s="38"/>
      <c r="CM178" s="38">
        <v>0</v>
      </c>
      <c r="CN178" s="38"/>
      <c r="CO178" s="38">
        <v>0</v>
      </c>
      <c r="CP178" s="38">
        <v>0</v>
      </c>
      <c r="CQ178" s="38">
        <v>0</v>
      </c>
      <c r="CR178" s="38">
        <v>0</v>
      </c>
      <c r="CS178" s="38">
        <v>0</v>
      </c>
      <c r="CT178" s="38">
        <v>0</v>
      </c>
      <c r="CU178" s="38">
        <v>0</v>
      </c>
      <c r="CV178" s="38">
        <v>9999</v>
      </c>
      <c r="CW178" s="49">
        <v>9999</v>
      </c>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row>
    <row r="179" spans="1:131">
      <c r="A179" s="27" t="s">
        <v>856</v>
      </c>
      <c r="B179" s="27" t="s">
        <v>89</v>
      </c>
      <c r="C179" s="38">
        <v>45</v>
      </c>
      <c r="D179" s="38">
        <v>591.89090970682207</v>
      </c>
      <c r="E179" s="38">
        <v>0</v>
      </c>
      <c r="F179" s="38">
        <v>755.86367137636603</v>
      </c>
      <c r="G179" s="38">
        <v>0</v>
      </c>
      <c r="H179" s="38">
        <v>0</v>
      </c>
      <c r="I179" s="38" t="s">
        <v>1360</v>
      </c>
      <c r="J179" s="38"/>
      <c r="K179" s="38"/>
      <c r="L179" s="38">
        <v>638.28377749534559</v>
      </c>
      <c r="M179" s="38">
        <v>0.3337706270689636</v>
      </c>
      <c r="N179" s="38">
        <v>0.33136162036007405</v>
      </c>
      <c r="O179" s="38">
        <v>0</v>
      </c>
      <c r="P179" s="38">
        <v>0</v>
      </c>
      <c r="Q179" s="38">
        <v>0</v>
      </c>
      <c r="R179" s="38">
        <v>98.863737063288085</v>
      </c>
      <c r="S179" s="38">
        <v>228.45905926373558</v>
      </c>
      <c r="T179" s="38">
        <v>0</v>
      </c>
      <c r="U179" s="38">
        <v>176.65190267337871</v>
      </c>
      <c r="V179" s="38" t="s">
        <v>1584</v>
      </c>
      <c r="W179" s="38" t="s">
        <v>1584</v>
      </c>
      <c r="X179" s="38" t="s">
        <v>1584</v>
      </c>
      <c r="Y179" s="38" t="s">
        <v>1584</v>
      </c>
      <c r="Z179" s="38">
        <v>0</v>
      </c>
      <c r="AA179" s="38">
        <v>0</v>
      </c>
      <c r="AB179" s="38">
        <v>0</v>
      </c>
      <c r="AC179" s="38">
        <v>0</v>
      </c>
      <c r="AD179" s="38">
        <v>0</v>
      </c>
      <c r="AE179" s="38">
        <v>0</v>
      </c>
      <c r="AF179" s="38">
        <v>0</v>
      </c>
      <c r="AG179" s="38">
        <v>0</v>
      </c>
      <c r="AH179" s="38">
        <v>98.863737063288085</v>
      </c>
      <c r="AI179" s="38">
        <v>228.45905926373558</v>
      </c>
      <c r="AJ179" s="38">
        <v>0</v>
      </c>
      <c r="AK179" s="38">
        <v>176.65190267337871</v>
      </c>
      <c r="AL179" s="38">
        <v>503.97469900040232</v>
      </c>
      <c r="AM179" s="38">
        <v>336.20129180546417</v>
      </c>
      <c r="AN179" s="38">
        <v>117.93734540202472</v>
      </c>
      <c r="AO179" s="38">
        <v>0</v>
      </c>
      <c r="AP179" s="38">
        <v>0</v>
      </c>
      <c r="AQ179" s="38">
        <v>454.1386372074889</v>
      </c>
      <c r="AR179" s="38">
        <v>98.863737063288085</v>
      </c>
      <c r="AS179" s="49">
        <v>4.5935815365422608</v>
      </c>
      <c r="AT179" s="38">
        <v>336.20129180546417</v>
      </c>
      <c r="AU179" s="38">
        <v>139.60268932561155</v>
      </c>
      <c r="AV179" s="38">
        <v>0</v>
      </c>
      <c r="AW179" s="38">
        <v>0</v>
      </c>
      <c r="AX179" s="38">
        <v>475.80398113107572</v>
      </c>
      <c r="AY179" s="38">
        <v>228.45905926373558</v>
      </c>
      <c r="AZ179" s="49">
        <v>2.0826662889380216</v>
      </c>
      <c r="BA179" s="38">
        <v>336.20129180546417</v>
      </c>
      <c r="BB179" s="38">
        <v>257.54003472763628</v>
      </c>
      <c r="BC179" s="38">
        <v>0</v>
      </c>
      <c r="BD179" s="38">
        <v>0</v>
      </c>
      <c r="BE179" s="38">
        <v>593.74132653310039</v>
      </c>
      <c r="BF179" s="38">
        <v>327.32279632702364</v>
      </c>
      <c r="BG179" s="38">
        <v>8.0446001015368065</v>
      </c>
      <c r="BH179" s="49">
        <v>1.8139320975979374</v>
      </c>
      <c r="BI179" s="38">
        <v>11.397073016161874</v>
      </c>
      <c r="BJ179" s="38">
        <v>26.336902255329832</v>
      </c>
      <c r="BK179" s="38">
        <v>0</v>
      </c>
      <c r="BL179" s="38">
        <v>20.364541064471247</v>
      </c>
      <c r="BM179" s="38">
        <v>58.098516335962948</v>
      </c>
      <c r="BN179" s="38">
        <v>336.20129180546417</v>
      </c>
      <c r="BO179" s="38">
        <v>0</v>
      </c>
      <c r="BP179" s="38">
        <v>257.54003472763628</v>
      </c>
      <c r="BQ179" s="38">
        <v>0</v>
      </c>
      <c r="BR179" s="38">
        <v>0</v>
      </c>
      <c r="BS179" s="38">
        <v>0</v>
      </c>
      <c r="BT179" s="38">
        <v>0</v>
      </c>
      <c r="BU179" s="38">
        <v>0</v>
      </c>
      <c r="BV179" s="38">
        <v>37.203902124223895</v>
      </c>
      <c r="BW179" s="38">
        <v>0</v>
      </c>
      <c r="BX179" s="38">
        <v>503.97469900040232</v>
      </c>
      <c r="BY179" s="38"/>
      <c r="BZ179" s="38">
        <v>0</v>
      </c>
      <c r="CA179" s="38">
        <v>0</v>
      </c>
      <c r="CB179" s="38">
        <v>630.94522865732426</v>
      </c>
      <c r="CC179" s="38">
        <v>503.97469900040232</v>
      </c>
      <c r="CD179" s="49">
        <v>1.2519383014837031</v>
      </c>
      <c r="CE179" s="38">
        <v>24.120252220565053</v>
      </c>
      <c r="CF179" s="38">
        <v>6.0637345674362377</v>
      </c>
      <c r="CG179" s="38">
        <v>0</v>
      </c>
      <c r="CH179" s="38">
        <v>6.0637345674362377</v>
      </c>
      <c r="CI179" s="38">
        <v>0.30318479431028911</v>
      </c>
      <c r="CJ179" s="38">
        <v>0</v>
      </c>
      <c r="CK179" s="38">
        <v>0.30318479431028911</v>
      </c>
      <c r="CL179" s="38"/>
      <c r="CM179" s="38">
        <v>0</v>
      </c>
      <c r="CN179" s="38"/>
      <c r="CO179" s="38">
        <v>0</v>
      </c>
      <c r="CP179" s="38">
        <v>0</v>
      </c>
      <c r="CQ179" s="38">
        <v>0</v>
      </c>
      <c r="CR179" s="38">
        <v>0</v>
      </c>
      <c r="CS179" s="38">
        <v>0</v>
      </c>
      <c r="CT179" s="38">
        <v>0</v>
      </c>
      <c r="CU179" s="38">
        <v>0</v>
      </c>
      <c r="CV179" s="38">
        <v>9999</v>
      </c>
      <c r="CW179" s="49">
        <v>9999</v>
      </c>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row>
    <row r="180" spans="1:131">
      <c r="A180" s="27" t="s">
        <v>857</v>
      </c>
      <c r="B180" s="27" t="s">
        <v>91</v>
      </c>
      <c r="C180" s="38">
        <v>45</v>
      </c>
      <c r="D180" s="38">
        <v>616.43299856875319</v>
      </c>
      <c r="E180" s="38">
        <v>0</v>
      </c>
      <c r="F180" s="38">
        <v>779.09509607998802</v>
      </c>
      <c r="G180" s="38">
        <v>0</v>
      </c>
      <c r="H180" s="38">
        <v>0</v>
      </c>
      <c r="I180" s="38" t="s">
        <v>1360</v>
      </c>
      <c r="J180" s="38"/>
      <c r="K180" s="38"/>
      <c r="L180" s="38">
        <v>664.74949428457444</v>
      </c>
      <c r="M180" s="38">
        <v>0.34761004959546665</v>
      </c>
      <c r="N180" s="38">
        <v>0.34510115614098097</v>
      </c>
      <c r="O180" s="38">
        <v>0</v>
      </c>
      <c r="P180" s="38">
        <v>0</v>
      </c>
      <c r="Q180" s="38">
        <v>0</v>
      </c>
      <c r="R180" s="38">
        <v>101.90230810523572</v>
      </c>
      <c r="S180" s="38">
        <v>235.48073477763</v>
      </c>
      <c r="T180" s="38">
        <v>0</v>
      </c>
      <c r="U180" s="38">
        <v>182.08128832996854</v>
      </c>
      <c r="V180" s="38" t="s">
        <v>1584</v>
      </c>
      <c r="W180" s="38" t="s">
        <v>1584</v>
      </c>
      <c r="X180" s="38" t="s">
        <v>1584</v>
      </c>
      <c r="Y180" s="38" t="s">
        <v>1584</v>
      </c>
      <c r="Z180" s="38">
        <v>0</v>
      </c>
      <c r="AA180" s="38">
        <v>0</v>
      </c>
      <c r="AB180" s="38">
        <v>0</v>
      </c>
      <c r="AC180" s="38">
        <v>0</v>
      </c>
      <c r="AD180" s="38">
        <v>0</v>
      </c>
      <c r="AE180" s="38">
        <v>0</v>
      </c>
      <c r="AF180" s="38">
        <v>0</v>
      </c>
      <c r="AG180" s="38">
        <v>0</v>
      </c>
      <c r="AH180" s="38">
        <v>101.90230810523572</v>
      </c>
      <c r="AI180" s="38">
        <v>235.48073477763</v>
      </c>
      <c r="AJ180" s="38">
        <v>0</v>
      </c>
      <c r="AK180" s="38">
        <v>182.08128832996854</v>
      </c>
      <c r="AL180" s="38">
        <v>519.46433121283428</v>
      </c>
      <c r="AM180" s="38">
        <v>350.14149910324574</v>
      </c>
      <c r="AN180" s="38">
        <v>122.82748438461263</v>
      </c>
      <c r="AO180" s="38">
        <v>0</v>
      </c>
      <c r="AP180" s="38">
        <v>0</v>
      </c>
      <c r="AQ180" s="38">
        <v>472.9689834878584</v>
      </c>
      <c r="AR180" s="38">
        <v>101.90230810523572</v>
      </c>
      <c r="AS180" s="49">
        <v>4.641396179166204</v>
      </c>
      <c r="AT180" s="38">
        <v>350.14149910324574</v>
      </c>
      <c r="AU180" s="38">
        <v>145.39115735342895</v>
      </c>
      <c r="AV180" s="38">
        <v>0</v>
      </c>
      <c r="AW180" s="38">
        <v>0</v>
      </c>
      <c r="AX180" s="38">
        <v>495.53265645667466</v>
      </c>
      <c r="AY180" s="38">
        <v>235.48073477763</v>
      </c>
      <c r="AZ180" s="49">
        <v>2.1043447861015796</v>
      </c>
      <c r="BA180" s="38">
        <v>350.14149910324574</v>
      </c>
      <c r="BB180" s="38">
        <v>268.21864173804158</v>
      </c>
      <c r="BC180" s="38">
        <v>0</v>
      </c>
      <c r="BD180" s="38">
        <v>0</v>
      </c>
      <c r="BE180" s="38">
        <v>618.36014084128726</v>
      </c>
      <c r="BF180" s="38">
        <v>337.38304288286571</v>
      </c>
      <c r="BG180" s="38">
        <v>7.6558729873796914</v>
      </c>
      <c r="BH180" s="49">
        <v>1.8328133374977371</v>
      </c>
      <c r="BI180" s="38">
        <v>11.279662876585149</v>
      </c>
      <c r="BJ180" s="38">
        <v>26.065585280749445</v>
      </c>
      <c r="BK180" s="38">
        <v>0</v>
      </c>
      <c r="BL180" s="38">
        <v>20.154750041337078</v>
      </c>
      <c r="BM180" s="38">
        <v>57.499998198671669</v>
      </c>
      <c r="BN180" s="38">
        <v>350.14149910324574</v>
      </c>
      <c r="BO180" s="38">
        <v>0</v>
      </c>
      <c r="BP180" s="38">
        <v>268.21864173804158</v>
      </c>
      <c r="BQ180" s="38">
        <v>0</v>
      </c>
      <c r="BR180" s="38">
        <v>0</v>
      </c>
      <c r="BS180" s="38">
        <v>0</v>
      </c>
      <c r="BT180" s="38">
        <v>0</v>
      </c>
      <c r="BU180" s="38">
        <v>0</v>
      </c>
      <c r="BV180" s="38">
        <v>40.382584474562407</v>
      </c>
      <c r="BW180" s="38">
        <v>0</v>
      </c>
      <c r="BX180" s="38">
        <v>519.46433121283428</v>
      </c>
      <c r="BY180" s="38"/>
      <c r="BZ180" s="38">
        <v>0</v>
      </c>
      <c r="CA180" s="38">
        <v>0</v>
      </c>
      <c r="CB180" s="38">
        <v>658.74272531584984</v>
      </c>
      <c r="CC180" s="38">
        <v>519.46433121283428</v>
      </c>
      <c r="CD180" s="49">
        <v>1.2681192638921546</v>
      </c>
      <c r="CE180" s="38">
        <v>23.340636554142659</v>
      </c>
      <c r="CF180" s="38">
        <v>6.3151604808075019</v>
      </c>
      <c r="CG180" s="38">
        <v>0</v>
      </c>
      <c r="CH180" s="38">
        <v>6.3151604808075019</v>
      </c>
      <c r="CI180" s="38">
        <v>0.31575600978517282</v>
      </c>
      <c r="CJ180" s="38">
        <v>0</v>
      </c>
      <c r="CK180" s="38">
        <v>0.31575600978517282</v>
      </c>
      <c r="CL180" s="38"/>
      <c r="CM180" s="38">
        <v>0</v>
      </c>
      <c r="CN180" s="38"/>
      <c r="CO180" s="38">
        <v>0</v>
      </c>
      <c r="CP180" s="38">
        <v>0</v>
      </c>
      <c r="CQ180" s="38">
        <v>0</v>
      </c>
      <c r="CR180" s="38">
        <v>0</v>
      </c>
      <c r="CS180" s="38">
        <v>0</v>
      </c>
      <c r="CT180" s="38">
        <v>0</v>
      </c>
      <c r="CU180" s="38">
        <v>0</v>
      </c>
      <c r="CV180" s="38">
        <v>9999</v>
      </c>
      <c r="CW180" s="49">
        <v>9999</v>
      </c>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row>
    <row r="181" spans="1:131">
      <c r="A181" s="27" t="s">
        <v>858</v>
      </c>
      <c r="B181" s="27" t="s">
        <v>93</v>
      </c>
      <c r="C181" s="38">
        <v>45</v>
      </c>
      <c r="D181" s="38">
        <v>655.98184804034759</v>
      </c>
      <c r="E181" s="38">
        <v>0</v>
      </c>
      <c r="F181" s="38">
        <v>1370.7558864868229</v>
      </c>
      <c r="G181" s="38">
        <v>0</v>
      </c>
      <c r="H181" s="38">
        <v>0</v>
      </c>
      <c r="I181" s="38" t="s">
        <v>1360</v>
      </c>
      <c r="J181" s="38"/>
      <c r="K181" s="38"/>
      <c r="L181" s="38">
        <v>707.39821319939574</v>
      </c>
      <c r="M181" s="38">
        <v>0.36991186919010871</v>
      </c>
      <c r="N181" s="38">
        <v>0.36724201120289668</v>
      </c>
      <c r="O181" s="38">
        <v>0</v>
      </c>
      <c r="P181" s="38">
        <v>0</v>
      </c>
      <c r="Q181" s="38">
        <v>0</v>
      </c>
      <c r="R181" s="38">
        <v>179.28901026929938</v>
      </c>
      <c r="S181" s="38">
        <v>414.30963302782595</v>
      </c>
      <c r="T181" s="38">
        <v>0</v>
      </c>
      <c r="U181" s="38">
        <v>320.3575520539332</v>
      </c>
      <c r="V181" s="38" t="s">
        <v>1584</v>
      </c>
      <c r="W181" s="38" t="s">
        <v>1584</v>
      </c>
      <c r="X181" s="38" t="s">
        <v>1584</v>
      </c>
      <c r="Y181" s="38" t="s">
        <v>1584</v>
      </c>
      <c r="Z181" s="38">
        <v>0</v>
      </c>
      <c r="AA181" s="38">
        <v>0</v>
      </c>
      <c r="AB181" s="38">
        <v>0</v>
      </c>
      <c r="AC181" s="38">
        <v>0</v>
      </c>
      <c r="AD181" s="38">
        <v>0</v>
      </c>
      <c r="AE181" s="38">
        <v>0</v>
      </c>
      <c r="AF181" s="38">
        <v>0</v>
      </c>
      <c r="AG181" s="38">
        <v>0</v>
      </c>
      <c r="AH181" s="38">
        <v>179.28901026929938</v>
      </c>
      <c r="AI181" s="38">
        <v>414.30963302782595</v>
      </c>
      <c r="AJ181" s="38">
        <v>0</v>
      </c>
      <c r="AK181" s="38">
        <v>320.3575520539332</v>
      </c>
      <c r="AL181" s="38">
        <v>913.95619535105857</v>
      </c>
      <c r="AM181" s="38">
        <v>372.60573037240988</v>
      </c>
      <c r="AN181" s="38">
        <v>130.70779855043492</v>
      </c>
      <c r="AO181" s="38">
        <v>0</v>
      </c>
      <c r="AP181" s="38">
        <v>0</v>
      </c>
      <c r="AQ181" s="38">
        <v>503.3135289228448</v>
      </c>
      <c r="AR181" s="38">
        <v>179.28901026929938</v>
      </c>
      <c r="AS181" s="49">
        <v>2.8072748472806417</v>
      </c>
      <c r="AT181" s="38">
        <v>372.60573037240988</v>
      </c>
      <c r="AU181" s="38">
        <v>154.71910217471896</v>
      </c>
      <c r="AV181" s="38">
        <v>0</v>
      </c>
      <c r="AW181" s="38">
        <v>0</v>
      </c>
      <c r="AX181" s="38">
        <v>527.32483254712884</v>
      </c>
      <c r="AY181" s="38">
        <v>414.30963302782595</v>
      </c>
      <c r="AZ181" s="49">
        <v>1.2727795602853205</v>
      </c>
      <c r="BA181" s="38">
        <v>372.60573037240988</v>
      </c>
      <c r="BB181" s="38">
        <v>285.42690072515387</v>
      </c>
      <c r="BC181" s="38">
        <v>0</v>
      </c>
      <c r="BD181" s="38">
        <v>0</v>
      </c>
      <c r="BE181" s="38">
        <v>658.03263109756381</v>
      </c>
      <c r="BF181" s="38">
        <v>593.59864329712536</v>
      </c>
      <c r="BG181" s="38">
        <v>32.055235364126666</v>
      </c>
      <c r="BH181" s="49">
        <v>1.1085480712060625</v>
      </c>
      <c r="BI181" s="38">
        <v>18.649183648113048</v>
      </c>
      <c r="BJ181" s="38">
        <v>43.095426885968521</v>
      </c>
      <c r="BK181" s="38">
        <v>0</v>
      </c>
      <c r="BL181" s="38">
        <v>33.322772055799376</v>
      </c>
      <c r="BM181" s="38">
        <v>95.06738258988095</v>
      </c>
      <c r="BN181" s="38">
        <v>372.60573037240988</v>
      </c>
      <c r="BO181" s="38">
        <v>0</v>
      </c>
      <c r="BP181" s="38">
        <v>285.42690072515387</v>
      </c>
      <c r="BQ181" s="38">
        <v>0</v>
      </c>
      <c r="BR181" s="38">
        <v>0</v>
      </c>
      <c r="BS181" s="38">
        <v>0</v>
      </c>
      <c r="BT181" s="38">
        <v>0</v>
      </c>
      <c r="BU181" s="38">
        <v>0</v>
      </c>
      <c r="BV181" s="38">
        <v>70.168896786416198</v>
      </c>
      <c r="BW181" s="38">
        <v>0</v>
      </c>
      <c r="BX181" s="38">
        <v>913.95619535105857</v>
      </c>
      <c r="BY181" s="38"/>
      <c r="BZ181" s="38">
        <v>0</v>
      </c>
      <c r="CA181" s="38">
        <v>0</v>
      </c>
      <c r="CB181" s="38">
        <v>728.20152788398002</v>
      </c>
      <c r="CC181" s="38">
        <v>913.95619535105857</v>
      </c>
      <c r="CD181" s="50">
        <v>0.79675758158657861</v>
      </c>
      <c r="CE181" s="38">
        <v>58.079218494772142</v>
      </c>
      <c r="CF181" s="38">
        <v>6.720325895093092</v>
      </c>
      <c r="CG181" s="38">
        <v>0</v>
      </c>
      <c r="CH181" s="38">
        <v>6.720325895093092</v>
      </c>
      <c r="CI181" s="38">
        <v>0.33601415126971296</v>
      </c>
      <c r="CJ181" s="38">
        <v>0</v>
      </c>
      <c r="CK181" s="38">
        <v>0.33601415126971296</v>
      </c>
      <c r="CL181" s="38"/>
      <c r="CM181" s="38">
        <v>0</v>
      </c>
      <c r="CN181" s="38"/>
      <c r="CO181" s="38">
        <v>0</v>
      </c>
      <c r="CP181" s="38">
        <v>0</v>
      </c>
      <c r="CQ181" s="38">
        <v>0</v>
      </c>
      <c r="CR181" s="38">
        <v>0</v>
      </c>
      <c r="CS181" s="38">
        <v>0</v>
      </c>
      <c r="CT181" s="38">
        <v>0</v>
      </c>
      <c r="CU181" s="38">
        <v>0</v>
      </c>
      <c r="CV181" s="38">
        <v>9999</v>
      </c>
      <c r="CW181" s="49">
        <v>9999</v>
      </c>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row>
    <row r="182" spans="1:131">
      <c r="A182" s="27" t="s">
        <v>859</v>
      </c>
      <c r="B182" s="27" t="s">
        <v>95</v>
      </c>
      <c r="C182" s="38">
        <v>45</v>
      </c>
      <c r="D182" s="38">
        <v>352.06496377238204</v>
      </c>
      <c r="E182" s="38">
        <v>0</v>
      </c>
      <c r="F182" s="38">
        <v>1370.7558864868229</v>
      </c>
      <c r="G182" s="38">
        <v>0</v>
      </c>
      <c r="H182" s="38">
        <v>0</v>
      </c>
      <c r="I182" s="38" t="s">
        <v>1360</v>
      </c>
      <c r="J182" s="38"/>
      <c r="K182" s="38"/>
      <c r="L182" s="38">
        <v>379.66008822758562</v>
      </c>
      <c r="M182" s="38">
        <v>0.19853142158497575</v>
      </c>
      <c r="N182" s="38">
        <v>0.19709851081411645</v>
      </c>
      <c r="O182" s="38">
        <v>0</v>
      </c>
      <c r="P182" s="38">
        <v>0</v>
      </c>
      <c r="Q182" s="38">
        <v>0</v>
      </c>
      <c r="R182" s="38">
        <v>179.28901026929938</v>
      </c>
      <c r="S182" s="38">
        <v>414.30963302782595</v>
      </c>
      <c r="T182" s="38">
        <v>0</v>
      </c>
      <c r="U182" s="38">
        <v>320.3575520539332</v>
      </c>
      <c r="V182" s="38" t="s">
        <v>1584</v>
      </c>
      <c r="W182" s="38" t="s">
        <v>1584</v>
      </c>
      <c r="X182" s="38" t="s">
        <v>1584</v>
      </c>
      <c r="Y182" s="38" t="s">
        <v>1584</v>
      </c>
      <c r="Z182" s="38">
        <v>0</v>
      </c>
      <c r="AA182" s="38">
        <v>0</v>
      </c>
      <c r="AB182" s="38">
        <v>0</v>
      </c>
      <c r="AC182" s="38">
        <v>0</v>
      </c>
      <c r="AD182" s="38">
        <v>0</v>
      </c>
      <c r="AE182" s="38">
        <v>0</v>
      </c>
      <c r="AF182" s="38">
        <v>0</v>
      </c>
      <c r="AG182" s="38">
        <v>0</v>
      </c>
      <c r="AH182" s="38">
        <v>179.28901026929938</v>
      </c>
      <c r="AI182" s="38">
        <v>414.30963302782595</v>
      </c>
      <c r="AJ182" s="38">
        <v>0</v>
      </c>
      <c r="AK182" s="38">
        <v>320.3575520539332</v>
      </c>
      <c r="AL182" s="38">
        <v>913.95619535105857</v>
      </c>
      <c r="AM182" s="38">
        <v>199.97721485256096</v>
      </c>
      <c r="AN182" s="38">
        <v>70.150777035824731</v>
      </c>
      <c r="AO182" s="38">
        <v>0</v>
      </c>
      <c r="AP182" s="38">
        <v>0</v>
      </c>
      <c r="AQ182" s="38">
        <v>270.12799188838568</v>
      </c>
      <c r="AR182" s="38">
        <v>179.28901026929938</v>
      </c>
      <c r="AS182" s="49">
        <v>1.5066622961588245</v>
      </c>
      <c r="AT182" s="38">
        <v>199.97721485256096</v>
      </c>
      <c r="AU182" s="38">
        <v>83.037625606200507</v>
      </c>
      <c r="AV182" s="38">
        <v>0</v>
      </c>
      <c r="AW182" s="38">
        <v>0</v>
      </c>
      <c r="AX182" s="38">
        <v>283.01484045876146</v>
      </c>
      <c r="AY182" s="38">
        <v>414.30963302782595</v>
      </c>
      <c r="AZ182" s="50">
        <v>0.68309983137600272</v>
      </c>
      <c r="BA182" s="38">
        <v>199.97721485256096</v>
      </c>
      <c r="BB182" s="38">
        <v>153.18840264202524</v>
      </c>
      <c r="BC182" s="38">
        <v>0</v>
      </c>
      <c r="BD182" s="38">
        <v>0</v>
      </c>
      <c r="BE182" s="38">
        <v>353.16561749458617</v>
      </c>
      <c r="BF182" s="38">
        <v>593.59864329712536</v>
      </c>
      <c r="BG182" s="38">
        <v>85.355709949235404</v>
      </c>
      <c r="BH182" s="50">
        <v>0.59495691488265312</v>
      </c>
      <c r="BI182" s="38">
        <v>34.747922152919145</v>
      </c>
      <c r="BJ182" s="38">
        <v>80.297162966271159</v>
      </c>
      <c r="BK182" s="38">
        <v>0</v>
      </c>
      <c r="BL182" s="38">
        <v>62.08835256075907</v>
      </c>
      <c r="BM182" s="38">
        <v>177.1334376799494</v>
      </c>
      <c r="BN182" s="38">
        <v>199.97721485256096</v>
      </c>
      <c r="BO182" s="38">
        <v>0</v>
      </c>
      <c r="BP182" s="38">
        <v>153.18840264202524</v>
      </c>
      <c r="BQ182" s="38">
        <v>0</v>
      </c>
      <c r="BR182" s="38">
        <v>0</v>
      </c>
      <c r="BS182" s="38">
        <v>0</v>
      </c>
      <c r="BT182" s="38">
        <v>0</v>
      </c>
      <c r="BU182" s="38">
        <v>0</v>
      </c>
      <c r="BV182" s="38">
        <v>38.163058184969721</v>
      </c>
      <c r="BW182" s="38">
        <v>0</v>
      </c>
      <c r="BX182" s="38">
        <v>913.95619535105857</v>
      </c>
      <c r="BY182" s="38"/>
      <c r="BZ182" s="38">
        <v>0</v>
      </c>
      <c r="CA182" s="38">
        <v>0</v>
      </c>
      <c r="CB182" s="38">
        <v>391.32867567955589</v>
      </c>
      <c r="CC182" s="38">
        <v>913.95619535105857</v>
      </c>
      <c r="CD182" s="50">
        <v>0.42817005636604183</v>
      </c>
      <c r="CE182" s="38">
        <v>140.04769742918546</v>
      </c>
      <c r="CF182" s="38">
        <v>3.606793846297133</v>
      </c>
      <c r="CG182" s="38">
        <v>0</v>
      </c>
      <c r="CH182" s="38">
        <v>3.606793846297133</v>
      </c>
      <c r="CI182" s="38">
        <v>0.18033854190810314</v>
      </c>
      <c r="CJ182" s="38">
        <v>0</v>
      </c>
      <c r="CK182" s="38">
        <v>0.18033854190810314</v>
      </c>
      <c r="CL182" s="38"/>
      <c r="CM182" s="38">
        <v>0</v>
      </c>
      <c r="CN182" s="38"/>
      <c r="CO182" s="38">
        <v>0</v>
      </c>
      <c r="CP182" s="38">
        <v>0</v>
      </c>
      <c r="CQ182" s="38">
        <v>0</v>
      </c>
      <c r="CR182" s="38">
        <v>0</v>
      </c>
      <c r="CS182" s="38">
        <v>0</v>
      </c>
      <c r="CT182" s="38">
        <v>0</v>
      </c>
      <c r="CU182" s="38">
        <v>0</v>
      </c>
      <c r="CV182" s="38">
        <v>9999</v>
      </c>
      <c r="CW182" s="49">
        <v>9999</v>
      </c>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row>
    <row r="183" spans="1:131">
      <c r="A183" s="27" t="s">
        <v>860</v>
      </c>
      <c r="B183" s="27" t="s">
        <v>99</v>
      </c>
      <c r="C183" s="38">
        <v>45</v>
      </c>
      <c r="D183" s="38">
        <v>715.78848940991941</v>
      </c>
      <c r="E183" s="38">
        <v>0</v>
      </c>
      <c r="F183" s="38">
        <v>1614.3440015787794</v>
      </c>
      <c r="G183" s="38">
        <v>0</v>
      </c>
      <c r="H183" s="38">
        <v>0</v>
      </c>
      <c r="I183" s="38" t="s">
        <v>1360</v>
      </c>
      <c r="J183" s="38"/>
      <c r="K183" s="38"/>
      <c r="L183" s="38">
        <v>771.89254542623803</v>
      </c>
      <c r="M183" s="38">
        <v>0.4036371720549527</v>
      </c>
      <c r="N183" s="38">
        <v>0.40072389995555768</v>
      </c>
      <c r="O183" s="38">
        <v>0</v>
      </c>
      <c r="P183" s="38">
        <v>0</v>
      </c>
      <c r="Q183" s="38">
        <v>0</v>
      </c>
      <c r="R183" s="38">
        <v>211.14929443713316</v>
      </c>
      <c r="S183" s="38">
        <v>487.93390381782302</v>
      </c>
      <c r="T183" s="38">
        <v>0</v>
      </c>
      <c r="U183" s="38">
        <v>377.28620946812191</v>
      </c>
      <c r="V183" s="38" t="s">
        <v>1584</v>
      </c>
      <c r="W183" s="38" t="s">
        <v>1584</v>
      </c>
      <c r="X183" s="38" t="s">
        <v>1584</v>
      </c>
      <c r="Y183" s="38" t="s">
        <v>1584</v>
      </c>
      <c r="Z183" s="38">
        <v>0</v>
      </c>
      <c r="AA183" s="38">
        <v>0</v>
      </c>
      <c r="AB183" s="38">
        <v>0</v>
      </c>
      <c r="AC183" s="38">
        <v>0</v>
      </c>
      <c r="AD183" s="38">
        <v>0</v>
      </c>
      <c r="AE183" s="38">
        <v>0</v>
      </c>
      <c r="AF183" s="38">
        <v>0</v>
      </c>
      <c r="AG183" s="38">
        <v>0</v>
      </c>
      <c r="AH183" s="38">
        <v>211.14929443713316</v>
      </c>
      <c r="AI183" s="38">
        <v>487.93390381782302</v>
      </c>
      <c r="AJ183" s="38">
        <v>0</v>
      </c>
      <c r="AK183" s="38">
        <v>377.28620946812191</v>
      </c>
      <c r="AL183" s="38">
        <v>1076.369407723078</v>
      </c>
      <c r="AM183" s="38">
        <v>406.5766357491384</v>
      </c>
      <c r="AN183" s="38">
        <v>142.62458322285363</v>
      </c>
      <c r="AO183" s="38">
        <v>0</v>
      </c>
      <c r="AP183" s="38">
        <v>0</v>
      </c>
      <c r="AQ183" s="38">
        <v>549.20121897199203</v>
      </c>
      <c r="AR183" s="38">
        <v>211.14929443713316</v>
      </c>
      <c r="AS183" s="49">
        <v>2.6010090179842358</v>
      </c>
      <c r="AT183" s="38">
        <v>406.5766357491384</v>
      </c>
      <c r="AU183" s="38">
        <v>168.82502581335052</v>
      </c>
      <c r="AV183" s="38">
        <v>0</v>
      </c>
      <c r="AW183" s="38">
        <v>0</v>
      </c>
      <c r="AX183" s="38">
        <v>575.40166156248893</v>
      </c>
      <c r="AY183" s="38">
        <v>487.93390381782302</v>
      </c>
      <c r="AZ183" s="49">
        <v>1.1792614882062453</v>
      </c>
      <c r="BA183" s="38">
        <v>406.5766357491384</v>
      </c>
      <c r="BB183" s="38">
        <v>311.44960903620415</v>
      </c>
      <c r="BC183" s="38">
        <v>0</v>
      </c>
      <c r="BD183" s="38">
        <v>0</v>
      </c>
      <c r="BE183" s="38">
        <v>718.02624478534256</v>
      </c>
      <c r="BF183" s="38">
        <v>699.08319825495619</v>
      </c>
      <c r="BG183" s="38">
        <v>36.951721000407197</v>
      </c>
      <c r="BH183" s="49">
        <v>1.0270969844185525</v>
      </c>
      <c r="BI183" s="38">
        <v>20.128105598895125</v>
      </c>
      <c r="BJ183" s="38">
        <v>46.512990571466979</v>
      </c>
      <c r="BK183" s="38">
        <v>0</v>
      </c>
      <c r="BL183" s="38">
        <v>35.965342367943606</v>
      </c>
      <c r="BM183" s="38">
        <v>102.6064385383057</v>
      </c>
      <c r="BN183" s="38">
        <v>406.5766357491384</v>
      </c>
      <c r="BO183" s="38">
        <v>0</v>
      </c>
      <c r="BP183" s="38">
        <v>311.44960903620415</v>
      </c>
      <c r="BQ183" s="38">
        <v>0</v>
      </c>
      <c r="BR183" s="38">
        <v>0</v>
      </c>
      <c r="BS183" s="38">
        <v>0</v>
      </c>
      <c r="BT183" s="38">
        <v>0</v>
      </c>
      <c r="BU183" s="38">
        <v>0</v>
      </c>
      <c r="BV183" s="38">
        <v>78.349008808437333</v>
      </c>
      <c r="BW183" s="38">
        <v>0</v>
      </c>
      <c r="BX183" s="38">
        <v>1076.369407723078</v>
      </c>
      <c r="BY183" s="38"/>
      <c r="BZ183" s="38">
        <v>0</v>
      </c>
      <c r="CA183" s="38">
        <v>0</v>
      </c>
      <c r="CB183" s="38">
        <v>796.37525359377992</v>
      </c>
      <c r="CC183" s="38">
        <v>1076.369407723078</v>
      </c>
      <c r="CD183" s="50">
        <v>0.73987169077799231</v>
      </c>
      <c r="CE183" s="38">
        <v>65.448333117232067</v>
      </c>
      <c r="CF183" s="38">
        <v>7.3330259597292615</v>
      </c>
      <c r="CG183" s="38">
        <v>0</v>
      </c>
      <c r="CH183" s="38">
        <v>7.3330259597292615</v>
      </c>
      <c r="CI183" s="38">
        <v>0.36664895907746309</v>
      </c>
      <c r="CJ183" s="38">
        <v>0</v>
      </c>
      <c r="CK183" s="38">
        <v>0.36664895907746309</v>
      </c>
      <c r="CL183" s="38"/>
      <c r="CM183" s="38">
        <v>0</v>
      </c>
      <c r="CN183" s="38"/>
      <c r="CO183" s="38">
        <v>0</v>
      </c>
      <c r="CP183" s="38">
        <v>0</v>
      </c>
      <c r="CQ183" s="38">
        <v>0</v>
      </c>
      <c r="CR183" s="38">
        <v>0</v>
      </c>
      <c r="CS183" s="38">
        <v>0</v>
      </c>
      <c r="CT183" s="38">
        <v>0</v>
      </c>
      <c r="CU183" s="38">
        <v>0</v>
      </c>
      <c r="CV183" s="38">
        <v>9999</v>
      </c>
      <c r="CW183" s="49">
        <v>9999</v>
      </c>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row>
    <row r="184" spans="1:131">
      <c r="A184" s="27" t="s">
        <v>861</v>
      </c>
      <c r="B184" s="27" t="s">
        <v>101</v>
      </c>
      <c r="C184" s="38">
        <v>45</v>
      </c>
      <c r="D184" s="38">
        <v>412.15597645124757</v>
      </c>
      <c r="E184" s="38">
        <v>0</v>
      </c>
      <c r="F184" s="38">
        <v>1614.3440015787794</v>
      </c>
      <c r="G184" s="38">
        <v>0</v>
      </c>
      <c r="H184" s="38">
        <v>0</v>
      </c>
      <c r="I184" s="38" t="s">
        <v>1360</v>
      </c>
      <c r="J184" s="38"/>
      <c r="K184" s="38"/>
      <c r="L184" s="38">
        <v>444.46108100712536</v>
      </c>
      <c r="M184" s="38">
        <v>0.23241708303730066</v>
      </c>
      <c r="N184" s="38">
        <v>0.23073960075788574</v>
      </c>
      <c r="O184" s="38">
        <v>0</v>
      </c>
      <c r="P184" s="38">
        <v>0</v>
      </c>
      <c r="Q184" s="38">
        <v>0</v>
      </c>
      <c r="R184" s="38">
        <v>211.14929443713316</v>
      </c>
      <c r="S184" s="38">
        <v>487.93390381782302</v>
      </c>
      <c r="T184" s="38">
        <v>0</v>
      </c>
      <c r="U184" s="38">
        <v>377.28620946812191</v>
      </c>
      <c r="V184" s="38" t="s">
        <v>1584</v>
      </c>
      <c r="W184" s="38" t="s">
        <v>1584</v>
      </c>
      <c r="X184" s="38" t="s">
        <v>1584</v>
      </c>
      <c r="Y184" s="38" t="s">
        <v>1584</v>
      </c>
      <c r="Z184" s="38">
        <v>0</v>
      </c>
      <c r="AA184" s="38">
        <v>0</v>
      </c>
      <c r="AB184" s="38">
        <v>0</v>
      </c>
      <c r="AC184" s="38">
        <v>0</v>
      </c>
      <c r="AD184" s="38">
        <v>0</v>
      </c>
      <c r="AE184" s="38">
        <v>0</v>
      </c>
      <c r="AF184" s="38">
        <v>0</v>
      </c>
      <c r="AG184" s="38">
        <v>0</v>
      </c>
      <c r="AH184" s="38">
        <v>211.14929443713316</v>
      </c>
      <c r="AI184" s="38">
        <v>487.93390381782302</v>
      </c>
      <c r="AJ184" s="38">
        <v>0</v>
      </c>
      <c r="AK184" s="38">
        <v>377.28620946812191</v>
      </c>
      <c r="AL184" s="38">
        <v>1076.369407723078</v>
      </c>
      <c r="AM184" s="38">
        <v>234.10964661864401</v>
      </c>
      <c r="AN184" s="38">
        <v>82.124224172181599</v>
      </c>
      <c r="AO184" s="38">
        <v>0</v>
      </c>
      <c r="AP184" s="38">
        <v>0</v>
      </c>
      <c r="AQ184" s="38">
        <v>316.23387079082562</v>
      </c>
      <c r="AR184" s="38">
        <v>211.14929443713316</v>
      </c>
      <c r="AS184" s="49">
        <v>1.4976790314825321</v>
      </c>
      <c r="AT184" s="38">
        <v>234.10964661864401</v>
      </c>
      <c r="AU184" s="38">
        <v>97.210620725223833</v>
      </c>
      <c r="AV184" s="38">
        <v>0</v>
      </c>
      <c r="AW184" s="38">
        <v>0</v>
      </c>
      <c r="AX184" s="38">
        <v>331.32026734386784</v>
      </c>
      <c r="AY184" s="38">
        <v>487.93390381782302</v>
      </c>
      <c r="AZ184" s="50">
        <v>0.679026943509076</v>
      </c>
      <c r="BA184" s="38">
        <v>234.10964661864401</v>
      </c>
      <c r="BB184" s="38">
        <v>179.33484489740545</v>
      </c>
      <c r="BC184" s="38">
        <v>0</v>
      </c>
      <c r="BD184" s="38">
        <v>0</v>
      </c>
      <c r="BE184" s="38">
        <v>413.44449151604942</v>
      </c>
      <c r="BF184" s="38">
        <v>699.08319825495619</v>
      </c>
      <c r="BG184" s="38">
        <v>86.045764645607179</v>
      </c>
      <c r="BH184" s="50">
        <v>0.59140956691290114</v>
      </c>
      <c r="BI184" s="38">
        <v>34.956344501826457</v>
      </c>
      <c r="BJ184" s="38">
        <v>80.778795313735628</v>
      </c>
      <c r="BK184" s="38">
        <v>0</v>
      </c>
      <c r="BL184" s="38">
        <v>62.460766203898636</v>
      </c>
      <c r="BM184" s="38">
        <v>178.19590601946072</v>
      </c>
      <c r="BN184" s="38">
        <v>234.10964661864401</v>
      </c>
      <c r="BO184" s="38">
        <v>0</v>
      </c>
      <c r="BP184" s="38">
        <v>179.33484489740545</v>
      </c>
      <c r="BQ184" s="38">
        <v>0</v>
      </c>
      <c r="BR184" s="38">
        <v>0</v>
      </c>
      <c r="BS184" s="38">
        <v>0</v>
      </c>
      <c r="BT184" s="38">
        <v>0</v>
      </c>
      <c r="BU184" s="38">
        <v>0</v>
      </c>
      <c r="BV184" s="38">
        <v>46.572076539193795</v>
      </c>
      <c r="BW184" s="38">
        <v>0</v>
      </c>
      <c r="BX184" s="38">
        <v>1076.369407723078</v>
      </c>
      <c r="BY184" s="38"/>
      <c r="BZ184" s="38">
        <v>0</v>
      </c>
      <c r="CA184" s="38">
        <v>0</v>
      </c>
      <c r="CB184" s="38">
        <v>460.01656805524323</v>
      </c>
      <c r="CC184" s="38">
        <v>1076.369407723078</v>
      </c>
      <c r="CD184" s="50">
        <v>0.42737796592375243</v>
      </c>
      <c r="CE184" s="38">
        <v>140.79639591389417</v>
      </c>
      <c r="CF184" s="38">
        <v>4.2224072047681664</v>
      </c>
      <c r="CG184" s="38">
        <v>0</v>
      </c>
      <c r="CH184" s="38">
        <v>4.2224072047681664</v>
      </c>
      <c r="CI184" s="38">
        <v>0.21111901347838455</v>
      </c>
      <c r="CJ184" s="38">
        <v>0</v>
      </c>
      <c r="CK184" s="38">
        <v>0.21111901347838455</v>
      </c>
      <c r="CL184" s="38"/>
      <c r="CM184" s="38">
        <v>0</v>
      </c>
      <c r="CN184" s="38"/>
      <c r="CO184" s="38">
        <v>0</v>
      </c>
      <c r="CP184" s="38">
        <v>0</v>
      </c>
      <c r="CQ184" s="38">
        <v>0</v>
      </c>
      <c r="CR184" s="38">
        <v>0</v>
      </c>
      <c r="CS184" s="38">
        <v>0</v>
      </c>
      <c r="CT184" s="38">
        <v>0</v>
      </c>
      <c r="CU184" s="38">
        <v>0</v>
      </c>
      <c r="CV184" s="38">
        <v>9999</v>
      </c>
      <c r="CW184" s="49">
        <v>9999</v>
      </c>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row>
    <row r="185" spans="1:131">
      <c r="A185" s="27" t="s">
        <v>892</v>
      </c>
      <c r="B185" s="27" t="s">
        <v>1362</v>
      </c>
      <c r="C185" s="38">
        <v>15</v>
      </c>
      <c r="D185" s="38">
        <v>400.68435275728524</v>
      </c>
      <c r="E185" s="38">
        <v>0</v>
      </c>
      <c r="F185" s="38">
        <v>548.47810817052937</v>
      </c>
      <c r="G185" s="38">
        <v>0</v>
      </c>
      <c r="H185" s="38">
        <v>0</v>
      </c>
      <c r="I185" s="38" t="s">
        <v>1360</v>
      </c>
      <c r="J185" s="38"/>
      <c r="K185" s="38"/>
      <c r="L185" s="38">
        <v>432.09030256585106</v>
      </c>
      <c r="M185" s="38">
        <v>0.22594816964288897</v>
      </c>
      <c r="N185" s="38">
        <v>0.22431737707941224</v>
      </c>
      <c r="O185" s="38">
        <v>0</v>
      </c>
      <c r="P185" s="38">
        <v>0</v>
      </c>
      <c r="Q185" s="38">
        <v>0</v>
      </c>
      <c r="R185" s="38">
        <v>109.37386161520297</v>
      </c>
      <c r="S185" s="38">
        <v>252.74635852229051</v>
      </c>
      <c r="T185" s="38">
        <v>0</v>
      </c>
      <c r="U185" s="38">
        <v>319.57476551375532</v>
      </c>
      <c r="V185" s="38" t="s">
        <v>1584</v>
      </c>
      <c r="W185" s="38" t="s">
        <v>1584</v>
      </c>
      <c r="X185" s="38" t="s">
        <v>1584</v>
      </c>
      <c r="Y185" s="38" t="s">
        <v>1584</v>
      </c>
      <c r="Z185" s="38">
        <v>0</v>
      </c>
      <c r="AA185" s="38">
        <v>0</v>
      </c>
      <c r="AB185" s="38">
        <v>0</v>
      </c>
      <c r="AC185" s="38">
        <v>0</v>
      </c>
      <c r="AD185" s="38">
        <v>0</v>
      </c>
      <c r="AE185" s="38">
        <v>0</v>
      </c>
      <c r="AF185" s="38">
        <v>0</v>
      </c>
      <c r="AG185" s="38">
        <v>0</v>
      </c>
      <c r="AH185" s="38">
        <v>109.37386161520297</v>
      </c>
      <c r="AI185" s="38">
        <v>252.74635852229051</v>
      </c>
      <c r="AJ185" s="38">
        <v>0</v>
      </c>
      <c r="AK185" s="38">
        <v>319.57476551375532</v>
      </c>
      <c r="AL185" s="38">
        <v>681.69498565124877</v>
      </c>
      <c r="AM185" s="38">
        <v>227.59362374725615</v>
      </c>
      <c r="AN185" s="38">
        <v>79.83844342486951</v>
      </c>
      <c r="AO185" s="38">
        <v>0</v>
      </c>
      <c r="AP185" s="38">
        <v>0</v>
      </c>
      <c r="AQ185" s="38">
        <v>307.43206717212564</v>
      </c>
      <c r="AR185" s="38">
        <v>109.37386161520297</v>
      </c>
      <c r="AS185" s="49">
        <v>2.8108367267284322</v>
      </c>
      <c r="AT185" s="38">
        <v>227.59362374725615</v>
      </c>
      <c r="AU185" s="38">
        <v>94.504937140047971</v>
      </c>
      <c r="AV185" s="38">
        <v>0</v>
      </c>
      <c r="AW185" s="38">
        <v>0</v>
      </c>
      <c r="AX185" s="38">
        <v>322.09856088730413</v>
      </c>
      <c r="AY185" s="38">
        <v>252.74635852229051</v>
      </c>
      <c r="AZ185" s="49">
        <v>1.274394467127</v>
      </c>
      <c r="BA185" s="38">
        <v>227.59362374725615</v>
      </c>
      <c r="BB185" s="38">
        <v>174.34338056491748</v>
      </c>
      <c r="BC185" s="38">
        <v>0</v>
      </c>
      <c r="BD185" s="38">
        <v>0</v>
      </c>
      <c r="BE185" s="38">
        <v>401.93700431217366</v>
      </c>
      <c r="BF185" s="38">
        <v>362.12022013749345</v>
      </c>
      <c r="BG185" s="38">
        <v>31.976992875980027</v>
      </c>
      <c r="BH185" s="49">
        <v>1.1099546006007679</v>
      </c>
      <c r="BI185" s="38">
        <v>18.625551487866019</v>
      </c>
      <c r="BJ185" s="38">
        <v>43.040816558068919</v>
      </c>
      <c r="BK185" s="38">
        <v>0</v>
      </c>
      <c r="BL185" s="38">
        <v>54.421194985692964</v>
      </c>
      <c r="BM185" s="38">
        <v>116.08756303162789</v>
      </c>
      <c r="BN185" s="38">
        <v>227.59362374725615</v>
      </c>
      <c r="BO185" s="38">
        <v>0</v>
      </c>
      <c r="BP185" s="38">
        <v>174.34338056491748</v>
      </c>
      <c r="BQ185" s="38">
        <v>0</v>
      </c>
      <c r="BR185" s="38">
        <v>0</v>
      </c>
      <c r="BS185" s="38">
        <v>0</v>
      </c>
      <c r="BT185" s="38">
        <v>0</v>
      </c>
      <c r="BU185" s="38">
        <v>0</v>
      </c>
      <c r="BV185" s="38">
        <v>48.370775706772278</v>
      </c>
      <c r="BW185" s="38">
        <v>0</v>
      </c>
      <c r="BX185" s="38">
        <v>681.69498565124877</v>
      </c>
      <c r="BY185" s="38"/>
      <c r="BZ185" s="38">
        <v>0</v>
      </c>
      <c r="CA185" s="38">
        <v>0</v>
      </c>
      <c r="CB185" s="38">
        <v>450.30778001894589</v>
      </c>
      <c r="CC185" s="38">
        <v>681.69498565124877</v>
      </c>
      <c r="CD185" s="50">
        <v>0.66057076771475731</v>
      </c>
      <c r="CE185" s="38">
        <v>78.161006142660924</v>
      </c>
      <c r="CF185" s="38">
        <v>4.1048840598829726</v>
      </c>
      <c r="CG185" s="38">
        <v>0</v>
      </c>
      <c r="CH185" s="38">
        <v>4.1048840598829726</v>
      </c>
      <c r="CI185" s="38">
        <v>0.20524289371877927</v>
      </c>
      <c r="CJ185" s="38">
        <v>0</v>
      </c>
      <c r="CK185" s="38">
        <v>0.20524289371877927</v>
      </c>
      <c r="CL185" s="38"/>
      <c r="CM185" s="38">
        <v>0</v>
      </c>
      <c r="CN185" s="38"/>
      <c r="CO185" s="38">
        <v>0</v>
      </c>
      <c r="CP185" s="38">
        <v>0</v>
      </c>
      <c r="CQ185" s="38">
        <v>0</v>
      </c>
      <c r="CR185" s="38">
        <v>0</v>
      </c>
      <c r="CS185" s="38">
        <v>0</v>
      </c>
      <c r="CT185" s="38">
        <v>0</v>
      </c>
      <c r="CU185" s="38">
        <v>0</v>
      </c>
      <c r="CV185" s="38">
        <v>9999</v>
      </c>
      <c r="CW185" s="49">
        <v>9999</v>
      </c>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row>
    <row r="186" spans="1:131">
      <c r="A186" s="27" t="s">
        <v>862</v>
      </c>
      <c r="B186" s="27" t="s">
        <v>68</v>
      </c>
      <c r="C186" s="38">
        <v>45</v>
      </c>
      <c r="D186" s="38">
        <v>681.23970523263847</v>
      </c>
      <c r="E186" s="38">
        <v>0</v>
      </c>
      <c r="F186" s="38">
        <v>595.71787033770602</v>
      </c>
      <c r="G186" s="38">
        <v>0</v>
      </c>
      <c r="H186" s="38">
        <v>0</v>
      </c>
      <c r="I186" s="38" t="s">
        <v>1360</v>
      </c>
      <c r="J186" s="38"/>
      <c r="K186" s="38"/>
      <c r="L186" s="38">
        <v>734.63580079491874</v>
      </c>
      <c r="M186" s="38">
        <v>0.38415491752086445</v>
      </c>
      <c r="N186" s="38">
        <v>0.38138225959800459</v>
      </c>
      <c r="O186" s="38">
        <v>0</v>
      </c>
      <c r="P186" s="38">
        <v>0</v>
      </c>
      <c r="Q186" s="38">
        <v>0</v>
      </c>
      <c r="R186" s="38">
        <v>77.917350875887607</v>
      </c>
      <c r="S186" s="38">
        <v>180.05514671200763</v>
      </c>
      <c r="T186" s="38">
        <v>0</v>
      </c>
      <c r="U186" s="38">
        <v>139.22443852879593</v>
      </c>
      <c r="V186" s="38" t="s">
        <v>1584</v>
      </c>
      <c r="W186" s="38" t="s">
        <v>1584</v>
      </c>
      <c r="X186" s="38" t="s">
        <v>1584</v>
      </c>
      <c r="Y186" s="38" t="s">
        <v>1584</v>
      </c>
      <c r="Z186" s="38">
        <v>0</v>
      </c>
      <c r="AA186" s="38">
        <v>0</v>
      </c>
      <c r="AB186" s="38">
        <v>0</v>
      </c>
      <c r="AC186" s="38">
        <v>0</v>
      </c>
      <c r="AD186" s="38">
        <v>0</v>
      </c>
      <c r="AE186" s="38">
        <v>0</v>
      </c>
      <c r="AF186" s="38">
        <v>0</v>
      </c>
      <c r="AG186" s="38">
        <v>0</v>
      </c>
      <c r="AH186" s="38">
        <v>77.917350875887607</v>
      </c>
      <c r="AI186" s="38">
        <v>180.05514671200763</v>
      </c>
      <c r="AJ186" s="38">
        <v>0</v>
      </c>
      <c r="AK186" s="38">
        <v>139.22443852879593</v>
      </c>
      <c r="AL186" s="38">
        <v>397.19693611669118</v>
      </c>
      <c r="AM186" s="38">
        <v>386.95250285535309</v>
      </c>
      <c r="AN186" s="38">
        <v>135.74055809944997</v>
      </c>
      <c r="AO186" s="38">
        <v>0</v>
      </c>
      <c r="AP186" s="38">
        <v>0</v>
      </c>
      <c r="AQ186" s="38">
        <v>522.69306095480306</v>
      </c>
      <c r="AR186" s="38">
        <v>77.917350875887607</v>
      </c>
      <c r="AS186" s="49">
        <v>6.7083012330255736</v>
      </c>
      <c r="AT186" s="38">
        <v>386.95250285535309</v>
      </c>
      <c r="AU186" s="38">
        <v>160.67639047366004</v>
      </c>
      <c r="AV186" s="38">
        <v>0</v>
      </c>
      <c r="AW186" s="38">
        <v>0</v>
      </c>
      <c r="AX186" s="38">
        <v>547.62889332901318</v>
      </c>
      <c r="AY186" s="38">
        <v>180.05514671200763</v>
      </c>
      <c r="AZ186" s="49">
        <v>3.0414509295028807</v>
      </c>
      <c r="BA186" s="38">
        <v>386.95250285535309</v>
      </c>
      <c r="BB186" s="38">
        <v>296.41694857311001</v>
      </c>
      <c r="BC186" s="38">
        <v>0</v>
      </c>
      <c r="BD186" s="38">
        <v>0</v>
      </c>
      <c r="BE186" s="38">
        <v>683.36945142846321</v>
      </c>
      <c r="BF186" s="38">
        <v>257.97249758789525</v>
      </c>
      <c r="BG186" s="38">
        <v>-3.8506291020044929</v>
      </c>
      <c r="BH186" s="49">
        <v>2.6490011835297622</v>
      </c>
      <c r="BI186" s="38">
        <v>7.8042685262737983</v>
      </c>
      <c r="BJ186" s="38">
        <v>18.034477541676623</v>
      </c>
      <c r="BK186" s="38">
        <v>0</v>
      </c>
      <c r="BL186" s="38">
        <v>13.944838877147536</v>
      </c>
      <c r="BM186" s="38">
        <v>39.78358494509795</v>
      </c>
      <c r="BN186" s="38">
        <v>386.95250285535309</v>
      </c>
      <c r="BO186" s="38">
        <v>0</v>
      </c>
      <c r="BP186" s="38">
        <v>296.41694857311001</v>
      </c>
      <c r="BQ186" s="38">
        <v>0</v>
      </c>
      <c r="BR186" s="38">
        <v>0</v>
      </c>
      <c r="BS186" s="38">
        <v>0</v>
      </c>
      <c r="BT186" s="38">
        <v>0</v>
      </c>
      <c r="BU186" s="38">
        <v>0</v>
      </c>
      <c r="BV186" s="38">
        <v>38.67804829407477</v>
      </c>
      <c r="BW186" s="38">
        <v>0</v>
      </c>
      <c r="BX186" s="38">
        <v>397.19693611669118</v>
      </c>
      <c r="BY186" s="38"/>
      <c r="BZ186" s="38">
        <v>0</v>
      </c>
      <c r="CA186" s="38">
        <v>0</v>
      </c>
      <c r="CB186" s="38">
        <v>722.04749972253785</v>
      </c>
      <c r="CC186" s="38">
        <v>397.19693611669118</v>
      </c>
      <c r="CD186" s="49">
        <v>1.8178576773069819</v>
      </c>
      <c r="CE186" s="38">
        <v>6.2201833668279116</v>
      </c>
      <c r="CF186" s="38">
        <v>6.9790846279010017</v>
      </c>
      <c r="CG186" s="38">
        <v>0</v>
      </c>
      <c r="CH186" s="38">
        <v>6.9790846279010017</v>
      </c>
      <c r="CI186" s="38">
        <v>0.34895200537758647</v>
      </c>
      <c r="CJ186" s="38">
        <v>0</v>
      </c>
      <c r="CK186" s="38">
        <v>0.34895200537758647</v>
      </c>
      <c r="CL186" s="38"/>
      <c r="CM186" s="38">
        <v>0</v>
      </c>
      <c r="CN186" s="38"/>
      <c r="CO186" s="38">
        <v>0</v>
      </c>
      <c r="CP186" s="38">
        <v>0</v>
      </c>
      <c r="CQ186" s="38">
        <v>0</v>
      </c>
      <c r="CR186" s="38">
        <v>0</v>
      </c>
      <c r="CS186" s="38">
        <v>0</v>
      </c>
      <c r="CT186" s="38">
        <v>0</v>
      </c>
      <c r="CU186" s="38">
        <v>0</v>
      </c>
      <c r="CV186" s="38">
        <v>9999</v>
      </c>
      <c r="CW186" s="49">
        <v>9999</v>
      </c>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row>
    <row r="187" spans="1:131">
      <c r="A187" s="27" t="s">
        <v>863</v>
      </c>
      <c r="B187" s="27" t="s">
        <v>71</v>
      </c>
      <c r="C187" s="38">
        <v>45</v>
      </c>
      <c r="D187" s="38">
        <v>690.44069557456953</v>
      </c>
      <c r="E187" s="38">
        <v>0</v>
      </c>
      <c r="F187" s="38">
        <v>680.29789045028565</v>
      </c>
      <c r="G187" s="38">
        <v>0</v>
      </c>
      <c r="H187" s="38">
        <v>0</v>
      </c>
      <c r="I187" s="38" t="s">
        <v>1360</v>
      </c>
      <c r="J187" s="38"/>
      <c r="K187" s="38"/>
      <c r="L187" s="38">
        <v>744.5579718839374</v>
      </c>
      <c r="M187" s="38">
        <v>0.38934340794320083</v>
      </c>
      <c r="N187" s="38">
        <v>0.38653330182321771</v>
      </c>
      <c r="O187" s="38">
        <v>0</v>
      </c>
      <c r="P187" s="38">
        <v>0</v>
      </c>
      <c r="Q187" s="38">
        <v>0</v>
      </c>
      <c r="R187" s="38">
        <v>88.980055945429257</v>
      </c>
      <c r="S187" s="38">
        <v>205.61937549977574</v>
      </c>
      <c r="T187" s="38">
        <v>0</v>
      </c>
      <c r="U187" s="38">
        <v>158.99152358241821</v>
      </c>
      <c r="V187" s="38" t="s">
        <v>1584</v>
      </c>
      <c r="W187" s="38" t="s">
        <v>1584</v>
      </c>
      <c r="X187" s="38" t="s">
        <v>1584</v>
      </c>
      <c r="Y187" s="38" t="s">
        <v>1584</v>
      </c>
      <c r="Z187" s="38">
        <v>0</v>
      </c>
      <c r="AA187" s="38">
        <v>0</v>
      </c>
      <c r="AB187" s="38">
        <v>0</v>
      </c>
      <c r="AC187" s="38">
        <v>0</v>
      </c>
      <c r="AD187" s="38">
        <v>0</v>
      </c>
      <c r="AE187" s="38">
        <v>0</v>
      </c>
      <c r="AF187" s="38">
        <v>0</v>
      </c>
      <c r="AG187" s="38">
        <v>0</v>
      </c>
      <c r="AH187" s="38">
        <v>88.980055945429257</v>
      </c>
      <c r="AI187" s="38">
        <v>205.61937549977574</v>
      </c>
      <c r="AJ187" s="38">
        <v>0</v>
      </c>
      <c r="AK187" s="38">
        <v>158.99152358241821</v>
      </c>
      <c r="AL187" s="38">
        <v>453.59095502762324</v>
      </c>
      <c r="AM187" s="38">
        <v>392.17877815054089</v>
      </c>
      <c r="AN187" s="38">
        <v>137.57390332945954</v>
      </c>
      <c r="AO187" s="38">
        <v>0</v>
      </c>
      <c r="AP187" s="38">
        <v>0</v>
      </c>
      <c r="AQ187" s="38">
        <v>529.75268148000043</v>
      </c>
      <c r="AR187" s="38">
        <v>88.980055945429257</v>
      </c>
      <c r="AS187" s="49">
        <v>5.9536114677753567</v>
      </c>
      <c r="AT187" s="38">
        <v>392.17877815054089</v>
      </c>
      <c r="AU187" s="38">
        <v>162.84652516423807</v>
      </c>
      <c r="AV187" s="38">
        <v>0</v>
      </c>
      <c r="AW187" s="38">
        <v>0</v>
      </c>
      <c r="AX187" s="38">
        <v>555.02530331477897</v>
      </c>
      <c r="AY187" s="38">
        <v>205.61937549977574</v>
      </c>
      <c r="AZ187" s="49">
        <v>2.6992850355942468</v>
      </c>
      <c r="BA187" s="38">
        <v>392.17877815054089</v>
      </c>
      <c r="BB187" s="38">
        <v>300.42042849369761</v>
      </c>
      <c r="BC187" s="38">
        <v>0</v>
      </c>
      <c r="BD187" s="38">
        <v>0</v>
      </c>
      <c r="BE187" s="38">
        <v>692.59920664423851</v>
      </c>
      <c r="BF187" s="38">
        <v>294.59943144520503</v>
      </c>
      <c r="BG187" s="38">
        <v>-0.57526635622757627</v>
      </c>
      <c r="BH187" s="49">
        <v>2.3509862298327646</v>
      </c>
      <c r="BI187" s="38">
        <v>8.7935506811343416</v>
      </c>
      <c r="BJ187" s="38">
        <v>20.320558132592982</v>
      </c>
      <c r="BK187" s="38">
        <v>0</v>
      </c>
      <c r="BL187" s="38">
        <v>15.712510018539479</v>
      </c>
      <c r="BM187" s="38">
        <v>44.826618832266803</v>
      </c>
      <c r="BN187" s="38">
        <v>392.17877815054089</v>
      </c>
      <c r="BO187" s="38">
        <v>0</v>
      </c>
      <c r="BP187" s="38">
        <v>300.42042849369761</v>
      </c>
      <c r="BQ187" s="38">
        <v>0</v>
      </c>
      <c r="BR187" s="38">
        <v>0</v>
      </c>
      <c r="BS187" s="38">
        <v>0</v>
      </c>
      <c r="BT187" s="38">
        <v>0</v>
      </c>
      <c r="BU187" s="38">
        <v>0</v>
      </c>
      <c r="BV187" s="38">
        <v>40.004020939653152</v>
      </c>
      <c r="BW187" s="38">
        <v>0</v>
      </c>
      <c r="BX187" s="38">
        <v>453.59095502762324</v>
      </c>
      <c r="BY187" s="38"/>
      <c r="BZ187" s="38">
        <v>0</v>
      </c>
      <c r="CA187" s="38">
        <v>0</v>
      </c>
      <c r="CB187" s="38">
        <v>732.60322758389168</v>
      </c>
      <c r="CC187" s="38">
        <v>453.59095502762324</v>
      </c>
      <c r="CD187" s="49">
        <v>1.6151186867014948</v>
      </c>
      <c r="CE187" s="38">
        <v>11.183802839598307</v>
      </c>
      <c r="CF187" s="38">
        <v>7.0733458545494274</v>
      </c>
      <c r="CG187" s="38">
        <v>0</v>
      </c>
      <c r="CH187" s="38">
        <v>7.0733458545494274</v>
      </c>
      <c r="CI187" s="38">
        <v>0.3536650366448702</v>
      </c>
      <c r="CJ187" s="38">
        <v>0</v>
      </c>
      <c r="CK187" s="38">
        <v>0.3536650366448702</v>
      </c>
      <c r="CL187" s="38"/>
      <c r="CM187" s="38">
        <v>0</v>
      </c>
      <c r="CN187" s="38"/>
      <c r="CO187" s="38">
        <v>0</v>
      </c>
      <c r="CP187" s="38">
        <v>0</v>
      </c>
      <c r="CQ187" s="38">
        <v>0</v>
      </c>
      <c r="CR187" s="38">
        <v>0</v>
      </c>
      <c r="CS187" s="38">
        <v>0</v>
      </c>
      <c r="CT187" s="38">
        <v>0</v>
      </c>
      <c r="CU187" s="38">
        <v>0</v>
      </c>
      <c r="CV187" s="38">
        <v>9999</v>
      </c>
      <c r="CW187" s="49">
        <v>9999</v>
      </c>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row>
    <row r="188" spans="1:131">
      <c r="A188" s="27" t="s">
        <v>864</v>
      </c>
      <c r="B188" s="27" t="s">
        <v>73</v>
      </c>
      <c r="C188" s="38">
        <v>45</v>
      </c>
      <c r="D188" s="38">
        <v>130.89547865323169</v>
      </c>
      <c r="E188" s="38">
        <v>0</v>
      </c>
      <c r="F188" s="38">
        <v>511.13785022512633</v>
      </c>
      <c r="G188" s="38">
        <v>0</v>
      </c>
      <c r="H188" s="38">
        <v>0</v>
      </c>
      <c r="I188" s="38" t="s">
        <v>1360</v>
      </c>
      <c r="J188" s="38"/>
      <c r="K188" s="38"/>
      <c r="L188" s="38">
        <v>141.1551676190291</v>
      </c>
      <c r="M188" s="38">
        <v>7.3812699729113154E-2</v>
      </c>
      <c r="N188" s="38">
        <v>7.3279952763299572E-2</v>
      </c>
      <c r="O188" s="38">
        <v>0</v>
      </c>
      <c r="P188" s="38">
        <v>0</v>
      </c>
      <c r="Q188" s="38">
        <v>0</v>
      </c>
      <c r="R188" s="38">
        <v>66.854645806345957</v>
      </c>
      <c r="S188" s="38">
        <v>154.49091792423954</v>
      </c>
      <c r="T188" s="38">
        <v>0</v>
      </c>
      <c r="U188" s="38">
        <v>119.45735347517366</v>
      </c>
      <c r="V188" s="38" t="s">
        <v>1584</v>
      </c>
      <c r="W188" s="38" t="s">
        <v>1584</v>
      </c>
      <c r="X188" s="38" t="s">
        <v>1584</v>
      </c>
      <c r="Y188" s="38" t="s">
        <v>1584</v>
      </c>
      <c r="Z188" s="38">
        <v>0</v>
      </c>
      <c r="AA188" s="38">
        <v>0</v>
      </c>
      <c r="AB188" s="38">
        <v>0</v>
      </c>
      <c r="AC188" s="38">
        <v>0</v>
      </c>
      <c r="AD188" s="38">
        <v>0</v>
      </c>
      <c r="AE188" s="38">
        <v>0</v>
      </c>
      <c r="AF188" s="38">
        <v>0</v>
      </c>
      <c r="AG188" s="38">
        <v>0</v>
      </c>
      <c r="AH188" s="38">
        <v>66.854645806345957</v>
      </c>
      <c r="AI188" s="38">
        <v>154.49091792423954</v>
      </c>
      <c r="AJ188" s="38">
        <v>0</v>
      </c>
      <c r="AK188" s="38">
        <v>119.45735347517366</v>
      </c>
      <c r="AL188" s="38">
        <v>340.80291720575917</v>
      </c>
      <c r="AM188" s="38">
        <v>74.350236323968801</v>
      </c>
      <c r="AN188" s="38">
        <v>26.081605620765647</v>
      </c>
      <c r="AO188" s="38">
        <v>0</v>
      </c>
      <c r="AP188" s="38">
        <v>0</v>
      </c>
      <c r="AQ188" s="38">
        <v>100.43184194473444</v>
      </c>
      <c r="AR188" s="38">
        <v>66.854645806345957</v>
      </c>
      <c r="AS188" s="49">
        <v>1.5022417774173786</v>
      </c>
      <c r="AT188" s="38">
        <v>74.350236323968801</v>
      </c>
      <c r="AU188" s="38">
        <v>30.87285265050879</v>
      </c>
      <c r="AV188" s="38">
        <v>0</v>
      </c>
      <c r="AW188" s="38">
        <v>0</v>
      </c>
      <c r="AX188" s="38">
        <v>105.22308897447759</v>
      </c>
      <c r="AY188" s="38">
        <v>154.49091792423954</v>
      </c>
      <c r="AZ188" s="50">
        <v>0.6810956293630005</v>
      </c>
      <c r="BA188" s="38">
        <v>74.350236323968801</v>
      </c>
      <c r="BB188" s="38">
        <v>56.954458271274433</v>
      </c>
      <c r="BC188" s="38">
        <v>0</v>
      </c>
      <c r="BD188" s="38">
        <v>0</v>
      </c>
      <c r="BE188" s="38">
        <v>131.30469459524323</v>
      </c>
      <c r="BF188" s="38">
        <v>221.3455637305855</v>
      </c>
      <c r="BG188" s="38">
        <v>85.694243308196363</v>
      </c>
      <c r="BH188" s="50">
        <v>0.59321132252310671</v>
      </c>
      <c r="BI188" s="38">
        <v>34.850171899539397</v>
      </c>
      <c r="BJ188" s="38">
        <v>80.533446578611873</v>
      </c>
      <c r="BK188" s="38">
        <v>0</v>
      </c>
      <c r="BL188" s="38">
        <v>62.27105465987934</v>
      </c>
      <c r="BM188" s="38">
        <v>177.6546731380306</v>
      </c>
      <c r="BN188" s="38">
        <v>74.350236323968801</v>
      </c>
      <c r="BO188" s="38">
        <v>0</v>
      </c>
      <c r="BP188" s="38">
        <v>56.954458271274433</v>
      </c>
      <c r="BQ188" s="38">
        <v>0</v>
      </c>
      <c r="BR188" s="38">
        <v>0</v>
      </c>
      <c r="BS188" s="38">
        <v>0</v>
      </c>
      <c r="BT188" s="38">
        <v>0</v>
      </c>
      <c r="BU188" s="38">
        <v>0</v>
      </c>
      <c r="BV188" s="38">
        <v>15.892273553090316</v>
      </c>
      <c r="BW188" s="38">
        <v>0</v>
      </c>
      <c r="BX188" s="38">
        <v>340.80291720575917</v>
      </c>
      <c r="BY188" s="38"/>
      <c r="BZ188" s="38">
        <v>0</v>
      </c>
      <c r="CA188" s="38">
        <v>0</v>
      </c>
      <c r="CB188" s="38">
        <v>147.19696814833355</v>
      </c>
      <c r="CC188" s="38">
        <v>340.80291720575917</v>
      </c>
      <c r="CD188" s="50">
        <v>0.43191228923508196</v>
      </c>
      <c r="CE188" s="38">
        <v>139.6809303146444</v>
      </c>
      <c r="CF188" s="38">
        <v>1.3409826466567307</v>
      </c>
      <c r="CG188" s="38">
        <v>0</v>
      </c>
      <c r="CH188" s="38">
        <v>1.3409826466567307</v>
      </c>
      <c r="CI188" s="38">
        <v>6.7048704619038821E-2</v>
      </c>
      <c r="CJ188" s="38">
        <v>0</v>
      </c>
      <c r="CK188" s="38">
        <v>6.7048704619038821E-2</v>
      </c>
      <c r="CL188" s="38"/>
      <c r="CM188" s="38">
        <v>0</v>
      </c>
      <c r="CN188" s="38"/>
      <c r="CO188" s="38">
        <v>0</v>
      </c>
      <c r="CP188" s="38">
        <v>0</v>
      </c>
      <c r="CQ188" s="38">
        <v>0</v>
      </c>
      <c r="CR188" s="38">
        <v>0</v>
      </c>
      <c r="CS188" s="38">
        <v>0</v>
      </c>
      <c r="CT188" s="38">
        <v>0</v>
      </c>
      <c r="CU188" s="38">
        <v>0</v>
      </c>
      <c r="CV188" s="38">
        <v>9999</v>
      </c>
      <c r="CW188" s="49">
        <v>9999</v>
      </c>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row>
    <row r="189" spans="1:131">
      <c r="A189" s="27" t="s">
        <v>865</v>
      </c>
      <c r="B189" s="27" t="s">
        <v>75</v>
      </c>
      <c r="C189" s="38">
        <v>45</v>
      </c>
      <c r="D189" s="38">
        <v>141.94847572410728</v>
      </c>
      <c r="E189" s="38">
        <v>0</v>
      </c>
      <c r="F189" s="38">
        <v>595.71787033770602</v>
      </c>
      <c r="G189" s="38">
        <v>0</v>
      </c>
      <c r="H189" s="38">
        <v>0</v>
      </c>
      <c r="I189" s="38" t="s">
        <v>1360</v>
      </c>
      <c r="J189" s="38"/>
      <c r="K189" s="38"/>
      <c r="L189" s="38">
        <v>153.07450715836742</v>
      </c>
      <c r="M189" s="38">
        <v>8.004554720630265E-2</v>
      </c>
      <c r="N189" s="38">
        <v>7.9467814342479154E-2</v>
      </c>
      <c r="O189" s="38">
        <v>0</v>
      </c>
      <c r="P189" s="38">
        <v>0</v>
      </c>
      <c r="Q189" s="38">
        <v>0</v>
      </c>
      <c r="R189" s="38">
        <v>77.917350875887607</v>
      </c>
      <c r="S189" s="38">
        <v>180.05514671200763</v>
      </c>
      <c r="T189" s="38">
        <v>0</v>
      </c>
      <c r="U189" s="38">
        <v>139.22443852879593</v>
      </c>
      <c r="V189" s="38" t="s">
        <v>1584</v>
      </c>
      <c r="W189" s="38" t="s">
        <v>1584</v>
      </c>
      <c r="X189" s="38" t="s">
        <v>1584</v>
      </c>
      <c r="Y189" s="38" t="s">
        <v>1584</v>
      </c>
      <c r="Z189" s="38">
        <v>0</v>
      </c>
      <c r="AA189" s="38">
        <v>0</v>
      </c>
      <c r="AB189" s="38">
        <v>0</v>
      </c>
      <c r="AC189" s="38">
        <v>0</v>
      </c>
      <c r="AD189" s="38">
        <v>0</v>
      </c>
      <c r="AE189" s="38">
        <v>0</v>
      </c>
      <c r="AF189" s="38">
        <v>0</v>
      </c>
      <c r="AG189" s="38">
        <v>0</v>
      </c>
      <c r="AH189" s="38">
        <v>77.917350875887607</v>
      </c>
      <c r="AI189" s="38">
        <v>180.05514671200763</v>
      </c>
      <c r="AJ189" s="38">
        <v>0</v>
      </c>
      <c r="AK189" s="38">
        <v>139.22443852879593</v>
      </c>
      <c r="AL189" s="38">
        <v>397.19693611669118</v>
      </c>
      <c r="AM189" s="38">
        <v>80.628474142135275</v>
      </c>
      <c r="AN189" s="38">
        <v>28.283972833874401</v>
      </c>
      <c r="AO189" s="38">
        <v>0</v>
      </c>
      <c r="AP189" s="38">
        <v>0</v>
      </c>
      <c r="AQ189" s="38">
        <v>108.91244697600968</v>
      </c>
      <c r="AR189" s="38">
        <v>77.917350875887607</v>
      </c>
      <c r="AS189" s="49">
        <v>1.3977945316633429</v>
      </c>
      <c r="AT189" s="38">
        <v>80.628474142135275</v>
      </c>
      <c r="AU189" s="38">
        <v>33.479799455903454</v>
      </c>
      <c r="AV189" s="38">
        <v>0</v>
      </c>
      <c r="AW189" s="38">
        <v>0</v>
      </c>
      <c r="AX189" s="38">
        <v>114.10827359803872</v>
      </c>
      <c r="AY189" s="38">
        <v>180.05514671200763</v>
      </c>
      <c r="AZ189" s="50">
        <v>0.63374069379172593</v>
      </c>
      <c r="BA189" s="38">
        <v>80.628474142135275</v>
      </c>
      <c r="BB189" s="38">
        <v>61.763772289777854</v>
      </c>
      <c r="BC189" s="38">
        <v>0</v>
      </c>
      <c r="BD189" s="38">
        <v>0</v>
      </c>
      <c r="BE189" s="38">
        <v>142.39224643191312</v>
      </c>
      <c r="BF189" s="38">
        <v>257.97249758789525</v>
      </c>
      <c r="BG189" s="38">
        <v>94.316040634042395</v>
      </c>
      <c r="BH189" s="50">
        <v>0.55196677073453482</v>
      </c>
      <c r="BI189" s="38">
        <v>37.454277429005174</v>
      </c>
      <c r="BJ189" s="38">
        <v>86.551138374992121</v>
      </c>
      <c r="BK189" s="38">
        <v>0</v>
      </c>
      <c r="BL189" s="38">
        <v>66.924127770477114</v>
      </c>
      <c r="BM189" s="38">
        <v>190.92954357447439</v>
      </c>
      <c r="BN189" s="38">
        <v>80.628474142135275</v>
      </c>
      <c r="BO189" s="38">
        <v>0</v>
      </c>
      <c r="BP189" s="38">
        <v>61.763772289777854</v>
      </c>
      <c r="BQ189" s="38">
        <v>0</v>
      </c>
      <c r="BR189" s="38">
        <v>0</v>
      </c>
      <c r="BS189" s="38">
        <v>0</v>
      </c>
      <c r="BT189" s="38">
        <v>0</v>
      </c>
      <c r="BU189" s="38">
        <v>0</v>
      </c>
      <c r="BV189" s="38">
        <v>17.430628350651823</v>
      </c>
      <c r="BW189" s="38">
        <v>0</v>
      </c>
      <c r="BX189" s="38">
        <v>397.19693611669118</v>
      </c>
      <c r="BY189" s="38"/>
      <c r="BZ189" s="38">
        <v>0</v>
      </c>
      <c r="CA189" s="38">
        <v>0</v>
      </c>
      <c r="CB189" s="38">
        <v>159.82287478256495</v>
      </c>
      <c r="CC189" s="38">
        <v>397.19693611669118</v>
      </c>
      <c r="CD189" s="50">
        <v>0.40237690739792392</v>
      </c>
      <c r="CE189" s="38">
        <v>152.86139804505098</v>
      </c>
      <c r="CF189" s="38">
        <v>1.4542170946154527</v>
      </c>
      <c r="CG189" s="38">
        <v>0</v>
      </c>
      <c r="CH189" s="38">
        <v>1.4542170946154527</v>
      </c>
      <c r="CI189" s="38">
        <v>7.271039090022452E-2</v>
      </c>
      <c r="CJ189" s="38">
        <v>0</v>
      </c>
      <c r="CK189" s="38">
        <v>7.271039090022452E-2</v>
      </c>
      <c r="CL189" s="38"/>
      <c r="CM189" s="38">
        <v>0</v>
      </c>
      <c r="CN189" s="38"/>
      <c r="CO189" s="38">
        <v>0</v>
      </c>
      <c r="CP189" s="38">
        <v>0</v>
      </c>
      <c r="CQ189" s="38">
        <v>0</v>
      </c>
      <c r="CR189" s="38">
        <v>0</v>
      </c>
      <c r="CS189" s="38">
        <v>0</v>
      </c>
      <c r="CT189" s="38">
        <v>0</v>
      </c>
      <c r="CU189" s="38">
        <v>0</v>
      </c>
      <c r="CV189" s="38">
        <v>9999</v>
      </c>
      <c r="CW189" s="49">
        <v>9999</v>
      </c>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row>
    <row r="190" spans="1:131">
      <c r="A190" s="27" t="s">
        <v>866</v>
      </c>
      <c r="B190" s="27" t="s">
        <v>77</v>
      </c>
      <c r="C190" s="38">
        <v>45</v>
      </c>
      <c r="D190" s="38">
        <v>66.962070039045258</v>
      </c>
      <c r="E190" s="38">
        <v>0</v>
      </c>
      <c r="F190" s="38">
        <v>449.62510832506831</v>
      </c>
      <c r="G190" s="38">
        <v>0</v>
      </c>
      <c r="H190" s="38">
        <v>0</v>
      </c>
      <c r="I190" s="38" t="s">
        <v>1360</v>
      </c>
      <c r="J190" s="38"/>
      <c r="K190" s="38"/>
      <c r="L190" s="38">
        <v>72.210608935690971</v>
      </c>
      <c r="M190" s="38">
        <v>3.7760289506453951E-2</v>
      </c>
      <c r="N190" s="38">
        <v>3.7487752670155694E-2</v>
      </c>
      <c r="O190" s="38">
        <v>0</v>
      </c>
      <c r="P190" s="38">
        <v>0</v>
      </c>
      <c r="Q190" s="38">
        <v>0</v>
      </c>
      <c r="R190" s="38">
        <v>58.809042119406548</v>
      </c>
      <c r="S190" s="38">
        <v>135.89875153313545</v>
      </c>
      <c r="T190" s="38">
        <v>0</v>
      </c>
      <c r="U190" s="38">
        <v>105.08129161799376</v>
      </c>
      <c r="V190" s="38" t="s">
        <v>1584</v>
      </c>
      <c r="W190" s="38" t="s">
        <v>1584</v>
      </c>
      <c r="X190" s="38" t="s">
        <v>1584</v>
      </c>
      <c r="Y190" s="38" t="s">
        <v>1584</v>
      </c>
      <c r="Z190" s="38">
        <v>0</v>
      </c>
      <c r="AA190" s="38">
        <v>0</v>
      </c>
      <c r="AB190" s="38">
        <v>0</v>
      </c>
      <c r="AC190" s="38">
        <v>0</v>
      </c>
      <c r="AD190" s="38">
        <v>0</v>
      </c>
      <c r="AE190" s="38">
        <v>0</v>
      </c>
      <c r="AF190" s="38">
        <v>0</v>
      </c>
      <c r="AG190" s="38">
        <v>0</v>
      </c>
      <c r="AH190" s="38">
        <v>58.809042119406548</v>
      </c>
      <c r="AI190" s="38">
        <v>135.89875153313545</v>
      </c>
      <c r="AJ190" s="38">
        <v>0</v>
      </c>
      <c r="AK190" s="38">
        <v>105.08129161799376</v>
      </c>
      <c r="AL190" s="38">
        <v>299.78908527053574</v>
      </c>
      <c r="AM190" s="38">
        <v>38.035276568525248</v>
      </c>
      <c r="AN190" s="38">
        <v>13.342541089102365</v>
      </c>
      <c r="AO190" s="38">
        <v>0</v>
      </c>
      <c r="AP190" s="38">
        <v>0</v>
      </c>
      <c r="AQ190" s="38">
        <v>51.377817657627617</v>
      </c>
      <c r="AR190" s="38">
        <v>58.809042119406548</v>
      </c>
      <c r="AS190" s="50">
        <v>0.87363806323030246</v>
      </c>
      <c r="AT190" s="38">
        <v>38.035276568525248</v>
      </c>
      <c r="AU190" s="38">
        <v>15.793594574532337</v>
      </c>
      <c r="AV190" s="38">
        <v>0</v>
      </c>
      <c r="AW190" s="38">
        <v>0</v>
      </c>
      <c r="AX190" s="38">
        <v>53.828871143057583</v>
      </c>
      <c r="AY190" s="38">
        <v>135.89875153313545</v>
      </c>
      <c r="AZ190" s="50">
        <v>0.39609540585023539</v>
      </c>
      <c r="BA190" s="38">
        <v>38.035276568525248</v>
      </c>
      <c r="BB190" s="38">
        <v>29.136135663634704</v>
      </c>
      <c r="BC190" s="38">
        <v>0</v>
      </c>
      <c r="BD190" s="38">
        <v>0</v>
      </c>
      <c r="BE190" s="38">
        <v>67.171412232159952</v>
      </c>
      <c r="BF190" s="38">
        <v>194.70779365254199</v>
      </c>
      <c r="BG190" s="38">
        <v>168.71554719178224</v>
      </c>
      <c r="BH190" s="50">
        <v>0.34498573976975988</v>
      </c>
      <c r="BI190" s="38">
        <v>59.925713383053655</v>
      </c>
      <c r="BJ190" s="38">
        <v>138.47920897868349</v>
      </c>
      <c r="BK190" s="38">
        <v>0</v>
      </c>
      <c r="BL190" s="38">
        <v>107.07658442447213</v>
      </c>
      <c r="BM190" s="38">
        <v>305.4815067862092</v>
      </c>
      <c r="BN190" s="38">
        <v>38.035276568525248</v>
      </c>
      <c r="BO190" s="38">
        <v>0</v>
      </c>
      <c r="BP190" s="38">
        <v>29.136135663634704</v>
      </c>
      <c r="BQ190" s="38">
        <v>0</v>
      </c>
      <c r="BR190" s="38">
        <v>0</v>
      </c>
      <c r="BS190" s="38">
        <v>0</v>
      </c>
      <c r="BT190" s="38">
        <v>0</v>
      </c>
      <c r="BU190" s="38">
        <v>0</v>
      </c>
      <c r="BV190" s="38">
        <v>8.770931198266112</v>
      </c>
      <c r="BW190" s="38">
        <v>0</v>
      </c>
      <c r="BX190" s="38">
        <v>299.78908527053574</v>
      </c>
      <c r="BY190" s="38"/>
      <c r="BZ190" s="38">
        <v>0</v>
      </c>
      <c r="CA190" s="38">
        <v>0</v>
      </c>
      <c r="CB190" s="38">
        <v>75.942343430426064</v>
      </c>
      <c r="CC190" s="38">
        <v>299.78908527053574</v>
      </c>
      <c r="CD190" s="50">
        <v>0.25331924063177336</v>
      </c>
      <c r="CE190" s="38">
        <v>266.85465720504754</v>
      </c>
      <c r="CF190" s="38">
        <v>0.68600516099151965</v>
      </c>
      <c r="CG190" s="38">
        <v>0</v>
      </c>
      <c r="CH190" s="38">
        <v>0.68600516099151965</v>
      </c>
      <c r="CI190" s="38">
        <v>3.4300039244453212E-2</v>
      </c>
      <c r="CJ190" s="38">
        <v>0</v>
      </c>
      <c r="CK190" s="38">
        <v>3.4300039244453212E-2</v>
      </c>
      <c r="CL190" s="38"/>
      <c r="CM190" s="38">
        <v>0</v>
      </c>
      <c r="CN190" s="38"/>
      <c r="CO190" s="38">
        <v>0</v>
      </c>
      <c r="CP190" s="38">
        <v>0</v>
      </c>
      <c r="CQ190" s="38">
        <v>0</v>
      </c>
      <c r="CR190" s="38">
        <v>0</v>
      </c>
      <c r="CS190" s="38">
        <v>0</v>
      </c>
      <c r="CT190" s="38">
        <v>0</v>
      </c>
      <c r="CU190" s="38">
        <v>0</v>
      </c>
      <c r="CV190" s="38">
        <v>9999</v>
      </c>
      <c r="CW190" s="49">
        <v>9999</v>
      </c>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row>
    <row r="191" spans="1:131">
      <c r="A191" s="27" t="s">
        <v>867</v>
      </c>
      <c r="B191" s="27" t="s">
        <v>79</v>
      </c>
      <c r="C191" s="38">
        <v>45</v>
      </c>
      <c r="D191" s="38">
        <v>80.649304594009479</v>
      </c>
      <c r="E191" s="38">
        <v>0</v>
      </c>
      <c r="F191" s="38">
        <v>534.20512843764811</v>
      </c>
      <c r="G191" s="38">
        <v>0</v>
      </c>
      <c r="H191" s="38">
        <v>0</v>
      </c>
      <c r="I191" s="38" t="s">
        <v>1360</v>
      </c>
      <c r="J191" s="38"/>
      <c r="K191" s="38"/>
      <c r="L191" s="38">
        <v>86.970659532742232</v>
      </c>
      <c r="M191" s="38">
        <v>4.5478598379474544E-2</v>
      </c>
      <c r="N191" s="38">
        <v>4.5150354250956877E-2</v>
      </c>
      <c r="O191" s="38">
        <v>0</v>
      </c>
      <c r="P191" s="38">
        <v>0</v>
      </c>
      <c r="Q191" s="38">
        <v>0</v>
      </c>
      <c r="R191" s="38">
        <v>69.87174718894822</v>
      </c>
      <c r="S191" s="38">
        <v>161.4629803209036</v>
      </c>
      <c r="T191" s="38">
        <v>0</v>
      </c>
      <c r="U191" s="38">
        <v>124.84837667161611</v>
      </c>
      <c r="V191" s="38" t="s">
        <v>1584</v>
      </c>
      <c r="W191" s="38" t="s">
        <v>1584</v>
      </c>
      <c r="X191" s="38" t="s">
        <v>1584</v>
      </c>
      <c r="Y191" s="38" t="s">
        <v>1584</v>
      </c>
      <c r="Z191" s="38">
        <v>0</v>
      </c>
      <c r="AA191" s="38">
        <v>0</v>
      </c>
      <c r="AB191" s="38">
        <v>0</v>
      </c>
      <c r="AC191" s="38">
        <v>0</v>
      </c>
      <c r="AD191" s="38">
        <v>0</v>
      </c>
      <c r="AE191" s="38">
        <v>0</v>
      </c>
      <c r="AF191" s="38">
        <v>0</v>
      </c>
      <c r="AG191" s="38">
        <v>0</v>
      </c>
      <c r="AH191" s="38">
        <v>69.87174718894822</v>
      </c>
      <c r="AI191" s="38">
        <v>161.4629803209036</v>
      </c>
      <c r="AJ191" s="38">
        <v>0</v>
      </c>
      <c r="AK191" s="38">
        <v>124.84837667161611</v>
      </c>
      <c r="AL191" s="38">
        <v>356.18310418146791</v>
      </c>
      <c r="AM191" s="38">
        <v>45.809793566771894</v>
      </c>
      <c r="AN191" s="38">
        <v>16.069793835908218</v>
      </c>
      <c r="AO191" s="38">
        <v>0</v>
      </c>
      <c r="AP191" s="38">
        <v>0</v>
      </c>
      <c r="AQ191" s="38">
        <v>61.879587402680116</v>
      </c>
      <c r="AR191" s="38">
        <v>69.87174718894822</v>
      </c>
      <c r="AS191" s="50">
        <v>0.88561671766049321</v>
      </c>
      <c r="AT191" s="38">
        <v>45.809793566771894</v>
      </c>
      <c r="AU191" s="38">
        <v>19.021849514703497</v>
      </c>
      <c r="AV191" s="38">
        <v>0</v>
      </c>
      <c r="AW191" s="38">
        <v>0</v>
      </c>
      <c r="AX191" s="38">
        <v>64.831643081475391</v>
      </c>
      <c r="AY191" s="38">
        <v>161.4629803209036</v>
      </c>
      <c r="AZ191" s="50">
        <v>0.40152636197241087</v>
      </c>
      <c r="BA191" s="38">
        <v>45.809793566771894</v>
      </c>
      <c r="BB191" s="38">
        <v>35.091643350611719</v>
      </c>
      <c r="BC191" s="38">
        <v>0</v>
      </c>
      <c r="BD191" s="38">
        <v>0</v>
      </c>
      <c r="BE191" s="38">
        <v>80.901436917383606</v>
      </c>
      <c r="BF191" s="38">
        <v>231.3347275098518</v>
      </c>
      <c r="BG191" s="38">
        <v>166.03196641148901</v>
      </c>
      <c r="BH191" s="50">
        <v>0.34971591938758212</v>
      </c>
      <c r="BI191" s="38">
        <v>59.115171533759607</v>
      </c>
      <c r="BJ191" s="38">
        <v>136.60617004768429</v>
      </c>
      <c r="BK191" s="38">
        <v>0</v>
      </c>
      <c r="BL191" s="38">
        <v>105.62829039748698</v>
      </c>
      <c r="BM191" s="38">
        <v>301.34963197893086</v>
      </c>
      <c r="BN191" s="38">
        <v>45.809793566771894</v>
      </c>
      <c r="BO191" s="38">
        <v>0</v>
      </c>
      <c r="BP191" s="38">
        <v>35.091643350611719</v>
      </c>
      <c r="BQ191" s="38">
        <v>0</v>
      </c>
      <c r="BR191" s="38">
        <v>0</v>
      </c>
      <c r="BS191" s="38">
        <v>0</v>
      </c>
      <c r="BT191" s="38">
        <v>0</v>
      </c>
      <c r="BU191" s="38">
        <v>0</v>
      </c>
      <c r="BV191" s="38">
        <v>10.66467723652077</v>
      </c>
      <c r="BW191" s="38">
        <v>0</v>
      </c>
      <c r="BX191" s="38">
        <v>356.18310418146791</v>
      </c>
      <c r="BY191" s="38"/>
      <c r="BZ191" s="38">
        <v>0</v>
      </c>
      <c r="CA191" s="38">
        <v>0</v>
      </c>
      <c r="CB191" s="38">
        <v>91.566114153904394</v>
      </c>
      <c r="CC191" s="38">
        <v>356.18310418146791</v>
      </c>
      <c r="CD191" s="50">
        <v>0.25707596199524768</v>
      </c>
      <c r="CE191" s="38">
        <v>262.63737918600413</v>
      </c>
      <c r="CF191" s="38">
        <v>0.82622653615109798</v>
      </c>
      <c r="CG191" s="38">
        <v>0</v>
      </c>
      <c r="CH191" s="38">
        <v>0.82622653615109798</v>
      </c>
      <c r="CI191" s="38">
        <v>4.1311063278052562E-2</v>
      </c>
      <c r="CJ191" s="38">
        <v>0</v>
      </c>
      <c r="CK191" s="38">
        <v>4.1311063278052562E-2</v>
      </c>
      <c r="CL191" s="38"/>
      <c r="CM191" s="38">
        <v>0</v>
      </c>
      <c r="CN191" s="38"/>
      <c r="CO191" s="38">
        <v>0</v>
      </c>
      <c r="CP191" s="38">
        <v>0</v>
      </c>
      <c r="CQ191" s="38">
        <v>0</v>
      </c>
      <c r="CR191" s="38">
        <v>0</v>
      </c>
      <c r="CS191" s="38">
        <v>0</v>
      </c>
      <c r="CT191" s="38">
        <v>0</v>
      </c>
      <c r="CU191" s="38">
        <v>0</v>
      </c>
      <c r="CV191" s="38">
        <v>9999</v>
      </c>
      <c r="CW191" s="49">
        <v>9999</v>
      </c>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row>
    <row r="192" spans="1:131">
      <c r="A192" s="27" t="s">
        <v>868</v>
      </c>
      <c r="B192" s="27" t="s">
        <v>85</v>
      </c>
      <c r="C192" s="38">
        <v>45</v>
      </c>
      <c r="D192" s="38">
        <v>796.94936739987497</v>
      </c>
      <c r="E192" s="38">
        <v>0</v>
      </c>
      <c r="F192" s="38">
        <v>1060.7151001501568</v>
      </c>
      <c r="G192" s="38">
        <v>0</v>
      </c>
      <c r="H192" s="38">
        <v>0</v>
      </c>
      <c r="I192" s="38" t="s">
        <v>1360</v>
      </c>
      <c r="J192" s="38"/>
      <c r="K192" s="38"/>
      <c r="L192" s="38">
        <v>859.41487587379856</v>
      </c>
      <c r="M192" s="38">
        <v>0.44940424956184161</v>
      </c>
      <c r="N192" s="38">
        <v>0.44616065122095389</v>
      </c>
      <c r="O192" s="38">
        <v>0</v>
      </c>
      <c r="P192" s="38">
        <v>0</v>
      </c>
      <c r="Q192" s="38">
        <v>0</v>
      </c>
      <c r="R192" s="38">
        <v>138.73700077336898</v>
      </c>
      <c r="S192" s="38">
        <v>320.6001070085573</v>
      </c>
      <c r="T192" s="38">
        <v>0</v>
      </c>
      <c r="U192" s="38">
        <v>247.89832840452536</v>
      </c>
      <c r="V192" s="38" t="s">
        <v>1584</v>
      </c>
      <c r="W192" s="38" t="s">
        <v>1584</v>
      </c>
      <c r="X192" s="38" t="s">
        <v>1584</v>
      </c>
      <c r="Y192" s="38" t="s">
        <v>1584</v>
      </c>
      <c r="Z192" s="38">
        <v>0</v>
      </c>
      <c r="AA192" s="38">
        <v>0</v>
      </c>
      <c r="AB192" s="38">
        <v>0</v>
      </c>
      <c r="AC192" s="38">
        <v>0</v>
      </c>
      <c r="AD192" s="38">
        <v>0</v>
      </c>
      <c r="AE192" s="38">
        <v>0</v>
      </c>
      <c r="AF192" s="38">
        <v>0</v>
      </c>
      <c r="AG192" s="38">
        <v>0</v>
      </c>
      <c r="AH192" s="38">
        <v>138.73700077336898</v>
      </c>
      <c r="AI192" s="38">
        <v>320.6001070085573</v>
      </c>
      <c r="AJ192" s="38">
        <v>0</v>
      </c>
      <c r="AK192" s="38">
        <v>247.89832840452536</v>
      </c>
      <c r="AL192" s="38">
        <v>707.23543618645169</v>
      </c>
      <c r="AM192" s="38">
        <v>452.67700927540983</v>
      </c>
      <c r="AN192" s="38">
        <v>158.79631072137897</v>
      </c>
      <c r="AO192" s="38">
        <v>0</v>
      </c>
      <c r="AP192" s="38">
        <v>0</v>
      </c>
      <c r="AQ192" s="38">
        <v>611.47331999678886</v>
      </c>
      <c r="AR192" s="38">
        <v>138.73700077336898</v>
      </c>
      <c r="AS192" s="49">
        <v>4.4074278425237745</v>
      </c>
      <c r="AT192" s="38">
        <v>452.67700927540983</v>
      </c>
      <c r="AU192" s="38">
        <v>187.96753442365807</v>
      </c>
      <c r="AV192" s="38">
        <v>0</v>
      </c>
      <c r="AW192" s="38">
        <v>0</v>
      </c>
      <c r="AX192" s="38">
        <v>640.64454369906787</v>
      </c>
      <c r="AY192" s="38">
        <v>320.6001070085573</v>
      </c>
      <c r="AZ192" s="49">
        <v>1.9982667806220291</v>
      </c>
      <c r="BA192" s="38">
        <v>452.67700927540983</v>
      </c>
      <c r="BB192" s="38">
        <v>346.76384514503707</v>
      </c>
      <c r="BC192" s="38">
        <v>0</v>
      </c>
      <c r="BD192" s="38">
        <v>0</v>
      </c>
      <c r="BE192" s="38">
        <v>799.44085442044684</v>
      </c>
      <c r="BF192" s="38">
        <v>459.33710778192631</v>
      </c>
      <c r="BG192" s="38">
        <v>9.6383457368070076</v>
      </c>
      <c r="BH192" s="49">
        <v>1.7404229723151112</v>
      </c>
      <c r="BI192" s="38">
        <v>11.878443856198622</v>
      </c>
      <c r="BJ192" s="38">
        <v>27.449277050563285</v>
      </c>
      <c r="BK192" s="38">
        <v>0</v>
      </c>
      <c r="BL192" s="38">
        <v>21.224665082740326</v>
      </c>
      <c r="BM192" s="38">
        <v>60.552385989502241</v>
      </c>
      <c r="BN192" s="38">
        <v>452.67700927540983</v>
      </c>
      <c r="BO192" s="38">
        <v>0</v>
      </c>
      <c r="BP192" s="38">
        <v>346.76384514503707</v>
      </c>
      <c r="BQ192" s="38">
        <v>0</v>
      </c>
      <c r="BR192" s="38">
        <v>0</v>
      </c>
      <c r="BS192" s="38">
        <v>0</v>
      </c>
      <c r="BT192" s="38">
        <v>0</v>
      </c>
      <c r="BU192" s="38">
        <v>0</v>
      </c>
      <c r="BV192" s="38">
        <v>67.057424356880844</v>
      </c>
      <c r="BW192" s="38">
        <v>0</v>
      </c>
      <c r="BX192" s="38">
        <v>707.23543618645169</v>
      </c>
      <c r="BY192" s="38"/>
      <c r="BZ192" s="38">
        <v>0</v>
      </c>
      <c r="CA192" s="38">
        <v>0</v>
      </c>
      <c r="CB192" s="38">
        <v>866.49827877732776</v>
      </c>
      <c r="CC192" s="38">
        <v>707.23543618645169</v>
      </c>
      <c r="CD192" s="49">
        <v>1.2251906995068738</v>
      </c>
      <c r="CE192" s="38">
        <v>25.121659587184574</v>
      </c>
      <c r="CF192" s="38">
        <v>8.1644934030034673</v>
      </c>
      <c r="CG192" s="38">
        <v>0</v>
      </c>
      <c r="CH192" s="38">
        <v>8.1644934030034673</v>
      </c>
      <c r="CI192" s="38">
        <v>0.40822206604005429</v>
      </c>
      <c r="CJ192" s="38">
        <v>0</v>
      </c>
      <c r="CK192" s="38">
        <v>0.40822206604005429</v>
      </c>
      <c r="CL192" s="38"/>
      <c r="CM192" s="38">
        <v>0</v>
      </c>
      <c r="CN192" s="38"/>
      <c r="CO192" s="38">
        <v>0</v>
      </c>
      <c r="CP192" s="38">
        <v>0</v>
      </c>
      <c r="CQ192" s="38">
        <v>0</v>
      </c>
      <c r="CR192" s="38">
        <v>0</v>
      </c>
      <c r="CS192" s="38">
        <v>0</v>
      </c>
      <c r="CT192" s="38">
        <v>0</v>
      </c>
      <c r="CU192" s="38">
        <v>0</v>
      </c>
      <c r="CV192" s="38">
        <v>9999</v>
      </c>
      <c r="CW192" s="49">
        <v>9999</v>
      </c>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row>
    <row r="193" spans="1:131">
      <c r="A193" s="27" t="s">
        <v>869</v>
      </c>
      <c r="B193" s="27" t="s">
        <v>87</v>
      </c>
      <c r="C193" s="38">
        <v>45</v>
      </c>
      <c r="D193" s="38">
        <v>139.4214262215456</v>
      </c>
      <c r="E193" s="38">
        <v>0</v>
      </c>
      <c r="F193" s="38">
        <v>746.61170394511896</v>
      </c>
      <c r="G193" s="38">
        <v>0</v>
      </c>
      <c r="H193" s="38">
        <v>0</v>
      </c>
      <c r="I193" s="38" t="s">
        <v>1360</v>
      </c>
      <c r="J193" s="38"/>
      <c r="K193" s="38"/>
      <c r="L193" s="38">
        <v>150.34938555916642</v>
      </c>
      <c r="M193" s="38">
        <v>7.8620529718667787E-2</v>
      </c>
      <c r="N193" s="38">
        <v>7.8053081992030093E-2</v>
      </c>
      <c r="O193" s="38">
        <v>0</v>
      </c>
      <c r="P193" s="38">
        <v>0</v>
      </c>
      <c r="Q193" s="38">
        <v>0</v>
      </c>
      <c r="R193" s="38">
        <v>97.653619273428774</v>
      </c>
      <c r="S193" s="38">
        <v>225.66266110924752</v>
      </c>
      <c r="T193" s="38">
        <v>0</v>
      </c>
      <c r="U193" s="38">
        <v>174.48963755587963</v>
      </c>
      <c r="V193" s="38" t="s">
        <v>1584</v>
      </c>
      <c r="W193" s="38" t="s">
        <v>1584</v>
      </c>
      <c r="X193" s="38" t="s">
        <v>1584</v>
      </c>
      <c r="Y193" s="38" t="s">
        <v>1584</v>
      </c>
      <c r="Z193" s="38">
        <v>0</v>
      </c>
      <c r="AA193" s="38">
        <v>0</v>
      </c>
      <c r="AB193" s="38">
        <v>0</v>
      </c>
      <c r="AC193" s="38">
        <v>0</v>
      </c>
      <c r="AD193" s="38">
        <v>0</v>
      </c>
      <c r="AE193" s="38">
        <v>0</v>
      </c>
      <c r="AF193" s="38">
        <v>0</v>
      </c>
      <c r="AG193" s="38">
        <v>0</v>
      </c>
      <c r="AH193" s="38">
        <v>97.653619273428774</v>
      </c>
      <c r="AI193" s="38">
        <v>225.66266110924752</v>
      </c>
      <c r="AJ193" s="38">
        <v>0</v>
      </c>
      <c r="AK193" s="38">
        <v>174.48963755587963</v>
      </c>
      <c r="AL193" s="38">
        <v>497.80591793855592</v>
      </c>
      <c r="AM193" s="38">
        <v>79.193079049417193</v>
      </c>
      <c r="AN193" s="38">
        <v>27.780445063564063</v>
      </c>
      <c r="AO193" s="38">
        <v>0</v>
      </c>
      <c r="AP193" s="38">
        <v>0</v>
      </c>
      <c r="AQ193" s="38">
        <v>106.97352411298125</v>
      </c>
      <c r="AR193" s="38">
        <v>97.653619273428774</v>
      </c>
      <c r="AS193" s="49">
        <v>1.0954383965376324</v>
      </c>
      <c r="AT193" s="38">
        <v>79.193079049417193</v>
      </c>
      <c r="AU193" s="38">
        <v>32.883772551568491</v>
      </c>
      <c r="AV193" s="38">
        <v>0</v>
      </c>
      <c r="AW193" s="38">
        <v>0</v>
      </c>
      <c r="AX193" s="38">
        <v>112.07685160098569</v>
      </c>
      <c r="AY193" s="38">
        <v>225.66266110924752</v>
      </c>
      <c r="AZ193" s="50">
        <v>0.4966566070349015</v>
      </c>
      <c r="BA193" s="38">
        <v>79.193079049417193</v>
      </c>
      <c r="BB193" s="38">
        <v>60.664217615132557</v>
      </c>
      <c r="BC193" s="38">
        <v>0</v>
      </c>
      <c r="BD193" s="38">
        <v>0</v>
      </c>
      <c r="BE193" s="38">
        <v>139.85729666454975</v>
      </c>
      <c r="BF193" s="38">
        <v>323.31628038267627</v>
      </c>
      <c r="BG193" s="38">
        <v>128.5432490061977</v>
      </c>
      <c r="BH193" s="50">
        <v>0.43257115447145139</v>
      </c>
      <c r="BI193" s="38">
        <v>47.792175573851758</v>
      </c>
      <c r="BJ193" s="38">
        <v>110.44044860230086</v>
      </c>
      <c r="BK193" s="38">
        <v>0</v>
      </c>
      <c r="BL193" s="38">
        <v>85.396111848538894</v>
      </c>
      <c r="BM193" s="38">
        <v>243.62873602469151</v>
      </c>
      <c r="BN193" s="38">
        <v>79.193079049417193</v>
      </c>
      <c r="BO193" s="38">
        <v>0</v>
      </c>
      <c r="BP193" s="38">
        <v>60.664217615132557</v>
      </c>
      <c r="BQ193" s="38">
        <v>0</v>
      </c>
      <c r="BR193" s="38">
        <v>0</v>
      </c>
      <c r="BS193" s="38">
        <v>0</v>
      </c>
      <c r="BT193" s="38">
        <v>0</v>
      </c>
      <c r="BU193" s="38">
        <v>0</v>
      </c>
      <c r="BV193" s="38">
        <v>0.60357057613532172</v>
      </c>
      <c r="BW193" s="38">
        <v>0</v>
      </c>
      <c r="BX193" s="38">
        <v>497.80591793855592</v>
      </c>
      <c r="BY193" s="38"/>
      <c r="BZ193" s="38">
        <v>0</v>
      </c>
      <c r="CA193" s="38">
        <v>0</v>
      </c>
      <c r="CB193" s="38">
        <v>140.46086724068508</v>
      </c>
      <c r="CC193" s="38">
        <v>497.80591793855592</v>
      </c>
      <c r="CD193" s="50">
        <v>0.28215989842455452</v>
      </c>
      <c r="CE193" s="38">
        <v>213.64397035963268</v>
      </c>
      <c r="CF193" s="38">
        <v>1.4283282742754111</v>
      </c>
      <c r="CG193" s="38">
        <v>0</v>
      </c>
      <c r="CH193" s="38">
        <v>1.4283282742754111</v>
      </c>
      <c r="CI193" s="38">
        <v>7.141595814060403E-2</v>
      </c>
      <c r="CJ193" s="38">
        <v>0</v>
      </c>
      <c r="CK193" s="38">
        <v>7.141595814060403E-2</v>
      </c>
      <c r="CL193" s="38"/>
      <c r="CM193" s="38">
        <v>0</v>
      </c>
      <c r="CN193" s="38"/>
      <c r="CO193" s="38">
        <v>0</v>
      </c>
      <c r="CP193" s="38">
        <v>0</v>
      </c>
      <c r="CQ193" s="38">
        <v>0</v>
      </c>
      <c r="CR193" s="38">
        <v>0</v>
      </c>
      <c r="CS193" s="38">
        <v>0</v>
      </c>
      <c r="CT193" s="38">
        <v>0</v>
      </c>
      <c r="CU193" s="38">
        <v>0</v>
      </c>
      <c r="CV193" s="38">
        <v>9999</v>
      </c>
      <c r="CW193" s="49">
        <v>9999</v>
      </c>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row>
    <row r="194" spans="1:131">
      <c r="A194" s="27" t="s">
        <v>870</v>
      </c>
      <c r="B194" s="27" t="s">
        <v>89</v>
      </c>
      <c r="C194" s="38">
        <v>45</v>
      </c>
      <c r="D194" s="38">
        <v>149.96815693800801</v>
      </c>
      <c r="E194" s="38">
        <v>0</v>
      </c>
      <c r="F194" s="38">
        <v>775.20267326839053</v>
      </c>
      <c r="G194" s="38">
        <v>0</v>
      </c>
      <c r="H194" s="38">
        <v>0</v>
      </c>
      <c r="I194" s="38" t="s">
        <v>1360</v>
      </c>
      <c r="J194" s="38"/>
      <c r="K194" s="38"/>
      <c r="L194" s="38">
        <v>161.72277719524382</v>
      </c>
      <c r="M194" s="38">
        <v>8.4567890739138257E-2</v>
      </c>
      <c r="N194" s="38">
        <v>8.3957517627710671E-2</v>
      </c>
      <c r="O194" s="38">
        <v>0</v>
      </c>
      <c r="P194" s="38">
        <v>0</v>
      </c>
      <c r="Q194" s="38">
        <v>0</v>
      </c>
      <c r="R194" s="38">
        <v>101.39319584073942</v>
      </c>
      <c r="S194" s="38">
        <v>234.30425376991732</v>
      </c>
      <c r="T194" s="38">
        <v>0</v>
      </c>
      <c r="U194" s="38">
        <v>181.17159532352218</v>
      </c>
      <c r="V194" s="38" t="s">
        <v>1584</v>
      </c>
      <c r="W194" s="38" t="s">
        <v>1584</v>
      </c>
      <c r="X194" s="38" t="s">
        <v>1584</v>
      </c>
      <c r="Y194" s="38" t="s">
        <v>1584</v>
      </c>
      <c r="Z194" s="38">
        <v>0</v>
      </c>
      <c r="AA194" s="38">
        <v>0</v>
      </c>
      <c r="AB194" s="38">
        <v>0</v>
      </c>
      <c r="AC194" s="38">
        <v>0</v>
      </c>
      <c r="AD194" s="38">
        <v>0</v>
      </c>
      <c r="AE194" s="38">
        <v>0</v>
      </c>
      <c r="AF194" s="38">
        <v>0</v>
      </c>
      <c r="AG194" s="38">
        <v>0</v>
      </c>
      <c r="AH194" s="38">
        <v>101.39319584073942</v>
      </c>
      <c r="AI194" s="38">
        <v>234.30425376991732</v>
      </c>
      <c r="AJ194" s="38">
        <v>0</v>
      </c>
      <c r="AK194" s="38">
        <v>181.17159532352218</v>
      </c>
      <c r="AL194" s="38">
        <v>516.86904493417887</v>
      </c>
      <c r="AM194" s="38">
        <v>85.183751372726633</v>
      </c>
      <c r="AN194" s="38">
        <v>29.881936069711941</v>
      </c>
      <c r="AO194" s="38">
        <v>0</v>
      </c>
      <c r="AP194" s="38">
        <v>0</v>
      </c>
      <c r="AQ194" s="38">
        <v>115.06568744243857</v>
      </c>
      <c r="AR194" s="38">
        <v>101.39319584073942</v>
      </c>
      <c r="AS194" s="49">
        <v>1.1348462437575677</v>
      </c>
      <c r="AT194" s="38">
        <v>85.183751372726633</v>
      </c>
      <c r="AU194" s="38">
        <v>35.371311973892915</v>
      </c>
      <c r="AV194" s="38">
        <v>0</v>
      </c>
      <c r="AW194" s="38">
        <v>0</v>
      </c>
      <c r="AX194" s="38">
        <v>120.55506334661955</v>
      </c>
      <c r="AY194" s="38">
        <v>234.30425376991732</v>
      </c>
      <c r="AZ194" s="50">
        <v>0.51452357952067962</v>
      </c>
      <c r="BA194" s="38">
        <v>85.183751372726633</v>
      </c>
      <c r="BB194" s="38">
        <v>65.253248043604856</v>
      </c>
      <c r="BC194" s="38">
        <v>0</v>
      </c>
      <c r="BD194" s="38">
        <v>0</v>
      </c>
      <c r="BE194" s="38">
        <v>150.4369994163315</v>
      </c>
      <c r="BF194" s="38">
        <v>335.69744961065675</v>
      </c>
      <c r="BG194" s="38">
        <v>123.04857771214077</v>
      </c>
      <c r="BH194" s="50">
        <v>0.44813268492450253</v>
      </c>
      <c r="BI194" s="38">
        <v>46.13257916272336</v>
      </c>
      <c r="BJ194" s="38">
        <v>106.60537371937232</v>
      </c>
      <c r="BK194" s="38">
        <v>0</v>
      </c>
      <c r="BL194" s="38">
        <v>82.43070843163116</v>
      </c>
      <c r="BM194" s="38">
        <v>235.1686613137268</v>
      </c>
      <c r="BN194" s="38">
        <v>85.183751372726633</v>
      </c>
      <c r="BO194" s="38">
        <v>0</v>
      </c>
      <c r="BP194" s="38">
        <v>65.253248043604856</v>
      </c>
      <c r="BQ194" s="38">
        <v>0</v>
      </c>
      <c r="BR194" s="38">
        <v>0</v>
      </c>
      <c r="BS194" s="38">
        <v>0</v>
      </c>
      <c r="BT194" s="38">
        <v>0</v>
      </c>
      <c r="BU194" s="38">
        <v>0</v>
      </c>
      <c r="BV194" s="38">
        <v>1.9969927082731391</v>
      </c>
      <c r="BW194" s="38">
        <v>0</v>
      </c>
      <c r="BX194" s="38">
        <v>516.86904493417887</v>
      </c>
      <c r="BY194" s="38"/>
      <c r="BZ194" s="38">
        <v>0</v>
      </c>
      <c r="CA194" s="38">
        <v>0</v>
      </c>
      <c r="CB194" s="38">
        <v>152.43399212460463</v>
      </c>
      <c r="CC194" s="38">
        <v>516.86904493417887</v>
      </c>
      <c r="CD194" s="50">
        <v>0.2949180137959635</v>
      </c>
      <c r="CE194" s="38">
        <v>204.57068055699764</v>
      </c>
      <c r="CF194" s="38">
        <v>1.536376184067658</v>
      </c>
      <c r="CG194" s="38">
        <v>0</v>
      </c>
      <c r="CH194" s="38">
        <v>1.536376184067658</v>
      </c>
      <c r="CI194" s="38">
        <v>7.6818319167740803E-2</v>
      </c>
      <c r="CJ194" s="38">
        <v>0</v>
      </c>
      <c r="CK194" s="38">
        <v>7.6818319167740803E-2</v>
      </c>
      <c r="CL194" s="38"/>
      <c r="CM194" s="38">
        <v>0</v>
      </c>
      <c r="CN194" s="38"/>
      <c r="CO194" s="38">
        <v>0</v>
      </c>
      <c r="CP194" s="38">
        <v>0</v>
      </c>
      <c r="CQ194" s="38">
        <v>0</v>
      </c>
      <c r="CR194" s="38">
        <v>0</v>
      </c>
      <c r="CS194" s="38">
        <v>0</v>
      </c>
      <c r="CT194" s="38">
        <v>0</v>
      </c>
      <c r="CU194" s="38">
        <v>0</v>
      </c>
      <c r="CV194" s="38">
        <v>9999</v>
      </c>
      <c r="CW194" s="49">
        <v>9999</v>
      </c>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row>
    <row r="195" spans="1:131">
      <c r="A195" s="27" t="s">
        <v>871</v>
      </c>
      <c r="B195" s="27" t="s">
        <v>91</v>
      </c>
      <c r="C195" s="38">
        <v>45</v>
      </c>
      <c r="D195" s="38">
        <v>156.58997008561312</v>
      </c>
      <c r="E195" s="38">
        <v>0</v>
      </c>
      <c r="F195" s="38">
        <v>799.02848103778376</v>
      </c>
      <c r="G195" s="38">
        <v>0</v>
      </c>
      <c r="H195" s="38">
        <v>0</v>
      </c>
      <c r="I195" s="38" t="s">
        <v>1360</v>
      </c>
      <c r="J195" s="38"/>
      <c r="K195" s="38"/>
      <c r="L195" s="38">
        <v>168.86361318445552</v>
      </c>
      <c r="M195" s="38">
        <v>8.830196857402918E-2</v>
      </c>
      <c r="N195" s="38">
        <v>8.7664644563312563E-2</v>
      </c>
      <c r="O195" s="38">
        <v>0</v>
      </c>
      <c r="P195" s="38">
        <v>0</v>
      </c>
      <c r="Q195" s="38">
        <v>0</v>
      </c>
      <c r="R195" s="38">
        <v>104.50950964683166</v>
      </c>
      <c r="S195" s="38">
        <v>241.50558098714225</v>
      </c>
      <c r="T195" s="38">
        <v>0</v>
      </c>
      <c r="U195" s="38">
        <v>186.73989346322435</v>
      </c>
      <c r="V195" s="38" t="s">
        <v>1584</v>
      </c>
      <c r="W195" s="38" t="s">
        <v>1584</v>
      </c>
      <c r="X195" s="38" t="s">
        <v>1584</v>
      </c>
      <c r="Y195" s="38" t="s">
        <v>1584</v>
      </c>
      <c r="Z195" s="38">
        <v>0</v>
      </c>
      <c r="AA195" s="38">
        <v>0</v>
      </c>
      <c r="AB195" s="38">
        <v>0</v>
      </c>
      <c r="AC195" s="38">
        <v>0</v>
      </c>
      <c r="AD195" s="38">
        <v>0</v>
      </c>
      <c r="AE195" s="38">
        <v>0</v>
      </c>
      <c r="AF195" s="38">
        <v>0</v>
      </c>
      <c r="AG195" s="38">
        <v>0</v>
      </c>
      <c r="AH195" s="38">
        <v>104.50950964683166</v>
      </c>
      <c r="AI195" s="38">
        <v>241.50558098714225</v>
      </c>
      <c r="AJ195" s="38">
        <v>0</v>
      </c>
      <c r="AK195" s="38">
        <v>186.73989346322435</v>
      </c>
      <c r="AL195" s="38">
        <v>532.7549840971983</v>
      </c>
      <c r="AM195" s="38">
        <v>88.945022407319684</v>
      </c>
      <c r="AN195" s="38">
        <v>31.201366815427569</v>
      </c>
      <c r="AO195" s="38">
        <v>0</v>
      </c>
      <c r="AP195" s="38">
        <v>0</v>
      </c>
      <c r="AQ195" s="38">
        <v>120.14638922274725</v>
      </c>
      <c r="AR195" s="38">
        <v>104.50950964683166</v>
      </c>
      <c r="AS195" s="49">
        <v>1.1496215954773608</v>
      </c>
      <c r="AT195" s="38">
        <v>88.945022407319684</v>
      </c>
      <c r="AU195" s="38">
        <v>36.93312498446145</v>
      </c>
      <c r="AV195" s="38">
        <v>0</v>
      </c>
      <c r="AW195" s="38">
        <v>0</v>
      </c>
      <c r="AX195" s="38">
        <v>125.87814739178114</v>
      </c>
      <c r="AY195" s="38">
        <v>241.50558098714225</v>
      </c>
      <c r="AZ195" s="50">
        <v>0.52122251948489295</v>
      </c>
      <c r="BA195" s="38">
        <v>88.945022407319684</v>
      </c>
      <c r="BB195" s="38">
        <v>68.13449179988902</v>
      </c>
      <c r="BC195" s="38">
        <v>0</v>
      </c>
      <c r="BD195" s="38">
        <v>0</v>
      </c>
      <c r="BE195" s="38">
        <v>157.07951420720872</v>
      </c>
      <c r="BF195" s="38">
        <v>346.0150906339739</v>
      </c>
      <c r="BG195" s="38">
        <v>121.0855344084377</v>
      </c>
      <c r="BH195" s="50">
        <v>0.4539672357046779</v>
      </c>
      <c r="BI195" s="38">
        <v>45.539666603015014</v>
      </c>
      <c r="BJ195" s="38">
        <v>105.2352429753776</v>
      </c>
      <c r="BK195" s="38">
        <v>0</v>
      </c>
      <c r="BL195" s="38">
        <v>81.371279212155315</v>
      </c>
      <c r="BM195" s="38">
        <v>232.14618879054797</v>
      </c>
      <c r="BN195" s="38">
        <v>88.945022407319684</v>
      </c>
      <c r="BO195" s="38">
        <v>0</v>
      </c>
      <c r="BP195" s="38">
        <v>68.13449179988902</v>
      </c>
      <c r="BQ195" s="38">
        <v>0</v>
      </c>
      <c r="BR195" s="38">
        <v>0</v>
      </c>
      <c r="BS195" s="38">
        <v>0</v>
      </c>
      <c r="BT195" s="38">
        <v>0</v>
      </c>
      <c r="BU195" s="38">
        <v>0</v>
      </c>
      <c r="BV195" s="38">
        <v>2.9236791566650409</v>
      </c>
      <c r="BW195" s="38">
        <v>0</v>
      </c>
      <c r="BX195" s="38">
        <v>532.7549840971983</v>
      </c>
      <c r="BY195" s="38"/>
      <c r="BZ195" s="38">
        <v>0</v>
      </c>
      <c r="CA195" s="38">
        <v>0</v>
      </c>
      <c r="CB195" s="38">
        <v>160.00319336387372</v>
      </c>
      <c r="CC195" s="38">
        <v>532.7549840971983</v>
      </c>
      <c r="CD195" s="50">
        <v>0.30033166866568817</v>
      </c>
      <c r="CE195" s="38">
        <v>201.18283028167357</v>
      </c>
      <c r="CF195" s="38">
        <v>1.6042145587136301</v>
      </c>
      <c r="CG195" s="38">
        <v>0</v>
      </c>
      <c r="CH195" s="38">
        <v>1.6042145587136301</v>
      </c>
      <c r="CI195" s="38">
        <v>8.0210216262616388E-2</v>
      </c>
      <c r="CJ195" s="38">
        <v>0</v>
      </c>
      <c r="CK195" s="38">
        <v>8.0210216262616388E-2</v>
      </c>
      <c r="CL195" s="38"/>
      <c r="CM195" s="38">
        <v>0</v>
      </c>
      <c r="CN195" s="38"/>
      <c r="CO195" s="38">
        <v>0</v>
      </c>
      <c r="CP195" s="38">
        <v>0</v>
      </c>
      <c r="CQ195" s="38">
        <v>0</v>
      </c>
      <c r="CR195" s="38">
        <v>0</v>
      </c>
      <c r="CS195" s="38">
        <v>0</v>
      </c>
      <c r="CT195" s="38">
        <v>0</v>
      </c>
      <c r="CU195" s="38">
        <v>0</v>
      </c>
      <c r="CV195" s="38">
        <v>9999</v>
      </c>
      <c r="CW195" s="49">
        <v>9999</v>
      </c>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row>
    <row r="196" spans="1:131">
      <c r="A196" s="27" t="s">
        <v>872</v>
      </c>
      <c r="B196" s="27" t="s">
        <v>93</v>
      </c>
      <c r="C196" s="38">
        <v>45</v>
      </c>
      <c r="D196" s="38">
        <v>518.03520035066708</v>
      </c>
      <c r="E196" s="38">
        <v>0</v>
      </c>
      <c r="F196" s="38">
        <v>1405.8270926925682</v>
      </c>
      <c r="G196" s="38">
        <v>0</v>
      </c>
      <c r="H196" s="38">
        <v>0</v>
      </c>
      <c r="I196" s="38" t="s">
        <v>1360</v>
      </c>
      <c r="J196" s="38"/>
      <c r="K196" s="38"/>
      <c r="L196" s="38">
        <v>558.63920045530449</v>
      </c>
      <c r="M196" s="38">
        <v>0.29212297541532162</v>
      </c>
      <c r="N196" s="38">
        <v>0.29001456277944615</v>
      </c>
      <c r="O196" s="38">
        <v>0</v>
      </c>
      <c r="P196" s="38">
        <v>0</v>
      </c>
      <c r="Q196" s="38">
        <v>0</v>
      </c>
      <c r="R196" s="38">
        <v>183.87617411923486</v>
      </c>
      <c r="S196" s="38">
        <v>424.90987098134377</v>
      </c>
      <c r="T196" s="38">
        <v>0</v>
      </c>
      <c r="U196" s="38">
        <v>328.55399744469258</v>
      </c>
      <c r="V196" s="38" t="s">
        <v>1584</v>
      </c>
      <c r="W196" s="38" t="s">
        <v>1584</v>
      </c>
      <c r="X196" s="38" t="s">
        <v>1584</v>
      </c>
      <c r="Y196" s="38" t="s">
        <v>1584</v>
      </c>
      <c r="Z196" s="38">
        <v>0</v>
      </c>
      <c r="AA196" s="38">
        <v>0</v>
      </c>
      <c r="AB196" s="38">
        <v>0</v>
      </c>
      <c r="AC196" s="38">
        <v>0</v>
      </c>
      <c r="AD196" s="38">
        <v>0</v>
      </c>
      <c r="AE196" s="38">
        <v>0</v>
      </c>
      <c r="AF196" s="38">
        <v>0</v>
      </c>
      <c r="AG196" s="38">
        <v>0</v>
      </c>
      <c r="AH196" s="38">
        <v>183.87617411923486</v>
      </c>
      <c r="AI196" s="38">
        <v>424.90987098134377</v>
      </c>
      <c r="AJ196" s="38">
        <v>0</v>
      </c>
      <c r="AK196" s="38">
        <v>328.55399744469258</v>
      </c>
      <c r="AL196" s="38">
        <v>937.34004254527122</v>
      </c>
      <c r="AM196" s="38">
        <v>294.25034360616314</v>
      </c>
      <c r="AN196" s="38">
        <v>103.221210787687</v>
      </c>
      <c r="AO196" s="38">
        <v>0</v>
      </c>
      <c r="AP196" s="38">
        <v>0</v>
      </c>
      <c r="AQ196" s="38">
        <v>397.47155439385017</v>
      </c>
      <c r="AR196" s="38">
        <v>183.87617411923486</v>
      </c>
      <c r="AS196" s="49">
        <v>2.1616261938107812</v>
      </c>
      <c r="AT196" s="38">
        <v>294.25034360616314</v>
      </c>
      <c r="AU196" s="38">
        <v>122.18316914193954</v>
      </c>
      <c r="AV196" s="38">
        <v>0</v>
      </c>
      <c r="AW196" s="38">
        <v>0</v>
      </c>
      <c r="AX196" s="38">
        <v>416.43351274810266</v>
      </c>
      <c r="AY196" s="38">
        <v>424.90987098134377</v>
      </c>
      <c r="AZ196" s="50">
        <v>0.98005139722062784</v>
      </c>
      <c r="BA196" s="38">
        <v>294.25034360616314</v>
      </c>
      <c r="BB196" s="38">
        <v>225.40437992962654</v>
      </c>
      <c r="BC196" s="38">
        <v>0</v>
      </c>
      <c r="BD196" s="38">
        <v>0</v>
      </c>
      <c r="BE196" s="38">
        <v>519.65472353578969</v>
      </c>
      <c r="BF196" s="38">
        <v>608.78604510057858</v>
      </c>
      <c r="BG196" s="38">
        <v>50.49751958722414</v>
      </c>
      <c r="BH196" s="50">
        <v>0.85359171373571263</v>
      </c>
      <c r="BI196" s="38">
        <v>24.219443827783305</v>
      </c>
      <c r="BJ196" s="38">
        <v>55.967450929395753</v>
      </c>
      <c r="BK196" s="38">
        <v>0</v>
      </c>
      <c r="BL196" s="38">
        <v>43.275835619384829</v>
      </c>
      <c r="BM196" s="38">
        <v>123.46273037656388</v>
      </c>
      <c r="BN196" s="38">
        <v>294.25034360616314</v>
      </c>
      <c r="BO196" s="38">
        <v>0</v>
      </c>
      <c r="BP196" s="38">
        <v>225.40437992962654</v>
      </c>
      <c r="BQ196" s="38">
        <v>0</v>
      </c>
      <c r="BR196" s="38">
        <v>0</v>
      </c>
      <c r="BS196" s="38">
        <v>0</v>
      </c>
      <c r="BT196" s="38">
        <v>0</v>
      </c>
      <c r="BU196" s="38">
        <v>0</v>
      </c>
      <c r="BV196" s="38">
        <v>76.654852422820824</v>
      </c>
      <c r="BW196" s="38">
        <v>0</v>
      </c>
      <c r="BX196" s="38">
        <v>937.34004254527122</v>
      </c>
      <c r="BY196" s="38"/>
      <c r="BZ196" s="38">
        <v>0</v>
      </c>
      <c r="CA196" s="38">
        <v>0</v>
      </c>
      <c r="CB196" s="38">
        <v>596.30957595861048</v>
      </c>
      <c r="CC196" s="38">
        <v>937.34004254527122</v>
      </c>
      <c r="CD196" s="50">
        <v>0.63617209218906301</v>
      </c>
      <c r="CE196" s="38">
        <v>83.676680630501835</v>
      </c>
      <c r="CF196" s="38">
        <v>5.3071062589405624</v>
      </c>
      <c r="CG196" s="38">
        <v>0</v>
      </c>
      <c r="CH196" s="38">
        <v>5.3071062589405624</v>
      </c>
      <c r="CI196" s="38">
        <v>0.26535362021626968</v>
      </c>
      <c r="CJ196" s="38">
        <v>0</v>
      </c>
      <c r="CK196" s="38">
        <v>0.26535362021626968</v>
      </c>
      <c r="CL196" s="38"/>
      <c r="CM196" s="38">
        <v>0</v>
      </c>
      <c r="CN196" s="38"/>
      <c r="CO196" s="38">
        <v>0</v>
      </c>
      <c r="CP196" s="38">
        <v>0</v>
      </c>
      <c r="CQ196" s="38">
        <v>0</v>
      </c>
      <c r="CR196" s="38">
        <v>0</v>
      </c>
      <c r="CS196" s="38">
        <v>0</v>
      </c>
      <c r="CT196" s="38">
        <v>0</v>
      </c>
      <c r="CU196" s="38">
        <v>0</v>
      </c>
      <c r="CV196" s="38">
        <v>9999</v>
      </c>
      <c r="CW196" s="49">
        <v>9999</v>
      </c>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row>
    <row r="197" spans="1:131">
      <c r="A197" s="27" t="s">
        <v>873</v>
      </c>
      <c r="B197" s="27" t="s">
        <v>95</v>
      </c>
      <c r="C197" s="38">
        <v>45</v>
      </c>
      <c r="D197" s="38">
        <v>233.6035403810379</v>
      </c>
      <c r="E197" s="38">
        <v>0</v>
      </c>
      <c r="F197" s="38">
        <v>1405.8270926925682</v>
      </c>
      <c r="G197" s="38">
        <v>0</v>
      </c>
      <c r="H197" s="38">
        <v>0</v>
      </c>
      <c r="I197" s="38" t="s">
        <v>1360</v>
      </c>
      <c r="J197" s="38"/>
      <c r="K197" s="38"/>
      <c r="L197" s="38">
        <v>251.91356674923568</v>
      </c>
      <c r="M197" s="38">
        <v>0.13173035584737974</v>
      </c>
      <c r="N197" s="38">
        <v>0.13077958521250546</v>
      </c>
      <c r="O197" s="38">
        <v>0</v>
      </c>
      <c r="P197" s="38">
        <v>0</v>
      </c>
      <c r="Q197" s="38">
        <v>0</v>
      </c>
      <c r="R197" s="38">
        <v>183.87617411923486</v>
      </c>
      <c r="S197" s="38">
        <v>424.90987098134377</v>
      </c>
      <c r="T197" s="38">
        <v>0</v>
      </c>
      <c r="U197" s="38">
        <v>328.55399744469258</v>
      </c>
      <c r="V197" s="38" t="s">
        <v>1584</v>
      </c>
      <c r="W197" s="38" t="s">
        <v>1584</v>
      </c>
      <c r="X197" s="38" t="s">
        <v>1584</v>
      </c>
      <c r="Y197" s="38" t="s">
        <v>1584</v>
      </c>
      <c r="Z197" s="38">
        <v>0</v>
      </c>
      <c r="AA197" s="38">
        <v>0</v>
      </c>
      <c r="AB197" s="38">
        <v>0</v>
      </c>
      <c r="AC197" s="38">
        <v>0</v>
      </c>
      <c r="AD197" s="38">
        <v>0</v>
      </c>
      <c r="AE197" s="38">
        <v>0</v>
      </c>
      <c r="AF197" s="38">
        <v>0</v>
      </c>
      <c r="AG197" s="38">
        <v>0</v>
      </c>
      <c r="AH197" s="38">
        <v>183.87617411923486</v>
      </c>
      <c r="AI197" s="38">
        <v>424.90987098134377</v>
      </c>
      <c r="AJ197" s="38">
        <v>0</v>
      </c>
      <c r="AK197" s="38">
        <v>328.55399744469258</v>
      </c>
      <c r="AL197" s="38">
        <v>937.34004254527122</v>
      </c>
      <c r="AM197" s="38">
        <v>132.68967432754891</v>
      </c>
      <c r="AN197" s="38">
        <v>46.546721663119932</v>
      </c>
      <c r="AO197" s="38">
        <v>0</v>
      </c>
      <c r="AP197" s="38">
        <v>0</v>
      </c>
      <c r="AQ197" s="38">
        <v>179.23639599066885</v>
      </c>
      <c r="AR197" s="38">
        <v>183.87617411923486</v>
      </c>
      <c r="AS197" s="50">
        <v>0.97476683343673809</v>
      </c>
      <c r="AT197" s="38">
        <v>132.68967432754891</v>
      </c>
      <c r="AU197" s="38">
        <v>55.097454511221223</v>
      </c>
      <c r="AV197" s="38">
        <v>0</v>
      </c>
      <c r="AW197" s="38">
        <v>0</v>
      </c>
      <c r="AX197" s="38">
        <v>187.78712883877014</v>
      </c>
      <c r="AY197" s="38">
        <v>424.90987098134377</v>
      </c>
      <c r="AZ197" s="50">
        <v>0.44194579053922517</v>
      </c>
      <c r="BA197" s="38">
        <v>132.68967432754891</v>
      </c>
      <c r="BB197" s="38">
        <v>101.64417617434115</v>
      </c>
      <c r="BC197" s="38">
        <v>0</v>
      </c>
      <c r="BD197" s="38">
        <v>0</v>
      </c>
      <c r="BE197" s="38">
        <v>234.33385050189008</v>
      </c>
      <c r="BF197" s="38">
        <v>608.78604510057858</v>
      </c>
      <c r="BG197" s="38">
        <v>148.13170589446958</v>
      </c>
      <c r="BH197" s="50">
        <v>0.38491987848239095</v>
      </c>
      <c r="BI197" s="38">
        <v>53.708622802729913</v>
      </c>
      <c r="BJ197" s="38">
        <v>124.1124582616946</v>
      </c>
      <c r="BK197" s="38">
        <v>0</v>
      </c>
      <c r="BL197" s="38">
        <v>95.96775005577058</v>
      </c>
      <c r="BM197" s="38">
        <v>273.78883112019508</v>
      </c>
      <c r="BN197" s="38">
        <v>132.68967432754891</v>
      </c>
      <c r="BO197" s="38">
        <v>0</v>
      </c>
      <c r="BP197" s="38">
        <v>101.64417617434115</v>
      </c>
      <c r="BQ197" s="38">
        <v>0</v>
      </c>
      <c r="BR197" s="38">
        <v>0</v>
      </c>
      <c r="BS197" s="38">
        <v>0</v>
      </c>
      <c r="BT197" s="38">
        <v>0</v>
      </c>
      <c r="BU197" s="38">
        <v>0</v>
      </c>
      <c r="BV197" s="38">
        <v>33.354764316334595</v>
      </c>
      <c r="BW197" s="38">
        <v>0</v>
      </c>
      <c r="BX197" s="38">
        <v>937.34004254527122</v>
      </c>
      <c r="BY197" s="38"/>
      <c r="BZ197" s="38">
        <v>0</v>
      </c>
      <c r="CA197" s="38">
        <v>0</v>
      </c>
      <c r="CB197" s="38">
        <v>267.68861481822466</v>
      </c>
      <c r="CC197" s="38">
        <v>937.34004254527122</v>
      </c>
      <c r="CD197" s="50">
        <v>0.28558324905371357</v>
      </c>
      <c r="CE197" s="38">
        <v>234.35682091924204</v>
      </c>
      <c r="CF197" s="38">
        <v>2.393194150566726</v>
      </c>
      <c r="CG197" s="38">
        <v>0</v>
      </c>
      <c r="CH197" s="38">
        <v>2.393194150566726</v>
      </c>
      <c r="CI197" s="38">
        <v>0.11965894420588695</v>
      </c>
      <c r="CJ197" s="38">
        <v>0</v>
      </c>
      <c r="CK197" s="38">
        <v>0.11965894420588695</v>
      </c>
      <c r="CL197" s="38"/>
      <c r="CM197" s="38">
        <v>0</v>
      </c>
      <c r="CN197" s="38"/>
      <c r="CO197" s="38">
        <v>0</v>
      </c>
      <c r="CP197" s="38">
        <v>0</v>
      </c>
      <c r="CQ197" s="38">
        <v>0</v>
      </c>
      <c r="CR197" s="38">
        <v>0</v>
      </c>
      <c r="CS197" s="38">
        <v>0</v>
      </c>
      <c r="CT197" s="38">
        <v>0</v>
      </c>
      <c r="CU197" s="38">
        <v>0</v>
      </c>
      <c r="CV197" s="38">
        <v>9999</v>
      </c>
      <c r="CW197" s="49">
        <v>9999</v>
      </c>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row>
    <row r="198" spans="1:131">
      <c r="A198" s="27" t="s">
        <v>874</v>
      </c>
      <c r="B198" s="27" t="s">
        <v>99</v>
      </c>
      <c r="C198" s="38">
        <v>45</v>
      </c>
      <c r="D198" s="38">
        <v>568.40057549294102</v>
      </c>
      <c r="E198" s="38">
        <v>0</v>
      </c>
      <c r="F198" s="38">
        <v>1655.6474837848516</v>
      </c>
      <c r="G198" s="38">
        <v>0</v>
      </c>
      <c r="H198" s="38">
        <v>0</v>
      </c>
      <c r="I198" s="38" t="s">
        <v>1360</v>
      </c>
      <c r="J198" s="38"/>
      <c r="K198" s="38"/>
      <c r="L198" s="38">
        <v>612.95225269782702</v>
      </c>
      <c r="M198" s="38">
        <v>0.32052429492895801</v>
      </c>
      <c r="N198" s="38">
        <v>0.31821089430522248</v>
      </c>
      <c r="O198" s="38">
        <v>0</v>
      </c>
      <c r="P198" s="38">
        <v>0</v>
      </c>
      <c r="Q198" s="38">
        <v>0</v>
      </c>
      <c r="R198" s="38">
        <v>216.55161334628747</v>
      </c>
      <c r="S198" s="38">
        <v>500.41784112881089</v>
      </c>
      <c r="T198" s="38">
        <v>0</v>
      </c>
      <c r="U198" s="38">
        <v>386.93919187095747</v>
      </c>
      <c r="V198" s="38" t="s">
        <v>1584</v>
      </c>
      <c r="W198" s="38" t="s">
        <v>1584</v>
      </c>
      <c r="X198" s="38" t="s">
        <v>1584</v>
      </c>
      <c r="Y198" s="38" t="s">
        <v>1584</v>
      </c>
      <c r="Z198" s="38">
        <v>0</v>
      </c>
      <c r="AA198" s="38">
        <v>0</v>
      </c>
      <c r="AB198" s="38">
        <v>0</v>
      </c>
      <c r="AC198" s="38">
        <v>0</v>
      </c>
      <c r="AD198" s="38">
        <v>0</v>
      </c>
      <c r="AE198" s="38">
        <v>0</v>
      </c>
      <c r="AF198" s="38">
        <v>0</v>
      </c>
      <c r="AG198" s="38">
        <v>0</v>
      </c>
      <c r="AH198" s="38">
        <v>216.55161334628747</v>
      </c>
      <c r="AI198" s="38">
        <v>500.41784112881089</v>
      </c>
      <c r="AJ198" s="38">
        <v>0</v>
      </c>
      <c r="AK198" s="38">
        <v>386.93919187095747</v>
      </c>
      <c r="AL198" s="38">
        <v>1103.9086463460558</v>
      </c>
      <c r="AM198" s="38">
        <v>322.858494039638</v>
      </c>
      <c r="AN198" s="38">
        <v>113.25677400895545</v>
      </c>
      <c r="AO198" s="38">
        <v>0</v>
      </c>
      <c r="AP198" s="38">
        <v>0</v>
      </c>
      <c r="AQ198" s="38">
        <v>436.11526804859346</v>
      </c>
      <c r="AR198" s="38">
        <v>216.55161334628747</v>
      </c>
      <c r="AS198" s="49">
        <v>2.0139091152888433</v>
      </c>
      <c r="AT198" s="38">
        <v>322.858494039638</v>
      </c>
      <c r="AU198" s="38">
        <v>134.06228690409176</v>
      </c>
      <c r="AV198" s="38">
        <v>0</v>
      </c>
      <c r="AW198" s="38">
        <v>0</v>
      </c>
      <c r="AX198" s="38">
        <v>456.92078094372977</v>
      </c>
      <c r="AY198" s="38">
        <v>500.41784112881089</v>
      </c>
      <c r="AZ198" s="50">
        <v>0.91307851836984222</v>
      </c>
      <c r="BA198" s="38">
        <v>322.858494039638</v>
      </c>
      <c r="BB198" s="38">
        <v>247.31906091304722</v>
      </c>
      <c r="BC198" s="38">
        <v>0</v>
      </c>
      <c r="BD198" s="38">
        <v>0</v>
      </c>
      <c r="BE198" s="38">
        <v>570.17755495268523</v>
      </c>
      <c r="BF198" s="38">
        <v>716.96945447509836</v>
      </c>
      <c r="BG198" s="38">
        <v>56.379102693111989</v>
      </c>
      <c r="BH198" s="50">
        <v>0.79526059498604273</v>
      </c>
      <c r="BI198" s="38">
        <v>25.995902089234267</v>
      </c>
      <c r="BJ198" s="38">
        <v>60.072575773832618</v>
      </c>
      <c r="BK198" s="38">
        <v>0</v>
      </c>
      <c r="BL198" s="38">
        <v>46.450050364112379</v>
      </c>
      <c r="BM198" s="38">
        <v>132.51852822717925</v>
      </c>
      <c r="BN198" s="38">
        <v>322.858494039638</v>
      </c>
      <c r="BO198" s="38">
        <v>0</v>
      </c>
      <c r="BP198" s="38">
        <v>247.31906091304722</v>
      </c>
      <c r="BQ198" s="38">
        <v>0</v>
      </c>
      <c r="BR198" s="38">
        <v>0</v>
      </c>
      <c r="BS198" s="38">
        <v>0</v>
      </c>
      <c r="BT198" s="38">
        <v>0</v>
      </c>
      <c r="BU198" s="38">
        <v>0</v>
      </c>
      <c r="BV198" s="38">
        <v>85.852466108935076</v>
      </c>
      <c r="BW198" s="38">
        <v>0</v>
      </c>
      <c r="BX198" s="38">
        <v>1103.9086463460558</v>
      </c>
      <c r="BY198" s="38"/>
      <c r="BZ198" s="38">
        <v>0</v>
      </c>
      <c r="CA198" s="38">
        <v>0</v>
      </c>
      <c r="CB198" s="38">
        <v>656.03002106162035</v>
      </c>
      <c r="CC198" s="38">
        <v>1103.9086463460558</v>
      </c>
      <c r="CD198" s="50">
        <v>0.59427926688778432</v>
      </c>
      <c r="CE198" s="38">
        <v>92.523008168253753</v>
      </c>
      <c r="CF198" s="38">
        <v>5.8230835467204605</v>
      </c>
      <c r="CG198" s="38">
        <v>0</v>
      </c>
      <c r="CH198" s="38">
        <v>5.8230835467204605</v>
      </c>
      <c r="CI198" s="38">
        <v>0.29115232003146785</v>
      </c>
      <c r="CJ198" s="38">
        <v>0</v>
      </c>
      <c r="CK198" s="38">
        <v>0.29115232003146785</v>
      </c>
      <c r="CL198" s="38"/>
      <c r="CM198" s="38">
        <v>0</v>
      </c>
      <c r="CN198" s="38"/>
      <c r="CO198" s="38">
        <v>0</v>
      </c>
      <c r="CP198" s="38">
        <v>0</v>
      </c>
      <c r="CQ198" s="38">
        <v>0</v>
      </c>
      <c r="CR198" s="38">
        <v>0</v>
      </c>
      <c r="CS198" s="38">
        <v>0</v>
      </c>
      <c r="CT198" s="38">
        <v>0</v>
      </c>
      <c r="CU198" s="38">
        <v>0</v>
      </c>
      <c r="CV198" s="38">
        <v>9999</v>
      </c>
      <c r="CW198" s="49">
        <v>9999</v>
      </c>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row>
    <row r="199" spans="1:131">
      <c r="A199" s="27" t="s">
        <v>875</v>
      </c>
      <c r="B199" s="27" t="s">
        <v>101</v>
      </c>
      <c r="C199" s="38">
        <v>45</v>
      </c>
      <c r="D199" s="38">
        <v>274.16666278828347</v>
      </c>
      <c r="E199" s="38">
        <v>0</v>
      </c>
      <c r="F199" s="38">
        <v>1655.6474837848516</v>
      </c>
      <c r="G199" s="38">
        <v>0</v>
      </c>
      <c r="H199" s="38">
        <v>0</v>
      </c>
      <c r="I199" s="38" t="s">
        <v>1360</v>
      </c>
      <c r="J199" s="38"/>
      <c r="K199" s="38"/>
      <c r="L199" s="38">
        <v>295.6560580977295</v>
      </c>
      <c r="M199" s="38">
        <v>0.1546041296791954</v>
      </c>
      <c r="N199" s="38">
        <v>0.15348826640240007</v>
      </c>
      <c r="O199" s="38">
        <v>0</v>
      </c>
      <c r="P199" s="38">
        <v>0</v>
      </c>
      <c r="Q199" s="38">
        <v>0</v>
      </c>
      <c r="R199" s="38">
        <v>216.55161334628747</v>
      </c>
      <c r="S199" s="38">
        <v>500.41784112881089</v>
      </c>
      <c r="T199" s="38">
        <v>0</v>
      </c>
      <c r="U199" s="38">
        <v>386.93919187095747</v>
      </c>
      <c r="V199" s="38" t="s">
        <v>1584</v>
      </c>
      <c r="W199" s="38" t="s">
        <v>1584</v>
      </c>
      <c r="X199" s="38" t="s">
        <v>1584</v>
      </c>
      <c r="Y199" s="38" t="s">
        <v>1584</v>
      </c>
      <c r="Z199" s="38">
        <v>0</v>
      </c>
      <c r="AA199" s="38">
        <v>0</v>
      </c>
      <c r="AB199" s="38">
        <v>0</v>
      </c>
      <c r="AC199" s="38">
        <v>0</v>
      </c>
      <c r="AD199" s="38">
        <v>0</v>
      </c>
      <c r="AE199" s="38">
        <v>0</v>
      </c>
      <c r="AF199" s="38">
        <v>0</v>
      </c>
      <c r="AG199" s="38">
        <v>0</v>
      </c>
      <c r="AH199" s="38">
        <v>216.55161334628747</v>
      </c>
      <c r="AI199" s="38">
        <v>500.41784112881089</v>
      </c>
      <c r="AJ199" s="38">
        <v>0</v>
      </c>
      <c r="AK199" s="38">
        <v>386.93919187095747</v>
      </c>
      <c r="AL199" s="38">
        <v>1103.9086463460558</v>
      </c>
      <c r="AM199" s="38">
        <v>155.7300250565946</v>
      </c>
      <c r="AN199" s="38">
        <v>54.629134992119212</v>
      </c>
      <c r="AO199" s="38">
        <v>0</v>
      </c>
      <c r="AP199" s="38">
        <v>0</v>
      </c>
      <c r="AQ199" s="38">
        <v>210.35916004871382</v>
      </c>
      <c r="AR199" s="38">
        <v>216.55161334628747</v>
      </c>
      <c r="AS199" s="50">
        <v>0.97140426154354576</v>
      </c>
      <c r="AT199" s="38">
        <v>155.7300250565946</v>
      </c>
      <c r="AU199" s="38">
        <v>64.664624546490629</v>
      </c>
      <c r="AV199" s="38">
        <v>0</v>
      </c>
      <c r="AW199" s="38">
        <v>0</v>
      </c>
      <c r="AX199" s="38">
        <v>220.39464960308521</v>
      </c>
      <c r="AY199" s="38">
        <v>500.41784112881089</v>
      </c>
      <c r="AZ199" s="50">
        <v>0.44042124698418605</v>
      </c>
      <c r="BA199" s="38">
        <v>155.7300250565946</v>
      </c>
      <c r="BB199" s="38">
        <v>119.29375953860983</v>
      </c>
      <c r="BC199" s="38">
        <v>0</v>
      </c>
      <c r="BD199" s="38">
        <v>0</v>
      </c>
      <c r="BE199" s="38">
        <v>275.0237845952044</v>
      </c>
      <c r="BF199" s="38">
        <v>716.96945447509836</v>
      </c>
      <c r="BG199" s="38">
        <v>148.7472438253555</v>
      </c>
      <c r="BH199" s="50">
        <v>0.38359205246275452</v>
      </c>
      <c r="BI199" s="38">
        <v>53.894538299097555</v>
      </c>
      <c r="BJ199" s="38">
        <v>124.54208069621284</v>
      </c>
      <c r="BK199" s="38">
        <v>0</v>
      </c>
      <c r="BL199" s="38">
        <v>96.299947959120999</v>
      </c>
      <c r="BM199" s="38">
        <v>274.73656695443134</v>
      </c>
      <c r="BN199" s="38">
        <v>155.7300250565946</v>
      </c>
      <c r="BO199" s="38">
        <v>0</v>
      </c>
      <c r="BP199" s="38">
        <v>119.29375953860983</v>
      </c>
      <c r="BQ199" s="38">
        <v>0</v>
      </c>
      <c r="BR199" s="38">
        <v>0</v>
      </c>
      <c r="BS199" s="38">
        <v>0</v>
      </c>
      <c r="BT199" s="38">
        <v>0</v>
      </c>
      <c r="BU199" s="38">
        <v>0</v>
      </c>
      <c r="BV199" s="38">
        <v>40.555823797206209</v>
      </c>
      <c r="BW199" s="38">
        <v>0</v>
      </c>
      <c r="BX199" s="38">
        <v>1103.9086463460558</v>
      </c>
      <c r="BY199" s="38"/>
      <c r="BZ199" s="38">
        <v>0</v>
      </c>
      <c r="CA199" s="38">
        <v>0</v>
      </c>
      <c r="CB199" s="38">
        <v>315.57960839241065</v>
      </c>
      <c r="CC199" s="38">
        <v>1103.9086463460558</v>
      </c>
      <c r="CD199" s="50">
        <v>0.28587475008641433</v>
      </c>
      <c r="CE199" s="38">
        <v>234.95381328170464</v>
      </c>
      <c r="CF199" s="38">
        <v>2.8087504692569327</v>
      </c>
      <c r="CG199" s="38">
        <v>0</v>
      </c>
      <c r="CH199" s="38">
        <v>2.8087504692569327</v>
      </c>
      <c r="CI199" s="38">
        <v>0.1404366275964215</v>
      </c>
      <c r="CJ199" s="38">
        <v>0</v>
      </c>
      <c r="CK199" s="38">
        <v>0.1404366275964215</v>
      </c>
      <c r="CL199" s="38"/>
      <c r="CM199" s="38">
        <v>0</v>
      </c>
      <c r="CN199" s="38"/>
      <c r="CO199" s="38">
        <v>0</v>
      </c>
      <c r="CP199" s="38">
        <v>0</v>
      </c>
      <c r="CQ199" s="38">
        <v>0</v>
      </c>
      <c r="CR199" s="38">
        <v>0</v>
      </c>
      <c r="CS199" s="38">
        <v>0</v>
      </c>
      <c r="CT199" s="38">
        <v>0</v>
      </c>
      <c r="CU199" s="38">
        <v>0</v>
      </c>
      <c r="CV199" s="38">
        <v>9999</v>
      </c>
      <c r="CW199" s="49">
        <v>9999</v>
      </c>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row>
    <row r="200" spans="1:131">
      <c r="A200" s="27" t="s">
        <v>893</v>
      </c>
      <c r="B200" s="27" t="s">
        <v>1362</v>
      </c>
      <c r="C200" s="38">
        <v>15</v>
      </c>
      <c r="D200" s="38">
        <v>223.57806931485834</v>
      </c>
      <c r="E200" s="38">
        <v>0</v>
      </c>
      <c r="F200" s="38">
        <v>562.51108736151139</v>
      </c>
      <c r="G200" s="38">
        <v>0</v>
      </c>
      <c r="H200" s="38">
        <v>0</v>
      </c>
      <c r="I200" s="38" t="s">
        <v>1360</v>
      </c>
      <c r="J200" s="38"/>
      <c r="K200" s="38"/>
      <c r="L200" s="38">
        <v>241.10229149842806</v>
      </c>
      <c r="M200" s="38">
        <v>0.1260769360878535</v>
      </c>
      <c r="N200" s="38">
        <v>0.12516696930156371</v>
      </c>
      <c r="O200" s="38">
        <v>0</v>
      </c>
      <c r="P200" s="38">
        <v>0</v>
      </c>
      <c r="Q200" s="38">
        <v>0</v>
      </c>
      <c r="R200" s="38">
        <v>112.1722251254678</v>
      </c>
      <c r="S200" s="38">
        <v>259.21295096582526</v>
      </c>
      <c r="T200" s="38">
        <v>0</v>
      </c>
      <c r="U200" s="38">
        <v>327.75118307283714</v>
      </c>
      <c r="V200" s="38" t="s">
        <v>1584</v>
      </c>
      <c r="W200" s="38" t="s">
        <v>1584</v>
      </c>
      <c r="X200" s="38" t="s">
        <v>1584</v>
      </c>
      <c r="Y200" s="38" t="s">
        <v>1584</v>
      </c>
      <c r="Z200" s="38">
        <v>0</v>
      </c>
      <c r="AA200" s="38">
        <v>0</v>
      </c>
      <c r="AB200" s="38">
        <v>0</v>
      </c>
      <c r="AC200" s="38">
        <v>0</v>
      </c>
      <c r="AD200" s="38">
        <v>0</v>
      </c>
      <c r="AE200" s="38">
        <v>0</v>
      </c>
      <c r="AF200" s="38">
        <v>0</v>
      </c>
      <c r="AG200" s="38">
        <v>0</v>
      </c>
      <c r="AH200" s="38">
        <v>112.1722251254678</v>
      </c>
      <c r="AI200" s="38">
        <v>259.21295096582526</v>
      </c>
      <c r="AJ200" s="38">
        <v>0</v>
      </c>
      <c r="AK200" s="38">
        <v>327.75118307283714</v>
      </c>
      <c r="AL200" s="38">
        <v>699.13635916413023</v>
      </c>
      <c r="AM200" s="38">
        <v>126.99508387493088</v>
      </c>
      <c r="AN200" s="38">
        <v>44.549094356196619</v>
      </c>
      <c r="AO200" s="38">
        <v>0</v>
      </c>
      <c r="AP200" s="38">
        <v>0</v>
      </c>
      <c r="AQ200" s="38">
        <v>171.54417823112749</v>
      </c>
      <c r="AR200" s="38">
        <v>112.1722251254678</v>
      </c>
      <c r="AS200" s="49">
        <v>1.5292928177117864</v>
      </c>
      <c r="AT200" s="38">
        <v>126.99508387493088</v>
      </c>
      <c r="AU200" s="38">
        <v>52.732858772982887</v>
      </c>
      <c r="AV200" s="38">
        <v>0</v>
      </c>
      <c r="AW200" s="38">
        <v>0</v>
      </c>
      <c r="AX200" s="38">
        <v>179.72794264791378</v>
      </c>
      <c r="AY200" s="38">
        <v>259.21295096582526</v>
      </c>
      <c r="AZ200" s="50">
        <v>0.69336019661922366</v>
      </c>
      <c r="BA200" s="38">
        <v>126.99508387493088</v>
      </c>
      <c r="BB200" s="38">
        <v>97.281953129179499</v>
      </c>
      <c r="BC200" s="38">
        <v>0</v>
      </c>
      <c r="BD200" s="38">
        <v>0</v>
      </c>
      <c r="BE200" s="38">
        <v>224.27703700411041</v>
      </c>
      <c r="BF200" s="38">
        <v>371.38517609129303</v>
      </c>
      <c r="BG200" s="38">
        <v>83.653269286336155</v>
      </c>
      <c r="BH200" s="50">
        <v>0.60389334696810615</v>
      </c>
      <c r="BI200" s="38">
        <v>34.233721345791238</v>
      </c>
      <c r="BJ200" s="38">
        <v>79.10892311049983</v>
      </c>
      <c r="BK200" s="38">
        <v>0</v>
      </c>
      <c r="BL200" s="38">
        <v>100.026032821573</v>
      </c>
      <c r="BM200" s="38">
        <v>213.36867727786407</v>
      </c>
      <c r="BN200" s="38">
        <v>126.99508387493088</v>
      </c>
      <c r="BO200" s="38">
        <v>0</v>
      </c>
      <c r="BP200" s="38">
        <v>97.281953129179499</v>
      </c>
      <c r="BQ200" s="38">
        <v>0</v>
      </c>
      <c r="BR200" s="38">
        <v>0</v>
      </c>
      <c r="BS200" s="38">
        <v>0</v>
      </c>
      <c r="BT200" s="38">
        <v>0</v>
      </c>
      <c r="BU200" s="38">
        <v>0</v>
      </c>
      <c r="BV200" s="38">
        <v>34.258043830907702</v>
      </c>
      <c r="BW200" s="38">
        <v>0</v>
      </c>
      <c r="BX200" s="38">
        <v>699.13635916413023</v>
      </c>
      <c r="BY200" s="38"/>
      <c r="BZ200" s="38">
        <v>0</v>
      </c>
      <c r="CA200" s="38">
        <v>0</v>
      </c>
      <c r="CB200" s="38">
        <v>258.53508083501811</v>
      </c>
      <c r="CC200" s="38">
        <v>699.13635916413023</v>
      </c>
      <c r="CD200" s="50">
        <v>0.3697920690952422</v>
      </c>
      <c r="CE200" s="38">
        <v>173.22412637213847</v>
      </c>
      <c r="CF200" s="38">
        <v>2.2904863804998845</v>
      </c>
      <c r="CG200" s="38">
        <v>0</v>
      </c>
      <c r="CH200" s="38">
        <v>2.2904863804998845</v>
      </c>
      <c r="CI200" s="38">
        <v>0.11452358846175331</v>
      </c>
      <c r="CJ200" s="38">
        <v>0</v>
      </c>
      <c r="CK200" s="38">
        <v>0.11452358846175331</v>
      </c>
      <c r="CL200" s="38"/>
      <c r="CM200" s="38">
        <v>0</v>
      </c>
      <c r="CN200" s="38"/>
      <c r="CO200" s="38">
        <v>0</v>
      </c>
      <c r="CP200" s="38">
        <v>0</v>
      </c>
      <c r="CQ200" s="38">
        <v>0</v>
      </c>
      <c r="CR200" s="38">
        <v>0</v>
      </c>
      <c r="CS200" s="38">
        <v>0</v>
      </c>
      <c r="CT200" s="38">
        <v>0</v>
      </c>
      <c r="CU200" s="38">
        <v>0</v>
      </c>
      <c r="CV200" s="38">
        <v>9999</v>
      </c>
      <c r="CW200" s="49">
        <v>9999</v>
      </c>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row>
    <row r="201" spans="1:131">
      <c r="A201" s="27" t="s">
        <v>876</v>
      </c>
      <c r="B201" s="27" t="s">
        <v>68</v>
      </c>
      <c r="C201" s="38">
        <v>45</v>
      </c>
      <c r="D201" s="38">
        <v>1173.4276067115773</v>
      </c>
      <c r="E201" s="38">
        <v>0</v>
      </c>
      <c r="F201" s="38">
        <v>603.23323201580342</v>
      </c>
      <c r="G201" s="38">
        <v>0</v>
      </c>
      <c r="H201" s="38">
        <v>0</v>
      </c>
      <c r="I201" s="38" t="s">
        <v>1360</v>
      </c>
      <c r="J201" s="38"/>
      <c r="K201" s="38"/>
      <c r="L201" s="38">
        <v>1265.4017710800392</v>
      </c>
      <c r="M201" s="38">
        <v>0.66170245511314385</v>
      </c>
      <c r="N201" s="38">
        <v>0.65692658352835376</v>
      </c>
      <c r="O201" s="38">
        <v>0</v>
      </c>
      <c r="P201" s="38">
        <v>0</v>
      </c>
      <c r="Q201" s="38">
        <v>0</v>
      </c>
      <c r="R201" s="38">
        <v>78.900328056846718</v>
      </c>
      <c r="S201" s="38">
        <v>182.32665746721887</v>
      </c>
      <c r="T201" s="38">
        <v>0</v>
      </c>
      <c r="U201" s="38">
        <v>140.98084380396554</v>
      </c>
      <c r="V201" s="38" t="s">
        <v>1584</v>
      </c>
      <c r="W201" s="38" t="s">
        <v>1584</v>
      </c>
      <c r="X201" s="38" t="s">
        <v>1584</v>
      </c>
      <c r="Y201" s="38" t="s">
        <v>1584</v>
      </c>
      <c r="Z201" s="38">
        <v>0</v>
      </c>
      <c r="AA201" s="38">
        <v>0</v>
      </c>
      <c r="AB201" s="38">
        <v>0</v>
      </c>
      <c r="AC201" s="38">
        <v>0</v>
      </c>
      <c r="AD201" s="38">
        <v>0</v>
      </c>
      <c r="AE201" s="38">
        <v>0</v>
      </c>
      <c r="AF201" s="38">
        <v>0</v>
      </c>
      <c r="AG201" s="38">
        <v>0</v>
      </c>
      <c r="AH201" s="38">
        <v>78.900328056846718</v>
      </c>
      <c r="AI201" s="38">
        <v>182.32665746721887</v>
      </c>
      <c r="AJ201" s="38">
        <v>0</v>
      </c>
      <c r="AK201" s="38">
        <v>140.98084380396554</v>
      </c>
      <c r="AL201" s="38">
        <v>402.20782932803115</v>
      </c>
      <c r="AM201" s="38">
        <v>666.52126387958162</v>
      </c>
      <c r="AN201" s="38">
        <v>233.81156001460289</v>
      </c>
      <c r="AO201" s="38">
        <v>0</v>
      </c>
      <c r="AP201" s="38">
        <v>0</v>
      </c>
      <c r="AQ201" s="38">
        <v>900.33282389418446</v>
      </c>
      <c r="AR201" s="38">
        <v>78.900328056846718</v>
      </c>
      <c r="AS201" s="49">
        <v>11.411014961122921</v>
      </c>
      <c r="AT201" s="38">
        <v>666.52126387958162</v>
      </c>
      <c r="AU201" s="38">
        <v>276.763246299885</v>
      </c>
      <c r="AV201" s="38">
        <v>0</v>
      </c>
      <c r="AW201" s="38">
        <v>0</v>
      </c>
      <c r="AX201" s="38">
        <v>943.28451017946668</v>
      </c>
      <c r="AY201" s="38">
        <v>182.32665746721887</v>
      </c>
      <c r="AZ201" s="49">
        <v>5.1735962435940728</v>
      </c>
      <c r="BA201" s="38">
        <v>666.52126387958162</v>
      </c>
      <c r="BB201" s="38">
        <v>510.57480631448789</v>
      </c>
      <c r="BC201" s="38">
        <v>0</v>
      </c>
      <c r="BD201" s="38">
        <v>0</v>
      </c>
      <c r="BE201" s="38">
        <v>1177.0960701940696</v>
      </c>
      <c r="BF201" s="38">
        <v>261.22698552406558</v>
      </c>
      <c r="BG201" s="38">
        <v>-14.499307266441335</v>
      </c>
      <c r="BH201" s="49">
        <v>4.5060278433049925</v>
      </c>
      <c r="BI201" s="38">
        <v>4.5879691119529715</v>
      </c>
      <c r="BJ201" s="38">
        <v>10.602098791560604</v>
      </c>
      <c r="BK201" s="38">
        <v>0</v>
      </c>
      <c r="BL201" s="38">
        <v>8.1978842506667089</v>
      </c>
      <c r="BM201" s="38">
        <v>23.387952154180287</v>
      </c>
      <c r="BN201" s="38">
        <v>666.52126387958162</v>
      </c>
      <c r="BO201" s="38">
        <v>0</v>
      </c>
      <c r="BP201" s="38">
        <v>510.57480631448789</v>
      </c>
      <c r="BQ201" s="38">
        <v>0</v>
      </c>
      <c r="BR201" s="38">
        <v>0</v>
      </c>
      <c r="BS201" s="38">
        <v>0</v>
      </c>
      <c r="BT201" s="38">
        <v>0</v>
      </c>
      <c r="BU201" s="38">
        <v>0</v>
      </c>
      <c r="BV201" s="38">
        <v>55.836999673617726</v>
      </c>
      <c r="BW201" s="38">
        <v>0</v>
      </c>
      <c r="BX201" s="38">
        <v>402.20782932803115</v>
      </c>
      <c r="BY201" s="38"/>
      <c r="BZ201" s="38">
        <v>0</v>
      </c>
      <c r="CA201" s="38">
        <v>0</v>
      </c>
      <c r="CB201" s="38">
        <v>1232.9330698676872</v>
      </c>
      <c r="CC201" s="38">
        <v>402.20782932803115</v>
      </c>
      <c r="CD201" s="49">
        <v>3.0654129033926294</v>
      </c>
      <c r="CE201" s="38">
        <v>-9.548284418202666</v>
      </c>
      <c r="CF201" s="38">
        <v>12.021393511053201</v>
      </c>
      <c r="CG201" s="38">
        <v>0</v>
      </c>
      <c r="CH201" s="38">
        <v>12.021393511053201</v>
      </c>
      <c r="CI201" s="38">
        <v>0.60106584126301854</v>
      </c>
      <c r="CJ201" s="38">
        <v>0</v>
      </c>
      <c r="CK201" s="38">
        <v>0.60106584126301854</v>
      </c>
      <c r="CL201" s="38"/>
      <c r="CM201" s="38">
        <v>0</v>
      </c>
      <c r="CN201" s="38"/>
      <c r="CO201" s="38">
        <v>0</v>
      </c>
      <c r="CP201" s="38">
        <v>0</v>
      </c>
      <c r="CQ201" s="38">
        <v>0</v>
      </c>
      <c r="CR201" s="38">
        <v>0</v>
      </c>
      <c r="CS201" s="38">
        <v>0</v>
      </c>
      <c r="CT201" s="38">
        <v>0</v>
      </c>
      <c r="CU201" s="38">
        <v>0</v>
      </c>
      <c r="CV201" s="38">
        <v>9999</v>
      </c>
      <c r="CW201" s="49">
        <v>9999</v>
      </c>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row>
    <row r="202" spans="1:131">
      <c r="A202" s="27" t="s">
        <v>877</v>
      </c>
      <c r="B202" s="27" t="s">
        <v>71</v>
      </c>
      <c r="C202" s="38">
        <v>45</v>
      </c>
      <c r="D202" s="38">
        <v>1190.1309605509246</v>
      </c>
      <c r="E202" s="38">
        <v>0</v>
      </c>
      <c r="F202" s="38">
        <v>688.8802831401041</v>
      </c>
      <c r="G202" s="38">
        <v>0</v>
      </c>
      <c r="H202" s="38">
        <v>0</v>
      </c>
      <c r="I202" s="38" t="s">
        <v>1360</v>
      </c>
      <c r="J202" s="38"/>
      <c r="K202" s="38"/>
      <c r="L202" s="38">
        <v>1283.4143467262859</v>
      </c>
      <c r="M202" s="38">
        <v>0.67112157068610512</v>
      </c>
      <c r="N202" s="38">
        <v>0.66627771614905129</v>
      </c>
      <c r="O202" s="38">
        <v>0</v>
      </c>
      <c r="P202" s="38">
        <v>0</v>
      </c>
      <c r="Q202" s="38">
        <v>0</v>
      </c>
      <c r="R202" s="38">
        <v>90.102596221396041</v>
      </c>
      <c r="S202" s="38">
        <v>208.21339534012282</v>
      </c>
      <c r="T202" s="38">
        <v>0</v>
      </c>
      <c r="U202" s="38">
        <v>160.99730326936341</v>
      </c>
      <c r="V202" s="38" t="s">
        <v>1584</v>
      </c>
      <c r="W202" s="38" t="s">
        <v>1584</v>
      </c>
      <c r="X202" s="38" t="s">
        <v>1584</v>
      </c>
      <c r="Y202" s="38" t="s">
        <v>1584</v>
      </c>
      <c r="Z202" s="38">
        <v>0</v>
      </c>
      <c r="AA202" s="38">
        <v>0</v>
      </c>
      <c r="AB202" s="38">
        <v>0</v>
      </c>
      <c r="AC202" s="38">
        <v>0</v>
      </c>
      <c r="AD202" s="38">
        <v>0</v>
      </c>
      <c r="AE202" s="38">
        <v>0</v>
      </c>
      <c r="AF202" s="38">
        <v>0</v>
      </c>
      <c r="AG202" s="38">
        <v>0</v>
      </c>
      <c r="AH202" s="38">
        <v>90.102596221396041</v>
      </c>
      <c r="AI202" s="38">
        <v>208.21339534012282</v>
      </c>
      <c r="AJ202" s="38">
        <v>0</v>
      </c>
      <c r="AK202" s="38">
        <v>160.99730326936341</v>
      </c>
      <c r="AL202" s="38">
        <v>459.31329483088223</v>
      </c>
      <c r="AM202" s="38">
        <v>676.00897360138435</v>
      </c>
      <c r="AN202" s="38">
        <v>237.13979023205806</v>
      </c>
      <c r="AO202" s="38">
        <v>0</v>
      </c>
      <c r="AP202" s="38">
        <v>0</v>
      </c>
      <c r="AQ202" s="38">
        <v>913.14876383344244</v>
      </c>
      <c r="AR202" s="38">
        <v>90.102596221396041</v>
      </c>
      <c r="AS202" s="49">
        <v>10.134544420781111</v>
      </c>
      <c r="AT202" s="38">
        <v>676.00897360138435</v>
      </c>
      <c r="AU202" s="38">
        <v>280.70287956420589</v>
      </c>
      <c r="AV202" s="38">
        <v>0</v>
      </c>
      <c r="AW202" s="38">
        <v>0</v>
      </c>
      <c r="AX202" s="38">
        <v>956.71185316559024</v>
      </c>
      <c r="AY202" s="38">
        <v>208.21339534012282</v>
      </c>
      <c r="AZ202" s="49">
        <v>4.5948621682230044</v>
      </c>
      <c r="BA202" s="38">
        <v>676.00897360138435</v>
      </c>
      <c r="BB202" s="38">
        <v>517.84266979626398</v>
      </c>
      <c r="BC202" s="38">
        <v>0</v>
      </c>
      <c r="BD202" s="38">
        <v>0</v>
      </c>
      <c r="BE202" s="38">
        <v>1193.8516433976483</v>
      </c>
      <c r="BF202" s="38">
        <v>298.31599156151884</v>
      </c>
      <c r="BG202" s="38">
        <v>-12.586081236777112</v>
      </c>
      <c r="BH202" s="49">
        <v>4.0019699820599524</v>
      </c>
      <c r="BI202" s="38">
        <v>5.1658349901070428</v>
      </c>
      <c r="BJ202" s="38">
        <v>11.937458943070752</v>
      </c>
      <c r="BK202" s="38">
        <v>0</v>
      </c>
      <c r="BL202" s="38">
        <v>9.2304277281663722</v>
      </c>
      <c r="BM202" s="38">
        <v>26.333721661344164</v>
      </c>
      <c r="BN202" s="38">
        <v>676.00897360138435</v>
      </c>
      <c r="BO202" s="38">
        <v>0</v>
      </c>
      <c r="BP202" s="38">
        <v>517.84266979626398</v>
      </c>
      <c r="BQ202" s="38">
        <v>0</v>
      </c>
      <c r="BR202" s="38">
        <v>0</v>
      </c>
      <c r="BS202" s="38">
        <v>0</v>
      </c>
      <c r="BT202" s="38">
        <v>0</v>
      </c>
      <c r="BU202" s="38">
        <v>0</v>
      </c>
      <c r="BV202" s="38">
        <v>57.883841075917509</v>
      </c>
      <c r="BW202" s="38">
        <v>0</v>
      </c>
      <c r="BX202" s="38">
        <v>459.31329483088223</v>
      </c>
      <c r="BY202" s="38"/>
      <c r="BZ202" s="38">
        <v>0</v>
      </c>
      <c r="CA202" s="38">
        <v>0</v>
      </c>
      <c r="CB202" s="38">
        <v>1251.7354844735657</v>
      </c>
      <c r="CC202" s="38">
        <v>459.31329483088223</v>
      </c>
      <c r="CD202" s="49">
        <v>2.7252324253632829</v>
      </c>
      <c r="CE202" s="38">
        <v>-6.674296745671688</v>
      </c>
      <c r="CF202" s="38">
        <v>12.192514071289438</v>
      </c>
      <c r="CG202" s="38">
        <v>0</v>
      </c>
      <c r="CH202" s="38">
        <v>12.192514071289438</v>
      </c>
      <c r="CI202" s="38">
        <v>0.60962181469498589</v>
      </c>
      <c r="CJ202" s="38">
        <v>0</v>
      </c>
      <c r="CK202" s="38">
        <v>0.60962181469498589</v>
      </c>
      <c r="CL202" s="38"/>
      <c r="CM202" s="38">
        <v>0</v>
      </c>
      <c r="CN202" s="38"/>
      <c r="CO202" s="38">
        <v>0</v>
      </c>
      <c r="CP202" s="38">
        <v>0</v>
      </c>
      <c r="CQ202" s="38">
        <v>0</v>
      </c>
      <c r="CR202" s="38">
        <v>0</v>
      </c>
      <c r="CS202" s="38">
        <v>0</v>
      </c>
      <c r="CT202" s="38">
        <v>0</v>
      </c>
      <c r="CU202" s="38">
        <v>0</v>
      </c>
      <c r="CV202" s="38">
        <v>9999</v>
      </c>
      <c r="CW202" s="49">
        <v>9999</v>
      </c>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row>
    <row r="203" spans="1:131">
      <c r="A203" s="27" t="s">
        <v>878</v>
      </c>
      <c r="B203" s="27" t="s">
        <v>73</v>
      </c>
      <c r="C203" s="38">
        <v>45</v>
      </c>
      <c r="D203" s="38">
        <v>216.95046659279743</v>
      </c>
      <c r="E203" s="38">
        <v>0</v>
      </c>
      <c r="F203" s="38">
        <v>517.58618089150252</v>
      </c>
      <c r="G203" s="38">
        <v>0</v>
      </c>
      <c r="H203" s="38">
        <v>0</v>
      </c>
      <c r="I203" s="38" t="s">
        <v>1360</v>
      </c>
      <c r="J203" s="38"/>
      <c r="K203" s="38"/>
      <c r="L203" s="38">
        <v>233.95521214343199</v>
      </c>
      <c r="M203" s="38">
        <v>0.12233959347922661</v>
      </c>
      <c r="N203" s="38">
        <v>0.12145660115589858</v>
      </c>
      <c r="O203" s="38">
        <v>0</v>
      </c>
      <c r="P203" s="38">
        <v>0</v>
      </c>
      <c r="Q203" s="38">
        <v>0</v>
      </c>
      <c r="R203" s="38">
        <v>67.698059892297323</v>
      </c>
      <c r="S203" s="38">
        <v>156.43991959431489</v>
      </c>
      <c r="T203" s="38">
        <v>0</v>
      </c>
      <c r="U203" s="38">
        <v>120.96438433856761</v>
      </c>
      <c r="V203" s="38" t="s">
        <v>1584</v>
      </c>
      <c r="W203" s="38" t="s">
        <v>1584</v>
      </c>
      <c r="X203" s="38" t="s">
        <v>1584</v>
      </c>
      <c r="Y203" s="38" t="s">
        <v>1584</v>
      </c>
      <c r="Z203" s="38">
        <v>0</v>
      </c>
      <c r="AA203" s="38">
        <v>0</v>
      </c>
      <c r="AB203" s="38">
        <v>0</v>
      </c>
      <c r="AC203" s="38">
        <v>0</v>
      </c>
      <c r="AD203" s="38">
        <v>0</v>
      </c>
      <c r="AE203" s="38">
        <v>0</v>
      </c>
      <c r="AF203" s="38">
        <v>0</v>
      </c>
      <c r="AG203" s="38">
        <v>0</v>
      </c>
      <c r="AH203" s="38">
        <v>67.698059892297323</v>
      </c>
      <c r="AI203" s="38">
        <v>156.43991959431489</v>
      </c>
      <c r="AJ203" s="38">
        <v>0</v>
      </c>
      <c r="AK203" s="38">
        <v>120.96438433856761</v>
      </c>
      <c r="AL203" s="38">
        <v>345.10236382517985</v>
      </c>
      <c r="AM203" s="38">
        <v>123.23052429108128</v>
      </c>
      <c r="AN203" s="38">
        <v>43.228510007627619</v>
      </c>
      <c r="AO203" s="38">
        <v>0</v>
      </c>
      <c r="AP203" s="38">
        <v>0</v>
      </c>
      <c r="AQ203" s="38">
        <v>166.4590342987089</v>
      </c>
      <c r="AR203" s="38">
        <v>67.698059892297323</v>
      </c>
      <c r="AS203" s="49">
        <v>2.4588449737486284</v>
      </c>
      <c r="AT203" s="38">
        <v>123.23052429108128</v>
      </c>
      <c r="AU203" s="38">
        <v>51.169680240236481</v>
      </c>
      <c r="AV203" s="38">
        <v>0</v>
      </c>
      <c r="AW203" s="38">
        <v>0</v>
      </c>
      <c r="AX203" s="38">
        <v>174.40020453131777</v>
      </c>
      <c r="AY203" s="38">
        <v>156.43991959431489</v>
      </c>
      <c r="AZ203" s="49">
        <v>1.1148062782413726</v>
      </c>
      <c r="BA203" s="38">
        <v>123.23052429108128</v>
      </c>
      <c r="BB203" s="38">
        <v>94.398190247864108</v>
      </c>
      <c r="BC203" s="38">
        <v>0</v>
      </c>
      <c r="BD203" s="38">
        <v>0</v>
      </c>
      <c r="BE203" s="38">
        <v>217.62871453894539</v>
      </c>
      <c r="BF203" s="38">
        <v>224.13797948661221</v>
      </c>
      <c r="BG203" s="38">
        <v>40.804736479227422</v>
      </c>
      <c r="BH203" s="50">
        <v>0.97095867035753469</v>
      </c>
      <c r="BI203" s="38">
        <v>21.291860502230019</v>
      </c>
      <c r="BJ203" s="38">
        <v>49.202251146952314</v>
      </c>
      <c r="BK203" s="38">
        <v>0</v>
      </c>
      <c r="BL203" s="38">
        <v>38.044765258745109</v>
      </c>
      <c r="BM203" s="38">
        <v>108.53887690792746</v>
      </c>
      <c r="BN203" s="38">
        <v>123.23052429108128</v>
      </c>
      <c r="BO203" s="38">
        <v>0</v>
      </c>
      <c r="BP203" s="38">
        <v>94.398190247864108</v>
      </c>
      <c r="BQ203" s="38">
        <v>0</v>
      </c>
      <c r="BR203" s="38">
        <v>0</v>
      </c>
      <c r="BS203" s="38">
        <v>0</v>
      </c>
      <c r="BT203" s="38">
        <v>0</v>
      </c>
      <c r="BU203" s="38">
        <v>0</v>
      </c>
      <c r="BV203" s="38">
        <v>24.820458291518538</v>
      </c>
      <c r="BW203" s="38">
        <v>0</v>
      </c>
      <c r="BX203" s="38">
        <v>345.10236382517985</v>
      </c>
      <c r="BY203" s="38"/>
      <c r="BZ203" s="38">
        <v>0</v>
      </c>
      <c r="CA203" s="38">
        <v>0</v>
      </c>
      <c r="CB203" s="38">
        <v>242.44917283046394</v>
      </c>
      <c r="CC203" s="38">
        <v>345.10236382517985</v>
      </c>
      <c r="CD203" s="50">
        <v>0.70254277641889051</v>
      </c>
      <c r="CE203" s="38">
        <v>71.043166720614664</v>
      </c>
      <c r="CF203" s="38">
        <v>2.2225886935006032</v>
      </c>
      <c r="CG203" s="38">
        <v>0</v>
      </c>
      <c r="CH203" s="38">
        <v>2.2225886935006032</v>
      </c>
      <c r="CI203" s="38">
        <v>0.1111287257681302</v>
      </c>
      <c r="CJ203" s="38">
        <v>0</v>
      </c>
      <c r="CK203" s="38">
        <v>0.1111287257681302</v>
      </c>
      <c r="CL203" s="38"/>
      <c r="CM203" s="38">
        <v>0</v>
      </c>
      <c r="CN203" s="38"/>
      <c r="CO203" s="38">
        <v>0</v>
      </c>
      <c r="CP203" s="38">
        <v>0</v>
      </c>
      <c r="CQ203" s="38">
        <v>0</v>
      </c>
      <c r="CR203" s="38">
        <v>0</v>
      </c>
      <c r="CS203" s="38">
        <v>0</v>
      </c>
      <c r="CT203" s="38">
        <v>0</v>
      </c>
      <c r="CU203" s="38">
        <v>0</v>
      </c>
      <c r="CV203" s="38">
        <v>9999</v>
      </c>
      <c r="CW203" s="49">
        <v>9999</v>
      </c>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row>
    <row r="204" spans="1:131">
      <c r="A204" s="27" t="s">
        <v>879</v>
      </c>
      <c r="B204" s="27" t="s">
        <v>75</v>
      </c>
      <c r="C204" s="38">
        <v>45</v>
      </c>
      <c r="D204" s="38">
        <v>235.4189244120071</v>
      </c>
      <c r="E204" s="38">
        <v>0</v>
      </c>
      <c r="F204" s="38">
        <v>603.23323201580342</v>
      </c>
      <c r="G204" s="38">
        <v>0</v>
      </c>
      <c r="H204" s="38">
        <v>0</v>
      </c>
      <c r="I204" s="38" t="s">
        <v>1360</v>
      </c>
      <c r="J204" s="38"/>
      <c r="K204" s="38"/>
      <c r="L204" s="38">
        <v>253.8712419861568</v>
      </c>
      <c r="M204" s="38">
        <v>0.13275406115599428</v>
      </c>
      <c r="N204" s="38">
        <v>0.13179590187527651</v>
      </c>
      <c r="O204" s="38">
        <v>0</v>
      </c>
      <c r="P204" s="38">
        <v>0</v>
      </c>
      <c r="Q204" s="38">
        <v>0</v>
      </c>
      <c r="R204" s="38">
        <v>78.900328056846718</v>
      </c>
      <c r="S204" s="38">
        <v>182.32665746721887</v>
      </c>
      <c r="T204" s="38">
        <v>0</v>
      </c>
      <c r="U204" s="38">
        <v>140.98084380396554</v>
      </c>
      <c r="V204" s="38" t="s">
        <v>1584</v>
      </c>
      <c r="W204" s="38" t="s">
        <v>1584</v>
      </c>
      <c r="X204" s="38" t="s">
        <v>1584</v>
      </c>
      <c r="Y204" s="38" t="s">
        <v>1584</v>
      </c>
      <c r="Z204" s="38">
        <v>0</v>
      </c>
      <c r="AA204" s="38">
        <v>0</v>
      </c>
      <c r="AB204" s="38">
        <v>0</v>
      </c>
      <c r="AC204" s="38">
        <v>0</v>
      </c>
      <c r="AD204" s="38">
        <v>0</v>
      </c>
      <c r="AE204" s="38">
        <v>0</v>
      </c>
      <c r="AF204" s="38">
        <v>0</v>
      </c>
      <c r="AG204" s="38">
        <v>0</v>
      </c>
      <c r="AH204" s="38">
        <v>78.900328056846718</v>
      </c>
      <c r="AI204" s="38">
        <v>182.32665746721887</v>
      </c>
      <c r="AJ204" s="38">
        <v>0</v>
      </c>
      <c r="AK204" s="38">
        <v>140.98084380396554</v>
      </c>
      <c r="AL204" s="38">
        <v>402.20782932803115</v>
      </c>
      <c r="AM204" s="38">
        <v>133.72083470917602</v>
      </c>
      <c r="AN204" s="38">
        <v>46.908446382973764</v>
      </c>
      <c r="AO204" s="38">
        <v>0</v>
      </c>
      <c r="AP204" s="38">
        <v>0</v>
      </c>
      <c r="AQ204" s="38">
        <v>180.62928109214977</v>
      </c>
      <c r="AR204" s="38">
        <v>78.900328056846718</v>
      </c>
      <c r="AS204" s="49">
        <v>2.2893349817507551</v>
      </c>
      <c r="AT204" s="38">
        <v>133.72083470917602</v>
      </c>
      <c r="AU204" s="38">
        <v>55.525628839844742</v>
      </c>
      <c r="AV204" s="38">
        <v>0</v>
      </c>
      <c r="AW204" s="38">
        <v>0</v>
      </c>
      <c r="AX204" s="38">
        <v>189.24646354902075</v>
      </c>
      <c r="AY204" s="38">
        <v>182.32665746721887</v>
      </c>
      <c r="AZ204" s="49">
        <v>1.0379527940561628</v>
      </c>
      <c r="BA204" s="38">
        <v>133.72083470917602</v>
      </c>
      <c r="BB204" s="38">
        <v>102.43407522281851</v>
      </c>
      <c r="BC204" s="38">
        <v>0</v>
      </c>
      <c r="BD204" s="38">
        <v>0</v>
      </c>
      <c r="BE204" s="38">
        <v>236.1549099319945</v>
      </c>
      <c r="BF204" s="38">
        <v>261.22698552406558</v>
      </c>
      <c r="BG204" s="38">
        <v>46.024355450153131</v>
      </c>
      <c r="BH204" s="50">
        <v>0.90402187759517927</v>
      </c>
      <c r="BI204" s="38">
        <v>22.868380815824644</v>
      </c>
      <c r="BJ204" s="38">
        <v>52.84534980428338</v>
      </c>
      <c r="BK204" s="38">
        <v>0</v>
      </c>
      <c r="BL204" s="38">
        <v>40.861726474984003</v>
      </c>
      <c r="BM204" s="38">
        <v>116.57545709509203</v>
      </c>
      <c r="BN204" s="38">
        <v>133.72083470917602</v>
      </c>
      <c r="BO204" s="38">
        <v>0</v>
      </c>
      <c r="BP204" s="38">
        <v>102.43407522281851</v>
      </c>
      <c r="BQ204" s="38">
        <v>0</v>
      </c>
      <c r="BR204" s="38">
        <v>0</v>
      </c>
      <c r="BS204" s="38">
        <v>0</v>
      </c>
      <c r="BT204" s="38">
        <v>0</v>
      </c>
      <c r="BU204" s="38">
        <v>0</v>
      </c>
      <c r="BV204" s="38">
        <v>27.242845694270329</v>
      </c>
      <c r="BW204" s="38">
        <v>0</v>
      </c>
      <c r="BX204" s="38">
        <v>402.20782932803115</v>
      </c>
      <c r="BY204" s="38"/>
      <c r="BZ204" s="38">
        <v>0</v>
      </c>
      <c r="CA204" s="38">
        <v>0</v>
      </c>
      <c r="CB204" s="38">
        <v>263.39775562626482</v>
      </c>
      <c r="CC204" s="38">
        <v>402.20782932803115</v>
      </c>
      <c r="CD204" s="50">
        <v>0.65487973236702923</v>
      </c>
      <c r="CE204" s="38">
        <v>78.990046697064841</v>
      </c>
      <c r="CF204" s="38">
        <v>2.4117921839563841</v>
      </c>
      <c r="CG204" s="38">
        <v>0</v>
      </c>
      <c r="CH204" s="38">
        <v>2.4117921839563841</v>
      </c>
      <c r="CI204" s="38">
        <v>0.12058883994342448</v>
      </c>
      <c r="CJ204" s="38">
        <v>0</v>
      </c>
      <c r="CK204" s="38">
        <v>0.12058883994342448</v>
      </c>
      <c r="CL204" s="38"/>
      <c r="CM204" s="38">
        <v>0</v>
      </c>
      <c r="CN204" s="38"/>
      <c r="CO204" s="38">
        <v>0</v>
      </c>
      <c r="CP204" s="38">
        <v>0</v>
      </c>
      <c r="CQ204" s="38">
        <v>0</v>
      </c>
      <c r="CR204" s="38">
        <v>0</v>
      </c>
      <c r="CS204" s="38">
        <v>0</v>
      </c>
      <c r="CT204" s="38">
        <v>0</v>
      </c>
      <c r="CU204" s="38">
        <v>0</v>
      </c>
      <c r="CV204" s="38">
        <v>9999</v>
      </c>
      <c r="CW204" s="49">
        <v>9999</v>
      </c>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row>
    <row r="205" spans="1:131">
      <c r="A205" s="27" t="s">
        <v>880</v>
      </c>
      <c r="B205" s="27" t="s">
        <v>77</v>
      </c>
      <c r="C205" s="38">
        <v>45</v>
      </c>
      <c r="D205" s="38">
        <v>115.28514115888527</v>
      </c>
      <c r="E205" s="38">
        <v>0</v>
      </c>
      <c r="F205" s="38">
        <v>455.29741643746559</v>
      </c>
      <c r="G205" s="38">
        <v>0</v>
      </c>
      <c r="H205" s="38">
        <v>0</v>
      </c>
      <c r="I205" s="38" t="s">
        <v>1360</v>
      </c>
      <c r="J205" s="38"/>
      <c r="K205" s="38"/>
      <c r="L205" s="38">
        <v>124.32127978519839</v>
      </c>
      <c r="M205" s="38">
        <v>6.5009942246611968E-2</v>
      </c>
      <c r="N205" s="38">
        <v>6.4540729636767033E-2</v>
      </c>
      <c r="O205" s="38">
        <v>0</v>
      </c>
      <c r="P205" s="38">
        <v>0</v>
      </c>
      <c r="Q205" s="38">
        <v>0</v>
      </c>
      <c r="R205" s="38">
        <v>59.550955772625066</v>
      </c>
      <c r="S205" s="38">
        <v>137.61320114129376</v>
      </c>
      <c r="T205" s="38">
        <v>0</v>
      </c>
      <c r="U205" s="38">
        <v>106.40695927282367</v>
      </c>
      <c r="V205" s="38" t="s">
        <v>1584</v>
      </c>
      <c r="W205" s="38" t="s">
        <v>1584</v>
      </c>
      <c r="X205" s="38" t="s">
        <v>1584</v>
      </c>
      <c r="Y205" s="38" t="s">
        <v>1584</v>
      </c>
      <c r="Z205" s="38">
        <v>0</v>
      </c>
      <c r="AA205" s="38">
        <v>0</v>
      </c>
      <c r="AB205" s="38">
        <v>0</v>
      </c>
      <c r="AC205" s="38">
        <v>0</v>
      </c>
      <c r="AD205" s="38">
        <v>0</v>
      </c>
      <c r="AE205" s="38">
        <v>0</v>
      </c>
      <c r="AF205" s="38">
        <v>0</v>
      </c>
      <c r="AG205" s="38">
        <v>0</v>
      </c>
      <c r="AH205" s="38">
        <v>59.550955772625066</v>
      </c>
      <c r="AI205" s="38">
        <v>137.61320114129376</v>
      </c>
      <c r="AJ205" s="38">
        <v>0</v>
      </c>
      <c r="AK205" s="38">
        <v>106.40695927282367</v>
      </c>
      <c r="AL205" s="38">
        <v>303.57111618674247</v>
      </c>
      <c r="AM205" s="38">
        <v>65.483373283753906</v>
      </c>
      <c r="AN205" s="38">
        <v>22.971164600772912</v>
      </c>
      <c r="AO205" s="38">
        <v>0</v>
      </c>
      <c r="AP205" s="38">
        <v>0</v>
      </c>
      <c r="AQ205" s="38">
        <v>88.454537884526815</v>
      </c>
      <c r="AR205" s="38">
        <v>59.550955772625066</v>
      </c>
      <c r="AS205" s="49">
        <v>1.4853588281984957</v>
      </c>
      <c r="AT205" s="38">
        <v>65.483373283753906</v>
      </c>
      <c r="AU205" s="38">
        <v>27.191016927485748</v>
      </c>
      <c r="AV205" s="38">
        <v>0</v>
      </c>
      <c r="AW205" s="38">
        <v>0</v>
      </c>
      <c r="AX205" s="38">
        <v>92.674390211239654</v>
      </c>
      <c r="AY205" s="38">
        <v>137.61320114129376</v>
      </c>
      <c r="AZ205" s="50">
        <v>0.67344113386394255</v>
      </c>
      <c r="BA205" s="38">
        <v>65.483373283753906</v>
      </c>
      <c r="BB205" s="38">
        <v>50.162181528258657</v>
      </c>
      <c r="BC205" s="38">
        <v>0</v>
      </c>
      <c r="BD205" s="38">
        <v>0</v>
      </c>
      <c r="BE205" s="38">
        <v>115.64555481201256</v>
      </c>
      <c r="BF205" s="38">
        <v>197.16415691391882</v>
      </c>
      <c r="BG205" s="38">
        <v>87.005721541250679</v>
      </c>
      <c r="BH205" s="50">
        <v>0.58654451509917704</v>
      </c>
      <c r="BI205" s="38">
        <v>35.246287418078992</v>
      </c>
      <c r="BJ205" s="38">
        <v>81.448809293126601</v>
      </c>
      <c r="BK205" s="38">
        <v>0</v>
      </c>
      <c r="BL205" s="38">
        <v>62.978842592108499</v>
      </c>
      <c r="BM205" s="38">
        <v>179.67393930331409</v>
      </c>
      <c r="BN205" s="38">
        <v>65.483373283753906</v>
      </c>
      <c r="BO205" s="38">
        <v>0</v>
      </c>
      <c r="BP205" s="38">
        <v>50.162181528258657</v>
      </c>
      <c r="BQ205" s="38">
        <v>0</v>
      </c>
      <c r="BR205" s="38">
        <v>0</v>
      </c>
      <c r="BS205" s="38">
        <v>0</v>
      </c>
      <c r="BT205" s="38">
        <v>0</v>
      </c>
      <c r="BU205" s="38">
        <v>0</v>
      </c>
      <c r="BV205" s="38">
        <v>13.444908460546888</v>
      </c>
      <c r="BW205" s="38">
        <v>0</v>
      </c>
      <c r="BX205" s="38">
        <v>303.57111618674247</v>
      </c>
      <c r="BY205" s="38"/>
      <c r="BZ205" s="38">
        <v>0</v>
      </c>
      <c r="CA205" s="38">
        <v>0</v>
      </c>
      <c r="CB205" s="38">
        <v>129.09046327255945</v>
      </c>
      <c r="CC205" s="38">
        <v>303.57111618674247</v>
      </c>
      <c r="CD205" s="50">
        <v>0.4252396107182646</v>
      </c>
      <c r="CE205" s="38">
        <v>142.02695704272645</v>
      </c>
      <c r="CF205" s="38">
        <v>1.1810596920692003</v>
      </c>
      <c r="CG205" s="38">
        <v>0</v>
      </c>
      <c r="CH205" s="38">
        <v>1.1810596920692003</v>
      </c>
      <c r="CI205" s="38">
        <v>5.9052607897969227E-2</v>
      </c>
      <c r="CJ205" s="38">
        <v>0</v>
      </c>
      <c r="CK205" s="38">
        <v>5.9052607897969227E-2</v>
      </c>
      <c r="CL205" s="38"/>
      <c r="CM205" s="38">
        <v>0</v>
      </c>
      <c r="CN205" s="38"/>
      <c r="CO205" s="38">
        <v>0</v>
      </c>
      <c r="CP205" s="38">
        <v>0</v>
      </c>
      <c r="CQ205" s="38">
        <v>0</v>
      </c>
      <c r="CR205" s="38">
        <v>0</v>
      </c>
      <c r="CS205" s="38">
        <v>0</v>
      </c>
      <c r="CT205" s="38">
        <v>0</v>
      </c>
      <c r="CU205" s="38">
        <v>0</v>
      </c>
      <c r="CV205" s="38">
        <v>9999</v>
      </c>
      <c r="CW205" s="49">
        <v>9999</v>
      </c>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row>
    <row r="206" spans="1:131">
      <c r="A206" s="27" t="s">
        <v>881</v>
      </c>
      <c r="B206" s="27" t="s">
        <v>79</v>
      </c>
      <c r="C206" s="38">
        <v>45</v>
      </c>
      <c r="D206" s="38">
        <v>138.92719637241973</v>
      </c>
      <c r="E206" s="38">
        <v>0</v>
      </c>
      <c r="F206" s="38">
        <v>540.94446756176649</v>
      </c>
      <c r="G206" s="38">
        <v>0</v>
      </c>
      <c r="H206" s="38">
        <v>0</v>
      </c>
      <c r="I206" s="38" t="s">
        <v>1360</v>
      </c>
      <c r="J206" s="38"/>
      <c r="K206" s="38"/>
      <c r="L206" s="38">
        <v>149.81641759179678</v>
      </c>
      <c r="M206" s="38">
        <v>7.8341830715264196E-2</v>
      </c>
      <c r="N206" s="38">
        <v>7.7776394513052294E-2</v>
      </c>
      <c r="O206" s="38">
        <v>0</v>
      </c>
      <c r="P206" s="38">
        <v>0</v>
      </c>
      <c r="Q206" s="38">
        <v>0</v>
      </c>
      <c r="R206" s="38">
        <v>70.75322393717444</v>
      </c>
      <c r="S206" s="38">
        <v>163.49993901419782</v>
      </c>
      <c r="T206" s="38">
        <v>0</v>
      </c>
      <c r="U206" s="38">
        <v>126.4234187382216</v>
      </c>
      <c r="V206" s="38" t="s">
        <v>1584</v>
      </c>
      <c r="W206" s="38" t="s">
        <v>1584</v>
      </c>
      <c r="X206" s="38" t="s">
        <v>1584</v>
      </c>
      <c r="Y206" s="38" t="s">
        <v>1584</v>
      </c>
      <c r="Z206" s="38">
        <v>0</v>
      </c>
      <c r="AA206" s="38">
        <v>0</v>
      </c>
      <c r="AB206" s="38">
        <v>0</v>
      </c>
      <c r="AC206" s="38">
        <v>0</v>
      </c>
      <c r="AD206" s="38">
        <v>0</v>
      </c>
      <c r="AE206" s="38">
        <v>0</v>
      </c>
      <c r="AF206" s="38">
        <v>0</v>
      </c>
      <c r="AG206" s="38">
        <v>0</v>
      </c>
      <c r="AH206" s="38">
        <v>70.75322393717444</v>
      </c>
      <c r="AI206" s="38">
        <v>163.49993901419782</v>
      </c>
      <c r="AJ206" s="38">
        <v>0</v>
      </c>
      <c r="AK206" s="38">
        <v>126.4234187382216</v>
      </c>
      <c r="AL206" s="38">
        <v>360.67658168959383</v>
      </c>
      <c r="AM206" s="38">
        <v>78.912350437100429</v>
      </c>
      <c r="AN206" s="38">
        <v>27.681967192948992</v>
      </c>
      <c r="AO206" s="38">
        <v>0</v>
      </c>
      <c r="AP206" s="38">
        <v>0</v>
      </c>
      <c r="AQ206" s="38">
        <v>106.59431763004942</v>
      </c>
      <c r="AR206" s="38">
        <v>70.75322393717444</v>
      </c>
      <c r="AS206" s="49">
        <v>1.5065648135652474</v>
      </c>
      <c r="AT206" s="38">
        <v>78.912350437100429</v>
      </c>
      <c r="AU206" s="38">
        <v>32.767204084387373</v>
      </c>
      <c r="AV206" s="38">
        <v>0</v>
      </c>
      <c r="AW206" s="38">
        <v>0</v>
      </c>
      <c r="AX206" s="38">
        <v>111.6795545214878</v>
      </c>
      <c r="AY206" s="38">
        <v>163.49993901419782</v>
      </c>
      <c r="AZ206" s="50">
        <v>0.68305563411733072</v>
      </c>
      <c r="BA206" s="38">
        <v>78.912350437100429</v>
      </c>
      <c r="BB206" s="38">
        <v>60.449171277336362</v>
      </c>
      <c r="BC206" s="38">
        <v>0</v>
      </c>
      <c r="BD206" s="38">
        <v>0</v>
      </c>
      <c r="BE206" s="38">
        <v>139.3615217144368</v>
      </c>
      <c r="BF206" s="38">
        <v>234.25316295137225</v>
      </c>
      <c r="BG206" s="38">
        <v>85.363153965698928</v>
      </c>
      <c r="BH206" s="50">
        <v>0.59491842056094824</v>
      </c>
      <c r="BI206" s="38">
        <v>34.750170524540685</v>
      </c>
      <c r="BJ206" s="38">
        <v>80.302358611113164</v>
      </c>
      <c r="BK206" s="38">
        <v>0</v>
      </c>
      <c r="BL206" s="38">
        <v>62.092370000688611</v>
      </c>
      <c r="BM206" s="38">
        <v>177.14489913634245</v>
      </c>
      <c r="BN206" s="38">
        <v>78.912350437100429</v>
      </c>
      <c r="BO206" s="38">
        <v>0</v>
      </c>
      <c r="BP206" s="38">
        <v>60.449171277336362</v>
      </c>
      <c r="BQ206" s="38">
        <v>0</v>
      </c>
      <c r="BR206" s="38">
        <v>0</v>
      </c>
      <c r="BS206" s="38">
        <v>0</v>
      </c>
      <c r="BT206" s="38">
        <v>0</v>
      </c>
      <c r="BU206" s="38">
        <v>0</v>
      </c>
      <c r="BV206" s="38">
        <v>16.385447912033911</v>
      </c>
      <c r="BW206" s="38">
        <v>0</v>
      </c>
      <c r="BX206" s="38">
        <v>360.67658168959383</v>
      </c>
      <c r="BY206" s="38"/>
      <c r="BZ206" s="38">
        <v>0</v>
      </c>
      <c r="CA206" s="38">
        <v>0</v>
      </c>
      <c r="CB206" s="38">
        <v>155.74696962647067</v>
      </c>
      <c r="CC206" s="38">
        <v>360.67658168959383</v>
      </c>
      <c r="CD206" s="50">
        <v>0.43181891348995299</v>
      </c>
      <c r="CE206" s="38">
        <v>139.40787500597048</v>
      </c>
      <c r="CF206" s="38">
        <v>1.4232650462865091</v>
      </c>
      <c r="CG206" s="38">
        <v>0</v>
      </c>
      <c r="CH206" s="38">
        <v>1.4232650462865091</v>
      </c>
      <c r="CI206" s="38">
        <v>7.1162798356103452E-2</v>
      </c>
      <c r="CJ206" s="38">
        <v>0</v>
      </c>
      <c r="CK206" s="38">
        <v>7.1162798356103452E-2</v>
      </c>
      <c r="CL206" s="38"/>
      <c r="CM206" s="38">
        <v>0</v>
      </c>
      <c r="CN206" s="38"/>
      <c r="CO206" s="38">
        <v>0</v>
      </c>
      <c r="CP206" s="38">
        <v>0</v>
      </c>
      <c r="CQ206" s="38">
        <v>0</v>
      </c>
      <c r="CR206" s="38">
        <v>0</v>
      </c>
      <c r="CS206" s="38">
        <v>0</v>
      </c>
      <c r="CT206" s="38">
        <v>0</v>
      </c>
      <c r="CU206" s="38">
        <v>0</v>
      </c>
      <c r="CV206" s="38">
        <v>9999</v>
      </c>
      <c r="CW206" s="49">
        <v>9999</v>
      </c>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row>
    <row r="207" spans="1:131">
      <c r="A207" s="27" t="s">
        <v>882</v>
      </c>
      <c r="B207" s="27" t="s">
        <v>85</v>
      </c>
      <c r="C207" s="38">
        <v>45</v>
      </c>
      <c r="D207" s="38">
        <v>1143.4097800732613</v>
      </c>
      <c r="E207" s="38">
        <v>0</v>
      </c>
      <c r="F207" s="38">
        <v>1074.0966990780664</v>
      </c>
      <c r="G207" s="38">
        <v>0</v>
      </c>
      <c r="H207" s="38">
        <v>0</v>
      </c>
      <c r="I207" s="38" t="s">
        <v>1360</v>
      </c>
      <c r="J207" s="38"/>
      <c r="K207" s="38"/>
      <c r="L207" s="38">
        <v>1233.0311239477915</v>
      </c>
      <c r="M207" s="38">
        <v>0.6447752331267802</v>
      </c>
      <c r="N207" s="38">
        <v>0.64012153463938359</v>
      </c>
      <c r="O207" s="38">
        <v>0</v>
      </c>
      <c r="P207" s="38">
        <v>0</v>
      </c>
      <c r="Q207" s="38">
        <v>0</v>
      </c>
      <c r="R207" s="38">
        <v>140.48725670971555</v>
      </c>
      <c r="S207" s="38">
        <v>324.64468226502919</v>
      </c>
      <c r="T207" s="38">
        <v>0</v>
      </c>
      <c r="U207" s="38">
        <v>251.02572425769935</v>
      </c>
      <c r="V207" s="38" t="s">
        <v>1584</v>
      </c>
      <c r="W207" s="38" t="s">
        <v>1584</v>
      </c>
      <c r="X207" s="38" t="s">
        <v>1584</v>
      </c>
      <c r="Y207" s="38" t="s">
        <v>1584</v>
      </c>
      <c r="Z207" s="38">
        <v>0</v>
      </c>
      <c r="AA207" s="38">
        <v>0</v>
      </c>
      <c r="AB207" s="38">
        <v>0</v>
      </c>
      <c r="AC207" s="38">
        <v>0</v>
      </c>
      <c r="AD207" s="38">
        <v>0</v>
      </c>
      <c r="AE207" s="38">
        <v>0</v>
      </c>
      <c r="AF207" s="38">
        <v>0</v>
      </c>
      <c r="AG207" s="38">
        <v>0</v>
      </c>
      <c r="AH207" s="38">
        <v>140.48725670971555</v>
      </c>
      <c r="AI207" s="38">
        <v>324.64468226502919</v>
      </c>
      <c r="AJ207" s="38">
        <v>0</v>
      </c>
      <c r="AK207" s="38">
        <v>251.02572425769935</v>
      </c>
      <c r="AL207" s="38">
        <v>716.15766323244407</v>
      </c>
      <c r="AM207" s="38">
        <v>649.47077040605927</v>
      </c>
      <c r="AN207" s="38">
        <v>227.83035177098458</v>
      </c>
      <c r="AO207" s="38">
        <v>0</v>
      </c>
      <c r="AP207" s="38">
        <v>0</v>
      </c>
      <c r="AQ207" s="38">
        <v>877.30112217704391</v>
      </c>
      <c r="AR207" s="38">
        <v>140.48725670971555</v>
      </c>
      <c r="AS207" s="49">
        <v>6.2447024927661872</v>
      </c>
      <c r="AT207" s="38">
        <v>649.47077040605927</v>
      </c>
      <c r="AU207" s="38">
        <v>269.68327724191352</v>
      </c>
      <c r="AV207" s="38">
        <v>0</v>
      </c>
      <c r="AW207" s="38">
        <v>0</v>
      </c>
      <c r="AX207" s="38">
        <v>919.15404764797279</v>
      </c>
      <c r="AY207" s="38">
        <v>324.64468226502919</v>
      </c>
      <c r="AZ207" s="49">
        <v>2.8312616773362262</v>
      </c>
      <c r="BA207" s="38">
        <v>649.47077040605927</v>
      </c>
      <c r="BB207" s="38">
        <v>497.51362901289809</v>
      </c>
      <c r="BC207" s="38">
        <v>0</v>
      </c>
      <c r="BD207" s="38">
        <v>0</v>
      </c>
      <c r="BE207" s="38">
        <v>1146.9843994189573</v>
      </c>
      <c r="BF207" s="38">
        <v>465.13193897474474</v>
      </c>
      <c r="BG207" s="38">
        <v>-1.9323935830409149</v>
      </c>
      <c r="BH207" s="49">
        <v>2.4659334337417649</v>
      </c>
      <c r="BI207" s="38">
        <v>8.3836474577149236</v>
      </c>
      <c r="BJ207" s="38">
        <v>19.373334129199051</v>
      </c>
      <c r="BK207" s="38">
        <v>0</v>
      </c>
      <c r="BL207" s="38">
        <v>14.980085911582675</v>
      </c>
      <c r="BM207" s="38">
        <v>42.73706749849665</v>
      </c>
      <c r="BN207" s="38">
        <v>649.47077040605927</v>
      </c>
      <c r="BO207" s="38">
        <v>0</v>
      </c>
      <c r="BP207" s="38">
        <v>497.51362901289809</v>
      </c>
      <c r="BQ207" s="38">
        <v>0</v>
      </c>
      <c r="BR207" s="38">
        <v>0</v>
      </c>
      <c r="BS207" s="38">
        <v>0</v>
      </c>
      <c r="BT207" s="38">
        <v>0</v>
      </c>
      <c r="BU207" s="38">
        <v>0</v>
      </c>
      <c r="BV207" s="38">
        <v>81.597969992044966</v>
      </c>
      <c r="BW207" s="38">
        <v>0</v>
      </c>
      <c r="BX207" s="38">
        <v>716.15766323244407</v>
      </c>
      <c r="BY207" s="38"/>
      <c r="BZ207" s="38">
        <v>0</v>
      </c>
      <c r="CA207" s="38">
        <v>0</v>
      </c>
      <c r="CB207" s="38">
        <v>1228.5823694110022</v>
      </c>
      <c r="CC207" s="38">
        <v>716.15766323244407</v>
      </c>
      <c r="CD207" s="49">
        <v>1.7155194065307933</v>
      </c>
      <c r="CE207" s="38">
        <v>8.1782925715800463</v>
      </c>
      <c r="CF207" s="38">
        <v>11.713870401573068</v>
      </c>
      <c r="CG207" s="38">
        <v>0</v>
      </c>
      <c r="CH207" s="38">
        <v>11.713870401573068</v>
      </c>
      <c r="CI207" s="38">
        <v>0.58568978387520088</v>
      </c>
      <c r="CJ207" s="38">
        <v>0</v>
      </c>
      <c r="CK207" s="38">
        <v>0.58568978387520088</v>
      </c>
      <c r="CL207" s="38"/>
      <c r="CM207" s="38">
        <v>0</v>
      </c>
      <c r="CN207" s="38"/>
      <c r="CO207" s="38">
        <v>0</v>
      </c>
      <c r="CP207" s="38">
        <v>0</v>
      </c>
      <c r="CQ207" s="38">
        <v>0</v>
      </c>
      <c r="CR207" s="38">
        <v>0</v>
      </c>
      <c r="CS207" s="38">
        <v>0</v>
      </c>
      <c r="CT207" s="38">
        <v>0</v>
      </c>
      <c r="CU207" s="38">
        <v>0</v>
      </c>
      <c r="CV207" s="38">
        <v>9999</v>
      </c>
      <c r="CW207" s="49">
        <v>9999</v>
      </c>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row>
    <row r="208" spans="1:131">
      <c r="A208" s="27" t="s">
        <v>883</v>
      </c>
      <c r="B208" s="27" t="s">
        <v>87</v>
      </c>
      <c r="C208" s="38">
        <v>45</v>
      </c>
      <c r="D208" s="38">
        <v>551.85168083117901</v>
      </c>
      <c r="E208" s="38">
        <v>0</v>
      </c>
      <c r="F208" s="38">
        <v>756.03068777561452</v>
      </c>
      <c r="G208" s="38">
        <v>0</v>
      </c>
      <c r="H208" s="38">
        <v>0</v>
      </c>
      <c r="I208" s="38" t="s">
        <v>1360</v>
      </c>
      <c r="J208" s="38"/>
      <c r="K208" s="38"/>
      <c r="L208" s="38">
        <v>595.1062428590983</v>
      </c>
      <c r="M208" s="38">
        <v>0.31119227975864489</v>
      </c>
      <c r="N208" s="38">
        <v>0.30894623343552635</v>
      </c>
      <c r="O208" s="38">
        <v>0</v>
      </c>
      <c r="P208" s="38">
        <v>0</v>
      </c>
      <c r="Q208" s="38">
        <v>0</v>
      </c>
      <c r="R208" s="38">
        <v>98.885582094351022</v>
      </c>
      <c r="S208" s="38">
        <v>228.50953980791152</v>
      </c>
      <c r="T208" s="38">
        <v>0</v>
      </c>
      <c r="U208" s="38">
        <v>176.6909358559779</v>
      </c>
      <c r="V208" s="38" t="s">
        <v>1584</v>
      </c>
      <c r="W208" s="38" t="s">
        <v>1584</v>
      </c>
      <c r="X208" s="38" t="s">
        <v>1584</v>
      </c>
      <c r="Y208" s="38" t="s">
        <v>1584</v>
      </c>
      <c r="Z208" s="38">
        <v>0</v>
      </c>
      <c r="AA208" s="38">
        <v>0</v>
      </c>
      <c r="AB208" s="38">
        <v>0</v>
      </c>
      <c r="AC208" s="38">
        <v>0</v>
      </c>
      <c r="AD208" s="38">
        <v>0</v>
      </c>
      <c r="AE208" s="38">
        <v>0</v>
      </c>
      <c r="AF208" s="38">
        <v>0</v>
      </c>
      <c r="AG208" s="38">
        <v>0</v>
      </c>
      <c r="AH208" s="38">
        <v>98.885582094351022</v>
      </c>
      <c r="AI208" s="38">
        <v>228.50953980791152</v>
      </c>
      <c r="AJ208" s="38">
        <v>0</v>
      </c>
      <c r="AK208" s="38">
        <v>176.6909358559779</v>
      </c>
      <c r="AL208" s="38">
        <v>504.08605775824043</v>
      </c>
      <c r="AM208" s="38">
        <v>313.45851902398402</v>
      </c>
      <c r="AN208" s="38">
        <v>109.9593205868161</v>
      </c>
      <c r="AO208" s="38">
        <v>0</v>
      </c>
      <c r="AP208" s="38">
        <v>0</v>
      </c>
      <c r="AQ208" s="38">
        <v>423.41783961080012</v>
      </c>
      <c r="AR208" s="38">
        <v>98.885582094351022</v>
      </c>
      <c r="AS208" s="49">
        <v>4.2818966187284895</v>
      </c>
      <c r="AT208" s="38">
        <v>313.45851902398402</v>
      </c>
      <c r="AU208" s="38">
        <v>130.15908419855847</v>
      </c>
      <c r="AV208" s="38">
        <v>0</v>
      </c>
      <c r="AW208" s="38">
        <v>0</v>
      </c>
      <c r="AX208" s="38">
        <v>443.61760322254247</v>
      </c>
      <c r="AY208" s="38">
        <v>228.50953980791152</v>
      </c>
      <c r="AZ208" s="49">
        <v>1.9413526612300473</v>
      </c>
      <c r="BA208" s="38">
        <v>313.45851902398402</v>
      </c>
      <c r="BB208" s="38">
        <v>240.11840478537459</v>
      </c>
      <c r="BC208" s="38">
        <v>0</v>
      </c>
      <c r="BD208" s="38">
        <v>0</v>
      </c>
      <c r="BE208" s="38">
        <v>553.57692380935862</v>
      </c>
      <c r="BF208" s="38">
        <v>327.39512190226253</v>
      </c>
      <c r="BG208" s="38">
        <v>10.791306065861132</v>
      </c>
      <c r="BH208" s="49">
        <v>1.6908526938120303</v>
      </c>
      <c r="BI208" s="38">
        <v>12.226681033978712</v>
      </c>
      <c r="BJ208" s="38">
        <v>28.254000201837332</v>
      </c>
      <c r="BK208" s="38">
        <v>0</v>
      </c>
      <c r="BL208" s="38">
        <v>21.846902941269608</v>
      </c>
      <c r="BM208" s="38">
        <v>62.327584177085647</v>
      </c>
      <c r="BN208" s="38">
        <v>313.45851902398402</v>
      </c>
      <c r="BO208" s="38">
        <v>0</v>
      </c>
      <c r="BP208" s="38">
        <v>240.11840478537459</v>
      </c>
      <c r="BQ208" s="38">
        <v>0</v>
      </c>
      <c r="BR208" s="38">
        <v>0</v>
      </c>
      <c r="BS208" s="38">
        <v>0</v>
      </c>
      <c r="BT208" s="38">
        <v>0</v>
      </c>
      <c r="BU208" s="38">
        <v>0</v>
      </c>
      <c r="BV208" s="38">
        <v>36.72069538868633</v>
      </c>
      <c r="BW208" s="38">
        <v>0</v>
      </c>
      <c r="BX208" s="38">
        <v>504.08605775824043</v>
      </c>
      <c r="BY208" s="38"/>
      <c r="BZ208" s="38">
        <v>0</v>
      </c>
      <c r="CA208" s="38">
        <v>0</v>
      </c>
      <c r="CB208" s="38">
        <v>590.29761919804491</v>
      </c>
      <c r="CC208" s="38">
        <v>504.08605775824043</v>
      </c>
      <c r="CD208" s="49">
        <v>1.1710254828772739</v>
      </c>
      <c r="CE208" s="38">
        <v>28.097888564510736</v>
      </c>
      <c r="CF208" s="38">
        <v>5.6535453717498472</v>
      </c>
      <c r="CG208" s="38">
        <v>0</v>
      </c>
      <c r="CH208" s="38">
        <v>5.6535453717498472</v>
      </c>
      <c r="CI208" s="38">
        <v>0.2826754653580717</v>
      </c>
      <c r="CJ208" s="38">
        <v>0</v>
      </c>
      <c r="CK208" s="38">
        <v>0.2826754653580717</v>
      </c>
      <c r="CL208" s="38"/>
      <c r="CM208" s="38">
        <v>0</v>
      </c>
      <c r="CN208" s="38"/>
      <c r="CO208" s="38">
        <v>0</v>
      </c>
      <c r="CP208" s="38">
        <v>0</v>
      </c>
      <c r="CQ208" s="38">
        <v>0</v>
      </c>
      <c r="CR208" s="38">
        <v>0</v>
      </c>
      <c r="CS208" s="38">
        <v>0</v>
      </c>
      <c r="CT208" s="38">
        <v>0</v>
      </c>
      <c r="CU208" s="38">
        <v>0</v>
      </c>
      <c r="CV208" s="38">
        <v>9999</v>
      </c>
      <c r="CW208" s="49">
        <v>9999</v>
      </c>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row>
    <row r="209" spans="1:131">
      <c r="A209" s="27" t="s">
        <v>884</v>
      </c>
      <c r="B209" s="27" t="s">
        <v>89</v>
      </c>
      <c r="C209" s="38">
        <v>45</v>
      </c>
      <c r="D209" s="38">
        <v>590.9487891710512</v>
      </c>
      <c r="E209" s="38">
        <v>0</v>
      </c>
      <c r="F209" s="38">
        <v>784.98235045037131</v>
      </c>
      <c r="G209" s="38">
        <v>0</v>
      </c>
      <c r="H209" s="38">
        <v>0</v>
      </c>
      <c r="I209" s="38" t="s">
        <v>1360</v>
      </c>
      <c r="J209" s="38"/>
      <c r="K209" s="38"/>
      <c r="L209" s="38">
        <v>637.26781282252159</v>
      </c>
      <c r="M209" s="38">
        <v>0.33323935997760962</v>
      </c>
      <c r="N209" s="38">
        <v>0.33083418771634215</v>
      </c>
      <c r="O209" s="38">
        <v>0</v>
      </c>
      <c r="P209" s="38">
        <v>0</v>
      </c>
      <c r="Q209" s="38">
        <v>0</v>
      </c>
      <c r="R209" s="38">
        <v>102.67233581015034</v>
      </c>
      <c r="S209" s="38">
        <v>237.26015168313486</v>
      </c>
      <c r="T209" s="38">
        <v>0</v>
      </c>
      <c r="U209" s="38">
        <v>183.45719079152838</v>
      </c>
      <c r="V209" s="38" t="s">
        <v>1584</v>
      </c>
      <c r="W209" s="38" t="s">
        <v>1584</v>
      </c>
      <c r="X209" s="38" t="s">
        <v>1584</v>
      </c>
      <c r="Y209" s="38" t="s">
        <v>1584</v>
      </c>
      <c r="Z209" s="38">
        <v>0</v>
      </c>
      <c r="AA209" s="38">
        <v>0</v>
      </c>
      <c r="AB209" s="38">
        <v>0</v>
      </c>
      <c r="AC209" s="38">
        <v>0</v>
      </c>
      <c r="AD209" s="38">
        <v>0</v>
      </c>
      <c r="AE209" s="38">
        <v>0</v>
      </c>
      <c r="AF209" s="38">
        <v>0</v>
      </c>
      <c r="AG209" s="38">
        <v>0</v>
      </c>
      <c r="AH209" s="38">
        <v>102.67233581015034</v>
      </c>
      <c r="AI209" s="38">
        <v>237.26015168313486</v>
      </c>
      <c r="AJ209" s="38">
        <v>0</v>
      </c>
      <c r="AK209" s="38">
        <v>183.45719079152838</v>
      </c>
      <c r="AL209" s="38">
        <v>523.3896782848135</v>
      </c>
      <c r="AM209" s="38">
        <v>335.66615579312122</v>
      </c>
      <c r="AN209" s="38">
        <v>117.74962298018082</v>
      </c>
      <c r="AO209" s="38">
        <v>0</v>
      </c>
      <c r="AP209" s="38">
        <v>0</v>
      </c>
      <c r="AQ209" s="38">
        <v>453.41577877330201</v>
      </c>
      <c r="AR209" s="38">
        <v>102.67233581015034</v>
      </c>
      <c r="AS209" s="49">
        <v>4.4161436008595869</v>
      </c>
      <c r="AT209" s="38">
        <v>335.66615579312122</v>
      </c>
      <c r="AU209" s="38">
        <v>139.38048189125908</v>
      </c>
      <c r="AV209" s="38">
        <v>0</v>
      </c>
      <c r="AW209" s="38">
        <v>0</v>
      </c>
      <c r="AX209" s="38">
        <v>475.0466376843803</v>
      </c>
      <c r="AY209" s="38">
        <v>237.26015168313486</v>
      </c>
      <c r="AZ209" s="49">
        <v>2.0022183848167368</v>
      </c>
      <c r="BA209" s="38">
        <v>335.66615579312122</v>
      </c>
      <c r="BB209" s="38">
        <v>257.13010487143993</v>
      </c>
      <c r="BC209" s="38">
        <v>0</v>
      </c>
      <c r="BD209" s="38">
        <v>0</v>
      </c>
      <c r="BE209" s="38">
        <v>592.79626066456115</v>
      </c>
      <c r="BF209" s="38">
        <v>339.93248749328518</v>
      </c>
      <c r="BG209" s="38">
        <v>9.5607280363193823</v>
      </c>
      <c r="BH209" s="49">
        <v>1.7438646862967779</v>
      </c>
      <c r="BI209" s="38">
        <v>11.855000405212099</v>
      </c>
      <c r="BJ209" s="38">
        <v>27.395102801062194</v>
      </c>
      <c r="BK209" s="38">
        <v>0</v>
      </c>
      <c r="BL209" s="38">
        <v>21.18277580821951</v>
      </c>
      <c r="BM209" s="38">
        <v>60.432879014493793</v>
      </c>
      <c r="BN209" s="38">
        <v>335.66615579312122</v>
      </c>
      <c r="BO209" s="38">
        <v>0</v>
      </c>
      <c r="BP209" s="38">
        <v>257.13010487143993</v>
      </c>
      <c r="BQ209" s="38">
        <v>0</v>
      </c>
      <c r="BR209" s="38">
        <v>0</v>
      </c>
      <c r="BS209" s="38">
        <v>0</v>
      </c>
      <c r="BT209" s="38">
        <v>0</v>
      </c>
      <c r="BU209" s="38">
        <v>0</v>
      </c>
      <c r="BV209" s="38">
        <v>41.988553064258973</v>
      </c>
      <c r="BW209" s="38">
        <v>0</v>
      </c>
      <c r="BX209" s="38">
        <v>523.3896782848135</v>
      </c>
      <c r="BY209" s="38"/>
      <c r="BZ209" s="38">
        <v>0</v>
      </c>
      <c r="CA209" s="38">
        <v>0</v>
      </c>
      <c r="CB209" s="38">
        <v>634.78481372882004</v>
      </c>
      <c r="CC209" s="38">
        <v>523.3896782848135</v>
      </c>
      <c r="CD209" s="49">
        <v>1.212834031823204</v>
      </c>
      <c r="CE209" s="38">
        <v>25.895320449632148</v>
      </c>
      <c r="CF209" s="38">
        <v>6.054082841474993</v>
      </c>
      <c r="CG209" s="38">
        <v>0</v>
      </c>
      <c r="CH209" s="38">
        <v>6.054082841474993</v>
      </c>
      <c r="CI209" s="38">
        <v>0.30270221109069773</v>
      </c>
      <c r="CJ209" s="38">
        <v>0</v>
      </c>
      <c r="CK209" s="38">
        <v>0.30270221109069773</v>
      </c>
      <c r="CL209" s="38"/>
      <c r="CM209" s="38">
        <v>0</v>
      </c>
      <c r="CN209" s="38"/>
      <c r="CO209" s="38">
        <v>0</v>
      </c>
      <c r="CP209" s="38">
        <v>0</v>
      </c>
      <c r="CQ209" s="38">
        <v>0</v>
      </c>
      <c r="CR209" s="38">
        <v>0</v>
      </c>
      <c r="CS209" s="38">
        <v>0</v>
      </c>
      <c r="CT209" s="38">
        <v>0</v>
      </c>
      <c r="CU209" s="38">
        <v>0</v>
      </c>
      <c r="CV209" s="38">
        <v>9999</v>
      </c>
      <c r="CW209" s="49">
        <v>9999</v>
      </c>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row>
    <row r="210" spans="1:131">
      <c r="A210" s="27" t="s">
        <v>885</v>
      </c>
      <c r="B210" s="27" t="s">
        <v>91</v>
      </c>
      <c r="C210" s="38">
        <v>45</v>
      </c>
      <c r="D210" s="38">
        <v>615.29155948122855</v>
      </c>
      <c r="E210" s="38">
        <v>0</v>
      </c>
      <c r="F210" s="38">
        <v>809.10873601266894</v>
      </c>
      <c r="G210" s="38">
        <v>0</v>
      </c>
      <c r="H210" s="38">
        <v>0</v>
      </c>
      <c r="I210" s="38" t="s">
        <v>1360</v>
      </c>
      <c r="J210" s="38"/>
      <c r="K210" s="38"/>
      <c r="L210" s="38">
        <v>663.51858831758318</v>
      </c>
      <c r="M210" s="38">
        <v>0.34696638564699878</v>
      </c>
      <c r="N210" s="38">
        <v>0.34446213787024615</v>
      </c>
      <c r="O210" s="38">
        <v>0</v>
      </c>
      <c r="P210" s="38">
        <v>0</v>
      </c>
      <c r="Q210" s="38">
        <v>0</v>
      </c>
      <c r="R210" s="38">
        <v>105.82796390664981</v>
      </c>
      <c r="S210" s="38">
        <v>244.55232824582112</v>
      </c>
      <c r="T210" s="38">
        <v>0</v>
      </c>
      <c r="U210" s="38">
        <v>189.09573657115382</v>
      </c>
      <c r="V210" s="38" t="s">
        <v>1584</v>
      </c>
      <c r="W210" s="38" t="s">
        <v>1584</v>
      </c>
      <c r="X210" s="38" t="s">
        <v>1584</v>
      </c>
      <c r="Y210" s="38" t="s">
        <v>1584</v>
      </c>
      <c r="Z210" s="38">
        <v>0</v>
      </c>
      <c r="AA210" s="38">
        <v>0</v>
      </c>
      <c r="AB210" s="38">
        <v>0</v>
      </c>
      <c r="AC210" s="38">
        <v>0</v>
      </c>
      <c r="AD210" s="38">
        <v>0</v>
      </c>
      <c r="AE210" s="38">
        <v>0</v>
      </c>
      <c r="AF210" s="38">
        <v>0</v>
      </c>
      <c r="AG210" s="38">
        <v>0</v>
      </c>
      <c r="AH210" s="38">
        <v>105.82796390664981</v>
      </c>
      <c r="AI210" s="38">
        <v>244.55232824582112</v>
      </c>
      <c r="AJ210" s="38">
        <v>0</v>
      </c>
      <c r="AK210" s="38">
        <v>189.09573657115382</v>
      </c>
      <c r="AL210" s="38">
        <v>539.47602872362472</v>
      </c>
      <c r="AM210" s="38">
        <v>349.49314771036342</v>
      </c>
      <c r="AN210" s="38">
        <v>122.60004670359224</v>
      </c>
      <c r="AO210" s="38">
        <v>0</v>
      </c>
      <c r="AP210" s="38">
        <v>0</v>
      </c>
      <c r="AQ210" s="38">
        <v>472.09319441395564</v>
      </c>
      <c r="AR210" s="38">
        <v>105.82796390664981</v>
      </c>
      <c r="AS210" s="49">
        <v>4.4609494219352657</v>
      </c>
      <c r="AT210" s="38">
        <v>349.49314771036342</v>
      </c>
      <c r="AU210" s="38">
        <v>145.12193888139882</v>
      </c>
      <c r="AV210" s="38">
        <v>0</v>
      </c>
      <c r="AW210" s="38">
        <v>0</v>
      </c>
      <c r="AX210" s="38">
        <v>494.61508659176224</v>
      </c>
      <c r="AY210" s="38">
        <v>244.55232824582112</v>
      </c>
      <c r="AZ210" s="49">
        <v>2.0225327239353903</v>
      </c>
      <c r="BA210" s="38">
        <v>349.49314771036342</v>
      </c>
      <c r="BB210" s="38">
        <v>267.72198558499105</v>
      </c>
      <c r="BC210" s="38">
        <v>0</v>
      </c>
      <c r="BD210" s="38">
        <v>0</v>
      </c>
      <c r="BE210" s="38">
        <v>617.21513329535446</v>
      </c>
      <c r="BF210" s="38">
        <v>350.38029215247093</v>
      </c>
      <c r="BG210" s="38">
        <v>9.1664996030592594</v>
      </c>
      <c r="BH210" s="49">
        <v>1.7615577905471012</v>
      </c>
      <c r="BI210" s="38">
        <v>11.735928661337091</v>
      </c>
      <c r="BJ210" s="38">
        <v>27.119946111677063</v>
      </c>
      <c r="BK210" s="38">
        <v>0</v>
      </c>
      <c r="BL210" s="38">
        <v>20.970015793931438</v>
      </c>
      <c r="BM210" s="38">
        <v>59.825890566945596</v>
      </c>
      <c r="BN210" s="38">
        <v>349.49314771036342</v>
      </c>
      <c r="BO210" s="38">
        <v>0</v>
      </c>
      <c r="BP210" s="38">
        <v>267.72198558499105</v>
      </c>
      <c r="BQ210" s="38">
        <v>0</v>
      </c>
      <c r="BR210" s="38">
        <v>0</v>
      </c>
      <c r="BS210" s="38">
        <v>0</v>
      </c>
      <c r="BT210" s="38">
        <v>0</v>
      </c>
      <c r="BU210" s="38">
        <v>0</v>
      </c>
      <c r="BV210" s="38">
        <v>45.458554883401717</v>
      </c>
      <c r="BW210" s="38">
        <v>0</v>
      </c>
      <c r="BX210" s="38">
        <v>539.47602872362472</v>
      </c>
      <c r="BY210" s="38"/>
      <c r="BZ210" s="38">
        <v>0</v>
      </c>
      <c r="CA210" s="38">
        <v>0</v>
      </c>
      <c r="CB210" s="38">
        <v>662.67368817875615</v>
      </c>
      <c r="CC210" s="38">
        <v>539.47602872362472</v>
      </c>
      <c r="CD210" s="49">
        <v>1.2283654006770446</v>
      </c>
      <c r="CE210" s="38">
        <v>25.095330274789205</v>
      </c>
      <c r="CF210" s="38">
        <v>6.3034667995258058</v>
      </c>
      <c r="CG210" s="38">
        <v>0</v>
      </c>
      <c r="CH210" s="38">
        <v>6.3034667995258058</v>
      </c>
      <c r="CI210" s="38">
        <v>0.31517132945085197</v>
      </c>
      <c r="CJ210" s="38">
        <v>0</v>
      </c>
      <c r="CK210" s="38">
        <v>0.31517132945085197</v>
      </c>
      <c r="CL210" s="38"/>
      <c r="CM210" s="38">
        <v>0</v>
      </c>
      <c r="CN210" s="38"/>
      <c r="CO210" s="38">
        <v>0</v>
      </c>
      <c r="CP210" s="38">
        <v>0</v>
      </c>
      <c r="CQ210" s="38">
        <v>0</v>
      </c>
      <c r="CR210" s="38">
        <v>0</v>
      </c>
      <c r="CS210" s="38">
        <v>0</v>
      </c>
      <c r="CT210" s="38">
        <v>0</v>
      </c>
      <c r="CU210" s="38">
        <v>0</v>
      </c>
      <c r="CV210" s="38">
        <v>9999</v>
      </c>
      <c r="CW210" s="49">
        <v>9999</v>
      </c>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row>
    <row r="211" spans="1:131">
      <c r="A211" s="27" t="s">
        <v>886</v>
      </c>
      <c r="B211" s="27" t="s">
        <v>93</v>
      </c>
      <c r="C211" s="38">
        <v>45</v>
      </c>
      <c r="D211" s="38">
        <v>641.91966172991431</v>
      </c>
      <c r="E211" s="38">
        <v>0</v>
      </c>
      <c r="F211" s="38">
        <v>1423.5624999793488</v>
      </c>
      <c r="G211" s="38">
        <v>0</v>
      </c>
      <c r="H211" s="38">
        <v>0</v>
      </c>
      <c r="I211" s="38" t="s">
        <v>1360</v>
      </c>
      <c r="J211" s="38"/>
      <c r="K211" s="38"/>
      <c r="L211" s="38">
        <v>692.23382183796639</v>
      </c>
      <c r="M211" s="38">
        <v>0.36198212290439746</v>
      </c>
      <c r="N211" s="38">
        <v>0.35936949826983189</v>
      </c>
      <c r="O211" s="38">
        <v>0</v>
      </c>
      <c r="P211" s="38">
        <v>0</v>
      </c>
      <c r="Q211" s="38">
        <v>0</v>
      </c>
      <c r="R211" s="38">
        <v>186.19588957733831</v>
      </c>
      <c r="S211" s="38">
        <v>430.27038057829139</v>
      </c>
      <c r="T211" s="38">
        <v>0</v>
      </c>
      <c r="U211" s="38">
        <v>332.69891611262142</v>
      </c>
      <c r="V211" s="38" t="s">
        <v>1584</v>
      </c>
      <c r="W211" s="38" t="s">
        <v>1584</v>
      </c>
      <c r="X211" s="38" t="s">
        <v>1584</v>
      </c>
      <c r="Y211" s="38" t="s">
        <v>1584</v>
      </c>
      <c r="Z211" s="38">
        <v>0</v>
      </c>
      <c r="AA211" s="38">
        <v>0</v>
      </c>
      <c r="AB211" s="38">
        <v>0</v>
      </c>
      <c r="AC211" s="38">
        <v>0</v>
      </c>
      <c r="AD211" s="38">
        <v>0</v>
      </c>
      <c r="AE211" s="38">
        <v>0</v>
      </c>
      <c r="AF211" s="38">
        <v>0</v>
      </c>
      <c r="AG211" s="38">
        <v>0</v>
      </c>
      <c r="AH211" s="38">
        <v>186.19588957733831</v>
      </c>
      <c r="AI211" s="38">
        <v>430.27038057829139</v>
      </c>
      <c r="AJ211" s="38">
        <v>0</v>
      </c>
      <c r="AK211" s="38">
        <v>332.69891611262142</v>
      </c>
      <c r="AL211" s="38">
        <v>949.16518626825109</v>
      </c>
      <c r="AM211" s="38">
        <v>364.6182361810923</v>
      </c>
      <c r="AN211" s="38">
        <v>127.90583471418906</v>
      </c>
      <c r="AO211" s="38">
        <v>0</v>
      </c>
      <c r="AP211" s="38">
        <v>0</v>
      </c>
      <c r="AQ211" s="38">
        <v>492.52407089528134</v>
      </c>
      <c r="AR211" s="38">
        <v>186.19588957733831</v>
      </c>
      <c r="AS211" s="49">
        <v>2.6451930384355054</v>
      </c>
      <c r="AT211" s="38">
        <v>364.6182361810923</v>
      </c>
      <c r="AU211" s="38">
        <v>151.40241155734375</v>
      </c>
      <c r="AV211" s="38">
        <v>0</v>
      </c>
      <c r="AW211" s="38">
        <v>0</v>
      </c>
      <c r="AX211" s="38">
        <v>516.02064773843608</v>
      </c>
      <c r="AY211" s="38">
        <v>430.27038057829139</v>
      </c>
      <c r="AZ211" s="49">
        <v>1.1992939115281296</v>
      </c>
      <c r="BA211" s="38">
        <v>364.6182361810923</v>
      </c>
      <c r="BB211" s="38">
        <v>279.30824627153282</v>
      </c>
      <c r="BC211" s="38">
        <v>0</v>
      </c>
      <c r="BD211" s="38">
        <v>0</v>
      </c>
      <c r="BE211" s="38">
        <v>643.92648245262512</v>
      </c>
      <c r="BF211" s="38">
        <v>616.46627015562967</v>
      </c>
      <c r="BG211" s="38">
        <v>35.838580479733551</v>
      </c>
      <c r="BH211" s="49">
        <v>1.0445445495177912</v>
      </c>
      <c r="BI211" s="38">
        <v>19.791895493808457</v>
      </c>
      <c r="BJ211" s="38">
        <v>45.736060155879997</v>
      </c>
      <c r="BK211" s="38">
        <v>0</v>
      </c>
      <c r="BL211" s="38">
        <v>35.364594747776707</v>
      </c>
      <c r="BM211" s="38">
        <v>100.89255039746516</v>
      </c>
      <c r="BN211" s="38">
        <v>364.6182361810923</v>
      </c>
      <c r="BO211" s="38">
        <v>0</v>
      </c>
      <c r="BP211" s="38">
        <v>279.30824627153282</v>
      </c>
      <c r="BQ211" s="38">
        <v>0</v>
      </c>
      <c r="BR211" s="38">
        <v>0</v>
      </c>
      <c r="BS211" s="38">
        <v>0</v>
      </c>
      <c r="BT211" s="38">
        <v>0</v>
      </c>
      <c r="BU211" s="38">
        <v>0</v>
      </c>
      <c r="BV211" s="38">
        <v>75.964713298985515</v>
      </c>
      <c r="BW211" s="38">
        <v>0</v>
      </c>
      <c r="BX211" s="38">
        <v>949.16518626825109</v>
      </c>
      <c r="BY211" s="38"/>
      <c r="BZ211" s="38">
        <v>0</v>
      </c>
      <c r="CA211" s="38">
        <v>0</v>
      </c>
      <c r="CB211" s="38">
        <v>719.89119575161067</v>
      </c>
      <c r="CC211" s="38">
        <v>949.16518626825109</v>
      </c>
      <c r="CD211" s="50">
        <v>0.75844669206836723</v>
      </c>
      <c r="CE211" s="38">
        <v>63.128423039137395</v>
      </c>
      <c r="CF211" s="38">
        <v>6.5762632581680904</v>
      </c>
      <c r="CG211" s="38">
        <v>0</v>
      </c>
      <c r="CH211" s="38">
        <v>6.5762632581680904</v>
      </c>
      <c r="CI211" s="38">
        <v>0.32881106537303395</v>
      </c>
      <c r="CJ211" s="38">
        <v>0</v>
      </c>
      <c r="CK211" s="38">
        <v>0.32881106537303395</v>
      </c>
      <c r="CL211" s="38"/>
      <c r="CM211" s="38">
        <v>0</v>
      </c>
      <c r="CN211" s="38"/>
      <c r="CO211" s="38">
        <v>0</v>
      </c>
      <c r="CP211" s="38">
        <v>0</v>
      </c>
      <c r="CQ211" s="38">
        <v>0</v>
      </c>
      <c r="CR211" s="38">
        <v>0</v>
      </c>
      <c r="CS211" s="38">
        <v>0</v>
      </c>
      <c r="CT211" s="38">
        <v>0</v>
      </c>
      <c r="CU211" s="38">
        <v>0</v>
      </c>
      <c r="CV211" s="38">
        <v>9999</v>
      </c>
      <c r="CW211" s="49">
        <v>9999</v>
      </c>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row>
    <row r="212" spans="1:131">
      <c r="A212" s="27" t="s">
        <v>887</v>
      </c>
      <c r="B212" s="27" t="s">
        <v>95</v>
      </c>
      <c r="C212" s="38">
        <v>45</v>
      </c>
      <c r="D212" s="38">
        <v>354.05076895078599</v>
      </c>
      <c r="E212" s="38">
        <v>0</v>
      </c>
      <c r="F212" s="38">
        <v>1423.5624999793488</v>
      </c>
      <c r="G212" s="38">
        <v>0</v>
      </c>
      <c r="H212" s="38">
        <v>0</v>
      </c>
      <c r="I212" s="38" t="s">
        <v>1360</v>
      </c>
      <c r="J212" s="38"/>
      <c r="K212" s="38"/>
      <c r="L212" s="38">
        <v>381.80154235343008</v>
      </c>
      <c r="M212" s="38">
        <v>0.19965122834119201</v>
      </c>
      <c r="N212" s="38">
        <v>0.19821023530733647</v>
      </c>
      <c r="O212" s="38">
        <v>0</v>
      </c>
      <c r="P212" s="38">
        <v>0</v>
      </c>
      <c r="Q212" s="38">
        <v>0</v>
      </c>
      <c r="R212" s="38">
        <v>186.19588957733831</v>
      </c>
      <c r="S212" s="38">
        <v>430.27038057829139</v>
      </c>
      <c r="T212" s="38">
        <v>0</v>
      </c>
      <c r="U212" s="38">
        <v>332.69891611262142</v>
      </c>
      <c r="V212" s="38" t="s">
        <v>1584</v>
      </c>
      <c r="W212" s="38" t="s">
        <v>1584</v>
      </c>
      <c r="X212" s="38" t="s">
        <v>1584</v>
      </c>
      <c r="Y212" s="38" t="s">
        <v>1584</v>
      </c>
      <c r="Z212" s="38">
        <v>0</v>
      </c>
      <c r="AA212" s="38">
        <v>0</v>
      </c>
      <c r="AB212" s="38">
        <v>0</v>
      </c>
      <c r="AC212" s="38">
        <v>0</v>
      </c>
      <c r="AD212" s="38">
        <v>0</v>
      </c>
      <c r="AE212" s="38">
        <v>0</v>
      </c>
      <c r="AF212" s="38">
        <v>0</v>
      </c>
      <c r="AG212" s="38">
        <v>0</v>
      </c>
      <c r="AH212" s="38">
        <v>186.19588957733831</v>
      </c>
      <c r="AI212" s="38">
        <v>430.27038057829139</v>
      </c>
      <c r="AJ212" s="38">
        <v>0</v>
      </c>
      <c r="AK212" s="38">
        <v>332.69891611262142</v>
      </c>
      <c r="AL212" s="38">
        <v>949.16518626825109</v>
      </c>
      <c r="AM212" s="38">
        <v>201.10517653486477</v>
      </c>
      <c r="AN212" s="38">
        <v>70.546459056591985</v>
      </c>
      <c r="AO212" s="38">
        <v>0</v>
      </c>
      <c r="AP212" s="38">
        <v>0</v>
      </c>
      <c r="AQ212" s="38">
        <v>271.65163559145674</v>
      </c>
      <c r="AR212" s="38">
        <v>186.19588957733831</v>
      </c>
      <c r="AS212" s="49">
        <v>1.4589561359711087</v>
      </c>
      <c r="AT212" s="38">
        <v>201.10517653486477</v>
      </c>
      <c r="AU212" s="38">
        <v>83.505995264925701</v>
      </c>
      <c r="AV212" s="38">
        <v>0</v>
      </c>
      <c r="AW212" s="38">
        <v>0</v>
      </c>
      <c r="AX212" s="38">
        <v>284.61117179979044</v>
      </c>
      <c r="AY212" s="38">
        <v>430.27038057829139</v>
      </c>
      <c r="AZ212" s="50">
        <v>0.66147051864752515</v>
      </c>
      <c r="BA212" s="38">
        <v>201.10517653486477</v>
      </c>
      <c r="BB212" s="38">
        <v>154.0524543215177</v>
      </c>
      <c r="BC212" s="38">
        <v>0</v>
      </c>
      <c r="BD212" s="38">
        <v>0</v>
      </c>
      <c r="BE212" s="38">
        <v>355.15763085638241</v>
      </c>
      <c r="BF212" s="38">
        <v>616.46627015562967</v>
      </c>
      <c r="BG212" s="38">
        <v>89.117549749752882</v>
      </c>
      <c r="BH212" s="50">
        <v>0.57611851296701322</v>
      </c>
      <c r="BI212" s="38">
        <v>35.884138588455777</v>
      </c>
      <c r="BJ212" s="38">
        <v>82.922786331252013</v>
      </c>
      <c r="BK212" s="38">
        <v>0</v>
      </c>
      <c r="BL212" s="38">
        <v>64.118569110815457</v>
      </c>
      <c r="BM212" s="38">
        <v>182.92549403052323</v>
      </c>
      <c r="BN212" s="38">
        <v>201.10517653486477</v>
      </c>
      <c r="BO212" s="38">
        <v>0</v>
      </c>
      <c r="BP212" s="38">
        <v>154.0524543215177</v>
      </c>
      <c r="BQ212" s="38">
        <v>0</v>
      </c>
      <c r="BR212" s="38">
        <v>0</v>
      </c>
      <c r="BS212" s="38">
        <v>0</v>
      </c>
      <c r="BT212" s="38">
        <v>0</v>
      </c>
      <c r="BU212" s="38">
        <v>0</v>
      </c>
      <c r="BV212" s="38">
        <v>41.782323771782274</v>
      </c>
      <c r="BW212" s="38">
        <v>0</v>
      </c>
      <c r="BX212" s="38">
        <v>949.16518626825109</v>
      </c>
      <c r="BY212" s="38"/>
      <c r="BZ212" s="38">
        <v>0</v>
      </c>
      <c r="CA212" s="38">
        <v>0</v>
      </c>
      <c r="CB212" s="38">
        <v>396.93995462816468</v>
      </c>
      <c r="CC212" s="38">
        <v>949.16518626825109</v>
      </c>
      <c r="CD212" s="50">
        <v>0.41819902412221677</v>
      </c>
      <c r="CE212" s="38">
        <v>145.18372468485475</v>
      </c>
      <c r="CF212" s="38">
        <v>3.6271377902689204</v>
      </c>
      <c r="CG212" s="38">
        <v>0</v>
      </c>
      <c r="CH212" s="38">
        <v>3.6271377902689204</v>
      </c>
      <c r="CI212" s="38">
        <v>0.18135573261787929</v>
      </c>
      <c r="CJ212" s="38">
        <v>0</v>
      </c>
      <c r="CK212" s="38">
        <v>0.18135573261787929</v>
      </c>
      <c r="CL212" s="38"/>
      <c r="CM212" s="38">
        <v>0</v>
      </c>
      <c r="CN212" s="38"/>
      <c r="CO212" s="38">
        <v>0</v>
      </c>
      <c r="CP212" s="38">
        <v>0</v>
      </c>
      <c r="CQ212" s="38">
        <v>0</v>
      </c>
      <c r="CR212" s="38">
        <v>0</v>
      </c>
      <c r="CS212" s="38">
        <v>0</v>
      </c>
      <c r="CT212" s="38">
        <v>0</v>
      </c>
      <c r="CU212" s="38">
        <v>0</v>
      </c>
      <c r="CV212" s="38">
        <v>9999</v>
      </c>
      <c r="CW212" s="49">
        <v>9999</v>
      </c>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row>
    <row r="213" spans="1:131">
      <c r="A213" s="27" t="s">
        <v>888</v>
      </c>
      <c r="B213" s="27" t="s">
        <v>99</v>
      </c>
      <c r="C213" s="38">
        <v>45</v>
      </c>
      <c r="D213" s="38">
        <v>700.32795887258351</v>
      </c>
      <c r="E213" s="38">
        <v>0</v>
      </c>
      <c r="F213" s="38">
        <v>1676.5345349740685</v>
      </c>
      <c r="G213" s="38">
        <v>0</v>
      </c>
      <c r="H213" s="38">
        <v>0</v>
      </c>
      <c r="I213" s="38" t="s">
        <v>1360</v>
      </c>
      <c r="J213" s="38"/>
      <c r="K213" s="38"/>
      <c r="L213" s="38">
        <v>755.22020653469997</v>
      </c>
      <c r="M213" s="38">
        <v>0.39491889156164106</v>
      </c>
      <c r="N213" s="38">
        <v>0.39206854410118991</v>
      </c>
      <c r="O213" s="38">
        <v>0</v>
      </c>
      <c r="P213" s="38">
        <v>0</v>
      </c>
      <c r="Q213" s="38">
        <v>0</v>
      </c>
      <c r="R213" s="38">
        <v>219.28355035423763</v>
      </c>
      <c r="S213" s="38">
        <v>506.7309320289105</v>
      </c>
      <c r="T213" s="38">
        <v>0</v>
      </c>
      <c r="U213" s="38">
        <v>391.82067708256011</v>
      </c>
      <c r="V213" s="38" t="s">
        <v>1584</v>
      </c>
      <c r="W213" s="38" t="s">
        <v>1584</v>
      </c>
      <c r="X213" s="38" t="s">
        <v>1584</v>
      </c>
      <c r="Y213" s="38" t="s">
        <v>1584</v>
      </c>
      <c r="Z213" s="38">
        <v>0</v>
      </c>
      <c r="AA213" s="38">
        <v>0</v>
      </c>
      <c r="AB213" s="38">
        <v>0</v>
      </c>
      <c r="AC213" s="38">
        <v>0</v>
      </c>
      <c r="AD213" s="38">
        <v>0</v>
      </c>
      <c r="AE213" s="38">
        <v>0</v>
      </c>
      <c r="AF213" s="38">
        <v>0</v>
      </c>
      <c r="AG213" s="38">
        <v>0</v>
      </c>
      <c r="AH213" s="38">
        <v>219.28355035423763</v>
      </c>
      <c r="AI213" s="38">
        <v>506.7309320289105</v>
      </c>
      <c r="AJ213" s="38">
        <v>0</v>
      </c>
      <c r="AK213" s="38">
        <v>391.82067708256011</v>
      </c>
      <c r="AL213" s="38">
        <v>1117.8351594657083</v>
      </c>
      <c r="AM213" s="38">
        <v>397.79486489676145</v>
      </c>
      <c r="AN213" s="38">
        <v>139.54399201900577</v>
      </c>
      <c r="AO213" s="38">
        <v>0</v>
      </c>
      <c r="AP213" s="38">
        <v>0</v>
      </c>
      <c r="AQ213" s="38">
        <v>537.33885691576722</v>
      </c>
      <c r="AR213" s="38">
        <v>219.28355035423763</v>
      </c>
      <c r="AS213" s="49">
        <v>2.4504293917520621</v>
      </c>
      <c r="AT213" s="38">
        <v>397.79486489676145</v>
      </c>
      <c r="AU213" s="38">
        <v>165.17852338187731</v>
      </c>
      <c r="AV213" s="38">
        <v>0</v>
      </c>
      <c r="AW213" s="38">
        <v>0</v>
      </c>
      <c r="AX213" s="38">
        <v>562.97338827863882</v>
      </c>
      <c r="AY213" s="38">
        <v>506.7309320289105</v>
      </c>
      <c r="AZ213" s="49">
        <v>1.1109907698441419</v>
      </c>
      <c r="BA213" s="38">
        <v>397.79486489676145</v>
      </c>
      <c r="BB213" s="38">
        <v>304.72251540088308</v>
      </c>
      <c r="BC213" s="38">
        <v>0</v>
      </c>
      <c r="BD213" s="38">
        <v>0</v>
      </c>
      <c r="BE213" s="38">
        <v>702.51738029764465</v>
      </c>
      <c r="BF213" s="38">
        <v>726.01448238314811</v>
      </c>
      <c r="BG213" s="38">
        <v>41.046836487844473</v>
      </c>
      <c r="BH213" s="50">
        <v>0.96763549122550008</v>
      </c>
      <c r="BI213" s="38">
        <v>21.36498376728677</v>
      </c>
      <c r="BJ213" s="38">
        <v>49.371227890512628</v>
      </c>
      <c r="BK213" s="38">
        <v>0</v>
      </c>
      <c r="BL213" s="38">
        <v>38.175423519151508</v>
      </c>
      <c r="BM213" s="38">
        <v>108.91163517695091</v>
      </c>
      <c r="BN213" s="38">
        <v>397.79486489676145</v>
      </c>
      <c r="BO213" s="38">
        <v>0</v>
      </c>
      <c r="BP213" s="38">
        <v>304.72251540088308</v>
      </c>
      <c r="BQ213" s="38">
        <v>0</v>
      </c>
      <c r="BR213" s="38">
        <v>0</v>
      </c>
      <c r="BS213" s="38">
        <v>0</v>
      </c>
      <c r="BT213" s="38">
        <v>0</v>
      </c>
      <c r="BU213" s="38">
        <v>0</v>
      </c>
      <c r="BV213" s="38">
        <v>84.769122344652004</v>
      </c>
      <c r="BW213" s="38">
        <v>0</v>
      </c>
      <c r="BX213" s="38">
        <v>1117.8351594657083</v>
      </c>
      <c r="BY213" s="38"/>
      <c r="BZ213" s="38">
        <v>0</v>
      </c>
      <c r="CA213" s="38">
        <v>0</v>
      </c>
      <c r="CB213" s="38">
        <v>787.28650264229657</v>
      </c>
      <c r="CC213" s="38">
        <v>1117.8351594657083</v>
      </c>
      <c r="CD213" s="50">
        <v>0.70429570583429846</v>
      </c>
      <c r="CE213" s="38">
        <v>70.963131951403398</v>
      </c>
      <c r="CF213" s="38">
        <v>7.1746377298836954</v>
      </c>
      <c r="CG213" s="38">
        <v>0</v>
      </c>
      <c r="CH213" s="38">
        <v>7.1746377298836954</v>
      </c>
      <c r="CI213" s="38">
        <v>0.35872959810398253</v>
      </c>
      <c r="CJ213" s="38">
        <v>0</v>
      </c>
      <c r="CK213" s="38">
        <v>0.35872959810398253</v>
      </c>
      <c r="CL213" s="38"/>
      <c r="CM213" s="38">
        <v>0</v>
      </c>
      <c r="CN213" s="38"/>
      <c r="CO213" s="38">
        <v>0</v>
      </c>
      <c r="CP213" s="38">
        <v>0</v>
      </c>
      <c r="CQ213" s="38">
        <v>0</v>
      </c>
      <c r="CR213" s="38">
        <v>0</v>
      </c>
      <c r="CS213" s="38">
        <v>0</v>
      </c>
      <c r="CT213" s="38">
        <v>0</v>
      </c>
      <c r="CU213" s="38">
        <v>0</v>
      </c>
      <c r="CV213" s="38">
        <v>9999</v>
      </c>
      <c r="CW213" s="49">
        <v>9999</v>
      </c>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row>
    <row r="214" spans="1:131">
      <c r="A214" s="27" t="s">
        <v>889</v>
      </c>
      <c r="B214" s="27" t="s">
        <v>101</v>
      </c>
      <c r="C214" s="38">
        <v>45</v>
      </c>
      <c r="D214" s="38">
        <v>414.74246039143856</v>
      </c>
      <c r="E214" s="38">
        <v>0</v>
      </c>
      <c r="F214" s="38">
        <v>1676.5345349740685</v>
      </c>
      <c r="G214" s="38">
        <v>0</v>
      </c>
      <c r="H214" s="38">
        <v>0</v>
      </c>
      <c r="I214" s="38" t="s">
        <v>1360</v>
      </c>
      <c r="J214" s="38"/>
      <c r="K214" s="38"/>
      <c r="L214" s="38">
        <v>447.25029556119563</v>
      </c>
      <c r="M214" s="38">
        <v>0.23387561594000897</v>
      </c>
      <c r="N214" s="38">
        <v>0.23218760662417201</v>
      </c>
      <c r="O214" s="38">
        <v>0</v>
      </c>
      <c r="P214" s="38">
        <v>0</v>
      </c>
      <c r="Q214" s="38">
        <v>0</v>
      </c>
      <c r="R214" s="38">
        <v>219.28355035423763</v>
      </c>
      <c r="S214" s="38">
        <v>506.7309320289105</v>
      </c>
      <c r="T214" s="38">
        <v>0</v>
      </c>
      <c r="U214" s="38">
        <v>391.82067708256011</v>
      </c>
      <c r="V214" s="38" t="s">
        <v>1584</v>
      </c>
      <c r="W214" s="38" t="s">
        <v>1584</v>
      </c>
      <c r="X214" s="38" t="s">
        <v>1584</v>
      </c>
      <c r="Y214" s="38" t="s">
        <v>1584</v>
      </c>
      <c r="Z214" s="38">
        <v>0</v>
      </c>
      <c r="AA214" s="38">
        <v>0</v>
      </c>
      <c r="AB214" s="38">
        <v>0</v>
      </c>
      <c r="AC214" s="38">
        <v>0</v>
      </c>
      <c r="AD214" s="38">
        <v>0</v>
      </c>
      <c r="AE214" s="38">
        <v>0</v>
      </c>
      <c r="AF214" s="38">
        <v>0</v>
      </c>
      <c r="AG214" s="38">
        <v>0</v>
      </c>
      <c r="AH214" s="38">
        <v>219.28355035423763</v>
      </c>
      <c r="AI214" s="38">
        <v>506.7309320289105</v>
      </c>
      <c r="AJ214" s="38">
        <v>0</v>
      </c>
      <c r="AK214" s="38">
        <v>391.82067708256011</v>
      </c>
      <c r="AL214" s="38">
        <v>1117.8351594657083</v>
      </c>
      <c r="AM214" s="38">
        <v>235.57880120045195</v>
      </c>
      <c r="AN214" s="38">
        <v>82.639594563631277</v>
      </c>
      <c r="AO214" s="38">
        <v>0</v>
      </c>
      <c r="AP214" s="38">
        <v>0</v>
      </c>
      <c r="AQ214" s="38">
        <v>318.2183957640832</v>
      </c>
      <c r="AR214" s="38">
        <v>219.28355035423763</v>
      </c>
      <c r="AS214" s="49">
        <v>1.4511731283537823</v>
      </c>
      <c r="AT214" s="38">
        <v>235.57880120045195</v>
      </c>
      <c r="AU214" s="38">
        <v>97.820665765663833</v>
      </c>
      <c r="AV214" s="38">
        <v>0</v>
      </c>
      <c r="AW214" s="38">
        <v>0</v>
      </c>
      <c r="AX214" s="38">
        <v>333.39946696611577</v>
      </c>
      <c r="AY214" s="38">
        <v>506.7309320289105</v>
      </c>
      <c r="AZ214" s="50">
        <v>0.65794181071838409</v>
      </c>
      <c r="BA214" s="38">
        <v>235.57880120045195</v>
      </c>
      <c r="BB214" s="38">
        <v>180.46026032929512</v>
      </c>
      <c r="BC214" s="38">
        <v>0</v>
      </c>
      <c r="BD214" s="38">
        <v>0</v>
      </c>
      <c r="BE214" s="38">
        <v>416.03906152974707</v>
      </c>
      <c r="BF214" s="38">
        <v>726.01448238314811</v>
      </c>
      <c r="BG214" s="38">
        <v>89.75474126300125</v>
      </c>
      <c r="BH214" s="50">
        <v>0.57304512737004321</v>
      </c>
      <c r="BI214" s="38">
        <v>36.076594277248709</v>
      </c>
      <c r="BJ214" s="38">
        <v>83.367522155707462</v>
      </c>
      <c r="BK214" s="38">
        <v>0</v>
      </c>
      <c r="BL214" s="38">
        <v>64.462453174026848</v>
      </c>
      <c r="BM214" s="38">
        <v>183.90656960698303</v>
      </c>
      <c r="BN214" s="38">
        <v>235.57880120045195</v>
      </c>
      <c r="BO214" s="38">
        <v>0</v>
      </c>
      <c r="BP214" s="38">
        <v>180.46026032929512</v>
      </c>
      <c r="BQ214" s="38">
        <v>0</v>
      </c>
      <c r="BR214" s="38">
        <v>0</v>
      </c>
      <c r="BS214" s="38">
        <v>0</v>
      </c>
      <c r="BT214" s="38">
        <v>0</v>
      </c>
      <c r="BU214" s="38">
        <v>0</v>
      </c>
      <c r="BV214" s="38">
        <v>50.994475979462784</v>
      </c>
      <c r="BW214" s="38">
        <v>0</v>
      </c>
      <c r="BX214" s="38">
        <v>1117.8351594657083</v>
      </c>
      <c r="BY214" s="38"/>
      <c r="BZ214" s="38">
        <v>0</v>
      </c>
      <c r="CA214" s="38">
        <v>0</v>
      </c>
      <c r="CB214" s="38">
        <v>467.03353750920979</v>
      </c>
      <c r="CC214" s="38">
        <v>1117.8351594657083</v>
      </c>
      <c r="CD214" s="50">
        <v>0.41780179622587449</v>
      </c>
      <c r="CE214" s="38">
        <v>145.82756823241743</v>
      </c>
      <c r="CF214" s="38">
        <v>4.2489049120636251</v>
      </c>
      <c r="CG214" s="38">
        <v>0</v>
      </c>
      <c r="CH214" s="38">
        <v>4.2489049120636251</v>
      </c>
      <c r="CI214" s="38">
        <v>0.21244389039156794</v>
      </c>
      <c r="CJ214" s="38">
        <v>0</v>
      </c>
      <c r="CK214" s="38">
        <v>0.21244389039156794</v>
      </c>
      <c r="CL214" s="38"/>
      <c r="CM214" s="38">
        <v>0</v>
      </c>
      <c r="CN214" s="38"/>
      <c r="CO214" s="38">
        <v>0</v>
      </c>
      <c r="CP214" s="38">
        <v>0</v>
      </c>
      <c r="CQ214" s="38">
        <v>0</v>
      </c>
      <c r="CR214" s="38">
        <v>0</v>
      </c>
      <c r="CS214" s="38">
        <v>0</v>
      </c>
      <c r="CT214" s="38">
        <v>0</v>
      </c>
      <c r="CU214" s="38">
        <v>0</v>
      </c>
      <c r="CV214" s="38">
        <v>9999</v>
      </c>
      <c r="CW214" s="49">
        <v>9999</v>
      </c>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row>
    <row r="215" spans="1:131">
      <c r="A215" s="27" t="s">
        <v>894</v>
      </c>
      <c r="B215" s="27" t="s">
        <v>1362</v>
      </c>
      <c r="C215" s="38">
        <v>15</v>
      </c>
      <c r="D215" s="38">
        <v>402.37772121424229</v>
      </c>
      <c r="E215" s="38">
        <v>0</v>
      </c>
      <c r="F215" s="38">
        <v>569.60752424876659</v>
      </c>
      <c r="G215" s="38">
        <v>0</v>
      </c>
      <c r="H215" s="38">
        <v>0</v>
      </c>
      <c r="I215" s="38" t="s">
        <v>1360</v>
      </c>
      <c r="J215" s="38"/>
      <c r="K215" s="38"/>
      <c r="L215" s="38">
        <v>433.91639855359546</v>
      </c>
      <c r="M215" s="38">
        <v>0.2269030696801565</v>
      </c>
      <c r="N215" s="38">
        <v>0.22526538507642954</v>
      </c>
      <c r="O215" s="38">
        <v>0</v>
      </c>
      <c r="P215" s="38">
        <v>0</v>
      </c>
      <c r="Q215" s="38">
        <v>0</v>
      </c>
      <c r="R215" s="38">
        <v>113.58734943855404</v>
      </c>
      <c r="S215" s="38">
        <v>262.4830880141746</v>
      </c>
      <c r="T215" s="38">
        <v>0</v>
      </c>
      <c r="U215" s="38">
        <v>331.88597372435868</v>
      </c>
      <c r="V215" s="38" t="s">
        <v>1584</v>
      </c>
      <c r="W215" s="38" t="s">
        <v>1584</v>
      </c>
      <c r="X215" s="38" t="s">
        <v>1584</v>
      </c>
      <c r="Y215" s="38" t="s">
        <v>1584</v>
      </c>
      <c r="Z215" s="38">
        <v>0</v>
      </c>
      <c r="AA215" s="38">
        <v>0</v>
      </c>
      <c r="AB215" s="38">
        <v>0</v>
      </c>
      <c r="AC215" s="38">
        <v>0</v>
      </c>
      <c r="AD215" s="38">
        <v>0</v>
      </c>
      <c r="AE215" s="38">
        <v>0</v>
      </c>
      <c r="AF215" s="38">
        <v>0</v>
      </c>
      <c r="AG215" s="38">
        <v>0</v>
      </c>
      <c r="AH215" s="38">
        <v>113.58734943855404</v>
      </c>
      <c r="AI215" s="38">
        <v>262.4830880141746</v>
      </c>
      <c r="AJ215" s="38">
        <v>0</v>
      </c>
      <c r="AK215" s="38">
        <v>331.88597372435868</v>
      </c>
      <c r="AL215" s="38">
        <v>707.95641117708738</v>
      </c>
      <c r="AM215" s="38">
        <v>228.55547778724062</v>
      </c>
      <c r="AN215" s="38">
        <v>80.175855906334988</v>
      </c>
      <c r="AO215" s="38">
        <v>0</v>
      </c>
      <c r="AP215" s="38">
        <v>0</v>
      </c>
      <c r="AQ215" s="38">
        <v>308.73133369357561</v>
      </c>
      <c r="AR215" s="38">
        <v>113.58734943855404</v>
      </c>
      <c r="AS215" s="49">
        <v>2.7180080811779681</v>
      </c>
      <c r="AT215" s="38">
        <v>228.55547778724062</v>
      </c>
      <c r="AU215" s="38">
        <v>94.904333019818225</v>
      </c>
      <c r="AV215" s="38">
        <v>0</v>
      </c>
      <c r="AW215" s="38">
        <v>0</v>
      </c>
      <c r="AX215" s="38">
        <v>323.45981080705883</v>
      </c>
      <c r="AY215" s="38">
        <v>262.4830880141746</v>
      </c>
      <c r="AZ215" s="49">
        <v>1.2323072440750598</v>
      </c>
      <c r="BA215" s="38">
        <v>228.55547778724062</v>
      </c>
      <c r="BB215" s="38">
        <v>175.0801889261532</v>
      </c>
      <c r="BC215" s="38">
        <v>0</v>
      </c>
      <c r="BD215" s="38">
        <v>0</v>
      </c>
      <c r="BE215" s="38">
        <v>403.63566671339379</v>
      </c>
      <c r="BF215" s="38">
        <v>376.07043745272864</v>
      </c>
      <c r="BG215" s="38">
        <v>34.083096040779935</v>
      </c>
      <c r="BH215" s="49">
        <v>1.0732980487575019</v>
      </c>
      <c r="BI215" s="38">
        <v>19.261673480740932</v>
      </c>
      <c r="BJ215" s="38">
        <v>44.510797729993897</v>
      </c>
      <c r="BK215" s="38">
        <v>0</v>
      </c>
      <c r="BL215" s="38">
        <v>56.279852380696056</v>
      </c>
      <c r="BM215" s="38">
        <v>120.05232359143089</v>
      </c>
      <c r="BN215" s="38">
        <v>228.55547778724062</v>
      </c>
      <c r="BO215" s="38">
        <v>0</v>
      </c>
      <c r="BP215" s="38">
        <v>175.0801889261532</v>
      </c>
      <c r="BQ215" s="38">
        <v>0</v>
      </c>
      <c r="BR215" s="38">
        <v>0</v>
      </c>
      <c r="BS215" s="38">
        <v>0</v>
      </c>
      <c r="BT215" s="38">
        <v>0</v>
      </c>
      <c r="BU215" s="38">
        <v>0</v>
      </c>
      <c r="BV215" s="38">
        <v>52.919300940007105</v>
      </c>
      <c r="BW215" s="38">
        <v>0</v>
      </c>
      <c r="BX215" s="38">
        <v>707.95641117708738</v>
      </c>
      <c r="BY215" s="38"/>
      <c r="BZ215" s="38">
        <v>0</v>
      </c>
      <c r="CA215" s="38">
        <v>0</v>
      </c>
      <c r="CB215" s="38">
        <v>456.55496765340092</v>
      </c>
      <c r="CC215" s="38">
        <v>707.95641117708738</v>
      </c>
      <c r="CD215" s="50">
        <v>0.64489135269543985</v>
      </c>
      <c r="CE215" s="38">
        <v>81.389111981293112</v>
      </c>
      <c r="CF215" s="38">
        <v>4.1222320824314931</v>
      </c>
      <c r="CG215" s="38">
        <v>0</v>
      </c>
      <c r="CH215" s="38">
        <v>4.1222320824314931</v>
      </c>
      <c r="CI215" s="38">
        <v>0.20611028931295786</v>
      </c>
      <c r="CJ215" s="38">
        <v>0</v>
      </c>
      <c r="CK215" s="38">
        <v>0.20611028931295786</v>
      </c>
      <c r="CL215" s="38"/>
      <c r="CM215" s="38">
        <v>0</v>
      </c>
      <c r="CN215" s="38"/>
      <c r="CO215" s="38">
        <v>0</v>
      </c>
      <c r="CP215" s="38">
        <v>0</v>
      </c>
      <c r="CQ215" s="38">
        <v>0</v>
      </c>
      <c r="CR215" s="38">
        <v>0</v>
      </c>
      <c r="CS215" s="38">
        <v>0</v>
      </c>
      <c r="CT215" s="38">
        <v>0</v>
      </c>
      <c r="CU215" s="38">
        <v>0</v>
      </c>
      <c r="CV215" s="38">
        <v>9999</v>
      </c>
      <c r="CW215" s="49">
        <v>9999</v>
      </c>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row>
    <row r="216" spans="1:131">
      <c r="A216" s="27" t="s">
        <v>834</v>
      </c>
      <c r="B216" s="27" t="s">
        <v>208</v>
      </c>
      <c r="C216" s="38">
        <v>45</v>
      </c>
      <c r="D216" s="38">
        <v>213.25355911402769</v>
      </c>
      <c r="E216" s="38">
        <v>0</v>
      </c>
      <c r="F216" s="38">
        <v>0</v>
      </c>
      <c r="G216" s="38">
        <v>0</v>
      </c>
      <c r="H216" s="38">
        <v>0</v>
      </c>
      <c r="I216" s="38" t="s">
        <v>1361</v>
      </c>
      <c r="J216" s="38"/>
      <c r="K216" s="38"/>
      <c r="L216" s="38">
        <v>228.60781277512848</v>
      </c>
      <c r="M216" s="38">
        <v>0</v>
      </c>
      <c r="N216" s="38">
        <v>0</v>
      </c>
      <c r="O216" s="38">
        <v>0</v>
      </c>
      <c r="P216" s="38">
        <v>0</v>
      </c>
      <c r="Q216" s="38">
        <v>0</v>
      </c>
      <c r="R216" s="38">
        <v>0</v>
      </c>
      <c r="S216" s="38">
        <v>0</v>
      </c>
      <c r="T216" s="38">
        <v>0</v>
      </c>
      <c r="U216" s="38">
        <v>0</v>
      </c>
      <c r="V216" s="38" t="s">
        <v>1584</v>
      </c>
      <c r="W216" s="38" t="s">
        <v>1584</v>
      </c>
      <c r="X216" s="38" t="s">
        <v>1584</v>
      </c>
      <c r="Y216" s="38" t="s">
        <v>1584</v>
      </c>
      <c r="Z216" s="38">
        <v>0</v>
      </c>
      <c r="AA216" s="38">
        <v>0</v>
      </c>
      <c r="AB216" s="38">
        <v>0</v>
      </c>
      <c r="AC216" s="38">
        <v>0</v>
      </c>
      <c r="AD216" s="38">
        <v>0</v>
      </c>
      <c r="AE216" s="38">
        <v>0</v>
      </c>
      <c r="AF216" s="38">
        <v>0</v>
      </c>
      <c r="AG216" s="38">
        <v>0</v>
      </c>
      <c r="AH216" s="38">
        <v>0</v>
      </c>
      <c r="AI216" s="38">
        <v>0</v>
      </c>
      <c r="AJ216" s="38">
        <v>0</v>
      </c>
      <c r="AK216" s="38">
        <v>0</v>
      </c>
      <c r="AL216" s="38">
        <v>0</v>
      </c>
      <c r="AM216" s="38">
        <v>119.88340943138643</v>
      </c>
      <c r="AN216" s="38">
        <v>0</v>
      </c>
      <c r="AO216" s="38">
        <v>0</v>
      </c>
      <c r="AP216" s="38">
        <v>0</v>
      </c>
      <c r="AQ216" s="38">
        <v>119.88340943138643</v>
      </c>
      <c r="AR216" s="38">
        <v>0</v>
      </c>
      <c r="AS216" s="49">
        <v>9999</v>
      </c>
      <c r="AT216" s="38">
        <v>119.88340943138643</v>
      </c>
      <c r="AU216" s="38">
        <v>0</v>
      </c>
      <c r="AV216" s="38">
        <v>0</v>
      </c>
      <c r="AW216" s="38">
        <v>0</v>
      </c>
      <c r="AX216" s="38">
        <v>119.88340943138643</v>
      </c>
      <c r="AY216" s="38">
        <v>0</v>
      </c>
      <c r="AZ216" s="49">
        <v>9999</v>
      </c>
      <c r="BA216" s="38">
        <v>119.88340943138643</v>
      </c>
      <c r="BB216" s="38">
        <v>0</v>
      </c>
      <c r="BC216" s="38">
        <v>0</v>
      </c>
      <c r="BD216" s="38">
        <v>0</v>
      </c>
      <c r="BE216" s="38">
        <v>119.88340943138643</v>
      </c>
      <c r="BF216" s="38">
        <v>0</v>
      </c>
      <c r="BG216" s="38">
        <v>0</v>
      </c>
      <c r="BH216" s="49">
        <v>9999</v>
      </c>
      <c r="BI216" s="38">
        <v>0</v>
      </c>
      <c r="BJ216" s="38">
        <v>0</v>
      </c>
      <c r="BK216" s="38">
        <v>0</v>
      </c>
      <c r="BL216" s="38">
        <v>0</v>
      </c>
      <c r="BM216" s="38">
        <v>0</v>
      </c>
      <c r="BN216" s="38">
        <v>119.88340943138643</v>
      </c>
      <c r="BO216" s="38">
        <v>0</v>
      </c>
      <c r="BP216" s="38">
        <v>0</v>
      </c>
      <c r="BQ216" s="38">
        <v>0</v>
      </c>
      <c r="BR216" s="38">
        <v>0</v>
      </c>
      <c r="BS216" s="38">
        <v>0</v>
      </c>
      <c r="BT216" s="38">
        <v>0</v>
      </c>
      <c r="BU216" s="38">
        <v>0</v>
      </c>
      <c r="BV216" s="38">
        <v>0</v>
      </c>
      <c r="BW216" s="38">
        <v>0</v>
      </c>
      <c r="BX216" s="38">
        <v>0</v>
      </c>
      <c r="BY216" s="38"/>
      <c r="BZ216" s="38">
        <v>0</v>
      </c>
      <c r="CA216" s="38">
        <v>0</v>
      </c>
      <c r="CB216" s="38">
        <v>119.88340943138643</v>
      </c>
      <c r="CC216" s="38">
        <v>0</v>
      </c>
      <c r="CD216" s="49">
        <v>9999</v>
      </c>
      <c r="CE216" s="38">
        <v>0</v>
      </c>
      <c r="CF216" s="38">
        <v>2.1719166558370979</v>
      </c>
      <c r="CG216" s="38">
        <v>0</v>
      </c>
      <c r="CH216" s="38">
        <v>2.1719166558370979</v>
      </c>
      <c r="CI216" s="38">
        <v>0.10858871106818603</v>
      </c>
      <c r="CJ216" s="38">
        <v>0</v>
      </c>
      <c r="CK216" s="38">
        <v>0.10858871106818603</v>
      </c>
      <c r="CL216" s="38"/>
      <c r="CM216" s="38">
        <v>0</v>
      </c>
      <c r="CN216" s="38"/>
      <c r="CO216" s="38">
        <v>0</v>
      </c>
      <c r="CP216" s="38">
        <v>0</v>
      </c>
      <c r="CQ216" s="38">
        <v>0</v>
      </c>
      <c r="CR216" s="38">
        <v>0</v>
      </c>
      <c r="CS216" s="38">
        <v>0</v>
      </c>
      <c r="CT216" s="38">
        <v>0</v>
      </c>
      <c r="CU216" s="38">
        <v>0</v>
      </c>
      <c r="CV216" s="38">
        <v>9999</v>
      </c>
      <c r="CW216" s="49">
        <v>9999</v>
      </c>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row>
    <row r="217" spans="1:131">
      <c r="A217" s="27" t="s">
        <v>835</v>
      </c>
      <c r="B217" s="27" t="s">
        <v>210</v>
      </c>
      <c r="C217" s="38">
        <v>45</v>
      </c>
      <c r="D217" s="38">
        <v>215.59658023633463</v>
      </c>
      <c r="E217" s="38">
        <v>0</v>
      </c>
      <c r="F217" s="38">
        <v>0</v>
      </c>
      <c r="G217" s="38">
        <v>0</v>
      </c>
      <c r="H217" s="38">
        <v>0</v>
      </c>
      <c r="I217" s="38" t="s">
        <v>1361</v>
      </c>
      <c r="J217" s="38"/>
      <c r="K217" s="38"/>
      <c r="L217" s="38">
        <v>231.11953138972899</v>
      </c>
      <c r="M217" s="38">
        <v>0</v>
      </c>
      <c r="N217" s="38">
        <v>0</v>
      </c>
      <c r="O217" s="38">
        <v>0</v>
      </c>
      <c r="P217" s="38">
        <v>0</v>
      </c>
      <c r="Q217" s="38">
        <v>0</v>
      </c>
      <c r="R217" s="38">
        <v>0</v>
      </c>
      <c r="S217" s="38">
        <v>0</v>
      </c>
      <c r="T217" s="38">
        <v>0</v>
      </c>
      <c r="U217" s="38">
        <v>0</v>
      </c>
      <c r="V217" s="38" t="s">
        <v>1584</v>
      </c>
      <c r="W217" s="38" t="s">
        <v>1584</v>
      </c>
      <c r="X217" s="38" t="s">
        <v>1584</v>
      </c>
      <c r="Y217" s="38" t="s">
        <v>1584</v>
      </c>
      <c r="Z217" s="38">
        <v>0</v>
      </c>
      <c r="AA217" s="38">
        <v>0</v>
      </c>
      <c r="AB217" s="38">
        <v>0</v>
      </c>
      <c r="AC217" s="38">
        <v>0</v>
      </c>
      <c r="AD217" s="38">
        <v>0</v>
      </c>
      <c r="AE217" s="38">
        <v>0</v>
      </c>
      <c r="AF217" s="38">
        <v>0</v>
      </c>
      <c r="AG217" s="38">
        <v>0</v>
      </c>
      <c r="AH217" s="38">
        <v>0</v>
      </c>
      <c r="AI217" s="38">
        <v>0</v>
      </c>
      <c r="AJ217" s="38">
        <v>0</v>
      </c>
      <c r="AK217" s="38">
        <v>0</v>
      </c>
      <c r="AL217" s="38">
        <v>0</v>
      </c>
      <c r="AM217" s="38">
        <v>121.20057085030425</v>
      </c>
      <c r="AN217" s="38">
        <v>0</v>
      </c>
      <c r="AO217" s="38">
        <v>0</v>
      </c>
      <c r="AP217" s="38">
        <v>0</v>
      </c>
      <c r="AQ217" s="38">
        <v>121.20057085030425</v>
      </c>
      <c r="AR217" s="38">
        <v>0</v>
      </c>
      <c r="AS217" s="49">
        <v>9999</v>
      </c>
      <c r="AT217" s="38">
        <v>121.20057085030425</v>
      </c>
      <c r="AU217" s="38">
        <v>0</v>
      </c>
      <c r="AV217" s="38">
        <v>0</v>
      </c>
      <c r="AW217" s="38">
        <v>0</v>
      </c>
      <c r="AX217" s="38">
        <v>121.20057085030425</v>
      </c>
      <c r="AY217" s="38">
        <v>0</v>
      </c>
      <c r="AZ217" s="49">
        <v>9999</v>
      </c>
      <c r="BA217" s="38">
        <v>121.20057085030425</v>
      </c>
      <c r="BB217" s="38">
        <v>0</v>
      </c>
      <c r="BC217" s="38">
        <v>0</v>
      </c>
      <c r="BD217" s="38">
        <v>0</v>
      </c>
      <c r="BE217" s="38">
        <v>121.20057085030425</v>
      </c>
      <c r="BF217" s="38">
        <v>0</v>
      </c>
      <c r="BG217" s="38">
        <v>0</v>
      </c>
      <c r="BH217" s="49">
        <v>9999</v>
      </c>
      <c r="BI217" s="38">
        <v>0</v>
      </c>
      <c r="BJ217" s="38">
        <v>0</v>
      </c>
      <c r="BK217" s="38">
        <v>0</v>
      </c>
      <c r="BL217" s="38">
        <v>0</v>
      </c>
      <c r="BM217" s="38">
        <v>0</v>
      </c>
      <c r="BN217" s="38">
        <v>121.20057085030425</v>
      </c>
      <c r="BO217" s="38">
        <v>0</v>
      </c>
      <c r="BP217" s="38">
        <v>0</v>
      </c>
      <c r="BQ217" s="38">
        <v>0</v>
      </c>
      <c r="BR217" s="38">
        <v>0</v>
      </c>
      <c r="BS217" s="38">
        <v>0</v>
      </c>
      <c r="BT217" s="38">
        <v>0</v>
      </c>
      <c r="BU217" s="38">
        <v>0</v>
      </c>
      <c r="BV217" s="38">
        <v>0</v>
      </c>
      <c r="BW217" s="38">
        <v>0</v>
      </c>
      <c r="BX217" s="38">
        <v>0</v>
      </c>
      <c r="BY217" s="38"/>
      <c r="BZ217" s="38">
        <v>0</v>
      </c>
      <c r="CA217" s="38">
        <v>0</v>
      </c>
      <c r="CB217" s="38">
        <v>121.20057085030425</v>
      </c>
      <c r="CC217" s="38">
        <v>0</v>
      </c>
      <c r="CD217" s="49">
        <v>9999</v>
      </c>
      <c r="CE217" s="38">
        <v>0</v>
      </c>
      <c r="CF217" s="38">
        <v>2.1957795476062114</v>
      </c>
      <c r="CG217" s="38">
        <v>0</v>
      </c>
      <c r="CH217" s="38">
        <v>2.1957795476062114</v>
      </c>
      <c r="CI217" s="38">
        <v>0.10978177741012127</v>
      </c>
      <c r="CJ217" s="38">
        <v>0</v>
      </c>
      <c r="CK217" s="38">
        <v>0.10978177741012127</v>
      </c>
      <c r="CL217" s="38"/>
      <c r="CM217" s="38">
        <v>0</v>
      </c>
      <c r="CN217" s="38"/>
      <c r="CO217" s="38">
        <v>0</v>
      </c>
      <c r="CP217" s="38">
        <v>0</v>
      </c>
      <c r="CQ217" s="38">
        <v>0</v>
      </c>
      <c r="CR217" s="38">
        <v>0</v>
      </c>
      <c r="CS217" s="38">
        <v>0</v>
      </c>
      <c r="CT217" s="38">
        <v>0</v>
      </c>
      <c r="CU217" s="38">
        <v>0</v>
      </c>
      <c r="CV217" s="38">
        <v>9999</v>
      </c>
      <c r="CW217" s="49">
        <v>9999</v>
      </c>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row>
    <row r="218" spans="1:131">
      <c r="A218" s="27" t="s">
        <v>836</v>
      </c>
      <c r="B218" s="27" t="s">
        <v>211</v>
      </c>
      <c r="C218" s="38">
        <v>45</v>
      </c>
      <c r="D218" s="38">
        <v>28.916223828072983</v>
      </c>
      <c r="E218" s="38">
        <v>0</v>
      </c>
      <c r="F218" s="38">
        <v>0</v>
      </c>
      <c r="G218" s="38">
        <v>0</v>
      </c>
      <c r="H218" s="38">
        <v>0</v>
      </c>
      <c r="I218" s="38" t="s">
        <v>1361</v>
      </c>
      <c r="J218" s="38"/>
      <c r="K218" s="38"/>
      <c r="L218" s="38">
        <v>30.998191591809096</v>
      </c>
      <c r="M218" s="38">
        <v>0</v>
      </c>
      <c r="N218" s="38">
        <v>0</v>
      </c>
      <c r="O218" s="38">
        <v>0</v>
      </c>
      <c r="P218" s="38">
        <v>0</v>
      </c>
      <c r="Q218" s="38">
        <v>0</v>
      </c>
      <c r="R218" s="38">
        <v>0</v>
      </c>
      <c r="S218" s="38">
        <v>0</v>
      </c>
      <c r="T218" s="38">
        <v>0</v>
      </c>
      <c r="U218" s="38">
        <v>0</v>
      </c>
      <c r="V218" s="38" t="s">
        <v>1584</v>
      </c>
      <c r="W218" s="38" t="s">
        <v>1584</v>
      </c>
      <c r="X218" s="38" t="s">
        <v>1584</v>
      </c>
      <c r="Y218" s="38" t="s">
        <v>1584</v>
      </c>
      <c r="Z218" s="38">
        <v>0</v>
      </c>
      <c r="AA218" s="38">
        <v>0</v>
      </c>
      <c r="AB218" s="38">
        <v>0</v>
      </c>
      <c r="AC218" s="38">
        <v>0</v>
      </c>
      <c r="AD218" s="38">
        <v>0</v>
      </c>
      <c r="AE218" s="38">
        <v>0</v>
      </c>
      <c r="AF218" s="38">
        <v>0</v>
      </c>
      <c r="AG218" s="38">
        <v>0</v>
      </c>
      <c r="AH218" s="38">
        <v>0</v>
      </c>
      <c r="AI218" s="38">
        <v>0</v>
      </c>
      <c r="AJ218" s="38">
        <v>0</v>
      </c>
      <c r="AK218" s="38">
        <v>0</v>
      </c>
      <c r="AL218" s="38">
        <v>0</v>
      </c>
      <c r="AM218" s="38">
        <v>16.25565132320672</v>
      </c>
      <c r="AN218" s="38">
        <v>0</v>
      </c>
      <c r="AO218" s="38">
        <v>0</v>
      </c>
      <c r="AP218" s="38">
        <v>0</v>
      </c>
      <c r="AQ218" s="38">
        <v>16.25565132320672</v>
      </c>
      <c r="AR218" s="38">
        <v>0</v>
      </c>
      <c r="AS218" s="49">
        <v>9999</v>
      </c>
      <c r="AT218" s="38">
        <v>16.25565132320672</v>
      </c>
      <c r="AU218" s="38">
        <v>0</v>
      </c>
      <c r="AV218" s="38">
        <v>0</v>
      </c>
      <c r="AW218" s="38">
        <v>0</v>
      </c>
      <c r="AX218" s="38">
        <v>16.25565132320672</v>
      </c>
      <c r="AY218" s="38">
        <v>0</v>
      </c>
      <c r="AZ218" s="49">
        <v>9999</v>
      </c>
      <c r="BA218" s="38">
        <v>16.25565132320672</v>
      </c>
      <c r="BB218" s="38">
        <v>0</v>
      </c>
      <c r="BC218" s="38">
        <v>0</v>
      </c>
      <c r="BD218" s="38">
        <v>0</v>
      </c>
      <c r="BE218" s="38">
        <v>16.25565132320672</v>
      </c>
      <c r="BF218" s="38">
        <v>0</v>
      </c>
      <c r="BG218" s="38">
        <v>0</v>
      </c>
      <c r="BH218" s="49">
        <v>9999</v>
      </c>
      <c r="BI218" s="38">
        <v>0</v>
      </c>
      <c r="BJ218" s="38">
        <v>0</v>
      </c>
      <c r="BK218" s="38">
        <v>0</v>
      </c>
      <c r="BL218" s="38">
        <v>0</v>
      </c>
      <c r="BM218" s="38">
        <v>0</v>
      </c>
      <c r="BN218" s="38">
        <v>16.25565132320672</v>
      </c>
      <c r="BO218" s="38">
        <v>0</v>
      </c>
      <c r="BP218" s="38">
        <v>0</v>
      </c>
      <c r="BQ218" s="38">
        <v>0</v>
      </c>
      <c r="BR218" s="38">
        <v>0</v>
      </c>
      <c r="BS218" s="38">
        <v>0</v>
      </c>
      <c r="BT218" s="38">
        <v>0</v>
      </c>
      <c r="BU218" s="38">
        <v>0</v>
      </c>
      <c r="BV218" s="38">
        <v>0</v>
      </c>
      <c r="BW218" s="38">
        <v>0</v>
      </c>
      <c r="BX218" s="38">
        <v>0</v>
      </c>
      <c r="BY218" s="38"/>
      <c r="BZ218" s="38">
        <v>0</v>
      </c>
      <c r="CA218" s="38">
        <v>0</v>
      </c>
      <c r="CB218" s="38">
        <v>16.25565132320672</v>
      </c>
      <c r="CC218" s="38">
        <v>0</v>
      </c>
      <c r="CD218" s="49">
        <v>9999</v>
      </c>
      <c r="CE218" s="38">
        <v>0</v>
      </c>
      <c r="CF218" s="38">
        <v>0.29450213359639099</v>
      </c>
      <c r="CG218" s="38">
        <v>0</v>
      </c>
      <c r="CH218" s="38">
        <v>0.29450213359639099</v>
      </c>
      <c r="CI218" s="38">
        <v>1.4724141006109323E-2</v>
      </c>
      <c r="CJ218" s="38">
        <v>0</v>
      </c>
      <c r="CK218" s="38">
        <v>1.4724141006109323E-2</v>
      </c>
      <c r="CL218" s="38"/>
      <c r="CM218" s="38">
        <v>0</v>
      </c>
      <c r="CN218" s="38"/>
      <c r="CO218" s="38">
        <v>0</v>
      </c>
      <c r="CP218" s="38">
        <v>0</v>
      </c>
      <c r="CQ218" s="38">
        <v>0</v>
      </c>
      <c r="CR218" s="38">
        <v>0</v>
      </c>
      <c r="CS218" s="38">
        <v>0</v>
      </c>
      <c r="CT218" s="38">
        <v>0</v>
      </c>
      <c r="CU218" s="38">
        <v>0</v>
      </c>
      <c r="CV218" s="38">
        <v>9999</v>
      </c>
      <c r="CW218" s="49">
        <v>9999</v>
      </c>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row>
    <row r="219" spans="1:131">
      <c r="A219" s="27" t="s">
        <v>837</v>
      </c>
      <c r="B219" s="27" t="s">
        <v>212</v>
      </c>
      <c r="C219" s="38">
        <v>45</v>
      </c>
      <c r="D219" s="38">
        <v>31.259244950379944</v>
      </c>
      <c r="E219" s="38">
        <v>0</v>
      </c>
      <c r="F219" s="38">
        <v>0</v>
      </c>
      <c r="G219" s="38">
        <v>0</v>
      </c>
      <c r="H219" s="38">
        <v>0</v>
      </c>
      <c r="I219" s="38" t="s">
        <v>1361</v>
      </c>
      <c r="J219" s="38"/>
      <c r="K219" s="38"/>
      <c r="L219" s="38">
        <v>33.509910206409643</v>
      </c>
      <c r="M219" s="38">
        <v>0</v>
      </c>
      <c r="N219" s="38">
        <v>0</v>
      </c>
      <c r="O219" s="38">
        <v>0</v>
      </c>
      <c r="P219" s="38">
        <v>0</v>
      </c>
      <c r="Q219" s="38">
        <v>0</v>
      </c>
      <c r="R219" s="38">
        <v>0</v>
      </c>
      <c r="S219" s="38">
        <v>0</v>
      </c>
      <c r="T219" s="38">
        <v>0</v>
      </c>
      <c r="U219" s="38">
        <v>0</v>
      </c>
      <c r="V219" s="38" t="s">
        <v>1584</v>
      </c>
      <c r="W219" s="38" t="s">
        <v>1584</v>
      </c>
      <c r="X219" s="38" t="s">
        <v>1584</v>
      </c>
      <c r="Y219" s="38" t="s">
        <v>1584</v>
      </c>
      <c r="Z219" s="38">
        <v>0</v>
      </c>
      <c r="AA219" s="38">
        <v>0</v>
      </c>
      <c r="AB219" s="38">
        <v>0</v>
      </c>
      <c r="AC219" s="38">
        <v>0</v>
      </c>
      <c r="AD219" s="38">
        <v>0</v>
      </c>
      <c r="AE219" s="38">
        <v>0</v>
      </c>
      <c r="AF219" s="38">
        <v>0</v>
      </c>
      <c r="AG219" s="38">
        <v>0</v>
      </c>
      <c r="AH219" s="38">
        <v>0</v>
      </c>
      <c r="AI219" s="38">
        <v>0</v>
      </c>
      <c r="AJ219" s="38">
        <v>0</v>
      </c>
      <c r="AK219" s="38">
        <v>0</v>
      </c>
      <c r="AL219" s="38">
        <v>0</v>
      </c>
      <c r="AM219" s="38">
        <v>17.57281274212454</v>
      </c>
      <c r="AN219" s="38">
        <v>0</v>
      </c>
      <c r="AO219" s="38">
        <v>0</v>
      </c>
      <c r="AP219" s="38">
        <v>0</v>
      </c>
      <c r="AQ219" s="38">
        <v>17.57281274212454</v>
      </c>
      <c r="AR219" s="38">
        <v>0</v>
      </c>
      <c r="AS219" s="49">
        <v>9999</v>
      </c>
      <c r="AT219" s="38">
        <v>17.57281274212454</v>
      </c>
      <c r="AU219" s="38">
        <v>0</v>
      </c>
      <c r="AV219" s="38">
        <v>0</v>
      </c>
      <c r="AW219" s="38">
        <v>0</v>
      </c>
      <c r="AX219" s="38">
        <v>17.57281274212454</v>
      </c>
      <c r="AY219" s="38">
        <v>0</v>
      </c>
      <c r="AZ219" s="49">
        <v>9999</v>
      </c>
      <c r="BA219" s="38">
        <v>17.57281274212454</v>
      </c>
      <c r="BB219" s="38">
        <v>0</v>
      </c>
      <c r="BC219" s="38">
        <v>0</v>
      </c>
      <c r="BD219" s="38">
        <v>0</v>
      </c>
      <c r="BE219" s="38">
        <v>17.57281274212454</v>
      </c>
      <c r="BF219" s="38">
        <v>0</v>
      </c>
      <c r="BG219" s="38">
        <v>0</v>
      </c>
      <c r="BH219" s="49">
        <v>9999</v>
      </c>
      <c r="BI219" s="38">
        <v>0</v>
      </c>
      <c r="BJ219" s="38">
        <v>0</v>
      </c>
      <c r="BK219" s="38">
        <v>0</v>
      </c>
      <c r="BL219" s="38">
        <v>0</v>
      </c>
      <c r="BM219" s="38">
        <v>0</v>
      </c>
      <c r="BN219" s="38">
        <v>17.57281274212454</v>
      </c>
      <c r="BO219" s="38">
        <v>0</v>
      </c>
      <c r="BP219" s="38">
        <v>0</v>
      </c>
      <c r="BQ219" s="38">
        <v>0</v>
      </c>
      <c r="BR219" s="38">
        <v>0</v>
      </c>
      <c r="BS219" s="38">
        <v>0</v>
      </c>
      <c r="BT219" s="38">
        <v>0</v>
      </c>
      <c r="BU219" s="38">
        <v>0</v>
      </c>
      <c r="BV219" s="38">
        <v>0</v>
      </c>
      <c r="BW219" s="38">
        <v>0</v>
      </c>
      <c r="BX219" s="38">
        <v>0</v>
      </c>
      <c r="BY219" s="38"/>
      <c r="BZ219" s="38">
        <v>0</v>
      </c>
      <c r="CA219" s="38">
        <v>0</v>
      </c>
      <c r="CB219" s="38">
        <v>17.57281274212454</v>
      </c>
      <c r="CC219" s="38">
        <v>0</v>
      </c>
      <c r="CD219" s="49">
        <v>9999</v>
      </c>
      <c r="CE219" s="38">
        <v>0</v>
      </c>
      <c r="CF219" s="38">
        <v>0.3183650253655062</v>
      </c>
      <c r="CG219" s="38">
        <v>0</v>
      </c>
      <c r="CH219" s="38">
        <v>0.3183650253655062</v>
      </c>
      <c r="CI219" s="38">
        <v>1.5917207348044582E-2</v>
      </c>
      <c r="CJ219" s="38">
        <v>0</v>
      </c>
      <c r="CK219" s="38">
        <v>1.5917207348044582E-2</v>
      </c>
      <c r="CL219" s="38"/>
      <c r="CM219" s="38">
        <v>0</v>
      </c>
      <c r="CN219" s="38"/>
      <c r="CO219" s="38">
        <v>0</v>
      </c>
      <c r="CP219" s="38">
        <v>0</v>
      </c>
      <c r="CQ219" s="38">
        <v>0</v>
      </c>
      <c r="CR219" s="38">
        <v>0</v>
      </c>
      <c r="CS219" s="38">
        <v>0</v>
      </c>
      <c r="CT219" s="38">
        <v>0</v>
      </c>
      <c r="CU219" s="38">
        <v>0</v>
      </c>
      <c r="CV219" s="38">
        <v>9999</v>
      </c>
      <c r="CW219" s="49">
        <v>9999</v>
      </c>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row>
    <row r="220" spans="1:131">
      <c r="A220" s="27" t="s">
        <v>838</v>
      </c>
      <c r="B220" s="27" t="s">
        <v>213</v>
      </c>
      <c r="C220" s="38">
        <v>45</v>
      </c>
      <c r="D220" s="38">
        <v>11.692669002264317</v>
      </c>
      <c r="E220" s="38">
        <v>0</v>
      </c>
      <c r="F220" s="38">
        <v>0</v>
      </c>
      <c r="G220" s="38">
        <v>0</v>
      </c>
      <c r="H220" s="38">
        <v>0</v>
      </c>
      <c r="I220" s="38" t="s">
        <v>1361</v>
      </c>
      <c r="J220" s="38"/>
      <c r="K220" s="38"/>
      <c r="L220" s="38">
        <v>12.534541028137797</v>
      </c>
      <c r="M220" s="38">
        <v>0</v>
      </c>
      <c r="N220" s="38">
        <v>0</v>
      </c>
      <c r="O220" s="38">
        <v>0</v>
      </c>
      <c r="P220" s="38">
        <v>0</v>
      </c>
      <c r="Q220" s="38">
        <v>0</v>
      </c>
      <c r="R220" s="38">
        <v>0</v>
      </c>
      <c r="S220" s="38">
        <v>0</v>
      </c>
      <c r="T220" s="38">
        <v>0</v>
      </c>
      <c r="U220" s="38">
        <v>0</v>
      </c>
      <c r="V220" s="38" t="s">
        <v>1584</v>
      </c>
      <c r="W220" s="38" t="s">
        <v>1584</v>
      </c>
      <c r="X220" s="38" t="s">
        <v>1584</v>
      </c>
      <c r="Y220" s="38" t="s">
        <v>1584</v>
      </c>
      <c r="Z220" s="38">
        <v>0</v>
      </c>
      <c r="AA220" s="38">
        <v>0</v>
      </c>
      <c r="AB220" s="38">
        <v>0</v>
      </c>
      <c r="AC220" s="38">
        <v>0</v>
      </c>
      <c r="AD220" s="38">
        <v>0</v>
      </c>
      <c r="AE220" s="38">
        <v>0</v>
      </c>
      <c r="AF220" s="38">
        <v>0</v>
      </c>
      <c r="AG220" s="38">
        <v>0</v>
      </c>
      <c r="AH220" s="38">
        <v>0</v>
      </c>
      <c r="AI220" s="38">
        <v>0</v>
      </c>
      <c r="AJ220" s="38">
        <v>0</v>
      </c>
      <c r="AK220" s="38">
        <v>0</v>
      </c>
      <c r="AL220" s="38">
        <v>0</v>
      </c>
      <c r="AM220" s="38">
        <v>6.5731940473481556</v>
      </c>
      <c r="AN220" s="38">
        <v>0</v>
      </c>
      <c r="AO220" s="38">
        <v>0</v>
      </c>
      <c r="AP220" s="38">
        <v>0</v>
      </c>
      <c r="AQ220" s="38">
        <v>6.5731940473481556</v>
      </c>
      <c r="AR220" s="38">
        <v>0</v>
      </c>
      <c r="AS220" s="49">
        <v>9999</v>
      </c>
      <c r="AT220" s="38">
        <v>6.5731940473481556</v>
      </c>
      <c r="AU220" s="38">
        <v>0</v>
      </c>
      <c r="AV220" s="38">
        <v>0</v>
      </c>
      <c r="AW220" s="38">
        <v>0</v>
      </c>
      <c r="AX220" s="38">
        <v>6.5731940473481556</v>
      </c>
      <c r="AY220" s="38">
        <v>0</v>
      </c>
      <c r="AZ220" s="49">
        <v>9999</v>
      </c>
      <c r="BA220" s="38">
        <v>6.5731940473481556</v>
      </c>
      <c r="BB220" s="38">
        <v>0</v>
      </c>
      <c r="BC220" s="38">
        <v>0</v>
      </c>
      <c r="BD220" s="38">
        <v>0</v>
      </c>
      <c r="BE220" s="38">
        <v>6.5731940473481556</v>
      </c>
      <c r="BF220" s="38">
        <v>0</v>
      </c>
      <c r="BG220" s="38">
        <v>0</v>
      </c>
      <c r="BH220" s="49">
        <v>9999</v>
      </c>
      <c r="BI220" s="38">
        <v>0</v>
      </c>
      <c r="BJ220" s="38">
        <v>0</v>
      </c>
      <c r="BK220" s="38">
        <v>0</v>
      </c>
      <c r="BL220" s="38">
        <v>0</v>
      </c>
      <c r="BM220" s="38">
        <v>0</v>
      </c>
      <c r="BN220" s="38">
        <v>6.5731940473481556</v>
      </c>
      <c r="BO220" s="38">
        <v>0</v>
      </c>
      <c r="BP220" s="38">
        <v>0</v>
      </c>
      <c r="BQ220" s="38">
        <v>0</v>
      </c>
      <c r="BR220" s="38">
        <v>0</v>
      </c>
      <c r="BS220" s="38">
        <v>0</v>
      </c>
      <c r="BT220" s="38">
        <v>0</v>
      </c>
      <c r="BU220" s="38">
        <v>0</v>
      </c>
      <c r="BV220" s="38">
        <v>0</v>
      </c>
      <c r="BW220" s="38">
        <v>0</v>
      </c>
      <c r="BX220" s="38">
        <v>0</v>
      </c>
      <c r="BY220" s="38"/>
      <c r="BZ220" s="38">
        <v>0</v>
      </c>
      <c r="CA220" s="38">
        <v>0</v>
      </c>
      <c r="CB220" s="38">
        <v>6.5731940473481556</v>
      </c>
      <c r="CC220" s="38">
        <v>0</v>
      </c>
      <c r="CD220" s="49">
        <v>9999</v>
      </c>
      <c r="CE220" s="38">
        <v>0</v>
      </c>
      <c r="CF220" s="38">
        <v>0.11908594943369227</v>
      </c>
      <c r="CG220" s="38">
        <v>0</v>
      </c>
      <c r="CH220" s="38">
        <v>0.11908594943369227</v>
      </c>
      <c r="CI220" s="38">
        <v>5.953906988365453E-3</v>
      </c>
      <c r="CJ220" s="38">
        <v>0</v>
      </c>
      <c r="CK220" s="38">
        <v>5.953906988365453E-3</v>
      </c>
      <c r="CL220" s="38"/>
      <c r="CM220" s="38">
        <v>0</v>
      </c>
      <c r="CN220" s="38"/>
      <c r="CO220" s="38">
        <v>0</v>
      </c>
      <c r="CP220" s="38">
        <v>0</v>
      </c>
      <c r="CQ220" s="38">
        <v>0</v>
      </c>
      <c r="CR220" s="38">
        <v>0</v>
      </c>
      <c r="CS220" s="38">
        <v>0</v>
      </c>
      <c r="CT220" s="38">
        <v>0</v>
      </c>
      <c r="CU220" s="38">
        <v>0</v>
      </c>
      <c r="CV220" s="38">
        <v>9999</v>
      </c>
      <c r="CW220" s="49">
        <v>9999</v>
      </c>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row>
    <row r="221" spans="1:131">
      <c r="A221" s="27" t="s">
        <v>839</v>
      </c>
      <c r="B221" s="27" t="s">
        <v>214</v>
      </c>
      <c r="C221" s="38">
        <v>45</v>
      </c>
      <c r="D221" s="38">
        <v>14.035690124571275</v>
      </c>
      <c r="E221" s="38">
        <v>0</v>
      </c>
      <c r="F221" s="38">
        <v>0</v>
      </c>
      <c r="G221" s="38">
        <v>0</v>
      </c>
      <c r="H221" s="38">
        <v>0</v>
      </c>
      <c r="I221" s="38" t="s">
        <v>1361</v>
      </c>
      <c r="J221" s="38"/>
      <c r="K221" s="38"/>
      <c r="L221" s="38">
        <v>15.04625964273834</v>
      </c>
      <c r="M221" s="38">
        <v>0</v>
      </c>
      <c r="N221" s="38">
        <v>0</v>
      </c>
      <c r="O221" s="38">
        <v>0</v>
      </c>
      <c r="P221" s="38">
        <v>0</v>
      </c>
      <c r="Q221" s="38">
        <v>0</v>
      </c>
      <c r="R221" s="38">
        <v>0</v>
      </c>
      <c r="S221" s="38">
        <v>0</v>
      </c>
      <c r="T221" s="38">
        <v>0</v>
      </c>
      <c r="U221" s="38">
        <v>0</v>
      </c>
      <c r="V221" s="38" t="s">
        <v>1584</v>
      </c>
      <c r="W221" s="38" t="s">
        <v>1584</v>
      </c>
      <c r="X221" s="38" t="s">
        <v>1584</v>
      </c>
      <c r="Y221" s="38" t="s">
        <v>1584</v>
      </c>
      <c r="Z221" s="38">
        <v>0</v>
      </c>
      <c r="AA221" s="38">
        <v>0</v>
      </c>
      <c r="AB221" s="38">
        <v>0</v>
      </c>
      <c r="AC221" s="38">
        <v>0</v>
      </c>
      <c r="AD221" s="38">
        <v>0</v>
      </c>
      <c r="AE221" s="38">
        <v>0</v>
      </c>
      <c r="AF221" s="38">
        <v>0</v>
      </c>
      <c r="AG221" s="38">
        <v>0</v>
      </c>
      <c r="AH221" s="38">
        <v>0</v>
      </c>
      <c r="AI221" s="38">
        <v>0</v>
      </c>
      <c r="AJ221" s="38">
        <v>0</v>
      </c>
      <c r="AK221" s="38">
        <v>0</v>
      </c>
      <c r="AL221" s="38">
        <v>0</v>
      </c>
      <c r="AM221" s="38">
        <v>7.890355466265988</v>
      </c>
      <c r="AN221" s="38">
        <v>0</v>
      </c>
      <c r="AO221" s="38">
        <v>0</v>
      </c>
      <c r="AP221" s="38">
        <v>0</v>
      </c>
      <c r="AQ221" s="38">
        <v>7.890355466265988</v>
      </c>
      <c r="AR221" s="38">
        <v>0</v>
      </c>
      <c r="AS221" s="49">
        <v>9999</v>
      </c>
      <c r="AT221" s="38">
        <v>7.890355466265988</v>
      </c>
      <c r="AU221" s="38">
        <v>0</v>
      </c>
      <c r="AV221" s="38">
        <v>0</v>
      </c>
      <c r="AW221" s="38">
        <v>0</v>
      </c>
      <c r="AX221" s="38">
        <v>7.890355466265988</v>
      </c>
      <c r="AY221" s="38">
        <v>0</v>
      </c>
      <c r="AZ221" s="49">
        <v>9999</v>
      </c>
      <c r="BA221" s="38">
        <v>7.890355466265988</v>
      </c>
      <c r="BB221" s="38">
        <v>0</v>
      </c>
      <c r="BC221" s="38">
        <v>0</v>
      </c>
      <c r="BD221" s="38">
        <v>0</v>
      </c>
      <c r="BE221" s="38">
        <v>7.890355466265988</v>
      </c>
      <c r="BF221" s="38">
        <v>0</v>
      </c>
      <c r="BG221" s="38">
        <v>0</v>
      </c>
      <c r="BH221" s="49">
        <v>9999</v>
      </c>
      <c r="BI221" s="38">
        <v>0</v>
      </c>
      <c r="BJ221" s="38">
        <v>0</v>
      </c>
      <c r="BK221" s="38">
        <v>0</v>
      </c>
      <c r="BL221" s="38">
        <v>0</v>
      </c>
      <c r="BM221" s="38">
        <v>0</v>
      </c>
      <c r="BN221" s="38">
        <v>7.890355466265988</v>
      </c>
      <c r="BO221" s="38">
        <v>0</v>
      </c>
      <c r="BP221" s="38">
        <v>0</v>
      </c>
      <c r="BQ221" s="38">
        <v>0</v>
      </c>
      <c r="BR221" s="38">
        <v>0</v>
      </c>
      <c r="BS221" s="38">
        <v>0</v>
      </c>
      <c r="BT221" s="38">
        <v>0</v>
      </c>
      <c r="BU221" s="38">
        <v>0</v>
      </c>
      <c r="BV221" s="38">
        <v>0</v>
      </c>
      <c r="BW221" s="38">
        <v>0</v>
      </c>
      <c r="BX221" s="38">
        <v>0</v>
      </c>
      <c r="BY221" s="38"/>
      <c r="BZ221" s="38">
        <v>0</v>
      </c>
      <c r="CA221" s="38">
        <v>0</v>
      </c>
      <c r="CB221" s="38">
        <v>7.890355466265988</v>
      </c>
      <c r="CC221" s="38">
        <v>0</v>
      </c>
      <c r="CD221" s="49">
        <v>9999</v>
      </c>
      <c r="CE221" s="38">
        <v>0</v>
      </c>
      <c r="CF221" s="38">
        <v>0.14294884120280724</v>
      </c>
      <c r="CG221" s="38">
        <v>0</v>
      </c>
      <c r="CH221" s="38">
        <v>0.14294884120280724</v>
      </c>
      <c r="CI221" s="38">
        <v>7.1469733303007122E-3</v>
      </c>
      <c r="CJ221" s="38">
        <v>0</v>
      </c>
      <c r="CK221" s="38">
        <v>7.1469733303007122E-3</v>
      </c>
      <c r="CL221" s="38"/>
      <c r="CM221" s="38">
        <v>0</v>
      </c>
      <c r="CN221" s="38"/>
      <c r="CO221" s="38">
        <v>0</v>
      </c>
      <c r="CP221" s="38">
        <v>0</v>
      </c>
      <c r="CQ221" s="38">
        <v>0</v>
      </c>
      <c r="CR221" s="38">
        <v>0</v>
      </c>
      <c r="CS221" s="38">
        <v>0</v>
      </c>
      <c r="CT221" s="38">
        <v>0</v>
      </c>
      <c r="CU221" s="38">
        <v>0</v>
      </c>
      <c r="CV221" s="38">
        <v>9999</v>
      </c>
      <c r="CW221" s="49">
        <v>9999</v>
      </c>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row>
    <row r="222" spans="1:131">
      <c r="A222" s="27" t="s">
        <v>840</v>
      </c>
      <c r="B222" s="27" t="s">
        <v>217</v>
      </c>
      <c r="C222" s="38">
        <v>45</v>
      </c>
      <c r="D222" s="38">
        <v>29.793268943788341</v>
      </c>
      <c r="E222" s="38">
        <v>0</v>
      </c>
      <c r="F222" s="38">
        <v>0</v>
      </c>
      <c r="G222" s="38">
        <v>0</v>
      </c>
      <c r="H222" s="38">
        <v>0</v>
      </c>
      <c r="I222" s="38" t="s">
        <v>1361</v>
      </c>
      <c r="J222" s="38"/>
      <c r="K222" s="38"/>
      <c r="L222" s="38">
        <v>31.938383945183087</v>
      </c>
      <c r="M222" s="38">
        <v>0</v>
      </c>
      <c r="N222" s="38">
        <v>0</v>
      </c>
      <c r="O222" s="38">
        <v>0</v>
      </c>
      <c r="P222" s="38">
        <v>0</v>
      </c>
      <c r="Q222" s="38">
        <v>0</v>
      </c>
      <c r="R222" s="38">
        <v>0</v>
      </c>
      <c r="S222" s="38">
        <v>0</v>
      </c>
      <c r="T222" s="38">
        <v>0</v>
      </c>
      <c r="U222" s="38">
        <v>0</v>
      </c>
      <c r="V222" s="38" t="s">
        <v>1584</v>
      </c>
      <c r="W222" s="38" t="s">
        <v>1584</v>
      </c>
      <c r="X222" s="38" t="s">
        <v>1584</v>
      </c>
      <c r="Y222" s="38" t="s">
        <v>1584</v>
      </c>
      <c r="Z222" s="38">
        <v>0</v>
      </c>
      <c r="AA222" s="38">
        <v>0</v>
      </c>
      <c r="AB222" s="38">
        <v>0</v>
      </c>
      <c r="AC222" s="38">
        <v>0</v>
      </c>
      <c r="AD222" s="38">
        <v>0</v>
      </c>
      <c r="AE222" s="38">
        <v>0</v>
      </c>
      <c r="AF222" s="38">
        <v>0</v>
      </c>
      <c r="AG222" s="38">
        <v>0</v>
      </c>
      <c r="AH222" s="38">
        <v>0</v>
      </c>
      <c r="AI222" s="38">
        <v>0</v>
      </c>
      <c r="AJ222" s="38">
        <v>0</v>
      </c>
      <c r="AK222" s="38">
        <v>0</v>
      </c>
      <c r="AL222" s="38">
        <v>0</v>
      </c>
      <c r="AM222" s="38">
        <v>16.748694248886</v>
      </c>
      <c r="AN222" s="38">
        <v>0</v>
      </c>
      <c r="AO222" s="38">
        <v>0</v>
      </c>
      <c r="AP222" s="38">
        <v>0</v>
      </c>
      <c r="AQ222" s="38">
        <v>16.748694248886</v>
      </c>
      <c r="AR222" s="38">
        <v>0</v>
      </c>
      <c r="AS222" s="49">
        <v>9999</v>
      </c>
      <c r="AT222" s="38">
        <v>16.748694248886</v>
      </c>
      <c r="AU222" s="38">
        <v>0</v>
      </c>
      <c r="AV222" s="38">
        <v>0</v>
      </c>
      <c r="AW222" s="38">
        <v>0</v>
      </c>
      <c r="AX222" s="38">
        <v>16.748694248886</v>
      </c>
      <c r="AY222" s="38">
        <v>0</v>
      </c>
      <c r="AZ222" s="49">
        <v>9999</v>
      </c>
      <c r="BA222" s="38">
        <v>16.748694248886</v>
      </c>
      <c r="BB222" s="38">
        <v>0</v>
      </c>
      <c r="BC222" s="38">
        <v>0</v>
      </c>
      <c r="BD222" s="38">
        <v>0</v>
      </c>
      <c r="BE222" s="38">
        <v>16.748694248886</v>
      </c>
      <c r="BF222" s="38">
        <v>0</v>
      </c>
      <c r="BG222" s="38">
        <v>0</v>
      </c>
      <c r="BH222" s="49">
        <v>9999</v>
      </c>
      <c r="BI222" s="38">
        <v>0</v>
      </c>
      <c r="BJ222" s="38">
        <v>0</v>
      </c>
      <c r="BK222" s="38">
        <v>0</v>
      </c>
      <c r="BL222" s="38">
        <v>0</v>
      </c>
      <c r="BM222" s="38">
        <v>0</v>
      </c>
      <c r="BN222" s="38">
        <v>16.748694248886</v>
      </c>
      <c r="BO222" s="38">
        <v>0</v>
      </c>
      <c r="BP222" s="38">
        <v>0</v>
      </c>
      <c r="BQ222" s="38">
        <v>0</v>
      </c>
      <c r="BR222" s="38">
        <v>0</v>
      </c>
      <c r="BS222" s="38">
        <v>0</v>
      </c>
      <c r="BT222" s="38">
        <v>0</v>
      </c>
      <c r="BU222" s="38">
        <v>0</v>
      </c>
      <c r="BV222" s="38">
        <v>0</v>
      </c>
      <c r="BW222" s="38">
        <v>0</v>
      </c>
      <c r="BX222" s="38">
        <v>0</v>
      </c>
      <c r="BY222" s="38"/>
      <c r="BZ222" s="38">
        <v>0</v>
      </c>
      <c r="CA222" s="38">
        <v>0</v>
      </c>
      <c r="CB222" s="38">
        <v>16.748694248886</v>
      </c>
      <c r="CC222" s="38">
        <v>0</v>
      </c>
      <c r="CD222" s="49">
        <v>9999</v>
      </c>
      <c r="CE222" s="38">
        <v>0</v>
      </c>
      <c r="CF222" s="38">
        <v>0.3034345467418349</v>
      </c>
      <c r="CG222" s="38">
        <v>0</v>
      </c>
      <c r="CH222" s="38">
        <v>0.3034345467418349</v>
      </c>
      <c r="CI222" s="38">
        <v>1.517073237396197E-2</v>
      </c>
      <c r="CJ222" s="38">
        <v>0</v>
      </c>
      <c r="CK222" s="38">
        <v>1.517073237396197E-2</v>
      </c>
      <c r="CL222" s="38"/>
      <c r="CM222" s="38">
        <v>0</v>
      </c>
      <c r="CN222" s="38"/>
      <c r="CO222" s="38">
        <v>0</v>
      </c>
      <c r="CP222" s="38">
        <v>0</v>
      </c>
      <c r="CQ222" s="38">
        <v>0</v>
      </c>
      <c r="CR222" s="38">
        <v>0</v>
      </c>
      <c r="CS222" s="38">
        <v>0</v>
      </c>
      <c r="CT222" s="38">
        <v>0</v>
      </c>
      <c r="CU222" s="38">
        <v>0</v>
      </c>
      <c r="CV222" s="38">
        <v>9999</v>
      </c>
      <c r="CW222" s="49">
        <v>9999</v>
      </c>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row>
    <row r="223" spans="1:131">
      <c r="A223" s="27" t="s">
        <v>841</v>
      </c>
      <c r="B223" s="27" t="s">
        <v>218</v>
      </c>
      <c r="C223" s="38">
        <v>45</v>
      </c>
      <c r="D223" s="38">
        <v>-30.731756814566555</v>
      </c>
      <c r="E223" s="38">
        <v>0</v>
      </c>
      <c r="F223" s="38">
        <v>0</v>
      </c>
      <c r="G223" s="38">
        <v>0</v>
      </c>
      <c r="H223" s="38">
        <v>0</v>
      </c>
      <c r="I223" s="38" t="s">
        <v>1361</v>
      </c>
      <c r="J223" s="38"/>
      <c r="K223" s="38"/>
      <c r="L223" s="38">
        <v>-32.944442931236757</v>
      </c>
      <c r="M223" s="38">
        <v>0</v>
      </c>
      <c r="N223" s="38">
        <v>0</v>
      </c>
      <c r="O223" s="38">
        <v>0</v>
      </c>
      <c r="P223" s="38">
        <v>0</v>
      </c>
      <c r="Q223" s="38">
        <v>0</v>
      </c>
      <c r="R223" s="38">
        <v>0</v>
      </c>
      <c r="S223" s="38">
        <v>0</v>
      </c>
      <c r="T223" s="38">
        <v>0</v>
      </c>
      <c r="U223" s="38">
        <v>0</v>
      </c>
      <c r="V223" s="38" t="s">
        <v>1584</v>
      </c>
      <c r="W223" s="38" t="s">
        <v>1584</v>
      </c>
      <c r="X223" s="38" t="s">
        <v>1584</v>
      </c>
      <c r="Y223" s="38" t="s">
        <v>1584</v>
      </c>
      <c r="Z223" s="38">
        <v>0</v>
      </c>
      <c r="AA223" s="38">
        <v>0</v>
      </c>
      <c r="AB223" s="38">
        <v>0</v>
      </c>
      <c r="AC223" s="38">
        <v>0</v>
      </c>
      <c r="AD223" s="38">
        <v>0</v>
      </c>
      <c r="AE223" s="38">
        <v>0</v>
      </c>
      <c r="AF223" s="38">
        <v>0</v>
      </c>
      <c r="AG223" s="38">
        <v>0</v>
      </c>
      <c r="AH223" s="38">
        <v>0</v>
      </c>
      <c r="AI223" s="38">
        <v>0</v>
      </c>
      <c r="AJ223" s="38">
        <v>0</v>
      </c>
      <c r="AK223" s="38">
        <v>0</v>
      </c>
      <c r="AL223" s="38">
        <v>0</v>
      </c>
      <c r="AM223" s="38">
        <v>-17.276278060974875</v>
      </c>
      <c r="AN223" s="38">
        <v>0</v>
      </c>
      <c r="AO223" s="38">
        <v>0</v>
      </c>
      <c r="AP223" s="38">
        <v>0</v>
      </c>
      <c r="AQ223" s="38">
        <v>-17.276278060974875</v>
      </c>
      <c r="AR223" s="38">
        <v>0</v>
      </c>
      <c r="AS223" s="50">
        <v>0</v>
      </c>
      <c r="AT223" s="38">
        <v>-17.276278060974875</v>
      </c>
      <c r="AU223" s="38">
        <v>0</v>
      </c>
      <c r="AV223" s="38">
        <v>0</v>
      </c>
      <c r="AW223" s="38">
        <v>0</v>
      </c>
      <c r="AX223" s="38">
        <v>-17.276278060974875</v>
      </c>
      <c r="AY223" s="38">
        <v>0</v>
      </c>
      <c r="AZ223" s="50">
        <v>0</v>
      </c>
      <c r="BA223" s="38">
        <v>-17.276278060974875</v>
      </c>
      <c r="BB223" s="38">
        <v>0</v>
      </c>
      <c r="BC223" s="38">
        <v>0</v>
      </c>
      <c r="BD223" s="38">
        <v>0</v>
      </c>
      <c r="BE223" s="38">
        <v>-17.276278060974875</v>
      </c>
      <c r="BF223" s="38">
        <v>0</v>
      </c>
      <c r="BG223" s="38">
        <v>9999</v>
      </c>
      <c r="BH223" s="50">
        <v>0</v>
      </c>
      <c r="BI223" s="38">
        <v>9999</v>
      </c>
      <c r="BJ223" s="38">
        <v>9999</v>
      </c>
      <c r="BK223" s="38">
        <v>9999</v>
      </c>
      <c r="BL223" s="38">
        <v>9999</v>
      </c>
      <c r="BM223" s="38">
        <v>9999</v>
      </c>
      <c r="BN223" s="38">
        <v>-17.276278060974875</v>
      </c>
      <c r="BO223" s="38">
        <v>0</v>
      </c>
      <c r="BP223" s="38">
        <v>0</v>
      </c>
      <c r="BQ223" s="38">
        <v>0</v>
      </c>
      <c r="BR223" s="38">
        <v>0</v>
      </c>
      <c r="BS223" s="38">
        <v>0</v>
      </c>
      <c r="BT223" s="38">
        <v>0</v>
      </c>
      <c r="BU223" s="38">
        <v>0</v>
      </c>
      <c r="BV223" s="38">
        <v>0</v>
      </c>
      <c r="BW223" s="38">
        <v>0</v>
      </c>
      <c r="BX223" s="38">
        <v>0</v>
      </c>
      <c r="BY223" s="38"/>
      <c r="BZ223" s="38">
        <v>0</v>
      </c>
      <c r="CA223" s="38">
        <v>0</v>
      </c>
      <c r="CB223" s="38">
        <v>-17.276278060974875</v>
      </c>
      <c r="CC223" s="38">
        <v>0</v>
      </c>
      <c r="CD223" s="50">
        <v>0</v>
      </c>
      <c r="CE223" s="38">
        <v>9999</v>
      </c>
      <c r="CF223" s="38">
        <v>-0.31299273393604871</v>
      </c>
      <c r="CG223" s="38">
        <v>0</v>
      </c>
      <c r="CH223" s="38">
        <v>-0.31299273393604871</v>
      </c>
      <c r="CI223" s="38">
        <v>-1.5648610392337458E-2</v>
      </c>
      <c r="CJ223" s="38">
        <v>0</v>
      </c>
      <c r="CK223" s="38">
        <v>-1.5648610392337458E-2</v>
      </c>
      <c r="CL223" s="38"/>
      <c r="CM223" s="38">
        <v>0</v>
      </c>
      <c r="CN223" s="38"/>
      <c r="CO223" s="38">
        <v>0</v>
      </c>
      <c r="CP223" s="38">
        <v>0</v>
      </c>
      <c r="CQ223" s="38">
        <v>0</v>
      </c>
      <c r="CR223" s="38">
        <v>0</v>
      </c>
      <c r="CS223" s="38">
        <v>0</v>
      </c>
      <c r="CT223" s="38">
        <v>0</v>
      </c>
      <c r="CU223" s="38">
        <v>0</v>
      </c>
      <c r="CV223" s="38">
        <v>9999</v>
      </c>
      <c r="CW223" s="49">
        <v>9999</v>
      </c>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row>
    <row r="224" spans="1:131">
      <c r="A224" s="27" t="s">
        <v>842</v>
      </c>
      <c r="B224" s="27" t="s">
        <v>219</v>
      </c>
      <c r="C224" s="38">
        <v>45</v>
      </c>
      <c r="D224" s="38">
        <v>-34.371513422843577</v>
      </c>
      <c r="E224" s="38">
        <v>0</v>
      </c>
      <c r="F224" s="38">
        <v>0</v>
      </c>
      <c r="G224" s="38">
        <v>0</v>
      </c>
      <c r="H224" s="38">
        <v>0</v>
      </c>
      <c r="I224" s="38" t="s">
        <v>1361</v>
      </c>
      <c r="J224" s="38"/>
      <c r="K224" s="38"/>
      <c r="L224" s="38">
        <v>-36.846261971017071</v>
      </c>
      <c r="M224" s="38">
        <v>0</v>
      </c>
      <c r="N224" s="38">
        <v>0</v>
      </c>
      <c r="O224" s="38">
        <v>0</v>
      </c>
      <c r="P224" s="38">
        <v>0</v>
      </c>
      <c r="Q224" s="38">
        <v>0</v>
      </c>
      <c r="R224" s="38">
        <v>0</v>
      </c>
      <c r="S224" s="38">
        <v>0</v>
      </c>
      <c r="T224" s="38">
        <v>0</v>
      </c>
      <c r="U224" s="38">
        <v>0</v>
      </c>
      <c r="V224" s="38" t="s">
        <v>1584</v>
      </c>
      <c r="W224" s="38" t="s">
        <v>1584</v>
      </c>
      <c r="X224" s="38" t="s">
        <v>1584</v>
      </c>
      <c r="Y224" s="38" t="s">
        <v>1584</v>
      </c>
      <c r="Z224" s="38">
        <v>0</v>
      </c>
      <c r="AA224" s="38">
        <v>0</v>
      </c>
      <c r="AB224" s="38">
        <v>0</v>
      </c>
      <c r="AC224" s="38">
        <v>0</v>
      </c>
      <c r="AD224" s="38">
        <v>0</v>
      </c>
      <c r="AE224" s="38">
        <v>0</v>
      </c>
      <c r="AF224" s="38">
        <v>0</v>
      </c>
      <c r="AG224" s="38">
        <v>0</v>
      </c>
      <c r="AH224" s="38">
        <v>0</v>
      </c>
      <c r="AI224" s="38">
        <v>0</v>
      </c>
      <c r="AJ224" s="38">
        <v>0</v>
      </c>
      <c r="AK224" s="38">
        <v>0</v>
      </c>
      <c r="AL224" s="38">
        <v>0</v>
      </c>
      <c r="AM224" s="38">
        <v>-19.322417096184836</v>
      </c>
      <c r="AN224" s="38">
        <v>0</v>
      </c>
      <c r="AO224" s="38">
        <v>0</v>
      </c>
      <c r="AP224" s="38">
        <v>0</v>
      </c>
      <c r="AQ224" s="38">
        <v>-19.322417096184836</v>
      </c>
      <c r="AR224" s="38">
        <v>0</v>
      </c>
      <c r="AS224" s="50">
        <v>0</v>
      </c>
      <c r="AT224" s="38">
        <v>-19.322417096184836</v>
      </c>
      <c r="AU224" s="38">
        <v>0</v>
      </c>
      <c r="AV224" s="38">
        <v>0</v>
      </c>
      <c r="AW224" s="38">
        <v>0</v>
      </c>
      <c r="AX224" s="38">
        <v>-19.322417096184836</v>
      </c>
      <c r="AY224" s="38">
        <v>0</v>
      </c>
      <c r="AZ224" s="50">
        <v>0</v>
      </c>
      <c r="BA224" s="38">
        <v>-19.322417096184836</v>
      </c>
      <c r="BB224" s="38">
        <v>0</v>
      </c>
      <c r="BC224" s="38">
        <v>0</v>
      </c>
      <c r="BD224" s="38">
        <v>0</v>
      </c>
      <c r="BE224" s="38">
        <v>-19.322417096184836</v>
      </c>
      <c r="BF224" s="38">
        <v>0</v>
      </c>
      <c r="BG224" s="38">
        <v>9999</v>
      </c>
      <c r="BH224" s="50">
        <v>0</v>
      </c>
      <c r="BI224" s="38">
        <v>9999</v>
      </c>
      <c r="BJ224" s="38">
        <v>9999</v>
      </c>
      <c r="BK224" s="38">
        <v>9999</v>
      </c>
      <c r="BL224" s="38">
        <v>9999</v>
      </c>
      <c r="BM224" s="38">
        <v>9999</v>
      </c>
      <c r="BN224" s="38">
        <v>-19.322417096184836</v>
      </c>
      <c r="BO224" s="38">
        <v>0</v>
      </c>
      <c r="BP224" s="38">
        <v>0</v>
      </c>
      <c r="BQ224" s="38">
        <v>0</v>
      </c>
      <c r="BR224" s="38">
        <v>0</v>
      </c>
      <c r="BS224" s="38">
        <v>0</v>
      </c>
      <c r="BT224" s="38">
        <v>0</v>
      </c>
      <c r="BU224" s="38">
        <v>0</v>
      </c>
      <c r="BV224" s="38">
        <v>0</v>
      </c>
      <c r="BW224" s="38">
        <v>0</v>
      </c>
      <c r="BX224" s="38">
        <v>0</v>
      </c>
      <c r="BY224" s="38"/>
      <c r="BZ224" s="38">
        <v>0</v>
      </c>
      <c r="CA224" s="38">
        <v>0</v>
      </c>
      <c r="CB224" s="38">
        <v>-19.322417096184836</v>
      </c>
      <c r="CC224" s="38">
        <v>0</v>
      </c>
      <c r="CD224" s="50">
        <v>0</v>
      </c>
      <c r="CE224" s="38">
        <v>9999</v>
      </c>
      <c r="CF224" s="38">
        <v>-0.35006244584872587</v>
      </c>
      <c r="CG224" s="38">
        <v>0</v>
      </c>
      <c r="CH224" s="38">
        <v>-0.35006244584872587</v>
      </c>
      <c r="CI224" s="38">
        <v>-1.7501974436233112E-2</v>
      </c>
      <c r="CJ224" s="38">
        <v>0</v>
      </c>
      <c r="CK224" s="38">
        <v>-1.7501974436233112E-2</v>
      </c>
      <c r="CL224" s="38"/>
      <c r="CM224" s="38">
        <v>0</v>
      </c>
      <c r="CN224" s="38"/>
      <c r="CO224" s="38">
        <v>0</v>
      </c>
      <c r="CP224" s="38">
        <v>0</v>
      </c>
      <c r="CQ224" s="38">
        <v>0</v>
      </c>
      <c r="CR224" s="38">
        <v>0</v>
      </c>
      <c r="CS224" s="38">
        <v>0</v>
      </c>
      <c r="CT224" s="38">
        <v>0</v>
      </c>
      <c r="CU224" s="38">
        <v>0</v>
      </c>
      <c r="CV224" s="38">
        <v>9999</v>
      </c>
      <c r="CW224" s="49">
        <v>9999</v>
      </c>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row>
    <row r="225" spans="1:131">
      <c r="A225" s="27" t="s">
        <v>843</v>
      </c>
      <c r="B225" s="27" t="s">
        <v>220</v>
      </c>
      <c r="C225" s="38">
        <v>45</v>
      </c>
      <c r="D225" s="38">
        <v>-36.771949730535425</v>
      </c>
      <c r="E225" s="38">
        <v>0</v>
      </c>
      <c r="F225" s="38">
        <v>0</v>
      </c>
      <c r="G225" s="38">
        <v>0</v>
      </c>
      <c r="H225" s="38">
        <v>0</v>
      </c>
      <c r="I225" s="38" t="s">
        <v>1361</v>
      </c>
      <c r="J225" s="38"/>
      <c r="K225" s="38"/>
      <c r="L225" s="38">
        <v>-39.419529663651524</v>
      </c>
      <c r="M225" s="38">
        <v>0</v>
      </c>
      <c r="N225" s="38">
        <v>0</v>
      </c>
      <c r="O225" s="38">
        <v>0</v>
      </c>
      <c r="P225" s="38">
        <v>0</v>
      </c>
      <c r="Q225" s="38">
        <v>0</v>
      </c>
      <c r="R225" s="38">
        <v>0</v>
      </c>
      <c r="S225" s="38">
        <v>0</v>
      </c>
      <c r="T225" s="38">
        <v>0</v>
      </c>
      <c r="U225" s="38">
        <v>0</v>
      </c>
      <c r="V225" s="38" t="s">
        <v>1584</v>
      </c>
      <c r="W225" s="38" t="s">
        <v>1584</v>
      </c>
      <c r="X225" s="38" t="s">
        <v>1584</v>
      </c>
      <c r="Y225" s="38" t="s">
        <v>1584</v>
      </c>
      <c r="Z225" s="38">
        <v>0</v>
      </c>
      <c r="AA225" s="38">
        <v>0</v>
      </c>
      <c r="AB225" s="38">
        <v>0</v>
      </c>
      <c r="AC225" s="38">
        <v>0</v>
      </c>
      <c r="AD225" s="38">
        <v>0</v>
      </c>
      <c r="AE225" s="38">
        <v>0</v>
      </c>
      <c r="AF225" s="38">
        <v>0</v>
      </c>
      <c r="AG225" s="38">
        <v>0</v>
      </c>
      <c r="AH225" s="38">
        <v>0</v>
      </c>
      <c r="AI225" s="38">
        <v>0</v>
      </c>
      <c r="AJ225" s="38">
        <v>0</v>
      </c>
      <c r="AK225" s="38">
        <v>0</v>
      </c>
      <c r="AL225" s="38">
        <v>0</v>
      </c>
      <c r="AM225" s="38">
        <v>-20.671855248047581</v>
      </c>
      <c r="AN225" s="38">
        <v>0</v>
      </c>
      <c r="AO225" s="38">
        <v>0</v>
      </c>
      <c r="AP225" s="38">
        <v>0</v>
      </c>
      <c r="AQ225" s="38">
        <v>-20.671855248047581</v>
      </c>
      <c r="AR225" s="38">
        <v>0</v>
      </c>
      <c r="AS225" s="50">
        <v>0</v>
      </c>
      <c r="AT225" s="38">
        <v>-20.671855248047581</v>
      </c>
      <c r="AU225" s="38">
        <v>0</v>
      </c>
      <c r="AV225" s="38">
        <v>0</v>
      </c>
      <c r="AW225" s="38">
        <v>0</v>
      </c>
      <c r="AX225" s="38">
        <v>-20.671855248047581</v>
      </c>
      <c r="AY225" s="38">
        <v>0</v>
      </c>
      <c r="AZ225" s="50">
        <v>0</v>
      </c>
      <c r="BA225" s="38">
        <v>-20.671855248047581</v>
      </c>
      <c r="BB225" s="38">
        <v>0</v>
      </c>
      <c r="BC225" s="38">
        <v>0</v>
      </c>
      <c r="BD225" s="38">
        <v>0</v>
      </c>
      <c r="BE225" s="38">
        <v>-20.671855248047581</v>
      </c>
      <c r="BF225" s="38">
        <v>0</v>
      </c>
      <c r="BG225" s="38">
        <v>9999</v>
      </c>
      <c r="BH225" s="50">
        <v>0</v>
      </c>
      <c r="BI225" s="38">
        <v>9999</v>
      </c>
      <c r="BJ225" s="38">
        <v>9999</v>
      </c>
      <c r="BK225" s="38">
        <v>9999</v>
      </c>
      <c r="BL225" s="38">
        <v>9999</v>
      </c>
      <c r="BM225" s="38">
        <v>9999</v>
      </c>
      <c r="BN225" s="38">
        <v>-20.671855248047581</v>
      </c>
      <c r="BO225" s="38">
        <v>0</v>
      </c>
      <c r="BP225" s="38">
        <v>0</v>
      </c>
      <c r="BQ225" s="38">
        <v>0</v>
      </c>
      <c r="BR225" s="38">
        <v>0</v>
      </c>
      <c r="BS225" s="38">
        <v>0</v>
      </c>
      <c r="BT225" s="38">
        <v>0</v>
      </c>
      <c r="BU225" s="38">
        <v>0</v>
      </c>
      <c r="BV225" s="38">
        <v>0</v>
      </c>
      <c r="BW225" s="38">
        <v>0</v>
      </c>
      <c r="BX225" s="38">
        <v>0</v>
      </c>
      <c r="BY225" s="38"/>
      <c r="BZ225" s="38">
        <v>0</v>
      </c>
      <c r="CA225" s="38">
        <v>0</v>
      </c>
      <c r="CB225" s="38">
        <v>-20.671855248047581</v>
      </c>
      <c r="CC225" s="38">
        <v>0</v>
      </c>
      <c r="CD225" s="50">
        <v>0</v>
      </c>
      <c r="CE225" s="38">
        <v>9999</v>
      </c>
      <c r="CF225" s="38">
        <v>-0.37451009220741682</v>
      </c>
      <c r="CG225" s="38">
        <v>0</v>
      </c>
      <c r="CH225" s="38">
        <v>-0.37451009220741682</v>
      </c>
      <c r="CI225" s="38">
        <v>-1.8724276590234477E-2</v>
      </c>
      <c r="CJ225" s="38">
        <v>0</v>
      </c>
      <c r="CK225" s="38">
        <v>-1.8724276590234477E-2</v>
      </c>
      <c r="CL225" s="38"/>
      <c r="CM225" s="38">
        <v>0</v>
      </c>
      <c r="CN225" s="38"/>
      <c r="CO225" s="38">
        <v>0</v>
      </c>
      <c r="CP225" s="38">
        <v>0</v>
      </c>
      <c r="CQ225" s="38">
        <v>0</v>
      </c>
      <c r="CR225" s="38">
        <v>0</v>
      </c>
      <c r="CS225" s="38">
        <v>0</v>
      </c>
      <c r="CT225" s="38">
        <v>0</v>
      </c>
      <c r="CU225" s="38">
        <v>0</v>
      </c>
      <c r="CV225" s="38">
        <v>9999</v>
      </c>
      <c r="CW225" s="49">
        <v>9999</v>
      </c>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row>
    <row r="226" spans="1:131">
      <c r="A226" s="27" t="s">
        <v>844</v>
      </c>
      <c r="B226" s="27" t="s">
        <v>221</v>
      </c>
      <c r="C226" s="38">
        <v>45</v>
      </c>
      <c r="D226" s="38">
        <v>62.43268657262869</v>
      </c>
      <c r="E226" s="38">
        <v>0</v>
      </c>
      <c r="F226" s="38">
        <v>0</v>
      </c>
      <c r="G226" s="38">
        <v>0</v>
      </c>
      <c r="H226" s="38">
        <v>0</v>
      </c>
      <c r="I226" s="38" t="s">
        <v>1361</v>
      </c>
      <c r="J226" s="38"/>
      <c r="K226" s="38"/>
      <c r="L226" s="38">
        <v>66.927839246106785</v>
      </c>
      <c r="M226" s="38">
        <v>0</v>
      </c>
      <c r="N226" s="38">
        <v>0</v>
      </c>
      <c r="O226" s="38">
        <v>0</v>
      </c>
      <c r="P226" s="38">
        <v>0</v>
      </c>
      <c r="Q226" s="38">
        <v>0</v>
      </c>
      <c r="R226" s="38">
        <v>0</v>
      </c>
      <c r="S226" s="38">
        <v>0</v>
      </c>
      <c r="T226" s="38">
        <v>0</v>
      </c>
      <c r="U226" s="38">
        <v>0</v>
      </c>
      <c r="V226" s="38" t="s">
        <v>1584</v>
      </c>
      <c r="W226" s="38" t="s">
        <v>1584</v>
      </c>
      <c r="X226" s="38" t="s">
        <v>1584</v>
      </c>
      <c r="Y226" s="38" t="s">
        <v>1584</v>
      </c>
      <c r="Z226" s="38">
        <v>0</v>
      </c>
      <c r="AA226" s="38">
        <v>0</v>
      </c>
      <c r="AB226" s="38">
        <v>0</v>
      </c>
      <c r="AC226" s="38">
        <v>0</v>
      </c>
      <c r="AD226" s="38">
        <v>0</v>
      </c>
      <c r="AE226" s="38">
        <v>0</v>
      </c>
      <c r="AF226" s="38">
        <v>0</v>
      </c>
      <c r="AG226" s="38">
        <v>0</v>
      </c>
      <c r="AH226" s="38">
        <v>0</v>
      </c>
      <c r="AI226" s="38">
        <v>0</v>
      </c>
      <c r="AJ226" s="38">
        <v>0</v>
      </c>
      <c r="AK226" s="38">
        <v>0</v>
      </c>
      <c r="AL226" s="38">
        <v>0</v>
      </c>
      <c r="AM226" s="38">
        <v>35.097389967994829</v>
      </c>
      <c r="AN226" s="38">
        <v>0</v>
      </c>
      <c r="AO226" s="38">
        <v>0</v>
      </c>
      <c r="AP226" s="38">
        <v>0</v>
      </c>
      <c r="AQ226" s="38">
        <v>35.097389967994829</v>
      </c>
      <c r="AR226" s="38">
        <v>0</v>
      </c>
      <c r="AS226" s="49">
        <v>9999</v>
      </c>
      <c r="AT226" s="38">
        <v>35.097389967994829</v>
      </c>
      <c r="AU226" s="38">
        <v>0</v>
      </c>
      <c r="AV226" s="38">
        <v>0</v>
      </c>
      <c r="AW226" s="38">
        <v>0</v>
      </c>
      <c r="AX226" s="38">
        <v>35.097389967994829</v>
      </c>
      <c r="AY226" s="38">
        <v>0</v>
      </c>
      <c r="AZ226" s="49">
        <v>9999</v>
      </c>
      <c r="BA226" s="38">
        <v>35.097389967994829</v>
      </c>
      <c r="BB226" s="38">
        <v>0</v>
      </c>
      <c r="BC226" s="38">
        <v>0</v>
      </c>
      <c r="BD226" s="38">
        <v>0</v>
      </c>
      <c r="BE226" s="38">
        <v>35.097389967994829</v>
      </c>
      <c r="BF226" s="38">
        <v>0</v>
      </c>
      <c r="BG226" s="38">
        <v>0</v>
      </c>
      <c r="BH226" s="49">
        <v>9999</v>
      </c>
      <c r="BI226" s="38">
        <v>0</v>
      </c>
      <c r="BJ226" s="38">
        <v>0</v>
      </c>
      <c r="BK226" s="38">
        <v>0</v>
      </c>
      <c r="BL226" s="38">
        <v>0</v>
      </c>
      <c r="BM226" s="38">
        <v>0</v>
      </c>
      <c r="BN226" s="38">
        <v>35.097389967994829</v>
      </c>
      <c r="BO226" s="38">
        <v>0</v>
      </c>
      <c r="BP226" s="38">
        <v>0</v>
      </c>
      <c r="BQ226" s="38">
        <v>0</v>
      </c>
      <c r="BR226" s="38">
        <v>0</v>
      </c>
      <c r="BS226" s="38">
        <v>0</v>
      </c>
      <c r="BT226" s="38">
        <v>0</v>
      </c>
      <c r="BU226" s="38">
        <v>0</v>
      </c>
      <c r="BV226" s="38">
        <v>0</v>
      </c>
      <c r="BW226" s="38">
        <v>0</v>
      </c>
      <c r="BX226" s="38">
        <v>0</v>
      </c>
      <c r="BY226" s="38"/>
      <c r="BZ226" s="38">
        <v>0</v>
      </c>
      <c r="CA226" s="38">
        <v>0</v>
      </c>
      <c r="CB226" s="38">
        <v>35.097389967994829</v>
      </c>
      <c r="CC226" s="38">
        <v>0</v>
      </c>
      <c r="CD226" s="49">
        <v>9999</v>
      </c>
      <c r="CE226" s="38">
        <v>0</v>
      </c>
      <c r="CF226" s="38">
        <v>0.63585617233822678</v>
      </c>
      <c r="CG226" s="38">
        <v>0</v>
      </c>
      <c r="CH226" s="38">
        <v>0.63585617233822678</v>
      </c>
      <c r="CI226" s="38">
        <v>3.1790723641900727E-2</v>
      </c>
      <c r="CJ226" s="38">
        <v>0</v>
      </c>
      <c r="CK226" s="38">
        <v>3.1790723641900727E-2</v>
      </c>
      <c r="CL226" s="38"/>
      <c r="CM226" s="38">
        <v>0</v>
      </c>
      <c r="CN226" s="38"/>
      <c r="CO226" s="38">
        <v>0</v>
      </c>
      <c r="CP226" s="38">
        <v>0</v>
      </c>
      <c r="CQ226" s="38">
        <v>0</v>
      </c>
      <c r="CR226" s="38">
        <v>0</v>
      </c>
      <c r="CS226" s="38">
        <v>0</v>
      </c>
      <c r="CT226" s="38">
        <v>0</v>
      </c>
      <c r="CU226" s="38">
        <v>0</v>
      </c>
      <c r="CV226" s="38">
        <v>9999</v>
      </c>
      <c r="CW226" s="49">
        <v>9999</v>
      </c>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row>
    <row r="227" spans="1:131">
      <c r="A227" s="27" t="s">
        <v>845</v>
      </c>
      <c r="B227" s="27" t="s">
        <v>222</v>
      </c>
      <c r="C227" s="38">
        <v>45</v>
      </c>
      <c r="D227" s="38">
        <v>80.735407065541963</v>
      </c>
      <c r="E227" s="38">
        <v>0</v>
      </c>
      <c r="F227" s="38">
        <v>0</v>
      </c>
      <c r="G227" s="38">
        <v>0</v>
      </c>
      <c r="H227" s="38">
        <v>0</v>
      </c>
      <c r="I227" s="38" t="s">
        <v>1361</v>
      </c>
      <c r="J227" s="38"/>
      <c r="K227" s="38"/>
      <c r="L227" s="38">
        <v>86.548355391781726</v>
      </c>
      <c r="M227" s="38">
        <v>0</v>
      </c>
      <c r="N227" s="38">
        <v>0</v>
      </c>
      <c r="O227" s="38">
        <v>0</v>
      </c>
      <c r="P227" s="38">
        <v>0</v>
      </c>
      <c r="Q227" s="38">
        <v>0</v>
      </c>
      <c r="R227" s="38">
        <v>0</v>
      </c>
      <c r="S227" s="38">
        <v>0</v>
      </c>
      <c r="T227" s="38">
        <v>0</v>
      </c>
      <c r="U227" s="38">
        <v>0</v>
      </c>
      <c r="V227" s="38" t="s">
        <v>1584</v>
      </c>
      <c r="W227" s="38" t="s">
        <v>1584</v>
      </c>
      <c r="X227" s="38" t="s">
        <v>1584</v>
      </c>
      <c r="Y227" s="38" t="s">
        <v>1584</v>
      </c>
      <c r="Z227" s="38">
        <v>0</v>
      </c>
      <c r="AA227" s="38">
        <v>0</v>
      </c>
      <c r="AB227" s="38">
        <v>0</v>
      </c>
      <c r="AC227" s="38">
        <v>0</v>
      </c>
      <c r="AD227" s="38">
        <v>0</v>
      </c>
      <c r="AE227" s="38">
        <v>0</v>
      </c>
      <c r="AF227" s="38">
        <v>0</v>
      </c>
      <c r="AG227" s="38">
        <v>0</v>
      </c>
      <c r="AH227" s="38">
        <v>0</v>
      </c>
      <c r="AI227" s="38">
        <v>0</v>
      </c>
      <c r="AJ227" s="38">
        <v>0</v>
      </c>
      <c r="AK227" s="38">
        <v>0</v>
      </c>
      <c r="AL227" s="38">
        <v>0</v>
      </c>
      <c r="AM227" s="38">
        <v>45.386515006170136</v>
      </c>
      <c r="AN227" s="38">
        <v>0</v>
      </c>
      <c r="AO227" s="38">
        <v>0</v>
      </c>
      <c r="AP227" s="38">
        <v>0</v>
      </c>
      <c r="AQ227" s="38">
        <v>45.386515006170136</v>
      </c>
      <c r="AR227" s="38">
        <v>0</v>
      </c>
      <c r="AS227" s="49">
        <v>9999</v>
      </c>
      <c r="AT227" s="38">
        <v>45.386515006170136</v>
      </c>
      <c r="AU227" s="38">
        <v>0</v>
      </c>
      <c r="AV227" s="38">
        <v>0</v>
      </c>
      <c r="AW227" s="38">
        <v>0</v>
      </c>
      <c r="AX227" s="38">
        <v>45.386515006170136</v>
      </c>
      <c r="AY227" s="38">
        <v>0</v>
      </c>
      <c r="AZ227" s="49">
        <v>9999</v>
      </c>
      <c r="BA227" s="38">
        <v>45.386515006170136</v>
      </c>
      <c r="BB227" s="38">
        <v>0</v>
      </c>
      <c r="BC227" s="38">
        <v>0</v>
      </c>
      <c r="BD227" s="38">
        <v>0</v>
      </c>
      <c r="BE227" s="38">
        <v>45.386515006170136</v>
      </c>
      <c r="BF227" s="38">
        <v>0</v>
      </c>
      <c r="BG227" s="38">
        <v>0</v>
      </c>
      <c r="BH227" s="49">
        <v>9999</v>
      </c>
      <c r="BI227" s="38">
        <v>0</v>
      </c>
      <c r="BJ227" s="38">
        <v>0</v>
      </c>
      <c r="BK227" s="38">
        <v>0</v>
      </c>
      <c r="BL227" s="38">
        <v>0</v>
      </c>
      <c r="BM227" s="38">
        <v>0</v>
      </c>
      <c r="BN227" s="38">
        <v>45.386515006170136</v>
      </c>
      <c r="BO227" s="38">
        <v>0</v>
      </c>
      <c r="BP227" s="38">
        <v>0</v>
      </c>
      <c r="BQ227" s="38">
        <v>0</v>
      </c>
      <c r="BR227" s="38">
        <v>0</v>
      </c>
      <c r="BS227" s="38">
        <v>0</v>
      </c>
      <c r="BT227" s="38">
        <v>0</v>
      </c>
      <c r="BU227" s="38">
        <v>0</v>
      </c>
      <c r="BV227" s="38">
        <v>0</v>
      </c>
      <c r="BW227" s="38">
        <v>0</v>
      </c>
      <c r="BX227" s="38">
        <v>0</v>
      </c>
      <c r="BY227" s="38"/>
      <c r="BZ227" s="38">
        <v>0</v>
      </c>
      <c r="CA227" s="38">
        <v>0</v>
      </c>
      <c r="CB227" s="38">
        <v>45.386515006170136</v>
      </c>
      <c r="CC227" s="38">
        <v>0</v>
      </c>
      <c r="CD227" s="49">
        <v>9999</v>
      </c>
      <c r="CE227" s="38">
        <v>0</v>
      </c>
      <c r="CF227" s="38">
        <v>0.82226330031696038</v>
      </c>
      <c r="CG227" s="38">
        <v>0</v>
      </c>
      <c r="CH227" s="38">
        <v>0.82226330031696038</v>
      </c>
      <c r="CI227" s="38">
        <v>4.1110468811096326E-2</v>
      </c>
      <c r="CJ227" s="38">
        <v>0</v>
      </c>
      <c r="CK227" s="38">
        <v>4.1110468811096326E-2</v>
      </c>
      <c r="CL227" s="38"/>
      <c r="CM227" s="38">
        <v>0</v>
      </c>
      <c r="CN227" s="38"/>
      <c r="CO227" s="38">
        <v>0</v>
      </c>
      <c r="CP227" s="38">
        <v>0</v>
      </c>
      <c r="CQ227" s="38">
        <v>0</v>
      </c>
      <c r="CR227" s="38">
        <v>0</v>
      </c>
      <c r="CS227" s="38">
        <v>0</v>
      </c>
      <c r="CT227" s="38">
        <v>0</v>
      </c>
      <c r="CU227" s="38">
        <v>0</v>
      </c>
      <c r="CV227" s="38">
        <v>9999</v>
      </c>
      <c r="CW227" s="49">
        <v>9999</v>
      </c>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row>
    <row r="228" spans="1:131">
      <c r="A228" s="27" t="s">
        <v>846</v>
      </c>
      <c r="B228" s="27" t="s">
        <v>224</v>
      </c>
      <c r="C228" s="38">
        <v>45</v>
      </c>
      <c r="D228" s="38">
        <v>67.054277068763767</v>
      </c>
      <c r="E228" s="38">
        <v>0</v>
      </c>
      <c r="F228" s="38">
        <v>0</v>
      </c>
      <c r="G228" s="38">
        <v>0</v>
      </c>
      <c r="H228" s="38">
        <v>0</v>
      </c>
      <c r="I228" s="38" t="s">
        <v>1361</v>
      </c>
      <c r="J228" s="38"/>
      <c r="K228" s="38"/>
      <c r="L228" s="38">
        <v>71.882184201722879</v>
      </c>
      <c r="M228" s="38">
        <v>0</v>
      </c>
      <c r="N228" s="38">
        <v>0</v>
      </c>
      <c r="O228" s="38">
        <v>0</v>
      </c>
      <c r="P228" s="38">
        <v>0</v>
      </c>
      <c r="Q228" s="38">
        <v>0</v>
      </c>
      <c r="R228" s="38">
        <v>0</v>
      </c>
      <c r="S228" s="38">
        <v>0</v>
      </c>
      <c r="T228" s="38">
        <v>0</v>
      </c>
      <c r="U228" s="38">
        <v>0</v>
      </c>
      <c r="V228" s="38" t="s">
        <v>1584</v>
      </c>
      <c r="W228" s="38" t="s">
        <v>1584</v>
      </c>
      <c r="X228" s="38" t="s">
        <v>1584</v>
      </c>
      <c r="Y228" s="38" t="s">
        <v>1584</v>
      </c>
      <c r="Z228" s="38">
        <v>0</v>
      </c>
      <c r="AA228" s="38">
        <v>0</v>
      </c>
      <c r="AB228" s="38">
        <v>0</v>
      </c>
      <c r="AC228" s="38">
        <v>0</v>
      </c>
      <c r="AD228" s="38">
        <v>0</v>
      </c>
      <c r="AE228" s="38">
        <v>0</v>
      </c>
      <c r="AF228" s="38">
        <v>0</v>
      </c>
      <c r="AG228" s="38">
        <v>0</v>
      </c>
      <c r="AH228" s="38">
        <v>0</v>
      </c>
      <c r="AI228" s="38">
        <v>0</v>
      </c>
      <c r="AJ228" s="38">
        <v>0</v>
      </c>
      <c r="AK228" s="38">
        <v>0</v>
      </c>
      <c r="AL228" s="38">
        <v>0</v>
      </c>
      <c r="AM228" s="38">
        <v>37.695480372554542</v>
      </c>
      <c r="AN228" s="38">
        <v>0</v>
      </c>
      <c r="AO228" s="38">
        <v>0</v>
      </c>
      <c r="AP228" s="38">
        <v>0</v>
      </c>
      <c r="AQ228" s="38">
        <v>37.695480372554542</v>
      </c>
      <c r="AR228" s="38">
        <v>0</v>
      </c>
      <c r="AS228" s="49">
        <v>9999</v>
      </c>
      <c r="AT228" s="38">
        <v>37.695480372554542</v>
      </c>
      <c r="AU228" s="38">
        <v>0</v>
      </c>
      <c r="AV228" s="38">
        <v>0</v>
      </c>
      <c r="AW228" s="38">
        <v>0</v>
      </c>
      <c r="AX228" s="38">
        <v>37.695480372554542</v>
      </c>
      <c r="AY228" s="38">
        <v>0</v>
      </c>
      <c r="AZ228" s="49">
        <v>9999</v>
      </c>
      <c r="BA228" s="38">
        <v>37.695480372554542</v>
      </c>
      <c r="BB228" s="38">
        <v>0</v>
      </c>
      <c r="BC228" s="38">
        <v>0</v>
      </c>
      <c r="BD228" s="38">
        <v>0</v>
      </c>
      <c r="BE228" s="38">
        <v>37.695480372554542</v>
      </c>
      <c r="BF228" s="38">
        <v>0</v>
      </c>
      <c r="BG228" s="38">
        <v>0</v>
      </c>
      <c r="BH228" s="49">
        <v>9999</v>
      </c>
      <c r="BI228" s="38">
        <v>0</v>
      </c>
      <c r="BJ228" s="38">
        <v>0</v>
      </c>
      <c r="BK228" s="38">
        <v>0</v>
      </c>
      <c r="BL228" s="38">
        <v>0</v>
      </c>
      <c r="BM228" s="38">
        <v>0</v>
      </c>
      <c r="BN228" s="38">
        <v>37.695480372554542</v>
      </c>
      <c r="BO228" s="38">
        <v>0</v>
      </c>
      <c r="BP228" s="38">
        <v>0</v>
      </c>
      <c r="BQ228" s="38">
        <v>0</v>
      </c>
      <c r="BR228" s="38">
        <v>0</v>
      </c>
      <c r="BS228" s="38">
        <v>0</v>
      </c>
      <c r="BT228" s="38">
        <v>0</v>
      </c>
      <c r="BU228" s="38">
        <v>0</v>
      </c>
      <c r="BV228" s="38">
        <v>0</v>
      </c>
      <c r="BW228" s="38">
        <v>0</v>
      </c>
      <c r="BX228" s="38">
        <v>0</v>
      </c>
      <c r="BY228" s="38"/>
      <c r="BZ228" s="38">
        <v>0</v>
      </c>
      <c r="CA228" s="38">
        <v>0</v>
      </c>
      <c r="CB228" s="38">
        <v>37.695480372554542</v>
      </c>
      <c r="CC228" s="38">
        <v>0</v>
      </c>
      <c r="CD228" s="49">
        <v>9999</v>
      </c>
      <c r="CE228" s="38">
        <v>0</v>
      </c>
      <c r="CF228" s="38">
        <v>0.68292553622934371</v>
      </c>
      <c r="CG228" s="38">
        <v>0</v>
      </c>
      <c r="CH228" s="38">
        <v>0.68292553622934371</v>
      </c>
      <c r="CI228" s="38">
        <v>3.4144037495818375E-2</v>
      </c>
      <c r="CJ228" s="38">
        <v>0</v>
      </c>
      <c r="CK228" s="38">
        <v>3.4144037495818375E-2</v>
      </c>
      <c r="CL228" s="38"/>
      <c r="CM228" s="38">
        <v>0</v>
      </c>
      <c r="CN228" s="38"/>
      <c r="CO228" s="38">
        <v>0</v>
      </c>
      <c r="CP228" s="38">
        <v>0</v>
      </c>
      <c r="CQ228" s="38">
        <v>0</v>
      </c>
      <c r="CR228" s="38">
        <v>0</v>
      </c>
      <c r="CS228" s="38">
        <v>0</v>
      </c>
      <c r="CT228" s="38">
        <v>0</v>
      </c>
      <c r="CU228" s="38">
        <v>0</v>
      </c>
      <c r="CV228" s="38">
        <v>9999</v>
      </c>
      <c r="CW228" s="49">
        <v>9999</v>
      </c>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row>
    <row r="229" spans="1:131">
      <c r="A229" s="27" t="s">
        <v>847</v>
      </c>
      <c r="B229" s="27" t="s">
        <v>225</v>
      </c>
      <c r="C229" s="38">
        <v>45</v>
      </c>
      <c r="D229" s="38">
        <v>85.356997561677034</v>
      </c>
      <c r="E229" s="38">
        <v>0</v>
      </c>
      <c r="F229" s="38">
        <v>0</v>
      </c>
      <c r="G229" s="38">
        <v>0</v>
      </c>
      <c r="H229" s="38">
        <v>0</v>
      </c>
      <c r="I229" s="38" t="s">
        <v>1361</v>
      </c>
      <c r="J229" s="38"/>
      <c r="K229" s="38"/>
      <c r="L229" s="38">
        <v>91.502700347397806</v>
      </c>
      <c r="M229" s="38">
        <v>0</v>
      </c>
      <c r="N229" s="38">
        <v>0</v>
      </c>
      <c r="O229" s="38">
        <v>0</v>
      </c>
      <c r="P229" s="38">
        <v>0</v>
      </c>
      <c r="Q229" s="38">
        <v>0</v>
      </c>
      <c r="R229" s="38">
        <v>0</v>
      </c>
      <c r="S229" s="38">
        <v>0</v>
      </c>
      <c r="T229" s="38">
        <v>0</v>
      </c>
      <c r="U229" s="38">
        <v>0</v>
      </c>
      <c r="V229" s="38" t="s">
        <v>1584</v>
      </c>
      <c r="W229" s="38" t="s">
        <v>1584</v>
      </c>
      <c r="X229" s="38" t="s">
        <v>1584</v>
      </c>
      <c r="Y229" s="38" t="s">
        <v>1584</v>
      </c>
      <c r="Z229" s="38">
        <v>0</v>
      </c>
      <c r="AA229" s="38">
        <v>0</v>
      </c>
      <c r="AB229" s="38">
        <v>0</v>
      </c>
      <c r="AC229" s="38">
        <v>0</v>
      </c>
      <c r="AD229" s="38">
        <v>0</v>
      </c>
      <c r="AE229" s="38">
        <v>0</v>
      </c>
      <c r="AF229" s="38">
        <v>0</v>
      </c>
      <c r="AG229" s="38">
        <v>0</v>
      </c>
      <c r="AH229" s="38">
        <v>0</v>
      </c>
      <c r="AI229" s="38">
        <v>0</v>
      </c>
      <c r="AJ229" s="38">
        <v>0</v>
      </c>
      <c r="AK229" s="38">
        <v>0</v>
      </c>
      <c r="AL229" s="38">
        <v>0</v>
      </c>
      <c r="AM229" s="38">
        <v>47.984605410729934</v>
      </c>
      <c r="AN229" s="38">
        <v>0</v>
      </c>
      <c r="AO229" s="38">
        <v>0</v>
      </c>
      <c r="AP229" s="38">
        <v>0</v>
      </c>
      <c r="AQ229" s="38">
        <v>47.984605410729934</v>
      </c>
      <c r="AR229" s="38">
        <v>0</v>
      </c>
      <c r="AS229" s="49">
        <v>9999</v>
      </c>
      <c r="AT229" s="38">
        <v>47.984605410729934</v>
      </c>
      <c r="AU229" s="38">
        <v>0</v>
      </c>
      <c r="AV229" s="38">
        <v>0</v>
      </c>
      <c r="AW229" s="38">
        <v>0</v>
      </c>
      <c r="AX229" s="38">
        <v>47.984605410729934</v>
      </c>
      <c r="AY229" s="38">
        <v>0</v>
      </c>
      <c r="AZ229" s="49">
        <v>9999</v>
      </c>
      <c r="BA229" s="38">
        <v>47.984605410729934</v>
      </c>
      <c r="BB229" s="38">
        <v>0</v>
      </c>
      <c r="BC229" s="38">
        <v>0</v>
      </c>
      <c r="BD229" s="38">
        <v>0</v>
      </c>
      <c r="BE229" s="38">
        <v>47.984605410729934</v>
      </c>
      <c r="BF229" s="38">
        <v>0</v>
      </c>
      <c r="BG229" s="38">
        <v>0</v>
      </c>
      <c r="BH229" s="49">
        <v>9999</v>
      </c>
      <c r="BI229" s="38">
        <v>0</v>
      </c>
      <c r="BJ229" s="38">
        <v>0</v>
      </c>
      <c r="BK229" s="38">
        <v>0</v>
      </c>
      <c r="BL229" s="38">
        <v>0</v>
      </c>
      <c r="BM229" s="38">
        <v>0</v>
      </c>
      <c r="BN229" s="38">
        <v>47.984605410729934</v>
      </c>
      <c r="BO229" s="38">
        <v>0</v>
      </c>
      <c r="BP229" s="38">
        <v>0</v>
      </c>
      <c r="BQ229" s="38">
        <v>0</v>
      </c>
      <c r="BR229" s="38">
        <v>0</v>
      </c>
      <c r="BS229" s="38">
        <v>0</v>
      </c>
      <c r="BT229" s="38">
        <v>0</v>
      </c>
      <c r="BU229" s="38">
        <v>0</v>
      </c>
      <c r="BV229" s="38">
        <v>0</v>
      </c>
      <c r="BW229" s="38">
        <v>0</v>
      </c>
      <c r="BX229" s="38">
        <v>0</v>
      </c>
      <c r="BY229" s="38"/>
      <c r="BZ229" s="38">
        <v>0</v>
      </c>
      <c r="CA229" s="38">
        <v>0</v>
      </c>
      <c r="CB229" s="38">
        <v>47.984605410729934</v>
      </c>
      <c r="CC229" s="38">
        <v>0</v>
      </c>
      <c r="CD229" s="49">
        <v>9999</v>
      </c>
      <c r="CE229" s="38">
        <v>0</v>
      </c>
      <c r="CF229" s="38">
        <v>0.86933266420807931</v>
      </c>
      <c r="CG229" s="38">
        <v>0</v>
      </c>
      <c r="CH229" s="38">
        <v>0.86933266420807931</v>
      </c>
      <c r="CI229" s="38">
        <v>4.3463782665013967E-2</v>
      </c>
      <c r="CJ229" s="38">
        <v>0</v>
      </c>
      <c r="CK229" s="38">
        <v>4.3463782665013967E-2</v>
      </c>
      <c r="CL229" s="38"/>
      <c r="CM229" s="38">
        <v>0</v>
      </c>
      <c r="CN229" s="38"/>
      <c r="CO229" s="38">
        <v>0</v>
      </c>
      <c r="CP229" s="38">
        <v>0</v>
      </c>
      <c r="CQ229" s="38">
        <v>0</v>
      </c>
      <c r="CR229" s="38">
        <v>0</v>
      </c>
      <c r="CS229" s="38">
        <v>0</v>
      </c>
      <c r="CT229" s="38">
        <v>0</v>
      </c>
      <c r="CU229" s="38">
        <v>0</v>
      </c>
      <c r="CV229" s="38">
        <v>9999</v>
      </c>
      <c r="CW229" s="49">
        <v>9999</v>
      </c>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row>
    <row r="230" spans="1:131">
      <c r="A230" s="27" t="s">
        <v>891</v>
      </c>
      <c r="B230" s="27" t="s">
        <v>890</v>
      </c>
      <c r="C230" s="38">
        <v>15</v>
      </c>
      <c r="D230" s="38">
        <v>1.8236122501655805</v>
      </c>
      <c r="E230" s="38">
        <v>0</v>
      </c>
      <c r="F230" s="38">
        <v>0</v>
      </c>
      <c r="G230" s="38">
        <v>0</v>
      </c>
      <c r="H230" s="38">
        <v>0</v>
      </c>
      <c r="I230" s="38" t="s">
        <v>1361</v>
      </c>
      <c r="J230" s="38"/>
      <c r="K230" s="38"/>
      <c r="L230" s="38">
        <v>1.9549123099857368</v>
      </c>
      <c r="M230" s="38">
        <v>0</v>
      </c>
      <c r="N230" s="38">
        <v>0</v>
      </c>
      <c r="O230" s="38">
        <v>0</v>
      </c>
      <c r="P230" s="38">
        <v>0</v>
      </c>
      <c r="Q230" s="38">
        <v>0</v>
      </c>
      <c r="R230" s="38">
        <v>0</v>
      </c>
      <c r="S230" s="38">
        <v>0</v>
      </c>
      <c r="T230" s="38">
        <v>0</v>
      </c>
      <c r="U230" s="38">
        <v>0</v>
      </c>
      <c r="V230" s="38" t="s">
        <v>1584</v>
      </c>
      <c r="W230" s="38" t="s">
        <v>1584</v>
      </c>
      <c r="X230" s="38" t="s">
        <v>1584</v>
      </c>
      <c r="Y230" s="38" t="s">
        <v>1584</v>
      </c>
      <c r="Z230" s="38">
        <v>0</v>
      </c>
      <c r="AA230" s="38">
        <v>0</v>
      </c>
      <c r="AB230" s="38">
        <v>0</v>
      </c>
      <c r="AC230" s="38">
        <v>0</v>
      </c>
      <c r="AD230" s="38">
        <v>0</v>
      </c>
      <c r="AE230" s="38">
        <v>0</v>
      </c>
      <c r="AF230" s="38">
        <v>0</v>
      </c>
      <c r="AG230" s="38">
        <v>0</v>
      </c>
      <c r="AH230" s="38">
        <v>0</v>
      </c>
      <c r="AI230" s="38">
        <v>0</v>
      </c>
      <c r="AJ230" s="38">
        <v>0</v>
      </c>
      <c r="AK230" s="38">
        <v>0</v>
      </c>
      <c r="AL230" s="38">
        <v>0</v>
      </c>
      <c r="AM230" s="38">
        <v>1.0251686065121877</v>
      </c>
      <c r="AN230" s="38">
        <v>0</v>
      </c>
      <c r="AO230" s="38">
        <v>0</v>
      </c>
      <c r="AP230" s="38">
        <v>0</v>
      </c>
      <c r="AQ230" s="38">
        <v>1.0251686065121877</v>
      </c>
      <c r="AR230" s="38">
        <v>0</v>
      </c>
      <c r="AS230" s="49">
        <v>9999</v>
      </c>
      <c r="AT230" s="38">
        <v>1.0251686065121877</v>
      </c>
      <c r="AU230" s="38">
        <v>0</v>
      </c>
      <c r="AV230" s="38">
        <v>0</v>
      </c>
      <c r="AW230" s="38">
        <v>0</v>
      </c>
      <c r="AX230" s="38">
        <v>1.0251686065121877</v>
      </c>
      <c r="AY230" s="38">
        <v>0</v>
      </c>
      <c r="AZ230" s="49">
        <v>9999</v>
      </c>
      <c r="BA230" s="38">
        <v>1.0251686065121877</v>
      </c>
      <c r="BB230" s="38">
        <v>0</v>
      </c>
      <c r="BC230" s="38">
        <v>0</v>
      </c>
      <c r="BD230" s="38">
        <v>0</v>
      </c>
      <c r="BE230" s="38">
        <v>1.0251686065121877</v>
      </c>
      <c r="BF230" s="38">
        <v>0</v>
      </c>
      <c r="BG230" s="38">
        <v>0</v>
      </c>
      <c r="BH230" s="49">
        <v>9999</v>
      </c>
      <c r="BI230" s="38">
        <v>0</v>
      </c>
      <c r="BJ230" s="38">
        <v>0</v>
      </c>
      <c r="BK230" s="38">
        <v>0</v>
      </c>
      <c r="BL230" s="38">
        <v>0</v>
      </c>
      <c r="BM230" s="38">
        <v>0</v>
      </c>
      <c r="BN230" s="38">
        <v>1.0251686065121877</v>
      </c>
      <c r="BO230" s="38">
        <v>0</v>
      </c>
      <c r="BP230" s="38">
        <v>0</v>
      </c>
      <c r="BQ230" s="38">
        <v>0</v>
      </c>
      <c r="BR230" s="38">
        <v>0</v>
      </c>
      <c r="BS230" s="38">
        <v>0</v>
      </c>
      <c r="BT230" s="38">
        <v>0</v>
      </c>
      <c r="BU230" s="38">
        <v>0</v>
      </c>
      <c r="BV230" s="38">
        <v>0</v>
      </c>
      <c r="BW230" s="38">
        <v>0</v>
      </c>
      <c r="BX230" s="38">
        <v>0</v>
      </c>
      <c r="BY230" s="38"/>
      <c r="BZ230" s="38">
        <v>0</v>
      </c>
      <c r="CA230" s="38">
        <v>0</v>
      </c>
      <c r="CB230" s="38">
        <v>1.0251686065121877</v>
      </c>
      <c r="CC230" s="38">
        <v>0</v>
      </c>
      <c r="CD230" s="49">
        <v>9999</v>
      </c>
      <c r="CE230" s="38">
        <v>0</v>
      </c>
      <c r="CF230" s="38">
        <v>1.8572884956191339E-2</v>
      </c>
      <c r="CG230" s="38">
        <v>0</v>
      </c>
      <c r="CH230" s="38">
        <v>1.8572884956191339E-2</v>
      </c>
      <c r="CI230" s="38">
        <v>9.2858334724322503E-4</v>
      </c>
      <c r="CJ230" s="38">
        <v>0</v>
      </c>
      <c r="CK230" s="38">
        <v>9.2858334724322503E-4</v>
      </c>
      <c r="CL230" s="38"/>
      <c r="CM230" s="38">
        <v>0</v>
      </c>
      <c r="CN230" s="38"/>
      <c r="CO230" s="38">
        <v>0</v>
      </c>
      <c r="CP230" s="38">
        <v>0</v>
      </c>
      <c r="CQ230" s="38">
        <v>0</v>
      </c>
      <c r="CR230" s="38">
        <v>0</v>
      </c>
      <c r="CS230" s="38">
        <v>0</v>
      </c>
      <c r="CT230" s="38">
        <v>0</v>
      </c>
      <c r="CU230" s="38">
        <v>0</v>
      </c>
      <c r="CV230" s="38">
        <v>9999</v>
      </c>
      <c r="CW230" s="49">
        <v>9999</v>
      </c>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row>
    <row r="231" spans="1:131">
      <c r="A231" s="27" t="s">
        <v>848</v>
      </c>
      <c r="B231" s="27" t="s">
        <v>208</v>
      </c>
      <c r="C231" s="38">
        <v>45</v>
      </c>
      <c r="D231" s="38">
        <v>143.82421446881312</v>
      </c>
      <c r="E231" s="38">
        <v>0</v>
      </c>
      <c r="F231" s="38">
        <v>0</v>
      </c>
      <c r="G231" s="38">
        <v>0</v>
      </c>
      <c r="H231" s="38">
        <v>0</v>
      </c>
      <c r="I231" s="38" t="s">
        <v>1361</v>
      </c>
      <c r="J231" s="38"/>
      <c r="K231" s="38"/>
      <c r="L231" s="38">
        <v>154.17955616035283</v>
      </c>
      <c r="M231" s="38">
        <v>0</v>
      </c>
      <c r="N231" s="38">
        <v>0</v>
      </c>
      <c r="O231" s="38">
        <v>0</v>
      </c>
      <c r="P231" s="38">
        <v>0</v>
      </c>
      <c r="Q231" s="38">
        <v>0</v>
      </c>
      <c r="R231" s="38">
        <v>0</v>
      </c>
      <c r="S231" s="38">
        <v>0</v>
      </c>
      <c r="T231" s="38">
        <v>0</v>
      </c>
      <c r="U231" s="38">
        <v>0</v>
      </c>
      <c r="V231" s="38" t="s">
        <v>1584</v>
      </c>
      <c r="W231" s="38" t="s">
        <v>1584</v>
      </c>
      <c r="X231" s="38" t="s">
        <v>1584</v>
      </c>
      <c r="Y231" s="38" t="s">
        <v>1584</v>
      </c>
      <c r="Z231" s="38">
        <v>0</v>
      </c>
      <c r="AA231" s="38">
        <v>0</v>
      </c>
      <c r="AB231" s="38">
        <v>0</v>
      </c>
      <c r="AC231" s="38">
        <v>0</v>
      </c>
      <c r="AD231" s="38">
        <v>0</v>
      </c>
      <c r="AE231" s="38">
        <v>0</v>
      </c>
      <c r="AF231" s="38">
        <v>0</v>
      </c>
      <c r="AG231" s="38">
        <v>0</v>
      </c>
      <c r="AH231" s="38">
        <v>0</v>
      </c>
      <c r="AI231" s="38">
        <v>0</v>
      </c>
      <c r="AJ231" s="38">
        <v>0</v>
      </c>
      <c r="AK231" s="38">
        <v>0</v>
      </c>
      <c r="AL231" s="38">
        <v>0</v>
      </c>
      <c r="AM231" s="38">
        <v>80.852752286740468</v>
      </c>
      <c r="AN231" s="38">
        <v>0</v>
      </c>
      <c r="AO231" s="38">
        <v>0</v>
      </c>
      <c r="AP231" s="38">
        <v>0</v>
      </c>
      <c r="AQ231" s="38">
        <v>80.852752286740468</v>
      </c>
      <c r="AR231" s="38">
        <v>0</v>
      </c>
      <c r="AS231" s="49">
        <v>9999</v>
      </c>
      <c r="AT231" s="38">
        <v>80.852752286740468</v>
      </c>
      <c r="AU231" s="38">
        <v>0</v>
      </c>
      <c r="AV231" s="38">
        <v>0</v>
      </c>
      <c r="AW231" s="38">
        <v>0</v>
      </c>
      <c r="AX231" s="38">
        <v>80.852752286740468</v>
      </c>
      <c r="AY231" s="38">
        <v>0</v>
      </c>
      <c r="AZ231" s="49">
        <v>9999</v>
      </c>
      <c r="BA231" s="38">
        <v>80.852752286740468</v>
      </c>
      <c r="BB231" s="38">
        <v>0</v>
      </c>
      <c r="BC231" s="38">
        <v>0</v>
      </c>
      <c r="BD231" s="38">
        <v>0</v>
      </c>
      <c r="BE231" s="38">
        <v>80.852752286740468</v>
      </c>
      <c r="BF231" s="38">
        <v>0</v>
      </c>
      <c r="BG231" s="38">
        <v>0</v>
      </c>
      <c r="BH231" s="49">
        <v>9999</v>
      </c>
      <c r="BI231" s="38">
        <v>0</v>
      </c>
      <c r="BJ231" s="38">
        <v>0</v>
      </c>
      <c r="BK231" s="38">
        <v>0</v>
      </c>
      <c r="BL231" s="38">
        <v>0</v>
      </c>
      <c r="BM231" s="38">
        <v>0</v>
      </c>
      <c r="BN231" s="38">
        <v>80.852752286740468</v>
      </c>
      <c r="BO231" s="38">
        <v>0</v>
      </c>
      <c r="BP231" s="38">
        <v>0</v>
      </c>
      <c r="BQ231" s="38">
        <v>0</v>
      </c>
      <c r="BR231" s="38">
        <v>0</v>
      </c>
      <c r="BS231" s="38">
        <v>0</v>
      </c>
      <c r="BT231" s="38">
        <v>0</v>
      </c>
      <c r="BU231" s="38">
        <v>0</v>
      </c>
      <c r="BV231" s="38">
        <v>0</v>
      </c>
      <c r="BW231" s="38">
        <v>0</v>
      </c>
      <c r="BX231" s="38">
        <v>0</v>
      </c>
      <c r="BY231" s="38"/>
      <c r="BZ231" s="38">
        <v>0</v>
      </c>
      <c r="CA231" s="38">
        <v>0</v>
      </c>
      <c r="CB231" s="38">
        <v>80.852752286740468</v>
      </c>
      <c r="CC231" s="38">
        <v>0</v>
      </c>
      <c r="CD231" s="49">
        <v>9999</v>
      </c>
      <c r="CE231" s="38">
        <v>0</v>
      </c>
      <c r="CF231" s="38">
        <v>1.4648018453491498</v>
      </c>
      <c r="CG231" s="38">
        <v>0</v>
      </c>
      <c r="CH231" s="38">
        <v>1.4648018453491498</v>
      </c>
      <c r="CI231" s="38">
        <v>7.3235289176167603E-2</v>
      </c>
      <c r="CJ231" s="38">
        <v>0</v>
      </c>
      <c r="CK231" s="38">
        <v>7.3235289176167603E-2</v>
      </c>
      <c r="CL231" s="38"/>
      <c r="CM231" s="38">
        <v>0</v>
      </c>
      <c r="CN231" s="38"/>
      <c r="CO231" s="38">
        <v>0</v>
      </c>
      <c r="CP231" s="38">
        <v>0</v>
      </c>
      <c r="CQ231" s="38">
        <v>0</v>
      </c>
      <c r="CR231" s="38">
        <v>0</v>
      </c>
      <c r="CS231" s="38">
        <v>0</v>
      </c>
      <c r="CT231" s="38">
        <v>0</v>
      </c>
      <c r="CU231" s="38">
        <v>0</v>
      </c>
      <c r="CV231" s="38">
        <v>9999</v>
      </c>
      <c r="CW231" s="49">
        <v>9999</v>
      </c>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row>
    <row r="232" spans="1:131">
      <c r="A232" s="27" t="s">
        <v>849</v>
      </c>
      <c r="B232" s="27" t="s">
        <v>210</v>
      </c>
      <c r="C232" s="38">
        <v>45</v>
      </c>
      <c r="D232" s="38">
        <v>145.52520439309671</v>
      </c>
      <c r="E232" s="38">
        <v>0</v>
      </c>
      <c r="F232" s="38">
        <v>0</v>
      </c>
      <c r="G232" s="38">
        <v>0</v>
      </c>
      <c r="H232" s="38">
        <v>0</v>
      </c>
      <c r="I232" s="38" t="s">
        <v>1361</v>
      </c>
      <c r="J232" s="38"/>
      <c r="K232" s="38"/>
      <c r="L232" s="38">
        <v>156.00301733848528</v>
      </c>
      <c r="M232" s="38">
        <v>0</v>
      </c>
      <c r="N232" s="38">
        <v>0</v>
      </c>
      <c r="O232" s="38">
        <v>0</v>
      </c>
      <c r="P232" s="38">
        <v>0</v>
      </c>
      <c r="Q232" s="38">
        <v>0</v>
      </c>
      <c r="R232" s="38">
        <v>0</v>
      </c>
      <c r="S232" s="38">
        <v>0</v>
      </c>
      <c r="T232" s="38">
        <v>0</v>
      </c>
      <c r="U232" s="38">
        <v>0</v>
      </c>
      <c r="V232" s="38" t="s">
        <v>1584</v>
      </c>
      <c r="W232" s="38" t="s">
        <v>1584</v>
      </c>
      <c r="X232" s="38" t="s">
        <v>1584</v>
      </c>
      <c r="Y232" s="38" t="s">
        <v>1584</v>
      </c>
      <c r="Z232" s="38">
        <v>0</v>
      </c>
      <c r="AA232" s="38">
        <v>0</v>
      </c>
      <c r="AB232" s="38">
        <v>0</v>
      </c>
      <c r="AC232" s="38">
        <v>0</v>
      </c>
      <c r="AD232" s="38">
        <v>0</v>
      </c>
      <c r="AE232" s="38">
        <v>0</v>
      </c>
      <c r="AF232" s="38">
        <v>0</v>
      </c>
      <c r="AG232" s="38">
        <v>0</v>
      </c>
      <c r="AH232" s="38">
        <v>0</v>
      </c>
      <c r="AI232" s="38">
        <v>0</v>
      </c>
      <c r="AJ232" s="38">
        <v>0</v>
      </c>
      <c r="AK232" s="38">
        <v>0</v>
      </c>
      <c r="AL232" s="38">
        <v>0</v>
      </c>
      <c r="AM232" s="38">
        <v>81.808987073061317</v>
      </c>
      <c r="AN232" s="38">
        <v>0</v>
      </c>
      <c r="AO232" s="38">
        <v>0</v>
      </c>
      <c r="AP232" s="38">
        <v>0</v>
      </c>
      <c r="AQ232" s="38">
        <v>81.808987073061317</v>
      </c>
      <c r="AR232" s="38">
        <v>0</v>
      </c>
      <c r="AS232" s="49">
        <v>9999</v>
      </c>
      <c r="AT232" s="38">
        <v>81.808987073061317</v>
      </c>
      <c r="AU232" s="38">
        <v>0</v>
      </c>
      <c r="AV232" s="38">
        <v>0</v>
      </c>
      <c r="AW232" s="38">
        <v>0</v>
      </c>
      <c r="AX232" s="38">
        <v>81.808987073061317</v>
      </c>
      <c r="AY232" s="38">
        <v>0</v>
      </c>
      <c r="AZ232" s="49">
        <v>9999</v>
      </c>
      <c r="BA232" s="38">
        <v>81.808987073061317</v>
      </c>
      <c r="BB232" s="38">
        <v>0</v>
      </c>
      <c r="BC232" s="38">
        <v>0</v>
      </c>
      <c r="BD232" s="38">
        <v>0</v>
      </c>
      <c r="BE232" s="38">
        <v>81.808987073061317</v>
      </c>
      <c r="BF232" s="38">
        <v>0</v>
      </c>
      <c r="BG232" s="38">
        <v>0</v>
      </c>
      <c r="BH232" s="49">
        <v>9999</v>
      </c>
      <c r="BI232" s="38">
        <v>0</v>
      </c>
      <c r="BJ232" s="38">
        <v>0</v>
      </c>
      <c r="BK232" s="38">
        <v>0</v>
      </c>
      <c r="BL232" s="38">
        <v>0</v>
      </c>
      <c r="BM232" s="38">
        <v>0</v>
      </c>
      <c r="BN232" s="38">
        <v>81.808987073061317</v>
      </c>
      <c r="BO232" s="38">
        <v>0</v>
      </c>
      <c r="BP232" s="38">
        <v>0</v>
      </c>
      <c r="BQ232" s="38">
        <v>0</v>
      </c>
      <c r="BR232" s="38">
        <v>0</v>
      </c>
      <c r="BS232" s="38">
        <v>0</v>
      </c>
      <c r="BT232" s="38">
        <v>0</v>
      </c>
      <c r="BU232" s="38">
        <v>0</v>
      </c>
      <c r="BV232" s="38">
        <v>0</v>
      </c>
      <c r="BW232" s="38">
        <v>0</v>
      </c>
      <c r="BX232" s="38">
        <v>0</v>
      </c>
      <c r="BY232" s="38"/>
      <c r="BZ232" s="38">
        <v>0</v>
      </c>
      <c r="CA232" s="38">
        <v>0</v>
      </c>
      <c r="CB232" s="38">
        <v>81.808987073061317</v>
      </c>
      <c r="CC232" s="38">
        <v>0</v>
      </c>
      <c r="CD232" s="49">
        <v>9999</v>
      </c>
      <c r="CE232" s="38">
        <v>0</v>
      </c>
      <c r="CF232" s="38">
        <v>1.4821258626518912</v>
      </c>
      <c r="CG232" s="38">
        <v>0</v>
      </c>
      <c r="CH232" s="38">
        <v>1.4821258626518912</v>
      </c>
      <c r="CI232" s="38">
        <v>7.4101433235780514E-2</v>
      </c>
      <c r="CJ232" s="38">
        <v>0</v>
      </c>
      <c r="CK232" s="38">
        <v>7.4101433235780514E-2</v>
      </c>
      <c r="CL232" s="38"/>
      <c r="CM232" s="38">
        <v>0</v>
      </c>
      <c r="CN232" s="38"/>
      <c r="CO232" s="38">
        <v>0</v>
      </c>
      <c r="CP232" s="38">
        <v>0</v>
      </c>
      <c r="CQ232" s="38">
        <v>0</v>
      </c>
      <c r="CR232" s="38">
        <v>0</v>
      </c>
      <c r="CS232" s="38">
        <v>0</v>
      </c>
      <c r="CT232" s="38">
        <v>0</v>
      </c>
      <c r="CU232" s="38">
        <v>0</v>
      </c>
      <c r="CV232" s="38">
        <v>9999</v>
      </c>
      <c r="CW232" s="49">
        <v>9999</v>
      </c>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row>
    <row r="233" spans="1:131">
      <c r="A233" s="27" t="s">
        <v>850</v>
      </c>
      <c r="B233" s="27" t="s">
        <v>211</v>
      </c>
      <c r="C233" s="38">
        <v>45</v>
      </c>
      <c r="D233" s="38">
        <v>20.682562801409109</v>
      </c>
      <c r="E233" s="38">
        <v>0</v>
      </c>
      <c r="F233" s="38">
        <v>0</v>
      </c>
      <c r="G233" s="38">
        <v>0</v>
      </c>
      <c r="H233" s="38">
        <v>0</v>
      </c>
      <c r="I233" s="38" t="s">
        <v>1361</v>
      </c>
      <c r="J233" s="38"/>
      <c r="K233" s="38"/>
      <c r="L233" s="38">
        <v>22.171707071421874</v>
      </c>
      <c r="M233" s="38">
        <v>0</v>
      </c>
      <c r="N233" s="38">
        <v>0</v>
      </c>
      <c r="O233" s="38">
        <v>0</v>
      </c>
      <c r="P233" s="38">
        <v>0</v>
      </c>
      <c r="Q233" s="38">
        <v>0</v>
      </c>
      <c r="R233" s="38">
        <v>0</v>
      </c>
      <c r="S233" s="38">
        <v>0</v>
      </c>
      <c r="T233" s="38">
        <v>0</v>
      </c>
      <c r="U233" s="38">
        <v>0</v>
      </c>
      <c r="V233" s="38" t="s">
        <v>1584</v>
      </c>
      <c r="W233" s="38" t="s">
        <v>1584</v>
      </c>
      <c r="X233" s="38" t="s">
        <v>1584</v>
      </c>
      <c r="Y233" s="38" t="s">
        <v>1584</v>
      </c>
      <c r="Z233" s="38">
        <v>0</v>
      </c>
      <c r="AA233" s="38">
        <v>0</v>
      </c>
      <c r="AB233" s="38">
        <v>0</v>
      </c>
      <c r="AC233" s="38">
        <v>0</v>
      </c>
      <c r="AD233" s="38">
        <v>0</v>
      </c>
      <c r="AE233" s="38">
        <v>0</v>
      </c>
      <c r="AF233" s="38">
        <v>0</v>
      </c>
      <c r="AG233" s="38">
        <v>0</v>
      </c>
      <c r="AH233" s="38">
        <v>0</v>
      </c>
      <c r="AI233" s="38">
        <v>0</v>
      </c>
      <c r="AJ233" s="38">
        <v>0</v>
      </c>
      <c r="AK233" s="38">
        <v>0</v>
      </c>
      <c r="AL233" s="38">
        <v>0</v>
      </c>
      <c r="AM233" s="38">
        <v>11.626985991290743</v>
      </c>
      <c r="AN233" s="38">
        <v>0</v>
      </c>
      <c r="AO233" s="38">
        <v>0</v>
      </c>
      <c r="AP233" s="38">
        <v>0</v>
      </c>
      <c r="AQ233" s="38">
        <v>11.626985991290743</v>
      </c>
      <c r="AR233" s="38">
        <v>0</v>
      </c>
      <c r="AS233" s="49">
        <v>9999</v>
      </c>
      <c r="AT233" s="38">
        <v>11.626985991290743</v>
      </c>
      <c r="AU233" s="38">
        <v>0</v>
      </c>
      <c r="AV233" s="38">
        <v>0</v>
      </c>
      <c r="AW233" s="38">
        <v>0</v>
      </c>
      <c r="AX233" s="38">
        <v>11.626985991290743</v>
      </c>
      <c r="AY233" s="38">
        <v>0</v>
      </c>
      <c r="AZ233" s="49">
        <v>9999</v>
      </c>
      <c r="BA233" s="38">
        <v>11.626985991290743</v>
      </c>
      <c r="BB233" s="38">
        <v>0</v>
      </c>
      <c r="BC233" s="38">
        <v>0</v>
      </c>
      <c r="BD233" s="38">
        <v>0</v>
      </c>
      <c r="BE233" s="38">
        <v>11.626985991290743</v>
      </c>
      <c r="BF233" s="38">
        <v>0</v>
      </c>
      <c r="BG233" s="38">
        <v>0</v>
      </c>
      <c r="BH233" s="49">
        <v>9999</v>
      </c>
      <c r="BI233" s="38">
        <v>0</v>
      </c>
      <c r="BJ233" s="38">
        <v>0</v>
      </c>
      <c r="BK233" s="38">
        <v>0</v>
      </c>
      <c r="BL233" s="38">
        <v>0</v>
      </c>
      <c r="BM233" s="38">
        <v>0</v>
      </c>
      <c r="BN233" s="38">
        <v>11.626985991290743</v>
      </c>
      <c r="BO233" s="38">
        <v>0</v>
      </c>
      <c r="BP233" s="38">
        <v>0</v>
      </c>
      <c r="BQ233" s="38">
        <v>0</v>
      </c>
      <c r="BR233" s="38">
        <v>0</v>
      </c>
      <c r="BS233" s="38">
        <v>0</v>
      </c>
      <c r="BT233" s="38">
        <v>0</v>
      </c>
      <c r="BU233" s="38">
        <v>0</v>
      </c>
      <c r="BV233" s="38">
        <v>0</v>
      </c>
      <c r="BW233" s="38">
        <v>0</v>
      </c>
      <c r="BX233" s="38">
        <v>0</v>
      </c>
      <c r="BY233" s="38"/>
      <c r="BZ233" s="38">
        <v>0</v>
      </c>
      <c r="CA233" s="38">
        <v>0</v>
      </c>
      <c r="CB233" s="38">
        <v>11.626985991290743</v>
      </c>
      <c r="CC233" s="38">
        <v>0</v>
      </c>
      <c r="CD233" s="49">
        <v>9999</v>
      </c>
      <c r="CE233" s="38">
        <v>0</v>
      </c>
      <c r="CF233" s="38">
        <v>0.21064503129702905</v>
      </c>
      <c r="CG233" s="38">
        <v>0</v>
      </c>
      <c r="CH233" s="38">
        <v>0.21064503129702905</v>
      </c>
      <c r="CI233" s="38">
        <v>1.053156085892539E-2</v>
      </c>
      <c r="CJ233" s="38">
        <v>0</v>
      </c>
      <c r="CK233" s="38">
        <v>1.053156085892539E-2</v>
      </c>
      <c r="CL233" s="38"/>
      <c r="CM233" s="38">
        <v>0</v>
      </c>
      <c r="CN233" s="38"/>
      <c r="CO233" s="38">
        <v>0</v>
      </c>
      <c r="CP233" s="38">
        <v>0</v>
      </c>
      <c r="CQ233" s="38">
        <v>0</v>
      </c>
      <c r="CR233" s="38">
        <v>0</v>
      </c>
      <c r="CS233" s="38">
        <v>0</v>
      </c>
      <c r="CT233" s="38">
        <v>0</v>
      </c>
      <c r="CU233" s="38">
        <v>0</v>
      </c>
      <c r="CV233" s="38">
        <v>9999</v>
      </c>
      <c r="CW233" s="49">
        <v>9999</v>
      </c>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row>
    <row r="234" spans="1:131">
      <c r="A234" s="27" t="s">
        <v>851</v>
      </c>
      <c r="B234" s="27" t="s">
        <v>212</v>
      </c>
      <c r="C234" s="38">
        <v>45</v>
      </c>
      <c r="D234" s="38">
        <v>22.383552725692695</v>
      </c>
      <c r="E234" s="38">
        <v>0</v>
      </c>
      <c r="F234" s="38">
        <v>0</v>
      </c>
      <c r="G234" s="38">
        <v>0</v>
      </c>
      <c r="H234" s="38">
        <v>0</v>
      </c>
      <c r="I234" s="38" t="s">
        <v>1361</v>
      </c>
      <c r="J234" s="38"/>
      <c r="K234" s="38"/>
      <c r="L234" s="38">
        <v>23.995168249554318</v>
      </c>
      <c r="M234" s="38">
        <v>0</v>
      </c>
      <c r="N234" s="38">
        <v>0</v>
      </c>
      <c r="O234" s="38">
        <v>0</v>
      </c>
      <c r="P234" s="38">
        <v>0</v>
      </c>
      <c r="Q234" s="38">
        <v>0</v>
      </c>
      <c r="R234" s="38">
        <v>0</v>
      </c>
      <c r="S234" s="38">
        <v>0</v>
      </c>
      <c r="T234" s="38">
        <v>0</v>
      </c>
      <c r="U234" s="38">
        <v>0</v>
      </c>
      <c r="V234" s="38" t="s">
        <v>1584</v>
      </c>
      <c r="W234" s="38" t="s">
        <v>1584</v>
      </c>
      <c r="X234" s="38" t="s">
        <v>1584</v>
      </c>
      <c r="Y234" s="38" t="s">
        <v>1584</v>
      </c>
      <c r="Z234" s="38">
        <v>0</v>
      </c>
      <c r="AA234" s="38">
        <v>0</v>
      </c>
      <c r="AB234" s="38">
        <v>0</v>
      </c>
      <c r="AC234" s="38">
        <v>0</v>
      </c>
      <c r="AD234" s="38">
        <v>0</v>
      </c>
      <c r="AE234" s="38">
        <v>0</v>
      </c>
      <c r="AF234" s="38">
        <v>0</v>
      </c>
      <c r="AG234" s="38">
        <v>0</v>
      </c>
      <c r="AH234" s="38">
        <v>0</v>
      </c>
      <c r="AI234" s="38">
        <v>0</v>
      </c>
      <c r="AJ234" s="38">
        <v>0</v>
      </c>
      <c r="AK234" s="38">
        <v>0</v>
      </c>
      <c r="AL234" s="38">
        <v>0</v>
      </c>
      <c r="AM234" s="38">
        <v>12.583220777611528</v>
      </c>
      <c r="AN234" s="38">
        <v>0</v>
      </c>
      <c r="AO234" s="38">
        <v>0</v>
      </c>
      <c r="AP234" s="38">
        <v>0</v>
      </c>
      <c r="AQ234" s="38">
        <v>12.583220777611528</v>
      </c>
      <c r="AR234" s="38">
        <v>0</v>
      </c>
      <c r="AS234" s="49">
        <v>9999</v>
      </c>
      <c r="AT234" s="38">
        <v>12.583220777611528</v>
      </c>
      <c r="AU234" s="38">
        <v>0</v>
      </c>
      <c r="AV234" s="38">
        <v>0</v>
      </c>
      <c r="AW234" s="38">
        <v>0</v>
      </c>
      <c r="AX234" s="38">
        <v>12.583220777611528</v>
      </c>
      <c r="AY234" s="38">
        <v>0</v>
      </c>
      <c r="AZ234" s="49">
        <v>9999</v>
      </c>
      <c r="BA234" s="38">
        <v>12.583220777611528</v>
      </c>
      <c r="BB234" s="38">
        <v>0</v>
      </c>
      <c r="BC234" s="38">
        <v>0</v>
      </c>
      <c r="BD234" s="38">
        <v>0</v>
      </c>
      <c r="BE234" s="38">
        <v>12.583220777611528</v>
      </c>
      <c r="BF234" s="38">
        <v>0</v>
      </c>
      <c r="BG234" s="38">
        <v>0</v>
      </c>
      <c r="BH234" s="49">
        <v>9999</v>
      </c>
      <c r="BI234" s="38">
        <v>0</v>
      </c>
      <c r="BJ234" s="38">
        <v>0</v>
      </c>
      <c r="BK234" s="38">
        <v>0</v>
      </c>
      <c r="BL234" s="38">
        <v>0</v>
      </c>
      <c r="BM234" s="38">
        <v>0</v>
      </c>
      <c r="BN234" s="38">
        <v>12.583220777611528</v>
      </c>
      <c r="BO234" s="38">
        <v>0</v>
      </c>
      <c r="BP234" s="38">
        <v>0</v>
      </c>
      <c r="BQ234" s="38">
        <v>0</v>
      </c>
      <c r="BR234" s="38">
        <v>0</v>
      </c>
      <c r="BS234" s="38">
        <v>0</v>
      </c>
      <c r="BT234" s="38">
        <v>0</v>
      </c>
      <c r="BU234" s="38">
        <v>0</v>
      </c>
      <c r="BV234" s="38">
        <v>0</v>
      </c>
      <c r="BW234" s="38">
        <v>0</v>
      </c>
      <c r="BX234" s="38">
        <v>0</v>
      </c>
      <c r="BY234" s="38"/>
      <c r="BZ234" s="38">
        <v>0</v>
      </c>
      <c r="CA234" s="38">
        <v>0</v>
      </c>
      <c r="CB234" s="38">
        <v>12.583220777611528</v>
      </c>
      <c r="CC234" s="38">
        <v>0</v>
      </c>
      <c r="CD234" s="49">
        <v>9999</v>
      </c>
      <c r="CE234" s="38">
        <v>0</v>
      </c>
      <c r="CF234" s="38">
        <v>0.22796904859977066</v>
      </c>
      <c r="CG234" s="38">
        <v>0</v>
      </c>
      <c r="CH234" s="38">
        <v>0.22796904859977066</v>
      </c>
      <c r="CI234" s="38">
        <v>1.1397704918538304E-2</v>
      </c>
      <c r="CJ234" s="38">
        <v>0</v>
      </c>
      <c r="CK234" s="38">
        <v>1.1397704918538304E-2</v>
      </c>
      <c r="CL234" s="38"/>
      <c r="CM234" s="38">
        <v>0</v>
      </c>
      <c r="CN234" s="38"/>
      <c r="CO234" s="38">
        <v>0</v>
      </c>
      <c r="CP234" s="38">
        <v>0</v>
      </c>
      <c r="CQ234" s="38">
        <v>0</v>
      </c>
      <c r="CR234" s="38">
        <v>0</v>
      </c>
      <c r="CS234" s="38">
        <v>0</v>
      </c>
      <c r="CT234" s="38">
        <v>0</v>
      </c>
      <c r="CU234" s="38">
        <v>0</v>
      </c>
      <c r="CV234" s="38">
        <v>9999</v>
      </c>
      <c r="CW234" s="49">
        <v>9999</v>
      </c>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row>
    <row r="235" spans="1:131">
      <c r="A235" s="27" t="s">
        <v>852</v>
      </c>
      <c r="B235" s="27" t="s">
        <v>213</v>
      </c>
      <c r="C235" s="38">
        <v>45</v>
      </c>
      <c r="D235" s="38">
        <v>8.4280084048355715</v>
      </c>
      <c r="E235" s="38">
        <v>0</v>
      </c>
      <c r="F235" s="38">
        <v>0</v>
      </c>
      <c r="G235" s="38">
        <v>0</v>
      </c>
      <c r="H235" s="38">
        <v>0</v>
      </c>
      <c r="I235" s="38" t="s">
        <v>1361</v>
      </c>
      <c r="J235" s="38"/>
      <c r="K235" s="38"/>
      <c r="L235" s="38">
        <v>9.0348249074222444</v>
      </c>
      <c r="M235" s="38">
        <v>0</v>
      </c>
      <c r="N235" s="38">
        <v>0</v>
      </c>
      <c r="O235" s="38">
        <v>0</v>
      </c>
      <c r="P235" s="38">
        <v>0</v>
      </c>
      <c r="Q235" s="38">
        <v>0</v>
      </c>
      <c r="R235" s="38">
        <v>0</v>
      </c>
      <c r="S235" s="38">
        <v>0</v>
      </c>
      <c r="T235" s="38">
        <v>0</v>
      </c>
      <c r="U235" s="38">
        <v>0</v>
      </c>
      <c r="V235" s="38" t="s">
        <v>1584</v>
      </c>
      <c r="W235" s="38" t="s">
        <v>1584</v>
      </c>
      <c r="X235" s="38" t="s">
        <v>1584</v>
      </c>
      <c r="Y235" s="38" t="s">
        <v>1584</v>
      </c>
      <c r="Z235" s="38">
        <v>0</v>
      </c>
      <c r="AA235" s="38">
        <v>0</v>
      </c>
      <c r="AB235" s="38">
        <v>0</v>
      </c>
      <c r="AC235" s="38">
        <v>0</v>
      </c>
      <c r="AD235" s="38">
        <v>0</v>
      </c>
      <c r="AE235" s="38">
        <v>0</v>
      </c>
      <c r="AF235" s="38">
        <v>0</v>
      </c>
      <c r="AG235" s="38">
        <v>0</v>
      </c>
      <c r="AH235" s="38">
        <v>0</v>
      </c>
      <c r="AI235" s="38">
        <v>0</v>
      </c>
      <c r="AJ235" s="38">
        <v>0</v>
      </c>
      <c r="AK235" s="38">
        <v>0</v>
      </c>
      <c r="AL235" s="38">
        <v>0</v>
      </c>
      <c r="AM235" s="38">
        <v>4.737920372751268</v>
      </c>
      <c r="AN235" s="38">
        <v>0</v>
      </c>
      <c r="AO235" s="38">
        <v>0</v>
      </c>
      <c r="AP235" s="38">
        <v>0</v>
      </c>
      <c r="AQ235" s="38">
        <v>4.737920372751268</v>
      </c>
      <c r="AR235" s="38">
        <v>0</v>
      </c>
      <c r="AS235" s="49">
        <v>9999</v>
      </c>
      <c r="AT235" s="38">
        <v>4.737920372751268</v>
      </c>
      <c r="AU235" s="38">
        <v>0</v>
      </c>
      <c r="AV235" s="38">
        <v>0</v>
      </c>
      <c r="AW235" s="38">
        <v>0</v>
      </c>
      <c r="AX235" s="38">
        <v>4.737920372751268</v>
      </c>
      <c r="AY235" s="38">
        <v>0</v>
      </c>
      <c r="AZ235" s="49">
        <v>9999</v>
      </c>
      <c r="BA235" s="38">
        <v>4.737920372751268</v>
      </c>
      <c r="BB235" s="38">
        <v>0</v>
      </c>
      <c r="BC235" s="38">
        <v>0</v>
      </c>
      <c r="BD235" s="38">
        <v>0</v>
      </c>
      <c r="BE235" s="38">
        <v>4.737920372751268</v>
      </c>
      <c r="BF235" s="38">
        <v>0</v>
      </c>
      <c r="BG235" s="38">
        <v>0</v>
      </c>
      <c r="BH235" s="49">
        <v>9999</v>
      </c>
      <c r="BI235" s="38">
        <v>0</v>
      </c>
      <c r="BJ235" s="38">
        <v>0</v>
      </c>
      <c r="BK235" s="38">
        <v>0</v>
      </c>
      <c r="BL235" s="38">
        <v>0</v>
      </c>
      <c r="BM235" s="38">
        <v>0</v>
      </c>
      <c r="BN235" s="38">
        <v>4.737920372751268</v>
      </c>
      <c r="BO235" s="38">
        <v>0</v>
      </c>
      <c r="BP235" s="38">
        <v>0</v>
      </c>
      <c r="BQ235" s="38">
        <v>0</v>
      </c>
      <c r="BR235" s="38">
        <v>0</v>
      </c>
      <c r="BS235" s="38">
        <v>0</v>
      </c>
      <c r="BT235" s="38">
        <v>0</v>
      </c>
      <c r="BU235" s="38">
        <v>0</v>
      </c>
      <c r="BV235" s="38">
        <v>0</v>
      </c>
      <c r="BW235" s="38">
        <v>0</v>
      </c>
      <c r="BX235" s="38">
        <v>0</v>
      </c>
      <c r="BY235" s="38"/>
      <c r="BZ235" s="38">
        <v>0</v>
      </c>
      <c r="CA235" s="38">
        <v>0</v>
      </c>
      <c r="CB235" s="38">
        <v>4.737920372751268</v>
      </c>
      <c r="CC235" s="38">
        <v>0</v>
      </c>
      <c r="CD235" s="49">
        <v>9999</v>
      </c>
      <c r="CE235" s="38">
        <v>0</v>
      </c>
      <c r="CF235" s="38">
        <v>8.583646578301507E-2</v>
      </c>
      <c r="CG235" s="38">
        <v>0</v>
      </c>
      <c r="CH235" s="38">
        <v>8.583646578301507E-2</v>
      </c>
      <c r="CI235" s="38">
        <v>4.2915418310255672E-3</v>
      </c>
      <c r="CJ235" s="38">
        <v>0</v>
      </c>
      <c r="CK235" s="38">
        <v>4.2915418310255672E-3</v>
      </c>
      <c r="CL235" s="38"/>
      <c r="CM235" s="38">
        <v>0</v>
      </c>
      <c r="CN235" s="38"/>
      <c r="CO235" s="38">
        <v>0</v>
      </c>
      <c r="CP235" s="38">
        <v>0</v>
      </c>
      <c r="CQ235" s="38">
        <v>0</v>
      </c>
      <c r="CR235" s="38">
        <v>0</v>
      </c>
      <c r="CS235" s="38">
        <v>0</v>
      </c>
      <c r="CT235" s="38">
        <v>0</v>
      </c>
      <c r="CU235" s="38">
        <v>0</v>
      </c>
      <c r="CV235" s="38">
        <v>9999</v>
      </c>
      <c r="CW235" s="49">
        <v>9999</v>
      </c>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row>
    <row r="236" spans="1:131">
      <c r="A236" s="27" t="s">
        <v>853</v>
      </c>
      <c r="B236" s="27" t="s">
        <v>214</v>
      </c>
      <c r="C236" s="38">
        <v>45</v>
      </c>
      <c r="D236" s="38">
        <v>10.128998329119161</v>
      </c>
      <c r="E236" s="38">
        <v>0</v>
      </c>
      <c r="F236" s="38">
        <v>0</v>
      </c>
      <c r="G236" s="38">
        <v>0</v>
      </c>
      <c r="H236" s="38">
        <v>0</v>
      </c>
      <c r="I236" s="38" t="s">
        <v>1361</v>
      </c>
      <c r="J236" s="38"/>
      <c r="K236" s="38"/>
      <c r="L236" s="38">
        <v>10.858286085554694</v>
      </c>
      <c r="M236" s="38">
        <v>0</v>
      </c>
      <c r="N236" s="38">
        <v>0</v>
      </c>
      <c r="O236" s="38">
        <v>0</v>
      </c>
      <c r="P236" s="38">
        <v>0</v>
      </c>
      <c r="Q236" s="38">
        <v>0</v>
      </c>
      <c r="R236" s="38">
        <v>0</v>
      </c>
      <c r="S236" s="38">
        <v>0</v>
      </c>
      <c r="T236" s="38">
        <v>0</v>
      </c>
      <c r="U236" s="38">
        <v>0</v>
      </c>
      <c r="V236" s="38" t="s">
        <v>1584</v>
      </c>
      <c r="W236" s="38" t="s">
        <v>1584</v>
      </c>
      <c r="X236" s="38" t="s">
        <v>1584</v>
      </c>
      <c r="Y236" s="38" t="s">
        <v>1584</v>
      </c>
      <c r="Z236" s="38">
        <v>0</v>
      </c>
      <c r="AA236" s="38">
        <v>0</v>
      </c>
      <c r="AB236" s="38">
        <v>0</v>
      </c>
      <c r="AC236" s="38">
        <v>0</v>
      </c>
      <c r="AD236" s="38">
        <v>0</v>
      </c>
      <c r="AE236" s="38">
        <v>0</v>
      </c>
      <c r="AF236" s="38">
        <v>0</v>
      </c>
      <c r="AG236" s="38">
        <v>0</v>
      </c>
      <c r="AH236" s="38">
        <v>0</v>
      </c>
      <c r="AI236" s="38">
        <v>0</v>
      </c>
      <c r="AJ236" s="38">
        <v>0</v>
      </c>
      <c r="AK236" s="38">
        <v>0</v>
      </c>
      <c r="AL236" s="38">
        <v>0</v>
      </c>
      <c r="AM236" s="38">
        <v>5.6941551590720696</v>
      </c>
      <c r="AN236" s="38">
        <v>0</v>
      </c>
      <c r="AO236" s="38">
        <v>0</v>
      </c>
      <c r="AP236" s="38">
        <v>0</v>
      </c>
      <c r="AQ236" s="38">
        <v>5.6941551590720696</v>
      </c>
      <c r="AR236" s="38">
        <v>0</v>
      </c>
      <c r="AS236" s="49">
        <v>9999</v>
      </c>
      <c r="AT236" s="38">
        <v>5.6941551590720696</v>
      </c>
      <c r="AU236" s="38">
        <v>0</v>
      </c>
      <c r="AV236" s="38">
        <v>0</v>
      </c>
      <c r="AW236" s="38">
        <v>0</v>
      </c>
      <c r="AX236" s="38">
        <v>5.6941551590720696</v>
      </c>
      <c r="AY236" s="38">
        <v>0</v>
      </c>
      <c r="AZ236" s="49">
        <v>9999</v>
      </c>
      <c r="BA236" s="38">
        <v>5.6941551590720696</v>
      </c>
      <c r="BB236" s="38">
        <v>0</v>
      </c>
      <c r="BC236" s="38">
        <v>0</v>
      </c>
      <c r="BD236" s="38">
        <v>0</v>
      </c>
      <c r="BE236" s="38">
        <v>5.6941551590720696</v>
      </c>
      <c r="BF236" s="38">
        <v>0</v>
      </c>
      <c r="BG236" s="38">
        <v>0</v>
      </c>
      <c r="BH236" s="49">
        <v>9999</v>
      </c>
      <c r="BI236" s="38">
        <v>0</v>
      </c>
      <c r="BJ236" s="38">
        <v>0</v>
      </c>
      <c r="BK236" s="38">
        <v>0</v>
      </c>
      <c r="BL236" s="38">
        <v>0</v>
      </c>
      <c r="BM236" s="38">
        <v>0</v>
      </c>
      <c r="BN236" s="38">
        <v>5.6941551590720696</v>
      </c>
      <c r="BO236" s="38">
        <v>0</v>
      </c>
      <c r="BP236" s="38">
        <v>0</v>
      </c>
      <c r="BQ236" s="38">
        <v>0</v>
      </c>
      <c r="BR236" s="38">
        <v>0</v>
      </c>
      <c r="BS236" s="38">
        <v>0</v>
      </c>
      <c r="BT236" s="38">
        <v>0</v>
      </c>
      <c r="BU236" s="38">
        <v>0</v>
      </c>
      <c r="BV236" s="38">
        <v>0</v>
      </c>
      <c r="BW236" s="38">
        <v>0</v>
      </c>
      <c r="BX236" s="38">
        <v>0</v>
      </c>
      <c r="BY236" s="38"/>
      <c r="BZ236" s="38">
        <v>0</v>
      </c>
      <c r="CA236" s="38">
        <v>0</v>
      </c>
      <c r="CB236" s="38">
        <v>5.6941551590720696</v>
      </c>
      <c r="CC236" s="38">
        <v>0</v>
      </c>
      <c r="CD236" s="49">
        <v>9999</v>
      </c>
      <c r="CE236" s="38">
        <v>0</v>
      </c>
      <c r="CF236" s="38">
        <v>0.10316048308575651</v>
      </c>
      <c r="CG236" s="38">
        <v>0</v>
      </c>
      <c r="CH236" s="38">
        <v>0.10316048308575651</v>
      </c>
      <c r="CI236" s="38">
        <v>5.1576858906384792E-3</v>
      </c>
      <c r="CJ236" s="38">
        <v>0</v>
      </c>
      <c r="CK236" s="38">
        <v>5.1576858906384792E-3</v>
      </c>
      <c r="CL236" s="38"/>
      <c r="CM236" s="38">
        <v>0</v>
      </c>
      <c r="CN236" s="38"/>
      <c r="CO236" s="38">
        <v>0</v>
      </c>
      <c r="CP236" s="38">
        <v>0</v>
      </c>
      <c r="CQ236" s="38">
        <v>0</v>
      </c>
      <c r="CR236" s="38">
        <v>0</v>
      </c>
      <c r="CS236" s="38">
        <v>0</v>
      </c>
      <c r="CT236" s="38">
        <v>0</v>
      </c>
      <c r="CU236" s="38">
        <v>0</v>
      </c>
      <c r="CV236" s="38">
        <v>9999</v>
      </c>
      <c r="CW236" s="49">
        <v>9999</v>
      </c>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row>
    <row r="237" spans="1:131">
      <c r="A237" s="27" t="s">
        <v>854</v>
      </c>
      <c r="B237" s="27" t="s">
        <v>217</v>
      </c>
      <c r="C237" s="38">
        <v>45</v>
      </c>
      <c r="D237" s="38">
        <v>25.175910559281874</v>
      </c>
      <c r="E237" s="38">
        <v>0</v>
      </c>
      <c r="F237" s="38">
        <v>0</v>
      </c>
      <c r="G237" s="38">
        <v>0</v>
      </c>
      <c r="H237" s="38">
        <v>0</v>
      </c>
      <c r="I237" s="38" t="s">
        <v>1361</v>
      </c>
      <c r="J237" s="38"/>
      <c r="K237" s="38"/>
      <c r="L237" s="38">
        <v>26.988575813181367</v>
      </c>
      <c r="M237" s="38">
        <v>0</v>
      </c>
      <c r="N237" s="38">
        <v>0</v>
      </c>
      <c r="O237" s="38">
        <v>0</v>
      </c>
      <c r="P237" s="38">
        <v>0</v>
      </c>
      <c r="Q237" s="38">
        <v>0</v>
      </c>
      <c r="R237" s="38">
        <v>0</v>
      </c>
      <c r="S237" s="38">
        <v>0</v>
      </c>
      <c r="T237" s="38">
        <v>0</v>
      </c>
      <c r="U237" s="38">
        <v>0</v>
      </c>
      <c r="V237" s="38" t="s">
        <v>1584</v>
      </c>
      <c r="W237" s="38" t="s">
        <v>1584</v>
      </c>
      <c r="X237" s="38" t="s">
        <v>1584</v>
      </c>
      <c r="Y237" s="38" t="s">
        <v>1584</v>
      </c>
      <c r="Z237" s="38">
        <v>0</v>
      </c>
      <c r="AA237" s="38">
        <v>0</v>
      </c>
      <c r="AB237" s="38">
        <v>0</v>
      </c>
      <c r="AC237" s="38">
        <v>0</v>
      </c>
      <c r="AD237" s="38">
        <v>0</v>
      </c>
      <c r="AE237" s="38">
        <v>0</v>
      </c>
      <c r="AF237" s="38">
        <v>0</v>
      </c>
      <c r="AG237" s="38">
        <v>0</v>
      </c>
      <c r="AH237" s="38">
        <v>0</v>
      </c>
      <c r="AI237" s="38">
        <v>0</v>
      </c>
      <c r="AJ237" s="38">
        <v>0</v>
      </c>
      <c r="AK237" s="38">
        <v>0</v>
      </c>
      <c r="AL237" s="38">
        <v>0</v>
      </c>
      <c r="AM237" s="38">
        <v>14.152982983850327</v>
      </c>
      <c r="AN237" s="38">
        <v>0</v>
      </c>
      <c r="AO237" s="38">
        <v>0</v>
      </c>
      <c r="AP237" s="38">
        <v>0</v>
      </c>
      <c r="AQ237" s="38">
        <v>14.152982983850327</v>
      </c>
      <c r="AR237" s="38">
        <v>0</v>
      </c>
      <c r="AS237" s="49">
        <v>9999</v>
      </c>
      <c r="AT237" s="38">
        <v>14.152982983850327</v>
      </c>
      <c r="AU237" s="38">
        <v>0</v>
      </c>
      <c r="AV237" s="38">
        <v>0</v>
      </c>
      <c r="AW237" s="38">
        <v>0</v>
      </c>
      <c r="AX237" s="38">
        <v>14.152982983850327</v>
      </c>
      <c r="AY237" s="38">
        <v>0</v>
      </c>
      <c r="AZ237" s="49">
        <v>9999</v>
      </c>
      <c r="BA237" s="38">
        <v>14.152982983850327</v>
      </c>
      <c r="BB237" s="38">
        <v>0</v>
      </c>
      <c r="BC237" s="38">
        <v>0</v>
      </c>
      <c r="BD237" s="38">
        <v>0</v>
      </c>
      <c r="BE237" s="38">
        <v>14.152982983850327</v>
      </c>
      <c r="BF237" s="38">
        <v>0</v>
      </c>
      <c r="BG237" s="38">
        <v>0</v>
      </c>
      <c r="BH237" s="49">
        <v>9999</v>
      </c>
      <c r="BI237" s="38">
        <v>0</v>
      </c>
      <c r="BJ237" s="38">
        <v>0</v>
      </c>
      <c r="BK237" s="38">
        <v>0</v>
      </c>
      <c r="BL237" s="38">
        <v>0</v>
      </c>
      <c r="BM237" s="38">
        <v>0</v>
      </c>
      <c r="BN237" s="38">
        <v>14.152982983850327</v>
      </c>
      <c r="BO237" s="38">
        <v>0</v>
      </c>
      <c r="BP237" s="38">
        <v>0</v>
      </c>
      <c r="BQ237" s="38">
        <v>0</v>
      </c>
      <c r="BR237" s="38">
        <v>0</v>
      </c>
      <c r="BS237" s="38">
        <v>0</v>
      </c>
      <c r="BT237" s="38">
        <v>0</v>
      </c>
      <c r="BU237" s="38">
        <v>0</v>
      </c>
      <c r="BV237" s="38">
        <v>0</v>
      </c>
      <c r="BW237" s="38">
        <v>0</v>
      </c>
      <c r="BX237" s="38">
        <v>0</v>
      </c>
      <c r="BY237" s="38"/>
      <c r="BZ237" s="38">
        <v>0</v>
      </c>
      <c r="CA237" s="38">
        <v>0</v>
      </c>
      <c r="CB237" s="38">
        <v>14.152982983850327</v>
      </c>
      <c r="CC237" s="38">
        <v>0</v>
      </c>
      <c r="CD237" s="49">
        <v>9999</v>
      </c>
      <c r="CE237" s="38">
        <v>0</v>
      </c>
      <c r="CF237" s="38">
        <v>0.25640828550172817</v>
      </c>
      <c r="CG237" s="38">
        <v>0</v>
      </c>
      <c r="CH237" s="38">
        <v>0.25640828550172817</v>
      </c>
      <c r="CI237" s="38">
        <v>1.2819573511261151E-2</v>
      </c>
      <c r="CJ237" s="38">
        <v>0</v>
      </c>
      <c r="CK237" s="38">
        <v>1.2819573511261151E-2</v>
      </c>
      <c r="CL237" s="38"/>
      <c r="CM237" s="38">
        <v>0</v>
      </c>
      <c r="CN237" s="38"/>
      <c r="CO237" s="38">
        <v>0</v>
      </c>
      <c r="CP237" s="38">
        <v>0</v>
      </c>
      <c r="CQ237" s="38">
        <v>0</v>
      </c>
      <c r="CR237" s="38">
        <v>0</v>
      </c>
      <c r="CS237" s="38">
        <v>0</v>
      </c>
      <c r="CT237" s="38">
        <v>0</v>
      </c>
      <c r="CU237" s="38">
        <v>0</v>
      </c>
      <c r="CV237" s="38">
        <v>9999</v>
      </c>
      <c r="CW237" s="49">
        <v>9999</v>
      </c>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row>
    <row r="238" spans="1:131">
      <c r="A238" s="27" t="s">
        <v>855</v>
      </c>
      <c r="B238" s="27" t="s">
        <v>218</v>
      </c>
      <c r="C238" s="38">
        <v>45</v>
      </c>
      <c r="D238" s="38">
        <v>-20.191751362951553</v>
      </c>
      <c r="E238" s="38">
        <v>0</v>
      </c>
      <c r="F238" s="38">
        <v>0</v>
      </c>
      <c r="G238" s="38">
        <v>0</v>
      </c>
      <c r="H238" s="38">
        <v>0</v>
      </c>
      <c r="I238" s="38" t="s">
        <v>1361</v>
      </c>
      <c r="J238" s="38"/>
      <c r="K238" s="38"/>
      <c r="L238" s="38">
        <v>-21.645557215368118</v>
      </c>
      <c r="M238" s="38">
        <v>0</v>
      </c>
      <c r="N238" s="38">
        <v>0</v>
      </c>
      <c r="O238" s="38">
        <v>0</v>
      </c>
      <c r="P238" s="38">
        <v>0</v>
      </c>
      <c r="Q238" s="38">
        <v>0</v>
      </c>
      <c r="R238" s="38">
        <v>0</v>
      </c>
      <c r="S238" s="38">
        <v>0</v>
      </c>
      <c r="T238" s="38">
        <v>0</v>
      </c>
      <c r="U238" s="38">
        <v>0</v>
      </c>
      <c r="V238" s="38" t="s">
        <v>1584</v>
      </c>
      <c r="W238" s="38" t="s">
        <v>1584</v>
      </c>
      <c r="X238" s="38" t="s">
        <v>1584</v>
      </c>
      <c r="Y238" s="38" t="s">
        <v>1584</v>
      </c>
      <c r="Z238" s="38">
        <v>0</v>
      </c>
      <c r="AA238" s="38">
        <v>0</v>
      </c>
      <c r="AB238" s="38">
        <v>0</v>
      </c>
      <c r="AC238" s="38">
        <v>0</v>
      </c>
      <c r="AD238" s="38">
        <v>0</v>
      </c>
      <c r="AE238" s="38">
        <v>0</v>
      </c>
      <c r="AF238" s="38">
        <v>0</v>
      </c>
      <c r="AG238" s="38">
        <v>0</v>
      </c>
      <c r="AH238" s="38">
        <v>0</v>
      </c>
      <c r="AI238" s="38">
        <v>0</v>
      </c>
      <c r="AJ238" s="38">
        <v>0</v>
      </c>
      <c r="AK238" s="38">
        <v>0</v>
      </c>
      <c r="AL238" s="38">
        <v>0</v>
      </c>
      <c r="AM238" s="38">
        <v>-11.351069617961862</v>
      </c>
      <c r="AN238" s="38">
        <v>0</v>
      </c>
      <c r="AO238" s="38">
        <v>0</v>
      </c>
      <c r="AP238" s="38">
        <v>0</v>
      </c>
      <c r="AQ238" s="38">
        <v>-11.351069617961862</v>
      </c>
      <c r="AR238" s="38">
        <v>0</v>
      </c>
      <c r="AS238" s="50">
        <v>0</v>
      </c>
      <c r="AT238" s="38">
        <v>-11.351069617961862</v>
      </c>
      <c r="AU238" s="38">
        <v>0</v>
      </c>
      <c r="AV238" s="38">
        <v>0</v>
      </c>
      <c r="AW238" s="38">
        <v>0</v>
      </c>
      <c r="AX238" s="38">
        <v>-11.351069617961862</v>
      </c>
      <c r="AY238" s="38">
        <v>0</v>
      </c>
      <c r="AZ238" s="50">
        <v>0</v>
      </c>
      <c r="BA238" s="38">
        <v>-11.351069617961862</v>
      </c>
      <c r="BB238" s="38">
        <v>0</v>
      </c>
      <c r="BC238" s="38">
        <v>0</v>
      </c>
      <c r="BD238" s="38">
        <v>0</v>
      </c>
      <c r="BE238" s="38">
        <v>-11.351069617961862</v>
      </c>
      <c r="BF238" s="38">
        <v>0</v>
      </c>
      <c r="BG238" s="38">
        <v>9999</v>
      </c>
      <c r="BH238" s="50">
        <v>0</v>
      </c>
      <c r="BI238" s="38">
        <v>9999</v>
      </c>
      <c r="BJ238" s="38">
        <v>9999</v>
      </c>
      <c r="BK238" s="38">
        <v>9999</v>
      </c>
      <c r="BL238" s="38">
        <v>9999</v>
      </c>
      <c r="BM238" s="38">
        <v>9999</v>
      </c>
      <c r="BN238" s="38">
        <v>-11.351069617961862</v>
      </c>
      <c r="BO238" s="38">
        <v>0</v>
      </c>
      <c r="BP238" s="38">
        <v>0</v>
      </c>
      <c r="BQ238" s="38">
        <v>0</v>
      </c>
      <c r="BR238" s="38">
        <v>0</v>
      </c>
      <c r="BS238" s="38">
        <v>0</v>
      </c>
      <c r="BT238" s="38">
        <v>0</v>
      </c>
      <c r="BU238" s="38">
        <v>0</v>
      </c>
      <c r="BV238" s="38">
        <v>0</v>
      </c>
      <c r="BW238" s="38">
        <v>0</v>
      </c>
      <c r="BX238" s="38">
        <v>0</v>
      </c>
      <c r="BY238" s="38"/>
      <c r="BZ238" s="38">
        <v>0</v>
      </c>
      <c r="CA238" s="38">
        <v>0</v>
      </c>
      <c r="CB238" s="38">
        <v>-11.351069617961862</v>
      </c>
      <c r="CC238" s="38">
        <v>0</v>
      </c>
      <c r="CD238" s="50">
        <v>0</v>
      </c>
      <c r="CE238" s="38">
        <v>9999</v>
      </c>
      <c r="CF238" s="38">
        <v>-0.20564627984598616</v>
      </c>
      <c r="CG238" s="38">
        <v>0</v>
      </c>
      <c r="CH238" s="38">
        <v>-0.20564627984598616</v>
      </c>
      <c r="CI238" s="38">
        <v>-1.0281639677299857E-2</v>
      </c>
      <c r="CJ238" s="38">
        <v>0</v>
      </c>
      <c r="CK238" s="38">
        <v>-1.0281639677299857E-2</v>
      </c>
      <c r="CL238" s="38"/>
      <c r="CM238" s="38">
        <v>0</v>
      </c>
      <c r="CN238" s="38"/>
      <c r="CO238" s="38">
        <v>0</v>
      </c>
      <c r="CP238" s="38">
        <v>0</v>
      </c>
      <c r="CQ238" s="38">
        <v>0</v>
      </c>
      <c r="CR238" s="38">
        <v>0</v>
      </c>
      <c r="CS238" s="38">
        <v>0</v>
      </c>
      <c r="CT238" s="38">
        <v>0</v>
      </c>
      <c r="CU238" s="38">
        <v>0</v>
      </c>
      <c r="CV238" s="38">
        <v>9999</v>
      </c>
      <c r="CW238" s="49">
        <v>9999</v>
      </c>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row>
    <row r="239" spans="1:131">
      <c r="A239" s="27" t="s">
        <v>856</v>
      </c>
      <c r="B239" s="27" t="s">
        <v>219</v>
      </c>
      <c r="C239" s="38">
        <v>45</v>
      </c>
      <c r="D239" s="38">
        <v>-22.42799887323461</v>
      </c>
      <c r="E239" s="38">
        <v>0</v>
      </c>
      <c r="F239" s="38">
        <v>0</v>
      </c>
      <c r="G239" s="38">
        <v>0</v>
      </c>
      <c r="H239" s="38">
        <v>0</v>
      </c>
      <c r="I239" s="38" t="s">
        <v>1361</v>
      </c>
      <c r="J239" s="38"/>
      <c r="K239" s="38"/>
      <c r="L239" s="38">
        <v>-24.042814519178382</v>
      </c>
      <c r="M239" s="38">
        <v>0</v>
      </c>
      <c r="N239" s="38">
        <v>0</v>
      </c>
      <c r="O239" s="38">
        <v>0</v>
      </c>
      <c r="P239" s="38">
        <v>0</v>
      </c>
      <c r="Q239" s="38">
        <v>0</v>
      </c>
      <c r="R239" s="38">
        <v>0</v>
      </c>
      <c r="S239" s="38">
        <v>0</v>
      </c>
      <c r="T239" s="38">
        <v>0</v>
      </c>
      <c r="U239" s="38">
        <v>0</v>
      </c>
      <c r="V239" s="38" t="s">
        <v>1584</v>
      </c>
      <c r="W239" s="38" t="s">
        <v>1584</v>
      </c>
      <c r="X239" s="38" t="s">
        <v>1584</v>
      </c>
      <c r="Y239" s="38" t="s">
        <v>1584</v>
      </c>
      <c r="Z239" s="38">
        <v>0</v>
      </c>
      <c r="AA239" s="38">
        <v>0</v>
      </c>
      <c r="AB239" s="38">
        <v>0</v>
      </c>
      <c r="AC239" s="38">
        <v>0</v>
      </c>
      <c r="AD239" s="38">
        <v>0</v>
      </c>
      <c r="AE239" s="38">
        <v>0</v>
      </c>
      <c r="AF239" s="38">
        <v>0</v>
      </c>
      <c r="AG239" s="38">
        <v>0</v>
      </c>
      <c r="AH239" s="38">
        <v>0</v>
      </c>
      <c r="AI239" s="38">
        <v>0</v>
      </c>
      <c r="AJ239" s="38">
        <v>0</v>
      </c>
      <c r="AK239" s="38">
        <v>0</v>
      </c>
      <c r="AL239" s="38">
        <v>0</v>
      </c>
      <c r="AM239" s="38">
        <v>-12.608206788281434</v>
      </c>
      <c r="AN239" s="38">
        <v>0</v>
      </c>
      <c r="AO239" s="38">
        <v>0</v>
      </c>
      <c r="AP239" s="38">
        <v>0</v>
      </c>
      <c r="AQ239" s="38">
        <v>-12.608206788281434</v>
      </c>
      <c r="AR239" s="38">
        <v>0</v>
      </c>
      <c r="AS239" s="50">
        <v>0</v>
      </c>
      <c r="AT239" s="38">
        <v>-12.608206788281434</v>
      </c>
      <c r="AU239" s="38">
        <v>0</v>
      </c>
      <c r="AV239" s="38">
        <v>0</v>
      </c>
      <c r="AW239" s="38">
        <v>0</v>
      </c>
      <c r="AX239" s="38">
        <v>-12.608206788281434</v>
      </c>
      <c r="AY239" s="38">
        <v>0</v>
      </c>
      <c r="AZ239" s="50">
        <v>0</v>
      </c>
      <c r="BA239" s="38">
        <v>-12.608206788281434</v>
      </c>
      <c r="BB239" s="38">
        <v>0</v>
      </c>
      <c r="BC239" s="38">
        <v>0</v>
      </c>
      <c r="BD239" s="38">
        <v>0</v>
      </c>
      <c r="BE239" s="38">
        <v>-12.608206788281434</v>
      </c>
      <c r="BF239" s="38">
        <v>0</v>
      </c>
      <c r="BG239" s="38">
        <v>9999</v>
      </c>
      <c r="BH239" s="50">
        <v>0</v>
      </c>
      <c r="BI239" s="38">
        <v>9999</v>
      </c>
      <c r="BJ239" s="38">
        <v>9999</v>
      </c>
      <c r="BK239" s="38">
        <v>9999</v>
      </c>
      <c r="BL239" s="38">
        <v>9999</v>
      </c>
      <c r="BM239" s="38">
        <v>9999</v>
      </c>
      <c r="BN239" s="38">
        <v>-12.608206788281434</v>
      </c>
      <c r="BO239" s="38">
        <v>0</v>
      </c>
      <c r="BP239" s="38">
        <v>0</v>
      </c>
      <c r="BQ239" s="38">
        <v>0</v>
      </c>
      <c r="BR239" s="38">
        <v>0</v>
      </c>
      <c r="BS239" s="38">
        <v>0</v>
      </c>
      <c r="BT239" s="38">
        <v>0</v>
      </c>
      <c r="BU239" s="38">
        <v>0</v>
      </c>
      <c r="BV239" s="38">
        <v>0</v>
      </c>
      <c r="BW239" s="38">
        <v>0</v>
      </c>
      <c r="BX239" s="38">
        <v>0</v>
      </c>
      <c r="BY239" s="38"/>
      <c r="BZ239" s="38">
        <v>0</v>
      </c>
      <c r="CA239" s="38">
        <v>0</v>
      </c>
      <c r="CB239" s="38">
        <v>-12.608206788281434</v>
      </c>
      <c r="CC239" s="38">
        <v>0</v>
      </c>
      <c r="CD239" s="50">
        <v>0</v>
      </c>
      <c r="CE239" s="38">
        <v>9999</v>
      </c>
      <c r="CF239" s="38">
        <v>-0.2284217178472859</v>
      </c>
      <c r="CG239" s="38">
        <v>0</v>
      </c>
      <c r="CH239" s="38">
        <v>-0.2284217178472859</v>
      </c>
      <c r="CI239" s="38">
        <v>-1.1420336896609734E-2</v>
      </c>
      <c r="CJ239" s="38">
        <v>0</v>
      </c>
      <c r="CK239" s="38">
        <v>-1.1420336896609734E-2</v>
      </c>
      <c r="CL239" s="38"/>
      <c r="CM239" s="38">
        <v>0</v>
      </c>
      <c r="CN239" s="38"/>
      <c r="CO239" s="38">
        <v>0</v>
      </c>
      <c r="CP239" s="38">
        <v>0</v>
      </c>
      <c r="CQ239" s="38">
        <v>0</v>
      </c>
      <c r="CR239" s="38">
        <v>0</v>
      </c>
      <c r="CS239" s="38">
        <v>0</v>
      </c>
      <c r="CT239" s="38">
        <v>0</v>
      </c>
      <c r="CU239" s="38">
        <v>0</v>
      </c>
      <c r="CV239" s="38">
        <v>9999</v>
      </c>
      <c r="CW239" s="49">
        <v>9999</v>
      </c>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row>
    <row r="240" spans="1:131">
      <c r="A240" s="27" t="s">
        <v>857</v>
      </c>
      <c r="B240" s="27" t="s">
        <v>220</v>
      </c>
      <c r="C240" s="38">
        <v>45</v>
      </c>
      <c r="D240" s="38">
        <v>-23.889936030509713</v>
      </c>
      <c r="E240" s="38">
        <v>0</v>
      </c>
      <c r="F240" s="38">
        <v>0</v>
      </c>
      <c r="G240" s="38">
        <v>0</v>
      </c>
      <c r="H240" s="38">
        <v>0</v>
      </c>
      <c r="I240" s="38" t="s">
        <v>1361</v>
      </c>
      <c r="J240" s="38"/>
      <c r="K240" s="38"/>
      <c r="L240" s="38">
        <v>-25.610011133986795</v>
      </c>
      <c r="M240" s="38">
        <v>0</v>
      </c>
      <c r="N240" s="38">
        <v>0</v>
      </c>
      <c r="O240" s="38">
        <v>0</v>
      </c>
      <c r="P240" s="38">
        <v>0</v>
      </c>
      <c r="Q240" s="38">
        <v>0</v>
      </c>
      <c r="R240" s="38">
        <v>0</v>
      </c>
      <c r="S240" s="38">
        <v>0</v>
      </c>
      <c r="T240" s="38">
        <v>0</v>
      </c>
      <c r="U240" s="38">
        <v>0</v>
      </c>
      <c r="V240" s="38" t="s">
        <v>1584</v>
      </c>
      <c r="W240" s="38" t="s">
        <v>1584</v>
      </c>
      <c r="X240" s="38" t="s">
        <v>1584</v>
      </c>
      <c r="Y240" s="38" t="s">
        <v>1584</v>
      </c>
      <c r="Z240" s="38">
        <v>0</v>
      </c>
      <c r="AA240" s="38">
        <v>0</v>
      </c>
      <c r="AB240" s="38">
        <v>0</v>
      </c>
      <c r="AC240" s="38">
        <v>0</v>
      </c>
      <c r="AD240" s="38">
        <v>0</v>
      </c>
      <c r="AE240" s="38">
        <v>0</v>
      </c>
      <c r="AF240" s="38">
        <v>0</v>
      </c>
      <c r="AG240" s="38">
        <v>0</v>
      </c>
      <c r="AH240" s="38">
        <v>0</v>
      </c>
      <c r="AI240" s="38">
        <v>0</v>
      </c>
      <c r="AJ240" s="38">
        <v>0</v>
      </c>
      <c r="AK240" s="38">
        <v>0</v>
      </c>
      <c r="AL240" s="38">
        <v>0</v>
      </c>
      <c r="AM240" s="38">
        <v>-13.430054787052006</v>
      </c>
      <c r="AN240" s="38">
        <v>0</v>
      </c>
      <c r="AO240" s="38">
        <v>0</v>
      </c>
      <c r="AP240" s="38">
        <v>0</v>
      </c>
      <c r="AQ240" s="38">
        <v>-13.430054787052006</v>
      </c>
      <c r="AR240" s="38">
        <v>0</v>
      </c>
      <c r="AS240" s="50">
        <v>0</v>
      </c>
      <c r="AT240" s="38">
        <v>-13.430054787052006</v>
      </c>
      <c r="AU240" s="38">
        <v>0</v>
      </c>
      <c r="AV240" s="38">
        <v>0</v>
      </c>
      <c r="AW240" s="38">
        <v>0</v>
      </c>
      <c r="AX240" s="38">
        <v>-13.430054787052006</v>
      </c>
      <c r="AY240" s="38">
        <v>0</v>
      </c>
      <c r="AZ240" s="50">
        <v>0</v>
      </c>
      <c r="BA240" s="38">
        <v>-13.430054787052006</v>
      </c>
      <c r="BB240" s="38">
        <v>0</v>
      </c>
      <c r="BC240" s="38">
        <v>0</v>
      </c>
      <c r="BD240" s="38">
        <v>0</v>
      </c>
      <c r="BE240" s="38">
        <v>-13.430054787052006</v>
      </c>
      <c r="BF240" s="38">
        <v>0</v>
      </c>
      <c r="BG240" s="38">
        <v>9999</v>
      </c>
      <c r="BH240" s="50">
        <v>0</v>
      </c>
      <c r="BI240" s="38">
        <v>9999</v>
      </c>
      <c r="BJ240" s="38">
        <v>9999</v>
      </c>
      <c r="BK240" s="38">
        <v>9999</v>
      </c>
      <c r="BL240" s="38">
        <v>9999</v>
      </c>
      <c r="BM240" s="38">
        <v>9999</v>
      </c>
      <c r="BN240" s="38">
        <v>-13.430054787052006</v>
      </c>
      <c r="BO240" s="38">
        <v>0</v>
      </c>
      <c r="BP240" s="38">
        <v>0</v>
      </c>
      <c r="BQ240" s="38">
        <v>0</v>
      </c>
      <c r="BR240" s="38">
        <v>0</v>
      </c>
      <c r="BS240" s="38">
        <v>0</v>
      </c>
      <c r="BT240" s="38">
        <v>0</v>
      </c>
      <c r="BU240" s="38">
        <v>0</v>
      </c>
      <c r="BV240" s="38">
        <v>0</v>
      </c>
      <c r="BW240" s="38">
        <v>0</v>
      </c>
      <c r="BX240" s="38">
        <v>0</v>
      </c>
      <c r="BY240" s="38"/>
      <c r="BZ240" s="38">
        <v>0</v>
      </c>
      <c r="CA240" s="38">
        <v>0</v>
      </c>
      <c r="CB240" s="38">
        <v>-13.430054787052006</v>
      </c>
      <c r="CC240" s="38">
        <v>0</v>
      </c>
      <c r="CD240" s="50">
        <v>0</v>
      </c>
      <c r="CE240" s="38">
        <v>9999</v>
      </c>
      <c r="CF240" s="38">
        <v>-0.24331106213239181</v>
      </c>
      <c r="CG240" s="38">
        <v>0</v>
      </c>
      <c r="CH240" s="38">
        <v>-0.24331106213239181</v>
      </c>
      <c r="CI240" s="38">
        <v>-1.2164755288643731E-2</v>
      </c>
      <c r="CJ240" s="38">
        <v>0</v>
      </c>
      <c r="CK240" s="38">
        <v>-1.2164755288643731E-2</v>
      </c>
      <c r="CL240" s="38"/>
      <c r="CM240" s="38">
        <v>0</v>
      </c>
      <c r="CN240" s="38"/>
      <c r="CO240" s="38">
        <v>0</v>
      </c>
      <c r="CP240" s="38">
        <v>0</v>
      </c>
      <c r="CQ240" s="38">
        <v>0</v>
      </c>
      <c r="CR240" s="38">
        <v>0</v>
      </c>
      <c r="CS240" s="38">
        <v>0</v>
      </c>
      <c r="CT240" s="38">
        <v>0</v>
      </c>
      <c r="CU240" s="38">
        <v>0</v>
      </c>
      <c r="CV240" s="38">
        <v>9999</v>
      </c>
      <c r="CW240" s="49">
        <v>9999</v>
      </c>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row>
    <row r="241" spans="1:131">
      <c r="A241" s="27" t="s">
        <v>858</v>
      </c>
      <c r="B241" s="27" t="s">
        <v>221</v>
      </c>
      <c r="C241" s="38">
        <v>45</v>
      </c>
      <c r="D241" s="38">
        <v>44.79437559091857</v>
      </c>
      <c r="E241" s="38">
        <v>0</v>
      </c>
      <c r="F241" s="38">
        <v>0</v>
      </c>
      <c r="G241" s="38">
        <v>0</v>
      </c>
      <c r="H241" s="38">
        <v>0</v>
      </c>
      <c r="I241" s="38" t="s">
        <v>1361</v>
      </c>
      <c r="J241" s="38"/>
      <c r="K241" s="38"/>
      <c r="L241" s="38">
        <v>48.019570088356353</v>
      </c>
      <c r="M241" s="38">
        <v>0</v>
      </c>
      <c r="N241" s="38">
        <v>0</v>
      </c>
      <c r="O241" s="38">
        <v>0</v>
      </c>
      <c r="P241" s="38">
        <v>0</v>
      </c>
      <c r="Q241" s="38">
        <v>0</v>
      </c>
      <c r="R241" s="38">
        <v>0</v>
      </c>
      <c r="S241" s="38">
        <v>0</v>
      </c>
      <c r="T241" s="38">
        <v>0</v>
      </c>
      <c r="U241" s="38">
        <v>0</v>
      </c>
      <c r="V241" s="38" t="s">
        <v>1584</v>
      </c>
      <c r="W241" s="38" t="s">
        <v>1584</v>
      </c>
      <c r="X241" s="38" t="s">
        <v>1584</v>
      </c>
      <c r="Y241" s="38" t="s">
        <v>1584</v>
      </c>
      <c r="Z241" s="38">
        <v>0</v>
      </c>
      <c r="AA241" s="38">
        <v>0</v>
      </c>
      <c r="AB241" s="38">
        <v>0</v>
      </c>
      <c r="AC241" s="38">
        <v>0</v>
      </c>
      <c r="AD241" s="38">
        <v>0</v>
      </c>
      <c r="AE241" s="38">
        <v>0</v>
      </c>
      <c r="AF241" s="38">
        <v>0</v>
      </c>
      <c r="AG241" s="38">
        <v>0</v>
      </c>
      <c r="AH241" s="38">
        <v>0</v>
      </c>
      <c r="AI241" s="38">
        <v>0</v>
      </c>
      <c r="AJ241" s="38">
        <v>0</v>
      </c>
      <c r="AK241" s="38">
        <v>0</v>
      </c>
      <c r="AL241" s="38">
        <v>0</v>
      </c>
      <c r="AM241" s="38">
        <v>25.181771837711612</v>
      </c>
      <c r="AN241" s="38">
        <v>0</v>
      </c>
      <c r="AO241" s="38">
        <v>0</v>
      </c>
      <c r="AP241" s="38">
        <v>0</v>
      </c>
      <c r="AQ241" s="38">
        <v>25.181771837711612</v>
      </c>
      <c r="AR241" s="38">
        <v>0</v>
      </c>
      <c r="AS241" s="49">
        <v>9999</v>
      </c>
      <c r="AT241" s="38">
        <v>25.181771837711612</v>
      </c>
      <c r="AU241" s="38">
        <v>0</v>
      </c>
      <c r="AV241" s="38">
        <v>0</v>
      </c>
      <c r="AW241" s="38">
        <v>0</v>
      </c>
      <c r="AX241" s="38">
        <v>25.181771837711612</v>
      </c>
      <c r="AY241" s="38">
        <v>0</v>
      </c>
      <c r="AZ241" s="49">
        <v>9999</v>
      </c>
      <c r="BA241" s="38">
        <v>25.181771837711612</v>
      </c>
      <c r="BB241" s="38">
        <v>0</v>
      </c>
      <c r="BC241" s="38">
        <v>0</v>
      </c>
      <c r="BD241" s="38">
        <v>0</v>
      </c>
      <c r="BE241" s="38">
        <v>25.181771837711612</v>
      </c>
      <c r="BF241" s="38">
        <v>0</v>
      </c>
      <c r="BG241" s="38">
        <v>0</v>
      </c>
      <c r="BH241" s="49">
        <v>9999</v>
      </c>
      <c r="BI241" s="38">
        <v>0</v>
      </c>
      <c r="BJ241" s="38">
        <v>0</v>
      </c>
      <c r="BK241" s="38">
        <v>0</v>
      </c>
      <c r="BL241" s="38">
        <v>0</v>
      </c>
      <c r="BM241" s="38">
        <v>0</v>
      </c>
      <c r="BN241" s="38">
        <v>25.181771837711612</v>
      </c>
      <c r="BO241" s="38">
        <v>0</v>
      </c>
      <c r="BP241" s="38">
        <v>0</v>
      </c>
      <c r="BQ241" s="38">
        <v>0</v>
      </c>
      <c r="BR241" s="38">
        <v>0</v>
      </c>
      <c r="BS241" s="38">
        <v>0</v>
      </c>
      <c r="BT241" s="38">
        <v>0</v>
      </c>
      <c r="BU241" s="38">
        <v>0</v>
      </c>
      <c r="BV241" s="38">
        <v>0</v>
      </c>
      <c r="BW241" s="38">
        <v>0</v>
      </c>
      <c r="BX241" s="38">
        <v>0</v>
      </c>
      <c r="BY241" s="38"/>
      <c r="BZ241" s="38">
        <v>0</v>
      </c>
      <c r="CA241" s="38">
        <v>0</v>
      </c>
      <c r="CB241" s="38">
        <v>25.181771837711612</v>
      </c>
      <c r="CC241" s="38">
        <v>0</v>
      </c>
      <c r="CD241" s="49">
        <v>9999</v>
      </c>
      <c r="CE241" s="38">
        <v>0</v>
      </c>
      <c r="CF241" s="38">
        <v>0.45621583451143022</v>
      </c>
      <c r="CG241" s="38">
        <v>0</v>
      </c>
      <c r="CH241" s="38">
        <v>0.45621583451143022</v>
      </c>
      <c r="CI241" s="38">
        <v>2.2809295791969272E-2</v>
      </c>
      <c r="CJ241" s="38">
        <v>0</v>
      </c>
      <c r="CK241" s="38">
        <v>2.2809295791969272E-2</v>
      </c>
      <c r="CL241" s="38"/>
      <c r="CM241" s="38">
        <v>0</v>
      </c>
      <c r="CN241" s="38"/>
      <c r="CO241" s="38">
        <v>0</v>
      </c>
      <c r="CP241" s="38">
        <v>0</v>
      </c>
      <c r="CQ241" s="38">
        <v>0</v>
      </c>
      <c r="CR241" s="38">
        <v>0</v>
      </c>
      <c r="CS241" s="38">
        <v>0</v>
      </c>
      <c r="CT241" s="38">
        <v>0</v>
      </c>
      <c r="CU241" s="38">
        <v>0</v>
      </c>
      <c r="CV241" s="38">
        <v>9999</v>
      </c>
      <c r="CW241" s="49">
        <v>9999</v>
      </c>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row>
    <row r="242" spans="1:131">
      <c r="A242" s="27" t="s">
        <v>859</v>
      </c>
      <c r="B242" s="27" t="s">
        <v>222</v>
      </c>
      <c r="C242" s="38">
        <v>45</v>
      </c>
      <c r="D242" s="38">
        <v>55.41066356235681</v>
      </c>
      <c r="E242" s="38">
        <v>0</v>
      </c>
      <c r="F242" s="38">
        <v>0</v>
      </c>
      <c r="G242" s="38">
        <v>0</v>
      </c>
      <c r="H242" s="38">
        <v>0</v>
      </c>
      <c r="I242" s="38" t="s">
        <v>1361</v>
      </c>
      <c r="J242" s="38"/>
      <c r="K242" s="38"/>
      <c r="L242" s="38">
        <v>59.400230664547209</v>
      </c>
      <c r="M242" s="38">
        <v>0</v>
      </c>
      <c r="N242" s="38">
        <v>0</v>
      </c>
      <c r="O242" s="38">
        <v>0</v>
      </c>
      <c r="P242" s="38">
        <v>0</v>
      </c>
      <c r="Q242" s="38">
        <v>0</v>
      </c>
      <c r="R242" s="38">
        <v>0</v>
      </c>
      <c r="S242" s="38">
        <v>0</v>
      </c>
      <c r="T242" s="38">
        <v>0</v>
      </c>
      <c r="U242" s="38">
        <v>0</v>
      </c>
      <c r="V242" s="38" t="s">
        <v>1584</v>
      </c>
      <c r="W242" s="38" t="s">
        <v>1584</v>
      </c>
      <c r="X242" s="38" t="s">
        <v>1584</v>
      </c>
      <c r="Y242" s="38" t="s">
        <v>1584</v>
      </c>
      <c r="Z242" s="38">
        <v>0</v>
      </c>
      <c r="AA242" s="38">
        <v>0</v>
      </c>
      <c r="AB242" s="38">
        <v>0</v>
      </c>
      <c r="AC242" s="38">
        <v>0</v>
      </c>
      <c r="AD242" s="38">
        <v>0</v>
      </c>
      <c r="AE242" s="38">
        <v>0</v>
      </c>
      <c r="AF242" s="38">
        <v>0</v>
      </c>
      <c r="AG242" s="38">
        <v>0</v>
      </c>
      <c r="AH242" s="38">
        <v>0</v>
      </c>
      <c r="AI242" s="38">
        <v>0</v>
      </c>
      <c r="AJ242" s="38">
        <v>0</v>
      </c>
      <c r="AK242" s="38">
        <v>0</v>
      </c>
      <c r="AL242" s="38">
        <v>0</v>
      </c>
      <c r="AM242" s="38">
        <v>31.1498635441713</v>
      </c>
      <c r="AN242" s="38">
        <v>0</v>
      </c>
      <c r="AO242" s="38">
        <v>0</v>
      </c>
      <c r="AP242" s="38">
        <v>0</v>
      </c>
      <c r="AQ242" s="38">
        <v>31.1498635441713</v>
      </c>
      <c r="AR242" s="38">
        <v>0</v>
      </c>
      <c r="AS242" s="49">
        <v>9999</v>
      </c>
      <c r="AT242" s="38">
        <v>31.1498635441713</v>
      </c>
      <c r="AU242" s="38">
        <v>0</v>
      </c>
      <c r="AV242" s="38">
        <v>0</v>
      </c>
      <c r="AW242" s="38">
        <v>0</v>
      </c>
      <c r="AX242" s="38">
        <v>31.1498635441713</v>
      </c>
      <c r="AY242" s="38">
        <v>0</v>
      </c>
      <c r="AZ242" s="49">
        <v>9999</v>
      </c>
      <c r="BA242" s="38">
        <v>31.1498635441713</v>
      </c>
      <c r="BB242" s="38">
        <v>0</v>
      </c>
      <c r="BC242" s="38">
        <v>0</v>
      </c>
      <c r="BD242" s="38">
        <v>0</v>
      </c>
      <c r="BE242" s="38">
        <v>31.1498635441713</v>
      </c>
      <c r="BF242" s="38">
        <v>0</v>
      </c>
      <c r="BG242" s="38">
        <v>0</v>
      </c>
      <c r="BH242" s="49">
        <v>9999</v>
      </c>
      <c r="BI242" s="38">
        <v>0</v>
      </c>
      <c r="BJ242" s="38">
        <v>0</v>
      </c>
      <c r="BK242" s="38">
        <v>0</v>
      </c>
      <c r="BL242" s="38">
        <v>0</v>
      </c>
      <c r="BM242" s="38">
        <v>0</v>
      </c>
      <c r="BN242" s="38">
        <v>31.1498635441713</v>
      </c>
      <c r="BO242" s="38">
        <v>0</v>
      </c>
      <c r="BP242" s="38">
        <v>0</v>
      </c>
      <c r="BQ242" s="38">
        <v>0</v>
      </c>
      <c r="BR242" s="38">
        <v>0</v>
      </c>
      <c r="BS242" s="38">
        <v>0</v>
      </c>
      <c r="BT242" s="38">
        <v>0</v>
      </c>
      <c r="BU242" s="38">
        <v>0</v>
      </c>
      <c r="BV242" s="38">
        <v>0</v>
      </c>
      <c r="BW242" s="38">
        <v>0</v>
      </c>
      <c r="BX242" s="38">
        <v>0</v>
      </c>
      <c r="BY242" s="38"/>
      <c r="BZ242" s="38">
        <v>0</v>
      </c>
      <c r="CA242" s="38">
        <v>0</v>
      </c>
      <c r="CB242" s="38">
        <v>31.1498635441713</v>
      </c>
      <c r="CC242" s="38">
        <v>0</v>
      </c>
      <c r="CD242" s="49">
        <v>9999</v>
      </c>
      <c r="CE242" s="38">
        <v>0</v>
      </c>
      <c r="CF242" s="38">
        <v>0.5643392007245146</v>
      </c>
      <c r="CG242" s="38">
        <v>0</v>
      </c>
      <c r="CH242" s="38">
        <v>0.5643392007245146</v>
      </c>
      <c r="CI242" s="38">
        <v>2.8215109565659927E-2</v>
      </c>
      <c r="CJ242" s="38">
        <v>0</v>
      </c>
      <c r="CK242" s="38">
        <v>2.8215109565659927E-2</v>
      </c>
      <c r="CL242" s="38"/>
      <c r="CM242" s="38">
        <v>0</v>
      </c>
      <c r="CN242" s="38"/>
      <c r="CO242" s="38">
        <v>0</v>
      </c>
      <c r="CP242" s="38">
        <v>0</v>
      </c>
      <c r="CQ242" s="38">
        <v>0</v>
      </c>
      <c r="CR242" s="38">
        <v>0</v>
      </c>
      <c r="CS242" s="38">
        <v>0</v>
      </c>
      <c r="CT242" s="38">
        <v>0</v>
      </c>
      <c r="CU242" s="38">
        <v>0</v>
      </c>
      <c r="CV242" s="38">
        <v>9999</v>
      </c>
      <c r="CW242" s="49">
        <v>9999</v>
      </c>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row>
    <row r="243" spans="1:131">
      <c r="A243" s="27" t="s">
        <v>860</v>
      </c>
      <c r="B243" s="27" t="s">
        <v>224</v>
      </c>
      <c r="C243" s="38">
        <v>45</v>
      </c>
      <c r="D243" s="38">
        <v>48.26588532536595</v>
      </c>
      <c r="E243" s="38">
        <v>0</v>
      </c>
      <c r="F243" s="38">
        <v>0</v>
      </c>
      <c r="G243" s="38">
        <v>0</v>
      </c>
      <c r="H243" s="38">
        <v>0</v>
      </c>
      <c r="I243" s="38" t="s">
        <v>1361</v>
      </c>
      <c r="J243" s="38"/>
      <c r="K243" s="38"/>
      <c r="L243" s="38">
        <v>51.741028481438711</v>
      </c>
      <c r="M243" s="38">
        <v>0</v>
      </c>
      <c r="N243" s="38">
        <v>0</v>
      </c>
      <c r="O243" s="38">
        <v>0</v>
      </c>
      <c r="P243" s="38">
        <v>0</v>
      </c>
      <c r="Q243" s="38">
        <v>0</v>
      </c>
      <c r="R243" s="38">
        <v>0</v>
      </c>
      <c r="S243" s="38">
        <v>0</v>
      </c>
      <c r="T243" s="38">
        <v>0</v>
      </c>
      <c r="U243" s="38">
        <v>0</v>
      </c>
      <c r="V243" s="38" t="s">
        <v>1584</v>
      </c>
      <c r="W243" s="38" t="s">
        <v>1584</v>
      </c>
      <c r="X243" s="38" t="s">
        <v>1584</v>
      </c>
      <c r="Y243" s="38" t="s">
        <v>1584</v>
      </c>
      <c r="Z243" s="38">
        <v>0</v>
      </c>
      <c r="AA243" s="38">
        <v>0</v>
      </c>
      <c r="AB243" s="38">
        <v>0</v>
      </c>
      <c r="AC243" s="38">
        <v>0</v>
      </c>
      <c r="AD243" s="38">
        <v>0</v>
      </c>
      <c r="AE243" s="38">
        <v>0</v>
      </c>
      <c r="AF243" s="38">
        <v>0</v>
      </c>
      <c r="AG243" s="38">
        <v>0</v>
      </c>
      <c r="AH243" s="38">
        <v>0</v>
      </c>
      <c r="AI243" s="38">
        <v>0</v>
      </c>
      <c r="AJ243" s="38">
        <v>0</v>
      </c>
      <c r="AK243" s="38">
        <v>0</v>
      </c>
      <c r="AL243" s="38">
        <v>0</v>
      </c>
      <c r="AM243" s="38">
        <v>27.133328588130365</v>
      </c>
      <c r="AN243" s="38">
        <v>0</v>
      </c>
      <c r="AO243" s="38">
        <v>0</v>
      </c>
      <c r="AP243" s="38">
        <v>0</v>
      </c>
      <c r="AQ243" s="38">
        <v>27.133328588130365</v>
      </c>
      <c r="AR243" s="38">
        <v>0</v>
      </c>
      <c r="AS243" s="49">
        <v>9999</v>
      </c>
      <c r="AT243" s="38">
        <v>27.133328588130365</v>
      </c>
      <c r="AU243" s="38">
        <v>0</v>
      </c>
      <c r="AV243" s="38">
        <v>0</v>
      </c>
      <c r="AW243" s="38">
        <v>0</v>
      </c>
      <c r="AX243" s="38">
        <v>27.133328588130365</v>
      </c>
      <c r="AY243" s="38">
        <v>0</v>
      </c>
      <c r="AZ243" s="49">
        <v>9999</v>
      </c>
      <c r="BA243" s="38">
        <v>27.133328588130365</v>
      </c>
      <c r="BB243" s="38">
        <v>0</v>
      </c>
      <c r="BC243" s="38">
        <v>0</v>
      </c>
      <c r="BD243" s="38">
        <v>0</v>
      </c>
      <c r="BE243" s="38">
        <v>27.133328588130365</v>
      </c>
      <c r="BF243" s="38">
        <v>0</v>
      </c>
      <c r="BG243" s="38">
        <v>0</v>
      </c>
      <c r="BH243" s="49">
        <v>9999</v>
      </c>
      <c r="BI243" s="38">
        <v>0</v>
      </c>
      <c r="BJ243" s="38">
        <v>0</v>
      </c>
      <c r="BK243" s="38">
        <v>0</v>
      </c>
      <c r="BL243" s="38">
        <v>0</v>
      </c>
      <c r="BM243" s="38">
        <v>0</v>
      </c>
      <c r="BN243" s="38">
        <v>27.133328588130365</v>
      </c>
      <c r="BO243" s="38">
        <v>0</v>
      </c>
      <c r="BP243" s="38">
        <v>0</v>
      </c>
      <c r="BQ243" s="38">
        <v>0</v>
      </c>
      <c r="BR243" s="38">
        <v>0</v>
      </c>
      <c r="BS243" s="38">
        <v>0</v>
      </c>
      <c r="BT243" s="38">
        <v>0</v>
      </c>
      <c r="BU243" s="38">
        <v>0</v>
      </c>
      <c r="BV243" s="38">
        <v>0</v>
      </c>
      <c r="BW243" s="38">
        <v>0</v>
      </c>
      <c r="BX243" s="38">
        <v>0</v>
      </c>
      <c r="BY243" s="38"/>
      <c r="BZ243" s="38">
        <v>0</v>
      </c>
      <c r="CA243" s="38">
        <v>0</v>
      </c>
      <c r="CB243" s="38">
        <v>27.133328588130365</v>
      </c>
      <c r="CC243" s="38">
        <v>0</v>
      </c>
      <c r="CD243" s="49">
        <v>9999</v>
      </c>
      <c r="CE243" s="38">
        <v>0</v>
      </c>
      <c r="CF243" s="38">
        <v>0.4915720079064787</v>
      </c>
      <c r="CG243" s="38">
        <v>0</v>
      </c>
      <c r="CH243" s="38">
        <v>0.4915720079064787</v>
      </c>
      <c r="CI243" s="38">
        <v>2.4576988528683383E-2</v>
      </c>
      <c r="CJ243" s="38">
        <v>0</v>
      </c>
      <c r="CK243" s="38">
        <v>2.4576988528683383E-2</v>
      </c>
      <c r="CL243" s="38"/>
      <c r="CM243" s="38">
        <v>0</v>
      </c>
      <c r="CN243" s="38"/>
      <c r="CO243" s="38">
        <v>0</v>
      </c>
      <c r="CP243" s="38">
        <v>0</v>
      </c>
      <c r="CQ243" s="38">
        <v>0</v>
      </c>
      <c r="CR243" s="38">
        <v>0</v>
      </c>
      <c r="CS243" s="38">
        <v>0</v>
      </c>
      <c r="CT243" s="38">
        <v>0</v>
      </c>
      <c r="CU243" s="38">
        <v>0</v>
      </c>
      <c r="CV243" s="38">
        <v>9999</v>
      </c>
      <c r="CW243" s="49">
        <v>9999</v>
      </c>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row>
    <row r="244" spans="1:131">
      <c r="A244" s="27" t="s">
        <v>861</v>
      </c>
      <c r="B244" s="27" t="s">
        <v>225</v>
      </c>
      <c r="C244" s="38">
        <v>45</v>
      </c>
      <c r="D244" s="38">
        <v>58.88217329680419</v>
      </c>
      <c r="E244" s="38">
        <v>0</v>
      </c>
      <c r="F244" s="38">
        <v>0</v>
      </c>
      <c r="G244" s="38">
        <v>0</v>
      </c>
      <c r="H244" s="38">
        <v>0</v>
      </c>
      <c r="I244" s="38" t="s">
        <v>1361</v>
      </c>
      <c r="J244" s="38"/>
      <c r="K244" s="38"/>
      <c r="L244" s="38">
        <v>63.121689057629567</v>
      </c>
      <c r="M244" s="38">
        <v>0</v>
      </c>
      <c r="N244" s="38">
        <v>0</v>
      </c>
      <c r="O244" s="38">
        <v>0</v>
      </c>
      <c r="P244" s="38">
        <v>0</v>
      </c>
      <c r="Q244" s="38">
        <v>0</v>
      </c>
      <c r="R244" s="38">
        <v>0</v>
      </c>
      <c r="S244" s="38">
        <v>0</v>
      </c>
      <c r="T244" s="38">
        <v>0</v>
      </c>
      <c r="U244" s="38">
        <v>0</v>
      </c>
      <c r="V244" s="38" t="s">
        <v>1584</v>
      </c>
      <c r="W244" s="38" t="s">
        <v>1584</v>
      </c>
      <c r="X244" s="38" t="s">
        <v>1584</v>
      </c>
      <c r="Y244" s="38" t="s">
        <v>1584</v>
      </c>
      <c r="Z244" s="38">
        <v>0</v>
      </c>
      <c r="AA244" s="38">
        <v>0</v>
      </c>
      <c r="AB244" s="38">
        <v>0</v>
      </c>
      <c r="AC244" s="38">
        <v>0</v>
      </c>
      <c r="AD244" s="38">
        <v>0</v>
      </c>
      <c r="AE244" s="38">
        <v>0</v>
      </c>
      <c r="AF244" s="38">
        <v>0</v>
      </c>
      <c r="AG244" s="38">
        <v>0</v>
      </c>
      <c r="AH244" s="38">
        <v>0</v>
      </c>
      <c r="AI244" s="38">
        <v>0</v>
      </c>
      <c r="AJ244" s="38">
        <v>0</v>
      </c>
      <c r="AK244" s="38">
        <v>0</v>
      </c>
      <c r="AL244" s="38">
        <v>0</v>
      </c>
      <c r="AM244" s="38">
        <v>33.101420294590007</v>
      </c>
      <c r="AN244" s="38">
        <v>0</v>
      </c>
      <c r="AO244" s="38">
        <v>0</v>
      </c>
      <c r="AP244" s="38">
        <v>0</v>
      </c>
      <c r="AQ244" s="38">
        <v>33.101420294590007</v>
      </c>
      <c r="AR244" s="38">
        <v>0</v>
      </c>
      <c r="AS244" s="49">
        <v>9999</v>
      </c>
      <c r="AT244" s="38">
        <v>33.101420294590007</v>
      </c>
      <c r="AU244" s="38">
        <v>0</v>
      </c>
      <c r="AV244" s="38">
        <v>0</v>
      </c>
      <c r="AW244" s="38">
        <v>0</v>
      </c>
      <c r="AX244" s="38">
        <v>33.101420294590007</v>
      </c>
      <c r="AY244" s="38">
        <v>0</v>
      </c>
      <c r="AZ244" s="49">
        <v>9999</v>
      </c>
      <c r="BA244" s="38">
        <v>33.101420294590007</v>
      </c>
      <c r="BB244" s="38">
        <v>0</v>
      </c>
      <c r="BC244" s="38">
        <v>0</v>
      </c>
      <c r="BD244" s="38">
        <v>0</v>
      </c>
      <c r="BE244" s="38">
        <v>33.101420294590007</v>
      </c>
      <c r="BF244" s="38">
        <v>0</v>
      </c>
      <c r="BG244" s="38">
        <v>0</v>
      </c>
      <c r="BH244" s="49">
        <v>9999</v>
      </c>
      <c r="BI244" s="38">
        <v>0</v>
      </c>
      <c r="BJ244" s="38">
        <v>0</v>
      </c>
      <c r="BK244" s="38">
        <v>0</v>
      </c>
      <c r="BL244" s="38">
        <v>0</v>
      </c>
      <c r="BM244" s="38">
        <v>0</v>
      </c>
      <c r="BN244" s="38">
        <v>33.101420294590007</v>
      </c>
      <c r="BO244" s="38">
        <v>0</v>
      </c>
      <c r="BP244" s="38">
        <v>0</v>
      </c>
      <c r="BQ244" s="38">
        <v>0</v>
      </c>
      <c r="BR244" s="38">
        <v>0</v>
      </c>
      <c r="BS244" s="38">
        <v>0</v>
      </c>
      <c r="BT244" s="38">
        <v>0</v>
      </c>
      <c r="BU244" s="38">
        <v>0</v>
      </c>
      <c r="BV244" s="38">
        <v>0</v>
      </c>
      <c r="BW244" s="38">
        <v>0</v>
      </c>
      <c r="BX244" s="38">
        <v>0</v>
      </c>
      <c r="BY244" s="38"/>
      <c r="BZ244" s="38">
        <v>0</v>
      </c>
      <c r="CA244" s="38">
        <v>0</v>
      </c>
      <c r="CB244" s="38">
        <v>33.101420294590007</v>
      </c>
      <c r="CC244" s="38">
        <v>0</v>
      </c>
      <c r="CD244" s="49">
        <v>9999</v>
      </c>
      <c r="CE244" s="38">
        <v>0</v>
      </c>
      <c r="CF244" s="38">
        <v>0.59969537411956364</v>
      </c>
      <c r="CG244" s="38">
        <v>0</v>
      </c>
      <c r="CH244" s="38">
        <v>0.59969537411956364</v>
      </c>
      <c r="CI244" s="38">
        <v>2.9982802302374045E-2</v>
      </c>
      <c r="CJ244" s="38">
        <v>0</v>
      </c>
      <c r="CK244" s="38">
        <v>2.9982802302374045E-2</v>
      </c>
      <c r="CL244" s="38"/>
      <c r="CM244" s="38">
        <v>0</v>
      </c>
      <c r="CN244" s="38"/>
      <c r="CO244" s="38">
        <v>0</v>
      </c>
      <c r="CP244" s="38">
        <v>0</v>
      </c>
      <c r="CQ244" s="38">
        <v>0</v>
      </c>
      <c r="CR244" s="38">
        <v>0</v>
      </c>
      <c r="CS244" s="38">
        <v>0</v>
      </c>
      <c r="CT244" s="38">
        <v>0</v>
      </c>
      <c r="CU244" s="38">
        <v>0</v>
      </c>
      <c r="CV244" s="38">
        <v>9999</v>
      </c>
      <c r="CW244" s="49">
        <v>9999</v>
      </c>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row>
    <row r="245" spans="1:131">
      <c r="A245" s="27" t="s">
        <v>892</v>
      </c>
      <c r="B245" s="27" t="s">
        <v>890</v>
      </c>
      <c r="C245" s="38">
        <v>15</v>
      </c>
      <c r="D245" s="38">
        <v>3.9477513161705269</v>
      </c>
      <c r="E245" s="38">
        <v>0</v>
      </c>
      <c r="F245" s="38">
        <v>0</v>
      </c>
      <c r="G245" s="38">
        <v>0</v>
      </c>
      <c r="H245" s="38">
        <v>0</v>
      </c>
      <c r="I245" s="38" t="s">
        <v>1361</v>
      </c>
      <c r="J245" s="38"/>
      <c r="K245" s="38"/>
      <c r="L245" s="38">
        <v>4.2319893628941259</v>
      </c>
      <c r="M245" s="38">
        <v>0</v>
      </c>
      <c r="N245" s="38">
        <v>0</v>
      </c>
      <c r="O245" s="38">
        <v>0</v>
      </c>
      <c r="P245" s="38">
        <v>0</v>
      </c>
      <c r="Q245" s="38">
        <v>0</v>
      </c>
      <c r="R245" s="38">
        <v>0</v>
      </c>
      <c r="S245" s="38">
        <v>0</v>
      </c>
      <c r="T245" s="38">
        <v>0</v>
      </c>
      <c r="U245" s="38">
        <v>0</v>
      </c>
      <c r="V245" s="38" t="s">
        <v>1584</v>
      </c>
      <c r="W245" s="38" t="s">
        <v>1584</v>
      </c>
      <c r="X245" s="38" t="s">
        <v>1584</v>
      </c>
      <c r="Y245" s="38" t="s">
        <v>1584</v>
      </c>
      <c r="Z245" s="38">
        <v>0</v>
      </c>
      <c r="AA245" s="38">
        <v>0</v>
      </c>
      <c r="AB245" s="38">
        <v>0</v>
      </c>
      <c r="AC245" s="38">
        <v>0</v>
      </c>
      <c r="AD245" s="38">
        <v>0</v>
      </c>
      <c r="AE245" s="38">
        <v>0</v>
      </c>
      <c r="AF245" s="38">
        <v>0</v>
      </c>
      <c r="AG245" s="38">
        <v>0</v>
      </c>
      <c r="AH245" s="38">
        <v>0</v>
      </c>
      <c r="AI245" s="38">
        <v>0</v>
      </c>
      <c r="AJ245" s="38">
        <v>0</v>
      </c>
      <c r="AK245" s="38">
        <v>0</v>
      </c>
      <c r="AL245" s="38">
        <v>0</v>
      </c>
      <c r="AM245" s="38">
        <v>2.2192824792045154</v>
      </c>
      <c r="AN245" s="38">
        <v>0</v>
      </c>
      <c r="AO245" s="38">
        <v>0</v>
      </c>
      <c r="AP245" s="38">
        <v>0</v>
      </c>
      <c r="AQ245" s="38">
        <v>2.2192824792045154</v>
      </c>
      <c r="AR245" s="38">
        <v>0</v>
      </c>
      <c r="AS245" s="49">
        <v>9999</v>
      </c>
      <c r="AT245" s="38">
        <v>2.2192824792045154</v>
      </c>
      <c r="AU245" s="38">
        <v>0</v>
      </c>
      <c r="AV245" s="38">
        <v>0</v>
      </c>
      <c r="AW245" s="38">
        <v>0</v>
      </c>
      <c r="AX245" s="38">
        <v>2.2192824792045154</v>
      </c>
      <c r="AY245" s="38">
        <v>0</v>
      </c>
      <c r="AZ245" s="49">
        <v>9999</v>
      </c>
      <c r="BA245" s="38">
        <v>2.2192824792045154</v>
      </c>
      <c r="BB245" s="38">
        <v>0</v>
      </c>
      <c r="BC245" s="38">
        <v>0</v>
      </c>
      <c r="BD245" s="38">
        <v>0</v>
      </c>
      <c r="BE245" s="38">
        <v>2.2192824792045154</v>
      </c>
      <c r="BF245" s="38">
        <v>0</v>
      </c>
      <c r="BG245" s="38">
        <v>0</v>
      </c>
      <c r="BH245" s="49">
        <v>9999</v>
      </c>
      <c r="BI245" s="38">
        <v>0</v>
      </c>
      <c r="BJ245" s="38">
        <v>0</v>
      </c>
      <c r="BK245" s="38">
        <v>0</v>
      </c>
      <c r="BL245" s="38">
        <v>0</v>
      </c>
      <c r="BM245" s="38">
        <v>0</v>
      </c>
      <c r="BN245" s="38">
        <v>2.2192824792045154</v>
      </c>
      <c r="BO245" s="38">
        <v>0</v>
      </c>
      <c r="BP245" s="38">
        <v>0</v>
      </c>
      <c r="BQ245" s="38">
        <v>0</v>
      </c>
      <c r="BR245" s="38">
        <v>0</v>
      </c>
      <c r="BS245" s="38">
        <v>0</v>
      </c>
      <c r="BT245" s="38">
        <v>0</v>
      </c>
      <c r="BU245" s="38">
        <v>0</v>
      </c>
      <c r="BV245" s="38">
        <v>0</v>
      </c>
      <c r="BW245" s="38">
        <v>0</v>
      </c>
      <c r="BX245" s="38">
        <v>0</v>
      </c>
      <c r="BY245" s="38"/>
      <c r="BZ245" s="38">
        <v>0</v>
      </c>
      <c r="CA245" s="38">
        <v>0</v>
      </c>
      <c r="CB245" s="38">
        <v>2.2192824792045154</v>
      </c>
      <c r="CC245" s="38">
        <v>0</v>
      </c>
      <c r="CD245" s="49">
        <v>9999</v>
      </c>
      <c r="CE245" s="38">
        <v>0</v>
      </c>
      <c r="CF245" s="38">
        <v>4.0206535695420355E-2</v>
      </c>
      <c r="CG245" s="38">
        <v>0</v>
      </c>
      <c r="CH245" s="38">
        <v>4.0206535695420355E-2</v>
      </c>
      <c r="CI245" s="38">
        <v>2.0101949473747098E-3</v>
      </c>
      <c r="CJ245" s="38">
        <v>0</v>
      </c>
      <c r="CK245" s="38">
        <v>2.0101949473747098E-3</v>
      </c>
      <c r="CL245" s="38"/>
      <c r="CM245" s="38">
        <v>0</v>
      </c>
      <c r="CN245" s="38"/>
      <c r="CO245" s="38">
        <v>0</v>
      </c>
      <c r="CP245" s="38">
        <v>0</v>
      </c>
      <c r="CQ245" s="38">
        <v>0</v>
      </c>
      <c r="CR245" s="38">
        <v>0</v>
      </c>
      <c r="CS245" s="38">
        <v>0</v>
      </c>
      <c r="CT245" s="38">
        <v>0</v>
      </c>
      <c r="CU245" s="38">
        <v>0</v>
      </c>
      <c r="CV245" s="38">
        <v>9999</v>
      </c>
      <c r="CW245" s="49">
        <v>9999</v>
      </c>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row>
    <row r="246" spans="1:131">
      <c r="A246" s="27" t="s">
        <v>862</v>
      </c>
      <c r="B246" s="27" t="s">
        <v>208</v>
      </c>
      <c r="C246" s="38">
        <v>45</v>
      </c>
      <c r="D246" s="38">
        <v>71.096344239180198</v>
      </c>
      <c r="E246" s="38">
        <v>0</v>
      </c>
      <c r="F246" s="38">
        <v>0</v>
      </c>
      <c r="G246" s="38">
        <v>0</v>
      </c>
      <c r="H246" s="38">
        <v>0</v>
      </c>
      <c r="I246" s="38" t="s">
        <v>1361</v>
      </c>
      <c r="J246" s="38"/>
      <c r="K246" s="38"/>
      <c r="L246" s="38">
        <v>76.215280159220868</v>
      </c>
      <c r="M246" s="38">
        <v>0</v>
      </c>
      <c r="N246" s="38">
        <v>0</v>
      </c>
      <c r="O246" s="38">
        <v>0</v>
      </c>
      <c r="P246" s="38">
        <v>0</v>
      </c>
      <c r="Q246" s="38">
        <v>0</v>
      </c>
      <c r="R246" s="38">
        <v>0</v>
      </c>
      <c r="S246" s="38">
        <v>0</v>
      </c>
      <c r="T246" s="38">
        <v>0</v>
      </c>
      <c r="U246" s="38">
        <v>0</v>
      </c>
      <c r="V246" s="38" t="s">
        <v>1584</v>
      </c>
      <c r="W246" s="38" t="s">
        <v>1584</v>
      </c>
      <c r="X246" s="38" t="s">
        <v>1584</v>
      </c>
      <c r="Y246" s="38" t="s">
        <v>1584</v>
      </c>
      <c r="Z246" s="38">
        <v>0</v>
      </c>
      <c r="AA246" s="38">
        <v>0</v>
      </c>
      <c r="AB246" s="38">
        <v>0</v>
      </c>
      <c r="AC246" s="38">
        <v>0</v>
      </c>
      <c r="AD246" s="38">
        <v>0</v>
      </c>
      <c r="AE246" s="38">
        <v>0</v>
      </c>
      <c r="AF246" s="38">
        <v>0</v>
      </c>
      <c r="AG246" s="38">
        <v>0</v>
      </c>
      <c r="AH246" s="38">
        <v>0</v>
      </c>
      <c r="AI246" s="38">
        <v>0</v>
      </c>
      <c r="AJ246" s="38">
        <v>0</v>
      </c>
      <c r="AK246" s="38">
        <v>0</v>
      </c>
      <c r="AL246" s="38">
        <v>0</v>
      </c>
      <c r="AM246" s="38">
        <v>39.967783801174434</v>
      </c>
      <c r="AN246" s="38">
        <v>0</v>
      </c>
      <c r="AO246" s="38">
        <v>0</v>
      </c>
      <c r="AP246" s="38">
        <v>0</v>
      </c>
      <c r="AQ246" s="38">
        <v>39.967783801174434</v>
      </c>
      <c r="AR246" s="38">
        <v>0</v>
      </c>
      <c r="AS246" s="49">
        <v>9999</v>
      </c>
      <c r="AT246" s="38">
        <v>39.967783801174434</v>
      </c>
      <c r="AU246" s="38">
        <v>0</v>
      </c>
      <c r="AV246" s="38">
        <v>0</v>
      </c>
      <c r="AW246" s="38">
        <v>0</v>
      </c>
      <c r="AX246" s="38">
        <v>39.967783801174434</v>
      </c>
      <c r="AY246" s="38">
        <v>0</v>
      </c>
      <c r="AZ246" s="49">
        <v>9999</v>
      </c>
      <c r="BA246" s="38">
        <v>39.967783801174434</v>
      </c>
      <c r="BB246" s="38">
        <v>0</v>
      </c>
      <c r="BC246" s="38">
        <v>0</v>
      </c>
      <c r="BD246" s="38">
        <v>0</v>
      </c>
      <c r="BE246" s="38">
        <v>39.967783801174434</v>
      </c>
      <c r="BF246" s="38">
        <v>0</v>
      </c>
      <c r="BG246" s="38">
        <v>0</v>
      </c>
      <c r="BH246" s="49">
        <v>9999</v>
      </c>
      <c r="BI246" s="38">
        <v>0</v>
      </c>
      <c r="BJ246" s="38">
        <v>0</v>
      </c>
      <c r="BK246" s="38">
        <v>0</v>
      </c>
      <c r="BL246" s="38">
        <v>0</v>
      </c>
      <c r="BM246" s="38">
        <v>0</v>
      </c>
      <c r="BN246" s="38">
        <v>39.967783801174434</v>
      </c>
      <c r="BO246" s="38">
        <v>0</v>
      </c>
      <c r="BP246" s="38">
        <v>0</v>
      </c>
      <c r="BQ246" s="38">
        <v>0</v>
      </c>
      <c r="BR246" s="38">
        <v>0</v>
      </c>
      <c r="BS246" s="38">
        <v>0</v>
      </c>
      <c r="BT246" s="38">
        <v>0</v>
      </c>
      <c r="BU246" s="38">
        <v>0</v>
      </c>
      <c r="BV246" s="38">
        <v>0</v>
      </c>
      <c r="BW246" s="38">
        <v>0</v>
      </c>
      <c r="BX246" s="38">
        <v>0</v>
      </c>
      <c r="BY246" s="38"/>
      <c r="BZ246" s="38">
        <v>0</v>
      </c>
      <c r="CA246" s="38">
        <v>0</v>
      </c>
      <c r="CB246" s="38">
        <v>39.967783801174434</v>
      </c>
      <c r="CC246" s="38">
        <v>0</v>
      </c>
      <c r="CD246" s="49">
        <v>9999</v>
      </c>
      <c r="CE246" s="38">
        <v>0</v>
      </c>
      <c r="CF246" s="38">
        <v>0.72409264756813119</v>
      </c>
      <c r="CG246" s="38">
        <v>0</v>
      </c>
      <c r="CH246" s="38">
        <v>0.72409264756813119</v>
      </c>
      <c r="CI246" s="38">
        <v>3.620225807562992E-2</v>
      </c>
      <c r="CJ246" s="38">
        <v>0</v>
      </c>
      <c r="CK246" s="38">
        <v>3.620225807562992E-2</v>
      </c>
      <c r="CL246" s="38"/>
      <c r="CM246" s="38">
        <v>0</v>
      </c>
      <c r="CN246" s="38"/>
      <c r="CO246" s="38">
        <v>0</v>
      </c>
      <c r="CP246" s="38">
        <v>0</v>
      </c>
      <c r="CQ246" s="38">
        <v>0</v>
      </c>
      <c r="CR246" s="38">
        <v>0</v>
      </c>
      <c r="CS246" s="38">
        <v>0</v>
      </c>
      <c r="CT246" s="38">
        <v>0</v>
      </c>
      <c r="CU246" s="38">
        <v>0</v>
      </c>
      <c r="CV246" s="38">
        <v>9999</v>
      </c>
      <c r="CW246" s="49">
        <v>9999</v>
      </c>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row>
    <row r="247" spans="1:131">
      <c r="A247" s="27" t="s">
        <v>863</v>
      </c>
      <c r="B247" s="27" t="s">
        <v>210</v>
      </c>
      <c r="C247" s="38">
        <v>45</v>
      </c>
      <c r="D247" s="38">
        <v>71.946163512247395</v>
      </c>
      <c r="E247" s="38">
        <v>0</v>
      </c>
      <c r="F247" s="38">
        <v>0</v>
      </c>
      <c r="G247" s="38">
        <v>0</v>
      </c>
      <c r="H247" s="38">
        <v>0</v>
      </c>
      <c r="I247" s="38" t="s">
        <v>1361</v>
      </c>
      <c r="J247" s="38"/>
      <c r="K247" s="38"/>
      <c r="L247" s="38">
        <v>77.126286409607346</v>
      </c>
      <c r="M247" s="38">
        <v>0</v>
      </c>
      <c r="N247" s="38">
        <v>0</v>
      </c>
      <c r="O247" s="38">
        <v>0</v>
      </c>
      <c r="P247" s="38">
        <v>0</v>
      </c>
      <c r="Q247" s="38">
        <v>0</v>
      </c>
      <c r="R247" s="38">
        <v>0</v>
      </c>
      <c r="S247" s="38">
        <v>0</v>
      </c>
      <c r="T247" s="38">
        <v>0</v>
      </c>
      <c r="U247" s="38">
        <v>0</v>
      </c>
      <c r="V247" s="38" t="s">
        <v>1584</v>
      </c>
      <c r="W247" s="38" t="s">
        <v>1584</v>
      </c>
      <c r="X247" s="38" t="s">
        <v>1584</v>
      </c>
      <c r="Y247" s="38" t="s">
        <v>1584</v>
      </c>
      <c r="Z247" s="38">
        <v>0</v>
      </c>
      <c r="AA247" s="38">
        <v>0</v>
      </c>
      <c r="AB247" s="38">
        <v>0</v>
      </c>
      <c r="AC247" s="38">
        <v>0</v>
      </c>
      <c r="AD247" s="38">
        <v>0</v>
      </c>
      <c r="AE247" s="38">
        <v>0</v>
      </c>
      <c r="AF247" s="38">
        <v>0</v>
      </c>
      <c r="AG247" s="38">
        <v>0</v>
      </c>
      <c r="AH247" s="38">
        <v>0</v>
      </c>
      <c r="AI247" s="38">
        <v>0</v>
      </c>
      <c r="AJ247" s="38">
        <v>0</v>
      </c>
      <c r="AK247" s="38">
        <v>0</v>
      </c>
      <c r="AL247" s="38">
        <v>0</v>
      </c>
      <c r="AM247" s="38">
        <v>40.445521346465853</v>
      </c>
      <c r="AN247" s="38">
        <v>0</v>
      </c>
      <c r="AO247" s="38">
        <v>0</v>
      </c>
      <c r="AP247" s="38">
        <v>0</v>
      </c>
      <c r="AQ247" s="38">
        <v>40.445521346465853</v>
      </c>
      <c r="AR247" s="38">
        <v>0</v>
      </c>
      <c r="AS247" s="49">
        <v>9999</v>
      </c>
      <c r="AT247" s="38">
        <v>40.445521346465853</v>
      </c>
      <c r="AU247" s="38">
        <v>0</v>
      </c>
      <c r="AV247" s="38">
        <v>0</v>
      </c>
      <c r="AW247" s="38">
        <v>0</v>
      </c>
      <c r="AX247" s="38">
        <v>40.445521346465853</v>
      </c>
      <c r="AY247" s="38">
        <v>0</v>
      </c>
      <c r="AZ247" s="49">
        <v>9999</v>
      </c>
      <c r="BA247" s="38">
        <v>40.445521346465853</v>
      </c>
      <c r="BB247" s="38">
        <v>0</v>
      </c>
      <c r="BC247" s="38">
        <v>0</v>
      </c>
      <c r="BD247" s="38">
        <v>0</v>
      </c>
      <c r="BE247" s="38">
        <v>40.445521346465853</v>
      </c>
      <c r="BF247" s="38">
        <v>0</v>
      </c>
      <c r="BG247" s="38">
        <v>0</v>
      </c>
      <c r="BH247" s="49">
        <v>9999</v>
      </c>
      <c r="BI247" s="38">
        <v>0</v>
      </c>
      <c r="BJ247" s="38">
        <v>0</v>
      </c>
      <c r="BK247" s="38">
        <v>0</v>
      </c>
      <c r="BL247" s="38">
        <v>0</v>
      </c>
      <c r="BM247" s="38">
        <v>0</v>
      </c>
      <c r="BN247" s="38">
        <v>40.445521346465853</v>
      </c>
      <c r="BO247" s="38">
        <v>0</v>
      </c>
      <c r="BP247" s="38">
        <v>0</v>
      </c>
      <c r="BQ247" s="38">
        <v>0</v>
      </c>
      <c r="BR247" s="38">
        <v>0</v>
      </c>
      <c r="BS247" s="38">
        <v>0</v>
      </c>
      <c r="BT247" s="38">
        <v>0</v>
      </c>
      <c r="BU247" s="38">
        <v>0</v>
      </c>
      <c r="BV247" s="38">
        <v>0</v>
      </c>
      <c r="BW247" s="38">
        <v>0</v>
      </c>
      <c r="BX247" s="38">
        <v>0</v>
      </c>
      <c r="BY247" s="38"/>
      <c r="BZ247" s="38">
        <v>0</v>
      </c>
      <c r="CA247" s="38">
        <v>0</v>
      </c>
      <c r="CB247" s="38">
        <v>40.445521346465853</v>
      </c>
      <c r="CC247" s="38">
        <v>0</v>
      </c>
      <c r="CD247" s="49">
        <v>9999</v>
      </c>
      <c r="CE247" s="38">
        <v>0</v>
      </c>
      <c r="CF247" s="38">
        <v>0.73274777455074391</v>
      </c>
      <c r="CG247" s="38">
        <v>0</v>
      </c>
      <c r="CH247" s="38">
        <v>0.73274777455074391</v>
      </c>
      <c r="CI247" s="38">
        <v>3.66349860445635E-2</v>
      </c>
      <c r="CJ247" s="38">
        <v>0</v>
      </c>
      <c r="CK247" s="38">
        <v>3.66349860445635E-2</v>
      </c>
      <c r="CL247" s="38"/>
      <c r="CM247" s="38">
        <v>0</v>
      </c>
      <c r="CN247" s="38"/>
      <c r="CO247" s="38">
        <v>0</v>
      </c>
      <c r="CP247" s="38">
        <v>0</v>
      </c>
      <c r="CQ247" s="38">
        <v>0</v>
      </c>
      <c r="CR247" s="38">
        <v>0</v>
      </c>
      <c r="CS247" s="38">
        <v>0</v>
      </c>
      <c r="CT247" s="38">
        <v>0</v>
      </c>
      <c r="CU247" s="38">
        <v>0</v>
      </c>
      <c r="CV247" s="38">
        <v>9999</v>
      </c>
      <c r="CW247" s="49">
        <v>9999</v>
      </c>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row>
    <row r="248" spans="1:131">
      <c r="A248" s="27" t="s">
        <v>864</v>
      </c>
      <c r="B248" s="27" t="s">
        <v>211</v>
      </c>
      <c r="C248" s="38">
        <v>45</v>
      </c>
      <c r="D248" s="38">
        <v>10.311257462214382</v>
      </c>
      <c r="E248" s="38">
        <v>0</v>
      </c>
      <c r="F248" s="38">
        <v>0</v>
      </c>
      <c r="G248" s="38">
        <v>0</v>
      </c>
      <c r="H248" s="38">
        <v>0</v>
      </c>
      <c r="I248" s="38" t="s">
        <v>1361</v>
      </c>
      <c r="J248" s="38"/>
      <c r="K248" s="38"/>
      <c r="L248" s="38">
        <v>11.053667874014836</v>
      </c>
      <c r="M248" s="38">
        <v>0</v>
      </c>
      <c r="N248" s="38">
        <v>0</v>
      </c>
      <c r="O248" s="38">
        <v>0</v>
      </c>
      <c r="P248" s="38">
        <v>0</v>
      </c>
      <c r="Q248" s="38">
        <v>0</v>
      </c>
      <c r="R248" s="38">
        <v>0</v>
      </c>
      <c r="S248" s="38">
        <v>0</v>
      </c>
      <c r="T248" s="38">
        <v>0</v>
      </c>
      <c r="U248" s="38">
        <v>0</v>
      </c>
      <c r="V248" s="38" t="s">
        <v>1584</v>
      </c>
      <c r="W248" s="38" t="s">
        <v>1584</v>
      </c>
      <c r="X248" s="38" t="s">
        <v>1584</v>
      </c>
      <c r="Y248" s="38" t="s">
        <v>1584</v>
      </c>
      <c r="Z248" s="38">
        <v>0</v>
      </c>
      <c r="AA248" s="38">
        <v>0</v>
      </c>
      <c r="AB248" s="38">
        <v>0</v>
      </c>
      <c r="AC248" s="38">
        <v>0</v>
      </c>
      <c r="AD248" s="38">
        <v>0</v>
      </c>
      <c r="AE248" s="38">
        <v>0</v>
      </c>
      <c r="AF248" s="38">
        <v>0</v>
      </c>
      <c r="AG248" s="38">
        <v>0</v>
      </c>
      <c r="AH248" s="38">
        <v>0</v>
      </c>
      <c r="AI248" s="38">
        <v>0</v>
      </c>
      <c r="AJ248" s="38">
        <v>0</v>
      </c>
      <c r="AK248" s="38">
        <v>0</v>
      </c>
      <c r="AL248" s="38">
        <v>0</v>
      </c>
      <c r="AM248" s="38">
        <v>5.7966146273512429</v>
      </c>
      <c r="AN248" s="38">
        <v>0</v>
      </c>
      <c r="AO248" s="38">
        <v>0</v>
      </c>
      <c r="AP248" s="38">
        <v>0</v>
      </c>
      <c r="AQ248" s="38">
        <v>5.7966146273512429</v>
      </c>
      <c r="AR248" s="38">
        <v>0</v>
      </c>
      <c r="AS248" s="49">
        <v>9999</v>
      </c>
      <c r="AT248" s="38">
        <v>5.7966146273512429</v>
      </c>
      <c r="AU248" s="38">
        <v>0</v>
      </c>
      <c r="AV248" s="38">
        <v>0</v>
      </c>
      <c r="AW248" s="38">
        <v>0</v>
      </c>
      <c r="AX248" s="38">
        <v>5.7966146273512429</v>
      </c>
      <c r="AY248" s="38">
        <v>0</v>
      </c>
      <c r="AZ248" s="49">
        <v>9999</v>
      </c>
      <c r="BA248" s="38">
        <v>5.7966146273512429</v>
      </c>
      <c r="BB248" s="38">
        <v>0</v>
      </c>
      <c r="BC248" s="38">
        <v>0</v>
      </c>
      <c r="BD248" s="38">
        <v>0</v>
      </c>
      <c r="BE248" s="38">
        <v>5.7966146273512429</v>
      </c>
      <c r="BF248" s="38">
        <v>0</v>
      </c>
      <c r="BG248" s="38">
        <v>0</v>
      </c>
      <c r="BH248" s="49">
        <v>9999</v>
      </c>
      <c r="BI248" s="38">
        <v>0</v>
      </c>
      <c r="BJ248" s="38">
        <v>0</v>
      </c>
      <c r="BK248" s="38">
        <v>0</v>
      </c>
      <c r="BL248" s="38">
        <v>0</v>
      </c>
      <c r="BM248" s="38">
        <v>0</v>
      </c>
      <c r="BN248" s="38">
        <v>5.7966146273512429</v>
      </c>
      <c r="BO248" s="38">
        <v>0</v>
      </c>
      <c r="BP248" s="38">
        <v>0</v>
      </c>
      <c r="BQ248" s="38">
        <v>0</v>
      </c>
      <c r="BR248" s="38">
        <v>0</v>
      </c>
      <c r="BS248" s="38">
        <v>0</v>
      </c>
      <c r="BT248" s="38">
        <v>0</v>
      </c>
      <c r="BU248" s="38">
        <v>0</v>
      </c>
      <c r="BV248" s="38">
        <v>0</v>
      </c>
      <c r="BW248" s="38">
        <v>0</v>
      </c>
      <c r="BX248" s="38">
        <v>0</v>
      </c>
      <c r="BY248" s="38"/>
      <c r="BZ248" s="38">
        <v>0</v>
      </c>
      <c r="CA248" s="38">
        <v>0</v>
      </c>
      <c r="CB248" s="38">
        <v>5.7966146273512429</v>
      </c>
      <c r="CC248" s="38">
        <v>0</v>
      </c>
      <c r="CD248" s="49">
        <v>9999</v>
      </c>
      <c r="CE248" s="38">
        <v>0</v>
      </c>
      <c r="CF248" s="38">
        <v>0.10501673180907224</v>
      </c>
      <c r="CG248" s="38">
        <v>0</v>
      </c>
      <c r="CH248" s="38">
        <v>0.10501673180907224</v>
      </c>
      <c r="CI248" s="38">
        <v>5.2504922401570469E-3</v>
      </c>
      <c r="CJ248" s="38">
        <v>0</v>
      </c>
      <c r="CK248" s="38">
        <v>5.2504922401570469E-3</v>
      </c>
      <c r="CL248" s="38"/>
      <c r="CM248" s="38">
        <v>0</v>
      </c>
      <c r="CN248" s="38"/>
      <c r="CO248" s="38">
        <v>0</v>
      </c>
      <c r="CP248" s="38">
        <v>0</v>
      </c>
      <c r="CQ248" s="38">
        <v>0</v>
      </c>
      <c r="CR248" s="38">
        <v>0</v>
      </c>
      <c r="CS248" s="38">
        <v>0</v>
      </c>
      <c r="CT248" s="38">
        <v>0</v>
      </c>
      <c r="CU248" s="38">
        <v>0</v>
      </c>
      <c r="CV248" s="38">
        <v>9999</v>
      </c>
      <c r="CW248" s="49">
        <v>9999</v>
      </c>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row>
    <row r="249" spans="1:131">
      <c r="A249" s="27" t="s">
        <v>865</v>
      </c>
      <c r="B249" s="27" t="s">
        <v>212</v>
      </c>
      <c r="C249" s="38">
        <v>45</v>
      </c>
      <c r="D249" s="38">
        <v>11.161076735281577</v>
      </c>
      <c r="E249" s="38">
        <v>0</v>
      </c>
      <c r="F249" s="38">
        <v>0</v>
      </c>
      <c r="G249" s="38">
        <v>0</v>
      </c>
      <c r="H249" s="38">
        <v>0</v>
      </c>
      <c r="I249" s="38" t="s">
        <v>1361</v>
      </c>
      <c r="J249" s="38"/>
      <c r="K249" s="38"/>
      <c r="L249" s="38">
        <v>11.964674124401313</v>
      </c>
      <c r="M249" s="38">
        <v>0</v>
      </c>
      <c r="N249" s="38">
        <v>0</v>
      </c>
      <c r="O249" s="38">
        <v>0</v>
      </c>
      <c r="P249" s="38">
        <v>0</v>
      </c>
      <c r="Q249" s="38">
        <v>0</v>
      </c>
      <c r="R249" s="38">
        <v>0</v>
      </c>
      <c r="S249" s="38">
        <v>0</v>
      </c>
      <c r="T249" s="38">
        <v>0</v>
      </c>
      <c r="U249" s="38">
        <v>0</v>
      </c>
      <c r="V249" s="38" t="s">
        <v>1584</v>
      </c>
      <c r="W249" s="38" t="s">
        <v>1584</v>
      </c>
      <c r="X249" s="38" t="s">
        <v>1584</v>
      </c>
      <c r="Y249" s="38" t="s">
        <v>1584</v>
      </c>
      <c r="Z249" s="38">
        <v>0</v>
      </c>
      <c r="AA249" s="38">
        <v>0</v>
      </c>
      <c r="AB249" s="38">
        <v>0</v>
      </c>
      <c r="AC249" s="38">
        <v>0</v>
      </c>
      <c r="AD249" s="38">
        <v>0</v>
      </c>
      <c r="AE249" s="38">
        <v>0</v>
      </c>
      <c r="AF249" s="38">
        <v>0</v>
      </c>
      <c r="AG249" s="38">
        <v>0</v>
      </c>
      <c r="AH249" s="38">
        <v>0</v>
      </c>
      <c r="AI249" s="38">
        <v>0</v>
      </c>
      <c r="AJ249" s="38">
        <v>0</v>
      </c>
      <c r="AK249" s="38">
        <v>0</v>
      </c>
      <c r="AL249" s="38">
        <v>0</v>
      </c>
      <c r="AM249" s="38">
        <v>6.274352172642673</v>
      </c>
      <c r="AN249" s="38">
        <v>0</v>
      </c>
      <c r="AO249" s="38">
        <v>0</v>
      </c>
      <c r="AP249" s="38">
        <v>0</v>
      </c>
      <c r="AQ249" s="38">
        <v>6.274352172642673</v>
      </c>
      <c r="AR249" s="38">
        <v>0</v>
      </c>
      <c r="AS249" s="49">
        <v>9999</v>
      </c>
      <c r="AT249" s="38">
        <v>6.274352172642673</v>
      </c>
      <c r="AU249" s="38">
        <v>0</v>
      </c>
      <c r="AV249" s="38">
        <v>0</v>
      </c>
      <c r="AW249" s="38">
        <v>0</v>
      </c>
      <c r="AX249" s="38">
        <v>6.274352172642673</v>
      </c>
      <c r="AY249" s="38">
        <v>0</v>
      </c>
      <c r="AZ249" s="49">
        <v>9999</v>
      </c>
      <c r="BA249" s="38">
        <v>6.274352172642673</v>
      </c>
      <c r="BB249" s="38">
        <v>0</v>
      </c>
      <c r="BC249" s="38">
        <v>0</v>
      </c>
      <c r="BD249" s="38">
        <v>0</v>
      </c>
      <c r="BE249" s="38">
        <v>6.274352172642673</v>
      </c>
      <c r="BF249" s="38">
        <v>0</v>
      </c>
      <c r="BG249" s="38">
        <v>0</v>
      </c>
      <c r="BH249" s="49">
        <v>9999</v>
      </c>
      <c r="BI249" s="38">
        <v>0</v>
      </c>
      <c r="BJ249" s="38">
        <v>0</v>
      </c>
      <c r="BK249" s="38">
        <v>0</v>
      </c>
      <c r="BL249" s="38">
        <v>0</v>
      </c>
      <c r="BM249" s="38">
        <v>0</v>
      </c>
      <c r="BN249" s="38">
        <v>6.274352172642673</v>
      </c>
      <c r="BO249" s="38">
        <v>0</v>
      </c>
      <c r="BP249" s="38">
        <v>0</v>
      </c>
      <c r="BQ249" s="38">
        <v>0</v>
      </c>
      <c r="BR249" s="38">
        <v>0</v>
      </c>
      <c r="BS249" s="38">
        <v>0</v>
      </c>
      <c r="BT249" s="38">
        <v>0</v>
      </c>
      <c r="BU249" s="38">
        <v>0</v>
      </c>
      <c r="BV249" s="38">
        <v>0</v>
      </c>
      <c r="BW249" s="38">
        <v>0</v>
      </c>
      <c r="BX249" s="38">
        <v>0</v>
      </c>
      <c r="BY249" s="38"/>
      <c r="BZ249" s="38">
        <v>0</v>
      </c>
      <c r="CA249" s="38">
        <v>0</v>
      </c>
      <c r="CB249" s="38">
        <v>6.274352172642673</v>
      </c>
      <c r="CC249" s="38">
        <v>0</v>
      </c>
      <c r="CD249" s="49">
        <v>9999</v>
      </c>
      <c r="CE249" s="38">
        <v>0</v>
      </c>
      <c r="CF249" s="38">
        <v>0.11367185879168495</v>
      </c>
      <c r="CG249" s="38">
        <v>0</v>
      </c>
      <c r="CH249" s="38">
        <v>0.11367185879168495</v>
      </c>
      <c r="CI249" s="38">
        <v>5.6832202090906251E-3</v>
      </c>
      <c r="CJ249" s="38">
        <v>0</v>
      </c>
      <c r="CK249" s="38">
        <v>5.6832202090906251E-3</v>
      </c>
      <c r="CL249" s="38"/>
      <c r="CM249" s="38">
        <v>0</v>
      </c>
      <c r="CN249" s="38"/>
      <c r="CO249" s="38">
        <v>0</v>
      </c>
      <c r="CP249" s="38">
        <v>0</v>
      </c>
      <c r="CQ249" s="38">
        <v>0</v>
      </c>
      <c r="CR249" s="38">
        <v>0</v>
      </c>
      <c r="CS249" s="38">
        <v>0</v>
      </c>
      <c r="CT249" s="38">
        <v>0</v>
      </c>
      <c r="CU249" s="38">
        <v>0</v>
      </c>
      <c r="CV249" s="38">
        <v>9999</v>
      </c>
      <c r="CW249" s="49">
        <v>9999</v>
      </c>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row>
    <row r="250" spans="1:131">
      <c r="A250" s="27" t="s">
        <v>866</v>
      </c>
      <c r="B250" s="27" t="s">
        <v>213</v>
      </c>
      <c r="C250" s="38">
        <v>45</v>
      </c>
      <c r="D250" s="38">
        <v>4.2068099315057452</v>
      </c>
      <c r="E250" s="38">
        <v>0</v>
      </c>
      <c r="F250" s="38">
        <v>0</v>
      </c>
      <c r="G250" s="38">
        <v>0</v>
      </c>
      <c r="H250" s="38">
        <v>0</v>
      </c>
      <c r="I250" s="38" t="s">
        <v>1361</v>
      </c>
      <c r="J250" s="38"/>
      <c r="K250" s="38"/>
      <c r="L250" s="38">
        <v>4.5097001953809635</v>
      </c>
      <c r="M250" s="38">
        <v>0</v>
      </c>
      <c r="N250" s="38">
        <v>0</v>
      </c>
      <c r="O250" s="38">
        <v>0</v>
      </c>
      <c r="P250" s="38">
        <v>0</v>
      </c>
      <c r="Q250" s="38">
        <v>0</v>
      </c>
      <c r="R250" s="38">
        <v>0</v>
      </c>
      <c r="S250" s="38">
        <v>0</v>
      </c>
      <c r="T250" s="38">
        <v>0</v>
      </c>
      <c r="U250" s="38">
        <v>0</v>
      </c>
      <c r="V250" s="38" t="s">
        <v>1584</v>
      </c>
      <c r="W250" s="38" t="s">
        <v>1584</v>
      </c>
      <c r="X250" s="38" t="s">
        <v>1584</v>
      </c>
      <c r="Y250" s="38" t="s">
        <v>1584</v>
      </c>
      <c r="Z250" s="38">
        <v>0</v>
      </c>
      <c r="AA250" s="38">
        <v>0</v>
      </c>
      <c r="AB250" s="38">
        <v>0</v>
      </c>
      <c r="AC250" s="38">
        <v>0</v>
      </c>
      <c r="AD250" s="38">
        <v>0</v>
      </c>
      <c r="AE250" s="38">
        <v>0</v>
      </c>
      <c r="AF250" s="38">
        <v>0</v>
      </c>
      <c r="AG250" s="38">
        <v>0</v>
      </c>
      <c r="AH250" s="38">
        <v>0</v>
      </c>
      <c r="AI250" s="38">
        <v>0</v>
      </c>
      <c r="AJ250" s="38">
        <v>0</v>
      </c>
      <c r="AK250" s="38">
        <v>0</v>
      </c>
      <c r="AL250" s="38">
        <v>0</v>
      </c>
      <c r="AM250" s="38">
        <v>2.3649158284343565</v>
      </c>
      <c r="AN250" s="38">
        <v>0</v>
      </c>
      <c r="AO250" s="38">
        <v>0</v>
      </c>
      <c r="AP250" s="38">
        <v>0</v>
      </c>
      <c r="AQ250" s="38">
        <v>2.3649158284343565</v>
      </c>
      <c r="AR250" s="38">
        <v>0</v>
      </c>
      <c r="AS250" s="49">
        <v>9999</v>
      </c>
      <c r="AT250" s="38">
        <v>2.3649158284343565</v>
      </c>
      <c r="AU250" s="38">
        <v>0</v>
      </c>
      <c r="AV250" s="38">
        <v>0</v>
      </c>
      <c r="AW250" s="38">
        <v>0</v>
      </c>
      <c r="AX250" s="38">
        <v>2.3649158284343565</v>
      </c>
      <c r="AY250" s="38">
        <v>0</v>
      </c>
      <c r="AZ250" s="49">
        <v>9999</v>
      </c>
      <c r="BA250" s="38">
        <v>2.3649158284343565</v>
      </c>
      <c r="BB250" s="38">
        <v>0</v>
      </c>
      <c r="BC250" s="38">
        <v>0</v>
      </c>
      <c r="BD250" s="38">
        <v>0</v>
      </c>
      <c r="BE250" s="38">
        <v>2.3649158284343565</v>
      </c>
      <c r="BF250" s="38">
        <v>0</v>
      </c>
      <c r="BG250" s="38">
        <v>0</v>
      </c>
      <c r="BH250" s="49">
        <v>9999</v>
      </c>
      <c r="BI250" s="38">
        <v>0</v>
      </c>
      <c r="BJ250" s="38">
        <v>0</v>
      </c>
      <c r="BK250" s="38">
        <v>0</v>
      </c>
      <c r="BL250" s="38">
        <v>0</v>
      </c>
      <c r="BM250" s="38">
        <v>0</v>
      </c>
      <c r="BN250" s="38">
        <v>2.3649158284343565</v>
      </c>
      <c r="BO250" s="38">
        <v>0</v>
      </c>
      <c r="BP250" s="38">
        <v>0</v>
      </c>
      <c r="BQ250" s="38">
        <v>0</v>
      </c>
      <c r="BR250" s="38">
        <v>0</v>
      </c>
      <c r="BS250" s="38">
        <v>0</v>
      </c>
      <c r="BT250" s="38">
        <v>0</v>
      </c>
      <c r="BU250" s="38">
        <v>0</v>
      </c>
      <c r="BV250" s="38">
        <v>0</v>
      </c>
      <c r="BW250" s="38">
        <v>0</v>
      </c>
      <c r="BX250" s="38">
        <v>0</v>
      </c>
      <c r="BY250" s="38"/>
      <c r="BZ250" s="38">
        <v>0</v>
      </c>
      <c r="CA250" s="38">
        <v>0</v>
      </c>
      <c r="CB250" s="38">
        <v>2.3649158284343565</v>
      </c>
      <c r="CC250" s="38">
        <v>0</v>
      </c>
      <c r="CD250" s="49">
        <v>9999</v>
      </c>
      <c r="CE250" s="38">
        <v>0</v>
      </c>
      <c r="CF250" s="38">
        <v>4.2844961632235785E-2</v>
      </c>
      <c r="CG250" s="38">
        <v>0</v>
      </c>
      <c r="CH250" s="38">
        <v>4.2844961632235785E-2</v>
      </c>
      <c r="CI250" s="38">
        <v>2.1421075928059578E-3</v>
      </c>
      <c r="CJ250" s="38">
        <v>0</v>
      </c>
      <c r="CK250" s="38">
        <v>2.1421075928059578E-3</v>
      </c>
      <c r="CL250" s="38"/>
      <c r="CM250" s="38">
        <v>0</v>
      </c>
      <c r="CN250" s="38"/>
      <c r="CO250" s="38">
        <v>0</v>
      </c>
      <c r="CP250" s="38">
        <v>0</v>
      </c>
      <c r="CQ250" s="38">
        <v>0</v>
      </c>
      <c r="CR250" s="38">
        <v>0</v>
      </c>
      <c r="CS250" s="38">
        <v>0</v>
      </c>
      <c r="CT250" s="38">
        <v>0</v>
      </c>
      <c r="CU250" s="38">
        <v>0</v>
      </c>
      <c r="CV250" s="38">
        <v>9999</v>
      </c>
      <c r="CW250" s="49">
        <v>9999</v>
      </c>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row>
    <row r="251" spans="1:131">
      <c r="A251" s="27" t="s">
        <v>867</v>
      </c>
      <c r="B251" s="27" t="s">
        <v>214</v>
      </c>
      <c r="C251" s="38">
        <v>45</v>
      </c>
      <c r="D251" s="38">
        <v>5.0566292045729426</v>
      </c>
      <c r="E251" s="38">
        <v>0</v>
      </c>
      <c r="F251" s="38">
        <v>0</v>
      </c>
      <c r="G251" s="38">
        <v>0</v>
      </c>
      <c r="H251" s="38">
        <v>0</v>
      </c>
      <c r="I251" s="38" t="s">
        <v>1361</v>
      </c>
      <c r="J251" s="38"/>
      <c r="K251" s="38"/>
      <c r="L251" s="38">
        <v>5.4207064457674417</v>
      </c>
      <c r="M251" s="38">
        <v>0</v>
      </c>
      <c r="N251" s="38">
        <v>0</v>
      </c>
      <c r="O251" s="38">
        <v>0</v>
      </c>
      <c r="P251" s="38">
        <v>0</v>
      </c>
      <c r="Q251" s="38">
        <v>0</v>
      </c>
      <c r="R251" s="38">
        <v>0</v>
      </c>
      <c r="S251" s="38">
        <v>0</v>
      </c>
      <c r="T251" s="38">
        <v>0</v>
      </c>
      <c r="U251" s="38">
        <v>0</v>
      </c>
      <c r="V251" s="38" t="s">
        <v>1584</v>
      </c>
      <c r="W251" s="38" t="s">
        <v>1584</v>
      </c>
      <c r="X251" s="38" t="s">
        <v>1584</v>
      </c>
      <c r="Y251" s="38" t="s">
        <v>1584</v>
      </c>
      <c r="Z251" s="38">
        <v>0</v>
      </c>
      <c r="AA251" s="38">
        <v>0</v>
      </c>
      <c r="AB251" s="38">
        <v>0</v>
      </c>
      <c r="AC251" s="38">
        <v>0</v>
      </c>
      <c r="AD251" s="38">
        <v>0</v>
      </c>
      <c r="AE251" s="38">
        <v>0</v>
      </c>
      <c r="AF251" s="38">
        <v>0</v>
      </c>
      <c r="AG251" s="38">
        <v>0</v>
      </c>
      <c r="AH251" s="38">
        <v>0</v>
      </c>
      <c r="AI251" s="38">
        <v>0</v>
      </c>
      <c r="AJ251" s="38">
        <v>0</v>
      </c>
      <c r="AK251" s="38">
        <v>0</v>
      </c>
      <c r="AL251" s="38">
        <v>0</v>
      </c>
      <c r="AM251" s="38">
        <v>2.8426533737257946</v>
      </c>
      <c r="AN251" s="38">
        <v>0</v>
      </c>
      <c r="AO251" s="38">
        <v>0</v>
      </c>
      <c r="AP251" s="38">
        <v>0</v>
      </c>
      <c r="AQ251" s="38">
        <v>2.8426533737257946</v>
      </c>
      <c r="AR251" s="38">
        <v>0</v>
      </c>
      <c r="AS251" s="49">
        <v>9999</v>
      </c>
      <c r="AT251" s="38">
        <v>2.8426533737257946</v>
      </c>
      <c r="AU251" s="38">
        <v>0</v>
      </c>
      <c r="AV251" s="38">
        <v>0</v>
      </c>
      <c r="AW251" s="38">
        <v>0</v>
      </c>
      <c r="AX251" s="38">
        <v>2.8426533737257946</v>
      </c>
      <c r="AY251" s="38">
        <v>0</v>
      </c>
      <c r="AZ251" s="49">
        <v>9999</v>
      </c>
      <c r="BA251" s="38">
        <v>2.8426533737257946</v>
      </c>
      <c r="BB251" s="38">
        <v>0</v>
      </c>
      <c r="BC251" s="38">
        <v>0</v>
      </c>
      <c r="BD251" s="38">
        <v>0</v>
      </c>
      <c r="BE251" s="38">
        <v>2.8426533737257946</v>
      </c>
      <c r="BF251" s="38">
        <v>0</v>
      </c>
      <c r="BG251" s="38">
        <v>0</v>
      </c>
      <c r="BH251" s="49">
        <v>9999</v>
      </c>
      <c r="BI251" s="38">
        <v>0</v>
      </c>
      <c r="BJ251" s="38">
        <v>0</v>
      </c>
      <c r="BK251" s="38">
        <v>0</v>
      </c>
      <c r="BL251" s="38">
        <v>0</v>
      </c>
      <c r="BM251" s="38">
        <v>0</v>
      </c>
      <c r="BN251" s="38">
        <v>2.8426533737257946</v>
      </c>
      <c r="BO251" s="38">
        <v>0</v>
      </c>
      <c r="BP251" s="38">
        <v>0</v>
      </c>
      <c r="BQ251" s="38">
        <v>0</v>
      </c>
      <c r="BR251" s="38">
        <v>0</v>
      </c>
      <c r="BS251" s="38">
        <v>0</v>
      </c>
      <c r="BT251" s="38">
        <v>0</v>
      </c>
      <c r="BU251" s="38">
        <v>0</v>
      </c>
      <c r="BV251" s="38">
        <v>0</v>
      </c>
      <c r="BW251" s="38">
        <v>0</v>
      </c>
      <c r="BX251" s="38">
        <v>0</v>
      </c>
      <c r="BY251" s="38"/>
      <c r="BZ251" s="38">
        <v>0</v>
      </c>
      <c r="CA251" s="38">
        <v>0</v>
      </c>
      <c r="CB251" s="38">
        <v>2.8426533737257946</v>
      </c>
      <c r="CC251" s="38">
        <v>0</v>
      </c>
      <c r="CD251" s="49">
        <v>9999</v>
      </c>
      <c r="CE251" s="38">
        <v>0</v>
      </c>
      <c r="CF251" s="38">
        <v>5.150008861484854E-2</v>
      </c>
      <c r="CG251" s="38">
        <v>0</v>
      </c>
      <c r="CH251" s="38">
        <v>5.150008861484854E-2</v>
      </c>
      <c r="CI251" s="38">
        <v>2.5748355617395357E-3</v>
      </c>
      <c r="CJ251" s="38">
        <v>0</v>
      </c>
      <c r="CK251" s="38">
        <v>2.5748355617395357E-3</v>
      </c>
      <c r="CL251" s="38"/>
      <c r="CM251" s="38">
        <v>0</v>
      </c>
      <c r="CN251" s="38"/>
      <c r="CO251" s="38">
        <v>0</v>
      </c>
      <c r="CP251" s="38">
        <v>0</v>
      </c>
      <c r="CQ251" s="38">
        <v>0</v>
      </c>
      <c r="CR251" s="38">
        <v>0</v>
      </c>
      <c r="CS251" s="38">
        <v>0</v>
      </c>
      <c r="CT251" s="38">
        <v>0</v>
      </c>
      <c r="CU251" s="38">
        <v>0</v>
      </c>
      <c r="CV251" s="38">
        <v>9999</v>
      </c>
      <c r="CW251" s="49">
        <v>9999</v>
      </c>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row>
    <row r="252" spans="1:131">
      <c r="A252" s="27" t="s">
        <v>868</v>
      </c>
      <c r="B252" s="27" t="s">
        <v>217</v>
      </c>
      <c r="C252" s="38">
        <v>45</v>
      </c>
      <c r="D252" s="38">
        <v>12.999913836925906</v>
      </c>
      <c r="E252" s="38">
        <v>0</v>
      </c>
      <c r="F252" s="38">
        <v>0</v>
      </c>
      <c r="G252" s="38">
        <v>0</v>
      </c>
      <c r="H252" s="38">
        <v>0</v>
      </c>
      <c r="I252" s="38" t="s">
        <v>1361</v>
      </c>
      <c r="J252" s="38"/>
      <c r="K252" s="38"/>
      <c r="L252" s="38">
        <v>13.935907474986994</v>
      </c>
      <c r="M252" s="38">
        <v>0</v>
      </c>
      <c r="N252" s="38">
        <v>0</v>
      </c>
      <c r="O252" s="38">
        <v>0</v>
      </c>
      <c r="P252" s="38">
        <v>0</v>
      </c>
      <c r="Q252" s="38">
        <v>0</v>
      </c>
      <c r="R252" s="38">
        <v>0</v>
      </c>
      <c r="S252" s="38">
        <v>0</v>
      </c>
      <c r="T252" s="38">
        <v>0</v>
      </c>
      <c r="U252" s="38">
        <v>0</v>
      </c>
      <c r="V252" s="38" t="s">
        <v>1584</v>
      </c>
      <c r="W252" s="38" t="s">
        <v>1584</v>
      </c>
      <c r="X252" s="38" t="s">
        <v>1584</v>
      </c>
      <c r="Y252" s="38" t="s">
        <v>1584</v>
      </c>
      <c r="Z252" s="38">
        <v>0</v>
      </c>
      <c r="AA252" s="38">
        <v>0</v>
      </c>
      <c r="AB252" s="38">
        <v>0</v>
      </c>
      <c r="AC252" s="38">
        <v>0</v>
      </c>
      <c r="AD252" s="38">
        <v>0</v>
      </c>
      <c r="AE252" s="38">
        <v>0</v>
      </c>
      <c r="AF252" s="38">
        <v>0</v>
      </c>
      <c r="AG252" s="38">
        <v>0</v>
      </c>
      <c r="AH252" s="38">
        <v>0</v>
      </c>
      <c r="AI252" s="38">
        <v>0</v>
      </c>
      <c r="AJ252" s="38">
        <v>0</v>
      </c>
      <c r="AK252" s="38">
        <v>0</v>
      </c>
      <c r="AL252" s="38">
        <v>0</v>
      </c>
      <c r="AM252" s="38">
        <v>7.3080796379656698</v>
      </c>
      <c r="AN252" s="38">
        <v>0</v>
      </c>
      <c r="AO252" s="38">
        <v>0</v>
      </c>
      <c r="AP252" s="38">
        <v>0</v>
      </c>
      <c r="AQ252" s="38">
        <v>7.3080796379656698</v>
      </c>
      <c r="AR252" s="38">
        <v>0</v>
      </c>
      <c r="AS252" s="49">
        <v>9999</v>
      </c>
      <c r="AT252" s="38">
        <v>7.3080796379656698</v>
      </c>
      <c r="AU252" s="38">
        <v>0</v>
      </c>
      <c r="AV252" s="38">
        <v>0</v>
      </c>
      <c r="AW252" s="38">
        <v>0</v>
      </c>
      <c r="AX252" s="38">
        <v>7.3080796379656698</v>
      </c>
      <c r="AY252" s="38">
        <v>0</v>
      </c>
      <c r="AZ252" s="49">
        <v>9999</v>
      </c>
      <c r="BA252" s="38">
        <v>7.3080796379656698</v>
      </c>
      <c r="BB252" s="38">
        <v>0</v>
      </c>
      <c r="BC252" s="38">
        <v>0</v>
      </c>
      <c r="BD252" s="38">
        <v>0</v>
      </c>
      <c r="BE252" s="38">
        <v>7.3080796379656698</v>
      </c>
      <c r="BF252" s="38">
        <v>0</v>
      </c>
      <c r="BG252" s="38">
        <v>0</v>
      </c>
      <c r="BH252" s="49">
        <v>9999</v>
      </c>
      <c r="BI252" s="38">
        <v>0</v>
      </c>
      <c r="BJ252" s="38">
        <v>0</v>
      </c>
      <c r="BK252" s="38">
        <v>0</v>
      </c>
      <c r="BL252" s="38">
        <v>0</v>
      </c>
      <c r="BM252" s="38">
        <v>0</v>
      </c>
      <c r="BN252" s="38">
        <v>7.3080796379656698</v>
      </c>
      <c r="BO252" s="38">
        <v>0</v>
      </c>
      <c r="BP252" s="38">
        <v>0</v>
      </c>
      <c r="BQ252" s="38">
        <v>0</v>
      </c>
      <c r="BR252" s="38">
        <v>0</v>
      </c>
      <c r="BS252" s="38">
        <v>0</v>
      </c>
      <c r="BT252" s="38">
        <v>0</v>
      </c>
      <c r="BU252" s="38">
        <v>0</v>
      </c>
      <c r="BV252" s="38">
        <v>0</v>
      </c>
      <c r="BW252" s="38">
        <v>0</v>
      </c>
      <c r="BX252" s="38">
        <v>0</v>
      </c>
      <c r="BY252" s="38"/>
      <c r="BZ252" s="38">
        <v>0</v>
      </c>
      <c r="CA252" s="38">
        <v>0</v>
      </c>
      <c r="CB252" s="38">
        <v>7.3080796379656698</v>
      </c>
      <c r="CC252" s="38">
        <v>0</v>
      </c>
      <c r="CD252" s="49">
        <v>9999</v>
      </c>
      <c r="CE252" s="38">
        <v>0</v>
      </c>
      <c r="CF252" s="38">
        <v>0.13239980380242697</v>
      </c>
      <c r="CG252" s="38">
        <v>0</v>
      </c>
      <c r="CH252" s="38">
        <v>0.13239980380242697</v>
      </c>
      <c r="CI252" s="38">
        <v>6.6195560506188229E-3</v>
      </c>
      <c r="CJ252" s="38">
        <v>0</v>
      </c>
      <c r="CK252" s="38">
        <v>6.6195560506188229E-3</v>
      </c>
      <c r="CL252" s="38"/>
      <c r="CM252" s="38">
        <v>0</v>
      </c>
      <c r="CN252" s="38"/>
      <c r="CO252" s="38">
        <v>0</v>
      </c>
      <c r="CP252" s="38">
        <v>0</v>
      </c>
      <c r="CQ252" s="38">
        <v>0</v>
      </c>
      <c r="CR252" s="38">
        <v>0</v>
      </c>
      <c r="CS252" s="38">
        <v>0</v>
      </c>
      <c r="CT252" s="38">
        <v>0</v>
      </c>
      <c r="CU252" s="38">
        <v>0</v>
      </c>
      <c r="CV252" s="38">
        <v>9999</v>
      </c>
      <c r="CW252" s="49">
        <v>9999</v>
      </c>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row>
    <row r="253" spans="1:131">
      <c r="A253" s="27" t="s">
        <v>869</v>
      </c>
      <c r="B253" s="27" t="s">
        <v>218</v>
      </c>
      <c r="C253" s="38">
        <v>45</v>
      </c>
      <c r="D253" s="38">
        <v>-9.6905633573986592</v>
      </c>
      <c r="E253" s="38">
        <v>0</v>
      </c>
      <c r="F253" s="38">
        <v>0</v>
      </c>
      <c r="G253" s="38">
        <v>0</v>
      </c>
      <c r="H253" s="38">
        <v>0</v>
      </c>
      <c r="I253" s="38" t="s">
        <v>1361</v>
      </c>
      <c r="J253" s="38"/>
      <c r="K253" s="38"/>
      <c r="L253" s="38">
        <v>-10.388283801205686</v>
      </c>
      <c r="M253" s="38">
        <v>0</v>
      </c>
      <c r="N253" s="38">
        <v>0</v>
      </c>
      <c r="O253" s="38">
        <v>0</v>
      </c>
      <c r="P253" s="38">
        <v>0</v>
      </c>
      <c r="Q253" s="38">
        <v>0</v>
      </c>
      <c r="R253" s="38">
        <v>0</v>
      </c>
      <c r="S253" s="38">
        <v>0</v>
      </c>
      <c r="T253" s="38">
        <v>0</v>
      </c>
      <c r="U253" s="38">
        <v>0</v>
      </c>
      <c r="V253" s="38" t="s">
        <v>1584</v>
      </c>
      <c r="W253" s="38" t="s">
        <v>1584</v>
      </c>
      <c r="X253" s="38" t="s">
        <v>1584</v>
      </c>
      <c r="Y253" s="38" t="s">
        <v>1584</v>
      </c>
      <c r="Z253" s="38">
        <v>0</v>
      </c>
      <c r="AA253" s="38">
        <v>0</v>
      </c>
      <c r="AB253" s="38">
        <v>0</v>
      </c>
      <c r="AC253" s="38">
        <v>0</v>
      </c>
      <c r="AD253" s="38">
        <v>0</v>
      </c>
      <c r="AE253" s="38">
        <v>0</v>
      </c>
      <c r="AF253" s="38">
        <v>0</v>
      </c>
      <c r="AG253" s="38">
        <v>0</v>
      </c>
      <c r="AH253" s="38">
        <v>0</v>
      </c>
      <c r="AI253" s="38">
        <v>0</v>
      </c>
      <c r="AJ253" s="38">
        <v>0</v>
      </c>
      <c r="AK253" s="38">
        <v>0</v>
      </c>
      <c r="AL253" s="38">
        <v>0</v>
      </c>
      <c r="AM253" s="38">
        <v>-5.4476829339792072</v>
      </c>
      <c r="AN253" s="38">
        <v>0</v>
      </c>
      <c r="AO253" s="38">
        <v>0</v>
      </c>
      <c r="AP253" s="38">
        <v>0</v>
      </c>
      <c r="AQ253" s="38">
        <v>-5.4476829339792072</v>
      </c>
      <c r="AR253" s="38">
        <v>0</v>
      </c>
      <c r="AS253" s="50">
        <v>0</v>
      </c>
      <c r="AT253" s="38">
        <v>-5.4476829339792072</v>
      </c>
      <c r="AU253" s="38">
        <v>0</v>
      </c>
      <c r="AV253" s="38">
        <v>0</v>
      </c>
      <c r="AW253" s="38">
        <v>0</v>
      </c>
      <c r="AX253" s="38">
        <v>-5.4476829339792072</v>
      </c>
      <c r="AY253" s="38">
        <v>0</v>
      </c>
      <c r="AZ253" s="50">
        <v>0</v>
      </c>
      <c r="BA253" s="38">
        <v>-5.4476829339792072</v>
      </c>
      <c r="BB253" s="38">
        <v>0</v>
      </c>
      <c r="BC253" s="38">
        <v>0</v>
      </c>
      <c r="BD253" s="38">
        <v>0</v>
      </c>
      <c r="BE253" s="38">
        <v>-5.4476829339792072</v>
      </c>
      <c r="BF253" s="38">
        <v>0</v>
      </c>
      <c r="BG253" s="38">
        <v>9999</v>
      </c>
      <c r="BH253" s="50">
        <v>0</v>
      </c>
      <c r="BI253" s="38">
        <v>9999</v>
      </c>
      <c r="BJ253" s="38">
        <v>9999</v>
      </c>
      <c r="BK253" s="38">
        <v>9999</v>
      </c>
      <c r="BL253" s="38">
        <v>9999</v>
      </c>
      <c r="BM253" s="38">
        <v>9999</v>
      </c>
      <c r="BN253" s="38">
        <v>-5.4476829339792072</v>
      </c>
      <c r="BO253" s="38">
        <v>0</v>
      </c>
      <c r="BP253" s="38">
        <v>0</v>
      </c>
      <c r="BQ253" s="38">
        <v>0</v>
      </c>
      <c r="BR253" s="38">
        <v>0</v>
      </c>
      <c r="BS253" s="38">
        <v>0</v>
      </c>
      <c r="BT253" s="38">
        <v>0</v>
      </c>
      <c r="BU253" s="38">
        <v>0</v>
      </c>
      <c r="BV253" s="38">
        <v>0</v>
      </c>
      <c r="BW253" s="38">
        <v>0</v>
      </c>
      <c r="BX253" s="38">
        <v>0</v>
      </c>
      <c r="BY253" s="38"/>
      <c r="BZ253" s="38">
        <v>0</v>
      </c>
      <c r="CA253" s="38">
        <v>0</v>
      </c>
      <c r="CB253" s="38">
        <v>-5.4476829339792072</v>
      </c>
      <c r="CC253" s="38">
        <v>0</v>
      </c>
      <c r="CD253" s="50">
        <v>0</v>
      </c>
      <c r="CE253" s="38">
        <v>9999</v>
      </c>
      <c r="CF253" s="38">
        <v>-9.8695168548745341E-2</v>
      </c>
      <c r="CG253" s="38">
        <v>0</v>
      </c>
      <c r="CH253" s="38">
        <v>-9.8695168548745341E-2</v>
      </c>
      <c r="CI253" s="38">
        <v>-4.9344348055727011E-3</v>
      </c>
      <c r="CJ253" s="38">
        <v>0</v>
      </c>
      <c r="CK253" s="38">
        <v>-4.9344348055727011E-3</v>
      </c>
      <c r="CL253" s="38"/>
      <c r="CM253" s="38">
        <v>0</v>
      </c>
      <c r="CN253" s="38"/>
      <c r="CO253" s="38">
        <v>0</v>
      </c>
      <c r="CP253" s="38">
        <v>0</v>
      </c>
      <c r="CQ253" s="38">
        <v>0</v>
      </c>
      <c r="CR253" s="38">
        <v>0</v>
      </c>
      <c r="CS253" s="38">
        <v>0</v>
      </c>
      <c r="CT253" s="38">
        <v>0</v>
      </c>
      <c r="CU253" s="38">
        <v>0</v>
      </c>
      <c r="CV253" s="38">
        <v>9999</v>
      </c>
      <c r="CW253" s="49">
        <v>9999</v>
      </c>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row>
    <row r="254" spans="1:131">
      <c r="A254" s="27" t="s">
        <v>870</v>
      </c>
      <c r="B254" s="27" t="s">
        <v>219</v>
      </c>
      <c r="C254" s="38">
        <v>45</v>
      </c>
      <c r="D254" s="38">
        <v>-10.761087787151384</v>
      </c>
      <c r="E254" s="38">
        <v>0</v>
      </c>
      <c r="F254" s="38">
        <v>0</v>
      </c>
      <c r="G254" s="38">
        <v>0</v>
      </c>
      <c r="H254" s="38">
        <v>0</v>
      </c>
      <c r="I254" s="38" t="s">
        <v>1361</v>
      </c>
      <c r="J254" s="38"/>
      <c r="K254" s="38"/>
      <c r="L254" s="38">
        <v>-11.535885976873262</v>
      </c>
      <c r="M254" s="38">
        <v>0</v>
      </c>
      <c r="N254" s="38">
        <v>0</v>
      </c>
      <c r="O254" s="38">
        <v>0</v>
      </c>
      <c r="P254" s="38">
        <v>0</v>
      </c>
      <c r="Q254" s="38">
        <v>0</v>
      </c>
      <c r="R254" s="38">
        <v>0</v>
      </c>
      <c r="S254" s="38">
        <v>0</v>
      </c>
      <c r="T254" s="38">
        <v>0</v>
      </c>
      <c r="U254" s="38">
        <v>0</v>
      </c>
      <c r="V254" s="38" t="s">
        <v>1584</v>
      </c>
      <c r="W254" s="38" t="s">
        <v>1584</v>
      </c>
      <c r="X254" s="38" t="s">
        <v>1584</v>
      </c>
      <c r="Y254" s="38" t="s">
        <v>1584</v>
      </c>
      <c r="Z254" s="38">
        <v>0</v>
      </c>
      <c r="AA254" s="38">
        <v>0</v>
      </c>
      <c r="AB254" s="38">
        <v>0</v>
      </c>
      <c r="AC254" s="38">
        <v>0</v>
      </c>
      <c r="AD254" s="38">
        <v>0</v>
      </c>
      <c r="AE254" s="38">
        <v>0</v>
      </c>
      <c r="AF254" s="38">
        <v>0</v>
      </c>
      <c r="AG254" s="38">
        <v>0</v>
      </c>
      <c r="AH254" s="38">
        <v>0</v>
      </c>
      <c r="AI254" s="38">
        <v>0</v>
      </c>
      <c r="AJ254" s="38">
        <v>0</v>
      </c>
      <c r="AK254" s="38">
        <v>0</v>
      </c>
      <c r="AL254" s="38">
        <v>0</v>
      </c>
      <c r="AM254" s="38">
        <v>-6.0494929063498128</v>
      </c>
      <c r="AN254" s="38">
        <v>0</v>
      </c>
      <c r="AO254" s="38">
        <v>0</v>
      </c>
      <c r="AP254" s="38">
        <v>0</v>
      </c>
      <c r="AQ254" s="38">
        <v>-6.0494929063498128</v>
      </c>
      <c r="AR254" s="38">
        <v>0</v>
      </c>
      <c r="AS254" s="50">
        <v>0</v>
      </c>
      <c r="AT254" s="38">
        <v>-6.0494929063498128</v>
      </c>
      <c r="AU254" s="38">
        <v>0</v>
      </c>
      <c r="AV254" s="38">
        <v>0</v>
      </c>
      <c r="AW254" s="38">
        <v>0</v>
      </c>
      <c r="AX254" s="38">
        <v>-6.0494929063498128</v>
      </c>
      <c r="AY254" s="38">
        <v>0</v>
      </c>
      <c r="AZ254" s="50">
        <v>0</v>
      </c>
      <c r="BA254" s="38">
        <v>-6.0494929063498128</v>
      </c>
      <c r="BB254" s="38">
        <v>0</v>
      </c>
      <c r="BC254" s="38">
        <v>0</v>
      </c>
      <c r="BD254" s="38">
        <v>0</v>
      </c>
      <c r="BE254" s="38">
        <v>-6.0494929063498128</v>
      </c>
      <c r="BF254" s="38">
        <v>0</v>
      </c>
      <c r="BG254" s="38">
        <v>9999</v>
      </c>
      <c r="BH254" s="50">
        <v>0</v>
      </c>
      <c r="BI254" s="38">
        <v>9999</v>
      </c>
      <c r="BJ254" s="38">
        <v>9999</v>
      </c>
      <c r="BK254" s="38">
        <v>9999</v>
      </c>
      <c r="BL254" s="38">
        <v>9999</v>
      </c>
      <c r="BM254" s="38">
        <v>9999</v>
      </c>
      <c r="BN254" s="38">
        <v>-6.0494929063498128</v>
      </c>
      <c r="BO254" s="38">
        <v>0</v>
      </c>
      <c r="BP254" s="38">
        <v>0</v>
      </c>
      <c r="BQ254" s="38">
        <v>0</v>
      </c>
      <c r="BR254" s="38">
        <v>0</v>
      </c>
      <c r="BS254" s="38">
        <v>0</v>
      </c>
      <c r="BT254" s="38">
        <v>0</v>
      </c>
      <c r="BU254" s="38">
        <v>0</v>
      </c>
      <c r="BV254" s="38">
        <v>0</v>
      </c>
      <c r="BW254" s="38">
        <v>0</v>
      </c>
      <c r="BX254" s="38">
        <v>0</v>
      </c>
      <c r="BY254" s="38"/>
      <c r="BZ254" s="38">
        <v>0</v>
      </c>
      <c r="CA254" s="38">
        <v>0</v>
      </c>
      <c r="CB254" s="38">
        <v>-6.0494929063498128</v>
      </c>
      <c r="CC254" s="38">
        <v>0</v>
      </c>
      <c r="CD254" s="50">
        <v>0</v>
      </c>
      <c r="CE254" s="38">
        <v>9999</v>
      </c>
      <c r="CF254" s="38">
        <v>-0.10959810423300843</v>
      </c>
      <c r="CG254" s="38">
        <v>0</v>
      </c>
      <c r="CH254" s="38">
        <v>-0.10959810423300843</v>
      </c>
      <c r="CI254" s="38">
        <v>-5.4795458390147992E-3</v>
      </c>
      <c r="CJ254" s="38">
        <v>0</v>
      </c>
      <c r="CK254" s="38">
        <v>-5.4795458390147992E-3</v>
      </c>
      <c r="CL254" s="38"/>
      <c r="CM254" s="38">
        <v>0</v>
      </c>
      <c r="CN254" s="38"/>
      <c r="CO254" s="38">
        <v>0</v>
      </c>
      <c r="CP254" s="38">
        <v>0</v>
      </c>
      <c r="CQ254" s="38">
        <v>0</v>
      </c>
      <c r="CR254" s="38">
        <v>0</v>
      </c>
      <c r="CS254" s="38">
        <v>0</v>
      </c>
      <c r="CT254" s="38">
        <v>0</v>
      </c>
      <c r="CU254" s="38">
        <v>0</v>
      </c>
      <c r="CV254" s="38">
        <v>9999</v>
      </c>
      <c r="CW254" s="49">
        <v>9999</v>
      </c>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row>
    <row r="255" spans="1:131">
      <c r="A255" s="27" t="s">
        <v>871</v>
      </c>
      <c r="B255" s="27" t="s">
        <v>220</v>
      </c>
      <c r="C255" s="38">
        <v>45</v>
      </c>
      <c r="D255" s="38">
        <v>-11.461256076474838</v>
      </c>
      <c r="E255" s="38">
        <v>0</v>
      </c>
      <c r="F255" s="38">
        <v>0</v>
      </c>
      <c r="G255" s="38">
        <v>0</v>
      </c>
      <c r="H255" s="38">
        <v>0</v>
      </c>
      <c r="I255" s="38" t="s">
        <v>1361</v>
      </c>
      <c r="J255" s="38"/>
      <c r="K255" s="38"/>
      <c r="L255" s="38">
        <v>-12.286466374507569</v>
      </c>
      <c r="M255" s="38">
        <v>0</v>
      </c>
      <c r="N255" s="38">
        <v>0</v>
      </c>
      <c r="O255" s="38">
        <v>0</v>
      </c>
      <c r="P255" s="38">
        <v>0</v>
      </c>
      <c r="Q255" s="38">
        <v>0</v>
      </c>
      <c r="R255" s="38">
        <v>0</v>
      </c>
      <c r="S255" s="38">
        <v>0</v>
      </c>
      <c r="T255" s="38">
        <v>0</v>
      </c>
      <c r="U255" s="38">
        <v>0</v>
      </c>
      <c r="V255" s="38" t="s">
        <v>1584</v>
      </c>
      <c r="W255" s="38" t="s">
        <v>1584</v>
      </c>
      <c r="X255" s="38" t="s">
        <v>1584</v>
      </c>
      <c r="Y255" s="38" t="s">
        <v>1584</v>
      </c>
      <c r="Z255" s="38">
        <v>0</v>
      </c>
      <c r="AA255" s="38">
        <v>0</v>
      </c>
      <c r="AB255" s="38">
        <v>0</v>
      </c>
      <c r="AC255" s="38">
        <v>0</v>
      </c>
      <c r="AD255" s="38">
        <v>0</v>
      </c>
      <c r="AE255" s="38">
        <v>0</v>
      </c>
      <c r="AF255" s="38">
        <v>0</v>
      </c>
      <c r="AG255" s="38">
        <v>0</v>
      </c>
      <c r="AH255" s="38">
        <v>0</v>
      </c>
      <c r="AI255" s="38">
        <v>0</v>
      </c>
      <c r="AJ255" s="38">
        <v>0</v>
      </c>
      <c r="AK255" s="38">
        <v>0</v>
      </c>
      <c r="AL255" s="38">
        <v>0</v>
      </c>
      <c r="AM255" s="38">
        <v>-6.443102101190755</v>
      </c>
      <c r="AN255" s="38">
        <v>0</v>
      </c>
      <c r="AO255" s="38">
        <v>0</v>
      </c>
      <c r="AP255" s="38">
        <v>0</v>
      </c>
      <c r="AQ255" s="38">
        <v>-6.443102101190755</v>
      </c>
      <c r="AR255" s="38">
        <v>0</v>
      </c>
      <c r="AS255" s="50">
        <v>0</v>
      </c>
      <c r="AT255" s="38">
        <v>-6.443102101190755</v>
      </c>
      <c r="AU255" s="38">
        <v>0</v>
      </c>
      <c r="AV255" s="38">
        <v>0</v>
      </c>
      <c r="AW255" s="38">
        <v>0</v>
      </c>
      <c r="AX255" s="38">
        <v>-6.443102101190755</v>
      </c>
      <c r="AY255" s="38">
        <v>0</v>
      </c>
      <c r="AZ255" s="50">
        <v>0</v>
      </c>
      <c r="BA255" s="38">
        <v>-6.443102101190755</v>
      </c>
      <c r="BB255" s="38">
        <v>0</v>
      </c>
      <c r="BC255" s="38">
        <v>0</v>
      </c>
      <c r="BD255" s="38">
        <v>0</v>
      </c>
      <c r="BE255" s="38">
        <v>-6.443102101190755</v>
      </c>
      <c r="BF255" s="38">
        <v>0</v>
      </c>
      <c r="BG255" s="38">
        <v>9999</v>
      </c>
      <c r="BH255" s="50">
        <v>0</v>
      </c>
      <c r="BI255" s="38">
        <v>9999</v>
      </c>
      <c r="BJ255" s="38">
        <v>9999</v>
      </c>
      <c r="BK255" s="38">
        <v>9999</v>
      </c>
      <c r="BL255" s="38">
        <v>9999</v>
      </c>
      <c r="BM255" s="38">
        <v>9999</v>
      </c>
      <c r="BN255" s="38">
        <v>-6.443102101190755</v>
      </c>
      <c r="BO255" s="38">
        <v>0</v>
      </c>
      <c r="BP255" s="38">
        <v>0</v>
      </c>
      <c r="BQ255" s="38">
        <v>0</v>
      </c>
      <c r="BR255" s="38">
        <v>0</v>
      </c>
      <c r="BS255" s="38">
        <v>0</v>
      </c>
      <c r="BT255" s="38">
        <v>0</v>
      </c>
      <c r="BU255" s="38">
        <v>0</v>
      </c>
      <c r="BV255" s="38">
        <v>0</v>
      </c>
      <c r="BW255" s="38">
        <v>0</v>
      </c>
      <c r="BX255" s="38">
        <v>0</v>
      </c>
      <c r="BY255" s="38"/>
      <c r="BZ255" s="38">
        <v>0</v>
      </c>
      <c r="CA255" s="38">
        <v>0</v>
      </c>
      <c r="CB255" s="38">
        <v>-6.443102101190755</v>
      </c>
      <c r="CC255" s="38">
        <v>0</v>
      </c>
      <c r="CD255" s="50">
        <v>0</v>
      </c>
      <c r="CE255" s="38">
        <v>9999</v>
      </c>
      <c r="CF255" s="38">
        <v>-0.11672908566088459</v>
      </c>
      <c r="CG255" s="38">
        <v>0</v>
      </c>
      <c r="CH255" s="38">
        <v>-0.11672908566088459</v>
      </c>
      <c r="CI255" s="38">
        <v>-5.8360715278910954E-3</v>
      </c>
      <c r="CJ255" s="38">
        <v>0</v>
      </c>
      <c r="CK255" s="38">
        <v>-5.8360715278910954E-3</v>
      </c>
      <c r="CL255" s="38"/>
      <c r="CM255" s="38">
        <v>0</v>
      </c>
      <c r="CN255" s="38"/>
      <c r="CO255" s="38">
        <v>0</v>
      </c>
      <c r="CP255" s="38">
        <v>0</v>
      </c>
      <c r="CQ255" s="38">
        <v>0</v>
      </c>
      <c r="CR255" s="38">
        <v>0</v>
      </c>
      <c r="CS255" s="38">
        <v>0</v>
      </c>
      <c r="CT255" s="38">
        <v>0</v>
      </c>
      <c r="CU255" s="38">
        <v>0</v>
      </c>
      <c r="CV255" s="38">
        <v>9999</v>
      </c>
      <c r="CW255" s="49">
        <v>9999</v>
      </c>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row>
    <row r="256" spans="1:131">
      <c r="A256" s="27" t="s">
        <v>872</v>
      </c>
      <c r="B256" s="27" t="s">
        <v>221</v>
      </c>
      <c r="C256" s="38">
        <v>45</v>
      </c>
      <c r="D256" s="38">
        <v>22.326386216265778</v>
      </c>
      <c r="E256" s="38">
        <v>0</v>
      </c>
      <c r="F256" s="38">
        <v>0</v>
      </c>
      <c r="G256" s="38">
        <v>0</v>
      </c>
      <c r="H256" s="38">
        <v>0</v>
      </c>
      <c r="I256" s="38" t="s">
        <v>1361</v>
      </c>
      <c r="J256" s="38"/>
      <c r="K256" s="38"/>
      <c r="L256" s="38">
        <v>23.933885752144331</v>
      </c>
      <c r="M256" s="38">
        <v>0</v>
      </c>
      <c r="N256" s="38">
        <v>0</v>
      </c>
      <c r="O256" s="38">
        <v>0</v>
      </c>
      <c r="P256" s="38">
        <v>0</v>
      </c>
      <c r="Q256" s="38">
        <v>0</v>
      </c>
      <c r="R256" s="38">
        <v>0</v>
      </c>
      <c r="S256" s="38">
        <v>0</v>
      </c>
      <c r="T256" s="38">
        <v>0</v>
      </c>
      <c r="U256" s="38">
        <v>0</v>
      </c>
      <c r="V256" s="38" t="s">
        <v>1584</v>
      </c>
      <c r="W256" s="38" t="s">
        <v>1584</v>
      </c>
      <c r="X256" s="38" t="s">
        <v>1584</v>
      </c>
      <c r="Y256" s="38" t="s">
        <v>1584</v>
      </c>
      <c r="Z256" s="38">
        <v>0</v>
      </c>
      <c r="AA256" s="38">
        <v>0</v>
      </c>
      <c r="AB256" s="38">
        <v>0</v>
      </c>
      <c r="AC256" s="38">
        <v>0</v>
      </c>
      <c r="AD256" s="38">
        <v>0</v>
      </c>
      <c r="AE256" s="38">
        <v>0</v>
      </c>
      <c r="AF256" s="38">
        <v>0</v>
      </c>
      <c r="AG256" s="38">
        <v>0</v>
      </c>
      <c r="AH256" s="38">
        <v>0</v>
      </c>
      <c r="AI256" s="38">
        <v>0</v>
      </c>
      <c r="AJ256" s="38">
        <v>0</v>
      </c>
      <c r="AK256" s="38">
        <v>0</v>
      </c>
      <c r="AL256" s="38">
        <v>0</v>
      </c>
      <c r="AM256" s="38">
        <v>12.551083841262807</v>
      </c>
      <c r="AN256" s="38">
        <v>0</v>
      </c>
      <c r="AO256" s="38">
        <v>0</v>
      </c>
      <c r="AP256" s="38">
        <v>0</v>
      </c>
      <c r="AQ256" s="38">
        <v>12.551083841262807</v>
      </c>
      <c r="AR256" s="38">
        <v>0</v>
      </c>
      <c r="AS256" s="49">
        <v>9999</v>
      </c>
      <c r="AT256" s="38">
        <v>12.551083841262807</v>
      </c>
      <c r="AU256" s="38">
        <v>0</v>
      </c>
      <c r="AV256" s="38">
        <v>0</v>
      </c>
      <c r="AW256" s="38">
        <v>0</v>
      </c>
      <c r="AX256" s="38">
        <v>12.551083841262807</v>
      </c>
      <c r="AY256" s="38">
        <v>0</v>
      </c>
      <c r="AZ256" s="49">
        <v>9999</v>
      </c>
      <c r="BA256" s="38">
        <v>12.551083841262807</v>
      </c>
      <c r="BB256" s="38">
        <v>0</v>
      </c>
      <c r="BC256" s="38">
        <v>0</v>
      </c>
      <c r="BD256" s="38">
        <v>0</v>
      </c>
      <c r="BE256" s="38">
        <v>12.551083841262807</v>
      </c>
      <c r="BF256" s="38">
        <v>0</v>
      </c>
      <c r="BG256" s="38">
        <v>0</v>
      </c>
      <c r="BH256" s="49">
        <v>9999</v>
      </c>
      <c r="BI256" s="38">
        <v>0</v>
      </c>
      <c r="BJ256" s="38">
        <v>0</v>
      </c>
      <c r="BK256" s="38">
        <v>0</v>
      </c>
      <c r="BL256" s="38">
        <v>0</v>
      </c>
      <c r="BM256" s="38">
        <v>0</v>
      </c>
      <c r="BN256" s="38">
        <v>12.551083841262807</v>
      </c>
      <c r="BO256" s="38">
        <v>0</v>
      </c>
      <c r="BP256" s="38">
        <v>0</v>
      </c>
      <c r="BQ256" s="38">
        <v>0</v>
      </c>
      <c r="BR256" s="38">
        <v>0</v>
      </c>
      <c r="BS256" s="38">
        <v>0</v>
      </c>
      <c r="BT256" s="38">
        <v>0</v>
      </c>
      <c r="BU256" s="38">
        <v>0</v>
      </c>
      <c r="BV256" s="38">
        <v>0</v>
      </c>
      <c r="BW256" s="38">
        <v>0</v>
      </c>
      <c r="BX256" s="38">
        <v>0</v>
      </c>
      <c r="BY256" s="38"/>
      <c r="BZ256" s="38">
        <v>0</v>
      </c>
      <c r="CA256" s="38">
        <v>0</v>
      </c>
      <c r="CB256" s="38">
        <v>12.551083841262807</v>
      </c>
      <c r="CC256" s="38">
        <v>0</v>
      </c>
      <c r="CD256" s="49">
        <v>9999</v>
      </c>
      <c r="CE256" s="38">
        <v>0</v>
      </c>
      <c r="CF256" s="38">
        <v>0.22738682669221491</v>
      </c>
      <c r="CG256" s="38">
        <v>0</v>
      </c>
      <c r="CH256" s="38">
        <v>0.22738682669221491</v>
      </c>
      <c r="CI256" s="38">
        <v>1.1368595732268557E-2</v>
      </c>
      <c r="CJ256" s="38">
        <v>0</v>
      </c>
      <c r="CK256" s="38">
        <v>1.1368595732268557E-2</v>
      </c>
      <c r="CL256" s="38"/>
      <c r="CM256" s="38">
        <v>0</v>
      </c>
      <c r="CN256" s="38"/>
      <c r="CO256" s="38">
        <v>0</v>
      </c>
      <c r="CP256" s="38">
        <v>0</v>
      </c>
      <c r="CQ256" s="38">
        <v>0</v>
      </c>
      <c r="CR256" s="38">
        <v>0</v>
      </c>
      <c r="CS256" s="38">
        <v>0</v>
      </c>
      <c r="CT256" s="38">
        <v>0</v>
      </c>
      <c r="CU256" s="38">
        <v>0</v>
      </c>
      <c r="CV256" s="38">
        <v>9999</v>
      </c>
      <c r="CW256" s="49">
        <v>9999</v>
      </c>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row>
    <row r="257" spans="1:131">
      <c r="A257" s="27" t="s">
        <v>873</v>
      </c>
      <c r="B257" s="27" t="s">
        <v>222</v>
      </c>
      <c r="C257" s="38">
        <v>45</v>
      </c>
      <c r="D257" s="38">
        <v>27.37138430251478</v>
      </c>
      <c r="E257" s="38">
        <v>0</v>
      </c>
      <c r="F257" s="38">
        <v>0</v>
      </c>
      <c r="G257" s="38">
        <v>0</v>
      </c>
      <c r="H257" s="38">
        <v>0</v>
      </c>
      <c r="I257" s="38" t="s">
        <v>1361</v>
      </c>
      <c r="J257" s="38"/>
      <c r="K257" s="38"/>
      <c r="L257" s="38">
        <v>29.342123639210048</v>
      </c>
      <c r="M257" s="38">
        <v>0</v>
      </c>
      <c r="N257" s="38">
        <v>0</v>
      </c>
      <c r="O257" s="38">
        <v>0</v>
      </c>
      <c r="P257" s="38">
        <v>0</v>
      </c>
      <c r="Q257" s="38">
        <v>0</v>
      </c>
      <c r="R257" s="38">
        <v>0</v>
      </c>
      <c r="S257" s="38">
        <v>0</v>
      </c>
      <c r="T257" s="38">
        <v>0</v>
      </c>
      <c r="U257" s="38">
        <v>0</v>
      </c>
      <c r="V257" s="38" t="s">
        <v>1584</v>
      </c>
      <c r="W257" s="38" t="s">
        <v>1584</v>
      </c>
      <c r="X257" s="38" t="s">
        <v>1584</v>
      </c>
      <c r="Y257" s="38" t="s">
        <v>1584</v>
      </c>
      <c r="Z257" s="38">
        <v>0</v>
      </c>
      <c r="AA257" s="38">
        <v>0</v>
      </c>
      <c r="AB257" s="38">
        <v>0</v>
      </c>
      <c r="AC257" s="38">
        <v>0</v>
      </c>
      <c r="AD257" s="38">
        <v>0</v>
      </c>
      <c r="AE257" s="38">
        <v>0</v>
      </c>
      <c r="AF257" s="38">
        <v>0</v>
      </c>
      <c r="AG257" s="38">
        <v>0</v>
      </c>
      <c r="AH257" s="38">
        <v>0</v>
      </c>
      <c r="AI257" s="38">
        <v>0</v>
      </c>
      <c r="AJ257" s="38">
        <v>0</v>
      </c>
      <c r="AK257" s="38">
        <v>0</v>
      </c>
      <c r="AL257" s="38">
        <v>0</v>
      </c>
      <c r="AM257" s="38">
        <v>15.38719862249819</v>
      </c>
      <c r="AN257" s="38">
        <v>0</v>
      </c>
      <c r="AO257" s="38">
        <v>0</v>
      </c>
      <c r="AP257" s="38">
        <v>0</v>
      </c>
      <c r="AQ257" s="38">
        <v>15.38719862249819</v>
      </c>
      <c r="AR257" s="38">
        <v>0</v>
      </c>
      <c r="AS257" s="49">
        <v>9999</v>
      </c>
      <c r="AT257" s="38">
        <v>15.38719862249819</v>
      </c>
      <c r="AU257" s="38">
        <v>0</v>
      </c>
      <c r="AV257" s="38">
        <v>0</v>
      </c>
      <c r="AW257" s="38">
        <v>0</v>
      </c>
      <c r="AX257" s="38">
        <v>15.38719862249819</v>
      </c>
      <c r="AY257" s="38">
        <v>0</v>
      </c>
      <c r="AZ257" s="49">
        <v>9999</v>
      </c>
      <c r="BA257" s="38">
        <v>15.38719862249819</v>
      </c>
      <c r="BB257" s="38">
        <v>0</v>
      </c>
      <c r="BC257" s="38">
        <v>0</v>
      </c>
      <c r="BD257" s="38">
        <v>0</v>
      </c>
      <c r="BE257" s="38">
        <v>15.38719862249819</v>
      </c>
      <c r="BF257" s="38">
        <v>0</v>
      </c>
      <c r="BG257" s="38">
        <v>0</v>
      </c>
      <c r="BH257" s="49">
        <v>9999</v>
      </c>
      <c r="BI257" s="38">
        <v>0</v>
      </c>
      <c r="BJ257" s="38">
        <v>0</v>
      </c>
      <c r="BK257" s="38">
        <v>0</v>
      </c>
      <c r="BL257" s="38">
        <v>0</v>
      </c>
      <c r="BM257" s="38">
        <v>0</v>
      </c>
      <c r="BN257" s="38">
        <v>15.38719862249819</v>
      </c>
      <c r="BO257" s="38">
        <v>0</v>
      </c>
      <c r="BP257" s="38">
        <v>0</v>
      </c>
      <c r="BQ257" s="38">
        <v>0</v>
      </c>
      <c r="BR257" s="38">
        <v>0</v>
      </c>
      <c r="BS257" s="38">
        <v>0</v>
      </c>
      <c r="BT257" s="38">
        <v>0</v>
      </c>
      <c r="BU257" s="38">
        <v>0</v>
      </c>
      <c r="BV257" s="38">
        <v>0</v>
      </c>
      <c r="BW257" s="38">
        <v>0</v>
      </c>
      <c r="BX257" s="38">
        <v>0</v>
      </c>
      <c r="BY257" s="38"/>
      <c r="BZ257" s="38">
        <v>0</v>
      </c>
      <c r="CA257" s="38">
        <v>0</v>
      </c>
      <c r="CB257" s="38">
        <v>15.38719862249819</v>
      </c>
      <c r="CC257" s="38">
        <v>0</v>
      </c>
      <c r="CD257" s="49">
        <v>9999</v>
      </c>
      <c r="CE257" s="38">
        <v>0</v>
      </c>
      <c r="CF257" s="38">
        <v>0.27876845623084062</v>
      </c>
      <c r="CG257" s="38">
        <v>0</v>
      </c>
      <c r="CH257" s="38">
        <v>0.27876845623084062</v>
      </c>
      <c r="CI257" s="38">
        <v>1.3937508728624773E-2</v>
      </c>
      <c r="CJ257" s="38">
        <v>0</v>
      </c>
      <c r="CK257" s="38">
        <v>1.3937508728624773E-2</v>
      </c>
      <c r="CL257" s="38"/>
      <c r="CM257" s="38">
        <v>0</v>
      </c>
      <c r="CN257" s="38"/>
      <c r="CO257" s="38">
        <v>0</v>
      </c>
      <c r="CP257" s="38">
        <v>0</v>
      </c>
      <c r="CQ257" s="38">
        <v>0</v>
      </c>
      <c r="CR257" s="38">
        <v>0</v>
      </c>
      <c r="CS257" s="38">
        <v>0</v>
      </c>
      <c r="CT257" s="38">
        <v>0</v>
      </c>
      <c r="CU257" s="38">
        <v>0</v>
      </c>
      <c r="CV257" s="38">
        <v>9999</v>
      </c>
      <c r="CW257" s="49">
        <v>9999</v>
      </c>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row>
    <row r="258" spans="1:131">
      <c r="A258" s="27" t="s">
        <v>874</v>
      </c>
      <c r="B258" s="27" t="s">
        <v>224</v>
      </c>
      <c r="C258" s="38">
        <v>45</v>
      </c>
      <c r="D258" s="38">
        <v>24.068388808939833</v>
      </c>
      <c r="E258" s="38">
        <v>0</v>
      </c>
      <c r="F258" s="38">
        <v>0</v>
      </c>
      <c r="G258" s="38">
        <v>0</v>
      </c>
      <c r="H258" s="38">
        <v>0</v>
      </c>
      <c r="I258" s="38" t="s">
        <v>1361</v>
      </c>
      <c r="J258" s="38"/>
      <c r="K258" s="38"/>
      <c r="L258" s="38">
        <v>25.80131251029227</v>
      </c>
      <c r="M258" s="38">
        <v>0</v>
      </c>
      <c r="N258" s="38">
        <v>0</v>
      </c>
      <c r="O258" s="38">
        <v>0</v>
      </c>
      <c r="P258" s="38">
        <v>0</v>
      </c>
      <c r="Q258" s="38">
        <v>0</v>
      </c>
      <c r="R258" s="38">
        <v>0</v>
      </c>
      <c r="S258" s="38">
        <v>0</v>
      </c>
      <c r="T258" s="38">
        <v>0</v>
      </c>
      <c r="U258" s="38">
        <v>0</v>
      </c>
      <c r="V258" s="38" t="s">
        <v>1584</v>
      </c>
      <c r="W258" s="38" t="s">
        <v>1584</v>
      </c>
      <c r="X258" s="38" t="s">
        <v>1584</v>
      </c>
      <c r="Y258" s="38" t="s">
        <v>1584</v>
      </c>
      <c r="Z258" s="38">
        <v>0</v>
      </c>
      <c r="AA258" s="38">
        <v>0</v>
      </c>
      <c r="AB258" s="38">
        <v>0</v>
      </c>
      <c r="AC258" s="38">
        <v>0</v>
      </c>
      <c r="AD258" s="38">
        <v>0</v>
      </c>
      <c r="AE258" s="38">
        <v>0</v>
      </c>
      <c r="AF258" s="38">
        <v>0</v>
      </c>
      <c r="AG258" s="38">
        <v>0</v>
      </c>
      <c r="AH258" s="38">
        <v>0</v>
      </c>
      <c r="AI258" s="38">
        <v>0</v>
      </c>
      <c r="AJ258" s="38">
        <v>0</v>
      </c>
      <c r="AK258" s="38">
        <v>0</v>
      </c>
      <c r="AL258" s="38">
        <v>0</v>
      </c>
      <c r="AM258" s="38">
        <v>13.53037446091624</v>
      </c>
      <c r="AN258" s="38">
        <v>0</v>
      </c>
      <c r="AO258" s="38">
        <v>0</v>
      </c>
      <c r="AP258" s="38">
        <v>0</v>
      </c>
      <c r="AQ258" s="38">
        <v>13.53037446091624</v>
      </c>
      <c r="AR258" s="38">
        <v>0</v>
      </c>
      <c r="AS258" s="49">
        <v>9999</v>
      </c>
      <c r="AT258" s="38">
        <v>13.53037446091624</v>
      </c>
      <c r="AU258" s="38">
        <v>0</v>
      </c>
      <c r="AV258" s="38">
        <v>0</v>
      </c>
      <c r="AW258" s="38">
        <v>0</v>
      </c>
      <c r="AX258" s="38">
        <v>13.53037446091624</v>
      </c>
      <c r="AY258" s="38">
        <v>0</v>
      </c>
      <c r="AZ258" s="49">
        <v>9999</v>
      </c>
      <c r="BA258" s="38">
        <v>13.53037446091624</v>
      </c>
      <c r="BB258" s="38">
        <v>0</v>
      </c>
      <c r="BC258" s="38">
        <v>0</v>
      </c>
      <c r="BD258" s="38">
        <v>0</v>
      </c>
      <c r="BE258" s="38">
        <v>13.53037446091624</v>
      </c>
      <c r="BF258" s="38">
        <v>0</v>
      </c>
      <c r="BG258" s="38">
        <v>0</v>
      </c>
      <c r="BH258" s="49">
        <v>9999</v>
      </c>
      <c r="BI258" s="38">
        <v>0</v>
      </c>
      <c r="BJ258" s="38">
        <v>0</v>
      </c>
      <c r="BK258" s="38">
        <v>0</v>
      </c>
      <c r="BL258" s="38">
        <v>0</v>
      </c>
      <c r="BM258" s="38">
        <v>0</v>
      </c>
      <c r="BN258" s="38">
        <v>13.53037446091624</v>
      </c>
      <c r="BO258" s="38">
        <v>0</v>
      </c>
      <c r="BP258" s="38">
        <v>0</v>
      </c>
      <c r="BQ258" s="38">
        <v>0</v>
      </c>
      <c r="BR258" s="38">
        <v>0</v>
      </c>
      <c r="BS258" s="38">
        <v>0</v>
      </c>
      <c r="BT258" s="38">
        <v>0</v>
      </c>
      <c r="BU258" s="38">
        <v>0</v>
      </c>
      <c r="BV258" s="38">
        <v>0</v>
      </c>
      <c r="BW258" s="38">
        <v>0</v>
      </c>
      <c r="BX258" s="38">
        <v>0</v>
      </c>
      <c r="BY258" s="38"/>
      <c r="BZ258" s="38">
        <v>0</v>
      </c>
      <c r="CA258" s="38">
        <v>0</v>
      </c>
      <c r="CB258" s="38">
        <v>13.53037446091624</v>
      </c>
      <c r="CC258" s="38">
        <v>0</v>
      </c>
      <c r="CD258" s="49">
        <v>9999</v>
      </c>
      <c r="CE258" s="38">
        <v>0</v>
      </c>
      <c r="CF258" s="38">
        <v>0.24512854439793028</v>
      </c>
      <c r="CG258" s="38">
        <v>0</v>
      </c>
      <c r="CH258" s="38">
        <v>0.24512854439793028</v>
      </c>
      <c r="CI258" s="38">
        <v>1.2255623442388831E-2</v>
      </c>
      <c r="CJ258" s="38">
        <v>0</v>
      </c>
      <c r="CK258" s="38">
        <v>1.2255623442388831E-2</v>
      </c>
      <c r="CL258" s="38"/>
      <c r="CM258" s="38">
        <v>0</v>
      </c>
      <c r="CN258" s="38"/>
      <c r="CO258" s="38">
        <v>0</v>
      </c>
      <c r="CP258" s="38">
        <v>0</v>
      </c>
      <c r="CQ258" s="38">
        <v>0</v>
      </c>
      <c r="CR258" s="38">
        <v>0</v>
      </c>
      <c r="CS258" s="38">
        <v>0</v>
      </c>
      <c r="CT258" s="38">
        <v>0</v>
      </c>
      <c r="CU258" s="38">
        <v>0</v>
      </c>
      <c r="CV258" s="38">
        <v>9999</v>
      </c>
      <c r="CW258" s="49">
        <v>9999</v>
      </c>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row>
    <row r="259" spans="1:131">
      <c r="A259" s="27" t="s">
        <v>875</v>
      </c>
      <c r="B259" s="27" t="s">
        <v>225</v>
      </c>
      <c r="C259" s="38">
        <v>45</v>
      </c>
      <c r="D259" s="38">
        <v>29.113386895188835</v>
      </c>
      <c r="E259" s="38">
        <v>0</v>
      </c>
      <c r="F259" s="38">
        <v>0</v>
      </c>
      <c r="G259" s="38">
        <v>0</v>
      </c>
      <c r="H259" s="38">
        <v>0</v>
      </c>
      <c r="I259" s="38" t="s">
        <v>1361</v>
      </c>
      <c r="J259" s="38"/>
      <c r="K259" s="38"/>
      <c r="L259" s="38">
        <v>31.209550397357987</v>
      </c>
      <c r="M259" s="38">
        <v>0</v>
      </c>
      <c r="N259" s="38">
        <v>0</v>
      </c>
      <c r="O259" s="38">
        <v>0</v>
      </c>
      <c r="P259" s="38">
        <v>0</v>
      </c>
      <c r="Q259" s="38">
        <v>0</v>
      </c>
      <c r="R259" s="38">
        <v>0</v>
      </c>
      <c r="S259" s="38">
        <v>0</v>
      </c>
      <c r="T259" s="38">
        <v>0</v>
      </c>
      <c r="U259" s="38">
        <v>0</v>
      </c>
      <c r="V259" s="38" t="s">
        <v>1584</v>
      </c>
      <c r="W259" s="38" t="s">
        <v>1584</v>
      </c>
      <c r="X259" s="38" t="s">
        <v>1584</v>
      </c>
      <c r="Y259" s="38" t="s">
        <v>1584</v>
      </c>
      <c r="Z259" s="38">
        <v>0</v>
      </c>
      <c r="AA259" s="38">
        <v>0</v>
      </c>
      <c r="AB259" s="38">
        <v>0</v>
      </c>
      <c r="AC259" s="38">
        <v>0</v>
      </c>
      <c r="AD259" s="38">
        <v>0</v>
      </c>
      <c r="AE259" s="38">
        <v>0</v>
      </c>
      <c r="AF259" s="38">
        <v>0</v>
      </c>
      <c r="AG259" s="38">
        <v>0</v>
      </c>
      <c r="AH259" s="38">
        <v>0</v>
      </c>
      <c r="AI259" s="38">
        <v>0</v>
      </c>
      <c r="AJ259" s="38">
        <v>0</v>
      </c>
      <c r="AK259" s="38">
        <v>0</v>
      </c>
      <c r="AL259" s="38">
        <v>0</v>
      </c>
      <c r="AM259" s="38">
        <v>16.366489242151651</v>
      </c>
      <c r="AN259" s="38">
        <v>0</v>
      </c>
      <c r="AO259" s="38">
        <v>0</v>
      </c>
      <c r="AP259" s="38">
        <v>0</v>
      </c>
      <c r="AQ259" s="38">
        <v>16.366489242151651</v>
      </c>
      <c r="AR259" s="38">
        <v>0</v>
      </c>
      <c r="AS259" s="49">
        <v>9999</v>
      </c>
      <c r="AT259" s="38">
        <v>16.366489242151651</v>
      </c>
      <c r="AU259" s="38">
        <v>0</v>
      </c>
      <c r="AV259" s="38">
        <v>0</v>
      </c>
      <c r="AW259" s="38">
        <v>0</v>
      </c>
      <c r="AX259" s="38">
        <v>16.366489242151651</v>
      </c>
      <c r="AY259" s="38">
        <v>0</v>
      </c>
      <c r="AZ259" s="49">
        <v>9999</v>
      </c>
      <c r="BA259" s="38">
        <v>16.366489242151651</v>
      </c>
      <c r="BB259" s="38">
        <v>0</v>
      </c>
      <c r="BC259" s="38">
        <v>0</v>
      </c>
      <c r="BD259" s="38">
        <v>0</v>
      </c>
      <c r="BE259" s="38">
        <v>16.366489242151651</v>
      </c>
      <c r="BF259" s="38">
        <v>0</v>
      </c>
      <c r="BG259" s="38">
        <v>0</v>
      </c>
      <c r="BH259" s="49">
        <v>9999</v>
      </c>
      <c r="BI259" s="38">
        <v>0</v>
      </c>
      <c r="BJ259" s="38">
        <v>0</v>
      </c>
      <c r="BK259" s="38">
        <v>0</v>
      </c>
      <c r="BL259" s="38">
        <v>0</v>
      </c>
      <c r="BM259" s="38">
        <v>0</v>
      </c>
      <c r="BN259" s="38">
        <v>16.366489242151651</v>
      </c>
      <c r="BO259" s="38">
        <v>0</v>
      </c>
      <c r="BP259" s="38">
        <v>0</v>
      </c>
      <c r="BQ259" s="38">
        <v>0</v>
      </c>
      <c r="BR259" s="38">
        <v>0</v>
      </c>
      <c r="BS259" s="38">
        <v>0</v>
      </c>
      <c r="BT259" s="38">
        <v>0</v>
      </c>
      <c r="BU259" s="38">
        <v>0</v>
      </c>
      <c r="BV259" s="38">
        <v>0</v>
      </c>
      <c r="BW259" s="38">
        <v>0</v>
      </c>
      <c r="BX259" s="38">
        <v>0</v>
      </c>
      <c r="BY259" s="38"/>
      <c r="BZ259" s="38">
        <v>0</v>
      </c>
      <c r="CA259" s="38">
        <v>0</v>
      </c>
      <c r="CB259" s="38">
        <v>16.366489242151651</v>
      </c>
      <c r="CC259" s="38">
        <v>0</v>
      </c>
      <c r="CD259" s="49">
        <v>9999</v>
      </c>
      <c r="CE259" s="38">
        <v>0</v>
      </c>
      <c r="CF259" s="38">
        <v>0.29651017393655643</v>
      </c>
      <c r="CG259" s="38">
        <v>0</v>
      </c>
      <c r="CH259" s="38">
        <v>0.29651017393655643</v>
      </c>
      <c r="CI259" s="38">
        <v>1.4824536438745043E-2</v>
      </c>
      <c r="CJ259" s="38">
        <v>0</v>
      </c>
      <c r="CK259" s="38">
        <v>1.4824536438745043E-2</v>
      </c>
      <c r="CL259" s="38"/>
      <c r="CM259" s="38">
        <v>0</v>
      </c>
      <c r="CN259" s="38"/>
      <c r="CO259" s="38">
        <v>0</v>
      </c>
      <c r="CP259" s="38">
        <v>0</v>
      </c>
      <c r="CQ259" s="38">
        <v>0</v>
      </c>
      <c r="CR259" s="38">
        <v>0</v>
      </c>
      <c r="CS259" s="38">
        <v>0</v>
      </c>
      <c r="CT259" s="38">
        <v>0</v>
      </c>
      <c r="CU259" s="38">
        <v>0</v>
      </c>
      <c r="CV259" s="38">
        <v>9999</v>
      </c>
      <c r="CW259" s="49">
        <v>9999</v>
      </c>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row>
    <row r="260" spans="1:131">
      <c r="A260" s="27" t="s">
        <v>893</v>
      </c>
      <c r="B260" s="27" t="s">
        <v>890</v>
      </c>
      <c r="C260" s="38">
        <v>15</v>
      </c>
      <c r="D260" s="38">
        <v>2.2496018975639354</v>
      </c>
      <c r="E260" s="38">
        <v>0</v>
      </c>
      <c r="F260" s="38">
        <v>0</v>
      </c>
      <c r="G260" s="38">
        <v>0</v>
      </c>
      <c r="H260" s="38">
        <v>0</v>
      </c>
      <c r="I260" s="38" t="s">
        <v>1361</v>
      </c>
      <c r="J260" s="38"/>
      <c r="K260" s="38"/>
      <c r="L260" s="38">
        <v>2.4115732068128519</v>
      </c>
      <c r="M260" s="38">
        <v>0</v>
      </c>
      <c r="N260" s="38">
        <v>0</v>
      </c>
      <c r="O260" s="38">
        <v>0</v>
      </c>
      <c r="P260" s="38">
        <v>0</v>
      </c>
      <c r="Q260" s="38">
        <v>0</v>
      </c>
      <c r="R260" s="38">
        <v>0</v>
      </c>
      <c r="S260" s="38">
        <v>0</v>
      </c>
      <c r="T260" s="38">
        <v>0</v>
      </c>
      <c r="U260" s="38">
        <v>0</v>
      </c>
      <c r="V260" s="38" t="s">
        <v>1584</v>
      </c>
      <c r="W260" s="38" t="s">
        <v>1584</v>
      </c>
      <c r="X260" s="38" t="s">
        <v>1584</v>
      </c>
      <c r="Y260" s="38" t="s">
        <v>1584</v>
      </c>
      <c r="Z260" s="38">
        <v>0</v>
      </c>
      <c r="AA260" s="38">
        <v>0</v>
      </c>
      <c r="AB260" s="38">
        <v>0</v>
      </c>
      <c r="AC260" s="38">
        <v>0</v>
      </c>
      <c r="AD260" s="38">
        <v>0</v>
      </c>
      <c r="AE260" s="38">
        <v>0</v>
      </c>
      <c r="AF260" s="38">
        <v>0</v>
      </c>
      <c r="AG260" s="38">
        <v>0</v>
      </c>
      <c r="AH260" s="38">
        <v>0</v>
      </c>
      <c r="AI260" s="38">
        <v>0</v>
      </c>
      <c r="AJ260" s="38">
        <v>0</v>
      </c>
      <c r="AK260" s="38">
        <v>0</v>
      </c>
      <c r="AL260" s="38">
        <v>0</v>
      </c>
      <c r="AM260" s="38">
        <v>1.2646445220596612</v>
      </c>
      <c r="AN260" s="38">
        <v>0</v>
      </c>
      <c r="AO260" s="38">
        <v>0</v>
      </c>
      <c r="AP260" s="38">
        <v>0</v>
      </c>
      <c r="AQ260" s="38">
        <v>1.2646445220596612</v>
      </c>
      <c r="AR260" s="38">
        <v>0</v>
      </c>
      <c r="AS260" s="49">
        <v>9999</v>
      </c>
      <c r="AT260" s="38">
        <v>1.2646445220596612</v>
      </c>
      <c r="AU260" s="38">
        <v>0</v>
      </c>
      <c r="AV260" s="38">
        <v>0</v>
      </c>
      <c r="AW260" s="38">
        <v>0</v>
      </c>
      <c r="AX260" s="38">
        <v>1.2646445220596612</v>
      </c>
      <c r="AY260" s="38">
        <v>0</v>
      </c>
      <c r="AZ260" s="49">
        <v>9999</v>
      </c>
      <c r="BA260" s="38">
        <v>1.2646445220596612</v>
      </c>
      <c r="BB260" s="38">
        <v>0</v>
      </c>
      <c r="BC260" s="38">
        <v>0</v>
      </c>
      <c r="BD260" s="38">
        <v>0</v>
      </c>
      <c r="BE260" s="38">
        <v>1.2646445220596612</v>
      </c>
      <c r="BF260" s="38">
        <v>0</v>
      </c>
      <c r="BG260" s="38">
        <v>0</v>
      </c>
      <c r="BH260" s="49">
        <v>9999</v>
      </c>
      <c r="BI260" s="38">
        <v>0</v>
      </c>
      <c r="BJ260" s="38">
        <v>0</v>
      </c>
      <c r="BK260" s="38">
        <v>0</v>
      </c>
      <c r="BL260" s="38">
        <v>0</v>
      </c>
      <c r="BM260" s="38">
        <v>0</v>
      </c>
      <c r="BN260" s="38">
        <v>1.2646445220596612</v>
      </c>
      <c r="BO260" s="38">
        <v>0</v>
      </c>
      <c r="BP260" s="38">
        <v>0</v>
      </c>
      <c r="BQ260" s="38">
        <v>0</v>
      </c>
      <c r="BR260" s="38">
        <v>0</v>
      </c>
      <c r="BS260" s="38">
        <v>0</v>
      </c>
      <c r="BT260" s="38">
        <v>0</v>
      </c>
      <c r="BU260" s="38">
        <v>0</v>
      </c>
      <c r="BV260" s="38">
        <v>0</v>
      </c>
      <c r="BW260" s="38">
        <v>0</v>
      </c>
      <c r="BX260" s="38">
        <v>0</v>
      </c>
      <c r="BY260" s="38"/>
      <c r="BZ260" s="38">
        <v>0</v>
      </c>
      <c r="CA260" s="38">
        <v>0</v>
      </c>
      <c r="CB260" s="38">
        <v>1.2646445220596612</v>
      </c>
      <c r="CC260" s="38">
        <v>0</v>
      </c>
      <c r="CD260" s="49">
        <v>9999</v>
      </c>
      <c r="CE260" s="38">
        <v>0</v>
      </c>
      <c r="CF260" s="38">
        <v>2.291144799937106E-2</v>
      </c>
      <c r="CG260" s="38">
        <v>0</v>
      </c>
      <c r="CH260" s="38">
        <v>2.291144799937106E-2</v>
      </c>
      <c r="CI260" s="38">
        <v>1.1454972732361051E-3</v>
      </c>
      <c r="CJ260" s="38">
        <v>0</v>
      </c>
      <c r="CK260" s="38">
        <v>1.1454972732361051E-3</v>
      </c>
      <c r="CL260" s="38"/>
      <c r="CM260" s="38">
        <v>0</v>
      </c>
      <c r="CN260" s="38"/>
      <c r="CO260" s="38">
        <v>0</v>
      </c>
      <c r="CP260" s="38">
        <v>0</v>
      </c>
      <c r="CQ260" s="38">
        <v>0</v>
      </c>
      <c r="CR260" s="38">
        <v>0</v>
      </c>
      <c r="CS260" s="38">
        <v>0</v>
      </c>
      <c r="CT260" s="38">
        <v>0</v>
      </c>
      <c r="CU260" s="38">
        <v>0</v>
      </c>
      <c r="CV260" s="38">
        <v>9999</v>
      </c>
      <c r="CW260" s="49">
        <v>9999</v>
      </c>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row>
    <row r="261" spans="1:131">
      <c r="A261" s="27" t="s">
        <v>876</v>
      </c>
      <c r="B261" s="27" t="s">
        <v>208</v>
      </c>
      <c r="C261" s="38">
        <v>45</v>
      </c>
      <c r="D261" s="38">
        <v>135.30109729700632</v>
      </c>
      <c r="E261" s="38">
        <v>0</v>
      </c>
      <c r="F261" s="38">
        <v>0</v>
      </c>
      <c r="G261" s="38">
        <v>0</v>
      </c>
      <c r="H261" s="38">
        <v>0</v>
      </c>
      <c r="I261" s="38" t="s">
        <v>1361</v>
      </c>
      <c r="J261" s="38"/>
      <c r="K261" s="38"/>
      <c r="L261" s="38">
        <v>145.04277465589482</v>
      </c>
      <c r="M261" s="38">
        <v>0</v>
      </c>
      <c r="N261" s="38">
        <v>0</v>
      </c>
      <c r="O261" s="38">
        <v>0</v>
      </c>
      <c r="P261" s="38">
        <v>0</v>
      </c>
      <c r="Q261" s="38">
        <v>0</v>
      </c>
      <c r="R261" s="38">
        <v>0</v>
      </c>
      <c r="S261" s="38">
        <v>0</v>
      </c>
      <c r="T261" s="38">
        <v>0</v>
      </c>
      <c r="U261" s="38">
        <v>0</v>
      </c>
      <c r="V261" s="38" t="s">
        <v>1584</v>
      </c>
      <c r="W261" s="38" t="s">
        <v>1584</v>
      </c>
      <c r="X261" s="38" t="s">
        <v>1584</v>
      </c>
      <c r="Y261" s="38" t="s">
        <v>1584</v>
      </c>
      <c r="Z261" s="38">
        <v>0</v>
      </c>
      <c r="AA261" s="38">
        <v>0</v>
      </c>
      <c r="AB261" s="38">
        <v>0</v>
      </c>
      <c r="AC261" s="38">
        <v>0</v>
      </c>
      <c r="AD261" s="38">
        <v>0</v>
      </c>
      <c r="AE261" s="38">
        <v>0</v>
      </c>
      <c r="AF261" s="38">
        <v>0</v>
      </c>
      <c r="AG261" s="38">
        <v>0</v>
      </c>
      <c r="AH261" s="38">
        <v>0</v>
      </c>
      <c r="AI261" s="38">
        <v>0</v>
      </c>
      <c r="AJ261" s="38">
        <v>0</v>
      </c>
      <c r="AK261" s="38">
        <v>0</v>
      </c>
      <c r="AL261" s="38">
        <v>0</v>
      </c>
      <c r="AM261" s="38">
        <v>76.061365217823919</v>
      </c>
      <c r="AN261" s="38">
        <v>0</v>
      </c>
      <c r="AO261" s="38">
        <v>0</v>
      </c>
      <c r="AP261" s="38">
        <v>0</v>
      </c>
      <c r="AQ261" s="38">
        <v>76.061365217823919</v>
      </c>
      <c r="AR261" s="38">
        <v>0</v>
      </c>
      <c r="AS261" s="49">
        <v>9999</v>
      </c>
      <c r="AT261" s="38">
        <v>76.061365217823919</v>
      </c>
      <c r="AU261" s="38">
        <v>0</v>
      </c>
      <c r="AV261" s="38">
        <v>0</v>
      </c>
      <c r="AW261" s="38">
        <v>0</v>
      </c>
      <c r="AX261" s="38">
        <v>76.061365217823919</v>
      </c>
      <c r="AY261" s="38">
        <v>0</v>
      </c>
      <c r="AZ261" s="49">
        <v>9999</v>
      </c>
      <c r="BA261" s="38">
        <v>76.061365217823919</v>
      </c>
      <c r="BB261" s="38">
        <v>0</v>
      </c>
      <c r="BC261" s="38">
        <v>0</v>
      </c>
      <c r="BD261" s="38">
        <v>0</v>
      </c>
      <c r="BE261" s="38">
        <v>76.061365217823919</v>
      </c>
      <c r="BF261" s="38">
        <v>0</v>
      </c>
      <c r="BG261" s="38">
        <v>0</v>
      </c>
      <c r="BH261" s="49">
        <v>9999</v>
      </c>
      <c r="BI261" s="38">
        <v>0</v>
      </c>
      <c r="BJ261" s="38">
        <v>0</v>
      </c>
      <c r="BK261" s="38">
        <v>0</v>
      </c>
      <c r="BL261" s="38">
        <v>0</v>
      </c>
      <c r="BM261" s="38">
        <v>0</v>
      </c>
      <c r="BN261" s="38">
        <v>76.061365217823919</v>
      </c>
      <c r="BO261" s="38">
        <v>0</v>
      </c>
      <c r="BP261" s="38">
        <v>0</v>
      </c>
      <c r="BQ261" s="38">
        <v>0</v>
      </c>
      <c r="BR261" s="38">
        <v>0</v>
      </c>
      <c r="BS261" s="38">
        <v>0</v>
      </c>
      <c r="BT261" s="38">
        <v>0</v>
      </c>
      <c r="BU261" s="38">
        <v>0</v>
      </c>
      <c r="BV261" s="38">
        <v>0</v>
      </c>
      <c r="BW261" s="38">
        <v>0</v>
      </c>
      <c r="BX261" s="38">
        <v>0</v>
      </c>
      <c r="BY261" s="38"/>
      <c r="BZ261" s="38">
        <v>0</v>
      </c>
      <c r="CA261" s="38">
        <v>0</v>
      </c>
      <c r="CB261" s="38">
        <v>76.061365217823919</v>
      </c>
      <c r="CC261" s="38">
        <v>0</v>
      </c>
      <c r="CD261" s="49">
        <v>9999</v>
      </c>
      <c r="CE261" s="38">
        <v>0</v>
      </c>
      <c r="CF261" s="38">
        <v>1.3779967283700707</v>
      </c>
      <c r="CG261" s="38">
        <v>0</v>
      </c>
      <c r="CH261" s="38">
        <v>1.3779967283700707</v>
      </c>
      <c r="CI261" s="38">
        <v>6.8895317961550046E-2</v>
      </c>
      <c r="CJ261" s="38">
        <v>0</v>
      </c>
      <c r="CK261" s="38">
        <v>6.8895317961550046E-2</v>
      </c>
      <c r="CL261" s="38"/>
      <c r="CM261" s="38">
        <v>0</v>
      </c>
      <c r="CN261" s="38"/>
      <c r="CO261" s="38">
        <v>0</v>
      </c>
      <c r="CP261" s="38">
        <v>0</v>
      </c>
      <c r="CQ261" s="38">
        <v>0</v>
      </c>
      <c r="CR261" s="38">
        <v>0</v>
      </c>
      <c r="CS261" s="38">
        <v>0</v>
      </c>
      <c r="CT261" s="38">
        <v>0</v>
      </c>
      <c r="CU261" s="38">
        <v>0</v>
      </c>
      <c r="CV261" s="38">
        <v>9999</v>
      </c>
      <c r="CW261" s="49">
        <v>9999</v>
      </c>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row>
    <row r="262" spans="1:131">
      <c r="A262" s="27" t="s">
        <v>877</v>
      </c>
      <c r="B262" s="27" t="s">
        <v>210</v>
      </c>
      <c r="C262" s="38">
        <v>45</v>
      </c>
      <c r="D262" s="38">
        <v>136.90885094758767</v>
      </c>
      <c r="E262" s="38">
        <v>0</v>
      </c>
      <c r="F262" s="38">
        <v>0</v>
      </c>
      <c r="G262" s="38">
        <v>0</v>
      </c>
      <c r="H262" s="38">
        <v>0</v>
      </c>
      <c r="I262" s="38" t="s">
        <v>1361</v>
      </c>
      <c r="J262" s="38"/>
      <c r="K262" s="38"/>
      <c r="L262" s="38">
        <v>146.76628654975306</v>
      </c>
      <c r="M262" s="38">
        <v>0</v>
      </c>
      <c r="N262" s="38">
        <v>0</v>
      </c>
      <c r="O262" s="38">
        <v>0</v>
      </c>
      <c r="P262" s="38">
        <v>0</v>
      </c>
      <c r="Q262" s="38">
        <v>0</v>
      </c>
      <c r="R262" s="38">
        <v>0</v>
      </c>
      <c r="S262" s="38">
        <v>0</v>
      </c>
      <c r="T262" s="38">
        <v>0</v>
      </c>
      <c r="U262" s="38">
        <v>0</v>
      </c>
      <c r="V262" s="38" t="s">
        <v>1584</v>
      </c>
      <c r="W262" s="38" t="s">
        <v>1584</v>
      </c>
      <c r="X262" s="38" t="s">
        <v>1584</v>
      </c>
      <c r="Y262" s="38" t="s">
        <v>1584</v>
      </c>
      <c r="Z262" s="38">
        <v>0</v>
      </c>
      <c r="AA262" s="38">
        <v>0</v>
      </c>
      <c r="AB262" s="38">
        <v>0</v>
      </c>
      <c r="AC262" s="38">
        <v>0</v>
      </c>
      <c r="AD262" s="38">
        <v>0</v>
      </c>
      <c r="AE262" s="38">
        <v>0</v>
      </c>
      <c r="AF262" s="38">
        <v>0</v>
      </c>
      <c r="AG262" s="38">
        <v>0</v>
      </c>
      <c r="AH262" s="38">
        <v>0</v>
      </c>
      <c r="AI262" s="38">
        <v>0</v>
      </c>
      <c r="AJ262" s="38">
        <v>0</v>
      </c>
      <c r="AK262" s="38">
        <v>0</v>
      </c>
      <c r="AL262" s="38">
        <v>0</v>
      </c>
      <c r="AM262" s="38">
        <v>76.965185955720173</v>
      </c>
      <c r="AN262" s="38">
        <v>0</v>
      </c>
      <c r="AO262" s="38">
        <v>0</v>
      </c>
      <c r="AP262" s="38">
        <v>0</v>
      </c>
      <c r="AQ262" s="38">
        <v>76.965185955720173</v>
      </c>
      <c r="AR262" s="38">
        <v>0</v>
      </c>
      <c r="AS262" s="49">
        <v>9999</v>
      </c>
      <c r="AT262" s="38">
        <v>76.965185955720173</v>
      </c>
      <c r="AU262" s="38">
        <v>0</v>
      </c>
      <c r="AV262" s="38">
        <v>0</v>
      </c>
      <c r="AW262" s="38">
        <v>0</v>
      </c>
      <c r="AX262" s="38">
        <v>76.965185955720173</v>
      </c>
      <c r="AY262" s="38">
        <v>0</v>
      </c>
      <c r="AZ262" s="49">
        <v>9999</v>
      </c>
      <c r="BA262" s="38">
        <v>76.965185955720173</v>
      </c>
      <c r="BB262" s="38">
        <v>0</v>
      </c>
      <c r="BC262" s="38">
        <v>0</v>
      </c>
      <c r="BD262" s="38">
        <v>0</v>
      </c>
      <c r="BE262" s="38">
        <v>76.965185955720173</v>
      </c>
      <c r="BF262" s="38">
        <v>0</v>
      </c>
      <c r="BG262" s="38">
        <v>0</v>
      </c>
      <c r="BH262" s="49">
        <v>9999</v>
      </c>
      <c r="BI262" s="38">
        <v>0</v>
      </c>
      <c r="BJ262" s="38">
        <v>0</v>
      </c>
      <c r="BK262" s="38">
        <v>0</v>
      </c>
      <c r="BL262" s="38">
        <v>0</v>
      </c>
      <c r="BM262" s="38">
        <v>0</v>
      </c>
      <c r="BN262" s="38">
        <v>76.965185955720173</v>
      </c>
      <c r="BO262" s="38">
        <v>0</v>
      </c>
      <c r="BP262" s="38">
        <v>0</v>
      </c>
      <c r="BQ262" s="38">
        <v>0</v>
      </c>
      <c r="BR262" s="38">
        <v>0</v>
      </c>
      <c r="BS262" s="38">
        <v>0</v>
      </c>
      <c r="BT262" s="38">
        <v>0</v>
      </c>
      <c r="BU262" s="38">
        <v>0</v>
      </c>
      <c r="BV262" s="38">
        <v>0</v>
      </c>
      <c r="BW262" s="38">
        <v>0</v>
      </c>
      <c r="BX262" s="38">
        <v>0</v>
      </c>
      <c r="BY262" s="38"/>
      <c r="BZ262" s="38">
        <v>0</v>
      </c>
      <c r="CA262" s="38">
        <v>0</v>
      </c>
      <c r="CB262" s="38">
        <v>76.965185955720173</v>
      </c>
      <c r="CC262" s="38">
        <v>0</v>
      </c>
      <c r="CD262" s="49">
        <v>9999</v>
      </c>
      <c r="CE262" s="38">
        <v>0</v>
      </c>
      <c r="CF262" s="38">
        <v>1.3943711651986412</v>
      </c>
      <c r="CG262" s="38">
        <v>0</v>
      </c>
      <c r="CH262" s="38">
        <v>1.3943711651986412</v>
      </c>
      <c r="CI262" s="38">
        <v>6.9713986111132706E-2</v>
      </c>
      <c r="CJ262" s="38">
        <v>0</v>
      </c>
      <c r="CK262" s="38">
        <v>6.9713986111132706E-2</v>
      </c>
      <c r="CL262" s="38"/>
      <c r="CM262" s="38">
        <v>0</v>
      </c>
      <c r="CN262" s="38"/>
      <c r="CO262" s="38">
        <v>0</v>
      </c>
      <c r="CP262" s="38">
        <v>0</v>
      </c>
      <c r="CQ262" s="38">
        <v>0</v>
      </c>
      <c r="CR262" s="38">
        <v>0</v>
      </c>
      <c r="CS262" s="38">
        <v>0</v>
      </c>
      <c r="CT262" s="38">
        <v>0</v>
      </c>
      <c r="CU262" s="38">
        <v>0</v>
      </c>
      <c r="CV262" s="38">
        <v>9999</v>
      </c>
      <c r="CW262" s="49">
        <v>9999</v>
      </c>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row>
    <row r="263" spans="1:131">
      <c r="A263" s="27" t="s">
        <v>878</v>
      </c>
      <c r="B263" s="27" t="s">
        <v>211</v>
      </c>
      <c r="C263" s="38">
        <v>45</v>
      </c>
      <c r="D263" s="38">
        <v>19.53022550376431</v>
      </c>
      <c r="E263" s="38">
        <v>0</v>
      </c>
      <c r="F263" s="38">
        <v>0</v>
      </c>
      <c r="G263" s="38">
        <v>0</v>
      </c>
      <c r="H263" s="38">
        <v>0</v>
      </c>
      <c r="I263" s="38" t="s">
        <v>1361</v>
      </c>
      <c r="J263" s="38"/>
      <c r="K263" s="38"/>
      <c r="L263" s="38">
        <v>20.936401502369584</v>
      </c>
      <c r="M263" s="38">
        <v>0</v>
      </c>
      <c r="N263" s="38">
        <v>0</v>
      </c>
      <c r="O263" s="38">
        <v>0</v>
      </c>
      <c r="P263" s="38">
        <v>0</v>
      </c>
      <c r="Q263" s="38">
        <v>0</v>
      </c>
      <c r="R263" s="38">
        <v>0</v>
      </c>
      <c r="S263" s="38">
        <v>0</v>
      </c>
      <c r="T263" s="38">
        <v>0</v>
      </c>
      <c r="U263" s="38">
        <v>0</v>
      </c>
      <c r="V263" s="38" t="s">
        <v>1584</v>
      </c>
      <c r="W263" s="38" t="s">
        <v>1584</v>
      </c>
      <c r="X263" s="38" t="s">
        <v>1584</v>
      </c>
      <c r="Y263" s="38" t="s">
        <v>1584</v>
      </c>
      <c r="Z263" s="38">
        <v>0</v>
      </c>
      <c r="AA263" s="38">
        <v>0</v>
      </c>
      <c r="AB263" s="38">
        <v>0</v>
      </c>
      <c r="AC263" s="38">
        <v>0</v>
      </c>
      <c r="AD263" s="38">
        <v>0</v>
      </c>
      <c r="AE263" s="38">
        <v>0</v>
      </c>
      <c r="AF263" s="38">
        <v>0</v>
      </c>
      <c r="AG263" s="38">
        <v>0</v>
      </c>
      <c r="AH263" s="38">
        <v>0</v>
      </c>
      <c r="AI263" s="38">
        <v>0</v>
      </c>
      <c r="AJ263" s="38">
        <v>0</v>
      </c>
      <c r="AK263" s="38">
        <v>0</v>
      </c>
      <c r="AL263" s="38">
        <v>0</v>
      </c>
      <c r="AM263" s="38">
        <v>10.979183794551121</v>
      </c>
      <c r="AN263" s="38">
        <v>0</v>
      </c>
      <c r="AO263" s="38">
        <v>0</v>
      </c>
      <c r="AP263" s="38">
        <v>0</v>
      </c>
      <c r="AQ263" s="38">
        <v>10.979183794551121</v>
      </c>
      <c r="AR263" s="38">
        <v>0</v>
      </c>
      <c r="AS263" s="49">
        <v>9999</v>
      </c>
      <c r="AT263" s="38">
        <v>10.979183794551121</v>
      </c>
      <c r="AU263" s="38">
        <v>0</v>
      </c>
      <c r="AV263" s="38">
        <v>0</v>
      </c>
      <c r="AW263" s="38">
        <v>0</v>
      </c>
      <c r="AX263" s="38">
        <v>10.979183794551121</v>
      </c>
      <c r="AY263" s="38">
        <v>0</v>
      </c>
      <c r="AZ263" s="49">
        <v>9999</v>
      </c>
      <c r="BA263" s="38">
        <v>10.979183794551121</v>
      </c>
      <c r="BB263" s="38">
        <v>0</v>
      </c>
      <c r="BC263" s="38">
        <v>0</v>
      </c>
      <c r="BD263" s="38">
        <v>0</v>
      </c>
      <c r="BE263" s="38">
        <v>10.979183794551121</v>
      </c>
      <c r="BF263" s="38">
        <v>0</v>
      </c>
      <c r="BG263" s="38">
        <v>0</v>
      </c>
      <c r="BH263" s="49">
        <v>9999</v>
      </c>
      <c r="BI263" s="38">
        <v>0</v>
      </c>
      <c r="BJ263" s="38">
        <v>0</v>
      </c>
      <c r="BK263" s="38">
        <v>0</v>
      </c>
      <c r="BL263" s="38">
        <v>0</v>
      </c>
      <c r="BM263" s="38">
        <v>0</v>
      </c>
      <c r="BN263" s="38">
        <v>10.979183794551121</v>
      </c>
      <c r="BO263" s="38">
        <v>0</v>
      </c>
      <c r="BP263" s="38">
        <v>0</v>
      </c>
      <c r="BQ263" s="38">
        <v>0</v>
      </c>
      <c r="BR263" s="38">
        <v>0</v>
      </c>
      <c r="BS263" s="38">
        <v>0</v>
      </c>
      <c r="BT263" s="38">
        <v>0</v>
      </c>
      <c r="BU263" s="38">
        <v>0</v>
      </c>
      <c r="BV263" s="38">
        <v>0</v>
      </c>
      <c r="BW263" s="38">
        <v>0</v>
      </c>
      <c r="BX263" s="38">
        <v>0</v>
      </c>
      <c r="BY263" s="38"/>
      <c r="BZ263" s="38">
        <v>0</v>
      </c>
      <c r="CA263" s="38">
        <v>0</v>
      </c>
      <c r="CB263" s="38">
        <v>10.979183794551121</v>
      </c>
      <c r="CC263" s="38">
        <v>0</v>
      </c>
      <c r="CD263" s="49">
        <v>9999</v>
      </c>
      <c r="CE263" s="38">
        <v>0</v>
      </c>
      <c r="CF263" s="38">
        <v>0.19890885873186778</v>
      </c>
      <c r="CG263" s="38">
        <v>0</v>
      </c>
      <c r="CH263" s="38">
        <v>0.19890885873186778</v>
      </c>
      <c r="CI263" s="38">
        <v>9.9447907136255512E-3</v>
      </c>
      <c r="CJ263" s="38">
        <v>0</v>
      </c>
      <c r="CK263" s="38">
        <v>9.9447907136255512E-3</v>
      </c>
      <c r="CL263" s="38"/>
      <c r="CM263" s="38">
        <v>0</v>
      </c>
      <c r="CN263" s="38"/>
      <c r="CO263" s="38">
        <v>0</v>
      </c>
      <c r="CP263" s="38">
        <v>0</v>
      </c>
      <c r="CQ263" s="38">
        <v>0</v>
      </c>
      <c r="CR263" s="38">
        <v>0</v>
      </c>
      <c r="CS263" s="38">
        <v>0</v>
      </c>
      <c r="CT263" s="38">
        <v>0</v>
      </c>
      <c r="CU263" s="38">
        <v>0</v>
      </c>
      <c r="CV263" s="38">
        <v>9999</v>
      </c>
      <c r="CW263" s="49">
        <v>9999</v>
      </c>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row>
    <row r="264" spans="1:131">
      <c r="A264" s="27" t="s">
        <v>879</v>
      </c>
      <c r="B264" s="27" t="s">
        <v>212</v>
      </c>
      <c r="C264" s="38">
        <v>45</v>
      </c>
      <c r="D264" s="38">
        <v>21.137979154345654</v>
      </c>
      <c r="E264" s="38">
        <v>0</v>
      </c>
      <c r="F264" s="38">
        <v>0</v>
      </c>
      <c r="G264" s="38">
        <v>0</v>
      </c>
      <c r="H264" s="38">
        <v>0</v>
      </c>
      <c r="I264" s="38" t="s">
        <v>1361</v>
      </c>
      <c r="J264" s="38"/>
      <c r="K264" s="38"/>
      <c r="L264" s="38">
        <v>22.659913396227832</v>
      </c>
      <c r="M264" s="38">
        <v>0</v>
      </c>
      <c r="N264" s="38">
        <v>0</v>
      </c>
      <c r="O264" s="38">
        <v>0</v>
      </c>
      <c r="P264" s="38">
        <v>0</v>
      </c>
      <c r="Q264" s="38">
        <v>0</v>
      </c>
      <c r="R264" s="38">
        <v>0</v>
      </c>
      <c r="S264" s="38">
        <v>0</v>
      </c>
      <c r="T264" s="38">
        <v>0</v>
      </c>
      <c r="U264" s="38">
        <v>0</v>
      </c>
      <c r="V264" s="38" t="s">
        <v>1584</v>
      </c>
      <c r="W264" s="38" t="s">
        <v>1584</v>
      </c>
      <c r="X264" s="38" t="s">
        <v>1584</v>
      </c>
      <c r="Y264" s="38" t="s">
        <v>1584</v>
      </c>
      <c r="Z264" s="38">
        <v>0</v>
      </c>
      <c r="AA264" s="38">
        <v>0</v>
      </c>
      <c r="AB264" s="38">
        <v>0</v>
      </c>
      <c r="AC264" s="38">
        <v>0</v>
      </c>
      <c r="AD264" s="38">
        <v>0</v>
      </c>
      <c r="AE264" s="38">
        <v>0</v>
      </c>
      <c r="AF264" s="38">
        <v>0</v>
      </c>
      <c r="AG264" s="38">
        <v>0</v>
      </c>
      <c r="AH264" s="38">
        <v>0</v>
      </c>
      <c r="AI264" s="38">
        <v>0</v>
      </c>
      <c r="AJ264" s="38">
        <v>0</v>
      </c>
      <c r="AK264" s="38">
        <v>0</v>
      </c>
      <c r="AL264" s="38">
        <v>0</v>
      </c>
      <c r="AM264" s="38">
        <v>11.883004532447409</v>
      </c>
      <c r="AN264" s="38">
        <v>0</v>
      </c>
      <c r="AO264" s="38">
        <v>0</v>
      </c>
      <c r="AP264" s="38">
        <v>0</v>
      </c>
      <c r="AQ264" s="38">
        <v>11.883004532447409</v>
      </c>
      <c r="AR264" s="38">
        <v>0</v>
      </c>
      <c r="AS264" s="49">
        <v>9999</v>
      </c>
      <c r="AT264" s="38">
        <v>11.883004532447409</v>
      </c>
      <c r="AU264" s="38">
        <v>0</v>
      </c>
      <c r="AV264" s="38">
        <v>0</v>
      </c>
      <c r="AW264" s="38">
        <v>0</v>
      </c>
      <c r="AX264" s="38">
        <v>11.883004532447409</v>
      </c>
      <c r="AY264" s="38">
        <v>0</v>
      </c>
      <c r="AZ264" s="49">
        <v>9999</v>
      </c>
      <c r="BA264" s="38">
        <v>11.883004532447409</v>
      </c>
      <c r="BB264" s="38">
        <v>0</v>
      </c>
      <c r="BC264" s="38">
        <v>0</v>
      </c>
      <c r="BD264" s="38">
        <v>0</v>
      </c>
      <c r="BE264" s="38">
        <v>11.883004532447409</v>
      </c>
      <c r="BF264" s="38">
        <v>0</v>
      </c>
      <c r="BG264" s="38">
        <v>0</v>
      </c>
      <c r="BH264" s="49">
        <v>9999</v>
      </c>
      <c r="BI264" s="38">
        <v>0</v>
      </c>
      <c r="BJ264" s="38">
        <v>0</v>
      </c>
      <c r="BK264" s="38">
        <v>0</v>
      </c>
      <c r="BL264" s="38">
        <v>0</v>
      </c>
      <c r="BM264" s="38">
        <v>0</v>
      </c>
      <c r="BN264" s="38">
        <v>11.883004532447409</v>
      </c>
      <c r="BO264" s="38">
        <v>0</v>
      </c>
      <c r="BP264" s="38">
        <v>0</v>
      </c>
      <c r="BQ264" s="38">
        <v>0</v>
      </c>
      <c r="BR264" s="38">
        <v>0</v>
      </c>
      <c r="BS264" s="38">
        <v>0</v>
      </c>
      <c r="BT264" s="38">
        <v>0</v>
      </c>
      <c r="BU264" s="38">
        <v>0</v>
      </c>
      <c r="BV264" s="38">
        <v>0</v>
      </c>
      <c r="BW264" s="38">
        <v>0</v>
      </c>
      <c r="BX264" s="38">
        <v>0</v>
      </c>
      <c r="BY264" s="38"/>
      <c r="BZ264" s="38">
        <v>0</v>
      </c>
      <c r="CA264" s="38">
        <v>0</v>
      </c>
      <c r="CB264" s="38">
        <v>11.883004532447409</v>
      </c>
      <c r="CC264" s="38">
        <v>0</v>
      </c>
      <c r="CD264" s="49">
        <v>9999</v>
      </c>
      <c r="CE264" s="38">
        <v>0</v>
      </c>
      <c r="CF264" s="38">
        <v>0.21528329556043846</v>
      </c>
      <c r="CG264" s="38">
        <v>0</v>
      </c>
      <c r="CH264" s="38">
        <v>0.21528329556043846</v>
      </c>
      <c r="CI264" s="38">
        <v>1.0763458863208222E-2</v>
      </c>
      <c r="CJ264" s="38">
        <v>0</v>
      </c>
      <c r="CK264" s="38">
        <v>1.0763458863208222E-2</v>
      </c>
      <c r="CL264" s="38"/>
      <c r="CM264" s="38">
        <v>0</v>
      </c>
      <c r="CN264" s="38"/>
      <c r="CO264" s="38">
        <v>0</v>
      </c>
      <c r="CP264" s="38">
        <v>0</v>
      </c>
      <c r="CQ264" s="38">
        <v>0</v>
      </c>
      <c r="CR264" s="38">
        <v>0</v>
      </c>
      <c r="CS264" s="38">
        <v>0</v>
      </c>
      <c r="CT264" s="38">
        <v>0</v>
      </c>
      <c r="CU264" s="38">
        <v>0</v>
      </c>
      <c r="CV264" s="38">
        <v>9999</v>
      </c>
      <c r="CW264" s="49">
        <v>9999</v>
      </c>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row>
    <row r="265" spans="1:131">
      <c r="A265" s="27" t="s">
        <v>880</v>
      </c>
      <c r="B265" s="27" t="s">
        <v>213</v>
      </c>
      <c r="C265" s="38">
        <v>45</v>
      </c>
      <c r="D265" s="38">
        <v>7.9630286827628565</v>
      </c>
      <c r="E265" s="38">
        <v>0</v>
      </c>
      <c r="F265" s="38">
        <v>0</v>
      </c>
      <c r="G265" s="38">
        <v>0</v>
      </c>
      <c r="H265" s="38">
        <v>0</v>
      </c>
      <c r="I265" s="38" t="s">
        <v>1361</v>
      </c>
      <c r="J265" s="38"/>
      <c r="K265" s="38"/>
      <c r="L265" s="38">
        <v>8.5363666510186906</v>
      </c>
      <c r="M265" s="38">
        <v>0</v>
      </c>
      <c r="N265" s="38">
        <v>0</v>
      </c>
      <c r="O265" s="38">
        <v>0</v>
      </c>
      <c r="P265" s="38">
        <v>0</v>
      </c>
      <c r="Q265" s="38">
        <v>0</v>
      </c>
      <c r="R265" s="38">
        <v>0</v>
      </c>
      <c r="S265" s="38">
        <v>0</v>
      </c>
      <c r="T265" s="38">
        <v>0</v>
      </c>
      <c r="U265" s="38">
        <v>0</v>
      </c>
      <c r="V265" s="38" t="s">
        <v>1584</v>
      </c>
      <c r="W265" s="38" t="s">
        <v>1584</v>
      </c>
      <c r="X265" s="38" t="s">
        <v>1584</v>
      </c>
      <c r="Y265" s="38" t="s">
        <v>1584</v>
      </c>
      <c r="Z265" s="38">
        <v>0</v>
      </c>
      <c r="AA265" s="38">
        <v>0</v>
      </c>
      <c r="AB265" s="38">
        <v>0</v>
      </c>
      <c r="AC265" s="38">
        <v>0</v>
      </c>
      <c r="AD265" s="38">
        <v>0</v>
      </c>
      <c r="AE265" s="38">
        <v>0</v>
      </c>
      <c r="AF265" s="38">
        <v>0</v>
      </c>
      <c r="AG265" s="38">
        <v>0</v>
      </c>
      <c r="AH265" s="38">
        <v>0</v>
      </c>
      <c r="AI265" s="38">
        <v>0</v>
      </c>
      <c r="AJ265" s="38">
        <v>0</v>
      </c>
      <c r="AK265" s="38">
        <v>0</v>
      </c>
      <c r="AL265" s="38">
        <v>0</v>
      </c>
      <c r="AM265" s="38">
        <v>4.4765256526344093</v>
      </c>
      <c r="AN265" s="38">
        <v>0</v>
      </c>
      <c r="AO265" s="38">
        <v>0</v>
      </c>
      <c r="AP265" s="38">
        <v>0</v>
      </c>
      <c r="AQ265" s="38">
        <v>4.4765256526344093</v>
      </c>
      <c r="AR265" s="38">
        <v>0</v>
      </c>
      <c r="AS265" s="49">
        <v>9999</v>
      </c>
      <c r="AT265" s="38">
        <v>4.4765256526344093</v>
      </c>
      <c r="AU265" s="38">
        <v>0</v>
      </c>
      <c r="AV265" s="38">
        <v>0</v>
      </c>
      <c r="AW265" s="38">
        <v>0</v>
      </c>
      <c r="AX265" s="38">
        <v>4.4765256526344093</v>
      </c>
      <c r="AY265" s="38">
        <v>0</v>
      </c>
      <c r="AZ265" s="49">
        <v>9999</v>
      </c>
      <c r="BA265" s="38">
        <v>4.4765256526344093</v>
      </c>
      <c r="BB265" s="38">
        <v>0</v>
      </c>
      <c r="BC265" s="38">
        <v>0</v>
      </c>
      <c r="BD265" s="38">
        <v>0</v>
      </c>
      <c r="BE265" s="38">
        <v>4.4765256526344093</v>
      </c>
      <c r="BF265" s="38">
        <v>0</v>
      </c>
      <c r="BG265" s="38">
        <v>0</v>
      </c>
      <c r="BH265" s="49">
        <v>9999</v>
      </c>
      <c r="BI265" s="38">
        <v>0</v>
      </c>
      <c r="BJ265" s="38">
        <v>0</v>
      </c>
      <c r="BK265" s="38">
        <v>0</v>
      </c>
      <c r="BL265" s="38">
        <v>0</v>
      </c>
      <c r="BM265" s="38">
        <v>0</v>
      </c>
      <c r="BN265" s="38">
        <v>4.4765256526344093</v>
      </c>
      <c r="BO265" s="38">
        <v>0</v>
      </c>
      <c r="BP265" s="38">
        <v>0</v>
      </c>
      <c r="BQ265" s="38">
        <v>0</v>
      </c>
      <c r="BR265" s="38">
        <v>0</v>
      </c>
      <c r="BS265" s="38">
        <v>0</v>
      </c>
      <c r="BT265" s="38">
        <v>0</v>
      </c>
      <c r="BU265" s="38">
        <v>0</v>
      </c>
      <c r="BV265" s="38">
        <v>0</v>
      </c>
      <c r="BW265" s="38">
        <v>0</v>
      </c>
      <c r="BX265" s="38">
        <v>0</v>
      </c>
      <c r="BY265" s="38"/>
      <c r="BZ265" s="38">
        <v>0</v>
      </c>
      <c r="CA265" s="38">
        <v>0</v>
      </c>
      <c r="CB265" s="38">
        <v>4.4765256526344093</v>
      </c>
      <c r="CC265" s="38">
        <v>0</v>
      </c>
      <c r="CD265" s="49">
        <v>9999</v>
      </c>
      <c r="CE265" s="38">
        <v>0</v>
      </c>
      <c r="CF265" s="38">
        <v>8.1100801781945731E-2</v>
      </c>
      <c r="CG265" s="38">
        <v>0</v>
      </c>
      <c r="CH265" s="38">
        <v>8.1100801781945731E-2</v>
      </c>
      <c r="CI265" s="38">
        <v>4.0547741592338784E-3</v>
      </c>
      <c r="CJ265" s="38">
        <v>0</v>
      </c>
      <c r="CK265" s="38">
        <v>4.0547741592338784E-3</v>
      </c>
      <c r="CL265" s="38"/>
      <c r="CM265" s="38">
        <v>0</v>
      </c>
      <c r="CN265" s="38"/>
      <c r="CO265" s="38">
        <v>0</v>
      </c>
      <c r="CP265" s="38">
        <v>0</v>
      </c>
      <c r="CQ265" s="38">
        <v>0</v>
      </c>
      <c r="CR265" s="38">
        <v>0</v>
      </c>
      <c r="CS265" s="38">
        <v>0</v>
      </c>
      <c r="CT265" s="38">
        <v>0</v>
      </c>
      <c r="CU265" s="38">
        <v>0</v>
      </c>
      <c r="CV265" s="38">
        <v>9999</v>
      </c>
      <c r="CW265" s="49">
        <v>9999</v>
      </c>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row>
    <row r="266" spans="1:131">
      <c r="A266" s="27" t="s">
        <v>881</v>
      </c>
      <c r="B266" s="27" t="s">
        <v>214</v>
      </c>
      <c r="C266" s="38">
        <v>45</v>
      </c>
      <c r="D266" s="38">
        <v>9.5707823333441979</v>
      </c>
      <c r="E266" s="38">
        <v>0</v>
      </c>
      <c r="F266" s="38">
        <v>0</v>
      </c>
      <c r="G266" s="38">
        <v>0</v>
      </c>
      <c r="H266" s="38">
        <v>0</v>
      </c>
      <c r="I266" s="38" t="s">
        <v>1361</v>
      </c>
      <c r="J266" s="38"/>
      <c r="K266" s="38"/>
      <c r="L266" s="38">
        <v>10.259878544876933</v>
      </c>
      <c r="M266" s="38">
        <v>0</v>
      </c>
      <c r="N266" s="38">
        <v>0</v>
      </c>
      <c r="O266" s="38">
        <v>0</v>
      </c>
      <c r="P266" s="38">
        <v>0</v>
      </c>
      <c r="Q266" s="38">
        <v>0</v>
      </c>
      <c r="R266" s="38">
        <v>0</v>
      </c>
      <c r="S266" s="38">
        <v>0</v>
      </c>
      <c r="T266" s="38">
        <v>0</v>
      </c>
      <c r="U266" s="38">
        <v>0</v>
      </c>
      <c r="V266" s="38" t="s">
        <v>1584</v>
      </c>
      <c r="W266" s="38" t="s">
        <v>1584</v>
      </c>
      <c r="X266" s="38" t="s">
        <v>1584</v>
      </c>
      <c r="Y266" s="38" t="s">
        <v>1584</v>
      </c>
      <c r="Z266" s="38">
        <v>0</v>
      </c>
      <c r="AA266" s="38">
        <v>0</v>
      </c>
      <c r="AB266" s="38">
        <v>0</v>
      </c>
      <c r="AC266" s="38">
        <v>0</v>
      </c>
      <c r="AD266" s="38">
        <v>0</v>
      </c>
      <c r="AE266" s="38">
        <v>0</v>
      </c>
      <c r="AF266" s="38">
        <v>0</v>
      </c>
      <c r="AG266" s="38">
        <v>0</v>
      </c>
      <c r="AH266" s="38">
        <v>0</v>
      </c>
      <c r="AI266" s="38">
        <v>0</v>
      </c>
      <c r="AJ266" s="38">
        <v>0</v>
      </c>
      <c r="AK266" s="38">
        <v>0</v>
      </c>
      <c r="AL266" s="38">
        <v>0</v>
      </c>
      <c r="AM266" s="38">
        <v>5.3803463905306916</v>
      </c>
      <c r="AN266" s="38">
        <v>0</v>
      </c>
      <c r="AO266" s="38">
        <v>0</v>
      </c>
      <c r="AP266" s="38">
        <v>0</v>
      </c>
      <c r="AQ266" s="38">
        <v>5.3803463905306916</v>
      </c>
      <c r="AR266" s="38">
        <v>0</v>
      </c>
      <c r="AS266" s="49">
        <v>9999</v>
      </c>
      <c r="AT266" s="38">
        <v>5.3803463905306916</v>
      </c>
      <c r="AU266" s="38">
        <v>0</v>
      </c>
      <c r="AV266" s="38">
        <v>0</v>
      </c>
      <c r="AW266" s="38">
        <v>0</v>
      </c>
      <c r="AX266" s="38">
        <v>5.3803463905306916</v>
      </c>
      <c r="AY266" s="38">
        <v>0</v>
      </c>
      <c r="AZ266" s="49">
        <v>9999</v>
      </c>
      <c r="BA266" s="38">
        <v>5.3803463905306916</v>
      </c>
      <c r="BB266" s="38">
        <v>0</v>
      </c>
      <c r="BC266" s="38">
        <v>0</v>
      </c>
      <c r="BD266" s="38">
        <v>0</v>
      </c>
      <c r="BE266" s="38">
        <v>5.3803463905306916</v>
      </c>
      <c r="BF266" s="38">
        <v>0</v>
      </c>
      <c r="BG266" s="38">
        <v>0</v>
      </c>
      <c r="BH266" s="49">
        <v>9999</v>
      </c>
      <c r="BI266" s="38">
        <v>0</v>
      </c>
      <c r="BJ266" s="38">
        <v>0</v>
      </c>
      <c r="BK266" s="38">
        <v>0</v>
      </c>
      <c r="BL266" s="38">
        <v>0</v>
      </c>
      <c r="BM266" s="38">
        <v>0</v>
      </c>
      <c r="BN266" s="38">
        <v>5.3803463905306916</v>
      </c>
      <c r="BO266" s="38">
        <v>0</v>
      </c>
      <c r="BP266" s="38">
        <v>0</v>
      </c>
      <c r="BQ266" s="38">
        <v>0</v>
      </c>
      <c r="BR266" s="38">
        <v>0</v>
      </c>
      <c r="BS266" s="38">
        <v>0</v>
      </c>
      <c r="BT266" s="38">
        <v>0</v>
      </c>
      <c r="BU266" s="38">
        <v>0</v>
      </c>
      <c r="BV266" s="38">
        <v>0</v>
      </c>
      <c r="BW266" s="38">
        <v>0</v>
      </c>
      <c r="BX266" s="38">
        <v>0</v>
      </c>
      <c r="BY266" s="38"/>
      <c r="BZ266" s="38">
        <v>0</v>
      </c>
      <c r="CA266" s="38">
        <v>0</v>
      </c>
      <c r="CB266" s="38">
        <v>5.3803463905306916</v>
      </c>
      <c r="CC266" s="38">
        <v>0</v>
      </c>
      <c r="CD266" s="49">
        <v>9999</v>
      </c>
      <c r="CE266" s="38">
        <v>0</v>
      </c>
      <c r="CF266" s="38">
        <v>9.7475238610516379E-2</v>
      </c>
      <c r="CG266" s="38">
        <v>0</v>
      </c>
      <c r="CH266" s="38">
        <v>9.7475238610516379E-2</v>
      </c>
      <c r="CI266" s="38">
        <v>4.8734423088165439E-3</v>
      </c>
      <c r="CJ266" s="38">
        <v>0</v>
      </c>
      <c r="CK266" s="38">
        <v>4.8734423088165439E-3</v>
      </c>
      <c r="CL266" s="38"/>
      <c r="CM266" s="38">
        <v>0</v>
      </c>
      <c r="CN266" s="38"/>
      <c r="CO266" s="38">
        <v>0</v>
      </c>
      <c r="CP266" s="38">
        <v>0</v>
      </c>
      <c r="CQ266" s="38">
        <v>0</v>
      </c>
      <c r="CR266" s="38">
        <v>0</v>
      </c>
      <c r="CS266" s="38">
        <v>0</v>
      </c>
      <c r="CT266" s="38">
        <v>0</v>
      </c>
      <c r="CU266" s="38">
        <v>0</v>
      </c>
      <c r="CV266" s="38">
        <v>9999</v>
      </c>
      <c r="CW266" s="49">
        <v>9999</v>
      </c>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row>
    <row r="267" spans="1:131">
      <c r="A267" s="27" t="s">
        <v>882</v>
      </c>
      <c r="B267" s="27" t="s">
        <v>217</v>
      </c>
      <c r="C267" s="38">
        <v>45</v>
      </c>
      <c r="D267" s="38">
        <v>24.270761593175429</v>
      </c>
      <c r="E267" s="38">
        <v>0</v>
      </c>
      <c r="F267" s="38">
        <v>0</v>
      </c>
      <c r="G267" s="38">
        <v>0</v>
      </c>
      <c r="H267" s="38">
        <v>0</v>
      </c>
      <c r="I267" s="38" t="s">
        <v>1361</v>
      </c>
      <c r="J267" s="38"/>
      <c r="K267" s="38"/>
      <c r="L267" s="38">
        <v>26.01825613253013</v>
      </c>
      <c r="M267" s="38">
        <v>0</v>
      </c>
      <c r="N267" s="38">
        <v>0</v>
      </c>
      <c r="O267" s="38">
        <v>0</v>
      </c>
      <c r="P267" s="38">
        <v>0</v>
      </c>
      <c r="Q267" s="38">
        <v>0</v>
      </c>
      <c r="R267" s="38">
        <v>0</v>
      </c>
      <c r="S267" s="38">
        <v>0</v>
      </c>
      <c r="T267" s="38">
        <v>0</v>
      </c>
      <c r="U267" s="38">
        <v>0</v>
      </c>
      <c r="V267" s="38" t="s">
        <v>1584</v>
      </c>
      <c r="W267" s="38" t="s">
        <v>1584</v>
      </c>
      <c r="X267" s="38" t="s">
        <v>1584</v>
      </c>
      <c r="Y267" s="38" t="s">
        <v>1584</v>
      </c>
      <c r="Z267" s="38">
        <v>0</v>
      </c>
      <c r="AA267" s="38">
        <v>0</v>
      </c>
      <c r="AB267" s="38">
        <v>0</v>
      </c>
      <c r="AC267" s="38">
        <v>0</v>
      </c>
      <c r="AD267" s="38">
        <v>0</v>
      </c>
      <c r="AE267" s="38">
        <v>0</v>
      </c>
      <c r="AF267" s="38">
        <v>0</v>
      </c>
      <c r="AG267" s="38">
        <v>0</v>
      </c>
      <c r="AH267" s="38">
        <v>0</v>
      </c>
      <c r="AI267" s="38">
        <v>0</v>
      </c>
      <c r="AJ267" s="38">
        <v>0</v>
      </c>
      <c r="AK267" s="38">
        <v>0</v>
      </c>
      <c r="AL267" s="38">
        <v>0</v>
      </c>
      <c r="AM267" s="38">
        <v>13.644141093703432</v>
      </c>
      <c r="AN267" s="38">
        <v>0</v>
      </c>
      <c r="AO267" s="38">
        <v>0</v>
      </c>
      <c r="AP267" s="38">
        <v>0</v>
      </c>
      <c r="AQ267" s="38">
        <v>13.644141093703432</v>
      </c>
      <c r="AR267" s="38">
        <v>0</v>
      </c>
      <c r="AS267" s="49">
        <v>9999</v>
      </c>
      <c r="AT267" s="38">
        <v>13.644141093703432</v>
      </c>
      <c r="AU267" s="38">
        <v>0</v>
      </c>
      <c r="AV267" s="38">
        <v>0</v>
      </c>
      <c r="AW267" s="38">
        <v>0</v>
      </c>
      <c r="AX267" s="38">
        <v>13.644141093703432</v>
      </c>
      <c r="AY267" s="38">
        <v>0</v>
      </c>
      <c r="AZ267" s="49">
        <v>9999</v>
      </c>
      <c r="BA267" s="38">
        <v>13.644141093703432</v>
      </c>
      <c r="BB267" s="38">
        <v>0</v>
      </c>
      <c r="BC267" s="38">
        <v>0</v>
      </c>
      <c r="BD267" s="38">
        <v>0</v>
      </c>
      <c r="BE267" s="38">
        <v>13.644141093703432</v>
      </c>
      <c r="BF267" s="38">
        <v>0</v>
      </c>
      <c r="BG267" s="38">
        <v>0</v>
      </c>
      <c r="BH267" s="49">
        <v>9999</v>
      </c>
      <c r="BI267" s="38">
        <v>0</v>
      </c>
      <c r="BJ267" s="38">
        <v>0</v>
      </c>
      <c r="BK267" s="38">
        <v>0</v>
      </c>
      <c r="BL267" s="38">
        <v>0</v>
      </c>
      <c r="BM267" s="38">
        <v>0</v>
      </c>
      <c r="BN267" s="38">
        <v>13.644141093703432</v>
      </c>
      <c r="BO267" s="38">
        <v>0</v>
      </c>
      <c r="BP267" s="38">
        <v>0</v>
      </c>
      <c r="BQ267" s="38">
        <v>0</v>
      </c>
      <c r="BR267" s="38">
        <v>0</v>
      </c>
      <c r="BS267" s="38">
        <v>0</v>
      </c>
      <c r="BT267" s="38">
        <v>0</v>
      </c>
      <c r="BU267" s="38">
        <v>0</v>
      </c>
      <c r="BV267" s="38">
        <v>0</v>
      </c>
      <c r="BW267" s="38">
        <v>0</v>
      </c>
      <c r="BX267" s="38">
        <v>0</v>
      </c>
      <c r="BY267" s="38"/>
      <c r="BZ267" s="38">
        <v>0</v>
      </c>
      <c r="CA267" s="38">
        <v>0</v>
      </c>
      <c r="CB267" s="38">
        <v>13.644141093703432</v>
      </c>
      <c r="CC267" s="38">
        <v>0</v>
      </c>
      <c r="CD267" s="49">
        <v>9999</v>
      </c>
      <c r="CE267" s="38">
        <v>0</v>
      </c>
      <c r="CF267" s="38">
        <v>0.24718964397627058</v>
      </c>
      <c r="CG267" s="38">
        <v>0</v>
      </c>
      <c r="CH267" s="38">
        <v>0.24718964397627058</v>
      </c>
      <c r="CI267" s="38">
        <v>1.2358671662951813E-2</v>
      </c>
      <c r="CJ267" s="38">
        <v>0</v>
      </c>
      <c r="CK267" s="38">
        <v>1.2358671662951813E-2</v>
      </c>
      <c r="CL267" s="38"/>
      <c r="CM267" s="38">
        <v>0</v>
      </c>
      <c r="CN267" s="38"/>
      <c r="CO267" s="38">
        <v>0</v>
      </c>
      <c r="CP267" s="38">
        <v>0</v>
      </c>
      <c r="CQ267" s="38">
        <v>0</v>
      </c>
      <c r="CR267" s="38">
        <v>0</v>
      </c>
      <c r="CS267" s="38">
        <v>0</v>
      </c>
      <c r="CT267" s="38">
        <v>0</v>
      </c>
      <c r="CU267" s="38">
        <v>0</v>
      </c>
      <c r="CV267" s="38">
        <v>9999</v>
      </c>
      <c r="CW267" s="49">
        <v>9999</v>
      </c>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row>
    <row r="268" spans="1:131">
      <c r="A268" s="27" t="s">
        <v>883</v>
      </c>
      <c r="B268" s="27" t="s">
        <v>218</v>
      </c>
      <c r="C268" s="38">
        <v>45</v>
      </c>
      <c r="D268" s="38">
        <v>-18.581376760616067</v>
      </c>
      <c r="E268" s="38">
        <v>0</v>
      </c>
      <c r="F268" s="38">
        <v>0</v>
      </c>
      <c r="G268" s="38">
        <v>0</v>
      </c>
      <c r="H268" s="38">
        <v>0</v>
      </c>
      <c r="I268" s="38" t="s">
        <v>1361</v>
      </c>
      <c r="J268" s="38"/>
      <c r="K268" s="38"/>
      <c r="L268" s="38">
        <v>-19.919235661261329</v>
      </c>
      <c r="M268" s="38">
        <v>0</v>
      </c>
      <c r="N268" s="38">
        <v>0</v>
      </c>
      <c r="O268" s="38">
        <v>0</v>
      </c>
      <c r="P268" s="38">
        <v>0</v>
      </c>
      <c r="Q268" s="38">
        <v>0</v>
      </c>
      <c r="R268" s="38">
        <v>0</v>
      </c>
      <c r="S268" s="38">
        <v>0</v>
      </c>
      <c r="T268" s="38">
        <v>0</v>
      </c>
      <c r="U268" s="38">
        <v>0</v>
      </c>
      <c r="V268" s="38" t="s">
        <v>1584</v>
      </c>
      <c r="W268" s="38" t="s">
        <v>1584</v>
      </c>
      <c r="X268" s="38" t="s">
        <v>1584</v>
      </c>
      <c r="Y268" s="38" t="s">
        <v>1584</v>
      </c>
      <c r="Z268" s="38">
        <v>0</v>
      </c>
      <c r="AA268" s="38">
        <v>0</v>
      </c>
      <c r="AB268" s="38">
        <v>0</v>
      </c>
      <c r="AC268" s="38">
        <v>0</v>
      </c>
      <c r="AD268" s="38">
        <v>0</v>
      </c>
      <c r="AE268" s="38">
        <v>0</v>
      </c>
      <c r="AF268" s="38">
        <v>0</v>
      </c>
      <c r="AG268" s="38">
        <v>0</v>
      </c>
      <c r="AH268" s="38">
        <v>0</v>
      </c>
      <c r="AI268" s="38">
        <v>0</v>
      </c>
      <c r="AJ268" s="38">
        <v>0</v>
      </c>
      <c r="AK268" s="38">
        <v>0</v>
      </c>
      <c r="AL268" s="38">
        <v>0</v>
      </c>
      <c r="AM268" s="38">
        <v>-10.445775476134854</v>
      </c>
      <c r="AN268" s="38">
        <v>0</v>
      </c>
      <c r="AO268" s="38">
        <v>0</v>
      </c>
      <c r="AP268" s="38">
        <v>0</v>
      </c>
      <c r="AQ268" s="38">
        <v>-10.445775476134854</v>
      </c>
      <c r="AR268" s="38">
        <v>0</v>
      </c>
      <c r="AS268" s="50">
        <v>0</v>
      </c>
      <c r="AT268" s="38">
        <v>-10.445775476134854</v>
      </c>
      <c r="AU268" s="38">
        <v>0</v>
      </c>
      <c r="AV268" s="38">
        <v>0</v>
      </c>
      <c r="AW268" s="38">
        <v>0</v>
      </c>
      <c r="AX268" s="38">
        <v>-10.445775476134854</v>
      </c>
      <c r="AY268" s="38">
        <v>0</v>
      </c>
      <c r="AZ268" s="50">
        <v>0</v>
      </c>
      <c r="BA268" s="38">
        <v>-10.445775476134854</v>
      </c>
      <c r="BB268" s="38">
        <v>0</v>
      </c>
      <c r="BC268" s="38">
        <v>0</v>
      </c>
      <c r="BD268" s="38">
        <v>0</v>
      </c>
      <c r="BE268" s="38">
        <v>-10.445775476134854</v>
      </c>
      <c r="BF268" s="38">
        <v>0</v>
      </c>
      <c r="BG268" s="38">
        <v>9999</v>
      </c>
      <c r="BH268" s="50">
        <v>0</v>
      </c>
      <c r="BI268" s="38">
        <v>9999</v>
      </c>
      <c r="BJ268" s="38">
        <v>9999</v>
      </c>
      <c r="BK268" s="38">
        <v>9999</v>
      </c>
      <c r="BL268" s="38">
        <v>9999</v>
      </c>
      <c r="BM268" s="38">
        <v>9999</v>
      </c>
      <c r="BN268" s="38">
        <v>-10.445775476134854</v>
      </c>
      <c r="BO268" s="38">
        <v>0</v>
      </c>
      <c r="BP268" s="38">
        <v>0</v>
      </c>
      <c r="BQ268" s="38">
        <v>0</v>
      </c>
      <c r="BR268" s="38">
        <v>0</v>
      </c>
      <c r="BS268" s="38">
        <v>0</v>
      </c>
      <c r="BT268" s="38">
        <v>0</v>
      </c>
      <c r="BU268" s="38">
        <v>0</v>
      </c>
      <c r="BV268" s="38">
        <v>0</v>
      </c>
      <c r="BW268" s="38">
        <v>0</v>
      </c>
      <c r="BX268" s="38">
        <v>0</v>
      </c>
      <c r="BY268" s="38"/>
      <c r="BZ268" s="38">
        <v>0</v>
      </c>
      <c r="CA268" s="38">
        <v>0</v>
      </c>
      <c r="CB268" s="38">
        <v>-10.445775476134854</v>
      </c>
      <c r="CC268" s="38">
        <v>0</v>
      </c>
      <c r="CD268" s="50">
        <v>0</v>
      </c>
      <c r="CE268" s="38">
        <v>9999</v>
      </c>
      <c r="CF268" s="38">
        <v>-0.18924514949449056</v>
      </c>
      <c r="CG268" s="38">
        <v>0</v>
      </c>
      <c r="CH268" s="38">
        <v>-0.18924514949449056</v>
      </c>
      <c r="CI268" s="38">
        <v>-9.4616369390991308E-3</v>
      </c>
      <c r="CJ268" s="38">
        <v>0</v>
      </c>
      <c r="CK268" s="38">
        <v>-9.4616369390991308E-3</v>
      </c>
      <c r="CL268" s="38"/>
      <c r="CM268" s="38">
        <v>0</v>
      </c>
      <c r="CN268" s="38"/>
      <c r="CO268" s="38">
        <v>0</v>
      </c>
      <c r="CP268" s="38">
        <v>0</v>
      </c>
      <c r="CQ268" s="38">
        <v>0</v>
      </c>
      <c r="CR268" s="38">
        <v>0</v>
      </c>
      <c r="CS268" s="38">
        <v>0</v>
      </c>
      <c r="CT268" s="38">
        <v>0</v>
      </c>
      <c r="CU268" s="38">
        <v>0</v>
      </c>
      <c r="CV268" s="38">
        <v>9999</v>
      </c>
      <c r="CW268" s="49">
        <v>9999</v>
      </c>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row>
    <row r="269" spans="1:131">
      <c r="A269" s="27" t="s">
        <v>884</v>
      </c>
      <c r="B269" s="27" t="s">
        <v>219</v>
      </c>
      <c r="C269" s="38">
        <v>45</v>
      </c>
      <c r="D269" s="38">
        <v>-20.643114197724046</v>
      </c>
      <c r="E269" s="38">
        <v>0</v>
      </c>
      <c r="F269" s="38">
        <v>0</v>
      </c>
      <c r="G269" s="38">
        <v>0</v>
      </c>
      <c r="H269" s="38">
        <v>0</v>
      </c>
      <c r="I269" s="38" t="s">
        <v>1361</v>
      </c>
      <c r="J269" s="38"/>
      <c r="K269" s="38"/>
      <c r="L269" s="38">
        <v>-22.129418168751542</v>
      </c>
      <c r="M269" s="38">
        <v>0</v>
      </c>
      <c r="N269" s="38">
        <v>0</v>
      </c>
      <c r="O269" s="38">
        <v>0</v>
      </c>
      <c r="P269" s="38">
        <v>0</v>
      </c>
      <c r="Q269" s="38">
        <v>0</v>
      </c>
      <c r="R269" s="38">
        <v>0</v>
      </c>
      <c r="S269" s="38">
        <v>0</v>
      </c>
      <c r="T269" s="38">
        <v>0</v>
      </c>
      <c r="U269" s="38">
        <v>0</v>
      </c>
      <c r="V269" s="38" t="s">
        <v>1584</v>
      </c>
      <c r="W269" s="38" t="s">
        <v>1584</v>
      </c>
      <c r="X269" s="38" t="s">
        <v>1584</v>
      </c>
      <c r="Y269" s="38" t="s">
        <v>1584</v>
      </c>
      <c r="Z269" s="38">
        <v>0</v>
      </c>
      <c r="AA269" s="38">
        <v>0</v>
      </c>
      <c r="AB269" s="38">
        <v>0</v>
      </c>
      <c r="AC269" s="38">
        <v>0</v>
      </c>
      <c r="AD269" s="38">
        <v>0</v>
      </c>
      <c r="AE269" s="38">
        <v>0</v>
      </c>
      <c r="AF269" s="38">
        <v>0</v>
      </c>
      <c r="AG269" s="38">
        <v>0</v>
      </c>
      <c r="AH269" s="38">
        <v>0</v>
      </c>
      <c r="AI269" s="38">
        <v>0</v>
      </c>
      <c r="AJ269" s="38">
        <v>0</v>
      </c>
      <c r="AK269" s="38">
        <v>0</v>
      </c>
      <c r="AL269" s="38">
        <v>0</v>
      </c>
      <c r="AM269" s="38">
        <v>-11.604809418356995</v>
      </c>
      <c r="AN269" s="38">
        <v>0</v>
      </c>
      <c r="AO269" s="38">
        <v>0</v>
      </c>
      <c r="AP269" s="38">
        <v>0</v>
      </c>
      <c r="AQ269" s="38">
        <v>-11.604809418356995</v>
      </c>
      <c r="AR269" s="38">
        <v>0</v>
      </c>
      <c r="AS269" s="50">
        <v>0</v>
      </c>
      <c r="AT269" s="38">
        <v>-11.604809418356995</v>
      </c>
      <c r="AU269" s="38">
        <v>0</v>
      </c>
      <c r="AV269" s="38">
        <v>0</v>
      </c>
      <c r="AW269" s="38">
        <v>0</v>
      </c>
      <c r="AX269" s="38">
        <v>-11.604809418356995</v>
      </c>
      <c r="AY269" s="38">
        <v>0</v>
      </c>
      <c r="AZ269" s="50">
        <v>0</v>
      </c>
      <c r="BA269" s="38">
        <v>-11.604809418356995</v>
      </c>
      <c r="BB269" s="38">
        <v>0</v>
      </c>
      <c r="BC269" s="38">
        <v>0</v>
      </c>
      <c r="BD269" s="38">
        <v>0</v>
      </c>
      <c r="BE269" s="38">
        <v>-11.604809418356995</v>
      </c>
      <c r="BF269" s="38">
        <v>0</v>
      </c>
      <c r="BG269" s="38">
        <v>9999</v>
      </c>
      <c r="BH269" s="50">
        <v>0</v>
      </c>
      <c r="BI269" s="38">
        <v>9999</v>
      </c>
      <c r="BJ269" s="38">
        <v>9999</v>
      </c>
      <c r="BK269" s="38">
        <v>9999</v>
      </c>
      <c r="BL269" s="38">
        <v>9999</v>
      </c>
      <c r="BM269" s="38">
        <v>9999</v>
      </c>
      <c r="BN269" s="38">
        <v>-11.604809418356995</v>
      </c>
      <c r="BO269" s="38">
        <v>0</v>
      </c>
      <c r="BP269" s="38">
        <v>0</v>
      </c>
      <c r="BQ269" s="38">
        <v>0</v>
      </c>
      <c r="BR269" s="38">
        <v>0</v>
      </c>
      <c r="BS269" s="38">
        <v>0</v>
      </c>
      <c r="BT269" s="38">
        <v>0</v>
      </c>
      <c r="BU269" s="38">
        <v>0</v>
      </c>
      <c r="BV269" s="38">
        <v>0</v>
      </c>
      <c r="BW269" s="38">
        <v>0</v>
      </c>
      <c r="BX269" s="38">
        <v>0</v>
      </c>
      <c r="BY269" s="38"/>
      <c r="BZ269" s="38">
        <v>0</v>
      </c>
      <c r="CA269" s="38">
        <v>0</v>
      </c>
      <c r="CB269" s="38">
        <v>-11.604809418356995</v>
      </c>
      <c r="CC269" s="38">
        <v>0</v>
      </c>
      <c r="CD269" s="50">
        <v>0</v>
      </c>
      <c r="CE269" s="38">
        <v>9999</v>
      </c>
      <c r="CF269" s="38">
        <v>-0.21024326037349039</v>
      </c>
      <c r="CG269" s="38">
        <v>0</v>
      </c>
      <c r="CH269" s="38">
        <v>-0.21024326037349039</v>
      </c>
      <c r="CI269" s="38">
        <v>-1.0511473630156984E-2</v>
      </c>
      <c r="CJ269" s="38">
        <v>0</v>
      </c>
      <c r="CK269" s="38">
        <v>-1.0511473630156984E-2</v>
      </c>
      <c r="CL269" s="38"/>
      <c r="CM269" s="38">
        <v>0</v>
      </c>
      <c r="CN269" s="38"/>
      <c r="CO269" s="38">
        <v>0</v>
      </c>
      <c r="CP269" s="38">
        <v>0</v>
      </c>
      <c r="CQ269" s="38">
        <v>0</v>
      </c>
      <c r="CR269" s="38">
        <v>0</v>
      </c>
      <c r="CS269" s="38">
        <v>0</v>
      </c>
      <c r="CT269" s="38">
        <v>0</v>
      </c>
      <c r="CU269" s="38">
        <v>0</v>
      </c>
      <c r="CV269" s="38">
        <v>9999</v>
      </c>
      <c r="CW269" s="49">
        <v>9999</v>
      </c>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row>
    <row r="270" spans="1:131">
      <c r="A270" s="27" t="s">
        <v>885</v>
      </c>
      <c r="B270" s="27" t="s">
        <v>220</v>
      </c>
      <c r="C270" s="38">
        <v>45</v>
      </c>
      <c r="D270" s="38">
        <v>-21.992152326043964</v>
      </c>
      <c r="E270" s="38">
        <v>0</v>
      </c>
      <c r="F270" s="38">
        <v>0</v>
      </c>
      <c r="G270" s="38">
        <v>0</v>
      </c>
      <c r="H270" s="38">
        <v>0</v>
      </c>
      <c r="I270" s="38" t="s">
        <v>1361</v>
      </c>
      <c r="J270" s="38"/>
      <c r="K270" s="38"/>
      <c r="L270" s="38">
        <v>-23.575587025893878</v>
      </c>
      <c r="M270" s="38">
        <v>0</v>
      </c>
      <c r="N270" s="38">
        <v>0</v>
      </c>
      <c r="O270" s="38">
        <v>0</v>
      </c>
      <c r="P270" s="38">
        <v>0</v>
      </c>
      <c r="Q270" s="38">
        <v>0</v>
      </c>
      <c r="R270" s="38">
        <v>0</v>
      </c>
      <c r="S270" s="38">
        <v>0</v>
      </c>
      <c r="T270" s="38">
        <v>0</v>
      </c>
      <c r="U270" s="38">
        <v>0</v>
      </c>
      <c r="V270" s="38" t="s">
        <v>1584</v>
      </c>
      <c r="W270" s="38" t="s">
        <v>1584</v>
      </c>
      <c r="X270" s="38" t="s">
        <v>1584</v>
      </c>
      <c r="Y270" s="38" t="s">
        <v>1584</v>
      </c>
      <c r="Z270" s="38">
        <v>0</v>
      </c>
      <c r="AA270" s="38">
        <v>0</v>
      </c>
      <c r="AB270" s="38">
        <v>0</v>
      </c>
      <c r="AC270" s="38">
        <v>0</v>
      </c>
      <c r="AD270" s="38">
        <v>0</v>
      </c>
      <c r="AE270" s="38">
        <v>0</v>
      </c>
      <c r="AF270" s="38">
        <v>0</v>
      </c>
      <c r="AG270" s="38">
        <v>0</v>
      </c>
      <c r="AH270" s="38">
        <v>0</v>
      </c>
      <c r="AI270" s="38">
        <v>0</v>
      </c>
      <c r="AJ270" s="38">
        <v>0</v>
      </c>
      <c r="AK270" s="38">
        <v>0</v>
      </c>
      <c r="AL270" s="38">
        <v>0</v>
      </c>
      <c r="AM270" s="38">
        <v>-12.363189681494598</v>
      </c>
      <c r="AN270" s="38">
        <v>0</v>
      </c>
      <c r="AO270" s="38">
        <v>0</v>
      </c>
      <c r="AP270" s="38">
        <v>0</v>
      </c>
      <c r="AQ270" s="38">
        <v>-12.363189681494598</v>
      </c>
      <c r="AR270" s="38">
        <v>0</v>
      </c>
      <c r="AS270" s="50">
        <v>0</v>
      </c>
      <c r="AT270" s="38">
        <v>-12.363189681494598</v>
      </c>
      <c r="AU270" s="38">
        <v>0</v>
      </c>
      <c r="AV270" s="38">
        <v>0</v>
      </c>
      <c r="AW270" s="38">
        <v>0</v>
      </c>
      <c r="AX270" s="38">
        <v>-12.363189681494598</v>
      </c>
      <c r="AY270" s="38">
        <v>0</v>
      </c>
      <c r="AZ270" s="50">
        <v>0</v>
      </c>
      <c r="BA270" s="38">
        <v>-12.363189681494598</v>
      </c>
      <c r="BB270" s="38">
        <v>0</v>
      </c>
      <c r="BC270" s="38">
        <v>0</v>
      </c>
      <c r="BD270" s="38">
        <v>0</v>
      </c>
      <c r="BE270" s="38">
        <v>-12.363189681494598</v>
      </c>
      <c r="BF270" s="38">
        <v>0</v>
      </c>
      <c r="BG270" s="38">
        <v>9999</v>
      </c>
      <c r="BH270" s="50">
        <v>0</v>
      </c>
      <c r="BI270" s="38">
        <v>9999</v>
      </c>
      <c r="BJ270" s="38">
        <v>9999</v>
      </c>
      <c r="BK270" s="38">
        <v>9999</v>
      </c>
      <c r="BL270" s="38">
        <v>9999</v>
      </c>
      <c r="BM270" s="38">
        <v>9999</v>
      </c>
      <c r="BN270" s="38">
        <v>-12.363189681494598</v>
      </c>
      <c r="BO270" s="38">
        <v>0</v>
      </c>
      <c r="BP270" s="38">
        <v>0</v>
      </c>
      <c r="BQ270" s="38">
        <v>0</v>
      </c>
      <c r="BR270" s="38">
        <v>0</v>
      </c>
      <c r="BS270" s="38">
        <v>0</v>
      </c>
      <c r="BT270" s="38">
        <v>0</v>
      </c>
      <c r="BU270" s="38">
        <v>0</v>
      </c>
      <c r="BV270" s="38">
        <v>0</v>
      </c>
      <c r="BW270" s="38">
        <v>0</v>
      </c>
      <c r="BX270" s="38">
        <v>0</v>
      </c>
      <c r="BY270" s="38"/>
      <c r="BZ270" s="38">
        <v>0</v>
      </c>
      <c r="CA270" s="38">
        <v>0</v>
      </c>
      <c r="CB270" s="38">
        <v>-12.363189681494598</v>
      </c>
      <c r="CC270" s="38">
        <v>0</v>
      </c>
      <c r="CD270" s="50">
        <v>0</v>
      </c>
      <c r="CE270" s="38">
        <v>9999</v>
      </c>
      <c r="CF270" s="38">
        <v>-0.22398276555422553</v>
      </c>
      <c r="CG270" s="38">
        <v>0</v>
      </c>
      <c r="CH270" s="38">
        <v>-0.22398276555422553</v>
      </c>
      <c r="CI270" s="38">
        <v>-1.1198403837299593E-2</v>
      </c>
      <c r="CJ270" s="38">
        <v>0</v>
      </c>
      <c r="CK270" s="38">
        <v>-1.1198403837299593E-2</v>
      </c>
      <c r="CL270" s="38"/>
      <c r="CM270" s="38">
        <v>0</v>
      </c>
      <c r="CN270" s="38"/>
      <c r="CO270" s="38">
        <v>0</v>
      </c>
      <c r="CP270" s="38">
        <v>0</v>
      </c>
      <c r="CQ270" s="38">
        <v>0</v>
      </c>
      <c r="CR270" s="38">
        <v>0</v>
      </c>
      <c r="CS270" s="38">
        <v>0</v>
      </c>
      <c r="CT270" s="38">
        <v>0</v>
      </c>
      <c r="CU270" s="38">
        <v>0</v>
      </c>
      <c r="CV270" s="38">
        <v>9999</v>
      </c>
      <c r="CW270" s="49">
        <v>9999</v>
      </c>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row>
    <row r="271" spans="1:131">
      <c r="A271" s="27" t="s">
        <v>886</v>
      </c>
      <c r="B271" s="27" t="s">
        <v>221</v>
      </c>
      <c r="C271" s="38">
        <v>45</v>
      </c>
      <c r="D271" s="38">
        <v>42.283357867235111</v>
      </c>
      <c r="E271" s="38">
        <v>0</v>
      </c>
      <c r="F271" s="38">
        <v>0</v>
      </c>
      <c r="G271" s="38">
        <v>0</v>
      </c>
      <c r="H271" s="38">
        <v>0</v>
      </c>
      <c r="I271" s="38" t="s">
        <v>1361</v>
      </c>
      <c r="J271" s="38"/>
      <c r="K271" s="38"/>
      <c r="L271" s="38">
        <v>45.327759119124572</v>
      </c>
      <c r="M271" s="38">
        <v>0</v>
      </c>
      <c r="N271" s="38">
        <v>0</v>
      </c>
      <c r="O271" s="38">
        <v>0</v>
      </c>
      <c r="P271" s="38">
        <v>0</v>
      </c>
      <c r="Q271" s="38">
        <v>0</v>
      </c>
      <c r="R271" s="38">
        <v>0</v>
      </c>
      <c r="S271" s="38">
        <v>0</v>
      </c>
      <c r="T271" s="38">
        <v>0</v>
      </c>
      <c r="U271" s="38">
        <v>0</v>
      </c>
      <c r="V271" s="38" t="s">
        <v>1584</v>
      </c>
      <c r="W271" s="38" t="s">
        <v>1584</v>
      </c>
      <c r="X271" s="38" t="s">
        <v>1584</v>
      </c>
      <c r="Y271" s="38" t="s">
        <v>1584</v>
      </c>
      <c r="Z271" s="38">
        <v>0</v>
      </c>
      <c r="AA271" s="38">
        <v>0</v>
      </c>
      <c r="AB271" s="38">
        <v>0</v>
      </c>
      <c r="AC271" s="38">
        <v>0</v>
      </c>
      <c r="AD271" s="38">
        <v>0</v>
      </c>
      <c r="AE271" s="38">
        <v>0</v>
      </c>
      <c r="AF271" s="38">
        <v>0</v>
      </c>
      <c r="AG271" s="38">
        <v>0</v>
      </c>
      <c r="AH271" s="38">
        <v>0</v>
      </c>
      <c r="AI271" s="38">
        <v>0</v>
      </c>
      <c r="AJ271" s="38">
        <v>0</v>
      </c>
      <c r="AK271" s="38">
        <v>0</v>
      </c>
      <c r="AL271" s="38">
        <v>0</v>
      </c>
      <c r="AM271" s="38">
        <v>23.77016882809033</v>
      </c>
      <c r="AN271" s="38">
        <v>0</v>
      </c>
      <c r="AO271" s="38">
        <v>0</v>
      </c>
      <c r="AP271" s="38">
        <v>0</v>
      </c>
      <c r="AQ271" s="38">
        <v>23.77016882809033</v>
      </c>
      <c r="AR271" s="38">
        <v>0</v>
      </c>
      <c r="AS271" s="49">
        <v>9999</v>
      </c>
      <c r="AT271" s="38">
        <v>23.77016882809033</v>
      </c>
      <c r="AU271" s="38">
        <v>0</v>
      </c>
      <c r="AV271" s="38">
        <v>0</v>
      </c>
      <c r="AW271" s="38">
        <v>0</v>
      </c>
      <c r="AX271" s="38">
        <v>23.77016882809033</v>
      </c>
      <c r="AY271" s="38">
        <v>0</v>
      </c>
      <c r="AZ271" s="49">
        <v>9999</v>
      </c>
      <c r="BA271" s="38">
        <v>23.77016882809033</v>
      </c>
      <c r="BB271" s="38">
        <v>0</v>
      </c>
      <c r="BC271" s="38">
        <v>0</v>
      </c>
      <c r="BD271" s="38">
        <v>0</v>
      </c>
      <c r="BE271" s="38">
        <v>23.77016882809033</v>
      </c>
      <c r="BF271" s="38">
        <v>0</v>
      </c>
      <c r="BG271" s="38">
        <v>0</v>
      </c>
      <c r="BH271" s="49">
        <v>9999</v>
      </c>
      <c r="BI271" s="38">
        <v>0</v>
      </c>
      <c r="BJ271" s="38">
        <v>0</v>
      </c>
      <c r="BK271" s="38">
        <v>0</v>
      </c>
      <c r="BL271" s="38">
        <v>0</v>
      </c>
      <c r="BM271" s="38">
        <v>0</v>
      </c>
      <c r="BN271" s="38">
        <v>23.77016882809033</v>
      </c>
      <c r="BO271" s="38">
        <v>0</v>
      </c>
      <c r="BP271" s="38">
        <v>0</v>
      </c>
      <c r="BQ271" s="38">
        <v>0</v>
      </c>
      <c r="BR271" s="38">
        <v>0</v>
      </c>
      <c r="BS271" s="38">
        <v>0</v>
      </c>
      <c r="BT271" s="38">
        <v>0</v>
      </c>
      <c r="BU271" s="38">
        <v>0</v>
      </c>
      <c r="BV271" s="38">
        <v>0</v>
      </c>
      <c r="BW271" s="38">
        <v>0</v>
      </c>
      <c r="BX271" s="38">
        <v>0</v>
      </c>
      <c r="BY271" s="38"/>
      <c r="BZ271" s="38">
        <v>0</v>
      </c>
      <c r="CA271" s="38">
        <v>0</v>
      </c>
      <c r="CB271" s="38">
        <v>23.77016882809033</v>
      </c>
      <c r="CC271" s="38">
        <v>0</v>
      </c>
      <c r="CD271" s="49">
        <v>9999</v>
      </c>
      <c r="CE271" s="38">
        <v>0</v>
      </c>
      <c r="CF271" s="38">
        <v>0.4306419531664808</v>
      </c>
      <c r="CG271" s="38">
        <v>0</v>
      </c>
      <c r="CH271" s="38">
        <v>0.4306419531664808</v>
      </c>
      <c r="CI271" s="38">
        <v>2.1530685581584174E-2</v>
      </c>
      <c r="CJ271" s="38">
        <v>0</v>
      </c>
      <c r="CK271" s="38">
        <v>2.1530685581584174E-2</v>
      </c>
      <c r="CL271" s="38"/>
      <c r="CM271" s="38">
        <v>0</v>
      </c>
      <c r="CN271" s="38"/>
      <c r="CO271" s="38">
        <v>0</v>
      </c>
      <c r="CP271" s="38">
        <v>0</v>
      </c>
      <c r="CQ271" s="38">
        <v>0</v>
      </c>
      <c r="CR271" s="38">
        <v>0</v>
      </c>
      <c r="CS271" s="38">
        <v>0</v>
      </c>
      <c r="CT271" s="38">
        <v>0</v>
      </c>
      <c r="CU271" s="38">
        <v>0</v>
      </c>
      <c r="CV271" s="38">
        <v>9999</v>
      </c>
      <c r="CW271" s="49">
        <v>9999</v>
      </c>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row>
    <row r="272" spans="1:131">
      <c r="A272" s="27" t="s">
        <v>887</v>
      </c>
      <c r="B272" s="27" t="s">
        <v>222</v>
      </c>
      <c r="C272" s="38">
        <v>45</v>
      </c>
      <c r="D272" s="38">
        <v>52.04930292784924</v>
      </c>
      <c r="E272" s="38">
        <v>0</v>
      </c>
      <c r="F272" s="38">
        <v>0</v>
      </c>
      <c r="G272" s="38">
        <v>0</v>
      </c>
      <c r="H272" s="38">
        <v>0</v>
      </c>
      <c r="I272" s="38" t="s">
        <v>1361</v>
      </c>
      <c r="J272" s="38"/>
      <c r="K272" s="38"/>
      <c r="L272" s="38">
        <v>55.796852105259916</v>
      </c>
      <c r="M272" s="38">
        <v>0</v>
      </c>
      <c r="N272" s="38">
        <v>0</v>
      </c>
      <c r="O272" s="38">
        <v>0</v>
      </c>
      <c r="P272" s="38">
        <v>0</v>
      </c>
      <c r="Q272" s="38">
        <v>0</v>
      </c>
      <c r="R272" s="38">
        <v>0</v>
      </c>
      <c r="S272" s="38">
        <v>0</v>
      </c>
      <c r="T272" s="38">
        <v>0</v>
      </c>
      <c r="U272" s="38">
        <v>0</v>
      </c>
      <c r="V272" s="38" t="s">
        <v>1584</v>
      </c>
      <c r="W272" s="38" t="s">
        <v>1584</v>
      </c>
      <c r="X272" s="38" t="s">
        <v>1584</v>
      </c>
      <c r="Y272" s="38" t="s">
        <v>1584</v>
      </c>
      <c r="Z272" s="38">
        <v>0</v>
      </c>
      <c r="AA272" s="38">
        <v>0</v>
      </c>
      <c r="AB272" s="38">
        <v>0</v>
      </c>
      <c r="AC272" s="38">
        <v>0</v>
      </c>
      <c r="AD272" s="38">
        <v>0</v>
      </c>
      <c r="AE272" s="38">
        <v>0</v>
      </c>
      <c r="AF272" s="38">
        <v>0</v>
      </c>
      <c r="AG272" s="38">
        <v>0</v>
      </c>
      <c r="AH272" s="38">
        <v>0</v>
      </c>
      <c r="AI272" s="38">
        <v>0</v>
      </c>
      <c r="AJ272" s="38">
        <v>0</v>
      </c>
      <c r="AK272" s="38">
        <v>0</v>
      </c>
      <c r="AL272" s="38">
        <v>0</v>
      </c>
      <c r="AM272" s="38">
        <v>29.260228619120642</v>
      </c>
      <c r="AN272" s="38">
        <v>0</v>
      </c>
      <c r="AO272" s="38">
        <v>0</v>
      </c>
      <c r="AP272" s="38">
        <v>0</v>
      </c>
      <c r="AQ272" s="38">
        <v>29.260228619120642</v>
      </c>
      <c r="AR272" s="38">
        <v>0</v>
      </c>
      <c r="AS272" s="49">
        <v>9999</v>
      </c>
      <c r="AT272" s="38">
        <v>29.260228619120642</v>
      </c>
      <c r="AU272" s="38">
        <v>0</v>
      </c>
      <c r="AV272" s="38">
        <v>0</v>
      </c>
      <c r="AW272" s="38">
        <v>0</v>
      </c>
      <c r="AX272" s="38">
        <v>29.260228619120642</v>
      </c>
      <c r="AY272" s="38">
        <v>0</v>
      </c>
      <c r="AZ272" s="49">
        <v>9999</v>
      </c>
      <c r="BA272" s="38">
        <v>29.260228619120642</v>
      </c>
      <c r="BB272" s="38">
        <v>0</v>
      </c>
      <c r="BC272" s="38">
        <v>0</v>
      </c>
      <c r="BD272" s="38">
        <v>0</v>
      </c>
      <c r="BE272" s="38">
        <v>29.260228619120642</v>
      </c>
      <c r="BF272" s="38">
        <v>0</v>
      </c>
      <c r="BG272" s="38">
        <v>0</v>
      </c>
      <c r="BH272" s="49">
        <v>9999</v>
      </c>
      <c r="BI272" s="38">
        <v>0</v>
      </c>
      <c r="BJ272" s="38">
        <v>0</v>
      </c>
      <c r="BK272" s="38">
        <v>0</v>
      </c>
      <c r="BL272" s="38">
        <v>0</v>
      </c>
      <c r="BM272" s="38">
        <v>0</v>
      </c>
      <c r="BN272" s="38">
        <v>29.260228619120642</v>
      </c>
      <c r="BO272" s="38">
        <v>0</v>
      </c>
      <c r="BP272" s="38">
        <v>0</v>
      </c>
      <c r="BQ272" s="38">
        <v>0</v>
      </c>
      <c r="BR272" s="38">
        <v>0</v>
      </c>
      <c r="BS272" s="38">
        <v>0</v>
      </c>
      <c r="BT272" s="38">
        <v>0</v>
      </c>
      <c r="BU272" s="38">
        <v>0</v>
      </c>
      <c r="BV272" s="38">
        <v>0</v>
      </c>
      <c r="BW272" s="38">
        <v>0</v>
      </c>
      <c r="BX272" s="38">
        <v>0</v>
      </c>
      <c r="BY272" s="38"/>
      <c r="BZ272" s="38">
        <v>0</v>
      </c>
      <c r="CA272" s="38">
        <v>0</v>
      </c>
      <c r="CB272" s="38">
        <v>29.260228619120642</v>
      </c>
      <c r="CC272" s="38">
        <v>0</v>
      </c>
      <c r="CD272" s="49">
        <v>9999</v>
      </c>
      <c r="CE272" s="38">
        <v>0</v>
      </c>
      <c r="CF272" s="38">
        <v>0.53010485932035356</v>
      </c>
      <c r="CG272" s="38">
        <v>0</v>
      </c>
      <c r="CH272" s="38">
        <v>0.53010485932035356</v>
      </c>
      <c r="CI272" s="38">
        <v>2.650350474999846E-2</v>
      </c>
      <c r="CJ272" s="38">
        <v>0</v>
      </c>
      <c r="CK272" s="38">
        <v>2.650350474999846E-2</v>
      </c>
      <c r="CL272" s="38"/>
      <c r="CM272" s="38">
        <v>0</v>
      </c>
      <c r="CN272" s="38"/>
      <c r="CO272" s="38">
        <v>0</v>
      </c>
      <c r="CP272" s="38">
        <v>0</v>
      </c>
      <c r="CQ272" s="38">
        <v>0</v>
      </c>
      <c r="CR272" s="38">
        <v>0</v>
      </c>
      <c r="CS272" s="38">
        <v>0</v>
      </c>
      <c r="CT272" s="38">
        <v>0</v>
      </c>
      <c r="CU272" s="38">
        <v>0</v>
      </c>
      <c r="CV272" s="38">
        <v>9999</v>
      </c>
      <c r="CW272" s="49">
        <v>9999</v>
      </c>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row>
    <row r="273" spans="1:131">
      <c r="A273" s="27" t="s">
        <v>888</v>
      </c>
      <c r="B273" s="27" t="s">
        <v>224</v>
      </c>
      <c r="C273" s="38">
        <v>45</v>
      </c>
      <c r="D273" s="38">
        <v>45.570746297895624</v>
      </c>
      <c r="E273" s="38">
        <v>0</v>
      </c>
      <c r="F273" s="38">
        <v>0</v>
      </c>
      <c r="G273" s="38">
        <v>0</v>
      </c>
      <c r="H273" s="38">
        <v>0</v>
      </c>
      <c r="I273" s="38" t="s">
        <v>1361</v>
      </c>
      <c r="J273" s="38"/>
      <c r="K273" s="38"/>
      <c r="L273" s="38">
        <v>48.851839476788001</v>
      </c>
      <c r="M273" s="38">
        <v>0</v>
      </c>
      <c r="N273" s="38">
        <v>0</v>
      </c>
      <c r="O273" s="38">
        <v>0</v>
      </c>
      <c r="P273" s="38">
        <v>0</v>
      </c>
      <c r="Q273" s="38">
        <v>0</v>
      </c>
      <c r="R273" s="38">
        <v>0</v>
      </c>
      <c r="S273" s="38">
        <v>0</v>
      </c>
      <c r="T273" s="38">
        <v>0</v>
      </c>
      <c r="U273" s="38">
        <v>0</v>
      </c>
      <c r="V273" s="38" t="s">
        <v>1584</v>
      </c>
      <c r="W273" s="38" t="s">
        <v>1584</v>
      </c>
      <c r="X273" s="38" t="s">
        <v>1584</v>
      </c>
      <c r="Y273" s="38" t="s">
        <v>1584</v>
      </c>
      <c r="Z273" s="38">
        <v>0</v>
      </c>
      <c r="AA273" s="38">
        <v>0</v>
      </c>
      <c r="AB273" s="38">
        <v>0</v>
      </c>
      <c r="AC273" s="38">
        <v>0</v>
      </c>
      <c r="AD273" s="38">
        <v>0</v>
      </c>
      <c r="AE273" s="38">
        <v>0</v>
      </c>
      <c r="AF273" s="38">
        <v>0</v>
      </c>
      <c r="AG273" s="38">
        <v>0</v>
      </c>
      <c r="AH273" s="38">
        <v>0</v>
      </c>
      <c r="AI273" s="38">
        <v>0</v>
      </c>
      <c r="AJ273" s="38">
        <v>0</v>
      </c>
      <c r="AK273" s="38">
        <v>0</v>
      </c>
      <c r="AL273" s="38">
        <v>0</v>
      </c>
      <c r="AM273" s="38">
        <v>25.618219265467303</v>
      </c>
      <c r="AN273" s="38">
        <v>0</v>
      </c>
      <c r="AO273" s="38">
        <v>0</v>
      </c>
      <c r="AP273" s="38">
        <v>0</v>
      </c>
      <c r="AQ273" s="38">
        <v>25.618219265467303</v>
      </c>
      <c r="AR273" s="38">
        <v>0</v>
      </c>
      <c r="AS273" s="49">
        <v>9999</v>
      </c>
      <c r="AT273" s="38">
        <v>25.618219265467303</v>
      </c>
      <c r="AU273" s="38">
        <v>0</v>
      </c>
      <c r="AV273" s="38">
        <v>0</v>
      </c>
      <c r="AW273" s="38">
        <v>0</v>
      </c>
      <c r="AX273" s="38">
        <v>25.618219265467303</v>
      </c>
      <c r="AY273" s="38">
        <v>0</v>
      </c>
      <c r="AZ273" s="49">
        <v>9999</v>
      </c>
      <c r="BA273" s="38">
        <v>25.618219265467303</v>
      </c>
      <c r="BB273" s="38">
        <v>0</v>
      </c>
      <c r="BC273" s="38">
        <v>0</v>
      </c>
      <c r="BD273" s="38">
        <v>0</v>
      </c>
      <c r="BE273" s="38">
        <v>25.618219265467303</v>
      </c>
      <c r="BF273" s="38">
        <v>0</v>
      </c>
      <c r="BG273" s="38">
        <v>0</v>
      </c>
      <c r="BH273" s="49">
        <v>9999</v>
      </c>
      <c r="BI273" s="38">
        <v>0</v>
      </c>
      <c r="BJ273" s="38">
        <v>0</v>
      </c>
      <c r="BK273" s="38">
        <v>0</v>
      </c>
      <c r="BL273" s="38">
        <v>0</v>
      </c>
      <c r="BM273" s="38">
        <v>0</v>
      </c>
      <c r="BN273" s="38">
        <v>25.618219265467303</v>
      </c>
      <c r="BO273" s="38">
        <v>0</v>
      </c>
      <c r="BP273" s="38">
        <v>0</v>
      </c>
      <c r="BQ273" s="38">
        <v>0</v>
      </c>
      <c r="BR273" s="38">
        <v>0</v>
      </c>
      <c r="BS273" s="38">
        <v>0</v>
      </c>
      <c r="BT273" s="38">
        <v>0</v>
      </c>
      <c r="BU273" s="38">
        <v>0</v>
      </c>
      <c r="BV273" s="38">
        <v>0</v>
      </c>
      <c r="BW273" s="38">
        <v>0</v>
      </c>
      <c r="BX273" s="38">
        <v>0</v>
      </c>
      <c r="BY273" s="38"/>
      <c r="BZ273" s="38">
        <v>0</v>
      </c>
      <c r="CA273" s="38">
        <v>0</v>
      </c>
      <c r="CB273" s="38">
        <v>25.618219265467303</v>
      </c>
      <c r="CC273" s="38">
        <v>0</v>
      </c>
      <c r="CD273" s="49">
        <v>9999</v>
      </c>
      <c r="CE273" s="38">
        <v>0</v>
      </c>
      <c r="CF273" s="38">
        <v>0.46412291224834051</v>
      </c>
      <c r="CG273" s="38">
        <v>0</v>
      </c>
      <c r="CH273" s="38">
        <v>0.46412291224834051</v>
      </c>
      <c r="CI273" s="38">
        <v>2.3204623751474307E-2</v>
      </c>
      <c r="CJ273" s="38">
        <v>0</v>
      </c>
      <c r="CK273" s="38">
        <v>2.3204623751474307E-2</v>
      </c>
      <c r="CL273" s="38"/>
      <c r="CM273" s="38">
        <v>0</v>
      </c>
      <c r="CN273" s="38"/>
      <c r="CO273" s="38">
        <v>0</v>
      </c>
      <c r="CP273" s="38">
        <v>0</v>
      </c>
      <c r="CQ273" s="38">
        <v>0</v>
      </c>
      <c r="CR273" s="38">
        <v>0</v>
      </c>
      <c r="CS273" s="38">
        <v>0</v>
      </c>
      <c r="CT273" s="38">
        <v>0</v>
      </c>
      <c r="CU273" s="38">
        <v>0</v>
      </c>
      <c r="CV273" s="38">
        <v>9999</v>
      </c>
      <c r="CW273" s="49">
        <v>9999</v>
      </c>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row>
    <row r="274" spans="1:131">
      <c r="A274" s="27" t="s">
        <v>889</v>
      </c>
      <c r="B274" s="27" t="s">
        <v>225</v>
      </c>
      <c r="C274" s="38">
        <v>45</v>
      </c>
      <c r="D274" s="38">
        <v>55.336691358509754</v>
      </c>
      <c r="E274" s="38">
        <v>0</v>
      </c>
      <c r="F274" s="38">
        <v>0</v>
      </c>
      <c r="G274" s="38">
        <v>0</v>
      </c>
      <c r="H274" s="38">
        <v>0</v>
      </c>
      <c r="I274" s="38" t="s">
        <v>1361</v>
      </c>
      <c r="J274" s="38"/>
      <c r="K274" s="38"/>
      <c r="L274" s="38">
        <v>59.320932462923345</v>
      </c>
      <c r="M274" s="38">
        <v>0</v>
      </c>
      <c r="N274" s="38">
        <v>0</v>
      </c>
      <c r="O274" s="38">
        <v>0</v>
      </c>
      <c r="P274" s="38">
        <v>0</v>
      </c>
      <c r="Q274" s="38">
        <v>0</v>
      </c>
      <c r="R274" s="38">
        <v>0</v>
      </c>
      <c r="S274" s="38">
        <v>0</v>
      </c>
      <c r="T274" s="38">
        <v>0</v>
      </c>
      <c r="U274" s="38">
        <v>0</v>
      </c>
      <c r="V274" s="38" t="s">
        <v>1584</v>
      </c>
      <c r="W274" s="38" t="s">
        <v>1584</v>
      </c>
      <c r="X274" s="38" t="s">
        <v>1584</v>
      </c>
      <c r="Y274" s="38" t="s">
        <v>1584</v>
      </c>
      <c r="Z274" s="38">
        <v>0</v>
      </c>
      <c r="AA274" s="38">
        <v>0</v>
      </c>
      <c r="AB274" s="38">
        <v>0</v>
      </c>
      <c r="AC274" s="38">
        <v>0</v>
      </c>
      <c r="AD274" s="38">
        <v>0</v>
      </c>
      <c r="AE274" s="38">
        <v>0</v>
      </c>
      <c r="AF274" s="38">
        <v>0</v>
      </c>
      <c r="AG274" s="38">
        <v>0</v>
      </c>
      <c r="AH274" s="38">
        <v>0</v>
      </c>
      <c r="AI274" s="38">
        <v>0</v>
      </c>
      <c r="AJ274" s="38">
        <v>0</v>
      </c>
      <c r="AK274" s="38">
        <v>0</v>
      </c>
      <c r="AL274" s="38">
        <v>0</v>
      </c>
      <c r="AM274" s="38">
        <v>31.108279056497611</v>
      </c>
      <c r="AN274" s="38">
        <v>0</v>
      </c>
      <c r="AO274" s="38">
        <v>0</v>
      </c>
      <c r="AP274" s="38">
        <v>0</v>
      </c>
      <c r="AQ274" s="38">
        <v>31.108279056497611</v>
      </c>
      <c r="AR274" s="38">
        <v>0</v>
      </c>
      <c r="AS274" s="49">
        <v>9999</v>
      </c>
      <c r="AT274" s="38">
        <v>31.108279056497611</v>
      </c>
      <c r="AU274" s="38">
        <v>0</v>
      </c>
      <c r="AV274" s="38">
        <v>0</v>
      </c>
      <c r="AW274" s="38">
        <v>0</v>
      </c>
      <c r="AX274" s="38">
        <v>31.108279056497611</v>
      </c>
      <c r="AY274" s="38">
        <v>0</v>
      </c>
      <c r="AZ274" s="49">
        <v>9999</v>
      </c>
      <c r="BA274" s="38">
        <v>31.108279056497611</v>
      </c>
      <c r="BB274" s="38">
        <v>0</v>
      </c>
      <c r="BC274" s="38">
        <v>0</v>
      </c>
      <c r="BD274" s="38">
        <v>0</v>
      </c>
      <c r="BE274" s="38">
        <v>31.108279056497611</v>
      </c>
      <c r="BF274" s="38">
        <v>0</v>
      </c>
      <c r="BG274" s="38">
        <v>0</v>
      </c>
      <c r="BH274" s="49">
        <v>9999</v>
      </c>
      <c r="BI274" s="38">
        <v>0</v>
      </c>
      <c r="BJ274" s="38">
        <v>0</v>
      </c>
      <c r="BK274" s="38">
        <v>0</v>
      </c>
      <c r="BL274" s="38">
        <v>0</v>
      </c>
      <c r="BM274" s="38">
        <v>0</v>
      </c>
      <c r="BN274" s="38">
        <v>31.108279056497611</v>
      </c>
      <c r="BO274" s="38">
        <v>0</v>
      </c>
      <c r="BP274" s="38">
        <v>0</v>
      </c>
      <c r="BQ274" s="38">
        <v>0</v>
      </c>
      <c r="BR274" s="38">
        <v>0</v>
      </c>
      <c r="BS274" s="38">
        <v>0</v>
      </c>
      <c r="BT274" s="38">
        <v>0</v>
      </c>
      <c r="BU274" s="38">
        <v>0</v>
      </c>
      <c r="BV274" s="38">
        <v>0</v>
      </c>
      <c r="BW274" s="38">
        <v>0</v>
      </c>
      <c r="BX274" s="38">
        <v>0</v>
      </c>
      <c r="BY274" s="38"/>
      <c r="BZ274" s="38">
        <v>0</v>
      </c>
      <c r="CA274" s="38">
        <v>0</v>
      </c>
      <c r="CB274" s="38">
        <v>31.108279056497611</v>
      </c>
      <c r="CC274" s="38">
        <v>0</v>
      </c>
      <c r="CD274" s="49">
        <v>9999</v>
      </c>
      <c r="CE274" s="38">
        <v>0</v>
      </c>
      <c r="CF274" s="38">
        <v>0.56358581840221345</v>
      </c>
      <c r="CG274" s="38">
        <v>0</v>
      </c>
      <c r="CH274" s="38">
        <v>0.56358581840221345</v>
      </c>
      <c r="CI274" s="38">
        <v>2.8177442919888593E-2</v>
      </c>
      <c r="CJ274" s="38">
        <v>0</v>
      </c>
      <c r="CK274" s="38">
        <v>2.8177442919888593E-2</v>
      </c>
      <c r="CL274" s="38"/>
      <c r="CM274" s="38">
        <v>0</v>
      </c>
      <c r="CN274" s="38"/>
      <c r="CO274" s="38">
        <v>0</v>
      </c>
      <c r="CP274" s="38">
        <v>0</v>
      </c>
      <c r="CQ274" s="38">
        <v>0</v>
      </c>
      <c r="CR274" s="38">
        <v>0</v>
      </c>
      <c r="CS274" s="38">
        <v>0</v>
      </c>
      <c r="CT274" s="38">
        <v>0</v>
      </c>
      <c r="CU274" s="38">
        <v>0</v>
      </c>
      <c r="CV274" s="38">
        <v>9999</v>
      </c>
      <c r="CW274" s="49">
        <v>9999</v>
      </c>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row>
    <row r="275" spans="1:131">
      <c r="A275" s="27" t="s">
        <v>894</v>
      </c>
      <c r="B275" s="27" t="s">
        <v>890</v>
      </c>
      <c r="C275" s="38">
        <v>15</v>
      </c>
      <c r="D275" s="38">
        <v>4.0298075401408768</v>
      </c>
      <c r="E275" s="38">
        <v>0</v>
      </c>
      <c r="F275" s="38">
        <v>0</v>
      </c>
      <c r="G275" s="38">
        <v>0</v>
      </c>
      <c r="H275" s="38">
        <v>0</v>
      </c>
      <c r="I275" s="38" t="s">
        <v>1361</v>
      </c>
      <c r="J275" s="38"/>
      <c r="K275" s="38"/>
      <c r="L275" s="38">
        <v>4.3199536339917888</v>
      </c>
      <c r="M275" s="38">
        <v>0</v>
      </c>
      <c r="N275" s="38">
        <v>0</v>
      </c>
      <c r="O275" s="38">
        <v>0</v>
      </c>
      <c r="P275" s="38">
        <v>0</v>
      </c>
      <c r="Q275" s="38">
        <v>0</v>
      </c>
      <c r="R275" s="38">
        <v>0</v>
      </c>
      <c r="S275" s="38">
        <v>0</v>
      </c>
      <c r="T275" s="38">
        <v>0</v>
      </c>
      <c r="U275" s="38">
        <v>0</v>
      </c>
      <c r="V275" s="38" t="s">
        <v>1584</v>
      </c>
      <c r="W275" s="38" t="s">
        <v>1584</v>
      </c>
      <c r="X275" s="38" t="s">
        <v>1584</v>
      </c>
      <c r="Y275" s="38" t="s">
        <v>1584</v>
      </c>
      <c r="Z275" s="38">
        <v>0</v>
      </c>
      <c r="AA275" s="38">
        <v>0</v>
      </c>
      <c r="AB275" s="38">
        <v>0</v>
      </c>
      <c r="AC275" s="38">
        <v>0</v>
      </c>
      <c r="AD275" s="38">
        <v>0</v>
      </c>
      <c r="AE275" s="38">
        <v>0</v>
      </c>
      <c r="AF275" s="38">
        <v>0</v>
      </c>
      <c r="AG275" s="38">
        <v>0</v>
      </c>
      <c r="AH275" s="38">
        <v>0</v>
      </c>
      <c r="AI275" s="38">
        <v>0</v>
      </c>
      <c r="AJ275" s="38">
        <v>0</v>
      </c>
      <c r="AK275" s="38">
        <v>0</v>
      </c>
      <c r="AL275" s="38">
        <v>0</v>
      </c>
      <c r="AM275" s="38">
        <v>2.2654115095264475</v>
      </c>
      <c r="AN275" s="38">
        <v>0</v>
      </c>
      <c r="AO275" s="38">
        <v>0</v>
      </c>
      <c r="AP275" s="38">
        <v>0</v>
      </c>
      <c r="AQ275" s="38">
        <v>2.2654115095264475</v>
      </c>
      <c r="AR275" s="38">
        <v>0</v>
      </c>
      <c r="AS275" s="49">
        <v>9999</v>
      </c>
      <c r="AT275" s="38">
        <v>2.2654115095264475</v>
      </c>
      <c r="AU275" s="38">
        <v>0</v>
      </c>
      <c r="AV275" s="38">
        <v>0</v>
      </c>
      <c r="AW275" s="38">
        <v>0</v>
      </c>
      <c r="AX275" s="38">
        <v>2.2654115095264475</v>
      </c>
      <c r="AY275" s="38">
        <v>0</v>
      </c>
      <c r="AZ275" s="49">
        <v>9999</v>
      </c>
      <c r="BA275" s="38">
        <v>2.2654115095264475</v>
      </c>
      <c r="BB275" s="38">
        <v>0</v>
      </c>
      <c r="BC275" s="38">
        <v>0</v>
      </c>
      <c r="BD275" s="38">
        <v>0</v>
      </c>
      <c r="BE275" s="38">
        <v>2.2654115095264475</v>
      </c>
      <c r="BF275" s="38">
        <v>0</v>
      </c>
      <c r="BG275" s="38">
        <v>0</v>
      </c>
      <c r="BH275" s="49">
        <v>9999</v>
      </c>
      <c r="BI275" s="38">
        <v>0</v>
      </c>
      <c r="BJ275" s="38">
        <v>0</v>
      </c>
      <c r="BK275" s="38">
        <v>0</v>
      </c>
      <c r="BL275" s="38">
        <v>0</v>
      </c>
      <c r="BM275" s="38">
        <v>0</v>
      </c>
      <c r="BN275" s="38">
        <v>2.2654115095264475</v>
      </c>
      <c r="BO275" s="38">
        <v>0</v>
      </c>
      <c r="BP275" s="38">
        <v>0</v>
      </c>
      <c r="BQ275" s="38">
        <v>0</v>
      </c>
      <c r="BR275" s="38">
        <v>0</v>
      </c>
      <c r="BS275" s="38">
        <v>0</v>
      </c>
      <c r="BT275" s="38">
        <v>0</v>
      </c>
      <c r="BU275" s="38">
        <v>0</v>
      </c>
      <c r="BV275" s="38">
        <v>0</v>
      </c>
      <c r="BW275" s="38">
        <v>0</v>
      </c>
      <c r="BX275" s="38">
        <v>0</v>
      </c>
      <c r="BY275" s="38"/>
      <c r="BZ275" s="38">
        <v>0</v>
      </c>
      <c r="CA275" s="38">
        <v>0</v>
      </c>
      <c r="CB275" s="38">
        <v>2.2654115095264475</v>
      </c>
      <c r="CC275" s="38">
        <v>0</v>
      </c>
      <c r="CD275" s="49">
        <v>9999</v>
      </c>
      <c r="CE275" s="38">
        <v>0</v>
      </c>
      <c r="CF275" s="38">
        <v>4.1042251077131789E-2</v>
      </c>
      <c r="CG275" s="38">
        <v>0</v>
      </c>
      <c r="CH275" s="38">
        <v>4.1042251077131789E-2</v>
      </c>
      <c r="CI275" s="38">
        <v>2.0519779761460997E-3</v>
      </c>
      <c r="CJ275" s="38">
        <v>0</v>
      </c>
      <c r="CK275" s="38">
        <v>2.0519779761460997E-3</v>
      </c>
      <c r="CL275" s="38"/>
      <c r="CM275" s="38">
        <v>0</v>
      </c>
      <c r="CN275" s="38"/>
      <c r="CO275" s="38">
        <v>0</v>
      </c>
      <c r="CP275" s="38">
        <v>0</v>
      </c>
      <c r="CQ275" s="38">
        <v>0</v>
      </c>
      <c r="CR275" s="38">
        <v>0</v>
      </c>
      <c r="CS275" s="38">
        <v>0</v>
      </c>
      <c r="CT275" s="38">
        <v>0</v>
      </c>
      <c r="CU275" s="38">
        <v>0</v>
      </c>
      <c r="CV275" s="38">
        <v>9999</v>
      </c>
      <c r="CW275" s="49">
        <v>9999</v>
      </c>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row>
    <row r="276" spans="1:131">
      <c r="A276" s="27"/>
      <c r="B276" s="27"/>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row>
    <row r="277" spans="1:131">
      <c r="A277" s="27"/>
      <c r="B277" s="27"/>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row>
    <row r="278" spans="1:131" ht="13.5" thickBot="1">
      <c r="A278" s="36" t="s">
        <v>1585</v>
      </c>
      <c r="B278" s="37"/>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row>
    <row r="279" spans="1:131" ht="26.25" thickBot="1">
      <c r="A279" s="359" t="s">
        <v>1488</v>
      </c>
      <c r="B279" s="360"/>
      <c r="C279" s="361" t="s">
        <v>1489</v>
      </c>
      <c r="D279" s="362"/>
      <c r="E279" s="362"/>
      <c r="F279" s="362"/>
      <c r="G279" s="362"/>
      <c r="H279" s="362"/>
      <c r="I279" s="362"/>
      <c r="J279" s="362"/>
      <c r="K279" s="363"/>
      <c r="L279" s="361" t="s">
        <v>1490</v>
      </c>
      <c r="M279" s="362"/>
      <c r="N279" s="362"/>
      <c r="O279" s="362"/>
      <c r="P279" s="362"/>
      <c r="Q279" s="363"/>
      <c r="R279" s="361" t="s">
        <v>1491</v>
      </c>
      <c r="S279" s="362"/>
      <c r="T279" s="362"/>
      <c r="U279" s="363"/>
      <c r="V279" s="361" t="s">
        <v>1492</v>
      </c>
      <c r="W279" s="362"/>
      <c r="X279" s="362"/>
      <c r="Y279" s="363"/>
      <c r="Z279" s="361" t="s">
        <v>1493</v>
      </c>
      <c r="AA279" s="362"/>
      <c r="AB279" s="362"/>
      <c r="AC279" s="363"/>
      <c r="AD279" s="361" t="s">
        <v>1494</v>
      </c>
      <c r="AE279" s="362"/>
      <c r="AF279" s="362"/>
      <c r="AG279" s="363"/>
      <c r="AH279" s="361" t="s">
        <v>1495</v>
      </c>
      <c r="AI279" s="362"/>
      <c r="AJ279" s="362"/>
      <c r="AK279" s="362"/>
      <c r="AL279" s="363"/>
      <c r="AM279" s="361" t="s">
        <v>1496</v>
      </c>
      <c r="AN279" s="362"/>
      <c r="AO279" s="362"/>
      <c r="AP279" s="362"/>
      <c r="AQ279" s="362"/>
      <c r="AR279" s="362"/>
      <c r="AS279" s="363"/>
      <c r="AT279" s="361" t="s">
        <v>1497</v>
      </c>
      <c r="AU279" s="362"/>
      <c r="AV279" s="362"/>
      <c r="AW279" s="362"/>
      <c r="AX279" s="362"/>
      <c r="AY279" s="362"/>
      <c r="AZ279" s="363"/>
      <c r="BA279" s="361" t="s">
        <v>1498</v>
      </c>
      <c r="BB279" s="362"/>
      <c r="BC279" s="362"/>
      <c r="BD279" s="362"/>
      <c r="BE279" s="362"/>
      <c r="BF279" s="363"/>
      <c r="BG279" s="361" t="s">
        <v>1499</v>
      </c>
      <c r="BH279" s="363"/>
      <c r="BI279" s="361" t="s">
        <v>1500</v>
      </c>
      <c r="BJ279" s="362"/>
      <c r="BK279" s="362"/>
      <c r="BL279" s="362"/>
      <c r="BM279" s="363"/>
      <c r="BN279" s="361" t="s">
        <v>1501</v>
      </c>
      <c r="BO279" s="362"/>
      <c r="BP279" s="362"/>
      <c r="BQ279" s="362"/>
      <c r="BR279" s="362"/>
      <c r="BS279" s="362"/>
      <c r="BT279" s="362"/>
      <c r="BU279" s="362"/>
      <c r="BV279" s="362"/>
      <c r="BW279" s="362"/>
      <c r="BX279" s="362"/>
      <c r="BY279" s="362"/>
      <c r="BZ279" s="362"/>
      <c r="CA279" s="362"/>
      <c r="CB279" s="362"/>
      <c r="CC279" s="363"/>
      <c r="CD279" s="361" t="s">
        <v>1502</v>
      </c>
      <c r="CE279" s="363"/>
      <c r="CF279" s="361" t="s">
        <v>1503</v>
      </c>
      <c r="CG279" s="362"/>
      <c r="CH279" s="362"/>
      <c r="CI279" s="362"/>
      <c r="CJ279" s="362"/>
      <c r="CK279" s="363"/>
      <c r="CL279" s="364"/>
      <c r="CM279" s="361" t="s">
        <v>4</v>
      </c>
      <c r="CN279" s="362"/>
      <c r="CO279" s="362"/>
      <c r="CP279" s="363"/>
      <c r="CQ279" s="361" t="s">
        <v>1504</v>
      </c>
      <c r="CR279" s="362"/>
      <c r="CS279" s="362"/>
      <c r="CT279" s="362"/>
      <c r="CU279" s="363"/>
      <c r="CV279" s="361" t="s">
        <v>1505</v>
      </c>
      <c r="CW279" s="363"/>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row>
    <row r="280" spans="1:131" ht="204">
      <c r="A280" s="45" t="s">
        <v>31</v>
      </c>
      <c r="B280" s="46" t="s">
        <v>32</v>
      </c>
      <c r="C280" s="47" t="s">
        <v>1149</v>
      </c>
      <c r="D280" s="47" t="s">
        <v>1506</v>
      </c>
      <c r="E280" s="47" t="s">
        <v>1507</v>
      </c>
      <c r="F280" s="47" t="s">
        <v>1508</v>
      </c>
      <c r="G280" s="47" t="s">
        <v>1509</v>
      </c>
      <c r="H280" s="47" t="s">
        <v>1510</v>
      </c>
      <c r="I280" s="47" t="s">
        <v>1511</v>
      </c>
      <c r="J280" s="47" t="s">
        <v>1512</v>
      </c>
      <c r="K280" s="47" t="s">
        <v>1513</v>
      </c>
      <c r="L280" s="47" t="s">
        <v>1514</v>
      </c>
      <c r="M280" s="47" t="s">
        <v>1515</v>
      </c>
      <c r="N280" s="47" t="s">
        <v>1516</v>
      </c>
      <c r="O280" s="47" t="s">
        <v>1517</v>
      </c>
      <c r="P280" s="47" t="s">
        <v>1518</v>
      </c>
      <c r="Q280" s="47" t="s">
        <v>1519</v>
      </c>
      <c r="R280" s="47" t="s">
        <v>1520</v>
      </c>
      <c r="S280" s="47" t="s">
        <v>1521</v>
      </c>
      <c r="T280" s="47" t="s">
        <v>1522</v>
      </c>
      <c r="U280" s="47" t="s">
        <v>1428</v>
      </c>
      <c r="V280" s="47" t="s">
        <v>1520</v>
      </c>
      <c r="W280" s="47" t="s">
        <v>1521</v>
      </c>
      <c r="X280" s="47" t="s">
        <v>1522</v>
      </c>
      <c r="Y280" s="47" t="s">
        <v>1428</v>
      </c>
      <c r="Z280" s="47" t="s">
        <v>1520</v>
      </c>
      <c r="AA280" s="47" t="s">
        <v>1521</v>
      </c>
      <c r="AB280" s="47" t="s">
        <v>1522</v>
      </c>
      <c r="AC280" s="47" t="s">
        <v>1428</v>
      </c>
      <c r="AD280" s="47" t="s">
        <v>1520</v>
      </c>
      <c r="AE280" s="47" t="s">
        <v>1521</v>
      </c>
      <c r="AF280" s="47" t="s">
        <v>1522</v>
      </c>
      <c r="AG280" s="47" t="s">
        <v>1428</v>
      </c>
      <c r="AH280" s="47" t="s">
        <v>1520</v>
      </c>
      <c r="AI280" s="47" t="s">
        <v>1521</v>
      </c>
      <c r="AJ280" s="47" t="s">
        <v>1522</v>
      </c>
      <c r="AK280" s="47" t="s">
        <v>1428</v>
      </c>
      <c r="AL280" s="47" t="s">
        <v>1523</v>
      </c>
      <c r="AM280" s="47" t="s">
        <v>1524</v>
      </c>
      <c r="AN280" s="47" t="s">
        <v>1525</v>
      </c>
      <c r="AO280" s="47" t="s">
        <v>1526</v>
      </c>
      <c r="AP280" s="47" t="s">
        <v>1527</v>
      </c>
      <c r="AQ280" s="47" t="s">
        <v>1528</v>
      </c>
      <c r="AR280" s="47" t="s">
        <v>1529</v>
      </c>
      <c r="AS280" s="47" t="s">
        <v>1530</v>
      </c>
      <c r="AT280" s="47" t="s">
        <v>1531</v>
      </c>
      <c r="AU280" s="47" t="s">
        <v>1532</v>
      </c>
      <c r="AV280" s="47" t="s">
        <v>1533</v>
      </c>
      <c r="AW280" s="47" t="s">
        <v>1534</v>
      </c>
      <c r="AX280" s="47" t="s">
        <v>1535</v>
      </c>
      <c r="AY280" s="47" t="s">
        <v>1536</v>
      </c>
      <c r="AZ280" s="47" t="s">
        <v>1537</v>
      </c>
      <c r="BA280" s="47" t="s">
        <v>1538</v>
      </c>
      <c r="BB280" s="47" t="s">
        <v>1539</v>
      </c>
      <c r="BC280" s="47" t="s">
        <v>1540</v>
      </c>
      <c r="BD280" s="47" t="s">
        <v>1541</v>
      </c>
      <c r="BE280" s="47" t="s">
        <v>1542</v>
      </c>
      <c r="BF280" s="47" t="s">
        <v>1543</v>
      </c>
      <c r="BG280" s="47" t="s">
        <v>1544</v>
      </c>
      <c r="BH280" s="47" t="s">
        <v>1545</v>
      </c>
      <c r="BI280" s="47" t="s">
        <v>1546</v>
      </c>
      <c r="BJ280" s="47" t="s">
        <v>1547</v>
      </c>
      <c r="BK280" s="47" t="s">
        <v>1548</v>
      </c>
      <c r="BL280" s="47" t="s">
        <v>1549</v>
      </c>
      <c r="BM280" s="47" t="s">
        <v>1550</v>
      </c>
      <c r="BN280" s="47" t="s">
        <v>1551</v>
      </c>
      <c r="BO280" s="47" t="s">
        <v>1552</v>
      </c>
      <c r="BP280" s="47" t="s">
        <v>1553</v>
      </c>
      <c r="BQ280" s="47" t="s">
        <v>1554</v>
      </c>
      <c r="BR280" s="47" t="s">
        <v>1555</v>
      </c>
      <c r="BS280" s="47" t="s">
        <v>1556</v>
      </c>
      <c r="BT280" s="47" t="s">
        <v>1557</v>
      </c>
      <c r="BU280" s="47" t="s">
        <v>1558</v>
      </c>
      <c r="BV280" s="47" t="s">
        <v>1559</v>
      </c>
      <c r="BW280" s="47" t="s">
        <v>1560</v>
      </c>
      <c r="BX280" s="47" t="s">
        <v>1561</v>
      </c>
      <c r="BY280" s="47" t="s">
        <v>1562</v>
      </c>
      <c r="BZ280" s="47" t="s">
        <v>1563</v>
      </c>
      <c r="CA280" s="47" t="s">
        <v>1564</v>
      </c>
      <c r="CB280" s="47" t="s">
        <v>1565</v>
      </c>
      <c r="CC280" s="47" t="s">
        <v>1566</v>
      </c>
      <c r="CD280" s="47" t="s">
        <v>42</v>
      </c>
      <c r="CE280" s="47" t="s">
        <v>41</v>
      </c>
      <c r="CF280" s="47" t="s">
        <v>1567</v>
      </c>
      <c r="CG280" s="47" t="s">
        <v>1568</v>
      </c>
      <c r="CH280" s="47" t="s">
        <v>1569</v>
      </c>
      <c r="CI280" s="47" t="s">
        <v>1570</v>
      </c>
      <c r="CJ280" s="47" t="s">
        <v>1571</v>
      </c>
      <c r="CK280" s="47" t="s">
        <v>1572</v>
      </c>
      <c r="CL280" s="47"/>
      <c r="CM280" s="47" t="s">
        <v>1573</v>
      </c>
      <c r="CN280" s="47" t="s">
        <v>1574</v>
      </c>
      <c r="CO280" s="47" t="s">
        <v>1575</v>
      </c>
      <c r="CP280" s="47" t="s">
        <v>1576</v>
      </c>
      <c r="CQ280" s="47" t="s">
        <v>1577</v>
      </c>
      <c r="CR280" s="47" t="s">
        <v>1578</v>
      </c>
      <c r="CS280" s="47" t="s">
        <v>1579</v>
      </c>
      <c r="CT280" s="47" t="s">
        <v>1580</v>
      </c>
      <c r="CU280" s="47" t="s">
        <v>1581</v>
      </c>
      <c r="CV280" s="47" t="s">
        <v>1582</v>
      </c>
      <c r="CW280" s="47" t="s">
        <v>1583</v>
      </c>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row>
    <row r="281" spans="1:131">
      <c r="A281" s="27" t="s">
        <v>834</v>
      </c>
      <c r="B281" s="27"/>
      <c r="C281" s="38">
        <v>45</v>
      </c>
      <c r="D281" s="38">
        <v>1845.9682612484696</v>
      </c>
      <c r="E281" s="38">
        <v>0</v>
      </c>
      <c r="F281" s="38">
        <v>588.47688837074031</v>
      </c>
      <c r="G281" s="38">
        <v>0</v>
      </c>
      <c r="H281" s="38">
        <v>0</v>
      </c>
      <c r="I281" s="38"/>
      <c r="J281" s="38"/>
      <c r="K281" s="38"/>
      <c r="L281" s="38">
        <v>1989.2959574313022</v>
      </c>
      <c r="M281" s="38">
        <v>0.92069704234190197</v>
      </c>
      <c r="N281" s="38">
        <v>0.91405186397095395</v>
      </c>
      <c r="O281" s="38">
        <v>0</v>
      </c>
      <c r="P281" s="38">
        <v>0</v>
      </c>
      <c r="Q281" s="38">
        <v>0</v>
      </c>
      <c r="R281" s="38">
        <v>76.970261388230981</v>
      </c>
      <c r="S281" s="38">
        <v>177.86656695753103</v>
      </c>
      <c r="T281" s="38">
        <v>0</v>
      </c>
      <c r="U281" s="38">
        <v>137.53215817437845</v>
      </c>
      <c r="V281" s="38">
        <v>35.308613302244417</v>
      </c>
      <c r="W281" s="38">
        <v>82.386764371903638</v>
      </c>
      <c r="X281" s="38">
        <v>0</v>
      </c>
      <c r="Y281" s="38">
        <v>0</v>
      </c>
      <c r="Z281" s="38">
        <v>0</v>
      </c>
      <c r="AA281" s="38">
        <v>0</v>
      </c>
      <c r="AB281" s="38">
        <v>0</v>
      </c>
      <c r="AC281" s="38">
        <v>0</v>
      </c>
      <c r="AD281" s="38">
        <v>0</v>
      </c>
      <c r="AE281" s="38">
        <v>0</v>
      </c>
      <c r="AF281" s="38">
        <v>0</v>
      </c>
      <c r="AG281" s="38">
        <v>0</v>
      </c>
      <c r="AH281" s="38">
        <v>112.27887469047539</v>
      </c>
      <c r="AI281" s="38">
        <v>260.25333132943467</v>
      </c>
      <c r="AJ281" s="38">
        <v>0</v>
      </c>
      <c r="AK281" s="38">
        <v>137.53215817437845</v>
      </c>
      <c r="AL281" s="38">
        <v>510.06436419428849</v>
      </c>
      <c r="AM281" s="38">
        <v>1047.2853732143185</v>
      </c>
      <c r="AN281" s="38">
        <v>325.32690502709744</v>
      </c>
      <c r="AO281" s="38">
        <v>0</v>
      </c>
      <c r="AP281" s="38">
        <v>0</v>
      </c>
      <c r="AQ281" s="38">
        <v>1372.6122782414159</v>
      </c>
      <c r="AR281" s="38">
        <v>112.27887469047539</v>
      </c>
      <c r="AS281" s="49">
        <v>12.225027032247718</v>
      </c>
      <c r="AT281" s="38">
        <v>1047.2853732143185</v>
      </c>
      <c r="AU281" s="38">
        <v>385.09015695532952</v>
      </c>
      <c r="AV281" s="38">
        <v>0</v>
      </c>
      <c r="AW281" s="38">
        <v>0</v>
      </c>
      <c r="AX281" s="38">
        <v>1432.3755301696481</v>
      </c>
      <c r="AY281" s="38">
        <v>260.25333132943467</v>
      </c>
      <c r="AZ281" s="49">
        <v>5.5037740452840316</v>
      </c>
      <c r="BA281" s="38">
        <v>1047.2853732143185</v>
      </c>
      <c r="BB281" s="38">
        <v>710.41706198242696</v>
      </c>
      <c r="BC281" s="38">
        <v>0</v>
      </c>
      <c r="BD281" s="38">
        <v>0</v>
      </c>
      <c r="BE281" s="38">
        <v>1757.7024351967455</v>
      </c>
      <c r="BF281" s="38">
        <v>372.53220601991006</v>
      </c>
      <c r="BG281" s="38">
        <v>-12.497968951468712</v>
      </c>
      <c r="BH281" s="49">
        <v>4.7182563193014371</v>
      </c>
      <c r="BI281" s="38">
        <v>4.1530653565103179</v>
      </c>
      <c r="BJ281" s="38">
        <v>9.6264688904329105</v>
      </c>
      <c r="BK281" s="38">
        <v>0</v>
      </c>
      <c r="BL281" s="38">
        <v>5.0871550244398875</v>
      </c>
      <c r="BM281" s="38">
        <v>18.866689271383116</v>
      </c>
      <c r="BN281" s="38">
        <v>1047.2853732143185</v>
      </c>
      <c r="BO281" s="38">
        <v>0</v>
      </c>
      <c r="BP281" s="38">
        <v>710.41706198242696</v>
      </c>
      <c r="BQ281" s="38">
        <v>0</v>
      </c>
      <c r="BR281" s="38">
        <v>0</v>
      </c>
      <c r="BS281" s="38">
        <v>0</v>
      </c>
      <c r="BT281" s="38">
        <v>0</v>
      </c>
      <c r="BU281" s="38">
        <v>0</v>
      </c>
      <c r="BV281" s="38">
        <v>81.59225961813658</v>
      </c>
      <c r="BW281" s="38">
        <v>0</v>
      </c>
      <c r="BX281" s="38">
        <v>392.36898652014042</v>
      </c>
      <c r="BY281" s="38">
        <v>117.69537767414806</v>
      </c>
      <c r="BZ281" s="38">
        <v>0</v>
      </c>
      <c r="CA281" s="38">
        <v>0</v>
      </c>
      <c r="CB281" s="38">
        <v>1839.294694814882</v>
      </c>
      <c r="CC281" s="38">
        <v>510.06436419428849</v>
      </c>
      <c r="CD281" s="49">
        <v>3.6060050925539207</v>
      </c>
      <c r="CE281" s="38">
        <v>-10.428816981598308</v>
      </c>
      <c r="CF281" s="38">
        <v>18.898560731174999</v>
      </c>
      <c r="CG281" s="38">
        <v>0</v>
      </c>
      <c r="CH281" s="38">
        <v>18.898560731174999</v>
      </c>
      <c r="CI281" s="38">
        <v>0.94491557977986851</v>
      </c>
      <c r="CJ281" s="38">
        <v>0</v>
      </c>
      <c r="CK281" s="38">
        <v>0.94491557977986851</v>
      </c>
      <c r="CL281" s="38"/>
      <c r="CM281" s="38">
        <v>0</v>
      </c>
      <c r="CN281" s="38"/>
      <c r="CO281" s="38">
        <v>0</v>
      </c>
      <c r="CP281" s="38">
        <v>0</v>
      </c>
      <c r="CQ281" s="38">
        <v>0</v>
      </c>
      <c r="CR281" s="38">
        <v>0</v>
      </c>
      <c r="CS281" s="38">
        <v>0</v>
      </c>
      <c r="CT281" s="38">
        <v>0</v>
      </c>
      <c r="CU281" s="38">
        <v>0</v>
      </c>
      <c r="CV281" s="38">
        <v>9999</v>
      </c>
      <c r="CW281" s="49">
        <v>9999</v>
      </c>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row>
    <row r="282" spans="1:131">
      <c r="A282" s="27" t="s">
        <v>835</v>
      </c>
      <c r="B282" s="27"/>
      <c r="C282" s="38">
        <v>45</v>
      </c>
      <c r="D282" s="38">
        <v>1872.1022236956801</v>
      </c>
      <c r="E282" s="38">
        <v>0</v>
      </c>
      <c r="F282" s="38">
        <v>672.02883390154909</v>
      </c>
      <c r="G282" s="38">
        <v>0</v>
      </c>
      <c r="H282" s="38">
        <v>0</v>
      </c>
      <c r="I282" s="38"/>
      <c r="J282" s="38"/>
      <c r="K282" s="38"/>
      <c r="L282" s="38">
        <v>2017.4633697725581</v>
      </c>
      <c r="M282" s="38">
        <v>0.93411288852968544</v>
      </c>
      <c r="N282" s="38">
        <v>0.92737088059720418</v>
      </c>
      <c r="O282" s="38">
        <v>0</v>
      </c>
      <c r="P282" s="38">
        <v>0</v>
      </c>
      <c r="Q282" s="38">
        <v>0</v>
      </c>
      <c r="R282" s="38">
        <v>87.898498697272146</v>
      </c>
      <c r="S282" s="38">
        <v>203.12006120321351</v>
      </c>
      <c r="T282" s="38">
        <v>0</v>
      </c>
      <c r="U282" s="38">
        <v>157.05897327213785</v>
      </c>
      <c r="V282" s="38">
        <v>40.321730034092944</v>
      </c>
      <c r="W282" s="38">
        <v>94.084036746216867</v>
      </c>
      <c r="X282" s="38">
        <v>0</v>
      </c>
      <c r="Y282" s="38">
        <v>0</v>
      </c>
      <c r="Z282" s="38">
        <v>0</v>
      </c>
      <c r="AA282" s="38">
        <v>0</v>
      </c>
      <c r="AB282" s="38">
        <v>0</v>
      </c>
      <c r="AC282" s="38">
        <v>0</v>
      </c>
      <c r="AD282" s="38">
        <v>0</v>
      </c>
      <c r="AE282" s="38">
        <v>0</v>
      </c>
      <c r="AF282" s="38">
        <v>0</v>
      </c>
      <c r="AG282" s="38">
        <v>0</v>
      </c>
      <c r="AH282" s="38">
        <v>128.2202287313651</v>
      </c>
      <c r="AI282" s="38">
        <v>297.20409794943038</v>
      </c>
      <c r="AJ282" s="38">
        <v>0</v>
      </c>
      <c r="AK282" s="38">
        <v>157.05897327213785</v>
      </c>
      <c r="AL282" s="38">
        <v>582.48329995293329</v>
      </c>
      <c r="AM282" s="38">
        <v>1062.1160809228099</v>
      </c>
      <c r="AN282" s="38">
        <v>330.06737395213008</v>
      </c>
      <c r="AO282" s="38">
        <v>0</v>
      </c>
      <c r="AP282" s="38">
        <v>0</v>
      </c>
      <c r="AQ282" s="38">
        <v>1392.18345487494</v>
      </c>
      <c r="AR282" s="38">
        <v>128.2202287313651</v>
      </c>
      <c r="AS282" s="49">
        <v>10.857752077417606</v>
      </c>
      <c r="AT282" s="38">
        <v>1062.1160809228099</v>
      </c>
      <c r="AU282" s="38">
        <v>390.70146021421795</v>
      </c>
      <c r="AV282" s="38">
        <v>0</v>
      </c>
      <c r="AW282" s="38">
        <v>0</v>
      </c>
      <c r="AX282" s="38">
        <v>1452.817541137028</v>
      </c>
      <c r="AY282" s="38">
        <v>297.20409794943038</v>
      </c>
      <c r="AZ282" s="49">
        <v>4.8882823324469324</v>
      </c>
      <c r="BA282" s="38">
        <v>1062.1160809228099</v>
      </c>
      <c r="BB282" s="38">
        <v>720.76883416634803</v>
      </c>
      <c r="BC282" s="38">
        <v>0</v>
      </c>
      <c r="BD282" s="38">
        <v>0</v>
      </c>
      <c r="BE282" s="38">
        <v>1782.8849150891581</v>
      </c>
      <c r="BF282" s="38">
        <v>425.4243266807955</v>
      </c>
      <c r="BG282" s="38">
        <v>-10.771925843284963</v>
      </c>
      <c r="BH282" s="49">
        <v>4.1908391299562258</v>
      </c>
      <c r="BI282" s="38">
        <v>4.6765006983272377</v>
      </c>
      <c r="BJ282" s="38">
        <v>10.839749588328711</v>
      </c>
      <c r="BK282" s="38">
        <v>0</v>
      </c>
      <c r="BL282" s="38">
        <v>5.7283192009003354</v>
      </c>
      <c r="BM282" s="38">
        <v>21.244569487556284</v>
      </c>
      <c r="BN282" s="38">
        <v>1062.1160809228099</v>
      </c>
      <c r="BO282" s="38">
        <v>0</v>
      </c>
      <c r="BP282" s="38">
        <v>720.76883416634803</v>
      </c>
      <c r="BQ282" s="38">
        <v>0</v>
      </c>
      <c r="BR282" s="38">
        <v>0</v>
      </c>
      <c r="BS282" s="38">
        <v>0</v>
      </c>
      <c r="BT282" s="38">
        <v>0</v>
      </c>
      <c r="BU282" s="38">
        <v>0</v>
      </c>
      <c r="BV282" s="38">
        <v>84.291936956492805</v>
      </c>
      <c r="BW282" s="38">
        <v>0</v>
      </c>
      <c r="BX282" s="38">
        <v>448.07753317262353</v>
      </c>
      <c r="BY282" s="38">
        <v>134.40576678030982</v>
      </c>
      <c r="BZ282" s="38">
        <v>0</v>
      </c>
      <c r="CA282" s="38">
        <v>0</v>
      </c>
      <c r="CB282" s="38">
        <v>1867.1768520456508</v>
      </c>
      <c r="CC282" s="38">
        <v>582.48329995293329</v>
      </c>
      <c r="CD282" s="49">
        <v>3.205545724995936</v>
      </c>
      <c r="CE282" s="38">
        <v>-8.1179366910875217</v>
      </c>
      <c r="CF282" s="38">
        <v>19.166154268131969</v>
      </c>
      <c r="CG282" s="38">
        <v>0</v>
      </c>
      <c r="CH282" s="38">
        <v>19.166154268131969</v>
      </c>
      <c r="CI282" s="38">
        <v>0.9582951006419651</v>
      </c>
      <c r="CJ282" s="38">
        <v>0</v>
      </c>
      <c r="CK282" s="38">
        <v>0.9582951006419651</v>
      </c>
      <c r="CL282" s="38"/>
      <c r="CM282" s="38">
        <v>0</v>
      </c>
      <c r="CN282" s="38"/>
      <c r="CO282" s="38">
        <v>0</v>
      </c>
      <c r="CP282" s="38">
        <v>0</v>
      </c>
      <c r="CQ282" s="38">
        <v>0</v>
      </c>
      <c r="CR282" s="38">
        <v>0</v>
      </c>
      <c r="CS282" s="38">
        <v>0</v>
      </c>
      <c r="CT282" s="38">
        <v>0</v>
      </c>
      <c r="CU282" s="38">
        <v>0</v>
      </c>
      <c r="CV282" s="38">
        <v>9999</v>
      </c>
      <c r="CW282" s="49">
        <v>9999</v>
      </c>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row>
    <row r="283" spans="1:131">
      <c r="A283" s="27" t="s">
        <v>848</v>
      </c>
      <c r="B283" s="27"/>
      <c r="C283" s="38">
        <v>45</v>
      </c>
      <c r="D283" s="38">
        <v>1366.1580138312927</v>
      </c>
      <c r="E283" s="38">
        <v>0</v>
      </c>
      <c r="F283" s="38">
        <v>580.85648064073723</v>
      </c>
      <c r="G283" s="38">
        <v>0</v>
      </c>
      <c r="H283" s="38">
        <v>0</v>
      </c>
      <c r="I283" s="38"/>
      <c r="J283" s="38"/>
      <c r="K283" s="38"/>
      <c r="L283" s="38">
        <v>1472.3208251380622</v>
      </c>
      <c r="M283" s="38">
        <v>0.68928093337822249</v>
      </c>
      <c r="N283" s="38">
        <v>0.68430601270470648</v>
      </c>
      <c r="O283" s="38">
        <v>0</v>
      </c>
      <c r="P283" s="38">
        <v>0</v>
      </c>
      <c r="Q283" s="38">
        <v>0</v>
      </c>
      <c r="R283" s="38">
        <v>75.973544632731631</v>
      </c>
      <c r="S283" s="38">
        <v>175.56330613533481</v>
      </c>
      <c r="T283" s="38">
        <v>0</v>
      </c>
      <c r="U283" s="38">
        <v>135.75120272483196</v>
      </c>
      <c r="V283" s="38">
        <v>34.851388838444237</v>
      </c>
      <c r="W283" s="38">
        <v>81.31990728970321</v>
      </c>
      <c r="X283" s="38">
        <v>0</v>
      </c>
      <c r="Y283" s="38">
        <v>0</v>
      </c>
      <c r="Z283" s="38">
        <v>0</v>
      </c>
      <c r="AA283" s="38">
        <v>0</v>
      </c>
      <c r="AB283" s="38">
        <v>0</v>
      </c>
      <c r="AC283" s="38">
        <v>0</v>
      </c>
      <c r="AD283" s="38">
        <v>0</v>
      </c>
      <c r="AE283" s="38">
        <v>0</v>
      </c>
      <c r="AF283" s="38">
        <v>0</v>
      </c>
      <c r="AG283" s="38">
        <v>0</v>
      </c>
      <c r="AH283" s="38">
        <v>110.82493347117587</v>
      </c>
      <c r="AI283" s="38">
        <v>256.88321342503804</v>
      </c>
      <c r="AJ283" s="38">
        <v>0</v>
      </c>
      <c r="AK283" s="38">
        <v>135.75120272483196</v>
      </c>
      <c r="AL283" s="38">
        <v>503.45934962104582</v>
      </c>
      <c r="AM283" s="38">
        <v>775.15333305879585</v>
      </c>
      <c r="AN283" s="38">
        <v>243.55637352732327</v>
      </c>
      <c r="AO283" s="38">
        <v>0</v>
      </c>
      <c r="AP283" s="38">
        <v>0</v>
      </c>
      <c r="AQ283" s="38">
        <v>1018.7097065861192</v>
      </c>
      <c r="AR283" s="38">
        <v>110.82493347117587</v>
      </c>
      <c r="AS283" s="49">
        <v>9.1920624238504267</v>
      </c>
      <c r="AT283" s="38">
        <v>775.15333305879585</v>
      </c>
      <c r="AU283" s="38">
        <v>288.29820300689744</v>
      </c>
      <c r="AV283" s="38">
        <v>0</v>
      </c>
      <c r="AW283" s="38">
        <v>0</v>
      </c>
      <c r="AX283" s="38">
        <v>1063.4515360656933</v>
      </c>
      <c r="AY283" s="38">
        <v>256.88321342503804</v>
      </c>
      <c r="AZ283" s="49">
        <v>4.1398249495817003</v>
      </c>
      <c r="BA283" s="38">
        <v>775.15333305879585</v>
      </c>
      <c r="BB283" s="38">
        <v>531.85457653422077</v>
      </c>
      <c r="BC283" s="38">
        <v>0</v>
      </c>
      <c r="BD283" s="38">
        <v>0</v>
      </c>
      <c r="BE283" s="38">
        <v>1307.0079095930166</v>
      </c>
      <c r="BF283" s="38">
        <v>367.70814689621386</v>
      </c>
      <c r="BG283" s="38">
        <v>-8.2034984473082293</v>
      </c>
      <c r="BH283" s="49">
        <v>3.5544709047796035</v>
      </c>
      <c r="BI283" s="38">
        <v>5.5386655174820909</v>
      </c>
      <c r="BJ283" s="38">
        <v>12.838177760668811</v>
      </c>
      <c r="BK283" s="38">
        <v>0</v>
      </c>
      <c r="BL283" s="38">
        <v>6.7843984375979982</v>
      </c>
      <c r="BM283" s="38">
        <v>25.161241715748897</v>
      </c>
      <c r="BN283" s="38">
        <v>775.15333305879585</v>
      </c>
      <c r="BO283" s="38">
        <v>0</v>
      </c>
      <c r="BP283" s="38">
        <v>531.85457653422077</v>
      </c>
      <c r="BQ283" s="38">
        <v>0</v>
      </c>
      <c r="BR283" s="38">
        <v>0</v>
      </c>
      <c r="BS283" s="38">
        <v>0</v>
      </c>
      <c r="BT283" s="38">
        <v>0</v>
      </c>
      <c r="BU283" s="38">
        <v>0</v>
      </c>
      <c r="BV283" s="38">
        <v>57.19433138317838</v>
      </c>
      <c r="BW283" s="38">
        <v>0</v>
      </c>
      <c r="BX283" s="38">
        <v>387.28805349289837</v>
      </c>
      <c r="BY283" s="38">
        <v>116.17129612814745</v>
      </c>
      <c r="BZ283" s="38">
        <v>0</v>
      </c>
      <c r="CA283" s="38">
        <v>0</v>
      </c>
      <c r="CB283" s="38">
        <v>1364.2022409761951</v>
      </c>
      <c r="CC283" s="38">
        <v>503.45934962104582</v>
      </c>
      <c r="CD283" s="49">
        <v>2.7096571788825274</v>
      </c>
      <c r="CE283" s="38">
        <v>-4.2774845005057509</v>
      </c>
      <c r="CF283" s="38">
        <v>13.987223782545716</v>
      </c>
      <c r="CG283" s="38">
        <v>0</v>
      </c>
      <c r="CH283" s="38">
        <v>13.987223782545716</v>
      </c>
      <c r="CI283" s="38">
        <v>0.69935239194057952</v>
      </c>
      <c r="CJ283" s="38">
        <v>0</v>
      </c>
      <c r="CK283" s="38">
        <v>0.69935239194057952</v>
      </c>
      <c r="CL283" s="38"/>
      <c r="CM283" s="38">
        <v>0</v>
      </c>
      <c r="CN283" s="38"/>
      <c r="CO283" s="38">
        <v>0</v>
      </c>
      <c r="CP283" s="38">
        <v>0</v>
      </c>
      <c r="CQ283" s="38">
        <v>0</v>
      </c>
      <c r="CR283" s="38">
        <v>0</v>
      </c>
      <c r="CS283" s="38">
        <v>0</v>
      </c>
      <c r="CT283" s="38">
        <v>0</v>
      </c>
      <c r="CU283" s="38">
        <v>0</v>
      </c>
      <c r="CV283" s="38">
        <v>9999</v>
      </c>
      <c r="CW283" s="49">
        <v>9999</v>
      </c>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row>
    <row r="284" spans="1:131">
      <c r="A284" s="27" t="s">
        <v>876</v>
      </c>
      <c r="B284" s="27"/>
      <c r="C284" s="38">
        <v>45.000000000000007</v>
      </c>
      <c r="D284" s="38">
        <v>1308.7287040085835</v>
      </c>
      <c r="E284" s="38">
        <v>0</v>
      </c>
      <c r="F284" s="38">
        <v>603.23323201580342</v>
      </c>
      <c r="G284" s="38">
        <v>0</v>
      </c>
      <c r="H284" s="38">
        <v>0</v>
      </c>
      <c r="I284" s="38"/>
      <c r="J284" s="38"/>
      <c r="K284" s="38"/>
      <c r="L284" s="38">
        <v>1410.4445457359341</v>
      </c>
      <c r="M284" s="38">
        <v>0.66170245511314385</v>
      </c>
      <c r="N284" s="38">
        <v>0.65692658352835376</v>
      </c>
      <c r="O284" s="38">
        <v>0</v>
      </c>
      <c r="P284" s="38">
        <v>0</v>
      </c>
      <c r="Q284" s="38">
        <v>0</v>
      </c>
      <c r="R284" s="38">
        <v>78.900328056846718</v>
      </c>
      <c r="S284" s="38">
        <v>182.32665746721887</v>
      </c>
      <c r="T284" s="38">
        <v>0</v>
      </c>
      <c r="U284" s="38">
        <v>140.98084380396554</v>
      </c>
      <c r="V284" s="38">
        <v>36.193993920948209</v>
      </c>
      <c r="W284" s="38">
        <v>84.452652482212486</v>
      </c>
      <c r="X284" s="38">
        <v>0</v>
      </c>
      <c r="Y284" s="38">
        <v>0</v>
      </c>
      <c r="Z284" s="38">
        <v>0</v>
      </c>
      <c r="AA284" s="38">
        <v>0</v>
      </c>
      <c r="AB284" s="38">
        <v>0</v>
      </c>
      <c r="AC284" s="38">
        <v>0</v>
      </c>
      <c r="AD284" s="38">
        <v>0</v>
      </c>
      <c r="AE284" s="38">
        <v>0</v>
      </c>
      <c r="AF284" s="38">
        <v>0</v>
      </c>
      <c r="AG284" s="38">
        <v>0</v>
      </c>
      <c r="AH284" s="38">
        <v>115.09432197779492</v>
      </c>
      <c r="AI284" s="38">
        <v>266.77930994943137</v>
      </c>
      <c r="AJ284" s="38">
        <v>0</v>
      </c>
      <c r="AK284" s="38">
        <v>140.98084380396554</v>
      </c>
      <c r="AL284" s="38">
        <v>522.85447573119188</v>
      </c>
      <c r="AM284" s="38">
        <v>742.58262909740552</v>
      </c>
      <c r="AN284" s="38">
        <v>233.81156001460289</v>
      </c>
      <c r="AO284" s="38">
        <v>0</v>
      </c>
      <c r="AP284" s="38">
        <v>0</v>
      </c>
      <c r="AQ284" s="38">
        <v>976.39418911200846</v>
      </c>
      <c r="AR284" s="38">
        <v>115.09432197779492</v>
      </c>
      <c r="AS284" s="49">
        <v>8.4834262223672834</v>
      </c>
      <c r="AT284" s="38">
        <v>742.58262909740552</v>
      </c>
      <c r="AU284" s="38">
        <v>276.763246299885</v>
      </c>
      <c r="AV284" s="38">
        <v>0</v>
      </c>
      <c r="AW284" s="38">
        <v>0</v>
      </c>
      <c r="AX284" s="38">
        <v>1019.3458753972905</v>
      </c>
      <c r="AY284" s="38">
        <v>266.77930994943137</v>
      </c>
      <c r="AZ284" s="49">
        <v>3.8209330235935832</v>
      </c>
      <c r="BA284" s="38">
        <v>742.58262909740552</v>
      </c>
      <c r="BB284" s="38">
        <v>510.57480631448789</v>
      </c>
      <c r="BC284" s="38">
        <v>0</v>
      </c>
      <c r="BD284" s="38">
        <v>0</v>
      </c>
      <c r="BE284" s="38">
        <v>1253.1574354118934</v>
      </c>
      <c r="BF284" s="38">
        <v>381.87363192722626</v>
      </c>
      <c r="BG284" s="38">
        <v>-6.7142360962681957</v>
      </c>
      <c r="BH284" s="49">
        <v>3.281602421951741</v>
      </c>
      <c r="BI284" s="38">
        <v>6.0043776195356182</v>
      </c>
      <c r="BJ284" s="38">
        <v>13.917660667261801</v>
      </c>
      <c r="BK284" s="38">
        <v>0</v>
      </c>
      <c r="BL284" s="38">
        <v>7.354856510498343</v>
      </c>
      <c r="BM284" s="38">
        <v>27.276894797295764</v>
      </c>
      <c r="BN284" s="38">
        <v>742.58262909740552</v>
      </c>
      <c r="BO284" s="38">
        <v>0</v>
      </c>
      <c r="BP284" s="38">
        <v>510.57480631448789</v>
      </c>
      <c r="BQ284" s="38">
        <v>0</v>
      </c>
      <c r="BR284" s="38">
        <v>0</v>
      </c>
      <c r="BS284" s="38">
        <v>0</v>
      </c>
      <c r="BT284" s="38">
        <v>0</v>
      </c>
      <c r="BU284" s="38">
        <v>0</v>
      </c>
      <c r="BV284" s="38">
        <v>55.836999673617726</v>
      </c>
      <c r="BW284" s="38">
        <v>0</v>
      </c>
      <c r="BX284" s="38">
        <v>402.20782932803115</v>
      </c>
      <c r="BY284" s="38">
        <v>120.64664640316069</v>
      </c>
      <c r="BZ284" s="38">
        <v>0</v>
      </c>
      <c r="CA284" s="38">
        <v>0</v>
      </c>
      <c r="CB284" s="38">
        <v>1308.9944350855112</v>
      </c>
      <c r="CC284" s="38">
        <v>522.85447573119188</v>
      </c>
      <c r="CD284" s="49">
        <v>2.5035540400700076</v>
      </c>
      <c r="CE284" s="38">
        <v>-2.2723506639345135</v>
      </c>
      <c r="CF284" s="38">
        <v>13.399390239423273</v>
      </c>
      <c r="CG284" s="38">
        <v>0</v>
      </c>
      <c r="CH284" s="38">
        <v>13.399390239423273</v>
      </c>
      <c r="CI284" s="38">
        <v>0.66996115922456856</v>
      </c>
      <c r="CJ284" s="38">
        <v>0</v>
      </c>
      <c r="CK284" s="38">
        <v>0.66996115922456856</v>
      </c>
      <c r="CL284" s="38"/>
      <c r="CM284" s="38">
        <v>0</v>
      </c>
      <c r="CN284" s="38"/>
      <c r="CO284" s="38">
        <v>0</v>
      </c>
      <c r="CP284" s="38">
        <v>0</v>
      </c>
      <c r="CQ284" s="38">
        <v>0</v>
      </c>
      <c r="CR284" s="38">
        <v>0</v>
      </c>
      <c r="CS284" s="38">
        <v>0</v>
      </c>
      <c r="CT284" s="38">
        <v>0</v>
      </c>
      <c r="CU284" s="38">
        <v>0</v>
      </c>
      <c r="CV284" s="38">
        <v>9999</v>
      </c>
      <c r="CW284" s="49">
        <v>9999</v>
      </c>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row>
    <row r="285" spans="1:131">
      <c r="A285" s="27" t="s">
        <v>840</v>
      </c>
      <c r="B285" s="27"/>
      <c r="C285" s="38">
        <v>44.999999999999993</v>
      </c>
      <c r="D285" s="38">
        <v>2043.3068570265409</v>
      </c>
      <c r="E285" s="38">
        <v>0</v>
      </c>
      <c r="F285" s="38">
        <v>1047.8220524597768</v>
      </c>
      <c r="G285" s="38">
        <v>0</v>
      </c>
      <c r="H285" s="38">
        <v>0</v>
      </c>
      <c r="I285" s="38"/>
      <c r="J285" s="38"/>
      <c r="K285" s="38"/>
      <c r="L285" s="38">
        <v>2203.2727260729475</v>
      </c>
      <c r="M285" s="38">
        <v>1.1354316849352235</v>
      </c>
      <c r="N285" s="38">
        <v>1.1272366482104084</v>
      </c>
      <c r="O285" s="38">
        <v>0</v>
      </c>
      <c r="P285" s="38">
        <v>0</v>
      </c>
      <c r="Q285" s="38">
        <v>0</v>
      </c>
      <c r="R285" s="38">
        <v>137.05064525044099</v>
      </c>
      <c r="S285" s="38">
        <v>316.70319588829778</v>
      </c>
      <c r="T285" s="38">
        <v>0</v>
      </c>
      <c r="U285" s="38">
        <v>244.8851112173349</v>
      </c>
      <c r="V285" s="38">
        <v>62.869323147586613</v>
      </c>
      <c r="W285" s="38">
        <v>146.69508734436874</v>
      </c>
      <c r="X285" s="38">
        <v>0</v>
      </c>
      <c r="Y285" s="38">
        <v>0</v>
      </c>
      <c r="Z285" s="38">
        <v>0</v>
      </c>
      <c r="AA285" s="38">
        <v>0</v>
      </c>
      <c r="AB285" s="38">
        <v>0</v>
      </c>
      <c r="AC285" s="38">
        <v>0</v>
      </c>
      <c r="AD285" s="38">
        <v>0</v>
      </c>
      <c r="AE285" s="38">
        <v>0</v>
      </c>
      <c r="AF285" s="38">
        <v>0</v>
      </c>
      <c r="AG285" s="38">
        <v>0</v>
      </c>
      <c r="AH285" s="38">
        <v>199.91996839802761</v>
      </c>
      <c r="AI285" s="38">
        <v>463.39828323266653</v>
      </c>
      <c r="AJ285" s="38">
        <v>0</v>
      </c>
      <c r="AK285" s="38">
        <v>244.8851112173349</v>
      </c>
      <c r="AL285" s="38">
        <v>908.20336284802909</v>
      </c>
      <c r="AM285" s="38">
        <v>1160.4490928858324</v>
      </c>
      <c r="AN285" s="38">
        <v>401.20306565784165</v>
      </c>
      <c r="AO285" s="38">
        <v>0</v>
      </c>
      <c r="AP285" s="38">
        <v>0</v>
      </c>
      <c r="AQ285" s="38">
        <v>1561.652158543674</v>
      </c>
      <c r="AR285" s="38">
        <v>199.91996839802761</v>
      </c>
      <c r="AS285" s="49">
        <v>7.8113865816271364</v>
      </c>
      <c r="AT285" s="38">
        <v>1160.4490928858324</v>
      </c>
      <c r="AU285" s="38">
        <v>474.90493143279656</v>
      </c>
      <c r="AV285" s="38">
        <v>0</v>
      </c>
      <c r="AW285" s="38">
        <v>0</v>
      </c>
      <c r="AX285" s="38">
        <v>1635.3540243186289</v>
      </c>
      <c r="AY285" s="38">
        <v>463.39828323266653</v>
      </c>
      <c r="AZ285" s="49">
        <v>3.5290463592363763</v>
      </c>
      <c r="BA285" s="38">
        <v>1160.4490928858324</v>
      </c>
      <c r="BB285" s="38">
        <v>876.10799709063826</v>
      </c>
      <c r="BC285" s="38">
        <v>0</v>
      </c>
      <c r="BD285" s="38">
        <v>0</v>
      </c>
      <c r="BE285" s="38">
        <v>2036.5570899764707</v>
      </c>
      <c r="BF285" s="38">
        <v>663.31825163069414</v>
      </c>
      <c r="BG285" s="38">
        <v>-7.1064474849799799</v>
      </c>
      <c r="BH285" s="49">
        <v>3.0702563738745643</v>
      </c>
      <c r="BI285" s="38">
        <v>6.6766410831901668</v>
      </c>
      <c r="BJ285" s="38">
        <v>15.475912889057554</v>
      </c>
      <c r="BK285" s="38">
        <v>0</v>
      </c>
      <c r="BL285" s="38">
        <v>8.1783225923688274</v>
      </c>
      <c r="BM285" s="38">
        <v>30.330876564616549</v>
      </c>
      <c r="BN285" s="38">
        <v>1160.4490928858324</v>
      </c>
      <c r="BO285" s="38">
        <v>0</v>
      </c>
      <c r="BP285" s="38">
        <v>876.10799709063826</v>
      </c>
      <c r="BQ285" s="38">
        <v>0</v>
      </c>
      <c r="BR285" s="38">
        <v>0</v>
      </c>
      <c r="BS285" s="38">
        <v>0</v>
      </c>
      <c r="BT285" s="38">
        <v>0</v>
      </c>
      <c r="BU285" s="38">
        <v>0</v>
      </c>
      <c r="BV285" s="38">
        <v>151.6258568521508</v>
      </c>
      <c r="BW285" s="38">
        <v>0</v>
      </c>
      <c r="BX285" s="38">
        <v>698.63895235607367</v>
      </c>
      <c r="BY285" s="38">
        <v>209.56441049195539</v>
      </c>
      <c r="BZ285" s="38">
        <v>0</v>
      </c>
      <c r="CA285" s="38">
        <v>0</v>
      </c>
      <c r="CB285" s="38">
        <v>2188.1829468286214</v>
      </c>
      <c r="CC285" s="38">
        <v>908.20336284802909</v>
      </c>
      <c r="CD285" s="49">
        <v>2.4093534954183746</v>
      </c>
      <c r="CE285" s="38">
        <v>-3.9919083317794515</v>
      </c>
      <c r="CF285" s="38">
        <v>20.931242384013029</v>
      </c>
      <c r="CG285" s="38">
        <v>0</v>
      </c>
      <c r="CH285" s="38">
        <v>20.931242384013029</v>
      </c>
      <c r="CI285" s="38">
        <v>1.0465545448846503</v>
      </c>
      <c r="CJ285" s="38">
        <v>0</v>
      </c>
      <c r="CK285" s="38">
        <v>1.0465545448846503</v>
      </c>
      <c r="CL285" s="38"/>
      <c r="CM285" s="38">
        <v>0</v>
      </c>
      <c r="CN285" s="38"/>
      <c r="CO285" s="38">
        <v>0</v>
      </c>
      <c r="CP285" s="38">
        <v>0</v>
      </c>
      <c r="CQ285" s="38">
        <v>0</v>
      </c>
      <c r="CR285" s="38">
        <v>0</v>
      </c>
      <c r="CS285" s="38">
        <v>0</v>
      </c>
      <c r="CT285" s="38">
        <v>0</v>
      </c>
      <c r="CU285" s="38">
        <v>0</v>
      </c>
      <c r="CV285" s="38">
        <v>9999</v>
      </c>
      <c r="CW285" s="49">
        <v>9999</v>
      </c>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row>
    <row r="286" spans="1:131">
      <c r="A286" s="27" t="s">
        <v>849</v>
      </c>
      <c r="B286" s="27"/>
      <c r="C286" s="38">
        <v>45.000000000000007</v>
      </c>
      <c r="D286" s="38">
        <v>1385.3842798110832</v>
      </c>
      <c r="E286" s="38">
        <v>0</v>
      </c>
      <c r="F286" s="38">
        <v>663.32648072192512</v>
      </c>
      <c r="G286" s="38">
        <v>0</v>
      </c>
      <c r="H286" s="38">
        <v>0</v>
      </c>
      <c r="I286" s="38"/>
      <c r="J286" s="38"/>
      <c r="K286" s="38"/>
      <c r="L286" s="38">
        <v>1493.0432070782967</v>
      </c>
      <c r="M286" s="38">
        <v>0.69916353553121158</v>
      </c>
      <c r="N286" s="38">
        <v>0.69411728666714467</v>
      </c>
      <c r="O286" s="38">
        <v>0</v>
      </c>
      <c r="P286" s="38">
        <v>0</v>
      </c>
      <c r="Q286" s="38">
        <v>0</v>
      </c>
      <c r="R286" s="38">
        <v>86.760268102043781</v>
      </c>
      <c r="S286" s="38">
        <v>200.489783421537</v>
      </c>
      <c r="T286" s="38">
        <v>0</v>
      </c>
      <c r="U286" s="38">
        <v>155.02515777718619</v>
      </c>
      <c r="V286" s="38">
        <v>39.799588843315512</v>
      </c>
      <c r="W286" s="38">
        <v>92.86570730106952</v>
      </c>
      <c r="X286" s="38">
        <v>0</v>
      </c>
      <c r="Y286" s="38">
        <v>0</v>
      </c>
      <c r="Z286" s="38">
        <v>0</v>
      </c>
      <c r="AA286" s="38">
        <v>0</v>
      </c>
      <c r="AB286" s="38">
        <v>0</v>
      </c>
      <c r="AC286" s="38">
        <v>0</v>
      </c>
      <c r="AD286" s="38">
        <v>0</v>
      </c>
      <c r="AE286" s="38">
        <v>0</v>
      </c>
      <c r="AF286" s="38">
        <v>0</v>
      </c>
      <c r="AG286" s="38">
        <v>0</v>
      </c>
      <c r="AH286" s="38">
        <v>126.55985694535929</v>
      </c>
      <c r="AI286" s="38">
        <v>293.35549072260653</v>
      </c>
      <c r="AJ286" s="38">
        <v>0</v>
      </c>
      <c r="AK286" s="38">
        <v>155.02515777718619</v>
      </c>
      <c r="AL286" s="38">
        <v>574.94050544515198</v>
      </c>
      <c r="AM286" s="38">
        <v>786.06413946039504</v>
      </c>
      <c r="AN286" s="38">
        <v>247.04837602563495</v>
      </c>
      <c r="AO286" s="38">
        <v>0</v>
      </c>
      <c r="AP286" s="38">
        <v>0</v>
      </c>
      <c r="AQ286" s="38">
        <v>1033.1125154860299</v>
      </c>
      <c r="AR286" s="38">
        <v>126.55985694535929</v>
      </c>
      <c r="AS286" s="49">
        <v>8.1630347917670605</v>
      </c>
      <c r="AT286" s="38">
        <v>786.06413946039504</v>
      </c>
      <c r="AU286" s="38">
        <v>292.4316938721895</v>
      </c>
      <c r="AV286" s="38">
        <v>0</v>
      </c>
      <c r="AW286" s="38">
        <v>0</v>
      </c>
      <c r="AX286" s="38">
        <v>1078.4958333325844</v>
      </c>
      <c r="AY286" s="38">
        <v>293.35549072260653</v>
      </c>
      <c r="AZ286" s="49">
        <v>3.6764126373635775</v>
      </c>
      <c r="BA286" s="38">
        <v>786.06413946039504</v>
      </c>
      <c r="BB286" s="38">
        <v>539.48006989782448</v>
      </c>
      <c r="BC286" s="38">
        <v>0</v>
      </c>
      <c r="BD286" s="38">
        <v>0</v>
      </c>
      <c r="BE286" s="38">
        <v>1325.5442093582194</v>
      </c>
      <c r="BF286" s="38">
        <v>419.91534766796582</v>
      </c>
      <c r="BG286" s="38">
        <v>-5.8925163702700196</v>
      </c>
      <c r="BH286" s="49">
        <v>3.1566938829926969</v>
      </c>
      <c r="BI286" s="38">
        <v>6.2372580721249369</v>
      </c>
      <c r="BJ286" s="38">
        <v>14.457458681402553</v>
      </c>
      <c r="BK286" s="38">
        <v>0</v>
      </c>
      <c r="BL286" s="38">
        <v>7.6401154368059849</v>
      </c>
      <c r="BM286" s="38">
        <v>28.334832190333472</v>
      </c>
      <c r="BN286" s="38">
        <v>786.06413946039504</v>
      </c>
      <c r="BO286" s="38">
        <v>0</v>
      </c>
      <c r="BP286" s="38">
        <v>539.48006989782448</v>
      </c>
      <c r="BQ286" s="38">
        <v>0</v>
      </c>
      <c r="BR286" s="38">
        <v>0</v>
      </c>
      <c r="BS286" s="38">
        <v>0</v>
      </c>
      <c r="BT286" s="38">
        <v>0</v>
      </c>
      <c r="BU286" s="38">
        <v>0</v>
      </c>
      <c r="BV286" s="38">
        <v>59.107956017513324</v>
      </c>
      <c r="BW286" s="38">
        <v>0</v>
      </c>
      <c r="BX286" s="38">
        <v>442.27520930076696</v>
      </c>
      <c r="BY286" s="38">
        <v>132.66529614438502</v>
      </c>
      <c r="BZ286" s="38">
        <v>0</v>
      </c>
      <c r="CA286" s="38">
        <v>0</v>
      </c>
      <c r="CB286" s="38">
        <v>1384.6521653757327</v>
      </c>
      <c r="CC286" s="38">
        <v>574.94050544515198</v>
      </c>
      <c r="CD286" s="49">
        <v>2.4083399104115224</v>
      </c>
      <c r="CE286" s="38">
        <v>-1.1654223661305556</v>
      </c>
      <c r="CF286" s="38">
        <v>14.184088692399534</v>
      </c>
      <c r="CG286" s="38">
        <v>0</v>
      </c>
      <c r="CH286" s="38">
        <v>14.184088692399534</v>
      </c>
      <c r="CI286" s="38">
        <v>0.70919552336219094</v>
      </c>
      <c r="CJ286" s="38">
        <v>0</v>
      </c>
      <c r="CK286" s="38">
        <v>0.70919552336219094</v>
      </c>
      <c r="CL286" s="38"/>
      <c r="CM286" s="38">
        <v>0</v>
      </c>
      <c r="CN286" s="38"/>
      <c r="CO286" s="38">
        <v>0</v>
      </c>
      <c r="CP286" s="38">
        <v>0</v>
      </c>
      <c r="CQ286" s="38">
        <v>0</v>
      </c>
      <c r="CR286" s="38">
        <v>0</v>
      </c>
      <c r="CS286" s="38">
        <v>0</v>
      </c>
      <c r="CT286" s="38">
        <v>0</v>
      </c>
      <c r="CU286" s="38">
        <v>0</v>
      </c>
      <c r="CV286" s="38">
        <v>9999</v>
      </c>
      <c r="CW286" s="49">
        <v>9999</v>
      </c>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row>
    <row r="287" spans="1:131">
      <c r="A287" s="27" t="s">
        <v>877</v>
      </c>
      <c r="B287" s="27"/>
      <c r="C287" s="38">
        <v>44.999999999999993</v>
      </c>
      <c r="D287" s="38">
        <v>1327.0398114985123</v>
      </c>
      <c r="E287" s="38">
        <v>0</v>
      </c>
      <c r="F287" s="38">
        <v>688.8802831401041</v>
      </c>
      <c r="G287" s="38">
        <v>0</v>
      </c>
      <c r="H287" s="38">
        <v>0</v>
      </c>
      <c r="I287" s="38"/>
      <c r="J287" s="38"/>
      <c r="K287" s="38"/>
      <c r="L287" s="38">
        <v>1430.1806332760389</v>
      </c>
      <c r="M287" s="38">
        <v>0.67112157068610512</v>
      </c>
      <c r="N287" s="38">
        <v>0.66627771614905129</v>
      </c>
      <c r="O287" s="38">
        <v>0</v>
      </c>
      <c r="P287" s="38">
        <v>0</v>
      </c>
      <c r="Q287" s="38">
        <v>0</v>
      </c>
      <c r="R287" s="38">
        <v>90.102596221396041</v>
      </c>
      <c r="S287" s="38">
        <v>208.21339534012282</v>
      </c>
      <c r="T287" s="38">
        <v>0</v>
      </c>
      <c r="U287" s="38">
        <v>160.99730326936341</v>
      </c>
      <c r="V287" s="38">
        <v>41.332816988406243</v>
      </c>
      <c r="W287" s="38">
        <v>96.443239639614575</v>
      </c>
      <c r="X287" s="38">
        <v>0</v>
      </c>
      <c r="Y287" s="38">
        <v>0</v>
      </c>
      <c r="Z287" s="38">
        <v>0</v>
      </c>
      <c r="AA287" s="38">
        <v>0</v>
      </c>
      <c r="AB287" s="38">
        <v>0</v>
      </c>
      <c r="AC287" s="38">
        <v>0</v>
      </c>
      <c r="AD287" s="38">
        <v>0</v>
      </c>
      <c r="AE287" s="38">
        <v>0</v>
      </c>
      <c r="AF287" s="38">
        <v>0</v>
      </c>
      <c r="AG287" s="38">
        <v>0</v>
      </c>
      <c r="AH287" s="38">
        <v>131.43541320980228</v>
      </c>
      <c r="AI287" s="38">
        <v>304.65663497973742</v>
      </c>
      <c r="AJ287" s="38">
        <v>0</v>
      </c>
      <c r="AK287" s="38">
        <v>160.99730326936341</v>
      </c>
      <c r="AL287" s="38">
        <v>597.08935145890302</v>
      </c>
      <c r="AM287" s="38">
        <v>752.97415955710449</v>
      </c>
      <c r="AN287" s="38">
        <v>237.13979023205806</v>
      </c>
      <c r="AO287" s="38">
        <v>0</v>
      </c>
      <c r="AP287" s="38">
        <v>0</v>
      </c>
      <c r="AQ287" s="38">
        <v>990.11394978916258</v>
      </c>
      <c r="AR287" s="38">
        <v>131.43541320980228</v>
      </c>
      <c r="AS287" s="49">
        <v>7.5330835549526096</v>
      </c>
      <c r="AT287" s="38">
        <v>752.97415955710449</v>
      </c>
      <c r="AU287" s="38">
        <v>280.70287956420589</v>
      </c>
      <c r="AV287" s="38">
        <v>0</v>
      </c>
      <c r="AW287" s="38">
        <v>0</v>
      </c>
      <c r="AX287" s="38">
        <v>1033.6770391213104</v>
      </c>
      <c r="AY287" s="38">
        <v>304.65663497973742</v>
      </c>
      <c r="AZ287" s="49">
        <v>3.3929247567185259</v>
      </c>
      <c r="BA287" s="38">
        <v>752.97415955710449</v>
      </c>
      <c r="BB287" s="38">
        <v>517.84266979626398</v>
      </c>
      <c r="BC287" s="38">
        <v>0</v>
      </c>
      <c r="BD287" s="38">
        <v>0</v>
      </c>
      <c r="BE287" s="38">
        <v>1270.8168293533683</v>
      </c>
      <c r="BF287" s="38">
        <v>436.0920481895397</v>
      </c>
      <c r="BG287" s="38">
        <v>-4.2060098482085699</v>
      </c>
      <c r="BH287" s="49">
        <v>2.9141022741167486</v>
      </c>
      <c r="BI287" s="38">
        <v>6.7622561333322091</v>
      </c>
      <c r="BJ287" s="38">
        <v>15.674361636186775</v>
      </c>
      <c r="BK287" s="38">
        <v>0</v>
      </c>
      <c r="BL287" s="38">
        <v>8.2831938128072498</v>
      </c>
      <c r="BM287" s="38">
        <v>30.719811582326233</v>
      </c>
      <c r="BN287" s="38">
        <v>752.97415955710449</v>
      </c>
      <c r="BO287" s="38">
        <v>0</v>
      </c>
      <c r="BP287" s="38">
        <v>517.84266979626398</v>
      </c>
      <c r="BQ287" s="38">
        <v>0</v>
      </c>
      <c r="BR287" s="38">
        <v>0</v>
      </c>
      <c r="BS287" s="38">
        <v>0</v>
      </c>
      <c r="BT287" s="38">
        <v>0</v>
      </c>
      <c r="BU287" s="38">
        <v>0</v>
      </c>
      <c r="BV287" s="38">
        <v>57.883841075917509</v>
      </c>
      <c r="BW287" s="38">
        <v>0</v>
      </c>
      <c r="BX287" s="38">
        <v>459.31329483088223</v>
      </c>
      <c r="BY287" s="38">
        <v>137.77605662802083</v>
      </c>
      <c r="BZ287" s="38">
        <v>0</v>
      </c>
      <c r="CA287" s="38">
        <v>0</v>
      </c>
      <c r="CB287" s="38">
        <v>1328.700670429286</v>
      </c>
      <c r="CC287" s="38">
        <v>597.08935145890302</v>
      </c>
      <c r="CD287" s="49">
        <v>2.2252962093241062</v>
      </c>
      <c r="CE287" s="38">
        <v>1.0991025649408628</v>
      </c>
      <c r="CF287" s="38">
        <v>13.586885236488079</v>
      </c>
      <c r="CG287" s="38">
        <v>0</v>
      </c>
      <c r="CH287" s="38">
        <v>13.586885236488079</v>
      </c>
      <c r="CI287" s="38">
        <v>0.67933580080611855</v>
      </c>
      <c r="CJ287" s="38">
        <v>0</v>
      </c>
      <c r="CK287" s="38">
        <v>0.67933580080611855</v>
      </c>
      <c r="CL287" s="38"/>
      <c r="CM287" s="38">
        <v>0</v>
      </c>
      <c r="CN287" s="38"/>
      <c r="CO287" s="38">
        <v>0</v>
      </c>
      <c r="CP287" s="38">
        <v>0</v>
      </c>
      <c r="CQ287" s="38">
        <v>0</v>
      </c>
      <c r="CR287" s="38">
        <v>0</v>
      </c>
      <c r="CS287" s="38">
        <v>0</v>
      </c>
      <c r="CT287" s="38">
        <v>0</v>
      </c>
      <c r="CU287" s="38">
        <v>0</v>
      </c>
      <c r="CV287" s="38">
        <v>9999</v>
      </c>
      <c r="CW287" s="49">
        <v>9999</v>
      </c>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row>
    <row r="288" spans="1:131">
      <c r="A288" s="27" t="s">
        <v>862</v>
      </c>
      <c r="B288" s="27"/>
      <c r="C288" s="38">
        <v>45</v>
      </c>
      <c r="D288" s="38">
        <v>752.33604947181868</v>
      </c>
      <c r="E288" s="38">
        <v>0</v>
      </c>
      <c r="F288" s="38">
        <v>595.71787033770602</v>
      </c>
      <c r="G288" s="38">
        <v>0</v>
      </c>
      <c r="H288" s="38">
        <v>0</v>
      </c>
      <c r="I288" s="38"/>
      <c r="J288" s="38"/>
      <c r="K288" s="38"/>
      <c r="L288" s="38">
        <v>810.85108095413966</v>
      </c>
      <c r="M288" s="38">
        <v>0.38415491752086445</v>
      </c>
      <c r="N288" s="38">
        <v>0.38138225959800459</v>
      </c>
      <c r="O288" s="38">
        <v>0</v>
      </c>
      <c r="P288" s="38">
        <v>0</v>
      </c>
      <c r="Q288" s="38">
        <v>0</v>
      </c>
      <c r="R288" s="38">
        <v>77.917350875887607</v>
      </c>
      <c r="S288" s="38">
        <v>180.05514671200763</v>
      </c>
      <c r="T288" s="38">
        <v>0</v>
      </c>
      <c r="U288" s="38">
        <v>139.22443852879593</v>
      </c>
      <c r="V288" s="38">
        <v>35.743072220262363</v>
      </c>
      <c r="W288" s="38">
        <v>83.400501847278846</v>
      </c>
      <c r="X288" s="38">
        <v>0</v>
      </c>
      <c r="Y288" s="38">
        <v>0</v>
      </c>
      <c r="Z288" s="38">
        <v>0</v>
      </c>
      <c r="AA288" s="38">
        <v>0</v>
      </c>
      <c r="AB288" s="38">
        <v>0</v>
      </c>
      <c r="AC288" s="38">
        <v>0</v>
      </c>
      <c r="AD288" s="38">
        <v>0</v>
      </c>
      <c r="AE288" s="38">
        <v>0</v>
      </c>
      <c r="AF288" s="38">
        <v>0</v>
      </c>
      <c r="AG288" s="38">
        <v>0</v>
      </c>
      <c r="AH288" s="38">
        <v>113.66042309614997</v>
      </c>
      <c r="AI288" s="38">
        <v>263.45564855928649</v>
      </c>
      <c r="AJ288" s="38">
        <v>0</v>
      </c>
      <c r="AK288" s="38">
        <v>139.22443852879593</v>
      </c>
      <c r="AL288" s="38">
        <v>516.34051018423236</v>
      </c>
      <c r="AM288" s="38">
        <v>426.92028665652754</v>
      </c>
      <c r="AN288" s="38">
        <v>135.74055809944997</v>
      </c>
      <c r="AO288" s="38">
        <v>0</v>
      </c>
      <c r="AP288" s="38">
        <v>0</v>
      </c>
      <c r="AQ288" s="38">
        <v>562.66084475597745</v>
      </c>
      <c r="AR288" s="38">
        <v>113.66042309614997</v>
      </c>
      <c r="AS288" s="49">
        <v>4.9503673260128531</v>
      </c>
      <c r="AT288" s="38">
        <v>426.92028665652754</v>
      </c>
      <c r="AU288" s="38">
        <v>160.67639047366004</v>
      </c>
      <c r="AV288" s="38">
        <v>0</v>
      </c>
      <c r="AW288" s="38">
        <v>0</v>
      </c>
      <c r="AX288" s="38">
        <v>587.59667713018757</v>
      </c>
      <c r="AY288" s="38">
        <v>263.45564855928649</v>
      </c>
      <c r="AZ288" s="49">
        <v>2.2303438181852395</v>
      </c>
      <c r="BA288" s="38">
        <v>426.92028665652754</v>
      </c>
      <c r="BB288" s="38">
        <v>296.41694857311001</v>
      </c>
      <c r="BC288" s="38">
        <v>0</v>
      </c>
      <c r="BD288" s="38">
        <v>0</v>
      </c>
      <c r="BE288" s="38">
        <v>723.3372352296376</v>
      </c>
      <c r="BF288" s="38">
        <v>377.11607165543649</v>
      </c>
      <c r="BG288" s="38">
        <v>7.3231483139859979</v>
      </c>
      <c r="BH288" s="49">
        <v>1.9180758646916978</v>
      </c>
      <c r="BI288" s="38">
        <v>10.314264938348455</v>
      </c>
      <c r="BJ288" s="38">
        <v>23.907630155891493</v>
      </c>
      <c r="BK288" s="38">
        <v>0</v>
      </c>
      <c r="BL288" s="38">
        <v>12.63410522116428</v>
      </c>
      <c r="BM288" s="38">
        <v>46.856000315404223</v>
      </c>
      <c r="BN288" s="38">
        <v>426.92028665652754</v>
      </c>
      <c r="BO288" s="38">
        <v>0</v>
      </c>
      <c r="BP288" s="38">
        <v>296.41694857311001</v>
      </c>
      <c r="BQ288" s="38">
        <v>0</v>
      </c>
      <c r="BR288" s="38">
        <v>0</v>
      </c>
      <c r="BS288" s="38">
        <v>0</v>
      </c>
      <c r="BT288" s="38">
        <v>0</v>
      </c>
      <c r="BU288" s="38">
        <v>0</v>
      </c>
      <c r="BV288" s="38">
        <v>38.67804829407477</v>
      </c>
      <c r="BW288" s="38">
        <v>0</v>
      </c>
      <c r="BX288" s="38">
        <v>397.19693611669118</v>
      </c>
      <c r="BY288" s="38">
        <v>119.14357406754121</v>
      </c>
      <c r="BZ288" s="38">
        <v>0</v>
      </c>
      <c r="CA288" s="38">
        <v>0</v>
      </c>
      <c r="CB288" s="38">
        <v>762.01528352371224</v>
      </c>
      <c r="CC288" s="38">
        <v>516.34051018423236</v>
      </c>
      <c r="CD288" s="49">
        <v>1.475799919808388</v>
      </c>
      <c r="CE288" s="38">
        <v>16.447363051407777</v>
      </c>
      <c r="CF288" s="38">
        <v>7.703177275469133</v>
      </c>
      <c r="CG288" s="38">
        <v>0</v>
      </c>
      <c r="CH288" s="38">
        <v>7.703177275469133</v>
      </c>
      <c r="CI288" s="38">
        <v>0.38515426345321641</v>
      </c>
      <c r="CJ288" s="38">
        <v>0</v>
      </c>
      <c r="CK288" s="38">
        <v>0.38515426345321641</v>
      </c>
      <c r="CL288" s="38"/>
      <c r="CM288" s="38">
        <v>0</v>
      </c>
      <c r="CN288" s="38"/>
      <c r="CO288" s="38">
        <v>0</v>
      </c>
      <c r="CP288" s="38">
        <v>0</v>
      </c>
      <c r="CQ288" s="38">
        <v>0</v>
      </c>
      <c r="CR288" s="38">
        <v>0</v>
      </c>
      <c r="CS288" s="38">
        <v>0</v>
      </c>
      <c r="CT288" s="38">
        <v>0</v>
      </c>
      <c r="CU288" s="38">
        <v>0</v>
      </c>
      <c r="CV288" s="38">
        <v>9999</v>
      </c>
      <c r="CW288" s="49">
        <v>9999</v>
      </c>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row>
    <row r="289" spans="1:131">
      <c r="A289" s="27" t="s">
        <v>854</v>
      </c>
      <c r="B289" s="27"/>
      <c r="C289" s="38">
        <v>45</v>
      </c>
      <c r="D289" s="38">
        <v>1192.926505618007</v>
      </c>
      <c r="E289" s="38">
        <v>0</v>
      </c>
      <c r="F289" s="38">
        <v>1034.2534120831954</v>
      </c>
      <c r="G289" s="38">
        <v>0</v>
      </c>
      <c r="H289" s="38">
        <v>0</v>
      </c>
      <c r="I289" s="38"/>
      <c r="J289" s="38"/>
      <c r="K289" s="38"/>
      <c r="L289" s="38">
        <v>1286.2683666714556</v>
      </c>
      <c r="M289" s="38">
        <v>0.65850115617751936</v>
      </c>
      <c r="N289" s="38">
        <v>0.65374839013284469</v>
      </c>
      <c r="O289" s="38">
        <v>0</v>
      </c>
      <c r="P289" s="38">
        <v>0</v>
      </c>
      <c r="Q289" s="38">
        <v>0</v>
      </c>
      <c r="R289" s="38">
        <v>135.27592509216956</v>
      </c>
      <c r="S289" s="38">
        <v>312.60208753594492</v>
      </c>
      <c r="T289" s="38">
        <v>0</v>
      </c>
      <c r="U289" s="38">
        <v>241.71400215364704</v>
      </c>
      <c r="V289" s="38">
        <v>62.055204724991725</v>
      </c>
      <c r="W289" s="38">
        <v>144.79547769164736</v>
      </c>
      <c r="X289" s="38">
        <v>0</v>
      </c>
      <c r="Y289" s="38">
        <v>0</v>
      </c>
      <c r="Z289" s="38">
        <v>0</v>
      </c>
      <c r="AA289" s="38">
        <v>0</v>
      </c>
      <c r="AB289" s="38">
        <v>0</v>
      </c>
      <c r="AC289" s="38">
        <v>0</v>
      </c>
      <c r="AD289" s="38">
        <v>0</v>
      </c>
      <c r="AE289" s="38">
        <v>0</v>
      </c>
      <c r="AF289" s="38">
        <v>0</v>
      </c>
      <c r="AG289" s="38">
        <v>0</v>
      </c>
      <c r="AH289" s="38">
        <v>197.3311298171613</v>
      </c>
      <c r="AI289" s="38">
        <v>457.39756522759228</v>
      </c>
      <c r="AJ289" s="38">
        <v>0</v>
      </c>
      <c r="AK289" s="38">
        <v>241.71400215364704</v>
      </c>
      <c r="AL289" s="38">
        <v>896.44269719840054</v>
      </c>
      <c r="AM289" s="38">
        <v>677.44963465874571</v>
      </c>
      <c r="AN289" s="38">
        <v>232.68038588576653</v>
      </c>
      <c r="AO289" s="38">
        <v>0</v>
      </c>
      <c r="AP289" s="38">
        <v>0</v>
      </c>
      <c r="AQ289" s="38">
        <v>910.13002054451226</v>
      </c>
      <c r="AR289" s="38">
        <v>197.3311298171613</v>
      </c>
      <c r="AS289" s="49">
        <v>4.6121968763255969</v>
      </c>
      <c r="AT289" s="38">
        <v>677.44963465874571</v>
      </c>
      <c r="AU289" s="38">
        <v>275.42427305148095</v>
      </c>
      <c r="AV289" s="38">
        <v>0</v>
      </c>
      <c r="AW289" s="38">
        <v>0</v>
      </c>
      <c r="AX289" s="38">
        <v>952.8739077102266</v>
      </c>
      <c r="AY289" s="38">
        <v>457.39756522759228</v>
      </c>
      <c r="AZ289" s="49">
        <v>2.0832509399915473</v>
      </c>
      <c r="BA289" s="38">
        <v>677.44963465874571</v>
      </c>
      <c r="BB289" s="38">
        <v>508.10465893724745</v>
      </c>
      <c r="BC289" s="38">
        <v>0</v>
      </c>
      <c r="BD289" s="38">
        <v>0</v>
      </c>
      <c r="BE289" s="38">
        <v>1185.5542935959932</v>
      </c>
      <c r="BF289" s="38">
        <v>654.72869504475352</v>
      </c>
      <c r="BG289" s="38">
        <v>8.3877155783262047</v>
      </c>
      <c r="BH289" s="49">
        <v>1.8107565814187438</v>
      </c>
      <c r="BI289" s="38">
        <v>11.288445166265497</v>
      </c>
      <c r="BJ289" s="38">
        <v>26.165700966893183</v>
      </c>
      <c r="BK289" s="38">
        <v>0</v>
      </c>
      <c r="BL289" s="38">
        <v>13.827393892480154</v>
      </c>
      <c r="BM289" s="38">
        <v>51.281540025638826</v>
      </c>
      <c r="BN289" s="38">
        <v>677.44963465874571</v>
      </c>
      <c r="BO289" s="38">
        <v>0</v>
      </c>
      <c r="BP289" s="38">
        <v>508.10465893724745</v>
      </c>
      <c r="BQ289" s="38">
        <v>0</v>
      </c>
      <c r="BR289" s="38">
        <v>0</v>
      </c>
      <c r="BS289" s="38">
        <v>0</v>
      </c>
      <c r="BT289" s="38">
        <v>0</v>
      </c>
      <c r="BU289" s="38">
        <v>0</v>
      </c>
      <c r="BV289" s="38">
        <v>75.186174860394615</v>
      </c>
      <c r="BW289" s="38">
        <v>0</v>
      </c>
      <c r="BX289" s="38">
        <v>689.59201478176146</v>
      </c>
      <c r="BY289" s="38">
        <v>206.85068241663907</v>
      </c>
      <c r="BZ289" s="38">
        <v>0</v>
      </c>
      <c r="CA289" s="38">
        <v>0</v>
      </c>
      <c r="CB289" s="38">
        <v>1260.7404684563878</v>
      </c>
      <c r="CC289" s="38">
        <v>896.44269719840054</v>
      </c>
      <c r="CD289" s="49">
        <v>1.406381548309229</v>
      </c>
      <c r="CE289" s="38">
        <v>17.914039421903194</v>
      </c>
      <c r="CF289" s="38">
        <v>12.219642613444346</v>
      </c>
      <c r="CG289" s="38">
        <v>0</v>
      </c>
      <c r="CH289" s="38">
        <v>12.219642613444346</v>
      </c>
      <c r="CI289" s="38">
        <v>0.61097747416894155</v>
      </c>
      <c r="CJ289" s="38">
        <v>0</v>
      </c>
      <c r="CK289" s="38">
        <v>0.61097747416894155</v>
      </c>
      <c r="CL289" s="38"/>
      <c r="CM289" s="38">
        <v>0</v>
      </c>
      <c r="CN289" s="38"/>
      <c r="CO289" s="38">
        <v>0</v>
      </c>
      <c r="CP289" s="38">
        <v>0</v>
      </c>
      <c r="CQ289" s="38">
        <v>0</v>
      </c>
      <c r="CR289" s="38">
        <v>0</v>
      </c>
      <c r="CS289" s="38">
        <v>0</v>
      </c>
      <c r="CT289" s="38">
        <v>0</v>
      </c>
      <c r="CU289" s="38">
        <v>0</v>
      </c>
      <c r="CV289" s="38">
        <v>9999</v>
      </c>
      <c r="CW289" s="49">
        <v>9999</v>
      </c>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row>
    <row r="290" spans="1:131">
      <c r="A290" s="27" t="s">
        <v>882</v>
      </c>
      <c r="B290" s="27"/>
      <c r="C290" s="38">
        <v>45</v>
      </c>
      <c r="D290" s="38">
        <v>1167.6805416664367</v>
      </c>
      <c r="E290" s="38">
        <v>0</v>
      </c>
      <c r="F290" s="38">
        <v>1074.0966990780664</v>
      </c>
      <c r="G290" s="38">
        <v>0</v>
      </c>
      <c r="H290" s="38">
        <v>0</v>
      </c>
      <c r="I290" s="38"/>
      <c r="J290" s="38"/>
      <c r="K290" s="38"/>
      <c r="L290" s="38">
        <v>1259.0493800803215</v>
      </c>
      <c r="M290" s="38">
        <v>0.6447752331267802</v>
      </c>
      <c r="N290" s="38">
        <v>0.64012153463938359</v>
      </c>
      <c r="O290" s="38">
        <v>0</v>
      </c>
      <c r="P290" s="38">
        <v>0</v>
      </c>
      <c r="Q290" s="38">
        <v>0</v>
      </c>
      <c r="R290" s="38">
        <v>140.48725670971555</v>
      </c>
      <c r="S290" s="38">
        <v>324.64468226502919</v>
      </c>
      <c r="T290" s="38">
        <v>0</v>
      </c>
      <c r="U290" s="38">
        <v>251.02572425769935</v>
      </c>
      <c r="V290" s="38">
        <v>64.445801944683993</v>
      </c>
      <c r="W290" s="38">
        <v>150.37353787092931</v>
      </c>
      <c r="X290" s="38">
        <v>0</v>
      </c>
      <c r="Y290" s="38">
        <v>0</v>
      </c>
      <c r="Z290" s="38">
        <v>0</v>
      </c>
      <c r="AA290" s="38">
        <v>0</v>
      </c>
      <c r="AB290" s="38">
        <v>0</v>
      </c>
      <c r="AC290" s="38">
        <v>0</v>
      </c>
      <c r="AD290" s="38">
        <v>0</v>
      </c>
      <c r="AE290" s="38">
        <v>0</v>
      </c>
      <c r="AF290" s="38">
        <v>0</v>
      </c>
      <c r="AG290" s="38">
        <v>0</v>
      </c>
      <c r="AH290" s="38">
        <v>204.93305865439953</v>
      </c>
      <c r="AI290" s="38">
        <v>475.01822013595847</v>
      </c>
      <c r="AJ290" s="38">
        <v>0</v>
      </c>
      <c r="AK290" s="38">
        <v>251.02572425769935</v>
      </c>
      <c r="AL290" s="38">
        <v>930.97700304805733</v>
      </c>
      <c r="AM290" s="38">
        <v>663.11491149976268</v>
      </c>
      <c r="AN290" s="38">
        <v>227.83035177098458</v>
      </c>
      <c r="AO290" s="38">
        <v>0</v>
      </c>
      <c r="AP290" s="38">
        <v>0</v>
      </c>
      <c r="AQ290" s="38">
        <v>890.94526327074732</v>
      </c>
      <c r="AR290" s="38">
        <v>204.93305865439953</v>
      </c>
      <c r="AS290" s="49">
        <v>4.3474940993939066</v>
      </c>
      <c r="AT290" s="38">
        <v>663.11491149976268</v>
      </c>
      <c r="AU290" s="38">
        <v>269.68327724191352</v>
      </c>
      <c r="AV290" s="38">
        <v>0</v>
      </c>
      <c r="AW290" s="38">
        <v>0</v>
      </c>
      <c r="AX290" s="38">
        <v>932.7981887416762</v>
      </c>
      <c r="AY290" s="38">
        <v>475.01822013595847</v>
      </c>
      <c r="AZ290" s="49">
        <v>1.9637103361523547</v>
      </c>
      <c r="BA290" s="38">
        <v>663.11491149976268</v>
      </c>
      <c r="BB290" s="38">
        <v>497.51362901289809</v>
      </c>
      <c r="BC290" s="38">
        <v>0</v>
      </c>
      <c r="BD290" s="38">
        <v>0</v>
      </c>
      <c r="BE290" s="38">
        <v>1160.6285405126607</v>
      </c>
      <c r="BF290" s="38">
        <v>679.95127879035806</v>
      </c>
      <c r="BG290" s="38">
        <v>10.662077126482917</v>
      </c>
      <c r="BH290" s="49">
        <v>1.706928976701733</v>
      </c>
      <c r="BI290" s="38">
        <v>11.976760716905547</v>
      </c>
      <c r="BJ290" s="38">
        <v>27.761160625299645</v>
      </c>
      <c r="BK290" s="38">
        <v>0</v>
      </c>
      <c r="BL290" s="38">
        <v>14.670522427972527</v>
      </c>
      <c r="BM290" s="38">
        <v>54.408443770177712</v>
      </c>
      <c r="BN290" s="38">
        <v>663.11491149976268</v>
      </c>
      <c r="BO290" s="38">
        <v>0</v>
      </c>
      <c r="BP290" s="38">
        <v>497.51362901289809</v>
      </c>
      <c r="BQ290" s="38">
        <v>0</v>
      </c>
      <c r="BR290" s="38">
        <v>0</v>
      </c>
      <c r="BS290" s="38">
        <v>0</v>
      </c>
      <c r="BT290" s="38">
        <v>0</v>
      </c>
      <c r="BU290" s="38">
        <v>0</v>
      </c>
      <c r="BV290" s="38">
        <v>81.597969992044966</v>
      </c>
      <c r="BW290" s="38">
        <v>0</v>
      </c>
      <c r="BX290" s="38">
        <v>716.15766323244407</v>
      </c>
      <c r="BY290" s="38">
        <v>214.81933981561329</v>
      </c>
      <c r="BZ290" s="38">
        <v>0</v>
      </c>
      <c r="CA290" s="38">
        <v>0</v>
      </c>
      <c r="CB290" s="38">
        <v>1242.2265105047059</v>
      </c>
      <c r="CC290" s="38">
        <v>930.97700304805733</v>
      </c>
      <c r="CD290" s="49">
        <v>1.3343256669473089</v>
      </c>
      <c r="CE290" s="38">
        <v>20.563825946152182</v>
      </c>
      <c r="CF290" s="38">
        <v>11.961060045549338</v>
      </c>
      <c r="CG290" s="38">
        <v>0</v>
      </c>
      <c r="CH290" s="38">
        <v>11.961060045549338</v>
      </c>
      <c r="CI290" s="38">
        <v>0.59804845553815267</v>
      </c>
      <c r="CJ290" s="38">
        <v>0</v>
      </c>
      <c r="CK290" s="38">
        <v>0.59804845553815267</v>
      </c>
      <c r="CL290" s="38"/>
      <c r="CM290" s="38">
        <v>0</v>
      </c>
      <c r="CN290" s="38"/>
      <c r="CO290" s="38">
        <v>0</v>
      </c>
      <c r="CP290" s="38">
        <v>0</v>
      </c>
      <c r="CQ290" s="38">
        <v>0</v>
      </c>
      <c r="CR290" s="38">
        <v>0</v>
      </c>
      <c r="CS290" s="38">
        <v>0</v>
      </c>
      <c r="CT290" s="38">
        <v>0</v>
      </c>
      <c r="CU290" s="38">
        <v>0</v>
      </c>
      <c r="CV290" s="38">
        <v>9999</v>
      </c>
      <c r="CW290" s="49">
        <v>9999</v>
      </c>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row>
    <row r="291" spans="1:131">
      <c r="A291" s="27" t="s">
        <v>863</v>
      </c>
      <c r="B291" s="27"/>
      <c r="C291" s="38">
        <v>45</v>
      </c>
      <c r="D291" s="38">
        <v>762.38685908681691</v>
      </c>
      <c r="E291" s="38">
        <v>0</v>
      </c>
      <c r="F291" s="38">
        <v>680.29789045028565</v>
      </c>
      <c r="G291" s="38">
        <v>0</v>
      </c>
      <c r="H291" s="38">
        <v>0</v>
      </c>
      <c r="I291" s="38"/>
      <c r="J291" s="38"/>
      <c r="K291" s="38"/>
      <c r="L291" s="38">
        <v>821.68425829354476</v>
      </c>
      <c r="M291" s="38">
        <v>0.38934340794320083</v>
      </c>
      <c r="N291" s="38">
        <v>0.38653330182321771</v>
      </c>
      <c r="O291" s="38">
        <v>0</v>
      </c>
      <c r="P291" s="38">
        <v>0</v>
      </c>
      <c r="Q291" s="38">
        <v>0</v>
      </c>
      <c r="R291" s="38">
        <v>88.980055945429257</v>
      </c>
      <c r="S291" s="38">
        <v>205.61937549977574</v>
      </c>
      <c r="T291" s="38">
        <v>0</v>
      </c>
      <c r="U291" s="38">
        <v>158.99152358241821</v>
      </c>
      <c r="V291" s="38">
        <v>40.81787342701714</v>
      </c>
      <c r="W291" s="38">
        <v>95.241704663039997</v>
      </c>
      <c r="X291" s="38">
        <v>0</v>
      </c>
      <c r="Y291" s="38">
        <v>0</v>
      </c>
      <c r="Z291" s="38">
        <v>0</v>
      </c>
      <c r="AA291" s="38">
        <v>0</v>
      </c>
      <c r="AB291" s="38">
        <v>0</v>
      </c>
      <c r="AC291" s="38">
        <v>0</v>
      </c>
      <c r="AD291" s="38">
        <v>0</v>
      </c>
      <c r="AE291" s="38">
        <v>0</v>
      </c>
      <c r="AF291" s="38">
        <v>0</v>
      </c>
      <c r="AG291" s="38">
        <v>0</v>
      </c>
      <c r="AH291" s="38">
        <v>129.79792937244639</v>
      </c>
      <c r="AI291" s="38">
        <v>300.86108016281571</v>
      </c>
      <c r="AJ291" s="38">
        <v>0</v>
      </c>
      <c r="AK291" s="38">
        <v>158.99152358241821</v>
      </c>
      <c r="AL291" s="38">
        <v>589.65053311768042</v>
      </c>
      <c r="AM291" s="38">
        <v>432.62429949700675</v>
      </c>
      <c r="AN291" s="38">
        <v>137.57390332945954</v>
      </c>
      <c r="AO291" s="38">
        <v>0</v>
      </c>
      <c r="AP291" s="38">
        <v>0</v>
      </c>
      <c r="AQ291" s="38">
        <v>570.19820282646629</v>
      </c>
      <c r="AR291" s="38">
        <v>129.79792937244639</v>
      </c>
      <c r="AS291" s="49">
        <v>4.3929684054536882</v>
      </c>
      <c r="AT291" s="38">
        <v>432.62429949700675</v>
      </c>
      <c r="AU291" s="38">
        <v>162.84652516423807</v>
      </c>
      <c r="AV291" s="38">
        <v>0</v>
      </c>
      <c r="AW291" s="38">
        <v>0</v>
      </c>
      <c r="AX291" s="38">
        <v>595.47082466124482</v>
      </c>
      <c r="AY291" s="38">
        <v>300.86108016281571</v>
      </c>
      <c r="AZ291" s="49">
        <v>1.9792218532852319</v>
      </c>
      <c r="BA291" s="38">
        <v>432.62429949700675</v>
      </c>
      <c r="BB291" s="38">
        <v>300.42042849369761</v>
      </c>
      <c r="BC291" s="38">
        <v>0</v>
      </c>
      <c r="BD291" s="38">
        <v>0</v>
      </c>
      <c r="BE291" s="38">
        <v>733.04472799070436</v>
      </c>
      <c r="BF291" s="38">
        <v>430.65900953526216</v>
      </c>
      <c r="BG291" s="38">
        <v>11.662853044376721</v>
      </c>
      <c r="BH291" s="49">
        <v>1.7021465051474396</v>
      </c>
      <c r="BI291" s="38">
        <v>11.62339272762892</v>
      </c>
      <c r="BJ291" s="38">
        <v>26.942082266632866</v>
      </c>
      <c r="BK291" s="38">
        <v>0</v>
      </c>
      <c r="BL291" s="38">
        <v>14.237676424403894</v>
      </c>
      <c r="BM291" s="38">
        <v>52.803151418665692</v>
      </c>
      <c r="BN291" s="38">
        <v>432.62429949700675</v>
      </c>
      <c r="BO291" s="38">
        <v>0</v>
      </c>
      <c r="BP291" s="38">
        <v>300.42042849369761</v>
      </c>
      <c r="BQ291" s="38">
        <v>0</v>
      </c>
      <c r="BR291" s="38">
        <v>0</v>
      </c>
      <c r="BS291" s="38">
        <v>0</v>
      </c>
      <c r="BT291" s="38">
        <v>0</v>
      </c>
      <c r="BU291" s="38">
        <v>0</v>
      </c>
      <c r="BV291" s="38">
        <v>40.004020939653152</v>
      </c>
      <c r="BW291" s="38">
        <v>0</v>
      </c>
      <c r="BX291" s="38">
        <v>453.59095502762324</v>
      </c>
      <c r="BY291" s="38">
        <v>136.05957809005713</v>
      </c>
      <c r="BZ291" s="38">
        <v>0</v>
      </c>
      <c r="CA291" s="38">
        <v>0</v>
      </c>
      <c r="CB291" s="38">
        <v>773.04874893035753</v>
      </c>
      <c r="CC291" s="38">
        <v>589.65053311768042</v>
      </c>
      <c r="CD291" s="49">
        <v>1.3110286610663933</v>
      </c>
      <c r="CE291" s="38">
        <v>22.318173045115</v>
      </c>
      <c r="CF291" s="38">
        <v>7.8060936291001717</v>
      </c>
      <c r="CG291" s="38">
        <v>0</v>
      </c>
      <c r="CH291" s="38">
        <v>7.8060936291001717</v>
      </c>
      <c r="CI291" s="38">
        <v>0.3903000226894337</v>
      </c>
      <c r="CJ291" s="38">
        <v>0</v>
      </c>
      <c r="CK291" s="38">
        <v>0.3903000226894337</v>
      </c>
      <c r="CL291" s="38"/>
      <c r="CM291" s="38">
        <v>0</v>
      </c>
      <c r="CN291" s="38"/>
      <c r="CO291" s="38">
        <v>0</v>
      </c>
      <c r="CP291" s="38">
        <v>0</v>
      </c>
      <c r="CQ291" s="38">
        <v>0</v>
      </c>
      <c r="CR291" s="38">
        <v>0</v>
      </c>
      <c r="CS291" s="38">
        <v>0</v>
      </c>
      <c r="CT291" s="38">
        <v>0</v>
      </c>
      <c r="CU291" s="38">
        <v>0</v>
      </c>
      <c r="CV291" s="38">
        <v>9999</v>
      </c>
      <c r="CW291" s="49">
        <v>9999</v>
      </c>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row>
    <row r="292" spans="1:131">
      <c r="A292" s="27" t="s">
        <v>844</v>
      </c>
      <c r="B292" s="27"/>
      <c r="C292" s="38">
        <v>45</v>
      </c>
      <c r="D292" s="38">
        <v>1346.3192590438045</v>
      </c>
      <c r="E292" s="38">
        <v>0</v>
      </c>
      <c r="F292" s="38">
        <v>1388.7391906273035</v>
      </c>
      <c r="G292" s="38">
        <v>0</v>
      </c>
      <c r="H292" s="38">
        <v>0</v>
      </c>
      <c r="I292" s="38"/>
      <c r="J292" s="38"/>
      <c r="K292" s="38"/>
      <c r="L292" s="38">
        <v>1451.4464353474798</v>
      </c>
      <c r="M292" s="38">
        <v>0.72399088979316295</v>
      </c>
      <c r="N292" s="38">
        <v>0.7187654482197009</v>
      </c>
      <c r="O292" s="38">
        <v>0</v>
      </c>
      <c r="P292" s="38">
        <v>0</v>
      </c>
      <c r="Q292" s="38">
        <v>0</v>
      </c>
      <c r="R292" s="38">
        <v>181.64114957616175</v>
      </c>
      <c r="S292" s="38">
        <v>419.74506920761576</v>
      </c>
      <c r="T292" s="38">
        <v>0</v>
      </c>
      <c r="U292" s="38">
        <v>324.56040636889878</v>
      </c>
      <c r="V292" s="38">
        <v>83.324351437638214</v>
      </c>
      <c r="W292" s="38">
        <v>194.4234866878225</v>
      </c>
      <c r="X292" s="38">
        <v>0</v>
      </c>
      <c r="Y292" s="38">
        <v>0</v>
      </c>
      <c r="Z292" s="38">
        <v>0</v>
      </c>
      <c r="AA292" s="38">
        <v>0</v>
      </c>
      <c r="AB292" s="38">
        <v>0</v>
      </c>
      <c r="AC292" s="38">
        <v>0</v>
      </c>
      <c r="AD292" s="38">
        <v>0</v>
      </c>
      <c r="AE292" s="38">
        <v>0</v>
      </c>
      <c r="AF292" s="38">
        <v>0</v>
      </c>
      <c r="AG292" s="38">
        <v>0</v>
      </c>
      <c r="AH292" s="38">
        <v>264.96550101379995</v>
      </c>
      <c r="AI292" s="38">
        <v>614.1685558954382</v>
      </c>
      <c r="AJ292" s="38">
        <v>0</v>
      </c>
      <c r="AK292" s="38">
        <v>324.56040636889878</v>
      </c>
      <c r="AL292" s="38">
        <v>1203.6944632781369</v>
      </c>
      <c r="AM292" s="38">
        <v>764.3607003477789</v>
      </c>
      <c r="AN292" s="38">
        <v>255.82108403988815</v>
      </c>
      <c r="AO292" s="38">
        <v>0</v>
      </c>
      <c r="AP292" s="38">
        <v>0</v>
      </c>
      <c r="AQ292" s="38">
        <v>1020.181784387667</v>
      </c>
      <c r="AR292" s="38">
        <v>264.96550101379995</v>
      </c>
      <c r="AS292" s="49">
        <v>3.8502438260237275</v>
      </c>
      <c r="AT292" s="38">
        <v>764.3607003477789</v>
      </c>
      <c r="AU292" s="38">
        <v>302.81596721057383</v>
      </c>
      <c r="AV292" s="38">
        <v>0</v>
      </c>
      <c r="AW292" s="38">
        <v>0</v>
      </c>
      <c r="AX292" s="38">
        <v>1067.1766675583526</v>
      </c>
      <c r="AY292" s="38">
        <v>614.1685558954382</v>
      </c>
      <c r="AZ292" s="49">
        <v>1.7375957419416288</v>
      </c>
      <c r="BA292" s="38">
        <v>764.3607003477789</v>
      </c>
      <c r="BB292" s="38">
        <v>558.63705125046204</v>
      </c>
      <c r="BC292" s="38">
        <v>0</v>
      </c>
      <c r="BD292" s="38">
        <v>0</v>
      </c>
      <c r="BE292" s="38">
        <v>1322.9977515982407</v>
      </c>
      <c r="BF292" s="38">
        <v>879.13405690923821</v>
      </c>
      <c r="BG292" s="38">
        <v>16.247744372193427</v>
      </c>
      <c r="BH292" s="49">
        <v>1.5048873845810151</v>
      </c>
      <c r="BI292" s="38">
        <v>13.432548984578919</v>
      </c>
      <c r="BJ292" s="38">
        <v>31.135559838123601</v>
      </c>
      <c r="BK292" s="38">
        <v>0</v>
      </c>
      <c r="BL292" s="38">
        <v>16.453740356100216</v>
      </c>
      <c r="BM292" s="38">
        <v>61.021849178802732</v>
      </c>
      <c r="BN292" s="38">
        <v>764.3607003477789</v>
      </c>
      <c r="BO292" s="38">
        <v>0</v>
      </c>
      <c r="BP292" s="38">
        <v>558.63705125046204</v>
      </c>
      <c r="BQ292" s="38">
        <v>0</v>
      </c>
      <c r="BR292" s="38">
        <v>0</v>
      </c>
      <c r="BS292" s="38">
        <v>0</v>
      </c>
      <c r="BT292" s="38">
        <v>0</v>
      </c>
      <c r="BU292" s="38">
        <v>0</v>
      </c>
      <c r="BV292" s="38">
        <v>155.33565318728952</v>
      </c>
      <c r="BW292" s="38">
        <v>0</v>
      </c>
      <c r="BX292" s="38">
        <v>925.94662515267623</v>
      </c>
      <c r="BY292" s="38">
        <v>277.7478381254607</v>
      </c>
      <c r="BZ292" s="38">
        <v>0</v>
      </c>
      <c r="CA292" s="38">
        <v>0</v>
      </c>
      <c r="CB292" s="38">
        <v>1478.3334047855305</v>
      </c>
      <c r="CC292" s="38">
        <v>1203.6944632781369</v>
      </c>
      <c r="CD292" s="49">
        <v>1.2281633337079934</v>
      </c>
      <c r="CE292" s="38">
        <v>24.826671733747755</v>
      </c>
      <c r="CF292" s="38">
        <v>13.788866739803893</v>
      </c>
      <c r="CG292" s="38">
        <v>0</v>
      </c>
      <c r="CH292" s="38">
        <v>13.788866739803893</v>
      </c>
      <c r="CI292" s="38">
        <v>0.68943705679005285</v>
      </c>
      <c r="CJ292" s="38">
        <v>0</v>
      </c>
      <c r="CK292" s="38">
        <v>0.68943705679005285</v>
      </c>
      <c r="CL292" s="38"/>
      <c r="CM292" s="38">
        <v>0</v>
      </c>
      <c r="CN292" s="38"/>
      <c r="CO292" s="38">
        <v>0</v>
      </c>
      <c r="CP292" s="38">
        <v>0</v>
      </c>
      <c r="CQ292" s="38">
        <v>0</v>
      </c>
      <c r="CR292" s="38">
        <v>0</v>
      </c>
      <c r="CS292" s="38">
        <v>0</v>
      </c>
      <c r="CT292" s="38">
        <v>0</v>
      </c>
      <c r="CU292" s="38">
        <v>0</v>
      </c>
      <c r="CV292" s="38">
        <v>9999</v>
      </c>
      <c r="CW292" s="49">
        <v>9999</v>
      </c>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row>
    <row r="293" spans="1:131">
      <c r="A293" s="27" t="s">
        <v>843</v>
      </c>
      <c r="B293" s="27"/>
      <c r="C293" s="38">
        <v>45</v>
      </c>
      <c r="D293" s="38">
        <v>721.97840043467841</v>
      </c>
      <c r="E293" s="38">
        <v>0</v>
      </c>
      <c r="F293" s="38">
        <v>789.31624793152037</v>
      </c>
      <c r="G293" s="38">
        <v>0</v>
      </c>
      <c r="H293" s="38">
        <v>0</v>
      </c>
      <c r="I293" s="38"/>
      <c r="J293" s="38"/>
      <c r="K293" s="38"/>
      <c r="L293" s="38">
        <v>778.80226042812978</v>
      </c>
      <c r="M293" s="38">
        <v>0.4278636079896535</v>
      </c>
      <c r="N293" s="38">
        <v>0.42477548033987145</v>
      </c>
      <c r="O293" s="38">
        <v>0</v>
      </c>
      <c r="P293" s="38">
        <v>0</v>
      </c>
      <c r="Q293" s="38">
        <v>0</v>
      </c>
      <c r="R293" s="38">
        <v>103.23919107421585</v>
      </c>
      <c r="S293" s="38">
        <v>238.57006798019131</v>
      </c>
      <c r="T293" s="38">
        <v>0</v>
      </c>
      <c r="U293" s="38">
        <v>184.47006026128639</v>
      </c>
      <c r="V293" s="38">
        <v>47.358974875891221</v>
      </c>
      <c r="W293" s="38">
        <v>110.50427471041284</v>
      </c>
      <c r="X293" s="38">
        <v>0</v>
      </c>
      <c r="Y293" s="38">
        <v>0</v>
      </c>
      <c r="Z293" s="38">
        <v>0</v>
      </c>
      <c r="AA293" s="38">
        <v>0</v>
      </c>
      <c r="AB293" s="38">
        <v>0</v>
      </c>
      <c r="AC293" s="38">
        <v>0</v>
      </c>
      <c r="AD293" s="38">
        <v>0</v>
      </c>
      <c r="AE293" s="38">
        <v>0</v>
      </c>
      <c r="AF293" s="38">
        <v>0</v>
      </c>
      <c r="AG293" s="38">
        <v>0</v>
      </c>
      <c r="AH293" s="38">
        <v>150.59816595010707</v>
      </c>
      <c r="AI293" s="38">
        <v>349.07434269060417</v>
      </c>
      <c r="AJ293" s="38">
        <v>0</v>
      </c>
      <c r="AK293" s="38">
        <v>184.47006026128639</v>
      </c>
      <c r="AL293" s="38">
        <v>684.14256890199761</v>
      </c>
      <c r="AM293" s="38">
        <v>410.30764401431998</v>
      </c>
      <c r="AN293" s="38">
        <v>151.18495765658255</v>
      </c>
      <c r="AO293" s="38">
        <v>0</v>
      </c>
      <c r="AP293" s="38">
        <v>0</v>
      </c>
      <c r="AQ293" s="38">
        <v>561.49260167090256</v>
      </c>
      <c r="AR293" s="38">
        <v>150.59816595010707</v>
      </c>
      <c r="AS293" s="49">
        <v>3.7284159347393655</v>
      </c>
      <c r="AT293" s="38">
        <v>410.30764401431998</v>
      </c>
      <c r="AU293" s="38">
        <v>178.957959435937</v>
      </c>
      <c r="AV293" s="38">
        <v>0</v>
      </c>
      <c r="AW293" s="38">
        <v>0</v>
      </c>
      <c r="AX293" s="38">
        <v>589.265603450257</v>
      </c>
      <c r="AY293" s="38">
        <v>349.07434269060417</v>
      </c>
      <c r="AZ293" s="49">
        <v>1.6880805358202511</v>
      </c>
      <c r="BA293" s="38">
        <v>410.30764401431998</v>
      </c>
      <c r="BB293" s="38">
        <v>330.14291709251955</v>
      </c>
      <c r="BC293" s="38">
        <v>0</v>
      </c>
      <c r="BD293" s="38">
        <v>0</v>
      </c>
      <c r="BE293" s="38">
        <v>740.45056110683959</v>
      </c>
      <c r="BF293" s="38">
        <v>499.67250864071121</v>
      </c>
      <c r="BG293" s="38">
        <v>16.017267427749879</v>
      </c>
      <c r="BH293" s="49">
        <v>1.4818717225831199</v>
      </c>
      <c r="BI293" s="38">
        <v>14.228613872792945</v>
      </c>
      <c r="BJ293" s="38">
        <v>32.980773727942456</v>
      </c>
      <c r="BK293" s="38">
        <v>0</v>
      </c>
      <c r="BL293" s="38">
        <v>17.428852748567117</v>
      </c>
      <c r="BM293" s="38">
        <v>64.638240349302521</v>
      </c>
      <c r="BN293" s="38">
        <v>410.30764401431998</v>
      </c>
      <c r="BO293" s="38">
        <v>0</v>
      </c>
      <c r="BP293" s="38">
        <v>330.14291709251955</v>
      </c>
      <c r="BQ293" s="38">
        <v>0</v>
      </c>
      <c r="BR293" s="38">
        <v>0</v>
      </c>
      <c r="BS293" s="38">
        <v>0</v>
      </c>
      <c r="BT293" s="38">
        <v>0</v>
      </c>
      <c r="BU293" s="38">
        <v>0</v>
      </c>
      <c r="BV293" s="38">
        <v>44.339550954382361</v>
      </c>
      <c r="BW293" s="38">
        <v>0</v>
      </c>
      <c r="BX293" s="38">
        <v>526.27931931569356</v>
      </c>
      <c r="BY293" s="38">
        <v>157.86324958630408</v>
      </c>
      <c r="BZ293" s="38">
        <v>0</v>
      </c>
      <c r="CA293" s="38">
        <v>0</v>
      </c>
      <c r="CB293" s="38">
        <v>784.79011206122198</v>
      </c>
      <c r="CC293" s="38">
        <v>684.14256890199761</v>
      </c>
      <c r="CD293" s="49">
        <v>1.1471148671844187</v>
      </c>
      <c r="CE293" s="38">
        <v>29.256890208988256</v>
      </c>
      <c r="CF293" s="38">
        <v>7.3986464994862677</v>
      </c>
      <c r="CG293" s="38">
        <v>0</v>
      </c>
      <c r="CH293" s="38">
        <v>7.3986464994862677</v>
      </c>
      <c r="CI293" s="38">
        <v>0.36993107370336165</v>
      </c>
      <c r="CJ293" s="38">
        <v>0</v>
      </c>
      <c r="CK293" s="38">
        <v>0.36993107370336165</v>
      </c>
      <c r="CL293" s="38"/>
      <c r="CM293" s="38">
        <v>0</v>
      </c>
      <c r="CN293" s="38"/>
      <c r="CO293" s="38">
        <v>0</v>
      </c>
      <c r="CP293" s="38">
        <v>0</v>
      </c>
      <c r="CQ293" s="38">
        <v>0</v>
      </c>
      <c r="CR293" s="38">
        <v>0</v>
      </c>
      <c r="CS293" s="38">
        <v>0</v>
      </c>
      <c r="CT293" s="38">
        <v>0</v>
      </c>
      <c r="CU293" s="38">
        <v>0</v>
      </c>
      <c r="CV293" s="38">
        <v>9999</v>
      </c>
      <c r="CW293" s="49">
        <v>9999</v>
      </c>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row>
    <row r="294" spans="1:131">
      <c r="A294" s="27" t="s">
        <v>846</v>
      </c>
      <c r="B294" s="27"/>
      <c r="C294" s="38">
        <v>45</v>
      </c>
      <c r="D294" s="38">
        <v>1468.1132659058546</v>
      </c>
      <c r="E294" s="38">
        <v>0</v>
      </c>
      <c r="F294" s="38">
        <v>1635.52300175959</v>
      </c>
      <c r="G294" s="38">
        <v>0</v>
      </c>
      <c r="H294" s="38">
        <v>0</v>
      </c>
      <c r="I294" s="38"/>
      <c r="J294" s="38"/>
      <c r="K294" s="38"/>
      <c r="L294" s="38">
        <v>1582.757261387319</v>
      </c>
      <c r="M294" s="38">
        <v>0.79006507718862173</v>
      </c>
      <c r="N294" s="38">
        <v>0.78436274176108434</v>
      </c>
      <c r="O294" s="38">
        <v>0</v>
      </c>
      <c r="P294" s="38">
        <v>0</v>
      </c>
      <c r="Q294" s="38">
        <v>0</v>
      </c>
      <c r="R294" s="38">
        <v>213.91941712516538</v>
      </c>
      <c r="S294" s="38">
        <v>494.335236016583</v>
      </c>
      <c r="T294" s="38">
        <v>0</v>
      </c>
      <c r="U294" s="38">
        <v>382.23592569386329</v>
      </c>
      <c r="V294" s="38">
        <v>98.131380105575403</v>
      </c>
      <c r="W294" s="38">
        <v>228.97322024634261</v>
      </c>
      <c r="X294" s="38">
        <v>0</v>
      </c>
      <c r="Y294" s="38">
        <v>0</v>
      </c>
      <c r="Z294" s="38">
        <v>0</v>
      </c>
      <c r="AA294" s="38">
        <v>0</v>
      </c>
      <c r="AB294" s="38">
        <v>0</v>
      </c>
      <c r="AC294" s="38">
        <v>0</v>
      </c>
      <c r="AD294" s="38">
        <v>0</v>
      </c>
      <c r="AE294" s="38">
        <v>0</v>
      </c>
      <c r="AF294" s="38">
        <v>0</v>
      </c>
      <c r="AG294" s="38">
        <v>0</v>
      </c>
      <c r="AH294" s="38">
        <v>312.05079723074078</v>
      </c>
      <c r="AI294" s="38">
        <v>723.30845626292557</v>
      </c>
      <c r="AJ294" s="38">
        <v>0</v>
      </c>
      <c r="AK294" s="38">
        <v>382.23592569386329</v>
      </c>
      <c r="AL294" s="38">
        <v>1417.5951791875295</v>
      </c>
      <c r="AM294" s="38">
        <v>833.51415948692772</v>
      </c>
      <c r="AN294" s="38">
        <v>279.16829805164173</v>
      </c>
      <c r="AO294" s="38">
        <v>0</v>
      </c>
      <c r="AP294" s="38">
        <v>0</v>
      </c>
      <c r="AQ294" s="38">
        <v>1112.6824575385695</v>
      </c>
      <c r="AR294" s="38">
        <v>312.05079723074078</v>
      </c>
      <c r="AS294" s="49">
        <v>3.5657093890255784</v>
      </c>
      <c r="AT294" s="38">
        <v>833.51415948692772</v>
      </c>
      <c r="AU294" s="38">
        <v>330.4521146343692</v>
      </c>
      <c r="AV294" s="38">
        <v>0</v>
      </c>
      <c r="AW294" s="38">
        <v>0</v>
      </c>
      <c r="AX294" s="38">
        <v>1163.9662741212969</v>
      </c>
      <c r="AY294" s="38">
        <v>723.30845626292557</v>
      </c>
      <c r="AZ294" s="49">
        <v>1.6092253091234294</v>
      </c>
      <c r="BA294" s="38">
        <v>833.51415948692772</v>
      </c>
      <c r="BB294" s="38">
        <v>609.62041268601092</v>
      </c>
      <c r="BC294" s="38">
        <v>0</v>
      </c>
      <c r="BD294" s="38">
        <v>0</v>
      </c>
      <c r="BE294" s="38">
        <v>1443.1345721729385</v>
      </c>
      <c r="BF294" s="38">
        <v>1035.3592534936663</v>
      </c>
      <c r="BG294" s="38">
        <v>19.792427969687754</v>
      </c>
      <c r="BH294" s="49">
        <v>1.3938491082233484</v>
      </c>
      <c r="BI294" s="38">
        <v>14.50711641755853</v>
      </c>
      <c r="BJ294" s="38">
        <v>33.626320054077091</v>
      </c>
      <c r="BK294" s="38">
        <v>0</v>
      </c>
      <c r="BL294" s="38">
        <v>17.769994892574697</v>
      </c>
      <c r="BM294" s="38">
        <v>65.90343136421032</v>
      </c>
      <c r="BN294" s="38">
        <v>833.51415948692772</v>
      </c>
      <c r="BO294" s="38">
        <v>0</v>
      </c>
      <c r="BP294" s="38">
        <v>609.62041268601092</v>
      </c>
      <c r="BQ294" s="38">
        <v>0</v>
      </c>
      <c r="BR294" s="38">
        <v>0</v>
      </c>
      <c r="BS294" s="38">
        <v>0</v>
      </c>
      <c r="BT294" s="38">
        <v>0</v>
      </c>
      <c r="BU294" s="38">
        <v>0</v>
      </c>
      <c r="BV294" s="38">
        <v>173.1357833879149</v>
      </c>
      <c r="BW294" s="38">
        <v>0</v>
      </c>
      <c r="BX294" s="38">
        <v>1090.4905788356116</v>
      </c>
      <c r="BY294" s="38">
        <v>327.10460035191801</v>
      </c>
      <c r="BZ294" s="38">
        <v>0</v>
      </c>
      <c r="CA294" s="38">
        <v>0</v>
      </c>
      <c r="CB294" s="38">
        <v>1616.2703555608534</v>
      </c>
      <c r="CC294" s="38">
        <v>1417.5951791875295</v>
      </c>
      <c r="CD294" s="49">
        <v>1.1401494441362245</v>
      </c>
      <c r="CE294" s="38">
        <v>29.513409727402735</v>
      </c>
      <c r="CF294" s="38">
        <v>15.03633033144208</v>
      </c>
      <c r="CG294" s="38">
        <v>0</v>
      </c>
      <c r="CH294" s="38">
        <v>15.03633033144208</v>
      </c>
      <c r="CI294" s="38">
        <v>0.75180969915897655</v>
      </c>
      <c r="CJ294" s="38">
        <v>0</v>
      </c>
      <c r="CK294" s="38">
        <v>0.75180969915897655</v>
      </c>
      <c r="CL294" s="38"/>
      <c r="CM294" s="38">
        <v>0</v>
      </c>
      <c r="CN294" s="38"/>
      <c r="CO294" s="38">
        <v>0</v>
      </c>
      <c r="CP294" s="38">
        <v>0</v>
      </c>
      <c r="CQ294" s="38">
        <v>0</v>
      </c>
      <c r="CR294" s="38">
        <v>0</v>
      </c>
      <c r="CS294" s="38">
        <v>0</v>
      </c>
      <c r="CT294" s="38">
        <v>0</v>
      </c>
      <c r="CU294" s="38">
        <v>0</v>
      </c>
      <c r="CV294" s="38">
        <v>9999</v>
      </c>
      <c r="CW294" s="49">
        <v>9999</v>
      </c>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row>
    <row r="295" spans="1:131">
      <c r="A295" s="27" t="s">
        <v>842</v>
      </c>
      <c r="B295" s="27"/>
      <c r="C295" s="38">
        <v>45</v>
      </c>
      <c r="D295" s="38">
        <v>692.53349036154441</v>
      </c>
      <c r="E295" s="38">
        <v>0</v>
      </c>
      <c r="F295" s="38">
        <v>765.78004410553206</v>
      </c>
      <c r="G295" s="38">
        <v>0</v>
      </c>
      <c r="H295" s="38">
        <v>0</v>
      </c>
      <c r="I295" s="38"/>
      <c r="J295" s="38"/>
      <c r="K295" s="38"/>
      <c r="L295" s="38">
        <v>747.03411883358774</v>
      </c>
      <c r="M295" s="38">
        <v>0.40990583729839319</v>
      </c>
      <c r="N295" s="38">
        <v>0.4069473207844137</v>
      </c>
      <c r="O295" s="38">
        <v>0</v>
      </c>
      <c r="P295" s="38">
        <v>0</v>
      </c>
      <c r="Q295" s="38">
        <v>0</v>
      </c>
      <c r="R295" s="38">
        <v>100.16075622592712</v>
      </c>
      <c r="S295" s="38">
        <v>231.45627327309336</v>
      </c>
      <c r="T295" s="38">
        <v>0</v>
      </c>
      <c r="U295" s="38">
        <v>178.96944507760065</v>
      </c>
      <c r="V295" s="38">
        <v>45.946802646331925</v>
      </c>
      <c r="W295" s="38">
        <v>107.20920617477449</v>
      </c>
      <c r="X295" s="38">
        <v>0</v>
      </c>
      <c r="Y295" s="38">
        <v>0</v>
      </c>
      <c r="Z295" s="38">
        <v>0</v>
      </c>
      <c r="AA295" s="38">
        <v>0</v>
      </c>
      <c r="AB295" s="38">
        <v>0</v>
      </c>
      <c r="AC295" s="38">
        <v>0</v>
      </c>
      <c r="AD295" s="38">
        <v>0</v>
      </c>
      <c r="AE295" s="38">
        <v>0</v>
      </c>
      <c r="AF295" s="38">
        <v>0</v>
      </c>
      <c r="AG295" s="38">
        <v>0</v>
      </c>
      <c r="AH295" s="38">
        <v>146.10755887225903</v>
      </c>
      <c r="AI295" s="38">
        <v>338.66547944786782</v>
      </c>
      <c r="AJ295" s="38">
        <v>0</v>
      </c>
      <c r="AK295" s="38">
        <v>178.96944507760065</v>
      </c>
      <c r="AL295" s="38">
        <v>663.74248339772748</v>
      </c>
      <c r="AM295" s="38">
        <v>393.56853507812326</v>
      </c>
      <c r="AN295" s="38">
        <v>144.83960658940214</v>
      </c>
      <c r="AO295" s="38">
        <v>0</v>
      </c>
      <c r="AP295" s="38">
        <v>0</v>
      </c>
      <c r="AQ295" s="38">
        <v>538.40814166752534</v>
      </c>
      <c r="AR295" s="38">
        <v>146.10755887225903</v>
      </c>
      <c r="AS295" s="49">
        <v>3.6850122322435923</v>
      </c>
      <c r="AT295" s="38">
        <v>393.56853507812326</v>
      </c>
      <c r="AU295" s="38">
        <v>171.44695373478345</v>
      </c>
      <c r="AV295" s="38">
        <v>0</v>
      </c>
      <c r="AW295" s="38">
        <v>0</v>
      </c>
      <c r="AX295" s="38">
        <v>565.01548881290671</v>
      </c>
      <c r="AY295" s="38">
        <v>338.66547944786782</v>
      </c>
      <c r="AZ295" s="49">
        <v>1.6683586698415829</v>
      </c>
      <c r="BA295" s="38">
        <v>393.56853507812326</v>
      </c>
      <c r="BB295" s="38">
        <v>316.28656032418559</v>
      </c>
      <c r="BC295" s="38">
        <v>0</v>
      </c>
      <c r="BD295" s="38">
        <v>0</v>
      </c>
      <c r="BE295" s="38">
        <v>709.85509540230885</v>
      </c>
      <c r="BF295" s="38">
        <v>484.77303832012689</v>
      </c>
      <c r="BG295" s="38">
        <v>16.595667647690256</v>
      </c>
      <c r="BH295" s="49">
        <v>1.4643039923634238</v>
      </c>
      <c r="BI295" s="38">
        <v>14.391377377582545</v>
      </c>
      <c r="BJ295" s="38">
        <v>33.358046340062259</v>
      </c>
      <c r="BK295" s="38">
        <v>0</v>
      </c>
      <c r="BL295" s="38">
        <v>17.628224323562414</v>
      </c>
      <c r="BM295" s="38">
        <v>65.377648041207209</v>
      </c>
      <c r="BN295" s="38">
        <v>393.56853507812326</v>
      </c>
      <c r="BO295" s="38">
        <v>0</v>
      </c>
      <c r="BP295" s="38">
        <v>316.28656032418559</v>
      </c>
      <c r="BQ295" s="38">
        <v>0</v>
      </c>
      <c r="BR295" s="38">
        <v>0</v>
      </c>
      <c r="BS295" s="38">
        <v>0</v>
      </c>
      <c r="BT295" s="38">
        <v>0</v>
      </c>
      <c r="BU295" s="38">
        <v>0</v>
      </c>
      <c r="BV295" s="38">
        <v>40.256936880323416</v>
      </c>
      <c r="BW295" s="38">
        <v>0</v>
      </c>
      <c r="BX295" s="38">
        <v>510.58647457662113</v>
      </c>
      <c r="BY295" s="38">
        <v>153.15600882110641</v>
      </c>
      <c r="BZ295" s="38">
        <v>0</v>
      </c>
      <c r="CA295" s="38">
        <v>0</v>
      </c>
      <c r="CB295" s="38">
        <v>750.11203228263219</v>
      </c>
      <c r="CC295" s="38">
        <v>663.74248339772748</v>
      </c>
      <c r="CD295" s="49">
        <v>1.1301250877339886</v>
      </c>
      <c r="CE295" s="38">
        <v>30.258643525641588</v>
      </c>
      <c r="CF295" s="38">
        <v>7.0968486764610184</v>
      </c>
      <c r="CG295" s="38">
        <v>0</v>
      </c>
      <c r="CH295" s="38">
        <v>7.0968486764610184</v>
      </c>
      <c r="CI295" s="38">
        <v>0.35484120644595418</v>
      </c>
      <c r="CJ295" s="38">
        <v>0</v>
      </c>
      <c r="CK295" s="38">
        <v>0.35484120644595418</v>
      </c>
      <c r="CL295" s="38"/>
      <c r="CM295" s="38">
        <v>0</v>
      </c>
      <c r="CN295" s="38"/>
      <c r="CO295" s="38">
        <v>0</v>
      </c>
      <c r="CP295" s="38">
        <v>0</v>
      </c>
      <c r="CQ295" s="38">
        <v>0</v>
      </c>
      <c r="CR295" s="38">
        <v>0</v>
      </c>
      <c r="CS295" s="38">
        <v>0</v>
      </c>
      <c r="CT295" s="38">
        <v>0</v>
      </c>
      <c r="CU295" s="38">
        <v>0</v>
      </c>
      <c r="CV295" s="38">
        <v>9999</v>
      </c>
      <c r="CW295" s="49">
        <v>9999</v>
      </c>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row>
    <row r="296" spans="1:131">
      <c r="A296" s="27" t="s">
        <v>841</v>
      </c>
      <c r="B296" s="27"/>
      <c r="C296" s="38">
        <v>45</v>
      </c>
      <c r="D296" s="38">
        <v>645.39780896816251</v>
      </c>
      <c r="E296" s="38">
        <v>0</v>
      </c>
      <c r="F296" s="38">
        <v>737.53659951434634</v>
      </c>
      <c r="G296" s="38">
        <v>0</v>
      </c>
      <c r="H296" s="38">
        <v>0</v>
      </c>
      <c r="I296" s="38"/>
      <c r="J296" s="38"/>
      <c r="K296" s="38"/>
      <c r="L296" s="38">
        <v>696.18068172704102</v>
      </c>
      <c r="M296" s="38">
        <v>0.38127328102225538</v>
      </c>
      <c r="N296" s="38">
        <v>0.37852142145939105</v>
      </c>
      <c r="O296" s="38">
        <v>0</v>
      </c>
      <c r="P296" s="38">
        <v>0</v>
      </c>
      <c r="Q296" s="38">
        <v>0</v>
      </c>
      <c r="R296" s="38">
        <v>96.466634407980678</v>
      </c>
      <c r="S296" s="38">
        <v>222.91971962457586</v>
      </c>
      <c r="T296" s="38">
        <v>0</v>
      </c>
      <c r="U296" s="38">
        <v>172.36870685717778</v>
      </c>
      <c r="V296" s="38">
        <v>44.252195970860782</v>
      </c>
      <c r="W296" s="38">
        <v>103.25512393200849</v>
      </c>
      <c r="X296" s="38">
        <v>0</v>
      </c>
      <c r="Y296" s="38">
        <v>0</v>
      </c>
      <c r="Z296" s="38">
        <v>0</v>
      </c>
      <c r="AA296" s="38">
        <v>0</v>
      </c>
      <c r="AB296" s="38">
        <v>0</v>
      </c>
      <c r="AC296" s="38">
        <v>0</v>
      </c>
      <c r="AD296" s="38">
        <v>0</v>
      </c>
      <c r="AE296" s="38">
        <v>0</v>
      </c>
      <c r="AF296" s="38">
        <v>0</v>
      </c>
      <c r="AG296" s="38">
        <v>0</v>
      </c>
      <c r="AH296" s="38">
        <v>140.71883037884146</v>
      </c>
      <c r="AI296" s="38">
        <v>326.17484355658434</v>
      </c>
      <c r="AJ296" s="38">
        <v>0</v>
      </c>
      <c r="AK296" s="38">
        <v>172.36870685717778</v>
      </c>
      <c r="AL296" s="38">
        <v>639.26238079260361</v>
      </c>
      <c r="AM296" s="38">
        <v>366.77360294938944</v>
      </c>
      <c r="AN296" s="38">
        <v>134.72233620843463</v>
      </c>
      <c r="AO296" s="38">
        <v>0</v>
      </c>
      <c r="AP296" s="38">
        <v>0</v>
      </c>
      <c r="AQ296" s="38">
        <v>501.49593915782407</v>
      </c>
      <c r="AR296" s="38">
        <v>140.71883037884146</v>
      </c>
      <c r="AS296" s="49">
        <v>3.5638154311523413</v>
      </c>
      <c r="AT296" s="38">
        <v>366.77360294938944</v>
      </c>
      <c r="AU296" s="38">
        <v>159.47111903201952</v>
      </c>
      <c r="AV296" s="38">
        <v>0</v>
      </c>
      <c r="AW296" s="38">
        <v>0</v>
      </c>
      <c r="AX296" s="38">
        <v>526.24472198140893</v>
      </c>
      <c r="AY296" s="38">
        <v>326.17484355658434</v>
      </c>
      <c r="AZ296" s="49">
        <v>1.6133823082224206</v>
      </c>
      <c r="BA296" s="38">
        <v>366.77360294938944</v>
      </c>
      <c r="BB296" s="38">
        <v>294.19345524045411</v>
      </c>
      <c r="BC296" s="38">
        <v>0</v>
      </c>
      <c r="BD296" s="38">
        <v>0</v>
      </c>
      <c r="BE296" s="38">
        <v>660.96705818984356</v>
      </c>
      <c r="BF296" s="38">
        <v>466.8936739354258</v>
      </c>
      <c r="BG296" s="38">
        <v>18.253284969339905</v>
      </c>
      <c r="BH296" s="49">
        <v>1.41566933777145</v>
      </c>
      <c r="BI296" s="38">
        <v>14.873061139510792</v>
      </c>
      <c r="BJ296" s="38">
        <v>34.474550259741768</v>
      </c>
      <c r="BK296" s="38">
        <v>0</v>
      </c>
      <c r="BL296" s="38">
        <v>18.218246333652655</v>
      </c>
      <c r="BM296" s="38">
        <v>67.565857732905215</v>
      </c>
      <c r="BN296" s="38">
        <v>366.77360294938944</v>
      </c>
      <c r="BO296" s="38">
        <v>0</v>
      </c>
      <c r="BP296" s="38">
        <v>294.19345524045411</v>
      </c>
      <c r="BQ296" s="38">
        <v>0</v>
      </c>
      <c r="BR296" s="38">
        <v>0</v>
      </c>
      <c r="BS296" s="38">
        <v>0</v>
      </c>
      <c r="BT296" s="38">
        <v>0</v>
      </c>
      <c r="BU296" s="38">
        <v>0</v>
      </c>
      <c r="BV296" s="38">
        <v>34.059899039413885</v>
      </c>
      <c r="BW296" s="38">
        <v>0</v>
      </c>
      <c r="BX296" s="38">
        <v>491.7550608897343</v>
      </c>
      <c r="BY296" s="38">
        <v>147.50731990286928</v>
      </c>
      <c r="BZ296" s="38">
        <v>0</v>
      </c>
      <c r="CA296" s="38">
        <v>0</v>
      </c>
      <c r="CB296" s="38">
        <v>695.02695722925739</v>
      </c>
      <c r="CC296" s="38">
        <v>639.26238079260361</v>
      </c>
      <c r="CD296" s="49">
        <v>1.0872326889743031</v>
      </c>
      <c r="CE296" s="38">
        <v>32.871622467373534</v>
      </c>
      <c r="CF296" s="38">
        <v>6.6137401367092421</v>
      </c>
      <c r="CG296" s="38">
        <v>0</v>
      </c>
      <c r="CH296" s="38">
        <v>6.6137401367092421</v>
      </c>
      <c r="CI296" s="38">
        <v>0.33068582382034439</v>
      </c>
      <c r="CJ296" s="38">
        <v>0</v>
      </c>
      <c r="CK296" s="38">
        <v>0.33068582382034439</v>
      </c>
      <c r="CL296" s="38"/>
      <c r="CM296" s="38">
        <v>0</v>
      </c>
      <c r="CN296" s="38"/>
      <c r="CO296" s="38">
        <v>0</v>
      </c>
      <c r="CP296" s="38">
        <v>0</v>
      </c>
      <c r="CQ296" s="38">
        <v>0</v>
      </c>
      <c r="CR296" s="38">
        <v>0</v>
      </c>
      <c r="CS296" s="38">
        <v>0</v>
      </c>
      <c r="CT296" s="38">
        <v>0</v>
      </c>
      <c r="CU296" s="38">
        <v>0</v>
      </c>
      <c r="CV296" s="38">
        <v>9999</v>
      </c>
      <c r="CW296" s="49">
        <v>9999</v>
      </c>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row>
    <row r="297" spans="1:131">
      <c r="A297" s="27" t="s">
        <v>836</v>
      </c>
      <c r="B297" s="27"/>
      <c r="C297" s="38">
        <v>45</v>
      </c>
      <c r="D297" s="38">
        <v>419.75081414121007</v>
      </c>
      <c r="E297" s="38">
        <v>0</v>
      </c>
      <c r="F297" s="38">
        <v>504.9249428399313</v>
      </c>
      <c r="G297" s="38">
        <v>0</v>
      </c>
      <c r="H297" s="38">
        <v>0</v>
      </c>
      <c r="I297" s="38"/>
      <c r="J297" s="38"/>
      <c r="K297" s="38"/>
      <c r="L297" s="38">
        <v>452.46669970672536</v>
      </c>
      <c r="M297" s="38">
        <v>0.22039383296775392</v>
      </c>
      <c r="N297" s="38">
        <v>0.21880312911559169</v>
      </c>
      <c r="O297" s="38">
        <v>0</v>
      </c>
      <c r="P297" s="38">
        <v>0</v>
      </c>
      <c r="Q297" s="38">
        <v>0</v>
      </c>
      <c r="R297" s="38">
        <v>66.042024079189744</v>
      </c>
      <c r="S297" s="38">
        <v>152.61307271184856</v>
      </c>
      <c r="T297" s="38">
        <v>0</v>
      </c>
      <c r="U297" s="38">
        <v>118.00534307661898</v>
      </c>
      <c r="V297" s="38">
        <v>30.29549657039588</v>
      </c>
      <c r="W297" s="38">
        <v>70.68949199759038</v>
      </c>
      <c r="X297" s="38">
        <v>0</v>
      </c>
      <c r="Y297" s="38">
        <v>0</v>
      </c>
      <c r="Z297" s="38">
        <v>0</v>
      </c>
      <c r="AA297" s="38">
        <v>0</v>
      </c>
      <c r="AB297" s="38">
        <v>0</v>
      </c>
      <c r="AC297" s="38">
        <v>0</v>
      </c>
      <c r="AD297" s="38">
        <v>0</v>
      </c>
      <c r="AE297" s="38">
        <v>0</v>
      </c>
      <c r="AF297" s="38">
        <v>0</v>
      </c>
      <c r="AG297" s="38">
        <v>0</v>
      </c>
      <c r="AH297" s="38">
        <v>96.337520649585628</v>
      </c>
      <c r="AI297" s="38">
        <v>223.30256470943894</v>
      </c>
      <c r="AJ297" s="38">
        <v>0</v>
      </c>
      <c r="AK297" s="38">
        <v>118.00534307661898</v>
      </c>
      <c r="AL297" s="38">
        <v>437.64542843564357</v>
      </c>
      <c r="AM297" s="38">
        <v>238.25448926890391</v>
      </c>
      <c r="AN297" s="38">
        <v>77.875826975701912</v>
      </c>
      <c r="AO297" s="38">
        <v>0</v>
      </c>
      <c r="AP297" s="38">
        <v>0</v>
      </c>
      <c r="AQ297" s="38">
        <v>316.13031624460581</v>
      </c>
      <c r="AR297" s="38">
        <v>96.337520649585628</v>
      </c>
      <c r="AS297" s="49">
        <v>3.2814869441625554</v>
      </c>
      <c r="AT297" s="38">
        <v>238.25448926890391</v>
      </c>
      <c r="AU297" s="38">
        <v>92.181783829410747</v>
      </c>
      <c r="AV297" s="38">
        <v>0</v>
      </c>
      <c r="AW297" s="38">
        <v>0</v>
      </c>
      <c r="AX297" s="38">
        <v>330.43627309831464</v>
      </c>
      <c r="AY297" s="38">
        <v>223.30256470943894</v>
      </c>
      <c r="AZ297" s="49">
        <v>1.4797692696824956</v>
      </c>
      <c r="BA297" s="38">
        <v>238.25448926890391</v>
      </c>
      <c r="BB297" s="38">
        <v>170.05761080511266</v>
      </c>
      <c r="BC297" s="38">
        <v>0</v>
      </c>
      <c r="BD297" s="38">
        <v>0</v>
      </c>
      <c r="BE297" s="38">
        <v>408.31210007401654</v>
      </c>
      <c r="BF297" s="38">
        <v>319.64008535902457</v>
      </c>
      <c r="BG297" s="38">
        <v>24.325636125925989</v>
      </c>
      <c r="BH297" s="49">
        <v>1.2774120605536512</v>
      </c>
      <c r="BI297" s="38">
        <v>15.666751600309139</v>
      </c>
      <c r="BJ297" s="38">
        <v>36.314260419258417</v>
      </c>
      <c r="BK297" s="38">
        <v>0</v>
      </c>
      <c r="BL297" s="38">
        <v>19.190450252661776</v>
      </c>
      <c r="BM297" s="38">
        <v>71.171462272229334</v>
      </c>
      <c r="BN297" s="38">
        <v>238.25448926890391</v>
      </c>
      <c r="BO297" s="38">
        <v>0</v>
      </c>
      <c r="BP297" s="38">
        <v>170.05761080511266</v>
      </c>
      <c r="BQ297" s="38">
        <v>0</v>
      </c>
      <c r="BR297" s="38">
        <v>0</v>
      </c>
      <c r="BS297" s="38">
        <v>0</v>
      </c>
      <c r="BT297" s="38">
        <v>0</v>
      </c>
      <c r="BU297" s="38">
        <v>0</v>
      </c>
      <c r="BV297" s="38">
        <v>40.971970406611433</v>
      </c>
      <c r="BW297" s="38">
        <v>0</v>
      </c>
      <c r="BX297" s="38">
        <v>336.66043986765732</v>
      </c>
      <c r="BY297" s="38">
        <v>100.98498856798626</v>
      </c>
      <c r="BZ297" s="38">
        <v>0</v>
      </c>
      <c r="CA297" s="38">
        <v>0</v>
      </c>
      <c r="CB297" s="38">
        <v>449.28407048062797</v>
      </c>
      <c r="CC297" s="38">
        <v>437.64542843564357</v>
      </c>
      <c r="CD297" s="49">
        <v>1.0265937704104131</v>
      </c>
      <c r="CE297" s="38">
        <v>36.853078252497284</v>
      </c>
      <c r="CF297" s="38">
        <v>4.2984785024942171</v>
      </c>
      <c r="CG297" s="38">
        <v>0</v>
      </c>
      <c r="CH297" s="38">
        <v>4.2984785024942171</v>
      </c>
      <c r="CI297" s="38">
        <v>0.21492168236069456</v>
      </c>
      <c r="CJ297" s="38">
        <v>0</v>
      </c>
      <c r="CK297" s="38">
        <v>0.21492168236069456</v>
      </c>
      <c r="CL297" s="38"/>
      <c r="CM297" s="38">
        <v>0</v>
      </c>
      <c r="CN297" s="38"/>
      <c r="CO297" s="38">
        <v>0</v>
      </c>
      <c r="CP297" s="38">
        <v>0</v>
      </c>
      <c r="CQ297" s="38">
        <v>0</v>
      </c>
      <c r="CR297" s="38">
        <v>0</v>
      </c>
      <c r="CS297" s="38">
        <v>0</v>
      </c>
      <c r="CT297" s="38">
        <v>0</v>
      </c>
      <c r="CU297" s="38">
        <v>0</v>
      </c>
      <c r="CV297" s="38">
        <v>9999</v>
      </c>
      <c r="CW297" s="49">
        <v>9999</v>
      </c>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row>
    <row r="298" spans="1:131">
      <c r="A298" s="27" t="s">
        <v>837</v>
      </c>
      <c r="B298" s="27"/>
      <c r="C298" s="38">
        <v>45</v>
      </c>
      <c r="D298" s="38">
        <v>455.5221273474603</v>
      </c>
      <c r="E298" s="38">
        <v>0</v>
      </c>
      <c r="F298" s="38">
        <v>588.47688837074031</v>
      </c>
      <c r="G298" s="38">
        <v>0</v>
      </c>
      <c r="H298" s="38">
        <v>0</v>
      </c>
      <c r="I298" s="38"/>
      <c r="J298" s="38"/>
      <c r="K298" s="38"/>
      <c r="L298" s="38">
        <v>491.02684582146389</v>
      </c>
      <c r="M298" s="38">
        <v>0.23924423568170797</v>
      </c>
      <c r="N298" s="38">
        <v>0.23751747807609846</v>
      </c>
      <c r="O298" s="38">
        <v>0</v>
      </c>
      <c r="P298" s="38">
        <v>0</v>
      </c>
      <c r="Q298" s="38">
        <v>0</v>
      </c>
      <c r="R298" s="38">
        <v>76.970261388230981</v>
      </c>
      <c r="S298" s="38">
        <v>177.86656695753103</v>
      </c>
      <c r="T298" s="38">
        <v>0</v>
      </c>
      <c r="U298" s="38">
        <v>137.53215817437845</v>
      </c>
      <c r="V298" s="38">
        <v>35.308613302244417</v>
      </c>
      <c r="W298" s="38">
        <v>82.386764371903638</v>
      </c>
      <c r="X298" s="38">
        <v>0</v>
      </c>
      <c r="Y298" s="38">
        <v>0</v>
      </c>
      <c r="Z298" s="38">
        <v>0</v>
      </c>
      <c r="AA298" s="38">
        <v>0</v>
      </c>
      <c r="AB298" s="38">
        <v>0</v>
      </c>
      <c r="AC298" s="38">
        <v>0</v>
      </c>
      <c r="AD298" s="38">
        <v>0</v>
      </c>
      <c r="AE298" s="38">
        <v>0</v>
      </c>
      <c r="AF298" s="38">
        <v>0</v>
      </c>
      <c r="AG298" s="38">
        <v>0</v>
      </c>
      <c r="AH298" s="38">
        <v>112.27887469047539</v>
      </c>
      <c r="AI298" s="38">
        <v>260.25333132943467</v>
      </c>
      <c r="AJ298" s="38">
        <v>0</v>
      </c>
      <c r="AK298" s="38">
        <v>137.53215817437845</v>
      </c>
      <c r="AL298" s="38">
        <v>510.06436419428849</v>
      </c>
      <c r="AM298" s="38">
        <v>258.55933033818008</v>
      </c>
      <c r="AN298" s="38">
        <v>84.536588215736103</v>
      </c>
      <c r="AO298" s="38">
        <v>0</v>
      </c>
      <c r="AP298" s="38">
        <v>0</v>
      </c>
      <c r="AQ298" s="38">
        <v>343.09591855391619</v>
      </c>
      <c r="AR298" s="38">
        <v>112.27887469047539</v>
      </c>
      <c r="AS298" s="49">
        <v>3.0557477486280953</v>
      </c>
      <c r="AT298" s="38">
        <v>258.55933033818008</v>
      </c>
      <c r="AU298" s="38">
        <v>100.06614123032445</v>
      </c>
      <c r="AV298" s="38">
        <v>0</v>
      </c>
      <c r="AW298" s="38">
        <v>0</v>
      </c>
      <c r="AX298" s="38">
        <v>358.62547156850451</v>
      </c>
      <c r="AY298" s="38">
        <v>260.25333132943467</v>
      </c>
      <c r="AZ298" s="49">
        <v>1.3779860943049682</v>
      </c>
      <c r="BA298" s="38">
        <v>258.55933033818008</v>
      </c>
      <c r="BB298" s="38">
        <v>184.60272944606055</v>
      </c>
      <c r="BC298" s="38">
        <v>0</v>
      </c>
      <c r="BD298" s="38">
        <v>0</v>
      </c>
      <c r="BE298" s="38">
        <v>443.16205978424063</v>
      </c>
      <c r="BF298" s="38">
        <v>372.53220601991006</v>
      </c>
      <c r="BG298" s="38">
        <v>28.161759264940045</v>
      </c>
      <c r="BH298" s="49">
        <v>1.1895939535508393</v>
      </c>
      <c r="BI298" s="38">
        <v>16.82530434936319</v>
      </c>
      <c r="BJ298" s="38">
        <v>38.999691790862357</v>
      </c>
      <c r="BK298" s="38">
        <v>0</v>
      </c>
      <c r="BL298" s="38">
        <v>20.609579722702492</v>
      </c>
      <c r="BM298" s="38">
        <v>76.434575862928028</v>
      </c>
      <c r="BN298" s="38">
        <v>258.55933033818008</v>
      </c>
      <c r="BO298" s="38">
        <v>0</v>
      </c>
      <c r="BP298" s="38">
        <v>184.60272944606055</v>
      </c>
      <c r="BQ298" s="38">
        <v>0</v>
      </c>
      <c r="BR298" s="38">
        <v>0</v>
      </c>
      <c r="BS298" s="38">
        <v>0</v>
      </c>
      <c r="BT298" s="38">
        <v>0</v>
      </c>
      <c r="BU298" s="38">
        <v>0</v>
      </c>
      <c r="BV298" s="38">
        <v>44.913177147077597</v>
      </c>
      <c r="BW298" s="38">
        <v>0</v>
      </c>
      <c r="BX298" s="38">
        <v>392.36898652014042</v>
      </c>
      <c r="BY298" s="38">
        <v>117.69537767414806</v>
      </c>
      <c r="BZ298" s="38">
        <v>0</v>
      </c>
      <c r="CA298" s="38">
        <v>0</v>
      </c>
      <c r="CB298" s="38">
        <v>488.07523693131822</v>
      </c>
      <c r="CC298" s="38">
        <v>510.06436419428849</v>
      </c>
      <c r="CD298" s="50">
        <v>0.95688950492021752</v>
      </c>
      <c r="CE298" s="38">
        <v>42.040973396789774</v>
      </c>
      <c r="CF298" s="38">
        <v>4.6648036401190147</v>
      </c>
      <c r="CG298" s="38">
        <v>0</v>
      </c>
      <c r="CH298" s="38">
        <v>4.6648036401190147</v>
      </c>
      <c r="CI298" s="38">
        <v>0.23323775176519534</v>
      </c>
      <c r="CJ298" s="38">
        <v>0</v>
      </c>
      <c r="CK298" s="38">
        <v>0.23323775176519534</v>
      </c>
      <c r="CL298" s="38"/>
      <c r="CM298" s="38">
        <v>0</v>
      </c>
      <c r="CN298" s="38"/>
      <c r="CO298" s="38">
        <v>0</v>
      </c>
      <c r="CP298" s="38">
        <v>0</v>
      </c>
      <c r="CQ298" s="38">
        <v>0</v>
      </c>
      <c r="CR298" s="38">
        <v>0</v>
      </c>
      <c r="CS298" s="38">
        <v>0</v>
      </c>
      <c r="CT298" s="38">
        <v>0</v>
      </c>
      <c r="CU298" s="38">
        <v>0</v>
      </c>
      <c r="CV298" s="38">
        <v>9999</v>
      </c>
      <c r="CW298" s="49">
        <v>9999</v>
      </c>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row>
    <row r="299" spans="1:131">
      <c r="A299" s="27" t="s">
        <v>857</v>
      </c>
      <c r="B299" s="27"/>
      <c r="C299" s="38">
        <v>45</v>
      </c>
      <c r="D299" s="38">
        <v>592.54306253824348</v>
      </c>
      <c r="E299" s="38">
        <v>0</v>
      </c>
      <c r="F299" s="38">
        <v>779.09509607998802</v>
      </c>
      <c r="G299" s="38">
        <v>0</v>
      </c>
      <c r="H299" s="38">
        <v>0</v>
      </c>
      <c r="I299" s="38"/>
      <c r="J299" s="38"/>
      <c r="K299" s="38"/>
      <c r="L299" s="38">
        <v>639.13948315058769</v>
      </c>
      <c r="M299" s="38">
        <v>0.34761004959546665</v>
      </c>
      <c r="N299" s="38">
        <v>0.34510115614098097</v>
      </c>
      <c r="O299" s="38">
        <v>0</v>
      </c>
      <c r="P299" s="38">
        <v>0</v>
      </c>
      <c r="Q299" s="38">
        <v>0</v>
      </c>
      <c r="R299" s="38">
        <v>101.90230810523572</v>
      </c>
      <c r="S299" s="38">
        <v>235.48073477763</v>
      </c>
      <c r="T299" s="38">
        <v>0</v>
      </c>
      <c r="U299" s="38">
        <v>182.08128832996854</v>
      </c>
      <c r="V299" s="38">
        <v>46.745705764799283</v>
      </c>
      <c r="W299" s="38">
        <v>109.07331345119832</v>
      </c>
      <c r="X299" s="38">
        <v>0</v>
      </c>
      <c r="Y299" s="38">
        <v>0</v>
      </c>
      <c r="Z299" s="38">
        <v>0</v>
      </c>
      <c r="AA299" s="38">
        <v>0</v>
      </c>
      <c r="AB299" s="38">
        <v>0</v>
      </c>
      <c r="AC299" s="38">
        <v>0</v>
      </c>
      <c r="AD299" s="38">
        <v>0</v>
      </c>
      <c r="AE299" s="38">
        <v>0</v>
      </c>
      <c r="AF299" s="38">
        <v>0</v>
      </c>
      <c r="AG299" s="38">
        <v>0</v>
      </c>
      <c r="AH299" s="38">
        <v>148.64801387003502</v>
      </c>
      <c r="AI299" s="38">
        <v>344.55404822882832</v>
      </c>
      <c r="AJ299" s="38">
        <v>0</v>
      </c>
      <c r="AK299" s="38">
        <v>182.08128832996854</v>
      </c>
      <c r="AL299" s="38">
        <v>675.28335042883191</v>
      </c>
      <c r="AM299" s="38">
        <v>336.71144431619371</v>
      </c>
      <c r="AN299" s="38">
        <v>122.82748438461263</v>
      </c>
      <c r="AO299" s="38">
        <v>0</v>
      </c>
      <c r="AP299" s="38">
        <v>0</v>
      </c>
      <c r="AQ299" s="38">
        <v>459.53892870080631</v>
      </c>
      <c r="AR299" s="38">
        <v>148.64801387003502</v>
      </c>
      <c r="AS299" s="49">
        <v>3.0914569037066815</v>
      </c>
      <c r="AT299" s="38">
        <v>336.71144431619371</v>
      </c>
      <c r="AU299" s="38">
        <v>145.39115735342895</v>
      </c>
      <c r="AV299" s="38">
        <v>0</v>
      </c>
      <c r="AW299" s="38">
        <v>0</v>
      </c>
      <c r="AX299" s="38">
        <v>482.10260166962269</v>
      </c>
      <c r="AY299" s="38">
        <v>344.55404822882832</v>
      </c>
      <c r="AZ299" s="49">
        <v>1.3992074803586241</v>
      </c>
      <c r="BA299" s="38">
        <v>336.71144431619371</v>
      </c>
      <c r="BB299" s="38">
        <v>268.21864173804158</v>
      </c>
      <c r="BC299" s="38">
        <v>0</v>
      </c>
      <c r="BD299" s="38">
        <v>0</v>
      </c>
      <c r="BE299" s="38">
        <v>604.93008605423529</v>
      </c>
      <c r="BF299" s="38">
        <v>493.20206209886328</v>
      </c>
      <c r="BG299" s="38">
        <v>25.901503977607479</v>
      </c>
      <c r="BH299" s="49">
        <v>1.2265360032760284</v>
      </c>
      <c r="BI299" s="38">
        <v>17.113292687715902</v>
      </c>
      <c r="BJ299" s="38">
        <v>39.667225417708373</v>
      </c>
      <c r="BK299" s="38">
        <v>0</v>
      </c>
      <c r="BL299" s="38">
        <v>20.962341164352942</v>
      </c>
      <c r="BM299" s="38">
        <v>77.742859269777227</v>
      </c>
      <c r="BN299" s="38">
        <v>336.71144431619371</v>
      </c>
      <c r="BO299" s="38">
        <v>0</v>
      </c>
      <c r="BP299" s="38">
        <v>268.21864173804158</v>
      </c>
      <c r="BQ299" s="38">
        <v>0</v>
      </c>
      <c r="BR299" s="38">
        <v>0</v>
      </c>
      <c r="BS299" s="38">
        <v>0</v>
      </c>
      <c r="BT299" s="38">
        <v>0</v>
      </c>
      <c r="BU299" s="38">
        <v>0</v>
      </c>
      <c r="BV299" s="38">
        <v>40.382584474562407</v>
      </c>
      <c r="BW299" s="38">
        <v>0</v>
      </c>
      <c r="BX299" s="38">
        <v>519.46433121283428</v>
      </c>
      <c r="BY299" s="38">
        <v>155.81901921599763</v>
      </c>
      <c r="BZ299" s="38">
        <v>0</v>
      </c>
      <c r="CA299" s="38">
        <v>0</v>
      </c>
      <c r="CB299" s="38">
        <v>645.31267052879775</v>
      </c>
      <c r="CC299" s="38">
        <v>675.28335042883191</v>
      </c>
      <c r="CD299" s="50">
        <v>0.95561762350426438</v>
      </c>
      <c r="CE299" s="38">
        <v>42.214748463118696</v>
      </c>
      <c r="CF299" s="38">
        <v>6.07184941867511</v>
      </c>
      <c r="CG299" s="38">
        <v>0</v>
      </c>
      <c r="CH299" s="38">
        <v>6.07184941867511</v>
      </c>
      <c r="CI299" s="38">
        <v>0.30359125449652907</v>
      </c>
      <c r="CJ299" s="38">
        <v>0</v>
      </c>
      <c r="CK299" s="38">
        <v>0.30359125449652907</v>
      </c>
      <c r="CL299" s="38"/>
      <c r="CM299" s="38">
        <v>0</v>
      </c>
      <c r="CN299" s="38"/>
      <c r="CO299" s="38">
        <v>0</v>
      </c>
      <c r="CP299" s="38">
        <v>0</v>
      </c>
      <c r="CQ299" s="38">
        <v>0</v>
      </c>
      <c r="CR299" s="38">
        <v>0</v>
      </c>
      <c r="CS299" s="38">
        <v>0</v>
      </c>
      <c r="CT299" s="38">
        <v>0</v>
      </c>
      <c r="CU299" s="38">
        <v>0</v>
      </c>
      <c r="CV299" s="38">
        <v>9999</v>
      </c>
      <c r="CW299" s="49">
        <v>9999</v>
      </c>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row>
    <row r="300" spans="1:131">
      <c r="A300" s="27" t="s">
        <v>868</v>
      </c>
      <c r="B300" s="27"/>
      <c r="C300" s="38">
        <v>45</v>
      </c>
      <c r="D300" s="38">
        <v>809.94928123680086</v>
      </c>
      <c r="E300" s="38">
        <v>0</v>
      </c>
      <c r="F300" s="38">
        <v>1060.7151001501568</v>
      </c>
      <c r="G300" s="38">
        <v>0</v>
      </c>
      <c r="H300" s="38">
        <v>0</v>
      </c>
      <c r="I300" s="38"/>
      <c r="J300" s="38"/>
      <c r="K300" s="38"/>
      <c r="L300" s="38">
        <v>873.35078334878551</v>
      </c>
      <c r="M300" s="38">
        <v>0.44940424956184161</v>
      </c>
      <c r="N300" s="38">
        <v>0.44616065122095389</v>
      </c>
      <c r="O300" s="38">
        <v>0</v>
      </c>
      <c r="P300" s="38">
        <v>0</v>
      </c>
      <c r="Q300" s="38">
        <v>0</v>
      </c>
      <c r="R300" s="38">
        <v>138.73700077336898</v>
      </c>
      <c r="S300" s="38">
        <v>320.6001070085573</v>
      </c>
      <c r="T300" s="38">
        <v>0</v>
      </c>
      <c r="U300" s="38">
        <v>247.89832840452536</v>
      </c>
      <c r="V300" s="38">
        <v>63.642906009009408</v>
      </c>
      <c r="W300" s="38">
        <v>148.50011402102194</v>
      </c>
      <c r="X300" s="38">
        <v>0</v>
      </c>
      <c r="Y300" s="38">
        <v>0</v>
      </c>
      <c r="Z300" s="38">
        <v>0</v>
      </c>
      <c r="AA300" s="38">
        <v>0</v>
      </c>
      <c r="AB300" s="38">
        <v>0</v>
      </c>
      <c r="AC300" s="38">
        <v>0</v>
      </c>
      <c r="AD300" s="38">
        <v>0</v>
      </c>
      <c r="AE300" s="38">
        <v>0</v>
      </c>
      <c r="AF300" s="38">
        <v>0</v>
      </c>
      <c r="AG300" s="38">
        <v>0</v>
      </c>
      <c r="AH300" s="38">
        <v>202.37990678237838</v>
      </c>
      <c r="AI300" s="38">
        <v>469.10022102957925</v>
      </c>
      <c r="AJ300" s="38">
        <v>0</v>
      </c>
      <c r="AK300" s="38">
        <v>247.89832840452536</v>
      </c>
      <c r="AL300" s="38">
        <v>919.37845621648307</v>
      </c>
      <c r="AM300" s="38">
        <v>459.98508891337548</v>
      </c>
      <c r="AN300" s="38">
        <v>158.79631072137897</v>
      </c>
      <c r="AO300" s="38">
        <v>0</v>
      </c>
      <c r="AP300" s="38">
        <v>0</v>
      </c>
      <c r="AQ300" s="38">
        <v>618.78139963475451</v>
      </c>
      <c r="AR300" s="38">
        <v>202.37990678237838</v>
      </c>
      <c r="AS300" s="49">
        <v>3.0575238889705476</v>
      </c>
      <c r="AT300" s="38">
        <v>459.98508891337548</v>
      </c>
      <c r="AU300" s="38">
        <v>187.96753442365807</v>
      </c>
      <c r="AV300" s="38">
        <v>0</v>
      </c>
      <c r="AW300" s="38">
        <v>0</v>
      </c>
      <c r="AX300" s="38">
        <v>647.95262333703351</v>
      </c>
      <c r="AY300" s="38">
        <v>469.10022102957925</v>
      </c>
      <c r="AZ300" s="49">
        <v>1.3812669325009264</v>
      </c>
      <c r="BA300" s="38">
        <v>459.98508891337548</v>
      </c>
      <c r="BB300" s="38">
        <v>346.76384514503707</v>
      </c>
      <c r="BC300" s="38">
        <v>0</v>
      </c>
      <c r="BD300" s="38">
        <v>0</v>
      </c>
      <c r="BE300" s="38">
        <v>806.74893405841249</v>
      </c>
      <c r="BF300" s="38">
        <v>671.48012781195769</v>
      </c>
      <c r="BG300" s="38">
        <v>27.358070656582591</v>
      </c>
      <c r="BH300" s="49">
        <v>1.2014487110545373</v>
      </c>
      <c r="BI300" s="38">
        <v>17.050958281954181</v>
      </c>
      <c r="BJ300" s="38">
        <v>39.522739317356454</v>
      </c>
      <c r="BK300" s="38">
        <v>0</v>
      </c>
      <c r="BL300" s="38">
        <v>20.88598677109275</v>
      </c>
      <c r="BM300" s="38">
        <v>77.459684370403394</v>
      </c>
      <c r="BN300" s="38">
        <v>459.98508891337548</v>
      </c>
      <c r="BO300" s="38">
        <v>0</v>
      </c>
      <c r="BP300" s="38">
        <v>346.76384514503707</v>
      </c>
      <c r="BQ300" s="38">
        <v>0</v>
      </c>
      <c r="BR300" s="38">
        <v>0</v>
      </c>
      <c r="BS300" s="38">
        <v>0</v>
      </c>
      <c r="BT300" s="38">
        <v>0</v>
      </c>
      <c r="BU300" s="38">
        <v>0</v>
      </c>
      <c r="BV300" s="38">
        <v>67.057424356880844</v>
      </c>
      <c r="BW300" s="38">
        <v>0</v>
      </c>
      <c r="BX300" s="38">
        <v>707.23543618645169</v>
      </c>
      <c r="BY300" s="38">
        <v>212.14302003003138</v>
      </c>
      <c r="BZ300" s="38">
        <v>0</v>
      </c>
      <c r="CA300" s="38">
        <v>0</v>
      </c>
      <c r="CB300" s="38">
        <v>873.8063584152934</v>
      </c>
      <c r="CC300" s="38">
        <v>919.37845621648307</v>
      </c>
      <c r="CD300" s="50">
        <v>0.95043162313294516</v>
      </c>
      <c r="CE300" s="38">
        <v>42.594319944428157</v>
      </c>
      <c r="CF300" s="38">
        <v>8.296893206805894</v>
      </c>
      <c r="CG300" s="38">
        <v>0</v>
      </c>
      <c r="CH300" s="38">
        <v>8.296893206805894</v>
      </c>
      <c r="CI300" s="38">
        <v>0.4148416220906731</v>
      </c>
      <c r="CJ300" s="38">
        <v>0</v>
      </c>
      <c r="CK300" s="38">
        <v>0.4148416220906731</v>
      </c>
      <c r="CL300" s="38"/>
      <c r="CM300" s="38">
        <v>0</v>
      </c>
      <c r="CN300" s="38"/>
      <c r="CO300" s="38">
        <v>0</v>
      </c>
      <c r="CP300" s="38">
        <v>0</v>
      </c>
      <c r="CQ300" s="38">
        <v>0</v>
      </c>
      <c r="CR300" s="38">
        <v>0</v>
      </c>
      <c r="CS300" s="38">
        <v>0</v>
      </c>
      <c r="CT300" s="38">
        <v>0</v>
      </c>
      <c r="CU300" s="38">
        <v>0</v>
      </c>
      <c r="CV300" s="38">
        <v>9999</v>
      </c>
      <c r="CW300" s="49">
        <v>9999</v>
      </c>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row>
    <row r="301" spans="1:131">
      <c r="A301" s="27" t="s">
        <v>856</v>
      </c>
      <c r="B301" s="27"/>
      <c r="C301" s="38">
        <v>45</v>
      </c>
      <c r="D301" s="38">
        <v>569.46291083358744</v>
      </c>
      <c r="E301" s="38">
        <v>0</v>
      </c>
      <c r="F301" s="38">
        <v>755.86367137636603</v>
      </c>
      <c r="G301" s="38">
        <v>0</v>
      </c>
      <c r="H301" s="38">
        <v>0</v>
      </c>
      <c r="I301" s="38"/>
      <c r="J301" s="38"/>
      <c r="K301" s="38"/>
      <c r="L301" s="38">
        <v>614.24096297616722</v>
      </c>
      <c r="M301" s="38">
        <v>0.3337706270689636</v>
      </c>
      <c r="N301" s="38">
        <v>0.33136162036007405</v>
      </c>
      <c r="O301" s="38">
        <v>0</v>
      </c>
      <c r="P301" s="38">
        <v>0</v>
      </c>
      <c r="Q301" s="38">
        <v>0</v>
      </c>
      <c r="R301" s="38">
        <v>98.863737063288085</v>
      </c>
      <c r="S301" s="38">
        <v>228.45905926373558</v>
      </c>
      <c r="T301" s="38">
        <v>0</v>
      </c>
      <c r="U301" s="38">
        <v>176.65190267337871</v>
      </c>
      <c r="V301" s="38">
        <v>45.351820282581961</v>
      </c>
      <c r="W301" s="38">
        <v>105.82091399269125</v>
      </c>
      <c r="X301" s="38">
        <v>0</v>
      </c>
      <c r="Y301" s="38">
        <v>0</v>
      </c>
      <c r="Z301" s="38">
        <v>0</v>
      </c>
      <c r="AA301" s="38">
        <v>0</v>
      </c>
      <c r="AB301" s="38">
        <v>0</v>
      </c>
      <c r="AC301" s="38">
        <v>0</v>
      </c>
      <c r="AD301" s="38">
        <v>0</v>
      </c>
      <c r="AE301" s="38">
        <v>0</v>
      </c>
      <c r="AF301" s="38">
        <v>0</v>
      </c>
      <c r="AG301" s="38">
        <v>0</v>
      </c>
      <c r="AH301" s="38">
        <v>144.21555734587005</v>
      </c>
      <c r="AI301" s="38">
        <v>334.27997325642684</v>
      </c>
      <c r="AJ301" s="38">
        <v>0</v>
      </c>
      <c r="AK301" s="38">
        <v>176.65190267337871</v>
      </c>
      <c r="AL301" s="38">
        <v>655.14743327567555</v>
      </c>
      <c r="AM301" s="38">
        <v>323.59308501718272</v>
      </c>
      <c r="AN301" s="38">
        <v>117.93734540202472</v>
      </c>
      <c r="AO301" s="38">
        <v>0</v>
      </c>
      <c r="AP301" s="38">
        <v>0</v>
      </c>
      <c r="AQ301" s="38">
        <v>441.53043041920745</v>
      </c>
      <c r="AR301" s="38">
        <v>144.21555734587005</v>
      </c>
      <c r="AS301" s="49">
        <v>3.0616005550655778</v>
      </c>
      <c r="AT301" s="38">
        <v>323.59308501718272</v>
      </c>
      <c r="AU301" s="38">
        <v>139.60268932561155</v>
      </c>
      <c r="AV301" s="38">
        <v>0</v>
      </c>
      <c r="AW301" s="38">
        <v>0</v>
      </c>
      <c r="AX301" s="38">
        <v>463.19577434279427</v>
      </c>
      <c r="AY301" s="38">
        <v>334.27997325642684</v>
      </c>
      <c r="AZ301" s="49">
        <v>1.3856521820033647</v>
      </c>
      <c r="BA301" s="38">
        <v>323.59308501718272</v>
      </c>
      <c r="BB301" s="38">
        <v>257.54003472763628</v>
      </c>
      <c r="BC301" s="38">
        <v>0</v>
      </c>
      <c r="BD301" s="38">
        <v>0</v>
      </c>
      <c r="BE301" s="38">
        <v>581.13311974481894</v>
      </c>
      <c r="BF301" s="38">
        <v>478.49553060229687</v>
      </c>
      <c r="BG301" s="38">
        <v>26.468915476447126</v>
      </c>
      <c r="BH301" s="49">
        <v>1.2145006224265649</v>
      </c>
      <c r="BI301" s="38">
        <v>17.276010187779679</v>
      </c>
      <c r="BJ301" s="38">
        <v>40.044391394602407</v>
      </c>
      <c r="BK301" s="38">
        <v>0</v>
      </c>
      <c r="BL301" s="38">
        <v>21.161656387436562</v>
      </c>
      <c r="BM301" s="38">
        <v>78.482057969818641</v>
      </c>
      <c r="BN301" s="38">
        <v>323.59308501718272</v>
      </c>
      <c r="BO301" s="38">
        <v>0</v>
      </c>
      <c r="BP301" s="38">
        <v>257.54003472763628</v>
      </c>
      <c r="BQ301" s="38">
        <v>0</v>
      </c>
      <c r="BR301" s="38">
        <v>0</v>
      </c>
      <c r="BS301" s="38">
        <v>0</v>
      </c>
      <c r="BT301" s="38">
        <v>0</v>
      </c>
      <c r="BU301" s="38">
        <v>0</v>
      </c>
      <c r="BV301" s="38">
        <v>37.203902124223895</v>
      </c>
      <c r="BW301" s="38">
        <v>0</v>
      </c>
      <c r="BX301" s="38">
        <v>503.97469900040232</v>
      </c>
      <c r="BY301" s="38">
        <v>151.1727342752732</v>
      </c>
      <c r="BZ301" s="38">
        <v>0</v>
      </c>
      <c r="CA301" s="38">
        <v>0</v>
      </c>
      <c r="CB301" s="38">
        <v>618.33702186904281</v>
      </c>
      <c r="CC301" s="38">
        <v>655.14743327567555</v>
      </c>
      <c r="CD301" s="50">
        <v>0.94381354556701202</v>
      </c>
      <c r="CE301" s="38">
        <v>43.173805867537062</v>
      </c>
      <c r="CF301" s="38">
        <v>5.8353128495889521</v>
      </c>
      <c r="CG301" s="38">
        <v>0</v>
      </c>
      <c r="CH301" s="38">
        <v>5.8353128495889521</v>
      </c>
      <c r="CI301" s="38">
        <v>0.2917644574136794</v>
      </c>
      <c r="CJ301" s="38">
        <v>0</v>
      </c>
      <c r="CK301" s="38">
        <v>0.2917644574136794</v>
      </c>
      <c r="CL301" s="38"/>
      <c r="CM301" s="38">
        <v>0</v>
      </c>
      <c r="CN301" s="38"/>
      <c r="CO301" s="38">
        <v>0</v>
      </c>
      <c r="CP301" s="38">
        <v>0</v>
      </c>
      <c r="CQ301" s="38">
        <v>0</v>
      </c>
      <c r="CR301" s="38">
        <v>0</v>
      </c>
      <c r="CS301" s="38">
        <v>0</v>
      </c>
      <c r="CT301" s="38">
        <v>0</v>
      </c>
      <c r="CU301" s="38">
        <v>0</v>
      </c>
      <c r="CV301" s="38">
        <v>9999</v>
      </c>
      <c r="CW301" s="49">
        <v>9999</v>
      </c>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row>
    <row r="302" spans="1:131">
      <c r="A302" s="27" t="s">
        <v>885</v>
      </c>
      <c r="B302" s="27"/>
      <c r="C302" s="38">
        <v>45</v>
      </c>
      <c r="D302" s="38">
        <v>593.29940715518455</v>
      </c>
      <c r="E302" s="38">
        <v>0</v>
      </c>
      <c r="F302" s="38">
        <v>809.10873601266894</v>
      </c>
      <c r="G302" s="38">
        <v>0</v>
      </c>
      <c r="H302" s="38">
        <v>0</v>
      </c>
      <c r="I302" s="38"/>
      <c r="J302" s="38"/>
      <c r="K302" s="38"/>
      <c r="L302" s="38">
        <v>639.94300129168926</v>
      </c>
      <c r="M302" s="38">
        <v>0.34696638564699878</v>
      </c>
      <c r="N302" s="38">
        <v>0.34446213787024615</v>
      </c>
      <c r="O302" s="38">
        <v>0</v>
      </c>
      <c r="P302" s="38">
        <v>0</v>
      </c>
      <c r="Q302" s="38">
        <v>0</v>
      </c>
      <c r="R302" s="38">
        <v>105.82796390664981</v>
      </c>
      <c r="S302" s="38">
        <v>244.55232824582112</v>
      </c>
      <c r="T302" s="38">
        <v>0</v>
      </c>
      <c r="U302" s="38">
        <v>189.09573657115382</v>
      </c>
      <c r="V302" s="38">
        <v>48.546524160760136</v>
      </c>
      <c r="W302" s="38">
        <v>113.27522304177366</v>
      </c>
      <c r="X302" s="38">
        <v>0</v>
      </c>
      <c r="Y302" s="38">
        <v>0</v>
      </c>
      <c r="Z302" s="38">
        <v>0</v>
      </c>
      <c r="AA302" s="38">
        <v>0</v>
      </c>
      <c r="AB302" s="38">
        <v>0</v>
      </c>
      <c r="AC302" s="38">
        <v>0</v>
      </c>
      <c r="AD302" s="38">
        <v>0</v>
      </c>
      <c r="AE302" s="38">
        <v>0</v>
      </c>
      <c r="AF302" s="38">
        <v>0</v>
      </c>
      <c r="AG302" s="38">
        <v>0</v>
      </c>
      <c r="AH302" s="38">
        <v>154.37448806740994</v>
      </c>
      <c r="AI302" s="38">
        <v>357.82755128759476</v>
      </c>
      <c r="AJ302" s="38">
        <v>0</v>
      </c>
      <c r="AK302" s="38">
        <v>189.09573657115382</v>
      </c>
      <c r="AL302" s="38">
        <v>701.29777592615847</v>
      </c>
      <c r="AM302" s="38">
        <v>337.12995802886883</v>
      </c>
      <c r="AN302" s="38">
        <v>122.60004670359224</v>
      </c>
      <c r="AO302" s="38">
        <v>0</v>
      </c>
      <c r="AP302" s="38">
        <v>0</v>
      </c>
      <c r="AQ302" s="38">
        <v>459.73000473246105</v>
      </c>
      <c r="AR302" s="38">
        <v>154.37448806740994</v>
      </c>
      <c r="AS302" s="49">
        <v>2.9780180034133168</v>
      </c>
      <c r="AT302" s="38">
        <v>337.12995802886883</v>
      </c>
      <c r="AU302" s="38">
        <v>145.12193888139882</v>
      </c>
      <c r="AV302" s="38">
        <v>0</v>
      </c>
      <c r="AW302" s="38">
        <v>0</v>
      </c>
      <c r="AX302" s="38">
        <v>482.25189691026765</v>
      </c>
      <c r="AY302" s="38">
        <v>357.82755128759476</v>
      </c>
      <c r="AZ302" s="49">
        <v>1.3477215356250476</v>
      </c>
      <c r="BA302" s="38">
        <v>337.12995802886883</v>
      </c>
      <c r="BB302" s="38">
        <v>267.72198558499105</v>
      </c>
      <c r="BC302" s="38">
        <v>0</v>
      </c>
      <c r="BD302" s="38">
        <v>0</v>
      </c>
      <c r="BE302" s="38">
        <v>604.85194361385993</v>
      </c>
      <c r="BF302" s="38">
        <v>512.20203935500467</v>
      </c>
      <c r="BG302" s="38">
        <v>28.110738363455113</v>
      </c>
      <c r="BH302" s="49">
        <v>1.180885465383007</v>
      </c>
      <c r="BI302" s="38">
        <v>17.750244967377174</v>
      </c>
      <c r="BJ302" s="38">
        <v>41.143629176979275</v>
      </c>
      <c r="BK302" s="38">
        <v>0</v>
      </c>
      <c r="BL302" s="38">
        <v>21.742554022002256</v>
      </c>
      <c r="BM302" s="38">
        <v>80.636428166358684</v>
      </c>
      <c r="BN302" s="38">
        <v>337.12995802886883</v>
      </c>
      <c r="BO302" s="38">
        <v>0</v>
      </c>
      <c r="BP302" s="38">
        <v>267.72198558499105</v>
      </c>
      <c r="BQ302" s="38">
        <v>0</v>
      </c>
      <c r="BR302" s="38">
        <v>0</v>
      </c>
      <c r="BS302" s="38">
        <v>0</v>
      </c>
      <c r="BT302" s="38">
        <v>0</v>
      </c>
      <c r="BU302" s="38">
        <v>0</v>
      </c>
      <c r="BV302" s="38">
        <v>45.458554883401717</v>
      </c>
      <c r="BW302" s="38">
        <v>0</v>
      </c>
      <c r="BX302" s="38">
        <v>539.47602872362472</v>
      </c>
      <c r="BY302" s="38">
        <v>161.8217472025338</v>
      </c>
      <c r="BZ302" s="38">
        <v>0</v>
      </c>
      <c r="CA302" s="38">
        <v>0</v>
      </c>
      <c r="CB302" s="38">
        <v>650.31049849726162</v>
      </c>
      <c r="CC302" s="38">
        <v>701.29777592615847</v>
      </c>
      <c r="CD302" s="50">
        <v>0.92729582328767368</v>
      </c>
      <c r="CE302" s="38">
        <v>44.626389319123021</v>
      </c>
      <c r="CF302" s="38">
        <v>6.0794840339715801</v>
      </c>
      <c r="CG302" s="38">
        <v>0</v>
      </c>
      <c r="CH302" s="38">
        <v>6.0794840339715801</v>
      </c>
      <c r="CI302" s="38">
        <v>0.30397292561355238</v>
      </c>
      <c r="CJ302" s="38">
        <v>0</v>
      </c>
      <c r="CK302" s="38">
        <v>0.30397292561355238</v>
      </c>
      <c r="CL302" s="38"/>
      <c r="CM302" s="38">
        <v>0</v>
      </c>
      <c r="CN302" s="38"/>
      <c r="CO302" s="38">
        <v>0</v>
      </c>
      <c r="CP302" s="38">
        <v>0</v>
      </c>
      <c r="CQ302" s="38">
        <v>0</v>
      </c>
      <c r="CR302" s="38">
        <v>0</v>
      </c>
      <c r="CS302" s="38">
        <v>0</v>
      </c>
      <c r="CT302" s="38">
        <v>0</v>
      </c>
      <c r="CU302" s="38">
        <v>0</v>
      </c>
      <c r="CV302" s="38">
        <v>9999</v>
      </c>
      <c r="CW302" s="49">
        <v>9999</v>
      </c>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row>
    <row r="303" spans="1:131">
      <c r="A303" s="27" t="s">
        <v>884</v>
      </c>
      <c r="B303" s="27"/>
      <c r="C303" s="38">
        <v>45</v>
      </c>
      <c r="D303" s="38">
        <v>570.3056749733272</v>
      </c>
      <c r="E303" s="38">
        <v>0</v>
      </c>
      <c r="F303" s="38">
        <v>784.98235045037131</v>
      </c>
      <c r="G303" s="38">
        <v>0</v>
      </c>
      <c r="H303" s="38">
        <v>0</v>
      </c>
      <c r="I303" s="38"/>
      <c r="J303" s="38"/>
      <c r="K303" s="38"/>
      <c r="L303" s="38">
        <v>615.13839465377009</v>
      </c>
      <c r="M303" s="38">
        <v>0.33323935997760962</v>
      </c>
      <c r="N303" s="38">
        <v>0.33083418771634215</v>
      </c>
      <c r="O303" s="38">
        <v>0</v>
      </c>
      <c r="P303" s="38">
        <v>0</v>
      </c>
      <c r="Q303" s="38">
        <v>0</v>
      </c>
      <c r="R303" s="38">
        <v>102.67233581015034</v>
      </c>
      <c r="S303" s="38">
        <v>237.26015168313486</v>
      </c>
      <c r="T303" s="38">
        <v>0</v>
      </c>
      <c r="U303" s="38">
        <v>183.45719079152838</v>
      </c>
      <c r="V303" s="38">
        <v>47.098941027022278</v>
      </c>
      <c r="W303" s="38">
        <v>109.89752906305198</v>
      </c>
      <c r="X303" s="38">
        <v>0</v>
      </c>
      <c r="Y303" s="38">
        <v>0</v>
      </c>
      <c r="Z303" s="38">
        <v>0</v>
      </c>
      <c r="AA303" s="38">
        <v>0</v>
      </c>
      <c r="AB303" s="38">
        <v>0</v>
      </c>
      <c r="AC303" s="38">
        <v>0</v>
      </c>
      <c r="AD303" s="38">
        <v>0</v>
      </c>
      <c r="AE303" s="38">
        <v>0</v>
      </c>
      <c r="AF303" s="38">
        <v>0</v>
      </c>
      <c r="AG303" s="38">
        <v>0</v>
      </c>
      <c r="AH303" s="38">
        <v>149.77127683717262</v>
      </c>
      <c r="AI303" s="38">
        <v>347.15768074618683</v>
      </c>
      <c r="AJ303" s="38">
        <v>0</v>
      </c>
      <c r="AK303" s="38">
        <v>183.45719079152838</v>
      </c>
      <c r="AL303" s="38">
        <v>680.38614837488774</v>
      </c>
      <c r="AM303" s="38">
        <v>324.06134637476424</v>
      </c>
      <c r="AN303" s="38">
        <v>117.74962298018082</v>
      </c>
      <c r="AO303" s="38">
        <v>0</v>
      </c>
      <c r="AP303" s="38">
        <v>0</v>
      </c>
      <c r="AQ303" s="38">
        <v>441.81096935494509</v>
      </c>
      <c r="AR303" s="38">
        <v>149.77127683717262</v>
      </c>
      <c r="AS303" s="49">
        <v>2.9499045390076382</v>
      </c>
      <c r="AT303" s="38">
        <v>324.06134637476424</v>
      </c>
      <c r="AU303" s="38">
        <v>139.38048189125908</v>
      </c>
      <c r="AV303" s="38">
        <v>0</v>
      </c>
      <c r="AW303" s="38">
        <v>0</v>
      </c>
      <c r="AX303" s="38">
        <v>463.44182826602332</v>
      </c>
      <c r="AY303" s="38">
        <v>347.15768074618683</v>
      </c>
      <c r="AZ303" s="49">
        <v>1.3349606071508868</v>
      </c>
      <c r="BA303" s="38">
        <v>324.06134637476424</v>
      </c>
      <c r="BB303" s="38">
        <v>257.13010487143993</v>
      </c>
      <c r="BC303" s="38">
        <v>0</v>
      </c>
      <c r="BD303" s="38">
        <v>0</v>
      </c>
      <c r="BE303" s="38">
        <v>581.19145124620411</v>
      </c>
      <c r="BF303" s="38">
        <v>496.92895758335942</v>
      </c>
      <c r="BG303" s="38">
        <v>28.684308218594406</v>
      </c>
      <c r="BH303" s="49">
        <v>1.1695664790247402</v>
      </c>
      <c r="BI303" s="38">
        <v>17.915371230949788</v>
      </c>
      <c r="BJ303" s="38">
        <v>41.526378472456486</v>
      </c>
      <c r="BK303" s="38">
        <v>0</v>
      </c>
      <c r="BL303" s="38">
        <v>21.944819777363794</v>
      </c>
      <c r="BM303" s="38">
        <v>81.386569480770049</v>
      </c>
      <c r="BN303" s="38">
        <v>324.06134637476424</v>
      </c>
      <c r="BO303" s="38">
        <v>0</v>
      </c>
      <c r="BP303" s="38">
        <v>257.13010487143993</v>
      </c>
      <c r="BQ303" s="38">
        <v>0</v>
      </c>
      <c r="BR303" s="38">
        <v>0</v>
      </c>
      <c r="BS303" s="38">
        <v>0</v>
      </c>
      <c r="BT303" s="38">
        <v>0</v>
      </c>
      <c r="BU303" s="38">
        <v>0</v>
      </c>
      <c r="BV303" s="38">
        <v>41.988553064258973</v>
      </c>
      <c r="BW303" s="38">
        <v>0</v>
      </c>
      <c r="BX303" s="38">
        <v>523.3896782848135</v>
      </c>
      <c r="BY303" s="38">
        <v>156.99647009007427</v>
      </c>
      <c r="BZ303" s="38">
        <v>0</v>
      </c>
      <c r="CA303" s="38">
        <v>0</v>
      </c>
      <c r="CB303" s="38">
        <v>623.18000431046323</v>
      </c>
      <c r="CC303" s="38">
        <v>680.38614837488774</v>
      </c>
      <c r="CD303" s="50">
        <v>0.91592106305946674</v>
      </c>
      <c r="CE303" s="38">
        <v>45.606532666050889</v>
      </c>
      <c r="CF303" s="38">
        <v>5.8438395811015029</v>
      </c>
      <c r="CG303" s="38">
        <v>0</v>
      </c>
      <c r="CH303" s="38">
        <v>5.8438395811015029</v>
      </c>
      <c r="CI303" s="38">
        <v>0.29219073746054075</v>
      </c>
      <c r="CJ303" s="38">
        <v>0</v>
      </c>
      <c r="CK303" s="38">
        <v>0.29219073746054075</v>
      </c>
      <c r="CL303" s="38"/>
      <c r="CM303" s="38">
        <v>0</v>
      </c>
      <c r="CN303" s="38"/>
      <c r="CO303" s="38">
        <v>0</v>
      </c>
      <c r="CP303" s="38">
        <v>0</v>
      </c>
      <c r="CQ303" s="38">
        <v>0</v>
      </c>
      <c r="CR303" s="38">
        <v>0</v>
      </c>
      <c r="CS303" s="38">
        <v>0</v>
      </c>
      <c r="CT303" s="38">
        <v>0</v>
      </c>
      <c r="CU303" s="38">
        <v>0</v>
      </c>
      <c r="CV303" s="38">
        <v>9999</v>
      </c>
      <c r="CW303" s="49">
        <v>9999</v>
      </c>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row>
    <row r="304" spans="1:131">
      <c r="A304" s="27" t="s">
        <v>855</v>
      </c>
      <c r="B304" s="27"/>
      <c r="C304" s="38">
        <v>45</v>
      </c>
      <c r="D304" s="38">
        <v>532.30225060665703</v>
      </c>
      <c r="E304" s="38">
        <v>0</v>
      </c>
      <c r="F304" s="38">
        <v>727.98596173202009</v>
      </c>
      <c r="G304" s="38">
        <v>0</v>
      </c>
      <c r="H304" s="38">
        <v>0</v>
      </c>
      <c r="I304" s="38"/>
      <c r="J304" s="38"/>
      <c r="K304" s="38"/>
      <c r="L304" s="38">
        <v>574.15335241032233</v>
      </c>
      <c r="M304" s="38">
        <v>0.31155448827652776</v>
      </c>
      <c r="N304" s="38">
        <v>0.30930582769475728</v>
      </c>
      <c r="O304" s="38">
        <v>0</v>
      </c>
      <c r="P304" s="38">
        <v>0</v>
      </c>
      <c r="Q304" s="38">
        <v>0</v>
      </c>
      <c r="R304" s="38">
        <v>95.217451812950969</v>
      </c>
      <c r="S304" s="38">
        <v>220.03304864706237</v>
      </c>
      <c r="T304" s="38">
        <v>0</v>
      </c>
      <c r="U304" s="38">
        <v>170.13663988547106</v>
      </c>
      <c r="V304" s="38">
        <v>43.679157703921206</v>
      </c>
      <c r="W304" s="38">
        <v>101.91803464248281</v>
      </c>
      <c r="X304" s="38">
        <v>0</v>
      </c>
      <c r="Y304" s="38">
        <v>0</v>
      </c>
      <c r="Z304" s="38">
        <v>0</v>
      </c>
      <c r="AA304" s="38">
        <v>0</v>
      </c>
      <c r="AB304" s="38">
        <v>0</v>
      </c>
      <c r="AC304" s="38">
        <v>0</v>
      </c>
      <c r="AD304" s="38">
        <v>0</v>
      </c>
      <c r="AE304" s="38">
        <v>0</v>
      </c>
      <c r="AF304" s="38">
        <v>0</v>
      </c>
      <c r="AG304" s="38">
        <v>0</v>
      </c>
      <c r="AH304" s="38">
        <v>138.89660951687216</v>
      </c>
      <c r="AI304" s="38">
        <v>321.95108328954518</v>
      </c>
      <c r="AJ304" s="38">
        <v>0</v>
      </c>
      <c r="AK304" s="38">
        <v>170.13663988547106</v>
      </c>
      <c r="AL304" s="38">
        <v>630.98433269188831</v>
      </c>
      <c r="AM304" s="38">
        <v>302.47229568588978</v>
      </c>
      <c r="AN304" s="38">
        <v>110.08730641785296</v>
      </c>
      <c r="AO304" s="38">
        <v>0</v>
      </c>
      <c r="AP304" s="38">
        <v>0</v>
      </c>
      <c r="AQ304" s="38">
        <v>412.55960210374275</v>
      </c>
      <c r="AR304" s="38">
        <v>138.89660951687216</v>
      </c>
      <c r="AS304" s="49">
        <v>2.9702640225615298</v>
      </c>
      <c r="AT304" s="38">
        <v>302.47229568588978</v>
      </c>
      <c r="AU304" s="38">
        <v>130.31058130193497</v>
      </c>
      <c r="AV304" s="38">
        <v>0</v>
      </c>
      <c r="AW304" s="38">
        <v>0</v>
      </c>
      <c r="AX304" s="38">
        <v>432.78287698782475</v>
      </c>
      <c r="AY304" s="38">
        <v>321.95108328954518</v>
      </c>
      <c r="AZ304" s="49">
        <v>1.3442504139630538</v>
      </c>
      <c r="BA304" s="38">
        <v>302.47229568588978</v>
      </c>
      <c r="BB304" s="38">
        <v>240.39788771978795</v>
      </c>
      <c r="BC304" s="38">
        <v>0</v>
      </c>
      <c r="BD304" s="38">
        <v>0</v>
      </c>
      <c r="BE304" s="38">
        <v>542.87018340567772</v>
      </c>
      <c r="BF304" s="38">
        <v>460.84769280641734</v>
      </c>
      <c r="BG304" s="38">
        <v>28.25217766260948</v>
      </c>
      <c r="BH304" s="49">
        <v>1.1779817754967357</v>
      </c>
      <c r="BI304" s="38">
        <v>17.800567740410177</v>
      </c>
      <c r="BJ304" s="38">
        <v>41.260273286208893</v>
      </c>
      <c r="BK304" s="38">
        <v>0</v>
      </c>
      <c r="BL304" s="38">
        <v>21.804195177559144</v>
      </c>
      <c r="BM304" s="38">
        <v>80.86503620417821</v>
      </c>
      <c r="BN304" s="38">
        <v>302.47229568588978</v>
      </c>
      <c r="BO304" s="38">
        <v>0</v>
      </c>
      <c r="BP304" s="38">
        <v>240.39788771978795</v>
      </c>
      <c r="BQ304" s="38">
        <v>0</v>
      </c>
      <c r="BR304" s="38">
        <v>0</v>
      </c>
      <c r="BS304" s="38">
        <v>0</v>
      </c>
      <c r="BT304" s="38">
        <v>0</v>
      </c>
      <c r="BU304" s="38">
        <v>0</v>
      </c>
      <c r="BV304" s="38">
        <v>32.379339328488598</v>
      </c>
      <c r="BW304" s="38">
        <v>0</v>
      </c>
      <c r="BX304" s="38">
        <v>485.38714034548434</v>
      </c>
      <c r="BY304" s="38">
        <v>145.59719234640403</v>
      </c>
      <c r="BZ304" s="38">
        <v>0</v>
      </c>
      <c r="CA304" s="38">
        <v>0</v>
      </c>
      <c r="CB304" s="38">
        <v>575.24952273416636</v>
      </c>
      <c r="CC304" s="38">
        <v>630.98433269188831</v>
      </c>
      <c r="CD304" s="50">
        <v>0.91167005728977835</v>
      </c>
      <c r="CE304" s="38">
        <v>45.906735026032656</v>
      </c>
      <c r="CF304" s="38">
        <v>5.454479468163437</v>
      </c>
      <c r="CG304" s="38">
        <v>0</v>
      </c>
      <c r="CH304" s="38">
        <v>5.454479468163437</v>
      </c>
      <c r="CI304" s="38">
        <v>0.27272284239490319</v>
      </c>
      <c r="CJ304" s="38">
        <v>0</v>
      </c>
      <c r="CK304" s="38">
        <v>0.27272284239490319</v>
      </c>
      <c r="CL304" s="38"/>
      <c r="CM304" s="38">
        <v>0</v>
      </c>
      <c r="CN304" s="38"/>
      <c r="CO304" s="38">
        <v>0</v>
      </c>
      <c r="CP304" s="38">
        <v>0</v>
      </c>
      <c r="CQ304" s="38">
        <v>0</v>
      </c>
      <c r="CR304" s="38">
        <v>0</v>
      </c>
      <c r="CS304" s="38">
        <v>0</v>
      </c>
      <c r="CT304" s="38">
        <v>0</v>
      </c>
      <c r="CU304" s="38">
        <v>0</v>
      </c>
      <c r="CV304" s="38">
        <v>9999</v>
      </c>
      <c r="CW304" s="49">
        <v>9999</v>
      </c>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row>
    <row r="305" spans="1:131">
      <c r="A305" s="27" t="s">
        <v>883</v>
      </c>
      <c r="B305" s="27"/>
      <c r="C305" s="38">
        <v>45.000000000000007</v>
      </c>
      <c r="D305" s="38">
        <v>533.27030407056293</v>
      </c>
      <c r="E305" s="38">
        <v>0</v>
      </c>
      <c r="F305" s="38">
        <v>756.03068777561452</v>
      </c>
      <c r="G305" s="38">
        <v>0</v>
      </c>
      <c r="H305" s="38">
        <v>0</v>
      </c>
      <c r="I305" s="38"/>
      <c r="J305" s="38"/>
      <c r="K305" s="38"/>
      <c r="L305" s="38">
        <v>575.18700719783692</v>
      </c>
      <c r="M305" s="38">
        <v>0.31119227975864489</v>
      </c>
      <c r="N305" s="38">
        <v>0.30894623343552635</v>
      </c>
      <c r="O305" s="38">
        <v>0</v>
      </c>
      <c r="P305" s="38">
        <v>0</v>
      </c>
      <c r="Q305" s="38">
        <v>0</v>
      </c>
      <c r="R305" s="38">
        <v>98.885582094351022</v>
      </c>
      <c r="S305" s="38">
        <v>228.50953980791152</v>
      </c>
      <c r="T305" s="38">
        <v>0</v>
      </c>
      <c r="U305" s="38">
        <v>176.6909358559779</v>
      </c>
      <c r="V305" s="38">
        <v>45.361841266536871</v>
      </c>
      <c r="W305" s="38">
        <v>105.84429628858604</v>
      </c>
      <c r="X305" s="38">
        <v>0</v>
      </c>
      <c r="Y305" s="38">
        <v>0</v>
      </c>
      <c r="Z305" s="38">
        <v>0</v>
      </c>
      <c r="AA305" s="38">
        <v>0</v>
      </c>
      <c r="AB305" s="38">
        <v>0</v>
      </c>
      <c r="AC305" s="38">
        <v>0</v>
      </c>
      <c r="AD305" s="38">
        <v>0</v>
      </c>
      <c r="AE305" s="38">
        <v>0</v>
      </c>
      <c r="AF305" s="38">
        <v>0</v>
      </c>
      <c r="AG305" s="38">
        <v>0</v>
      </c>
      <c r="AH305" s="38">
        <v>144.24742336088789</v>
      </c>
      <c r="AI305" s="38">
        <v>334.35383609649756</v>
      </c>
      <c r="AJ305" s="38">
        <v>0</v>
      </c>
      <c r="AK305" s="38">
        <v>176.6909358559779</v>
      </c>
      <c r="AL305" s="38">
        <v>655.29219531336332</v>
      </c>
      <c r="AM305" s="38">
        <v>303.0127435478492</v>
      </c>
      <c r="AN305" s="38">
        <v>109.9593205868161</v>
      </c>
      <c r="AO305" s="38">
        <v>0</v>
      </c>
      <c r="AP305" s="38">
        <v>0</v>
      </c>
      <c r="AQ305" s="38">
        <v>412.97206413466529</v>
      </c>
      <c r="AR305" s="38">
        <v>144.24742336088789</v>
      </c>
      <c r="AS305" s="49">
        <v>2.8629423979481703</v>
      </c>
      <c r="AT305" s="38">
        <v>303.0127435478492</v>
      </c>
      <c r="AU305" s="38">
        <v>130.15908419855847</v>
      </c>
      <c r="AV305" s="38">
        <v>0</v>
      </c>
      <c r="AW305" s="38">
        <v>0</v>
      </c>
      <c r="AX305" s="38">
        <v>433.17182774640764</v>
      </c>
      <c r="AY305" s="38">
        <v>334.35383609649756</v>
      </c>
      <c r="AZ305" s="49">
        <v>1.2955491487807853</v>
      </c>
      <c r="BA305" s="38">
        <v>303.0127435478492</v>
      </c>
      <c r="BB305" s="38">
        <v>240.11840478537459</v>
      </c>
      <c r="BC305" s="38">
        <v>0</v>
      </c>
      <c r="BD305" s="38">
        <v>0</v>
      </c>
      <c r="BE305" s="38">
        <v>543.13114833322379</v>
      </c>
      <c r="BF305" s="38">
        <v>478.60125945738542</v>
      </c>
      <c r="BG305" s="38">
        <v>30.508314079665759</v>
      </c>
      <c r="BH305" s="49">
        <v>1.1348301693752314</v>
      </c>
      <c r="BI305" s="38">
        <v>18.453090487904873</v>
      </c>
      <c r="BJ305" s="38">
        <v>42.772768127931201</v>
      </c>
      <c r="BK305" s="38">
        <v>0</v>
      </c>
      <c r="BL305" s="38">
        <v>22.603480545961876</v>
      </c>
      <c r="BM305" s="38">
        <v>83.829339161797947</v>
      </c>
      <c r="BN305" s="38">
        <v>303.0127435478492</v>
      </c>
      <c r="BO305" s="38">
        <v>0</v>
      </c>
      <c r="BP305" s="38">
        <v>240.11840478537459</v>
      </c>
      <c r="BQ305" s="38">
        <v>0</v>
      </c>
      <c r="BR305" s="38">
        <v>0</v>
      </c>
      <c r="BS305" s="38">
        <v>0</v>
      </c>
      <c r="BT305" s="38">
        <v>0</v>
      </c>
      <c r="BU305" s="38">
        <v>0</v>
      </c>
      <c r="BV305" s="38">
        <v>36.72069538868633</v>
      </c>
      <c r="BW305" s="38">
        <v>0</v>
      </c>
      <c r="BX305" s="38">
        <v>504.08605775824043</v>
      </c>
      <c r="BY305" s="38">
        <v>151.20613755512292</v>
      </c>
      <c r="BZ305" s="38">
        <v>0</v>
      </c>
      <c r="CA305" s="38">
        <v>0</v>
      </c>
      <c r="CB305" s="38">
        <v>579.85184372191009</v>
      </c>
      <c r="CC305" s="38">
        <v>655.29219531336332</v>
      </c>
      <c r="CD305" s="50">
        <v>0.88487524781921545</v>
      </c>
      <c r="CE305" s="38">
        <v>48.414238863463837</v>
      </c>
      <c r="CF305" s="38">
        <v>5.4643002222553569</v>
      </c>
      <c r="CG305" s="38">
        <v>0</v>
      </c>
      <c r="CH305" s="38">
        <v>5.4643002222553569</v>
      </c>
      <c r="CI305" s="38">
        <v>0.27321382841897257</v>
      </c>
      <c r="CJ305" s="38">
        <v>0</v>
      </c>
      <c r="CK305" s="38">
        <v>0.27321382841897257</v>
      </c>
      <c r="CL305" s="38"/>
      <c r="CM305" s="38">
        <v>0</v>
      </c>
      <c r="CN305" s="38"/>
      <c r="CO305" s="38">
        <v>0</v>
      </c>
      <c r="CP305" s="38">
        <v>0</v>
      </c>
      <c r="CQ305" s="38">
        <v>0</v>
      </c>
      <c r="CR305" s="38">
        <v>0</v>
      </c>
      <c r="CS305" s="38">
        <v>0</v>
      </c>
      <c r="CT305" s="38">
        <v>0</v>
      </c>
      <c r="CU305" s="38">
        <v>0</v>
      </c>
      <c r="CV305" s="38">
        <v>9999</v>
      </c>
      <c r="CW305" s="49">
        <v>9999</v>
      </c>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row>
    <row r="306" spans="1:131">
      <c r="A306" s="27" t="s">
        <v>891</v>
      </c>
      <c r="B306" s="27"/>
      <c r="C306" s="38">
        <v>14.999999999999998</v>
      </c>
      <c r="D306" s="38">
        <v>501.98261797516932</v>
      </c>
      <c r="E306" s="38">
        <v>0</v>
      </c>
      <c r="F306" s="38">
        <v>555.67373558374129</v>
      </c>
      <c r="G306" s="38">
        <v>0</v>
      </c>
      <c r="H306" s="38">
        <v>0</v>
      </c>
      <c r="I306" s="38"/>
      <c r="J306" s="38"/>
      <c r="K306" s="38"/>
      <c r="L306" s="38">
        <v>541.31676816379593</v>
      </c>
      <c r="M306" s="38">
        <v>0.28204248829858275</v>
      </c>
      <c r="N306" s="38">
        <v>0.28000683209818616</v>
      </c>
      <c r="O306" s="38">
        <v>0</v>
      </c>
      <c r="P306" s="38">
        <v>0</v>
      </c>
      <c r="Q306" s="38">
        <v>0</v>
      </c>
      <c r="R306" s="38">
        <v>110.80876584420187</v>
      </c>
      <c r="S306" s="38">
        <v>256.0622039478057</v>
      </c>
      <c r="T306" s="38">
        <v>0</v>
      </c>
      <c r="U306" s="38">
        <v>323.76735024785125</v>
      </c>
      <c r="V306" s="38">
        <v>33.340424135024477</v>
      </c>
      <c r="W306" s="38">
        <v>77.794322981723781</v>
      </c>
      <c r="X306" s="38">
        <v>0</v>
      </c>
      <c r="Y306" s="38">
        <v>0</v>
      </c>
      <c r="Z306" s="38">
        <v>0</v>
      </c>
      <c r="AA306" s="38">
        <v>0</v>
      </c>
      <c r="AB306" s="38">
        <v>0</v>
      </c>
      <c r="AC306" s="38">
        <v>0</v>
      </c>
      <c r="AD306" s="38">
        <v>0</v>
      </c>
      <c r="AE306" s="38">
        <v>0</v>
      </c>
      <c r="AF306" s="38">
        <v>0</v>
      </c>
      <c r="AG306" s="38">
        <v>0</v>
      </c>
      <c r="AH306" s="38">
        <v>144.14918997922635</v>
      </c>
      <c r="AI306" s="38">
        <v>333.85652692952948</v>
      </c>
      <c r="AJ306" s="38">
        <v>0</v>
      </c>
      <c r="AK306" s="38">
        <v>323.76735024785125</v>
      </c>
      <c r="AL306" s="38">
        <v>801.77306715660711</v>
      </c>
      <c r="AM306" s="38">
        <v>285.12161454817021</v>
      </c>
      <c r="AN306" s="38">
        <v>99.659285937236206</v>
      </c>
      <c r="AO306" s="38">
        <v>0</v>
      </c>
      <c r="AP306" s="38">
        <v>0</v>
      </c>
      <c r="AQ306" s="38">
        <v>384.78090048540639</v>
      </c>
      <c r="AR306" s="38">
        <v>144.14918997922635</v>
      </c>
      <c r="AS306" s="49">
        <v>2.6693240561452893</v>
      </c>
      <c r="AT306" s="38">
        <v>285.12161454817021</v>
      </c>
      <c r="AU306" s="38">
        <v>117.96691103808261</v>
      </c>
      <c r="AV306" s="38">
        <v>0</v>
      </c>
      <c r="AW306" s="38">
        <v>0</v>
      </c>
      <c r="AX306" s="38">
        <v>403.08852558625284</v>
      </c>
      <c r="AY306" s="38">
        <v>333.85652692952948</v>
      </c>
      <c r="AZ306" s="49">
        <v>1.2073705111996713</v>
      </c>
      <c r="BA306" s="38">
        <v>285.12161454817021</v>
      </c>
      <c r="BB306" s="38">
        <v>217.62619697531881</v>
      </c>
      <c r="BC306" s="38">
        <v>0</v>
      </c>
      <c r="BD306" s="38">
        <v>0</v>
      </c>
      <c r="BE306" s="38">
        <v>502.74781152348908</v>
      </c>
      <c r="BF306" s="38">
        <v>478.00571690875586</v>
      </c>
      <c r="BG306" s="38">
        <v>35.393658488393733</v>
      </c>
      <c r="BH306" s="49">
        <v>1.0517610851492307</v>
      </c>
      <c r="BI306" s="38">
        <v>19.594349059432879</v>
      </c>
      <c r="BJ306" s="38">
        <v>45.381464338231055</v>
      </c>
      <c r="BK306" s="38">
        <v>0</v>
      </c>
      <c r="BL306" s="38">
        <v>44.01003207661666</v>
      </c>
      <c r="BM306" s="38">
        <v>108.98584547428059</v>
      </c>
      <c r="BN306" s="38">
        <v>285.12161454817021</v>
      </c>
      <c r="BO306" s="38">
        <v>0</v>
      </c>
      <c r="BP306" s="38">
        <v>217.62619697531881</v>
      </c>
      <c r="BQ306" s="38">
        <v>0</v>
      </c>
      <c r="BR306" s="38">
        <v>0</v>
      </c>
      <c r="BS306" s="38">
        <v>0</v>
      </c>
      <c r="BT306" s="38">
        <v>0</v>
      </c>
      <c r="BU306" s="38">
        <v>0</v>
      </c>
      <c r="BV306" s="38">
        <v>61.860578195073934</v>
      </c>
      <c r="BW306" s="38">
        <v>0</v>
      </c>
      <c r="BX306" s="38">
        <v>690.63832003985885</v>
      </c>
      <c r="BY306" s="38">
        <v>111.13474711674826</v>
      </c>
      <c r="BZ306" s="38">
        <v>0</v>
      </c>
      <c r="CA306" s="38">
        <v>0</v>
      </c>
      <c r="CB306" s="38">
        <v>564.60838971856299</v>
      </c>
      <c r="CC306" s="38">
        <v>801.77306715660711</v>
      </c>
      <c r="CD306" s="50">
        <v>0.70419974534799423</v>
      </c>
      <c r="CE306" s="38">
        <v>70.994917943067094</v>
      </c>
      <c r="CF306" s="38">
        <v>5.1425432019382198</v>
      </c>
      <c r="CG306" s="38">
        <v>0</v>
      </c>
      <c r="CH306" s="38">
        <v>5.1425432019382198</v>
      </c>
      <c r="CI306" s="38">
        <v>0.25712546487780302</v>
      </c>
      <c r="CJ306" s="38">
        <v>0</v>
      </c>
      <c r="CK306" s="38">
        <v>0.25712546487780302</v>
      </c>
      <c r="CL306" s="38"/>
      <c r="CM306" s="38">
        <v>0</v>
      </c>
      <c r="CN306" s="38"/>
      <c r="CO306" s="38">
        <v>0</v>
      </c>
      <c r="CP306" s="38">
        <v>0</v>
      </c>
      <c r="CQ306" s="38">
        <v>0</v>
      </c>
      <c r="CR306" s="38">
        <v>0</v>
      </c>
      <c r="CS306" s="38">
        <v>0</v>
      </c>
      <c r="CT306" s="38">
        <v>0</v>
      </c>
      <c r="CU306" s="38">
        <v>0</v>
      </c>
      <c r="CV306" s="38">
        <v>9999</v>
      </c>
      <c r="CW306" s="49">
        <v>9999</v>
      </c>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row>
    <row r="307" spans="1:131">
      <c r="A307" s="27" t="s">
        <v>858</v>
      </c>
      <c r="B307" s="27"/>
      <c r="C307" s="38">
        <v>45</v>
      </c>
      <c r="D307" s="38">
        <v>700.77622363126613</v>
      </c>
      <c r="E307" s="38">
        <v>0</v>
      </c>
      <c r="F307" s="38">
        <v>1370.7558864868229</v>
      </c>
      <c r="G307" s="38">
        <v>0</v>
      </c>
      <c r="H307" s="38">
        <v>0</v>
      </c>
      <c r="I307" s="38"/>
      <c r="J307" s="38"/>
      <c r="K307" s="38"/>
      <c r="L307" s="38">
        <v>755.41778328775206</v>
      </c>
      <c r="M307" s="38">
        <v>0.36991186919010871</v>
      </c>
      <c r="N307" s="38">
        <v>0.36724201120289668</v>
      </c>
      <c r="O307" s="38">
        <v>0</v>
      </c>
      <c r="P307" s="38">
        <v>0</v>
      </c>
      <c r="Q307" s="38">
        <v>0</v>
      </c>
      <c r="R307" s="38">
        <v>179.28901026929938</v>
      </c>
      <c r="S307" s="38">
        <v>414.30963302782595</v>
      </c>
      <c r="T307" s="38">
        <v>0</v>
      </c>
      <c r="U307" s="38">
        <v>320.3575520539332</v>
      </c>
      <c r="V307" s="38">
        <v>82.245353189209368</v>
      </c>
      <c r="W307" s="38">
        <v>191.9058241081552</v>
      </c>
      <c r="X307" s="38">
        <v>0</v>
      </c>
      <c r="Y307" s="38">
        <v>0</v>
      </c>
      <c r="Z307" s="38">
        <v>0</v>
      </c>
      <c r="AA307" s="38">
        <v>0</v>
      </c>
      <c r="AB307" s="38">
        <v>0</v>
      </c>
      <c r="AC307" s="38">
        <v>0</v>
      </c>
      <c r="AD307" s="38">
        <v>0</v>
      </c>
      <c r="AE307" s="38">
        <v>0</v>
      </c>
      <c r="AF307" s="38">
        <v>0</v>
      </c>
      <c r="AG307" s="38">
        <v>0</v>
      </c>
      <c r="AH307" s="38">
        <v>261.53436345850878</v>
      </c>
      <c r="AI307" s="38">
        <v>606.21545713598118</v>
      </c>
      <c r="AJ307" s="38">
        <v>0</v>
      </c>
      <c r="AK307" s="38">
        <v>320.3575520539332</v>
      </c>
      <c r="AL307" s="38">
        <v>1188.1073726484233</v>
      </c>
      <c r="AM307" s="38">
        <v>397.78750221012149</v>
      </c>
      <c r="AN307" s="38">
        <v>130.70779855043492</v>
      </c>
      <c r="AO307" s="38">
        <v>0</v>
      </c>
      <c r="AP307" s="38">
        <v>0</v>
      </c>
      <c r="AQ307" s="38">
        <v>528.49530076055635</v>
      </c>
      <c r="AR307" s="38">
        <v>261.53436345850878</v>
      </c>
      <c r="AS307" s="49">
        <v>2.0207489898144866</v>
      </c>
      <c r="AT307" s="38">
        <v>397.78750221012149</v>
      </c>
      <c r="AU307" s="38">
        <v>154.71910217471896</v>
      </c>
      <c r="AV307" s="38">
        <v>0</v>
      </c>
      <c r="AW307" s="38">
        <v>0</v>
      </c>
      <c r="AX307" s="38">
        <v>552.50660438484044</v>
      </c>
      <c r="AY307" s="38">
        <v>606.21545713598118</v>
      </c>
      <c r="AZ307" s="50">
        <v>0.9114030298651834</v>
      </c>
      <c r="BA307" s="38">
        <v>397.78750221012149</v>
      </c>
      <c r="BB307" s="38">
        <v>285.42690072515387</v>
      </c>
      <c r="BC307" s="38">
        <v>0</v>
      </c>
      <c r="BD307" s="38">
        <v>0</v>
      </c>
      <c r="BE307" s="38">
        <v>683.2144029352753</v>
      </c>
      <c r="BF307" s="38">
        <v>867.74982059448996</v>
      </c>
      <c r="BG307" s="38">
        <v>56.721380735806612</v>
      </c>
      <c r="BH307" s="50">
        <v>0.78734029869024857</v>
      </c>
      <c r="BI307" s="38">
        <v>25.474852009183401</v>
      </c>
      <c r="BJ307" s="38">
        <v>59.048642220465169</v>
      </c>
      <c r="BK307" s="38">
        <v>0</v>
      </c>
      <c r="BL307" s="38">
        <v>31.204546586830954</v>
      </c>
      <c r="BM307" s="38">
        <v>115.72804081647953</v>
      </c>
      <c r="BN307" s="38">
        <v>397.78750221012149</v>
      </c>
      <c r="BO307" s="38">
        <v>0</v>
      </c>
      <c r="BP307" s="38">
        <v>285.42690072515387</v>
      </c>
      <c r="BQ307" s="38">
        <v>0</v>
      </c>
      <c r="BR307" s="38">
        <v>0</v>
      </c>
      <c r="BS307" s="38">
        <v>0</v>
      </c>
      <c r="BT307" s="38">
        <v>0</v>
      </c>
      <c r="BU307" s="38">
        <v>0</v>
      </c>
      <c r="BV307" s="38">
        <v>70.168896786416198</v>
      </c>
      <c r="BW307" s="38">
        <v>0</v>
      </c>
      <c r="BX307" s="38">
        <v>913.95619535105857</v>
      </c>
      <c r="BY307" s="38">
        <v>274.1511772973646</v>
      </c>
      <c r="BZ307" s="38">
        <v>0</v>
      </c>
      <c r="CA307" s="38">
        <v>0</v>
      </c>
      <c r="CB307" s="38">
        <v>753.38329972169151</v>
      </c>
      <c r="CC307" s="38">
        <v>1188.1073726484233</v>
      </c>
      <c r="CD307" s="50">
        <v>0.63410371576292512</v>
      </c>
      <c r="CE307" s="38">
        <v>81.09109981605944</v>
      </c>
      <c r="CF307" s="38">
        <v>7.176541729604522</v>
      </c>
      <c r="CG307" s="38">
        <v>0</v>
      </c>
      <c r="CH307" s="38">
        <v>7.176541729604522</v>
      </c>
      <c r="CI307" s="38">
        <v>0.35882344706168223</v>
      </c>
      <c r="CJ307" s="38">
        <v>0</v>
      </c>
      <c r="CK307" s="38">
        <v>0.35882344706168223</v>
      </c>
      <c r="CL307" s="38"/>
      <c r="CM307" s="38">
        <v>0</v>
      </c>
      <c r="CN307" s="38"/>
      <c r="CO307" s="38">
        <v>0</v>
      </c>
      <c r="CP307" s="38">
        <v>0</v>
      </c>
      <c r="CQ307" s="38">
        <v>0</v>
      </c>
      <c r="CR307" s="38">
        <v>0</v>
      </c>
      <c r="CS307" s="38">
        <v>0</v>
      </c>
      <c r="CT307" s="38">
        <v>0</v>
      </c>
      <c r="CU307" s="38">
        <v>0</v>
      </c>
      <c r="CV307" s="38">
        <v>9999</v>
      </c>
      <c r="CW307" s="49">
        <v>9999</v>
      </c>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row>
    <row r="308" spans="1:131">
      <c r="A308" s="27" t="s">
        <v>886</v>
      </c>
      <c r="B308" s="27"/>
      <c r="C308" s="38">
        <v>44.999999999999993</v>
      </c>
      <c r="D308" s="38">
        <v>684.20301959714948</v>
      </c>
      <c r="E308" s="38">
        <v>0</v>
      </c>
      <c r="F308" s="38">
        <v>1423.5624999793488</v>
      </c>
      <c r="G308" s="38">
        <v>0</v>
      </c>
      <c r="H308" s="38">
        <v>0</v>
      </c>
      <c r="I308" s="38"/>
      <c r="J308" s="38"/>
      <c r="K308" s="38"/>
      <c r="L308" s="38">
        <v>737.561580957091</v>
      </c>
      <c r="M308" s="38">
        <v>0.36198212290439746</v>
      </c>
      <c r="N308" s="38">
        <v>0.35936949826983189</v>
      </c>
      <c r="O308" s="38">
        <v>0</v>
      </c>
      <c r="P308" s="38">
        <v>0</v>
      </c>
      <c r="Q308" s="38">
        <v>0</v>
      </c>
      <c r="R308" s="38">
        <v>186.19588957733831</v>
      </c>
      <c r="S308" s="38">
        <v>430.27038057829139</v>
      </c>
      <c r="T308" s="38">
        <v>0</v>
      </c>
      <c r="U308" s="38">
        <v>332.69891611262142</v>
      </c>
      <c r="V308" s="38">
        <v>85.413749998760935</v>
      </c>
      <c r="W308" s="38">
        <v>199.29874999710884</v>
      </c>
      <c r="X308" s="38">
        <v>0</v>
      </c>
      <c r="Y308" s="38">
        <v>0</v>
      </c>
      <c r="Z308" s="38">
        <v>0</v>
      </c>
      <c r="AA308" s="38">
        <v>0</v>
      </c>
      <c r="AB308" s="38">
        <v>0</v>
      </c>
      <c r="AC308" s="38">
        <v>0</v>
      </c>
      <c r="AD308" s="38">
        <v>0</v>
      </c>
      <c r="AE308" s="38">
        <v>0</v>
      </c>
      <c r="AF308" s="38">
        <v>0</v>
      </c>
      <c r="AG308" s="38">
        <v>0</v>
      </c>
      <c r="AH308" s="38">
        <v>271.60963957609926</v>
      </c>
      <c r="AI308" s="38">
        <v>629.56913057540021</v>
      </c>
      <c r="AJ308" s="38">
        <v>0</v>
      </c>
      <c r="AK308" s="38">
        <v>332.69891611262142</v>
      </c>
      <c r="AL308" s="38">
        <v>1233.8776862641209</v>
      </c>
      <c r="AM308" s="38">
        <v>388.38840500918263</v>
      </c>
      <c r="AN308" s="38">
        <v>127.90583471418906</v>
      </c>
      <c r="AO308" s="38">
        <v>0</v>
      </c>
      <c r="AP308" s="38">
        <v>0</v>
      </c>
      <c r="AQ308" s="38">
        <v>516.29423972337167</v>
      </c>
      <c r="AR308" s="38">
        <v>271.60963957609926</v>
      </c>
      <c r="AS308" s="49">
        <v>1.9008686161844304</v>
      </c>
      <c r="AT308" s="38">
        <v>388.38840500918263</v>
      </c>
      <c r="AU308" s="38">
        <v>151.40241155734375</v>
      </c>
      <c r="AV308" s="38">
        <v>0</v>
      </c>
      <c r="AW308" s="38">
        <v>0</v>
      </c>
      <c r="AX308" s="38">
        <v>539.79081656652636</v>
      </c>
      <c r="AY308" s="38">
        <v>629.56913057540021</v>
      </c>
      <c r="AZ308" s="50">
        <v>0.8573972108085729</v>
      </c>
      <c r="BA308" s="38">
        <v>388.38840500918263</v>
      </c>
      <c r="BB308" s="38">
        <v>279.30824627153282</v>
      </c>
      <c r="BC308" s="38">
        <v>0</v>
      </c>
      <c r="BD308" s="38">
        <v>0</v>
      </c>
      <c r="BE308" s="38">
        <v>667.6966512807154</v>
      </c>
      <c r="BF308" s="38">
        <v>901.17877015149952</v>
      </c>
      <c r="BG308" s="38">
        <v>62.040001548740378</v>
      </c>
      <c r="BH308" s="50">
        <v>0.74091475897558834</v>
      </c>
      <c r="BI308" s="38">
        <v>27.096737685554817</v>
      </c>
      <c r="BJ308" s="38">
        <v>62.808041764455808</v>
      </c>
      <c r="BK308" s="38">
        <v>0</v>
      </c>
      <c r="BL308" s="38">
        <v>33.191219841246777</v>
      </c>
      <c r="BM308" s="38">
        <v>123.09599929125741</v>
      </c>
      <c r="BN308" s="38">
        <v>388.38840500918263</v>
      </c>
      <c r="BO308" s="38">
        <v>0</v>
      </c>
      <c r="BP308" s="38">
        <v>279.30824627153282</v>
      </c>
      <c r="BQ308" s="38">
        <v>0</v>
      </c>
      <c r="BR308" s="38">
        <v>0</v>
      </c>
      <c r="BS308" s="38">
        <v>0</v>
      </c>
      <c r="BT308" s="38">
        <v>0</v>
      </c>
      <c r="BU308" s="38">
        <v>0</v>
      </c>
      <c r="BV308" s="38">
        <v>75.964713298985515</v>
      </c>
      <c r="BW308" s="38">
        <v>0</v>
      </c>
      <c r="BX308" s="38">
        <v>949.16518626825109</v>
      </c>
      <c r="BY308" s="38">
        <v>284.71249999586979</v>
      </c>
      <c r="BZ308" s="38">
        <v>0</v>
      </c>
      <c r="CA308" s="38">
        <v>0</v>
      </c>
      <c r="CB308" s="38">
        <v>743.66136457970094</v>
      </c>
      <c r="CC308" s="38">
        <v>1233.8776862641209</v>
      </c>
      <c r="CD308" s="50">
        <v>0.60270266077290469</v>
      </c>
      <c r="CE308" s="38">
        <v>87.652713083604795</v>
      </c>
      <c r="CF308" s="38">
        <v>7.0069052113345709</v>
      </c>
      <c r="CG308" s="38">
        <v>0</v>
      </c>
      <c r="CH308" s="38">
        <v>7.0069052113345709</v>
      </c>
      <c r="CI308" s="38">
        <v>0.35034175095461811</v>
      </c>
      <c r="CJ308" s="38">
        <v>0</v>
      </c>
      <c r="CK308" s="38">
        <v>0.35034175095461811</v>
      </c>
      <c r="CL308" s="38"/>
      <c r="CM308" s="38">
        <v>0</v>
      </c>
      <c r="CN308" s="38"/>
      <c r="CO308" s="38">
        <v>0</v>
      </c>
      <c r="CP308" s="38">
        <v>0</v>
      </c>
      <c r="CQ308" s="38">
        <v>0</v>
      </c>
      <c r="CR308" s="38">
        <v>0</v>
      </c>
      <c r="CS308" s="38">
        <v>0</v>
      </c>
      <c r="CT308" s="38">
        <v>0</v>
      </c>
      <c r="CU308" s="38">
        <v>0</v>
      </c>
      <c r="CV308" s="38">
        <v>9999</v>
      </c>
      <c r="CW308" s="49">
        <v>9999</v>
      </c>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row>
    <row r="309" spans="1:131">
      <c r="A309" s="27" t="s">
        <v>860</v>
      </c>
      <c r="B309" s="27"/>
      <c r="C309" s="38">
        <v>45</v>
      </c>
      <c r="D309" s="38">
        <v>764.05437473528536</v>
      </c>
      <c r="E309" s="38">
        <v>0</v>
      </c>
      <c r="F309" s="38">
        <v>1614.3440015787794</v>
      </c>
      <c r="G309" s="38">
        <v>0</v>
      </c>
      <c r="H309" s="38">
        <v>0</v>
      </c>
      <c r="I309" s="38"/>
      <c r="J309" s="38"/>
      <c r="K309" s="38"/>
      <c r="L309" s="38">
        <v>823.63357390767669</v>
      </c>
      <c r="M309" s="38">
        <v>0.4036371720549527</v>
      </c>
      <c r="N309" s="38">
        <v>0.40072389995555768</v>
      </c>
      <c r="O309" s="38">
        <v>0</v>
      </c>
      <c r="P309" s="38">
        <v>0</v>
      </c>
      <c r="Q309" s="38">
        <v>0</v>
      </c>
      <c r="R309" s="38">
        <v>211.14929443713316</v>
      </c>
      <c r="S309" s="38">
        <v>487.93390381782302</v>
      </c>
      <c r="T309" s="38">
        <v>0</v>
      </c>
      <c r="U309" s="38">
        <v>377.28620946812191</v>
      </c>
      <c r="V309" s="38">
        <v>96.860640094726762</v>
      </c>
      <c r="W309" s="38">
        <v>226.0081602210291</v>
      </c>
      <c r="X309" s="38">
        <v>0</v>
      </c>
      <c r="Y309" s="38">
        <v>0</v>
      </c>
      <c r="Z309" s="38">
        <v>0</v>
      </c>
      <c r="AA309" s="38">
        <v>0</v>
      </c>
      <c r="AB309" s="38">
        <v>0</v>
      </c>
      <c r="AC309" s="38">
        <v>0</v>
      </c>
      <c r="AD309" s="38">
        <v>0</v>
      </c>
      <c r="AE309" s="38">
        <v>0</v>
      </c>
      <c r="AF309" s="38">
        <v>0</v>
      </c>
      <c r="AG309" s="38">
        <v>0</v>
      </c>
      <c r="AH309" s="38">
        <v>308.00993453185993</v>
      </c>
      <c r="AI309" s="38">
        <v>713.9420640388521</v>
      </c>
      <c r="AJ309" s="38">
        <v>0</v>
      </c>
      <c r="AK309" s="38">
        <v>377.28620946812191</v>
      </c>
      <c r="AL309" s="38">
        <v>1399.2382080388338</v>
      </c>
      <c r="AM309" s="38">
        <v>433.70996433726879</v>
      </c>
      <c r="AN309" s="38">
        <v>142.62458322285363</v>
      </c>
      <c r="AO309" s="38">
        <v>0</v>
      </c>
      <c r="AP309" s="38">
        <v>0</v>
      </c>
      <c r="AQ309" s="38">
        <v>576.33454756012247</v>
      </c>
      <c r="AR309" s="38">
        <v>308.00993453185993</v>
      </c>
      <c r="AS309" s="49">
        <v>1.8711557094289359</v>
      </c>
      <c r="AT309" s="38">
        <v>433.70996433726879</v>
      </c>
      <c r="AU309" s="38">
        <v>168.82502581335052</v>
      </c>
      <c r="AV309" s="38">
        <v>0</v>
      </c>
      <c r="AW309" s="38">
        <v>0</v>
      </c>
      <c r="AX309" s="38">
        <v>602.53499015061925</v>
      </c>
      <c r="AY309" s="38">
        <v>713.9420640388521</v>
      </c>
      <c r="AZ309" s="50">
        <v>0.84395502170303527</v>
      </c>
      <c r="BA309" s="38">
        <v>433.70996433726879</v>
      </c>
      <c r="BB309" s="38">
        <v>311.44960903620415</v>
      </c>
      <c r="BC309" s="38">
        <v>0</v>
      </c>
      <c r="BD309" s="38">
        <v>0</v>
      </c>
      <c r="BE309" s="38">
        <v>745.15957337347288</v>
      </c>
      <c r="BF309" s="38">
        <v>1021.951998570712</v>
      </c>
      <c r="BG309" s="38">
        <v>63.474840136230981</v>
      </c>
      <c r="BH309" s="50">
        <v>0.72915320329686995</v>
      </c>
      <c r="BI309" s="38">
        <v>27.516981846591275</v>
      </c>
      <c r="BJ309" s="38">
        <v>63.782133668947957</v>
      </c>
      <c r="BK309" s="38">
        <v>0</v>
      </c>
      <c r="BL309" s="38">
        <v>33.705983518624706</v>
      </c>
      <c r="BM309" s="38">
        <v>125.00509903416393</v>
      </c>
      <c r="BN309" s="38">
        <v>433.70996433726879</v>
      </c>
      <c r="BO309" s="38">
        <v>0</v>
      </c>
      <c r="BP309" s="38">
        <v>311.44960903620415</v>
      </c>
      <c r="BQ309" s="38">
        <v>0</v>
      </c>
      <c r="BR309" s="38">
        <v>0</v>
      </c>
      <c r="BS309" s="38">
        <v>0</v>
      </c>
      <c r="BT309" s="38">
        <v>0</v>
      </c>
      <c r="BU309" s="38">
        <v>0</v>
      </c>
      <c r="BV309" s="38">
        <v>78.349008808437333</v>
      </c>
      <c r="BW309" s="38">
        <v>0</v>
      </c>
      <c r="BX309" s="38">
        <v>1076.369407723078</v>
      </c>
      <c r="BY309" s="38">
        <v>322.86880031575589</v>
      </c>
      <c r="BZ309" s="38">
        <v>0</v>
      </c>
      <c r="CA309" s="38">
        <v>0</v>
      </c>
      <c r="CB309" s="38">
        <v>823.50858218191036</v>
      </c>
      <c r="CC309" s="38">
        <v>1399.2382080388338</v>
      </c>
      <c r="CD309" s="50">
        <v>0.58854066266253291</v>
      </c>
      <c r="CE309" s="38">
        <v>90.181282369419662</v>
      </c>
      <c r="CF309" s="38">
        <v>7.8245979676357402</v>
      </c>
      <c r="CG309" s="38">
        <v>0</v>
      </c>
      <c r="CH309" s="38">
        <v>7.8245979676357402</v>
      </c>
      <c r="CI309" s="38">
        <v>0.39122594760614648</v>
      </c>
      <c r="CJ309" s="38">
        <v>0</v>
      </c>
      <c r="CK309" s="38">
        <v>0.39122594760614648</v>
      </c>
      <c r="CL309" s="38"/>
      <c r="CM309" s="38">
        <v>0</v>
      </c>
      <c r="CN309" s="38"/>
      <c r="CO309" s="38">
        <v>0</v>
      </c>
      <c r="CP309" s="38">
        <v>0</v>
      </c>
      <c r="CQ309" s="38">
        <v>0</v>
      </c>
      <c r="CR309" s="38">
        <v>0</v>
      </c>
      <c r="CS309" s="38">
        <v>0</v>
      </c>
      <c r="CT309" s="38">
        <v>0</v>
      </c>
      <c r="CU309" s="38">
        <v>0</v>
      </c>
      <c r="CV309" s="38">
        <v>9999</v>
      </c>
      <c r="CW309" s="49">
        <v>9999</v>
      </c>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row>
    <row r="310" spans="1:131">
      <c r="A310" s="27" t="s">
        <v>892</v>
      </c>
      <c r="B310" s="27"/>
      <c r="C310" s="38">
        <v>15</v>
      </c>
      <c r="D310" s="38">
        <v>404.63210407345576</v>
      </c>
      <c r="E310" s="38">
        <v>0</v>
      </c>
      <c r="F310" s="38">
        <v>548.47810817052937</v>
      </c>
      <c r="G310" s="38">
        <v>0</v>
      </c>
      <c r="H310" s="38">
        <v>0</v>
      </c>
      <c r="I310" s="38"/>
      <c r="J310" s="38"/>
      <c r="K310" s="38"/>
      <c r="L310" s="38">
        <v>436.32229192874519</v>
      </c>
      <c r="M310" s="38">
        <v>0.22594816964288897</v>
      </c>
      <c r="N310" s="38">
        <v>0.22431737707941224</v>
      </c>
      <c r="O310" s="38">
        <v>0</v>
      </c>
      <c r="P310" s="38">
        <v>0</v>
      </c>
      <c r="Q310" s="38">
        <v>0</v>
      </c>
      <c r="R310" s="38">
        <v>109.37386161520297</v>
      </c>
      <c r="S310" s="38">
        <v>252.74635852229051</v>
      </c>
      <c r="T310" s="38">
        <v>0</v>
      </c>
      <c r="U310" s="38">
        <v>319.57476551375532</v>
      </c>
      <c r="V310" s="38">
        <v>32.908686490231766</v>
      </c>
      <c r="W310" s="38">
        <v>76.786935143874118</v>
      </c>
      <c r="X310" s="38">
        <v>0</v>
      </c>
      <c r="Y310" s="38">
        <v>0</v>
      </c>
      <c r="Z310" s="38">
        <v>0</v>
      </c>
      <c r="AA310" s="38">
        <v>0</v>
      </c>
      <c r="AB310" s="38">
        <v>0</v>
      </c>
      <c r="AC310" s="38">
        <v>0</v>
      </c>
      <c r="AD310" s="38">
        <v>0</v>
      </c>
      <c r="AE310" s="38">
        <v>0</v>
      </c>
      <c r="AF310" s="38">
        <v>0</v>
      </c>
      <c r="AG310" s="38">
        <v>0</v>
      </c>
      <c r="AH310" s="38">
        <v>142.28254810543473</v>
      </c>
      <c r="AI310" s="38">
        <v>329.53329366616464</v>
      </c>
      <c r="AJ310" s="38">
        <v>0</v>
      </c>
      <c r="AK310" s="38">
        <v>319.57476551375532</v>
      </c>
      <c r="AL310" s="38">
        <v>791.39060728535469</v>
      </c>
      <c r="AM310" s="38">
        <v>229.81290622646065</v>
      </c>
      <c r="AN310" s="38">
        <v>79.83844342486951</v>
      </c>
      <c r="AO310" s="38">
        <v>0</v>
      </c>
      <c r="AP310" s="38">
        <v>0</v>
      </c>
      <c r="AQ310" s="38">
        <v>309.65134965133018</v>
      </c>
      <c r="AR310" s="38">
        <v>142.28254810543473</v>
      </c>
      <c r="AS310" s="49">
        <v>2.176312933486904</v>
      </c>
      <c r="AT310" s="38">
        <v>229.81290622646065</v>
      </c>
      <c r="AU310" s="38">
        <v>94.504937140047971</v>
      </c>
      <c r="AV310" s="38">
        <v>0</v>
      </c>
      <c r="AW310" s="38">
        <v>0</v>
      </c>
      <c r="AX310" s="38">
        <v>324.31784336650861</v>
      </c>
      <c r="AY310" s="38">
        <v>329.53329366616464</v>
      </c>
      <c r="AZ310" s="50">
        <v>0.98417322194782675</v>
      </c>
      <c r="BA310" s="38">
        <v>229.81290622646065</v>
      </c>
      <c r="BB310" s="38">
        <v>174.34338056491748</v>
      </c>
      <c r="BC310" s="38">
        <v>0</v>
      </c>
      <c r="BD310" s="38">
        <v>0</v>
      </c>
      <c r="BE310" s="38">
        <v>404.15628679137814</v>
      </c>
      <c r="BF310" s="38">
        <v>471.81584177159937</v>
      </c>
      <c r="BG310" s="38">
        <v>50.16600062626955</v>
      </c>
      <c r="BH310" s="50">
        <v>0.85659753448258646</v>
      </c>
      <c r="BI310" s="38">
        <v>23.994645986423617</v>
      </c>
      <c r="BJ310" s="38">
        <v>55.572765792755511</v>
      </c>
      <c r="BK310" s="38">
        <v>0</v>
      </c>
      <c r="BL310" s="38">
        <v>53.893351410987293</v>
      </c>
      <c r="BM310" s="38">
        <v>133.46076319016643</v>
      </c>
      <c r="BN310" s="38">
        <v>229.81290622646065</v>
      </c>
      <c r="BO310" s="38">
        <v>0</v>
      </c>
      <c r="BP310" s="38">
        <v>174.34338056491748</v>
      </c>
      <c r="BQ310" s="38">
        <v>0</v>
      </c>
      <c r="BR310" s="38">
        <v>0</v>
      </c>
      <c r="BS310" s="38">
        <v>0</v>
      </c>
      <c r="BT310" s="38">
        <v>0</v>
      </c>
      <c r="BU310" s="38">
        <v>0</v>
      </c>
      <c r="BV310" s="38">
        <v>48.370775706772278</v>
      </c>
      <c r="BW310" s="38">
        <v>0</v>
      </c>
      <c r="BX310" s="38">
        <v>681.69498565124877</v>
      </c>
      <c r="BY310" s="38">
        <v>109.69562163410588</v>
      </c>
      <c r="BZ310" s="38">
        <v>0</v>
      </c>
      <c r="CA310" s="38">
        <v>0</v>
      </c>
      <c r="CB310" s="38">
        <v>452.52706249815043</v>
      </c>
      <c r="CC310" s="38">
        <v>791.39060728535469</v>
      </c>
      <c r="CD310" s="50">
        <v>0.57181252637104019</v>
      </c>
      <c r="CE310" s="38">
        <v>95.9020646212862</v>
      </c>
      <c r="CF310" s="38">
        <v>4.1450905955783925</v>
      </c>
      <c r="CG310" s="38">
        <v>0</v>
      </c>
      <c r="CH310" s="38">
        <v>4.1450905955783925</v>
      </c>
      <c r="CI310" s="38">
        <v>0.20725308866615397</v>
      </c>
      <c r="CJ310" s="38">
        <v>0</v>
      </c>
      <c r="CK310" s="38">
        <v>0.20725308866615397</v>
      </c>
      <c r="CL310" s="38"/>
      <c r="CM310" s="38">
        <v>0</v>
      </c>
      <c r="CN310" s="38"/>
      <c r="CO310" s="38">
        <v>0</v>
      </c>
      <c r="CP310" s="38">
        <v>0</v>
      </c>
      <c r="CQ310" s="38">
        <v>0</v>
      </c>
      <c r="CR310" s="38">
        <v>0</v>
      </c>
      <c r="CS310" s="38">
        <v>0</v>
      </c>
      <c r="CT310" s="38">
        <v>0</v>
      </c>
      <c r="CU310" s="38">
        <v>0</v>
      </c>
      <c r="CV310" s="38">
        <v>9999</v>
      </c>
      <c r="CW310" s="49">
        <v>9999</v>
      </c>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row>
    <row r="311" spans="1:131">
      <c r="A311" s="27" t="s">
        <v>850</v>
      </c>
      <c r="B311" s="27"/>
      <c r="C311" s="38">
        <v>44.999999999999993</v>
      </c>
      <c r="D311" s="38">
        <v>232.75928899602948</v>
      </c>
      <c r="E311" s="38">
        <v>0</v>
      </c>
      <c r="F311" s="38">
        <v>498.386480559549</v>
      </c>
      <c r="G311" s="38">
        <v>0</v>
      </c>
      <c r="H311" s="38">
        <v>0</v>
      </c>
      <c r="I311" s="38"/>
      <c r="J311" s="38"/>
      <c r="K311" s="38"/>
      <c r="L311" s="38">
        <v>250.87117127065753</v>
      </c>
      <c r="M311" s="38">
        <v>0.11959126374110536</v>
      </c>
      <c r="N311" s="38">
        <v>0.11872810762935627</v>
      </c>
      <c r="O311" s="38">
        <v>0</v>
      </c>
      <c r="P311" s="38">
        <v>0</v>
      </c>
      <c r="Q311" s="38">
        <v>0</v>
      </c>
      <c r="R311" s="38">
        <v>65.186821163419424</v>
      </c>
      <c r="S311" s="38">
        <v>150.63682884913254</v>
      </c>
      <c r="T311" s="38">
        <v>0</v>
      </c>
      <c r="U311" s="38">
        <v>116.4772476724776</v>
      </c>
      <c r="V311" s="38">
        <v>29.903188833572941</v>
      </c>
      <c r="W311" s="38">
        <v>69.774107278336857</v>
      </c>
      <c r="X311" s="38">
        <v>0</v>
      </c>
      <c r="Y311" s="38">
        <v>0</v>
      </c>
      <c r="Z311" s="38">
        <v>0</v>
      </c>
      <c r="AA311" s="38">
        <v>0</v>
      </c>
      <c r="AB311" s="38">
        <v>0</v>
      </c>
      <c r="AC311" s="38">
        <v>0</v>
      </c>
      <c r="AD311" s="38">
        <v>0</v>
      </c>
      <c r="AE311" s="38">
        <v>0</v>
      </c>
      <c r="AF311" s="38">
        <v>0</v>
      </c>
      <c r="AG311" s="38">
        <v>0</v>
      </c>
      <c r="AH311" s="38">
        <v>95.090009996992364</v>
      </c>
      <c r="AI311" s="38">
        <v>220.4109361274694</v>
      </c>
      <c r="AJ311" s="38">
        <v>0</v>
      </c>
      <c r="AK311" s="38">
        <v>116.4772476724776</v>
      </c>
      <c r="AL311" s="38">
        <v>431.97819379693937</v>
      </c>
      <c r="AM311" s="38">
        <v>132.08916599642362</v>
      </c>
      <c r="AN311" s="38">
        <v>42.257391858466796</v>
      </c>
      <c r="AO311" s="38">
        <v>0</v>
      </c>
      <c r="AP311" s="38">
        <v>0</v>
      </c>
      <c r="AQ311" s="38">
        <v>174.34655785489042</v>
      </c>
      <c r="AR311" s="38">
        <v>95.090009996992364</v>
      </c>
      <c r="AS311" s="49">
        <v>1.8334897415659634</v>
      </c>
      <c r="AT311" s="38">
        <v>132.08916599642362</v>
      </c>
      <c r="AU311" s="38">
        <v>50.020165599105383</v>
      </c>
      <c r="AV311" s="38">
        <v>0</v>
      </c>
      <c r="AW311" s="38">
        <v>0</v>
      </c>
      <c r="AX311" s="38">
        <v>182.109331595529</v>
      </c>
      <c r="AY311" s="38">
        <v>220.4109361274694</v>
      </c>
      <c r="AZ311" s="50">
        <v>0.82622638783318092</v>
      </c>
      <c r="BA311" s="38">
        <v>132.08916599642362</v>
      </c>
      <c r="BB311" s="38">
        <v>92.277557457572186</v>
      </c>
      <c r="BC311" s="38">
        <v>0</v>
      </c>
      <c r="BD311" s="38">
        <v>0</v>
      </c>
      <c r="BE311" s="38">
        <v>224.3667234539958</v>
      </c>
      <c r="BF311" s="38">
        <v>315.50094612446179</v>
      </c>
      <c r="BG311" s="38">
        <v>65.47251949757478</v>
      </c>
      <c r="BH311" s="50">
        <v>0.7111443759838536</v>
      </c>
      <c r="BI311" s="38">
        <v>27.890368346854707</v>
      </c>
      <c r="BJ311" s="38">
        <v>64.647613313581772</v>
      </c>
      <c r="BK311" s="38">
        <v>0</v>
      </c>
      <c r="BL311" s="38">
        <v>34.163350510910419</v>
      </c>
      <c r="BM311" s="38">
        <v>126.70133217134691</v>
      </c>
      <c r="BN311" s="38">
        <v>132.08916599642362</v>
      </c>
      <c r="BO311" s="38">
        <v>0</v>
      </c>
      <c r="BP311" s="38">
        <v>92.277557457572186</v>
      </c>
      <c r="BQ311" s="38">
        <v>0</v>
      </c>
      <c r="BR311" s="38">
        <v>0</v>
      </c>
      <c r="BS311" s="38">
        <v>0</v>
      </c>
      <c r="BT311" s="38">
        <v>0</v>
      </c>
      <c r="BU311" s="38">
        <v>0</v>
      </c>
      <c r="BV311" s="38">
        <v>22.281126860818951</v>
      </c>
      <c r="BW311" s="38">
        <v>0</v>
      </c>
      <c r="BX311" s="38">
        <v>332.30089768502955</v>
      </c>
      <c r="BY311" s="38">
        <v>99.677296111909811</v>
      </c>
      <c r="BZ311" s="38">
        <v>0</v>
      </c>
      <c r="CA311" s="38">
        <v>0</v>
      </c>
      <c r="CB311" s="38">
        <v>246.64785031481475</v>
      </c>
      <c r="CC311" s="38">
        <v>431.97819379693937</v>
      </c>
      <c r="CD311" s="50">
        <v>0.5709729191347952</v>
      </c>
      <c r="CE311" s="38">
        <v>93.100705743060303</v>
      </c>
      <c r="CF311" s="38">
        <v>2.3833038008192813</v>
      </c>
      <c r="CG311" s="38">
        <v>0</v>
      </c>
      <c r="CH311" s="38">
        <v>2.3833038008192813</v>
      </c>
      <c r="CI311" s="38">
        <v>0.11916380635356229</v>
      </c>
      <c r="CJ311" s="38">
        <v>0</v>
      </c>
      <c r="CK311" s="38">
        <v>0.11916380635356229</v>
      </c>
      <c r="CL311" s="38"/>
      <c r="CM311" s="38">
        <v>0</v>
      </c>
      <c r="CN311" s="38"/>
      <c r="CO311" s="38">
        <v>0</v>
      </c>
      <c r="CP311" s="38">
        <v>0</v>
      </c>
      <c r="CQ311" s="38">
        <v>0</v>
      </c>
      <c r="CR311" s="38">
        <v>0</v>
      </c>
      <c r="CS311" s="38">
        <v>0</v>
      </c>
      <c r="CT311" s="38">
        <v>0</v>
      </c>
      <c r="CU311" s="38">
        <v>0</v>
      </c>
      <c r="CV311" s="38">
        <v>9999</v>
      </c>
      <c r="CW311" s="49">
        <v>9999</v>
      </c>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row>
    <row r="312" spans="1:131">
      <c r="A312" s="27" t="s">
        <v>878</v>
      </c>
      <c r="B312" s="27"/>
      <c r="C312" s="38">
        <v>45.000000000000007</v>
      </c>
      <c r="D312" s="38">
        <v>236.48069209656174</v>
      </c>
      <c r="E312" s="38">
        <v>0</v>
      </c>
      <c r="F312" s="38">
        <v>517.58618089150252</v>
      </c>
      <c r="G312" s="38">
        <v>0</v>
      </c>
      <c r="H312" s="38">
        <v>0</v>
      </c>
      <c r="I312" s="38"/>
      <c r="J312" s="38"/>
      <c r="K312" s="38"/>
      <c r="L312" s="38">
        <v>254.89161364580158</v>
      </c>
      <c r="M312" s="38">
        <v>0.12233959347922661</v>
      </c>
      <c r="N312" s="38">
        <v>0.12145660115589858</v>
      </c>
      <c r="O312" s="38">
        <v>0</v>
      </c>
      <c r="P312" s="38">
        <v>0</v>
      </c>
      <c r="Q312" s="38">
        <v>0</v>
      </c>
      <c r="R312" s="38">
        <v>67.698059892297323</v>
      </c>
      <c r="S312" s="38">
        <v>156.43991959431489</v>
      </c>
      <c r="T312" s="38">
        <v>0</v>
      </c>
      <c r="U312" s="38">
        <v>120.96438433856761</v>
      </c>
      <c r="V312" s="38">
        <v>31.055170853490154</v>
      </c>
      <c r="W312" s="38">
        <v>72.462065324810354</v>
      </c>
      <c r="X312" s="38">
        <v>0</v>
      </c>
      <c r="Y312" s="38">
        <v>0</v>
      </c>
      <c r="Z312" s="38">
        <v>0</v>
      </c>
      <c r="AA312" s="38">
        <v>0</v>
      </c>
      <c r="AB312" s="38">
        <v>0</v>
      </c>
      <c r="AC312" s="38">
        <v>0</v>
      </c>
      <c r="AD312" s="38">
        <v>0</v>
      </c>
      <c r="AE312" s="38">
        <v>0</v>
      </c>
      <c r="AF312" s="38">
        <v>0</v>
      </c>
      <c r="AG312" s="38">
        <v>0</v>
      </c>
      <c r="AH312" s="38">
        <v>98.753230745787477</v>
      </c>
      <c r="AI312" s="38">
        <v>228.90198491912525</v>
      </c>
      <c r="AJ312" s="38">
        <v>0</v>
      </c>
      <c r="AK312" s="38">
        <v>120.96438433856761</v>
      </c>
      <c r="AL312" s="38">
        <v>448.61960000348034</v>
      </c>
      <c r="AM312" s="38">
        <v>134.2097080856324</v>
      </c>
      <c r="AN312" s="38">
        <v>43.228510007627619</v>
      </c>
      <c r="AO312" s="38">
        <v>0</v>
      </c>
      <c r="AP312" s="38">
        <v>0</v>
      </c>
      <c r="AQ312" s="38">
        <v>177.43821809326002</v>
      </c>
      <c r="AR312" s="38">
        <v>98.753230745787477</v>
      </c>
      <c r="AS312" s="49">
        <v>1.7967839305432447</v>
      </c>
      <c r="AT312" s="38">
        <v>134.2097080856324</v>
      </c>
      <c r="AU312" s="38">
        <v>51.169680240236481</v>
      </c>
      <c r="AV312" s="38">
        <v>0</v>
      </c>
      <c r="AW312" s="38">
        <v>0</v>
      </c>
      <c r="AX312" s="38">
        <v>185.37938832586889</v>
      </c>
      <c r="AY312" s="38">
        <v>228.90198491912525</v>
      </c>
      <c r="AZ312" s="50">
        <v>0.80986361211051272</v>
      </c>
      <c r="BA312" s="38">
        <v>134.2097080856324</v>
      </c>
      <c r="BB312" s="38">
        <v>94.398190247864108</v>
      </c>
      <c r="BC312" s="38">
        <v>0</v>
      </c>
      <c r="BD312" s="38">
        <v>0</v>
      </c>
      <c r="BE312" s="38">
        <v>228.60789833349651</v>
      </c>
      <c r="BF312" s="38">
        <v>327.6552156649127</v>
      </c>
      <c r="BG312" s="38">
        <v>67.336308013987136</v>
      </c>
      <c r="BH312" s="50">
        <v>0.69770871148680214</v>
      </c>
      <c r="BI312" s="38">
        <v>28.507942905408708</v>
      </c>
      <c r="BJ312" s="38">
        <v>66.079101085890372</v>
      </c>
      <c r="BK312" s="38">
        <v>0</v>
      </c>
      <c r="BL312" s="38">
        <v>34.919827293436697</v>
      </c>
      <c r="BM312" s="38">
        <v>129.50687128473578</v>
      </c>
      <c r="BN312" s="38">
        <v>134.2097080856324</v>
      </c>
      <c r="BO312" s="38">
        <v>0</v>
      </c>
      <c r="BP312" s="38">
        <v>94.398190247864108</v>
      </c>
      <c r="BQ312" s="38">
        <v>0</v>
      </c>
      <c r="BR312" s="38">
        <v>0</v>
      </c>
      <c r="BS312" s="38">
        <v>0</v>
      </c>
      <c r="BT312" s="38">
        <v>0</v>
      </c>
      <c r="BU312" s="38">
        <v>0</v>
      </c>
      <c r="BV312" s="38">
        <v>24.820458291518538</v>
      </c>
      <c r="BW312" s="38">
        <v>0</v>
      </c>
      <c r="BX312" s="38">
        <v>345.10236382517985</v>
      </c>
      <c r="BY312" s="38">
        <v>103.51723617830051</v>
      </c>
      <c r="BZ312" s="38">
        <v>0</v>
      </c>
      <c r="CA312" s="38">
        <v>0</v>
      </c>
      <c r="CB312" s="38">
        <v>253.42835662501506</v>
      </c>
      <c r="CC312" s="38">
        <v>448.61960000348034</v>
      </c>
      <c r="CD312" s="50">
        <v>0.5649070094642521</v>
      </c>
      <c r="CE312" s="38">
        <v>95.091000531406678</v>
      </c>
      <c r="CF312" s="38">
        <v>2.4214975522324709</v>
      </c>
      <c r="CG312" s="38">
        <v>0</v>
      </c>
      <c r="CH312" s="38">
        <v>2.4214975522324709</v>
      </c>
      <c r="CI312" s="38">
        <v>0.12107351648175575</v>
      </c>
      <c r="CJ312" s="38">
        <v>0</v>
      </c>
      <c r="CK312" s="38">
        <v>0.12107351648175575</v>
      </c>
      <c r="CL312" s="38"/>
      <c r="CM312" s="38">
        <v>0</v>
      </c>
      <c r="CN312" s="38"/>
      <c r="CO312" s="38">
        <v>0</v>
      </c>
      <c r="CP312" s="38">
        <v>0</v>
      </c>
      <c r="CQ312" s="38">
        <v>0</v>
      </c>
      <c r="CR312" s="38">
        <v>0</v>
      </c>
      <c r="CS312" s="38">
        <v>0</v>
      </c>
      <c r="CT312" s="38">
        <v>0</v>
      </c>
      <c r="CU312" s="38">
        <v>0</v>
      </c>
      <c r="CV312" s="38">
        <v>9999</v>
      </c>
      <c r="CW312" s="49">
        <v>9999</v>
      </c>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row>
    <row r="313" spans="1:131">
      <c r="A313" s="27" t="s">
        <v>888</v>
      </c>
      <c r="B313" s="27"/>
      <c r="C313" s="38">
        <v>45</v>
      </c>
      <c r="D313" s="38">
        <v>745.89870517047916</v>
      </c>
      <c r="E313" s="38">
        <v>0</v>
      </c>
      <c r="F313" s="38">
        <v>1676.5345349740685</v>
      </c>
      <c r="G313" s="38">
        <v>0</v>
      </c>
      <c r="H313" s="38">
        <v>0</v>
      </c>
      <c r="I313" s="38"/>
      <c r="J313" s="38"/>
      <c r="K313" s="38"/>
      <c r="L313" s="38">
        <v>804.07204601148794</v>
      </c>
      <c r="M313" s="38">
        <v>0.39491889156164106</v>
      </c>
      <c r="N313" s="38">
        <v>0.39206854410118991</v>
      </c>
      <c r="O313" s="38">
        <v>0</v>
      </c>
      <c r="P313" s="38">
        <v>0</v>
      </c>
      <c r="Q313" s="38">
        <v>0</v>
      </c>
      <c r="R313" s="38">
        <v>219.28355035423763</v>
      </c>
      <c r="S313" s="38">
        <v>506.7309320289105</v>
      </c>
      <c r="T313" s="38">
        <v>0</v>
      </c>
      <c r="U313" s="38">
        <v>391.82067708256011</v>
      </c>
      <c r="V313" s="38">
        <v>100.59207209844411</v>
      </c>
      <c r="W313" s="38">
        <v>234.71483489636958</v>
      </c>
      <c r="X313" s="38">
        <v>0</v>
      </c>
      <c r="Y313" s="38">
        <v>0</v>
      </c>
      <c r="Z313" s="38">
        <v>0</v>
      </c>
      <c r="AA313" s="38">
        <v>0</v>
      </c>
      <c r="AB313" s="38">
        <v>0</v>
      </c>
      <c r="AC313" s="38">
        <v>0</v>
      </c>
      <c r="AD313" s="38">
        <v>0</v>
      </c>
      <c r="AE313" s="38">
        <v>0</v>
      </c>
      <c r="AF313" s="38">
        <v>0</v>
      </c>
      <c r="AG313" s="38">
        <v>0</v>
      </c>
      <c r="AH313" s="38">
        <v>319.87562245268174</v>
      </c>
      <c r="AI313" s="38">
        <v>741.44576692528005</v>
      </c>
      <c r="AJ313" s="38">
        <v>0</v>
      </c>
      <c r="AK313" s="38">
        <v>391.82067708256011</v>
      </c>
      <c r="AL313" s="38">
        <v>1453.1420664605221</v>
      </c>
      <c r="AM313" s="38">
        <v>423.41308416222876</v>
      </c>
      <c r="AN313" s="38">
        <v>139.54399201900577</v>
      </c>
      <c r="AO313" s="38">
        <v>0</v>
      </c>
      <c r="AP313" s="38">
        <v>0</v>
      </c>
      <c r="AQ313" s="38">
        <v>562.95707618123447</v>
      </c>
      <c r="AR313" s="38">
        <v>319.87562245268174</v>
      </c>
      <c r="AS313" s="49">
        <v>1.7599249103907912</v>
      </c>
      <c r="AT313" s="38">
        <v>423.41308416222876</v>
      </c>
      <c r="AU313" s="38">
        <v>165.17852338187731</v>
      </c>
      <c r="AV313" s="38">
        <v>0</v>
      </c>
      <c r="AW313" s="38">
        <v>0</v>
      </c>
      <c r="AX313" s="38">
        <v>588.59160754410607</v>
      </c>
      <c r="AY313" s="38">
        <v>741.44576692528005</v>
      </c>
      <c r="AZ313" s="50">
        <v>0.79384310195060026</v>
      </c>
      <c r="BA313" s="38">
        <v>423.41308416222876</v>
      </c>
      <c r="BB313" s="38">
        <v>304.72251540088308</v>
      </c>
      <c r="BC313" s="38">
        <v>0</v>
      </c>
      <c r="BD313" s="38">
        <v>0</v>
      </c>
      <c r="BE313" s="38">
        <v>728.13559956311178</v>
      </c>
      <c r="BF313" s="38">
        <v>1061.3213893779619</v>
      </c>
      <c r="BG313" s="38">
        <v>69.237414383521227</v>
      </c>
      <c r="BH313" s="50">
        <v>0.68606513243822442</v>
      </c>
      <c r="BI313" s="38">
        <v>29.27226273352089</v>
      </c>
      <c r="BJ313" s="38">
        <v>67.850732499330334</v>
      </c>
      <c r="BK313" s="38">
        <v>0</v>
      </c>
      <c r="BL313" s="38">
        <v>35.856054662881952</v>
      </c>
      <c r="BM313" s="38">
        <v>132.9790498957332</v>
      </c>
      <c r="BN313" s="38">
        <v>423.41308416222876</v>
      </c>
      <c r="BO313" s="38">
        <v>0</v>
      </c>
      <c r="BP313" s="38">
        <v>304.72251540088308</v>
      </c>
      <c r="BQ313" s="38">
        <v>0</v>
      </c>
      <c r="BR313" s="38">
        <v>0</v>
      </c>
      <c r="BS313" s="38">
        <v>0</v>
      </c>
      <c r="BT313" s="38">
        <v>0</v>
      </c>
      <c r="BU313" s="38">
        <v>0</v>
      </c>
      <c r="BV313" s="38">
        <v>84.769122344652004</v>
      </c>
      <c r="BW313" s="38">
        <v>0</v>
      </c>
      <c r="BX313" s="38">
        <v>1117.8351594657083</v>
      </c>
      <c r="BY313" s="38">
        <v>335.30690699481374</v>
      </c>
      <c r="BZ313" s="38">
        <v>0</v>
      </c>
      <c r="CA313" s="38">
        <v>0</v>
      </c>
      <c r="CB313" s="38">
        <v>812.90472190776381</v>
      </c>
      <c r="CC313" s="38">
        <v>1453.1420664605221</v>
      </c>
      <c r="CD313" s="50">
        <v>0.55941173314718584</v>
      </c>
      <c r="CE313" s="38">
        <v>97.336128859188079</v>
      </c>
      <c r="CF313" s="38">
        <v>7.638760642132036</v>
      </c>
      <c r="CG313" s="38">
        <v>0</v>
      </c>
      <c r="CH313" s="38">
        <v>7.638760642132036</v>
      </c>
      <c r="CI313" s="38">
        <v>0.38193422185545683</v>
      </c>
      <c r="CJ313" s="38">
        <v>0</v>
      </c>
      <c r="CK313" s="38">
        <v>0.38193422185545683</v>
      </c>
      <c r="CL313" s="38"/>
      <c r="CM313" s="38">
        <v>0</v>
      </c>
      <c r="CN313" s="38"/>
      <c r="CO313" s="38">
        <v>0</v>
      </c>
      <c r="CP313" s="38">
        <v>0</v>
      </c>
      <c r="CQ313" s="38">
        <v>0</v>
      </c>
      <c r="CR313" s="38">
        <v>0</v>
      </c>
      <c r="CS313" s="38">
        <v>0</v>
      </c>
      <c r="CT313" s="38">
        <v>0</v>
      </c>
      <c r="CU313" s="38">
        <v>0</v>
      </c>
      <c r="CV313" s="38">
        <v>9999</v>
      </c>
      <c r="CW313" s="49">
        <v>9999</v>
      </c>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row>
    <row r="314" spans="1:131">
      <c r="A314" s="27" t="s">
        <v>894</v>
      </c>
      <c r="B314" s="27"/>
      <c r="C314" s="38">
        <v>14.999999999999998</v>
      </c>
      <c r="D314" s="38">
        <v>406.40752875438318</v>
      </c>
      <c r="E314" s="38">
        <v>0</v>
      </c>
      <c r="F314" s="38">
        <v>569.60752424876659</v>
      </c>
      <c r="G314" s="38">
        <v>0</v>
      </c>
      <c r="H314" s="38">
        <v>0</v>
      </c>
      <c r="I314" s="38"/>
      <c r="J314" s="38"/>
      <c r="K314" s="38"/>
      <c r="L314" s="38">
        <v>438.23635218758727</v>
      </c>
      <c r="M314" s="38">
        <v>0.2269030696801565</v>
      </c>
      <c r="N314" s="38">
        <v>0.22526538507642954</v>
      </c>
      <c r="O314" s="38">
        <v>0</v>
      </c>
      <c r="P314" s="38">
        <v>0</v>
      </c>
      <c r="Q314" s="38">
        <v>0</v>
      </c>
      <c r="R314" s="38">
        <v>113.58734943855404</v>
      </c>
      <c r="S314" s="38">
        <v>262.4830880141746</v>
      </c>
      <c r="T314" s="38">
        <v>0</v>
      </c>
      <c r="U314" s="38">
        <v>331.88597372435868</v>
      </c>
      <c r="V314" s="38">
        <v>34.176451454925996</v>
      </c>
      <c r="W314" s="38">
        <v>79.745053394827323</v>
      </c>
      <c r="X314" s="38">
        <v>0</v>
      </c>
      <c r="Y314" s="38">
        <v>0</v>
      </c>
      <c r="Z314" s="38">
        <v>0</v>
      </c>
      <c r="AA314" s="38">
        <v>0</v>
      </c>
      <c r="AB314" s="38">
        <v>0</v>
      </c>
      <c r="AC314" s="38">
        <v>0</v>
      </c>
      <c r="AD314" s="38">
        <v>0</v>
      </c>
      <c r="AE314" s="38">
        <v>0</v>
      </c>
      <c r="AF314" s="38">
        <v>0</v>
      </c>
      <c r="AG314" s="38">
        <v>0</v>
      </c>
      <c r="AH314" s="38">
        <v>147.76380089348004</v>
      </c>
      <c r="AI314" s="38">
        <v>342.22814140900192</v>
      </c>
      <c r="AJ314" s="38">
        <v>0</v>
      </c>
      <c r="AK314" s="38">
        <v>331.88597372435868</v>
      </c>
      <c r="AL314" s="38">
        <v>821.87791602684069</v>
      </c>
      <c r="AM314" s="38">
        <v>230.82088929676706</v>
      </c>
      <c r="AN314" s="38">
        <v>80.175855906334988</v>
      </c>
      <c r="AO314" s="38">
        <v>0</v>
      </c>
      <c r="AP314" s="38">
        <v>0</v>
      </c>
      <c r="AQ314" s="38">
        <v>310.99674520310202</v>
      </c>
      <c r="AR314" s="38">
        <v>147.76380089348004</v>
      </c>
      <c r="AS314" s="49">
        <v>2.1046883155590548</v>
      </c>
      <c r="AT314" s="38">
        <v>230.82088929676706</v>
      </c>
      <c r="AU314" s="38">
        <v>94.904333019818225</v>
      </c>
      <c r="AV314" s="38">
        <v>0</v>
      </c>
      <c r="AW314" s="38">
        <v>0</v>
      </c>
      <c r="AX314" s="38">
        <v>325.7252223165853</v>
      </c>
      <c r="AY314" s="38">
        <v>342.22814140900192</v>
      </c>
      <c r="AZ314" s="50">
        <v>0.95177801853327504</v>
      </c>
      <c r="BA314" s="38">
        <v>230.82088929676706</v>
      </c>
      <c r="BB314" s="38">
        <v>175.0801889261532</v>
      </c>
      <c r="BC314" s="38">
        <v>0</v>
      </c>
      <c r="BD314" s="38">
        <v>0</v>
      </c>
      <c r="BE314" s="38">
        <v>405.90107822292032</v>
      </c>
      <c r="BF314" s="38">
        <v>489.99194230248196</v>
      </c>
      <c r="BG314" s="38">
        <v>52.875024850903003</v>
      </c>
      <c r="BH314" s="50">
        <v>0.82838316955904012</v>
      </c>
      <c r="BI314" s="38">
        <v>24.810171613283238</v>
      </c>
      <c r="BJ314" s="38">
        <v>57.461562763759055</v>
      </c>
      <c r="BK314" s="38">
        <v>0</v>
      </c>
      <c r="BL314" s="38">
        <v>55.72506875400952</v>
      </c>
      <c r="BM314" s="38">
        <v>137.99680313105182</v>
      </c>
      <c r="BN314" s="38">
        <v>230.82088929676706</v>
      </c>
      <c r="BO314" s="38">
        <v>0</v>
      </c>
      <c r="BP314" s="38">
        <v>175.0801889261532</v>
      </c>
      <c r="BQ314" s="38">
        <v>0</v>
      </c>
      <c r="BR314" s="38">
        <v>0</v>
      </c>
      <c r="BS314" s="38">
        <v>0</v>
      </c>
      <c r="BT314" s="38">
        <v>0</v>
      </c>
      <c r="BU314" s="38">
        <v>0</v>
      </c>
      <c r="BV314" s="38">
        <v>52.919300940007105</v>
      </c>
      <c r="BW314" s="38">
        <v>0</v>
      </c>
      <c r="BX314" s="38">
        <v>707.95641117708738</v>
      </c>
      <c r="BY314" s="38">
        <v>113.92150484975332</v>
      </c>
      <c r="BZ314" s="38">
        <v>0</v>
      </c>
      <c r="CA314" s="38">
        <v>0</v>
      </c>
      <c r="CB314" s="38">
        <v>458.82037916292734</v>
      </c>
      <c r="CC314" s="38">
        <v>821.87791602684069</v>
      </c>
      <c r="CD314" s="50">
        <v>0.55825855667345037</v>
      </c>
      <c r="CE314" s="38">
        <v>99.714717551795005</v>
      </c>
      <c r="CF314" s="38">
        <v>4.1632743335086246</v>
      </c>
      <c r="CG314" s="38">
        <v>0</v>
      </c>
      <c r="CH314" s="38">
        <v>4.1632743335086246</v>
      </c>
      <c r="CI314" s="38">
        <v>0.20816226728910395</v>
      </c>
      <c r="CJ314" s="38">
        <v>0</v>
      </c>
      <c r="CK314" s="38">
        <v>0.20816226728910395</v>
      </c>
      <c r="CL314" s="38"/>
      <c r="CM314" s="38">
        <v>0</v>
      </c>
      <c r="CN314" s="38"/>
      <c r="CO314" s="38">
        <v>0</v>
      </c>
      <c r="CP314" s="38">
        <v>0</v>
      </c>
      <c r="CQ314" s="38">
        <v>0</v>
      </c>
      <c r="CR314" s="38">
        <v>0</v>
      </c>
      <c r="CS314" s="38">
        <v>0</v>
      </c>
      <c r="CT314" s="38">
        <v>0</v>
      </c>
      <c r="CU314" s="38">
        <v>0</v>
      </c>
      <c r="CV314" s="38">
        <v>9999</v>
      </c>
      <c r="CW314" s="49">
        <v>9999</v>
      </c>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row>
    <row r="315" spans="1:131">
      <c r="A315" s="27" t="s">
        <v>851</v>
      </c>
      <c r="B315" s="27"/>
      <c r="C315" s="38">
        <v>45.000000000000007</v>
      </c>
      <c r="D315" s="38">
        <v>252.52577272957456</v>
      </c>
      <c r="E315" s="38">
        <v>0</v>
      </c>
      <c r="F315" s="38">
        <v>580.85648064073723</v>
      </c>
      <c r="G315" s="38">
        <v>0</v>
      </c>
      <c r="H315" s="38">
        <v>0</v>
      </c>
      <c r="I315" s="38"/>
      <c r="J315" s="38"/>
      <c r="K315" s="38"/>
      <c r="L315" s="38">
        <v>272.17611365046236</v>
      </c>
      <c r="M315" s="38">
        <v>0.12977849773666439</v>
      </c>
      <c r="N315" s="38">
        <v>0.128841814738335</v>
      </c>
      <c r="O315" s="38">
        <v>0</v>
      </c>
      <c r="P315" s="38">
        <v>0</v>
      </c>
      <c r="Q315" s="38">
        <v>0</v>
      </c>
      <c r="R315" s="38">
        <v>75.973544632731631</v>
      </c>
      <c r="S315" s="38">
        <v>175.56330613533481</v>
      </c>
      <c r="T315" s="38">
        <v>0</v>
      </c>
      <c r="U315" s="38">
        <v>135.75120272483196</v>
      </c>
      <c r="V315" s="38">
        <v>34.851388838444237</v>
      </c>
      <c r="W315" s="38">
        <v>81.31990728970321</v>
      </c>
      <c r="X315" s="38">
        <v>0</v>
      </c>
      <c r="Y315" s="38">
        <v>0</v>
      </c>
      <c r="Z315" s="38">
        <v>0</v>
      </c>
      <c r="AA315" s="38">
        <v>0</v>
      </c>
      <c r="AB315" s="38">
        <v>0</v>
      </c>
      <c r="AC315" s="38">
        <v>0</v>
      </c>
      <c r="AD315" s="38">
        <v>0</v>
      </c>
      <c r="AE315" s="38">
        <v>0</v>
      </c>
      <c r="AF315" s="38">
        <v>0</v>
      </c>
      <c r="AG315" s="38">
        <v>0</v>
      </c>
      <c r="AH315" s="38">
        <v>110.82493347117587</v>
      </c>
      <c r="AI315" s="38">
        <v>256.88321342503804</v>
      </c>
      <c r="AJ315" s="38">
        <v>0</v>
      </c>
      <c r="AK315" s="38">
        <v>135.75120272483196</v>
      </c>
      <c r="AL315" s="38">
        <v>503.45934962104582</v>
      </c>
      <c r="AM315" s="38">
        <v>143.3068227038647</v>
      </c>
      <c r="AN315" s="38">
        <v>45.857035556823895</v>
      </c>
      <c r="AO315" s="38">
        <v>0</v>
      </c>
      <c r="AP315" s="38">
        <v>0</v>
      </c>
      <c r="AQ315" s="38">
        <v>189.16385826068858</v>
      </c>
      <c r="AR315" s="38">
        <v>110.82493347117587</v>
      </c>
      <c r="AS315" s="49">
        <v>1.7068709390192205</v>
      </c>
      <c r="AT315" s="38">
        <v>143.3068227038647</v>
      </c>
      <c r="AU315" s="38">
        <v>54.281071584327037</v>
      </c>
      <c r="AV315" s="38">
        <v>0</v>
      </c>
      <c r="AW315" s="38">
        <v>0</v>
      </c>
      <c r="AX315" s="38">
        <v>197.58789428819173</v>
      </c>
      <c r="AY315" s="38">
        <v>256.88321342503804</v>
      </c>
      <c r="AZ315" s="50">
        <v>0.76917402135289981</v>
      </c>
      <c r="BA315" s="38">
        <v>143.3068227038647</v>
      </c>
      <c r="BB315" s="38">
        <v>100.13810714115093</v>
      </c>
      <c r="BC315" s="38">
        <v>0</v>
      </c>
      <c r="BD315" s="38">
        <v>0</v>
      </c>
      <c r="BE315" s="38">
        <v>243.44492984501562</v>
      </c>
      <c r="BF315" s="38">
        <v>367.70814689621386</v>
      </c>
      <c r="BG315" s="38">
        <v>72.336516223325418</v>
      </c>
      <c r="BH315" s="50">
        <v>0.66206020154818135</v>
      </c>
      <c r="BI315" s="38">
        <v>29.961088339057898</v>
      </c>
      <c r="BJ315" s="38">
        <v>69.447374423647986</v>
      </c>
      <c r="BK315" s="38">
        <v>0</v>
      </c>
      <c r="BL315" s="38">
        <v>36.699807972633593</v>
      </c>
      <c r="BM315" s="38">
        <v>136.10827073533946</v>
      </c>
      <c r="BN315" s="38">
        <v>143.3068227038647</v>
      </c>
      <c r="BO315" s="38">
        <v>0</v>
      </c>
      <c r="BP315" s="38">
        <v>100.13810714115093</v>
      </c>
      <c r="BQ315" s="38">
        <v>0</v>
      </c>
      <c r="BR315" s="38">
        <v>0</v>
      </c>
      <c r="BS315" s="38">
        <v>0</v>
      </c>
      <c r="BT315" s="38">
        <v>0</v>
      </c>
      <c r="BU315" s="38">
        <v>0</v>
      </c>
      <c r="BV315" s="38">
        <v>24.460231565469609</v>
      </c>
      <c r="BW315" s="38">
        <v>0</v>
      </c>
      <c r="BX315" s="38">
        <v>387.28805349289837</v>
      </c>
      <c r="BY315" s="38">
        <v>116.17129612814745</v>
      </c>
      <c r="BZ315" s="38">
        <v>0</v>
      </c>
      <c r="CA315" s="38">
        <v>0</v>
      </c>
      <c r="CB315" s="38">
        <v>267.90516141048522</v>
      </c>
      <c r="CC315" s="38">
        <v>503.45934962104582</v>
      </c>
      <c r="CD315" s="50">
        <v>0.53212868449486062</v>
      </c>
      <c r="CE315" s="38">
        <v>102.42359603296441</v>
      </c>
      <c r="CF315" s="38">
        <v>2.5857030701533206</v>
      </c>
      <c r="CG315" s="38">
        <v>0</v>
      </c>
      <c r="CH315" s="38">
        <v>2.5857030701533206</v>
      </c>
      <c r="CI315" s="38">
        <v>0.1292836539839696</v>
      </c>
      <c r="CJ315" s="38">
        <v>0</v>
      </c>
      <c r="CK315" s="38">
        <v>0.1292836539839696</v>
      </c>
      <c r="CL315" s="38"/>
      <c r="CM315" s="38">
        <v>0</v>
      </c>
      <c r="CN315" s="38"/>
      <c r="CO315" s="38">
        <v>0</v>
      </c>
      <c r="CP315" s="38">
        <v>0</v>
      </c>
      <c r="CQ315" s="38">
        <v>0</v>
      </c>
      <c r="CR315" s="38">
        <v>0</v>
      </c>
      <c r="CS315" s="38">
        <v>0</v>
      </c>
      <c r="CT315" s="38">
        <v>0</v>
      </c>
      <c r="CU315" s="38">
        <v>0</v>
      </c>
      <c r="CV315" s="38">
        <v>9999</v>
      </c>
      <c r="CW315" s="49">
        <v>9999</v>
      </c>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row>
    <row r="316" spans="1:131">
      <c r="A316" s="27" t="s">
        <v>879</v>
      </c>
      <c r="B316" s="27"/>
      <c r="C316" s="38">
        <v>45</v>
      </c>
      <c r="D316" s="38">
        <v>256.55690356635273</v>
      </c>
      <c r="E316" s="38">
        <v>0</v>
      </c>
      <c r="F316" s="38">
        <v>603.23323201580342</v>
      </c>
      <c r="G316" s="38">
        <v>0</v>
      </c>
      <c r="H316" s="38">
        <v>0</v>
      </c>
      <c r="I316" s="38"/>
      <c r="J316" s="38"/>
      <c r="K316" s="38"/>
      <c r="L316" s="38">
        <v>276.53115538238461</v>
      </c>
      <c r="M316" s="38">
        <v>0.13275406115599428</v>
      </c>
      <c r="N316" s="38">
        <v>0.13179590187527651</v>
      </c>
      <c r="O316" s="38">
        <v>0</v>
      </c>
      <c r="P316" s="38">
        <v>0</v>
      </c>
      <c r="Q316" s="38">
        <v>0</v>
      </c>
      <c r="R316" s="38">
        <v>78.900328056846718</v>
      </c>
      <c r="S316" s="38">
        <v>182.32665746721887</v>
      </c>
      <c r="T316" s="38">
        <v>0</v>
      </c>
      <c r="U316" s="38">
        <v>140.98084380396554</v>
      </c>
      <c r="V316" s="38">
        <v>36.193993920948209</v>
      </c>
      <c r="W316" s="38">
        <v>84.452652482212486</v>
      </c>
      <c r="X316" s="38">
        <v>0</v>
      </c>
      <c r="Y316" s="38">
        <v>0</v>
      </c>
      <c r="Z316" s="38">
        <v>0</v>
      </c>
      <c r="AA316" s="38">
        <v>0</v>
      </c>
      <c r="AB316" s="38">
        <v>0</v>
      </c>
      <c r="AC316" s="38">
        <v>0</v>
      </c>
      <c r="AD316" s="38">
        <v>0</v>
      </c>
      <c r="AE316" s="38">
        <v>0</v>
      </c>
      <c r="AF316" s="38">
        <v>0</v>
      </c>
      <c r="AG316" s="38">
        <v>0</v>
      </c>
      <c r="AH316" s="38">
        <v>115.09432197779492</v>
      </c>
      <c r="AI316" s="38">
        <v>266.77930994943137</v>
      </c>
      <c r="AJ316" s="38">
        <v>0</v>
      </c>
      <c r="AK316" s="38">
        <v>140.98084380396554</v>
      </c>
      <c r="AL316" s="38">
        <v>522.85447573119188</v>
      </c>
      <c r="AM316" s="38">
        <v>145.60383924162343</v>
      </c>
      <c r="AN316" s="38">
        <v>46.908446382973764</v>
      </c>
      <c r="AO316" s="38">
        <v>0</v>
      </c>
      <c r="AP316" s="38">
        <v>0</v>
      </c>
      <c r="AQ316" s="38">
        <v>192.51228562459721</v>
      </c>
      <c r="AR316" s="38">
        <v>115.09432197779492</v>
      </c>
      <c r="AS316" s="49">
        <v>1.6726479839877635</v>
      </c>
      <c r="AT316" s="38">
        <v>145.60383924162343</v>
      </c>
      <c r="AU316" s="38">
        <v>55.525628839844742</v>
      </c>
      <c r="AV316" s="38">
        <v>0</v>
      </c>
      <c r="AW316" s="38">
        <v>0</v>
      </c>
      <c r="AX316" s="38">
        <v>201.12946808146819</v>
      </c>
      <c r="AY316" s="38">
        <v>266.77930994943137</v>
      </c>
      <c r="AZ316" s="50">
        <v>0.75391704146619443</v>
      </c>
      <c r="BA316" s="38">
        <v>145.60383924162343</v>
      </c>
      <c r="BB316" s="38">
        <v>102.43407522281851</v>
      </c>
      <c r="BC316" s="38">
        <v>0</v>
      </c>
      <c r="BD316" s="38">
        <v>0</v>
      </c>
      <c r="BE316" s="38">
        <v>248.03791446444194</v>
      </c>
      <c r="BF316" s="38">
        <v>381.87363192722626</v>
      </c>
      <c r="BG316" s="38">
        <v>74.355642368520833</v>
      </c>
      <c r="BH316" s="50">
        <v>0.64952878053573115</v>
      </c>
      <c r="BI316" s="38">
        <v>30.625271327211909</v>
      </c>
      <c r="BJ316" s="38">
        <v>70.986896758156064</v>
      </c>
      <c r="BK316" s="38">
        <v>0</v>
      </c>
      <c r="BL316" s="38">
        <v>37.513376153071341</v>
      </c>
      <c r="BM316" s="38">
        <v>139.12554423843932</v>
      </c>
      <c r="BN316" s="38">
        <v>145.60383924162343</v>
      </c>
      <c r="BO316" s="38">
        <v>0</v>
      </c>
      <c r="BP316" s="38">
        <v>102.43407522281851</v>
      </c>
      <c r="BQ316" s="38">
        <v>0</v>
      </c>
      <c r="BR316" s="38">
        <v>0</v>
      </c>
      <c r="BS316" s="38">
        <v>0</v>
      </c>
      <c r="BT316" s="38">
        <v>0</v>
      </c>
      <c r="BU316" s="38">
        <v>0</v>
      </c>
      <c r="BV316" s="38">
        <v>27.242845694270329</v>
      </c>
      <c r="BW316" s="38">
        <v>0</v>
      </c>
      <c r="BX316" s="38">
        <v>402.20782932803115</v>
      </c>
      <c r="BY316" s="38">
        <v>120.64664640316069</v>
      </c>
      <c r="BZ316" s="38">
        <v>0</v>
      </c>
      <c r="CA316" s="38">
        <v>0</v>
      </c>
      <c r="CB316" s="38">
        <v>275.28076015871227</v>
      </c>
      <c r="CC316" s="38">
        <v>522.85447573119188</v>
      </c>
      <c r="CD316" s="50">
        <v>0.52649594282183909</v>
      </c>
      <c r="CE316" s="38">
        <v>104.62001156125437</v>
      </c>
      <c r="CF316" s="38">
        <v>2.6270754795168223</v>
      </c>
      <c r="CG316" s="38">
        <v>0</v>
      </c>
      <c r="CH316" s="38">
        <v>2.6270754795168223</v>
      </c>
      <c r="CI316" s="38">
        <v>0.13135229880663271</v>
      </c>
      <c r="CJ316" s="38">
        <v>0</v>
      </c>
      <c r="CK316" s="38">
        <v>0.13135229880663271</v>
      </c>
      <c r="CL316" s="38"/>
      <c r="CM316" s="38">
        <v>0</v>
      </c>
      <c r="CN316" s="38"/>
      <c r="CO316" s="38">
        <v>0</v>
      </c>
      <c r="CP316" s="38">
        <v>0</v>
      </c>
      <c r="CQ316" s="38">
        <v>0</v>
      </c>
      <c r="CR316" s="38">
        <v>0</v>
      </c>
      <c r="CS316" s="38">
        <v>0</v>
      </c>
      <c r="CT316" s="38">
        <v>0</v>
      </c>
      <c r="CU316" s="38">
        <v>0</v>
      </c>
      <c r="CV316" s="38">
        <v>9999</v>
      </c>
      <c r="CW316" s="49">
        <v>9999</v>
      </c>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row>
    <row r="317" spans="1:131">
      <c r="A317" s="27" t="s">
        <v>872</v>
      </c>
      <c r="B317" s="27"/>
      <c r="C317" s="38">
        <v>45.000000000000007</v>
      </c>
      <c r="D317" s="38">
        <v>540.36158656693283</v>
      </c>
      <c r="E317" s="38">
        <v>0</v>
      </c>
      <c r="F317" s="38">
        <v>1405.8270926925682</v>
      </c>
      <c r="G317" s="38">
        <v>0</v>
      </c>
      <c r="H317" s="38">
        <v>0</v>
      </c>
      <c r="I317" s="38"/>
      <c r="J317" s="38"/>
      <c r="K317" s="38"/>
      <c r="L317" s="38">
        <v>582.5730862074488</v>
      </c>
      <c r="M317" s="38">
        <v>0.29212297541532162</v>
      </c>
      <c r="N317" s="38">
        <v>0.29001456277944615</v>
      </c>
      <c r="O317" s="38">
        <v>0</v>
      </c>
      <c r="P317" s="38">
        <v>0</v>
      </c>
      <c r="Q317" s="38">
        <v>0</v>
      </c>
      <c r="R317" s="38">
        <v>183.87617411923486</v>
      </c>
      <c r="S317" s="38">
        <v>424.90987098134377</v>
      </c>
      <c r="T317" s="38">
        <v>0</v>
      </c>
      <c r="U317" s="38">
        <v>328.55399744469258</v>
      </c>
      <c r="V317" s="38">
        <v>84.349625561554092</v>
      </c>
      <c r="W317" s="38">
        <v>196.81579297695953</v>
      </c>
      <c r="X317" s="38">
        <v>0</v>
      </c>
      <c r="Y317" s="38">
        <v>0</v>
      </c>
      <c r="Z317" s="38">
        <v>0</v>
      </c>
      <c r="AA317" s="38">
        <v>0</v>
      </c>
      <c r="AB317" s="38">
        <v>0</v>
      </c>
      <c r="AC317" s="38">
        <v>0</v>
      </c>
      <c r="AD317" s="38">
        <v>0</v>
      </c>
      <c r="AE317" s="38">
        <v>0</v>
      </c>
      <c r="AF317" s="38">
        <v>0</v>
      </c>
      <c r="AG317" s="38">
        <v>0</v>
      </c>
      <c r="AH317" s="38">
        <v>268.22579968078895</v>
      </c>
      <c r="AI317" s="38">
        <v>621.72566395830336</v>
      </c>
      <c r="AJ317" s="38">
        <v>0</v>
      </c>
      <c r="AK317" s="38">
        <v>328.55399744469258</v>
      </c>
      <c r="AL317" s="38">
        <v>1218.5054610837849</v>
      </c>
      <c r="AM317" s="38">
        <v>306.80142744742597</v>
      </c>
      <c r="AN317" s="38">
        <v>103.221210787687</v>
      </c>
      <c r="AO317" s="38">
        <v>0</v>
      </c>
      <c r="AP317" s="38">
        <v>0</v>
      </c>
      <c r="AQ317" s="38">
        <v>410.02263823511294</v>
      </c>
      <c r="AR317" s="38">
        <v>268.22579968078895</v>
      </c>
      <c r="AS317" s="49">
        <v>1.5286472767462118</v>
      </c>
      <c r="AT317" s="38">
        <v>306.80142744742597</v>
      </c>
      <c r="AU317" s="38">
        <v>122.18316914193954</v>
      </c>
      <c r="AV317" s="38">
        <v>0</v>
      </c>
      <c r="AW317" s="38">
        <v>0</v>
      </c>
      <c r="AX317" s="38">
        <v>428.98459658936554</v>
      </c>
      <c r="AY317" s="38">
        <v>621.72566395830336</v>
      </c>
      <c r="AZ317" s="50">
        <v>0.68999017003444107</v>
      </c>
      <c r="BA317" s="38">
        <v>306.80142744742597</v>
      </c>
      <c r="BB317" s="38">
        <v>225.40437992962654</v>
      </c>
      <c r="BC317" s="38">
        <v>0</v>
      </c>
      <c r="BD317" s="38">
        <v>0</v>
      </c>
      <c r="BE317" s="38">
        <v>532.20580737705257</v>
      </c>
      <c r="BF317" s="38">
        <v>889.95146363909225</v>
      </c>
      <c r="BG317" s="38">
        <v>83.93545591585395</v>
      </c>
      <c r="BH317" s="50">
        <v>0.59801666621325023</v>
      </c>
      <c r="BI317" s="38">
        <v>33.878193639691474</v>
      </c>
      <c r="BJ317" s="38">
        <v>78.526907029121773</v>
      </c>
      <c r="BK317" s="38">
        <v>0</v>
      </c>
      <c r="BL317" s="38">
        <v>41.497931816300266</v>
      </c>
      <c r="BM317" s="38">
        <v>153.9030324851135</v>
      </c>
      <c r="BN317" s="38">
        <v>306.80142744742597</v>
      </c>
      <c r="BO317" s="38">
        <v>0</v>
      </c>
      <c r="BP317" s="38">
        <v>225.40437992962654</v>
      </c>
      <c r="BQ317" s="38">
        <v>0</v>
      </c>
      <c r="BR317" s="38">
        <v>0</v>
      </c>
      <c r="BS317" s="38">
        <v>0</v>
      </c>
      <c r="BT317" s="38">
        <v>0</v>
      </c>
      <c r="BU317" s="38">
        <v>0</v>
      </c>
      <c r="BV317" s="38">
        <v>76.654852422820824</v>
      </c>
      <c r="BW317" s="38">
        <v>0</v>
      </c>
      <c r="BX317" s="38">
        <v>937.34004254527122</v>
      </c>
      <c r="BY317" s="38">
        <v>281.16541853851362</v>
      </c>
      <c r="BZ317" s="38">
        <v>0</v>
      </c>
      <c r="CA317" s="38">
        <v>0</v>
      </c>
      <c r="CB317" s="38">
        <v>608.86065979987325</v>
      </c>
      <c r="CC317" s="38">
        <v>1218.5054610837849</v>
      </c>
      <c r="CD317" s="50">
        <v>0.4996782363686163</v>
      </c>
      <c r="CE317" s="38">
        <v>115.75151545553935</v>
      </c>
      <c r="CF317" s="38">
        <v>5.5344930856327776</v>
      </c>
      <c r="CG317" s="38">
        <v>0</v>
      </c>
      <c r="CH317" s="38">
        <v>5.5344930856327776</v>
      </c>
      <c r="CI317" s="38">
        <v>0.27672221594853824</v>
      </c>
      <c r="CJ317" s="38">
        <v>0</v>
      </c>
      <c r="CK317" s="38">
        <v>0.27672221594853824</v>
      </c>
      <c r="CL317" s="38"/>
      <c r="CM317" s="38">
        <v>0</v>
      </c>
      <c r="CN317" s="38"/>
      <c r="CO317" s="38">
        <v>0</v>
      </c>
      <c r="CP317" s="38">
        <v>0</v>
      </c>
      <c r="CQ317" s="38">
        <v>0</v>
      </c>
      <c r="CR317" s="38">
        <v>0</v>
      </c>
      <c r="CS317" s="38">
        <v>0</v>
      </c>
      <c r="CT317" s="38">
        <v>0</v>
      </c>
      <c r="CU317" s="38">
        <v>0</v>
      </c>
      <c r="CV317" s="38">
        <v>9999</v>
      </c>
      <c r="CW317" s="49">
        <v>9999</v>
      </c>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row>
    <row r="318" spans="1:131">
      <c r="A318" s="27" t="s">
        <v>839</v>
      </c>
      <c r="B318" s="27"/>
      <c r="C318" s="38">
        <v>44.999999999999993</v>
      </c>
      <c r="D318" s="38">
        <v>207.8154271569241</v>
      </c>
      <c r="E318" s="38">
        <v>0</v>
      </c>
      <c r="F318" s="38">
        <v>527.71183707560658</v>
      </c>
      <c r="G318" s="38">
        <v>0</v>
      </c>
      <c r="H318" s="38">
        <v>0</v>
      </c>
      <c r="I318" s="38"/>
      <c r="J318" s="38"/>
      <c r="K318" s="38"/>
      <c r="L318" s="38">
        <v>224.01460250228615</v>
      </c>
      <c r="M318" s="38">
        <v>0.10927348820846707</v>
      </c>
      <c r="N318" s="38">
        <v>0.10848480117357238</v>
      </c>
      <c r="O318" s="38">
        <v>0</v>
      </c>
      <c r="P318" s="38">
        <v>0</v>
      </c>
      <c r="Q318" s="38">
        <v>0</v>
      </c>
      <c r="R318" s="38">
        <v>69.022452436201007</v>
      </c>
      <c r="S318" s="38">
        <v>159.50038932430746</v>
      </c>
      <c r="T318" s="38">
        <v>0</v>
      </c>
      <c r="U318" s="38">
        <v>123.33083810328067</v>
      </c>
      <c r="V318" s="38">
        <v>31.662710224536397</v>
      </c>
      <c r="W318" s="38">
        <v>73.879657190584922</v>
      </c>
      <c r="X318" s="38">
        <v>0</v>
      </c>
      <c r="Y318" s="38">
        <v>0</v>
      </c>
      <c r="Z318" s="38">
        <v>0</v>
      </c>
      <c r="AA318" s="38">
        <v>0</v>
      </c>
      <c r="AB318" s="38">
        <v>0</v>
      </c>
      <c r="AC318" s="38">
        <v>0</v>
      </c>
      <c r="AD318" s="38">
        <v>0</v>
      </c>
      <c r="AE318" s="38">
        <v>0</v>
      </c>
      <c r="AF318" s="38">
        <v>0</v>
      </c>
      <c r="AG318" s="38">
        <v>0</v>
      </c>
      <c r="AH318" s="38">
        <v>100.6851626607374</v>
      </c>
      <c r="AI318" s="38">
        <v>233.3800465148924</v>
      </c>
      <c r="AJ318" s="38">
        <v>0</v>
      </c>
      <c r="AK318" s="38">
        <v>123.33083810328067</v>
      </c>
      <c r="AL318" s="38">
        <v>457.39604727891043</v>
      </c>
      <c r="AM318" s="38">
        <v>117.95962135222135</v>
      </c>
      <c r="AN318" s="38">
        <v>38.611621505757178</v>
      </c>
      <c r="AO318" s="38">
        <v>0</v>
      </c>
      <c r="AP318" s="38">
        <v>0</v>
      </c>
      <c r="AQ318" s="38">
        <v>156.57124285797852</v>
      </c>
      <c r="AR318" s="38">
        <v>100.6851626607374</v>
      </c>
      <c r="AS318" s="49">
        <v>1.5550577534999019</v>
      </c>
      <c r="AT318" s="38">
        <v>117.95962135222135</v>
      </c>
      <c r="AU318" s="38">
        <v>45.704659393951253</v>
      </c>
      <c r="AV318" s="38">
        <v>0</v>
      </c>
      <c r="AW318" s="38">
        <v>0</v>
      </c>
      <c r="AX318" s="38">
        <v>163.66428074617261</v>
      </c>
      <c r="AY318" s="38">
        <v>233.3800465148924</v>
      </c>
      <c r="AZ318" s="50">
        <v>0.70127795066545628</v>
      </c>
      <c r="BA318" s="38">
        <v>117.95962135222135</v>
      </c>
      <c r="BB318" s="38">
        <v>84.316280899708431</v>
      </c>
      <c r="BC318" s="38">
        <v>0</v>
      </c>
      <c r="BD318" s="38">
        <v>0</v>
      </c>
      <c r="BE318" s="38">
        <v>202.27590225192978</v>
      </c>
      <c r="BF318" s="38">
        <v>334.06520917562978</v>
      </c>
      <c r="BG318" s="38">
        <v>82.034666847461139</v>
      </c>
      <c r="BH318" s="50">
        <v>0.60549825811279334</v>
      </c>
      <c r="BI318" s="38">
        <v>33.071908786054053</v>
      </c>
      <c r="BJ318" s="38">
        <v>76.658004087779716</v>
      </c>
      <c r="BK318" s="38">
        <v>0</v>
      </c>
      <c r="BL318" s="38">
        <v>40.51030082757007</v>
      </c>
      <c r="BM318" s="38">
        <v>150.2402137014038</v>
      </c>
      <c r="BN318" s="38">
        <v>117.95962135222135</v>
      </c>
      <c r="BO318" s="38">
        <v>0</v>
      </c>
      <c r="BP318" s="38">
        <v>84.316280899708431</v>
      </c>
      <c r="BQ318" s="38">
        <v>0</v>
      </c>
      <c r="BR318" s="38">
        <v>0</v>
      </c>
      <c r="BS318" s="38">
        <v>0</v>
      </c>
      <c r="BT318" s="38">
        <v>0</v>
      </c>
      <c r="BU318" s="38">
        <v>0</v>
      </c>
      <c r="BV318" s="38">
        <v>22.052963176164152</v>
      </c>
      <c r="BW318" s="38">
        <v>0</v>
      </c>
      <c r="BX318" s="38">
        <v>351.85367986378913</v>
      </c>
      <c r="BY318" s="38">
        <v>105.54236741512132</v>
      </c>
      <c r="BZ318" s="38">
        <v>0</v>
      </c>
      <c r="CA318" s="38">
        <v>0</v>
      </c>
      <c r="CB318" s="38">
        <v>224.32886542809393</v>
      </c>
      <c r="CC318" s="38">
        <v>457.39604727891043</v>
      </c>
      <c r="CD318" s="50">
        <v>0.49044775695515125</v>
      </c>
      <c r="CE318" s="38">
        <v>115.30126296869003</v>
      </c>
      <c r="CF318" s="38">
        <v>2.1281607622539429</v>
      </c>
      <c r="CG318" s="38">
        <v>0</v>
      </c>
      <c r="CH318" s="38">
        <v>2.1281607622539429</v>
      </c>
      <c r="CI318" s="38">
        <v>0.10640693618858595</v>
      </c>
      <c r="CJ318" s="38">
        <v>0</v>
      </c>
      <c r="CK318" s="38">
        <v>0.10640693618858595</v>
      </c>
      <c r="CL318" s="38"/>
      <c r="CM318" s="38">
        <v>0</v>
      </c>
      <c r="CN318" s="38"/>
      <c r="CO318" s="38">
        <v>0</v>
      </c>
      <c r="CP318" s="38">
        <v>0</v>
      </c>
      <c r="CQ318" s="38">
        <v>0</v>
      </c>
      <c r="CR318" s="38">
        <v>0</v>
      </c>
      <c r="CS318" s="38">
        <v>0</v>
      </c>
      <c r="CT318" s="38">
        <v>0</v>
      </c>
      <c r="CU318" s="38">
        <v>0</v>
      </c>
      <c r="CV318" s="38">
        <v>9999</v>
      </c>
      <c r="CW318" s="49">
        <v>9999</v>
      </c>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row>
    <row r="319" spans="1:131">
      <c r="A319" s="27" t="s">
        <v>838</v>
      </c>
      <c r="B319" s="27"/>
      <c r="C319" s="38">
        <v>45</v>
      </c>
      <c r="D319" s="38">
        <v>172.38356352017834</v>
      </c>
      <c r="E319" s="38">
        <v>0</v>
      </c>
      <c r="F319" s="38">
        <v>444.15989154479752</v>
      </c>
      <c r="G319" s="38">
        <v>0</v>
      </c>
      <c r="H319" s="38">
        <v>0</v>
      </c>
      <c r="I319" s="38"/>
      <c r="J319" s="38"/>
      <c r="K319" s="38"/>
      <c r="L319" s="38">
        <v>185.82051227713686</v>
      </c>
      <c r="M319" s="38">
        <v>9.0614503024016732E-2</v>
      </c>
      <c r="N319" s="38">
        <v>8.9960488176681341E-2</v>
      </c>
      <c r="O319" s="38">
        <v>0</v>
      </c>
      <c r="P319" s="38">
        <v>0</v>
      </c>
      <c r="Q319" s="38">
        <v>0</v>
      </c>
      <c r="R319" s="38">
        <v>58.094215127159785</v>
      </c>
      <c r="S319" s="38">
        <v>134.24689507862493</v>
      </c>
      <c r="T319" s="38">
        <v>0</v>
      </c>
      <c r="U319" s="38">
        <v>103.80402300552122</v>
      </c>
      <c r="V319" s="38">
        <v>26.649593492687853</v>
      </c>
      <c r="W319" s="38">
        <v>62.18238481627165</v>
      </c>
      <c r="X319" s="38">
        <v>0</v>
      </c>
      <c r="Y319" s="38">
        <v>0</v>
      </c>
      <c r="Z319" s="38">
        <v>0</v>
      </c>
      <c r="AA319" s="38">
        <v>0</v>
      </c>
      <c r="AB319" s="38">
        <v>0</v>
      </c>
      <c r="AC319" s="38">
        <v>0</v>
      </c>
      <c r="AD319" s="38">
        <v>0</v>
      </c>
      <c r="AE319" s="38">
        <v>0</v>
      </c>
      <c r="AF319" s="38">
        <v>0</v>
      </c>
      <c r="AG319" s="38">
        <v>0</v>
      </c>
      <c r="AH319" s="38">
        <v>84.743808619847641</v>
      </c>
      <c r="AI319" s="38">
        <v>196.42927989489658</v>
      </c>
      <c r="AJ319" s="38">
        <v>0</v>
      </c>
      <c r="AK319" s="38">
        <v>103.80402300552122</v>
      </c>
      <c r="AL319" s="38">
        <v>384.97711152026545</v>
      </c>
      <c r="AM319" s="38">
        <v>97.847591799220865</v>
      </c>
      <c r="AN319" s="38">
        <v>32.018497359769661</v>
      </c>
      <c r="AO319" s="38">
        <v>0</v>
      </c>
      <c r="AP319" s="38">
        <v>0</v>
      </c>
      <c r="AQ319" s="38">
        <v>129.86608915899052</v>
      </c>
      <c r="AR319" s="38">
        <v>84.743808619847641</v>
      </c>
      <c r="AS319" s="49">
        <v>1.5324551878657824</v>
      </c>
      <c r="AT319" s="38">
        <v>97.847591799220865</v>
      </c>
      <c r="AU319" s="38">
        <v>37.900364166684881</v>
      </c>
      <c r="AV319" s="38">
        <v>0</v>
      </c>
      <c r="AW319" s="38">
        <v>0</v>
      </c>
      <c r="AX319" s="38">
        <v>135.74795596590576</v>
      </c>
      <c r="AY319" s="38">
        <v>196.42927989489658</v>
      </c>
      <c r="AZ319" s="50">
        <v>0.69107801056207319</v>
      </c>
      <c r="BA319" s="38">
        <v>97.847591799220865</v>
      </c>
      <c r="BB319" s="38">
        <v>69.918861526454549</v>
      </c>
      <c r="BC319" s="38">
        <v>0</v>
      </c>
      <c r="BD319" s="38">
        <v>0</v>
      </c>
      <c r="BE319" s="38">
        <v>167.76645332567543</v>
      </c>
      <c r="BF319" s="38">
        <v>281.17308851474422</v>
      </c>
      <c r="BG319" s="38">
        <v>83.653067121763527</v>
      </c>
      <c r="BH319" s="50">
        <v>0.59666611129776759</v>
      </c>
      <c r="BI319" s="38">
        <v>33.557101373516957</v>
      </c>
      <c r="BJ319" s="38">
        <v>77.782641180658231</v>
      </c>
      <c r="BK319" s="38">
        <v>0</v>
      </c>
      <c r="BL319" s="38">
        <v>41.104620853202157</v>
      </c>
      <c r="BM319" s="38">
        <v>152.44436340737735</v>
      </c>
      <c r="BN319" s="38">
        <v>97.847591799220865</v>
      </c>
      <c r="BO319" s="38">
        <v>0</v>
      </c>
      <c r="BP319" s="38">
        <v>69.918861526454549</v>
      </c>
      <c r="BQ319" s="38">
        <v>0</v>
      </c>
      <c r="BR319" s="38">
        <v>0</v>
      </c>
      <c r="BS319" s="38">
        <v>0</v>
      </c>
      <c r="BT319" s="38">
        <v>0</v>
      </c>
      <c r="BU319" s="38">
        <v>0</v>
      </c>
      <c r="BV319" s="38">
        <v>18.117785946515351</v>
      </c>
      <c r="BW319" s="38">
        <v>0</v>
      </c>
      <c r="BX319" s="38">
        <v>296.14513321130596</v>
      </c>
      <c r="BY319" s="38">
        <v>88.831978308959506</v>
      </c>
      <c r="BZ319" s="38">
        <v>0</v>
      </c>
      <c r="CA319" s="38">
        <v>0</v>
      </c>
      <c r="CB319" s="38">
        <v>185.88423927219074</v>
      </c>
      <c r="CC319" s="38">
        <v>384.97711152026545</v>
      </c>
      <c r="CD319" s="50">
        <v>0.48284491131989199</v>
      </c>
      <c r="CE319" s="38">
        <v>117.58335406700746</v>
      </c>
      <c r="CF319" s="38">
        <v>1.765313177763931</v>
      </c>
      <c r="CG319" s="38">
        <v>0</v>
      </c>
      <c r="CH319" s="38">
        <v>1.765313177763931</v>
      </c>
      <c r="CI319" s="38">
        <v>8.826474333164E-2</v>
      </c>
      <c r="CJ319" s="38">
        <v>0</v>
      </c>
      <c r="CK319" s="38">
        <v>8.826474333164E-2</v>
      </c>
      <c r="CL319" s="38"/>
      <c r="CM319" s="38">
        <v>0</v>
      </c>
      <c r="CN319" s="38"/>
      <c r="CO319" s="38">
        <v>0</v>
      </c>
      <c r="CP319" s="38">
        <v>0</v>
      </c>
      <c r="CQ319" s="38">
        <v>0</v>
      </c>
      <c r="CR319" s="38">
        <v>0</v>
      </c>
      <c r="CS319" s="38">
        <v>0</v>
      </c>
      <c r="CT319" s="38">
        <v>0</v>
      </c>
      <c r="CU319" s="38">
        <v>0</v>
      </c>
      <c r="CV319" s="38">
        <v>9999</v>
      </c>
      <c r="CW319" s="49">
        <v>9999</v>
      </c>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row>
    <row r="320" spans="1:131">
      <c r="A320" s="27" t="s">
        <v>845</v>
      </c>
      <c r="B320" s="27"/>
      <c r="C320" s="38">
        <v>45</v>
      </c>
      <c r="D320" s="38">
        <v>547.89155767471459</v>
      </c>
      <c r="E320" s="38">
        <v>0</v>
      </c>
      <c r="F320" s="38">
        <v>1388.7391906273035</v>
      </c>
      <c r="G320" s="38">
        <v>0</v>
      </c>
      <c r="H320" s="38">
        <v>0</v>
      </c>
      <c r="I320" s="38"/>
      <c r="J320" s="38"/>
      <c r="K320" s="38"/>
      <c r="L320" s="38">
        <v>590.32056679253151</v>
      </c>
      <c r="M320" s="38">
        <v>0.2634319918938765</v>
      </c>
      <c r="N320" s="38">
        <v>0.26153065791077151</v>
      </c>
      <c r="O320" s="38">
        <v>0</v>
      </c>
      <c r="P320" s="38">
        <v>0</v>
      </c>
      <c r="Q320" s="38">
        <v>0</v>
      </c>
      <c r="R320" s="38">
        <v>181.64114957616175</v>
      </c>
      <c r="S320" s="38">
        <v>419.74506920761576</v>
      </c>
      <c r="T320" s="38">
        <v>0</v>
      </c>
      <c r="U320" s="38">
        <v>324.56040636889878</v>
      </c>
      <c r="V320" s="38">
        <v>83.324351437638214</v>
      </c>
      <c r="W320" s="38">
        <v>194.4234866878225</v>
      </c>
      <c r="X320" s="38">
        <v>0</v>
      </c>
      <c r="Y320" s="38">
        <v>0</v>
      </c>
      <c r="Z320" s="38">
        <v>0</v>
      </c>
      <c r="AA320" s="38">
        <v>0</v>
      </c>
      <c r="AB320" s="38">
        <v>0</v>
      </c>
      <c r="AC320" s="38">
        <v>0</v>
      </c>
      <c r="AD320" s="38">
        <v>0</v>
      </c>
      <c r="AE320" s="38">
        <v>0</v>
      </c>
      <c r="AF320" s="38">
        <v>0</v>
      </c>
      <c r="AG320" s="38">
        <v>0</v>
      </c>
      <c r="AH320" s="38">
        <v>264.96550101379995</v>
      </c>
      <c r="AI320" s="38">
        <v>614.1685558954382</v>
      </c>
      <c r="AJ320" s="38">
        <v>0</v>
      </c>
      <c r="AK320" s="38">
        <v>324.56040636889878</v>
      </c>
      <c r="AL320" s="38">
        <v>1203.6944632781369</v>
      </c>
      <c r="AM320" s="38">
        <v>310.73693471014354</v>
      </c>
      <c r="AN320" s="38">
        <v>93.083295228109236</v>
      </c>
      <c r="AO320" s="38">
        <v>0</v>
      </c>
      <c r="AP320" s="38">
        <v>0</v>
      </c>
      <c r="AQ320" s="38">
        <v>403.82022993825279</v>
      </c>
      <c r="AR320" s="38">
        <v>264.96550101379995</v>
      </c>
      <c r="AS320" s="49">
        <v>1.5240483323042913</v>
      </c>
      <c r="AT320" s="38">
        <v>310.73693471014354</v>
      </c>
      <c r="AU320" s="38">
        <v>110.18289669686618</v>
      </c>
      <c r="AV320" s="38">
        <v>0</v>
      </c>
      <c r="AW320" s="38">
        <v>0</v>
      </c>
      <c r="AX320" s="38">
        <v>420.91983140700972</v>
      </c>
      <c r="AY320" s="38">
        <v>614.1685558954382</v>
      </c>
      <c r="AZ320" s="50">
        <v>0.6853490419960071</v>
      </c>
      <c r="BA320" s="38">
        <v>310.73693471014354</v>
      </c>
      <c r="BB320" s="38">
        <v>203.26619192497543</v>
      </c>
      <c r="BC320" s="38">
        <v>0</v>
      </c>
      <c r="BD320" s="38">
        <v>0</v>
      </c>
      <c r="BE320" s="38">
        <v>514.00312663511897</v>
      </c>
      <c r="BF320" s="38">
        <v>879.13405690923821</v>
      </c>
      <c r="BG320" s="38">
        <v>84.244973483862424</v>
      </c>
      <c r="BH320" s="50">
        <v>0.58466979250262929</v>
      </c>
      <c r="BI320" s="38">
        <v>33.027182920681774</v>
      </c>
      <c r="BJ320" s="38">
        <v>76.554333156878258</v>
      </c>
      <c r="BK320" s="38">
        <v>0</v>
      </c>
      <c r="BL320" s="38">
        <v>40.455515412167365</v>
      </c>
      <c r="BM320" s="38">
        <v>150.03703148972738</v>
      </c>
      <c r="BN320" s="38">
        <v>310.73693471014354</v>
      </c>
      <c r="BO320" s="38">
        <v>0</v>
      </c>
      <c r="BP320" s="38">
        <v>203.26619192497543</v>
      </c>
      <c r="BQ320" s="38">
        <v>0</v>
      </c>
      <c r="BR320" s="38">
        <v>0</v>
      </c>
      <c r="BS320" s="38">
        <v>0</v>
      </c>
      <c r="BT320" s="38">
        <v>0</v>
      </c>
      <c r="BU320" s="38">
        <v>0</v>
      </c>
      <c r="BV320" s="38">
        <v>52.290075218643111</v>
      </c>
      <c r="BW320" s="38">
        <v>0</v>
      </c>
      <c r="BX320" s="38">
        <v>925.94662515267623</v>
      </c>
      <c r="BY320" s="38">
        <v>277.7478381254607</v>
      </c>
      <c r="BZ320" s="38">
        <v>0</v>
      </c>
      <c r="CA320" s="38">
        <v>0</v>
      </c>
      <c r="CB320" s="38">
        <v>566.29320185376207</v>
      </c>
      <c r="CC320" s="38">
        <v>1203.6944632781369</v>
      </c>
      <c r="CD320" s="50">
        <v>0.47046257927574187</v>
      </c>
      <c r="CE320" s="38">
        <v>118.1826823416875</v>
      </c>
      <c r="CF320" s="38">
        <v>5.6081298381936824</v>
      </c>
      <c r="CG320" s="38">
        <v>0</v>
      </c>
      <c r="CH320" s="38">
        <v>5.6081298381936824</v>
      </c>
      <c r="CI320" s="38">
        <v>0.28040226922645245</v>
      </c>
      <c r="CJ320" s="38">
        <v>0</v>
      </c>
      <c r="CK320" s="38">
        <v>0.28040226922645245</v>
      </c>
      <c r="CL320" s="38"/>
      <c r="CM320" s="38">
        <v>0</v>
      </c>
      <c r="CN320" s="38"/>
      <c r="CO320" s="38">
        <v>0</v>
      </c>
      <c r="CP320" s="38">
        <v>0</v>
      </c>
      <c r="CQ320" s="38">
        <v>0</v>
      </c>
      <c r="CR320" s="38">
        <v>0</v>
      </c>
      <c r="CS320" s="38">
        <v>0</v>
      </c>
      <c r="CT320" s="38">
        <v>0</v>
      </c>
      <c r="CU320" s="38">
        <v>0</v>
      </c>
      <c r="CV320" s="38">
        <v>9999</v>
      </c>
      <c r="CW320" s="49">
        <v>9999</v>
      </c>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row>
    <row r="321" spans="1:131">
      <c r="A321" s="27" t="s">
        <v>874</v>
      </c>
      <c r="B321" s="27"/>
      <c r="C321" s="38">
        <v>45</v>
      </c>
      <c r="D321" s="38">
        <v>592.46896430188087</v>
      </c>
      <c r="E321" s="38">
        <v>0</v>
      </c>
      <c r="F321" s="38">
        <v>1655.6474837848516</v>
      </c>
      <c r="G321" s="38">
        <v>0</v>
      </c>
      <c r="H321" s="38">
        <v>0</v>
      </c>
      <c r="I321" s="38"/>
      <c r="J321" s="38"/>
      <c r="K321" s="38"/>
      <c r="L321" s="38">
        <v>638.75356520811931</v>
      </c>
      <c r="M321" s="38">
        <v>0.32052429492895801</v>
      </c>
      <c r="N321" s="38">
        <v>0.31821089430522248</v>
      </c>
      <c r="O321" s="38">
        <v>0</v>
      </c>
      <c r="P321" s="38">
        <v>0</v>
      </c>
      <c r="Q321" s="38">
        <v>0</v>
      </c>
      <c r="R321" s="38">
        <v>216.55161334628747</v>
      </c>
      <c r="S321" s="38">
        <v>500.41784112881089</v>
      </c>
      <c r="T321" s="38">
        <v>0</v>
      </c>
      <c r="U321" s="38">
        <v>386.93919187095747</v>
      </c>
      <c r="V321" s="38">
        <v>99.338849027091101</v>
      </c>
      <c r="W321" s="38">
        <v>231.79064772987923</v>
      </c>
      <c r="X321" s="38">
        <v>0</v>
      </c>
      <c r="Y321" s="38">
        <v>0</v>
      </c>
      <c r="Z321" s="38">
        <v>0</v>
      </c>
      <c r="AA321" s="38">
        <v>0</v>
      </c>
      <c r="AB321" s="38">
        <v>0</v>
      </c>
      <c r="AC321" s="38">
        <v>0</v>
      </c>
      <c r="AD321" s="38">
        <v>0</v>
      </c>
      <c r="AE321" s="38">
        <v>0</v>
      </c>
      <c r="AF321" s="38">
        <v>0</v>
      </c>
      <c r="AG321" s="38">
        <v>0</v>
      </c>
      <c r="AH321" s="38">
        <v>315.89046237337857</v>
      </c>
      <c r="AI321" s="38">
        <v>732.20848885869009</v>
      </c>
      <c r="AJ321" s="38">
        <v>0</v>
      </c>
      <c r="AK321" s="38">
        <v>386.93919187095747</v>
      </c>
      <c r="AL321" s="38">
        <v>1435.0381431030262</v>
      </c>
      <c r="AM321" s="38">
        <v>336.38886850055422</v>
      </c>
      <c r="AN321" s="38">
        <v>113.25677400895545</v>
      </c>
      <c r="AO321" s="38">
        <v>0</v>
      </c>
      <c r="AP321" s="38">
        <v>0</v>
      </c>
      <c r="AQ321" s="38">
        <v>449.64564250950968</v>
      </c>
      <c r="AR321" s="38">
        <v>315.89046237337857</v>
      </c>
      <c r="AS321" s="49">
        <v>1.4234226609160303</v>
      </c>
      <c r="AT321" s="38">
        <v>336.38886850055422</v>
      </c>
      <c r="AU321" s="38">
        <v>134.06228690409176</v>
      </c>
      <c r="AV321" s="38">
        <v>0</v>
      </c>
      <c r="AW321" s="38">
        <v>0</v>
      </c>
      <c r="AX321" s="38">
        <v>470.45115540464599</v>
      </c>
      <c r="AY321" s="38">
        <v>732.20848885869009</v>
      </c>
      <c r="AZ321" s="50">
        <v>0.64250983505797488</v>
      </c>
      <c r="BA321" s="38">
        <v>336.38886850055422</v>
      </c>
      <c r="BB321" s="38">
        <v>247.31906091304722</v>
      </c>
      <c r="BC321" s="38">
        <v>0</v>
      </c>
      <c r="BD321" s="38">
        <v>0</v>
      </c>
      <c r="BE321" s="38">
        <v>583.70792941360139</v>
      </c>
      <c r="BF321" s="38">
        <v>1048.0989512320687</v>
      </c>
      <c r="BG321" s="38">
        <v>92.246508148166242</v>
      </c>
      <c r="BH321" s="50">
        <v>0.55692063113643697</v>
      </c>
      <c r="BI321" s="38">
        <v>36.389265594125888</v>
      </c>
      <c r="BJ321" s="38">
        <v>84.347368297112254</v>
      </c>
      <c r="BK321" s="38">
        <v>0</v>
      </c>
      <c r="BL321" s="38">
        <v>44.57378331709748</v>
      </c>
      <c r="BM321" s="38">
        <v>165.31041720833562</v>
      </c>
      <c r="BN321" s="38">
        <v>336.38886850055422</v>
      </c>
      <c r="BO321" s="38">
        <v>0</v>
      </c>
      <c r="BP321" s="38">
        <v>247.31906091304722</v>
      </c>
      <c r="BQ321" s="38">
        <v>0</v>
      </c>
      <c r="BR321" s="38">
        <v>0</v>
      </c>
      <c r="BS321" s="38">
        <v>0</v>
      </c>
      <c r="BT321" s="38">
        <v>0</v>
      </c>
      <c r="BU321" s="38">
        <v>0</v>
      </c>
      <c r="BV321" s="38">
        <v>85.852466108935076</v>
      </c>
      <c r="BW321" s="38">
        <v>0</v>
      </c>
      <c r="BX321" s="38">
        <v>1103.9086463460558</v>
      </c>
      <c r="BY321" s="38">
        <v>331.12949675697035</v>
      </c>
      <c r="BZ321" s="38">
        <v>0</v>
      </c>
      <c r="CA321" s="38">
        <v>0</v>
      </c>
      <c r="CB321" s="38">
        <v>669.56039552253662</v>
      </c>
      <c r="CC321" s="38">
        <v>1435.0381431030262</v>
      </c>
      <c r="CD321" s="50">
        <v>0.46658020815720341</v>
      </c>
      <c r="CE321" s="38">
        <v>126.93044494164164</v>
      </c>
      <c r="CF321" s="38">
        <v>6.068212091118391</v>
      </c>
      <c r="CG321" s="38">
        <v>0</v>
      </c>
      <c r="CH321" s="38">
        <v>6.068212091118391</v>
      </c>
      <c r="CI321" s="38">
        <v>0.30340794347385669</v>
      </c>
      <c r="CJ321" s="38">
        <v>0</v>
      </c>
      <c r="CK321" s="38">
        <v>0.30340794347385669</v>
      </c>
      <c r="CL321" s="38"/>
      <c r="CM321" s="38">
        <v>0</v>
      </c>
      <c r="CN321" s="38"/>
      <c r="CO321" s="38">
        <v>0</v>
      </c>
      <c r="CP321" s="38">
        <v>0</v>
      </c>
      <c r="CQ321" s="38">
        <v>0</v>
      </c>
      <c r="CR321" s="38">
        <v>0</v>
      </c>
      <c r="CS321" s="38">
        <v>0</v>
      </c>
      <c r="CT321" s="38">
        <v>0</v>
      </c>
      <c r="CU321" s="38">
        <v>0</v>
      </c>
      <c r="CV321" s="38">
        <v>9999</v>
      </c>
      <c r="CW321" s="49">
        <v>9999</v>
      </c>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row>
    <row r="322" spans="1:131">
      <c r="A322" s="27" t="s">
        <v>847</v>
      </c>
      <c r="B322" s="27"/>
      <c r="C322" s="38">
        <v>44.999999999999993</v>
      </c>
      <c r="D322" s="38">
        <v>632.52990636570007</v>
      </c>
      <c r="E322" s="38">
        <v>0</v>
      </c>
      <c r="F322" s="38">
        <v>1635.52300175959</v>
      </c>
      <c r="G322" s="38">
        <v>0</v>
      </c>
      <c r="H322" s="38">
        <v>0</v>
      </c>
      <c r="I322" s="38"/>
      <c r="J322" s="38"/>
      <c r="K322" s="38"/>
      <c r="L322" s="38">
        <v>681.56344540520035</v>
      </c>
      <c r="M322" s="38">
        <v>0.30855389378615189</v>
      </c>
      <c r="N322" s="38">
        <v>0.30632689014981557</v>
      </c>
      <c r="O322" s="38">
        <v>0</v>
      </c>
      <c r="P322" s="38">
        <v>0</v>
      </c>
      <c r="Q322" s="38">
        <v>0</v>
      </c>
      <c r="R322" s="38">
        <v>213.91941712516538</v>
      </c>
      <c r="S322" s="38">
        <v>494.335236016583</v>
      </c>
      <c r="T322" s="38">
        <v>0</v>
      </c>
      <c r="U322" s="38">
        <v>382.23592569386329</v>
      </c>
      <c r="V322" s="38">
        <v>98.131380105575403</v>
      </c>
      <c r="W322" s="38">
        <v>228.97322024634261</v>
      </c>
      <c r="X322" s="38">
        <v>0</v>
      </c>
      <c r="Y322" s="38">
        <v>0</v>
      </c>
      <c r="Z322" s="38">
        <v>0</v>
      </c>
      <c r="AA322" s="38">
        <v>0</v>
      </c>
      <c r="AB322" s="38">
        <v>0</v>
      </c>
      <c r="AC322" s="38">
        <v>0</v>
      </c>
      <c r="AD322" s="38">
        <v>0</v>
      </c>
      <c r="AE322" s="38">
        <v>0</v>
      </c>
      <c r="AF322" s="38">
        <v>0</v>
      </c>
      <c r="AG322" s="38">
        <v>0</v>
      </c>
      <c r="AH322" s="38">
        <v>312.05079723074078</v>
      </c>
      <c r="AI322" s="38">
        <v>723.30845626292557</v>
      </c>
      <c r="AJ322" s="38">
        <v>0</v>
      </c>
      <c r="AK322" s="38">
        <v>382.23592569386329</v>
      </c>
      <c r="AL322" s="38">
        <v>1417.5951791875295</v>
      </c>
      <c r="AM322" s="38">
        <v>358.78552457332705</v>
      </c>
      <c r="AN322" s="38">
        <v>109.0270509006718</v>
      </c>
      <c r="AO322" s="38">
        <v>0</v>
      </c>
      <c r="AP322" s="38">
        <v>0</v>
      </c>
      <c r="AQ322" s="38">
        <v>467.81257547399883</v>
      </c>
      <c r="AR322" s="38">
        <v>312.05079723074078</v>
      </c>
      <c r="AS322" s="49">
        <v>1.4991552004530935</v>
      </c>
      <c r="AT322" s="38">
        <v>358.78552457332705</v>
      </c>
      <c r="AU322" s="38">
        <v>129.05555456662685</v>
      </c>
      <c r="AV322" s="38">
        <v>0</v>
      </c>
      <c r="AW322" s="38">
        <v>0</v>
      </c>
      <c r="AX322" s="38">
        <v>487.84107913995388</v>
      </c>
      <c r="AY322" s="38">
        <v>723.30845626292557</v>
      </c>
      <c r="AZ322" s="50">
        <v>0.67445786775458583</v>
      </c>
      <c r="BA322" s="38">
        <v>358.78552457332705</v>
      </c>
      <c r="BB322" s="38">
        <v>238.08260546729866</v>
      </c>
      <c r="BC322" s="38">
        <v>0</v>
      </c>
      <c r="BD322" s="38">
        <v>0</v>
      </c>
      <c r="BE322" s="38">
        <v>596.86813004062572</v>
      </c>
      <c r="BF322" s="38">
        <v>1035.3592534936663</v>
      </c>
      <c r="BG322" s="38">
        <v>86.074174977275945</v>
      </c>
      <c r="BH322" s="50">
        <v>0.57648408320743039</v>
      </c>
      <c r="BI322" s="38">
        <v>33.689077673511562</v>
      </c>
      <c r="BJ322" s="38">
        <v>78.088551547366265</v>
      </c>
      <c r="BK322" s="38">
        <v>0</v>
      </c>
      <c r="BL322" s="38">
        <v>41.266280697194759</v>
      </c>
      <c r="BM322" s="38">
        <v>153.04390991807259</v>
      </c>
      <c r="BN322" s="38">
        <v>358.78552457332705</v>
      </c>
      <c r="BO322" s="38">
        <v>0</v>
      </c>
      <c r="BP322" s="38">
        <v>238.08260546729866</v>
      </c>
      <c r="BQ322" s="38">
        <v>0</v>
      </c>
      <c r="BR322" s="38">
        <v>0</v>
      </c>
      <c r="BS322" s="38">
        <v>0</v>
      </c>
      <c r="BT322" s="38">
        <v>0</v>
      </c>
      <c r="BU322" s="38">
        <v>0</v>
      </c>
      <c r="BV322" s="38">
        <v>63.35092435563547</v>
      </c>
      <c r="BW322" s="38">
        <v>0</v>
      </c>
      <c r="BX322" s="38">
        <v>1090.4905788356116</v>
      </c>
      <c r="BY322" s="38">
        <v>327.10460035191801</v>
      </c>
      <c r="BZ322" s="38">
        <v>0</v>
      </c>
      <c r="CA322" s="38">
        <v>0</v>
      </c>
      <c r="CB322" s="38">
        <v>660.21905439626119</v>
      </c>
      <c r="CC322" s="38">
        <v>1417.5951791875295</v>
      </c>
      <c r="CD322" s="50">
        <v>0.46573172940292762</v>
      </c>
      <c r="CE322" s="38">
        <v>120.50107493823872</v>
      </c>
      <c r="CF322" s="38">
        <v>6.4749455010787003</v>
      </c>
      <c r="CG322" s="38">
        <v>0</v>
      </c>
      <c r="CH322" s="38">
        <v>6.4749455010787003</v>
      </c>
      <c r="CI322" s="38">
        <v>0.32374263656747027</v>
      </c>
      <c r="CJ322" s="38">
        <v>0</v>
      </c>
      <c r="CK322" s="38">
        <v>0.32374263656747027</v>
      </c>
      <c r="CL322" s="38"/>
      <c r="CM322" s="38">
        <v>0</v>
      </c>
      <c r="CN322" s="38"/>
      <c r="CO322" s="38">
        <v>0</v>
      </c>
      <c r="CP322" s="38">
        <v>0</v>
      </c>
      <c r="CQ322" s="38">
        <v>0</v>
      </c>
      <c r="CR322" s="38">
        <v>0</v>
      </c>
      <c r="CS322" s="38">
        <v>0</v>
      </c>
      <c r="CT322" s="38">
        <v>0</v>
      </c>
      <c r="CU322" s="38">
        <v>0</v>
      </c>
      <c r="CV322" s="38">
        <v>9999</v>
      </c>
      <c r="CW322" s="49">
        <v>9999</v>
      </c>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row>
    <row r="323" spans="1:131">
      <c r="A323" s="27" t="s">
        <v>859</v>
      </c>
      <c r="B323" s="27"/>
      <c r="C323" s="38">
        <v>45</v>
      </c>
      <c r="D323" s="38">
        <v>407.47562733473887</v>
      </c>
      <c r="E323" s="38">
        <v>0</v>
      </c>
      <c r="F323" s="38">
        <v>1370.7558864868229</v>
      </c>
      <c r="G323" s="38">
        <v>0</v>
      </c>
      <c r="H323" s="38">
        <v>0</v>
      </c>
      <c r="I323" s="38"/>
      <c r="J323" s="38"/>
      <c r="K323" s="38"/>
      <c r="L323" s="38">
        <v>439.06031889213284</v>
      </c>
      <c r="M323" s="38">
        <v>0.19853142158497575</v>
      </c>
      <c r="N323" s="38">
        <v>0.19709851081411645</v>
      </c>
      <c r="O323" s="38">
        <v>0</v>
      </c>
      <c r="P323" s="38">
        <v>0</v>
      </c>
      <c r="Q323" s="38">
        <v>0</v>
      </c>
      <c r="R323" s="38">
        <v>179.28901026929938</v>
      </c>
      <c r="S323" s="38">
        <v>414.30963302782595</v>
      </c>
      <c r="T323" s="38">
        <v>0</v>
      </c>
      <c r="U323" s="38">
        <v>320.3575520539332</v>
      </c>
      <c r="V323" s="38">
        <v>82.245353189209368</v>
      </c>
      <c r="W323" s="38">
        <v>191.9058241081552</v>
      </c>
      <c r="X323" s="38">
        <v>0</v>
      </c>
      <c r="Y323" s="38">
        <v>0</v>
      </c>
      <c r="Z323" s="38">
        <v>0</v>
      </c>
      <c r="AA323" s="38">
        <v>0</v>
      </c>
      <c r="AB323" s="38">
        <v>0</v>
      </c>
      <c r="AC323" s="38">
        <v>0</v>
      </c>
      <c r="AD323" s="38">
        <v>0</v>
      </c>
      <c r="AE323" s="38">
        <v>0</v>
      </c>
      <c r="AF323" s="38">
        <v>0</v>
      </c>
      <c r="AG323" s="38">
        <v>0</v>
      </c>
      <c r="AH323" s="38">
        <v>261.53436345850878</v>
      </c>
      <c r="AI323" s="38">
        <v>606.21545713598118</v>
      </c>
      <c r="AJ323" s="38">
        <v>0</v>
      </c>
      <c r="AK323" s="38">
        <v>320.3575520539332</v>
      </c>
      <c r="AL323" s="38">
        <v>1188.1073726484233</v>
      </c>
      <c r="AM323" s="38">
        <v>231.12707839673226</v>
      </c>
      <c r="AN323" s="38">
        <v>70.150777035824731</v>
      </c>
      <c r="AO323" s="38">
        <v>0</v>
      </c>
      <c r="AP323" s="38">
        <v>0</v>
      </c>
      <c r="AQ323" s="38">
        <v>301.27785543255698</v>
      </c>
      <c r="AR323" s="38">
        <v>261.53436345850878</v>
      </c>
      <c r="AS323" s="49">
        <v>1.1519627916136279</v>
      </c>
      <c r="AT323" s="38">
        <v>231.12707839673226</v>
      </c>
      <c r="AU323" s="38">
        <v>83.037625606200507</v>
      </c>
      <c r="AV323" s="38">
        <v>0</v>
      </c>
      <c r="AW323" s="38">
        <v>0</v>
      </c>
      <c r="AX323" s="38">
        <v>314.16470400293275</v>
      </c>
      <c r="AY323" s="38">
        <v>606.21545713598118</v>
      </c>
      <c r="AZ323" s="50">
        <v>0.51823934923596304</v>
      </c>
      <c r="BA323" s="38">
        <v>231.12707839673226</v>
      </c>
      <c r="BB323" s="38">
        <v>153.18840264202524</v>
      </c>
      <c r="BC323" s="38">
        <v>0</v>
      </c>
      <c r="BD323" s="38">
        <v>0</v>
      </c>
      <c r="BE323" s="38">
        <v>384.31548103875747</v>
      </c>
      <c r="BF323" s="38">
        <v>867.74982059448996</v>
      </c>
      <c r="BG323" s="38">
        <v>119.75274828506343</v>
      </c>
      <c r="BH323" s="50">
        <v>0.44288742206303811</v>
      </c>
      <c r="BI323" s="38">
        <v>43.830324459561815</v>
      </c>
      <c r="BJ323" s="38">
        <v>101.59513964935225</v>
      </c>
      <c r="BK323" s="38">
        <v>0</v>
      </c>
      <c r="BL323" s="38">
        <v>53.688453264469231</v>
      </c>
      <c r="BM323" s="38">
        <v>199.11391737338332</v>
      </c>
      <c r="BN323" s="38">
        <v>231.12707839673226</v>
      </c>
      <c r="BO323" s="38">
        <v>0</v>
      </c>
      <c r="BP323" s="38">
        <v>153.18840264202524</v>
      </c>
      <c r="BQ323" s="38">
        <v>0</v>
      </c>
      <c r="BR323" s="38">
        <v>0</v>
      </c>
      <c r="BS323" s="38">
        <v>0</v>
      </c>
      <c r="BT323" s="38">
        <v>0</v>
      </c>
      <c r="BU323" s="38">
        <v>0</v>
      </c>
      <c r="BV323" s="38">
        <v>38.163058184969721</v>
      </c>
      <c r="BW323" s="38">
        <v>0</v>
      </c>
      <c r="BX323" s="38">
        <v>913.95619535105857</v>
      </c>
      <c r="BY323" s="38">
        <v>274.1511772973646</v>
      </c>
      <c r="BZ323" s="38">
        <v>0</v>
      </c>
      <c r="CA323" s="38">
        <v>0</v>
      </c>
      <c r="CB323" s="38">
        <v>422.47853922372718</v>
      </c>
      <c r="CC323" s="38">
        <v>1188.1073726484233</v>
      </c>
      <c r="CD323" s="50">
        <v>0.35558952747004302</v>
      </c>
      <c r="CE323" s="38">
        <v>167.04548665953993</v>
      </c>
      <c r="CF323" s="38">
        <v>4.1711330470216472</v>
      </c>
      <c r="CG323" s="38">
        <v>0</v>
      </c>
      <c r="CH323" s="38">
        <v>4.1711330470216472</v>
      </c>
      <c r="CI323" s="38">
        <v>0.20855365147376306</v>
      </c>
      <c r="CJ323" s="38">
        <v>0</v>
      </c>
      <c r="CK323" s="38">
        <v>0.20855365147376306</v>
      </c>
      <c r="CL323" s="38"/>
      <c r="CM323" s="38">
        <v>0</v>
      </c>
      <c r="CN323" s="38"/>
      <c r="CO323" s="38">
        <v>0</v>
      </c>
      <c r="CP323" s="38">
        <v>0</v>
      </c>
      <c r="CQ323" s="38">
        <v>0</v>
      </c>
      <c r="CR323" s="38">
        <v>0</v>
      </c>
      <c r="CS323" s="38">
        <v>0</v>
      </c>
      <c r="CT323" s="38">
        <v>0</v>
      </c>
      <c r="CU323" s="38">
        <v>0</v>
      </c>
      <c r="CV323" s="38">
        <v>9999</v>
      </c>
      <c r="CW323" s="49">
        <v>9999</v>
      </c>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row>
    <row r="324" spans="1:131">
      <c r="A324" s="27" t="s">
        <v>861</v>
      </c>
      <c r="B324" s="27"/>
      <c r="C324" s="38">
        <v>45</v>
      </c>
      <c r="D324" s="38">
        <v>471.03814974805175</v>
      </c>
      <c r="E324" s="38">
        <v>0</v>
      </c>
      <c r="F324" s="38">
        <v>1614.3440015787794</v>
      </c>
      <c r="G324" s="38">
        <v>0</v>
      </c>
      <c r="H324" s="38">
        <v>0</v>
      </c>
      <c r="I324" s="38"/>
      <c r="J324" s="38"/>
      <c r="K324" s="38"/>
      <c r="L324" s="38">
        <v>507.58277006475492</v>
      </c>
      <c r="M324" s="38">
        <v>0.23241708303730066</v>
      </c>
      <c r="N324" s="38">
        <v>0.23073960075788574</v>
      </c>
      <c r="O324" s="38">
        <v>0</v>
      </c>
      <c r="P324" s="38">
        <v>0</v>
      </c>
      <c r="Q324" s="38">
        <v>0</v>
      </c>
      <c r="R324" s="38">
        <v>211.14929443713316</v>
      </c>
      <c r="S324" s="38">
        <v>487.93390381782302</v>
      </c>
      <c r="T324" s="38">
        <v>0</v>
      </c>
      <c r="U324" s="38">
        <v>377.28620946812191</v>
      </c>
      <c r="V324" s="38">
        <v>96.860640094726762</v>
      </c>
      <c r="W324" s="38">
        <v>226.0081602210291</v>
      </c>
      <c r="X324" s="38">
        <v>0</v>
      </c>
      <c r="Y324" s="38">
        <v>0</v>
      </c>
      <c r="Z324" s="38">
        <v>0</v>
      </c>
      <c r="AA324" s="38">
        <v>0</v>
      </c>
      <c r="AB324" s="38">
        <v>0</v>
      </c>
      <c r="AC324" s="38">
        <v>0</v>
      </c>
      <c r="AD324" s="38">
        <v>0</v>
      </c>
      <c r="AE324" s="38">
        <v>0</v>
      </c>
      <c r="AF324" s="38">
        <v>0</v>
      </c>
      <c r="AG324" s="38">
        <v>0</v>
      </c>
      <c r="AH324" s="38">
        <v>308.00993453185993</v>
      </c>
      <c r="AI324" s="38">
        <v>713.9420640388521</v>
      </c>
      <c r="AJ324" s="38">
        <v>0</v>
      </c>
      <c r="AK324" s="38">
        <v>377.28620946812191</v>
      </c>
      <c r="AL324" s="38">
        <v>1399.2382080388338</v>
      </c>
      <c r="AM324" s="38">
        <v>267.21106691323399</v>
      </c>
      <c r="AN324" s="38">
        <v>82.124224172181599</v>
      </c>
      <c r="AO324" s="38">
        <v>0</v>
      </c>
      <c r="AP324" s="38">
        <v>0</v>
      </c>
      <c r="AQ324" s="38">
        <v>349.33529108541558</v>
      </c>
      <c r="AR324" s="38">
        <v>308.00993453185993</v>
      </c>
      <c r="AS324" s="49">
        <v>1.1341689079489123</v>
      </c>
      <c r="AT324" s="38">
        <v>267.21106691323399</v>
      </c>
      <c r="AU324" s="38">
        <v>97.210620725223833</v>
      </c>
      <c r="AV324" s="38">
        <v>0</v>
      </c>
      <c r="AW324" s="38">
        <v>0</v>
      </c>
      <c r="AX324" s="38">
        <v>364.4216876384578</v>
      </c>
      <c r="AY324" s="38">
        <v>713.9420640388521</v>
      </c>
      <c r="AZ324" s="50">
        <v>0.51043593870472137</v>
      </c>
      <c r="BA324" s="38">
        <v>267.21106691323399</v>
      </c>
      <c r="BB324" s="38">
        <v>179.33484489740545</v>
      </c>
      <c r="BC324" s="38">
        <v>0</v>
      </c>
      <c r="BD324" s="38">
        <v>0</v>
      </c>
      <c r="BE324" s="38">
        <v>446.54591181063938</v>
      </c>
      <c r="BF324" s="38">
        <v>1021.951998570712</v>
      </c>
      <c r="BG324" s="38">
        <v>122.15001903295359</v>
      </c>
      <c r="BH324" s="50">
        <v>0.43695390041329957</v>
      </c>
      <c r="BI324" s="38">
        <v>44.650668695017529</v>
      </c>
      <c r="BJ324" s="38">
        <v>103.49663109823614</v>
      </c>
      <c r="BK324" s="38">
        <v>0</v>
      </c>
      <c r="BL324" s="38">
        <v>54.693305810944786</v>
      </c>
      <c r="BM324" s="38">
        <v>202.84060560419843</v>
      </c>
      <c r="BN324" s="38">
        <v>267.21106691323399</v>
      </c>
      <c r="BO324" s="38">
        <v>0</v>
      </c>
      <c r="BP324" s="38">
        <v>179.33484489740545</v>
      </c>
      <c r="BQ324" s="38">
        <v>0</v>
      </c>
      <c r="BR324" s="38">
        <v>0</v>
      </c>
      <c r="BS324" s="38">
        <v>0</v>
      </c>
      <c r="BT324" s="38">
        <v>0</v>
      </c>
      <c r="BU324" s="38">
        <v>0</v>
      </c>
      <c r="BV324" s="38">
        <v>46.572076539193795</v>
      </c>
      <c r="BW324" s="38">
        <v>0</v>
      </c>
      <c r="BX324" s="38">
        <v>1076.369407723078</v>
      </c>
      <c r="BY324" s="38">
        <v>322.86880031575589</v>
      </c>
      <c r="BZ324" s="38">
        <v>0</v>
      </c>
      <c r="CA324" s="38">
        <v>0</v>
      </c>
      <c r="CB324" s="38">
        <v>493.11798834983318</v>
      </c>
      <c r="CC324" s="38">
        <v>1399.2382080388338</v>
      </c>
      <c r="CD324" s="50">
        <v>0.35241889873846799</v>
      </c>
      <c r="CE324" s="38">
        <v>170.09200247778341</v>
      </c>
      <c r="CF324" s="38">
        <v>4.8221025788877299</v>
      </c>
      <c r="CG324" s="38">
        <v>0</v>
      </c>
      <c r="CH324" s="38">
        <v>4.8221025788877299</v>
      </c>
      <c r="CI324" s="38">
        <v>0.24110181578075859</v>
      </c>
      <c r="CJ324" s="38">
        <v>0</v>
      </c>
      <c r="CK324" s="38">
        <v>0.24110181578075859</v>
      </c>
      <c r="CL324" s="38"/>
      <c r="CM324" s="38">
        <v>0</v>
      </c>
      <c r="CN324" s="38"/>
      <c r="CO324" s="38">
        <v>0</v>
      </c>
      <c r="CP324" s="38">
        <v>0</v>
      </c>
      <c r="CQ324" s="38">
        <v>0</v>
      </c>
      <c r="CR324" s="38">
        <v>0</v>
      </c>
      <c r="CS324" s="38">
        <v>0</v>
      </c>
      <c r="CT324" s="38">
        <v>0</v>
      </c>
      <c r="CU324" s="38">
        <v>0</v>
      </c>
      <c r="CV324" s="38">
        <v>9999</v>
      </c>
      <c r="CW324" s="49">
        <v>9999</v>
      </c>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row>
    <row r="325" spans="1:131">
      <c r="A325" s="27" t="s">
        <v>887</v>
      </c>
      <c r="B325" s="27"/>
      <c r="C325" s="38">
        <v>45</v>
      </c>
      <c r="D325" s="38">
        <v>406.10007187863522</v>
      </c>
      <c r="E325" s="38">
        <v>0</v>
      </c>
      <c r="F325" s="38">
        <v>1423.5624999793488</v>
      </c>
      <c r="G325" s="38">
        <v>0</v>
      </c>
      <c r="H325" s="38">
        <v>0</v>
      </c>
      <c r="I325" s="38"/>
      <c r="J325" s="38"/>
      <c r="K325" s="38"/>
      <c r="L325" s="38">
        <v>437.59839445869</v>
      </c>
      <c r="M325" s="38">
        <v>0.19965122834119201</v>
      </c>
      <c r="N325" s="38">
        <v>0.19821023530733647</v>
      </c>
      <c r="O325" s="38">
        <v>0</v>
      </c>
      <c r="P325" s="38">
        <v>0</v>
      </c>
      <c r="Q325" s="38">
        <v>0</v>
      </c>
      <c r="R325" s="38">
        <v>186.19588957733831</v>
      </c>
      <c r="S325" s="38">
        <v>430.27038057829139</v>
      </c>
      <c r="T325" s="38">
        <v>0</v>
      </c>
      <c r="U325" s="38">
        <v>332.69891611262142</v>
      </c>
      <c r="V325" s="38">
        <v>85.413749998760935</v>
      </c>
      <c r="W325" s="38">
        <v>199.29874999710884</v>
      </c>
      <c r="X325" s="38">
        <v>0</v>
      </c>
      <c r="Y325" s="38">
        <v>0</v>
      </c>
      <c r="Z325" s="38">
        <v>0</v>
      </c>
      <c r="AA325" s="38">
        <v>0</v>
      </c>
      <c r="AB325" s="38">
        <v>0</v>
      </c>
      <c r="AC325" s="38">
        <v>0</v>
      </c>
      <c r="AD325" s="38">
        <v>0</v>
      </c>
      <c r="AE325" s="38">
        <v>0</v>
      </c>
      <c r="AF325" s="38">
        <v>0</v>
      </c>
      <c r="AG325" s="38">
        <v>0</v>
      </c>
      <c r="AH325" s="38">
        <v>271.60963957609926</v>
      </c>
      <c r="AI325" s="38">
        <v>629.56913057540021</v>
      </c>
      <c r="AJ325" s="38">
        <v>0</v>
      </c>
      <c r="AK325" s="38">
        <v>332.69891611262142</v>
      </c>
      <c r="AL325" s="38">
        <v>1233.8776862641209</v>
      </c>
      <c r="AM325" s="38">
        <v>230.36540515398542</v>
      </c>
      <c r="AN325" s="38">
        <v>70.546459056591985</v>
      </c>
      <c r="AO325" s="38">
        <v>0</v>
      </c>
      <c r="AP325" s="38">
        <v>0</v>
      </c>
      <c r="AQ325" s="38">
        <v>300.91186421057739</v>
      </c>
      <c r="AR325" s="38">
        <v>271.60963957609926</v>
      </c>
      <c r="AS325" s="49">
        <v>1.1078835960321956</v>
      </c>
      <c r="AT325" s="38">
        <v>230.36540515398542</v>
      </c>
      <c r="AU325" s="38">
        <v>83.505995264925701</v>
      </c>
      <c r="AV325" s="38">
        <v>0</v>
      </c>
      <c r="AW325" s="38">
        <v>0</v>
      </c>
      <c r="AX325" s="38">
        <v>313.87140041891109</v>
      </c>
      <c r="AY325" s="38">
        <v>629.56913057540021</v>
      </c>
      <c r="AZ325" s="50">
        <v>0.49854953995607376</v>
      </c>
      <c r="BA325" s="38">
        <v>230.36540515398542</v>
      </c>
      <c r="BB325" s="38">
        <v>154.0524543215177</v>
      </c>
      <c r="BC325" s="38">
        <v>0</v>
      </c>
      <c r="BD325" s="38">
        <v>0</v>
      </c>
      <c r="BE325" s="38">
        <v>384.41785947550306</v>
      </c>
      <c r="BF325" s="38">
        <v>901.17877015149952</v>
      </c>
      <c r="BG325" s="38">
        <v>125.62857343970386</v>
      </c>
      <c r="BH325" s="50">
        <v>0.42657225426080286</v>
      </c>
      <c r="BI325" s="38">
        <v>45.670900394549015</v>
      </c>
      <c r="BJ325" s="38">
        <v>105.86144548796823</v>
      </c>
      <c r="BK325" s="38">
        <v>0</v>
      </c>
      <c r="BL325" s="38">
        <v>55.943003653582529</v>
      </c>
      <c r="BM325" s="38">
        <v>207.4753495360998</v>
      </c>
      <c r="BN325" s="38">
        <v>230.36540515398542</v>
      </c>
      <c r="BO325" s="38">
        <v>0</v>
      </c>
      <c r="BP325" s="38">
        <v>154.0524543215177</v>
      </c>
      <c r="BQ325" s="38">
        <v>0</v>
      </c>
      <c r="BR325" s="38">
        <v>0</v>
      </c>
      <c r="BS325" s="38">
        <v>0</v>
      </c>
      <c r="BT325" s="38">
        <v>0</v>
      </c>
      <c r="BU325" s="38">
        <v>0</v>
      </c>
      <c r="BV325" s="38">
        <v>41.782323771782274</v>
      </c>
      <c r="BW325" s="38">
        <v>0</v>
      </c>
      <c r="BX325" s="38">
        <v>949.16518626825109</v>
      </c>
      <c r="BY325" s="38">
        <v>284.71249999586979</v>
      </c>
      <c r="BZ325" s="38">
        <v>0</v>
      </c>
      <c r="CA325" s="38">
        <v>0</v>
      </c>
      <c r="CB325" s="38">
        <v>426.20018324728534</v>
      </c>
      <c r="CC325" s="38">
        <v>1233.8776862641209</v>
      </c>
      <c r="CD325" s="50">
        <v>0.34541526116556576</v>
      </c>
      <c r="CE325" s="38">
        <v>174.54591942439049</v>
      </c>
      <c r="CF325" s="38">
        <v>4.157242649589274</v>
      </c>
      <c r="CG325" s="38">
        <v>0</v>
      </c>
      <c r="CH325" s="38">
        <v>4.157242649589274</v>
      </c>
      <c r="CI325" s="38">
        <v>0.20785923736787776</v>
      </c>
      <c r="CJ325" s="38">
        <v>0</v>
      </c>
      <c r="CK325" s="38">
        <v>0.20785923736787776</v>
      </c>
      <c r="CL325" s="38"/>
      <c r="CM325" s="38">
        <v>0</v>
      </c>
      <c r="CN325" s="38"/>
      <c r="CO325" s="38">
        <v>0</v>
      </c>
      <c r="CP325" s="38">
        <v>0</v>
      </c>
      <c r="CQ325" s="38">
        <v>0</v>
      </c>
      <c r="CR325" s="38">
        <v>0</v>
      </c>
      <c r="CS325" s="38">
        <v>0</v>
      </c>
      <c r="CT325" s="38">
        <v>0</v>
      </c>
      <c r="CU325" s="38">
        <v>0</v>
      </c>
      <c r="CV325" s="38">
        <v>9999</v>
      </c>
      <c r="CW325" s="49">
        <v>9999</v>
      </c>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row>
    <row r="326" spans="1:131">
      <c r="A326" s="27" t="s">
        <v>864</v>
      </c>
      <c r="B326" s="27"/>
      <c r="C326" s="38">
        <v>45.000000000000007</v>
      </c>
      <c r="D326" s="38">
        <v>141.20673611544606</v>
      </c>
      <c r="E326" s="38">
        <v>0</v>
      </c>
      <c r="F326" s="38">
        <v>511.13785022512633</v>
      </c>
      <c r="G326" s="38">
        <v>0</v>
      </c>
      <c r="H326" s="38">
        <v>0</v>
      </c>
      <c r="I326" s="38"/>
      <c r="J326" s="38"/>
      <c r="K326" s="38"/>
      <c r="L326" s="38">
        <v>152.20883549304395</v>
      </c>
      <c r="M326" s="38">
        <v>7.3812699729113154E-2</v>
      </c>
      <c r="N326" s="38">
        <v>7.3279952763299572E-2</v>
      </c>
      <c r="O326" s="38">
        <v>0</v>
      </c>
      <c r="P326" s="38">
        <v>0</v>
      </c>
      <c r="Q326" s="38">
        <v>0</v>
      </c>
      <c r="R326" s="38">
        <v>66.854645806345957</v>
      </c>
      <c r="S326" s="38">
        <v>154.49091792423954</v>
      </c>
      <c r="T326" s="38">
        <v>0</v>
      </c>
      <c r="U326" s="38">
        <v>119.45735347517366</v>
      </c>
      <c r="V326" s="38">
        <v>30.668271013507582</v>
      </c>
      <c r="W326" s="38">
        <v>71.559299031517682</v>
      </c>
      <c r="X326" s="38">
        <v>0</v>
      </c>
      <c r="Y326" s="38">
        <v>0</v>
      </c>
      <c r="Z326" s="38">
        <v>0</v>
      </c>
      <c r="AA326" s="38">
        <v>0</v>
      </c>
      <c r="AB326" s="38">
        <v>0</v>
      </c>
      <c r="AC326" s="38">
        <v>0</v>
      </c>
      <c r="AD326" s="38">
        <v>0</v>
      </c>
      <c r="AE326" s="38">
        <v>0</v>
      </c>
      <c r="AF326" s="38">
        <v>0</v>
      </c>
      <c r="AG326" s="38">
        <v>0</v>
      </c>
      <c r="AH326" s="38">
        <v>97.522916819853535</v>
      </c>
      <c r="AI326" s="38">
        <v>226.05021695575721</v>
      </c>
      <c r="AJ326" s="38">
        <v>0</v>
      </c>
      <c r="AK326" s="38">
        <v>119.45735347517366</v>
      </c>
      <c r="AL326" s="38">
        <v>443.03048725078446</v>
      </c>
      <c r="AM326" s="38">
        <v>80.146850951320047</v>
      </c>
      <c r="AN326" s="38">
        <v>26.081605620765647</v>
      </c>
      <c r="AO326" s="38">
        <v>0</v>
      </c>
      <c r="AP326" s="38">
        <v>0</v>
      </c>
      <c r="AQ326" s="38">
        <v>106.22845657208569</v>
      </c>
      <c r="AR326" s="38">
        <v>97.522916819853535</v>
      </c>
      <c r="AS326" s="49">
        <v>1.0892666055950031</v>
      </c>
      <c r="AT326" s="38">
        <v>80.146850951320047</v>
      </c>
      <c r="AU326" s="38">
        <v>30.87285265050879</v>
      </c>
      <c r="AV326" s="38">
        <v>0</v>
      </c>
      <c r="AW326" s="38">
        <v>0</v>
      </c>
      <c r="AX326" s="38">
        <v>111.01970360182884</v>
      </c>
      <c r="AY326" s="38">
        <v>226.05021695575721</v>
      </c>
      <c r="AZ326" s="50">
        <v>0.49112849833520722</v>
      </c>
      <c r="BA326" s="38">
        <v>80.146850951320047</v>
      </c>
      <c r="BB326" s="38">
        <v>56.954458271274433</v>
      </c>
      <c r="BC326" s="38">
        <v>0</v>
      </c>
      <c r="BD326" s="38">
        <v>0</v>
      </c>
      <c r="BE326" s="38">
        <v>137.10130922259449</v>
      </c>
      <c r="BF326" s="38">
        <v>323.57313377561076</v>
      </c>
      <c r="BG326" s="38">
        <v>128.89047308167832</v>
      </c>
      <c r="BH326" s="50">
        <v>0.42371042250272406</v>
      </c>
      <c r="BI326" s="38">
        <v>47.145140382379743</v>
      </c>
      <c r="BJ326" s="38">
        <v>109.27861429260496</v>
      </c>
      <c r="BK326" s="38">
        <v>0</v>
      </c>
      <c r="BL326" s="38">
        <v>57.74882338371674</v>
      </c>
      <c r="BM326" s="38">
        <v>214.17257805870148</v>
      </c>
      <c r="BN326" s="38">
        <v>80.146850951320047</v>
      </c>
      <c r="BO326" s="38">
        <v>0</v>
      </c>
      <c r="BP326" s="38">
        <v>56.954458271274433</v>
      </c>
      <c r="BQ326" s="38">
        <v>0</v>
      </c>
      <c r="BR326" s="38">
        <v>0</v>
      </c>
      <c r="BS326" s="38">
        <v>0</v>
      </c>
      <c r="BT326" s="38">
        <v>0</v>
      </c>
      <c r="BU326" s="38">
        <v>0</v>
      </c>
      <c r="BV326" s="38">
        <v>15.892273553090316</v>
      </c>
      <c r="BW326" s="38">
        <v>0</v>
      </c>
      <c r="BX326" s="38">
        <v>340.80291720575917</v>
      </c>
      <c r="BY326" s="38">
        <v>102.22757004502527</v>
      </c>
      <c r="BZ326" s="38">
        <v>0</v>
      </c>
      <c r="CA326" s="38">
        <v>0</v>
      </c>
      <c r="CB326" s="38">
        <v>152.99358277568479</v>
      </c>
      <c r="CC326" s="38">
        <v>443.03048725078446</v>
      </c>
      <c r="CD326" s="50">
        <v>0.34533420876988163</v>
      </c>
      <c r="CE326" s="38">
        <v>178.95655386408794</v>
      </c>
      <c r="CF326" s="38">
        <v>1.445999378465803</v>
      </c>
      <c r="CG326" s="38">
        <v>0</v>
      </c>
      <c r="CH326" s="38">
        <v>1.445999378465803</v>
      </c>
      <c r="CI326" s="38">
        <v>7.2299196859195863E-2</v>
      </c>
      <c r="CJ326" s="38">
        <v>0</v>
      </c>
      <c r="CK326" s="38">
        <v>7.2299196859195863E-2</v>
      </c>
      <c r="CL326" s="38"/>
      <c r="CM326" s="38">
        <v>0</v>
      </c>
      <c r="CN326" s="38"/>
      <c r="CO326" s="38">
        <v>0</v>
      </c>
      <c r="CP326" s="38">
        <v>0</v>
      </c>
      <c r="CQ326" s="38">
        <v>0</v>
      </c>
      <c r="CR326" s="38">
        <v>0</v>
      </c>
      <c r="CS326" s="38">
        <v>0</v>
      </c>
      <c r="CT326" s="38">
        <v>0</v>
      </c>
      <c r="CU326" s="38">
        <v>0</v>
      </c>
      <c r="CV326" s="38">
        <v>9999</v>
      </c>
      <c r="CW326" s="49">
        <v>9999</v>
      </c>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row>
    <row r="327" spans="1:131">
      <c r="A327" s="27" t="s">
        <v>881</v>
      </c>
      <c r="B327" s="27"/>
      <c r="C327" s="38">
        <v>45</v>
      </c>
      <c r="D327" s="38">
        <v>148.49797870576393</v>
      </c>
      <c r="E327" s="38">
        <v>0</v>
      </c>
      <c r="F327" s="38">
        <v>540.94446756176649</v>
      </c>
      <c r="G327" s="38">
        <v>0</v>
      </c>
      <c r="H327" s="38">
        <v>0</v>
      </c>
      <c r="I327" s="38"/>
      <c r="J327" s="38"/>
      <c r="K327" s="38"/>
      <c r="L327" s="38">
        <v>160.0762961366737</v>
      </c>
      <c r="M327" s="38">
        <v>7.8341830715264196E-2</v>
      </c>
      <c r="N327" s="38">
        <v>7.7776394513052294E-2</v>
      </c>
      <c r="O327" s="38">
        <v>0</v>
      </c>
      <c r="P327" s="38">
        <v>0</v>
      </c>
      <c r="Q327" s="38">
        <v>0</v>
      </c>
      <c r="R327" s="38">
        <v>70.75322393717444</v>
      </c>
      <c r="S327" s="38">
        <v>163.49993901419782</v>
      </c>
      <c r="T327" s="38">
        <v>0</v>
      </c>
      <c r="U327" s="38">
        <v>126.4234187382216</v>
      </c>
      <c r="V327" s="38">
        <v>32.45666805370599</v>
      </c>
      <c r="W327" s="38">
        <v>75.732225458647306</v>
      </c>
      <c r="X327" s="38">
        <v>0</v>
      </c>
      <c r="Y327" s="38">
        <v>0</v>
      </c>
      <c r="Z327" s="38">
        <v>0</v>
      </c>
      <c r="AA327" s="38">
        <v>0</v>
      </c>
      <c r="AB327" s="38">
        <v>0</v>
      </c>
      <c r="AC327" s="38">
        <v>0</v>
      </c>
      <c r="AD327" s="38">
        <v>0</v>
      </c>
      <c r="AE327" s="38">
        <v>0</v>
      </c>
      <c r="AF327" s="38">
        <v>0</v>
      </c>
      <c r="AG327" s="38">
        <v>0</v>
      </c>
      <c r="AH327" s="38">
        <v>103.20989199088044</v>
      </c>
      <c r="AI327" s="38">
        <v>239.23216447284511</v>
      </c>
      <c r="AJ327" s="38">
        <v>0</v>
      </c>
      <c r="AK327" s="38">
        <v>126.4234187382216</v>
      </c>
      <c r="AL327" s="38">
        <v>468.86547520194711</v>
      </c>
      <c r="AM327" s="38">
        <v>84.292696827631119</v>
      </c>
      <c r="AN327" s="38">
        <v>27.681967192948992</v>
      </c>
      <c r="AO327" s="38">
        <v>0</v>
      </c>
      <c r="AP327" s="38">
        <v>0</v>
      </c>
      <c r="AQ327" s="38">
        <v>111.97466402058011</v>
      </c>
      <c r="AR327" s="38">
        <v>103.20989199088044</v>
      </c>
      <c r="AS327" s="49">
        <v>1.0849218215485985</v>
      </c>
      <c r="AT327" s="38">
        <v>84.292696827631119</v>
      </c>
      <c r="AU327" s="38">
        <v>32.767204084387373</v>
      </c>
      <c r="AV327" s="38">
        <v>0</v>
      </c>
      <c r="AW327" s="38">
        <v>0</v>
      </c>
      <c r="AX327" s="38">
        <v>117.05990091201849</v>
      </c>
      <c r="AY327" s="38">
        <v>239.23216447284511</v>
      </c>
      <c r="AZ327" s="50">
        <v>0.48931505999606412</v>
      </c>
      <c r="BA327" s="38">
        <v>84.292696827631119</v>
      </c>
      <c r="BB327" s="38">
        <v>60.449171277336362</v>
      </c>
      <c r="BC327" s="38">
        <v>0</v>
      </c>
      <c r="BD327" s="38">
        <v>0</v>
      </c>
      <c r="BE327" s="38">
        <v>144.74186810496749</v>
      </c>
      <c r="BF327" s="38">
        <v>342.44205646372552</v>
      </c>
      <c r="BG327" s="38">
        <v>129.62275223133949</v>
      </c>
      <c r="BH327" s="50">
        <v>0.4226755019510865</v>
      </c>
      <c r="BI327" s="38">
        <v>47.442155317197113</v>
      </c>
      <c r="BJ327" s="38">
        <v>109.9670708384504</v>
      </c>
      <c r="BK327" s="38">
        <v>0</v>
      </c>
      <c r="BL327" s="38">
        <v>58.112641645238028</v>
      </c>
      <c r="BM327" s="38">
        <v>215.5218678008855</v>
      </c>
      <c r="BN327" s="38">
        <v>84.292696827631119</v>
      </c>
      <c r="BO327" s="38">
        <v>0</v>
      </c>
      <c r="BP327" s="38">
        <v>60.449171277336362</v>
      </c>
      <c r="BQ327" s="38">
        <v>0</v>
      </c>
      <c r="BR327" s="38">
        <v>0</v>
      </c>
      <c r="BS327" s="38">
        <v>0</v>
      </c>
      <c r="BT327" s="38">
        <v>0</v>
      </c>
      <c r="BU327" s="38">
        <v>0</v>
      </c>
      <c r="BV327" s="38">
        <v>16.385447912033911</v>
      </c>
      <c r="BW327" s="38">
        <v>0</v>
      </c>
      <c r="BX327" s="38">
        <v>360.67658168959383</v>
      </c>
      <c r="BY327" s="38">
        <v>108.1888935123533</v>
      </c>
      <c r="BZ327" s="38">
        <v>0</v>
      </c>
      <c r="CA327" s="38">
        <v>0</v>
      </c>
      <c r="CB327" s="38">
        <v>161.12731601700136</v>
      </c>
      <c r="CC327" s="38">
        <v>468.86547520194711</v>
      </c>
      <c r="CD327" s="50">
        <v>0.34365361609873601</v>
      </c>
      <c r="CE327" s="38">
        <v>180.20354833551988</v>
      </c>
      <c r="CF327" s="38">
        <v>1.5207402848970255</v>
      </c>
      <c r="CG327" s="38">
        <v>0</v>
      </c>
      <c r="CH327" s="38">
        <v>1.5207402848970255</v>
      </c>
      <c r="CI327" s="38">
        <v>7.6036240664919999E-2</v>
      </c>
      <c r="CJ327" s="38">
        <v>0</v>
      </c>
      <c r="CK327" s="38">
        <v>7.6036240664919999E-2</v>
      </c>
      <c r="CL327" s="38"/>
      <c r="CM327" s="38">
        <v>0</v>
      </c>
      <c r="CN327" s="38"/>
      <c r="CO327" s="38">
        <v>0</v>
      </c>
      <c r="CP327" s="38">
        <v>0</v>
      </c>
      <c r="CQ327" s="38">
        <v>0</v>
      </c>
      <c r="CR327" s="38">
        <v>0</v>
      </c>
      <c r="CS327" s="38">
        <v>0</v>
      </c>
      <c r="CT327" s="38">
        <v>0</v>
      </c>
      <c r="CU327" s="38">
        <v>0</v>
      </c>
      <c r="CV327" s="38">
        <v>9999</v>
      </c>
      <c r="CW327" s="49">
        <v>9999</v>
      </c>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row>
    <row r="328" spans="1:131">
      <c r="A328" s="27" t="s">
        <v>889</v>
      </c>
      <c r="B328" s="27"/>
      <c r="C328" s="38">
        <v>44.999999999999993</v>
      </c>
      <c r="D328" s="38">
        <v>470.07915174994832</v>
      </c>
      <c r="E328" s="38">
        <v>0</v>
      </c>
      <c r="F328" s="38">
        <v>1676.5345349740685</v>
      </c>
      <c r="G328" s="38">
        <v>0</v>
      </c>
      <c r="H328" s="38">
        <v>0</v>
      </c>
      <c r="I328" s="38"/>
      <c r="J328" s="38"/>
      <c r="K328" s="38"/>
      <c r="L328" s="38">
        <v>506.57122802411897</v>
      </c>
      <c r="M328" s="38">
        <v>0.23387561594000897</v>
      </c>
      <c r="N328" s="38">
        <v>0.23218760662417201</v>
      </c>
      <c r="O328" s="38">
        <v>0</v>
      </c>
      <c r="P328" s="38">
        <v>0</v>
      </c>
      <c r="Q328" s="38">
        <v>0</v>
      </c>
      <c r="R328" s="38">
        <v>219.28355035423763</v>
      </c>
      <c r="S328" s="38">
        <v>506.7309320289105</v>
      </c>
      <c r="T328" s="38">
        <v>0</v>
      </c>
      <c r="U328" s="38">
        <v>391.82067708256011</v>
      </c>
      <c r="V328" s="38">
        <v>100.59207209844411</v>
      </c>
      <c r="W328" s="38">
        <v>234.71483489636958</v>
      </c>
      <c r="X328" s="38">
        <v>0</v>
      </c>
      <c r="Y328" s="38">
        <v>0</v>
      </c>
      <c r="Z328" s="38">
        <v>0</v>
      </c>
      <c r="AA328" s="38">
        <v>0</v>
      </c>
      <c r="AB328" s="38">
        <v>0</v>
      </c>
      <c r="AC328" s="38">
        <v>0</v>
      </c>
      <c r="AD328" s="38">
        <v>0</v>
      </c>
      <c r="AE328" s="38">
        <v>0</v>
      </c>
      <c r="AF328" s="38">
        <v>0</v>
      </c>
      <c r="AG328" s="38">
        <v>0</v>
      </c>
      <c r="AH328" s="38">
        <v>319.87562245268174</v>
      </c>
      <c r="AI328" s="38">
        <v>741.44576692528005</v>
      </c>
      <c r="AJ328" s="38">
        <v>0</v>
      </c>
      <c r="AK328" s="38">
        <v>391.82067708256011</v>
      </c>
      <c r="AL328" s="38">
        <v>1453.1420664605221</v>
      </c>
      <c r="AM328" s="38">
        <v>266.68708025694957</v>
      </c>
      <c r="AN328" s="38">
        <v>82.639594563631277</v>
      </c>
      <c r="AO328" s="38">
        <v>0</v>
      </c>
      <c r="AP328" s="38">
        <v>0</v>
      </c>
      <c r="AQ328" s="38">
        <v>349.32667482058082</v>
      </c>
      <c r="AR328" s="38">
        <v>319.87562245268174</v>
      </c>
      <c r="AS328" s="49">
        <v>1.0920703245282648</v>
      </c>
      <c r="AT328" s="38">
        <v>266.68708025694957</v>
      </c>
      <c r="AU328" s="38">
        <v>97.820665765663833</v>
      </c>
      <c r="AV328" s="38">
        <v>0</v>
      </c>
      <c r="AW328" s="38">
        <v>0</v>
      </c>
      <c r="AX328" s="38">
        <v>364.50774602261339</v>
      </c>
      <c r="AY328" s="38">
        <v>741.44576692528005</v>
      </c>
      <c r="AZ328" s="50">
        <v>0.49161754275595859</v>
      </c>
      <c r="BA328" s="38">
        <v>266.68708025694957</v>
      </c>
      <c r="BB328" s="38">
        <v>180.46026032929512</v>
      </c>
      <c r="BC328" s="38">
        <v>0</v>
      </c>
      <c r="BD328" s="38">
        <v>0</v>
      </c>
      <c r="BE328" s="38">
        <v>447.1473405862447</v>
      </c>
      <c r="BF328" s="38">
        <v>1061.3213893779619</v>
      </c>
      <c r="BG328" s="38">
        <v>127.94904267394971</v>
      </c>
      <c r="BH328" s="50">
        <v>0.42131190896691223</v>
      </c>
      <c r="BI328" s="38">
        <v>46.463373530577471</v>
      </c>
      <c r="BJ328" s="38">
        <v>107.69833398733242</v>
      </c>
      <c r="BK328" s="38">
        <v>0</v>
      </c>
      <c r="BL328" s="38">
        <v>56.913716452349604</v>
      </c>
      <c r="BM328" s="38">
        <v>211.07542397025952</v>
      </c>
      <c r="BN328" s="38">
        <v>266.68708025694957</v>
      </c>
      <c r="BO328" s="38">
        <v>0</v>
      </c>
      <c r="BP328" s="38">
        <v>180.46026032929512</v>
      </c>
      <c r="BQ328" s="38">
        <v>0</v>
      </c>
      <c r="BR328" s="38">
        <v>0</v>
      </c>
      <c r="BS328" s="38">
        <v>0</v>
      </c>
      <c r="BT328" s="38">
        <v>0</v>
      </c>
      <c r="BU328" s="38">
        <v>0</v>
      </c>
      <c r="BV328" s="38">
        <v>50.994475979462784</v>
      </c>
      <c r="BW328" s="38">
        <v>0</v>
      </c>
      <c r="BX328" s="38">
        <v>1117.8351594657083</v>
      </c>
      <c r="BY328" s="38">
        <v>335.30690699481374</v>
      </c>
      <c r="BZ328" s="38">
        <v>0</v>
      </c>
      <c r="CA328" s="38">
        <v>0</v>
      </c>
      <c r="CB328" s="38">
        <v>498.14181656570742</v>
      </c>
      <c r="CC328" s="38">
        <v>1453.1420664605221</v>
      </c>
      <c r="CD328" s="50">
        <v>0.34280324550720076</v>
      </c>
      <c r="CE328" s="38">
        <v>177.4555820264554</v>
      </c>
      <c r="CF328" s="38">
        <v>4.8124907304658384</v>
      </c>
      <c r="CG328" s="38">
        <v>0</v>
      </c>
      <c r="CH328" s="38">
        <v>4.8124907304658384</v>
      </c>
      <c r="CI328" s="38">
        <v>0.24062133331145652</v>
      </c>
      <c r="CJ328" s="38">
        <v>0</v>
      </c>
      <c r="CK328" s="38">
        <v>0.24062133331145652</v>
      </c>
      <c r="CL328" s="38"/>
      <c r="CM328" s="38">
        <v>0</v>
      </c>
      <c r="CN328" s="38"/>
      <c r="CO328" s="38">
        <v>0</v>
      </c>
      <c r="CP328" s="38">
        <v>0</v>
      </c>
      <c r="CQ328" s="38">
        <v>0</v>
      </c>
      <c r="CR328" s="38">
        <v>0</v>
      </c>
      <c r="CS328" s="38">
        <v>0</v>
      </c>
      <c r="CT328" s="38">
        <v>0</v>
      </c>
      <c r="CU328" s="38">
        <v>0</v>
      </c>
      <c r="CV328" s="38">
        <v>9999</v>
      </c>
      <c r="CW328" s="49">
        <v>9999</v>
      </c>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row>
    <row r="329" spans="1:131">
      <c r="A329" s="27" t="s">
        <v>853</v>
      </c>
      <c r="B329" s="27"/>
      <c r="C329" s="38">
        <v>45</v>
      </c>
      <c r="D329" s="38">
        <v>143.60603172239132</v>
      </c>
      <c r="E329" s="38">
        <v>0</v>
      </c>
      <c r="F329" s="38">
        <v>520.87829876350941</v>
      </c>
      <c r="G329" s="38">
        <v>0</v>
      </c>
      <c r="H329" s="38">
        <v>0</v>
      </c>
      <c r="I329" s="38"/>
      <c r="J329" s="38"/>
      <c r="K329" s="38"/>
      <c r="L329" s="38">
        <v>154.79735270397916</v>
      </c>
      <c r="M329" s="38">
        <v>7.5268453028015742E-2</v>
      </c>
      <c r="N329" s="38">
        <v>7.4725199087713912E-2</v>
      </c>
      <c r="O329" s="38">
        <v>0</v>
      </c>
      <c r="P329" s="38">
        <v>0</v>
      </c>
      <c r="Q329" s="38">
        <v>0</v>
      </c>
      <c r="R329" s="38">
        <v>68.128654836868193</v>
      </c>
      <c r="S329" s="38">
        <v>157.43495901809678</v>
      </c>
      <c r="T329" s="38">
        <v>0</v>
      </c>
      <c r="U329" s="38">
        <v>121.73378086857424</v>
      </c>
      <c r="V329" s="38">
        <v>31.252697925810565</v>
      </c>
      <c r="W329" s="38">
        <v>72.92296182689131</v>
      </c>
      <c r="X329" s="38">
        <v>0</v>
      </c>
      <c r="Y329" s="38">
        <v>0</v>
      </c>
      <c r="Z329" s="38">
        <v>0</v>
      </c>
      <c r="AA329" s="38">
        <v>0</v>
      </c>
      <c r="AB329" s="38">
        <v>0</v>
      </c>
      <c r="AC329" s="38">
        <v>0</v>
      </c>
      <c r="AD329" s="38">
        <v>0</v>
      </c>
      <c r="AE329" s="38">
        <v>0</v>
      </c>
      <c r="AF329" s="38">
        <v>0</v>
      </c>
      <c r="AG329" s="38">
        <v>0</v>
      </c>
      <c r="AH329" s="38">
        <v>99.381352762678759</v>
      </c>
      <c r="AI329" s="38">
        <v>230.35792084498809</v>
      </c>
      <c r="AJ329" s="38">
        <v>0</v>
      </c>
      <c r="AK329" s="38">
        <v>121.73378086857424</v>
      </c>
      <c r="AL329" s="38">
        <v>451.47305447624109</v>
      </c>
      <c r="AM329" s="38">
        <v>81.510746218743833</v>
      </c>
      <c r="AN329" s="38">
        <v>26.595993843421731</v>
      </c>
      <c r="AO329" s="38">
        <v>0</v>
      </c>
      <c r="AP329" s="38">
        <v>0</v>
      </c>
      <c r="AQ329" s="38">
        <v>108.10674006216556</v>
      </c>
      <c r="AR329" s="38">
        <v>99.381352762678759</v>
      </c>
      <c r="AS329" s="49">
        <v>1.087797026876087</v>
      </c>
      <c r="AT329" s="38">
        <v>81.510746218743833</v>
      </c>
      <c r="AU329" s="38">
        <v>31.481735095636122</v>
      </c>
      <c r="AV329" s="38">
        <v>0</v>
      </c>
      <c r="AW329" s="38">
        <v>0</v>
      </c>
      <c r="AX329" s="38">
        <v>112.99248131437996</v>
      </c>
      <c r="AY329" s="38">
        <v>230.35792084498809</v>
      </c>
      <c r="AZ329" s="50">
        <v>0.49050833980401565</v>
      </c>
      <c r="BA329" s="38">
        <v>81.510746218743833</v>
      </c>
      <c r="BB329" s="38">
        <v>58.077728939057849</v>
      </c>
      <c r="BC329" s="38">
        <v>0</v>
      </c>
      <c r="BD329" s="38">
        <v>0</v>
      </c>
      <c r="BE329" s="38">
        <v>139.5884751578017</v>
      </c>
      <c r="BF329" s="38">
        <v>329.73927360766686</v>
      </c>
      <c r="BG329" s="38">
        <v>129.13225972230339</v>
      </c>
      <c r="BH329" s="50">
        <v>0.4233298436991404</v>
      </c>
      <c r="BI329" s="38">
        <v>47.240174063498955</v>
      </c>
      <c r="BJ329" s="38">
        <v>109.49889466295922</v>
      </c>
      <c r="BK329" s="38">
        <v>0</v>
      </c>
      <c r="BL329" s="38">
        <v>57.86523163326158</v>
      </c>
      <c r="BM329" s="38">
        <v>214.60430035971976</v>
      </c>
      <c r="BN329" s="38">
        <v>81.510746218743833</v>
      </c>
      <c r="BO329" s="38">
        <v>0</v>
      </c>
      <c r="BP329" s="38">
        <v>58.077728939057849</v>
      </c>
      <c r="BQ329" s="38">
        <v>0</v>
      </c>
      <c r="BR329" s="38">
        <v>0</v>
      </c>
      <c r="BS329" s="38">
        <v>0</v>
      </c>
      <c r="BT329" s="38">
        <v>0</v>
      </c>
      <c r="BU329" s="38">
        <v>0</v>
      </c>
      <c r="BV329" s="38">
        <v>14.593721595346414</v>
      </c>
      <c r="BW329" s="38">
        <v>0</v>
      </c>
      <c r="BX329" s="38">
        <v>347.29739472353918</v>
      </c>
      <c r="BY329" s="38">
        <v>104.17565975270189</v>
      </c>
      <c r="BZ329" s="38">
        <v>0</v>
      </c>
      <c r="CA329" s="38">
        <v>0</v>
      </c>
      <c r="CB329" s="38">
        <v>154.18219675314808</v>
      </c>
      <c r="CC329" s="38">
        <v>451.47305447624109</v>
      </c>
      <c r="CD329" s="50">
        <v>0.34150918914090356</v>
      </c>
      <c r="CE329" s="38">
        <v>180.06047621908655</v>
      </c>
      <c r="CF329" s="38">
        <v>1.4705903389464006</v>
      </c>
      <c r="CG329" s="38">
        <v>0</v>
      </c>
      <c r="CH329" s="38">
        <v>1.4705903389464006</v>
      </c>
      <c r="CI329" s="38">
        <v>7.352874253439011E-2</v>
      </c>
      <c r="CJ329" s="38">
        <v>0</v>
      </c>
      <c r="CK329" s="38">
        <v>7.352874253439011E-2</v>
      </c>
      <c r="CL329" s="38"/>
      <c r="CM329" s="38">
        <v>0</v>
      </c>
      <c r="CN329" s="38"/>
      <c r="CO329" s="38">
        <v>0</v>
      </c>
      <c r="CP329" s="38">
        <v>0</v>
      </c>
      <c r="CQ329" s="38">
        <v>0</v>
      </c>
      <c r="CR329" s="38">
        <v>0</v>
      </c>
      <c r="CS329" s="38">
        <v>0</v>
      </c>
      <c r="CT329" s="38">
        <v>0</v>
      </c>
      <c r="CU329" s="38">
        <v>0</v>
      </c>
      <c r="CV329" s="38">
        <v>9999</v>
      </c>
      <c r="CW329" s="49">
        <v>9999</v>
      </c>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row>
    <row r="330" spans="1:131">
      <c r="A330" s="27" t="s">
        <v>880</v>
      </c>
      <c r="B330" s="27"/>
      <c r="C330" s="38">
        <v>44.999999999999993</v>
      </c>
      <c r="D330" s="38">
        <v>123.24816984164812</v>
      </c>
      <c r="E330" s="38">
        <v>0</v>
      </c>
      <c r="F330" s="38">
        <v>455.29741643746559</v>
      </c>
      <c r="G330" s="38">
        <v>0</v>
      </c>
      <c r="H330" s="38">
        <v>0</v>
      </c>
      <c r="I330" s="38"/>
      <c r="J330" s="38"/>
      <c r="K330" s="38"/>
      <c r="L330" s="38">
        <v>132.85764643621707</v>
      </c>
      <c r="M330" s="38">
        <v>6.5009942246611968E-2</v>
      </c>
      <c r="N330" s="38">
        <v>6.4540729636767033E-2</v>
      </c>
      <c r="O330" s="38">
        <v>0</v>
      </c>
      <c r="P330" s="38">
        <v>0</v>
      </c>
      <c r="Q330" s="38">
        <v>0</v>
      </c>
      <c r="R330" s="38">
        <v>59.550955772625066</v>
      </c>
      <c r="S330" s="38">
        <v>137.61320114129376</v>
      </c>
      <c r="T330" s="38">
        <v>0</v>
      </c>
      <c r="U330" s="38">
        <v>106.40695927282367</v>
      </c>
      <c r="V330" s="38">
        <v>27.317844986247934</v>
      </c>
      <c r="W330" s="38">
        <v>63.741638301245182</v>
      </c>
      <c r="X330" s="38">
        <v>0</v>
      </c>
      <c r="Y330" s="38">
        <v>0</v>
      </c>
      <c r="Z330" s="38">
        <v>0</v>
      </c>
      <c r="AA330" s="38">
        <v>0</v>
      </c>
      <c r="AB330" s="38">
        <v>0</v>
      </c>
      <c r="AC330" s="38">
        <v>0</v>
      </c>
      <c r="AD330" s="38">
        <v>0</v>
      </c>
      <c r="AE330" s="38">
        <v>0</v>
      </c>
      <c r="AF330" s="38">
        <v>0</v>
      </c>
      <c r="AG330" s="38">
        <v>0</v>
      </c>
      <c r="AH330" s="38">
        <v>86.868800758872993</v>
      </c>
      <c r="AI330" s="38">
        <v>201.35483944253895</v>
      </c>
      <c r="AJ330" s="38">
        <v>0</v>
      </c>
      <c r="AK330" s="38">
        <v>106.40695927282367</v>
      </c>
      <c r="AL330" s="38">
        <v>394.63059947423562</v>
      </c>
      <c r="AM330" s="38">
        <v>69.959898936388313</v>
      </c>
      <c r="AN330" s="38">
        <v>22.971164600772912</v>
      </c>
      <c r="AO330" s="38">
        <v>0</v>
      </c>
      <c r="AP330" s="38">
        <v>0</v>
      </c>
      <c r="AQ330" s="38">
        <v>92.931063537161222</v>
      </c>
      <c r="AR330" s="38">
        <v>86.868800758872993</v>
      </c>
      <c r="AS330" s="49">
        <v>1.0697864218836821</v>
      </c>
      <c r="AT330" s="38">
        <v>69.959898936388313</v>
      </c>
      <c r="AU330" s="38">
        <v>27.191016927485748</v>
      </c>
      <c r="AV330" s="38">
        <v>0</v>
      </c>
      <c r="AW330" s="38">
        <v>0</v>
      </c>
      <c r="AX330" s="38">
        <v>97.150915863874062</v>
      </c>
      <c r="AY330" s="38">
        <v>201.35483944253895</v>
      </c>
      <c r="AZ330" s="50">
        <v>0.48248612316863743</v>
      </c>
      <c r="BA330" s="38">
        <v>69.959898936388313</v>
      </c>
      <c r="BB330" s="38">
        <v>50.162181528258657</v>
      </c>
      <c r="BC330" s="38">
        <v>0</v>
      </c>
      <c r="BD330" s="38">
        <v>0</v>
      </c>
      <c r="BE330" s="38">
        <v>120.12208046464697</v>
      </c>
      <c r="BF330" s="38">
        <v>288.22364020141197</v>
      </c>
      <c r="BG330" s="38">
        <v>131.84772788645472</v>
      </c>
      <c r="BH330" s="50">
        <v>0.41676692578271901</v>
      </c>
      <c r="BI330" s="38">
        <v>48.111332544608025</v>
      </c>
      <c r="BJ330" s="38">
        <v>111.51816941477284</v>
      </c>
      <c r="BK330" s="38">
        <v>0</v>
      </c>
      <c r="BL330" s="38">
        <v>58.932327347830643</v>
      </c>
      <c r="BM330" s="38">
        <v>218.56182930721153</v>
      </c>
      <c r="BN330" s="38">
        <v>69.959898936388313</v>
      </c>
      <c r="BO330" s="38">
        <v>0</v>
      </c>
      <c r="BP330" s="38">
        <v>50.162181528258657</v>
      </c>
      <c r="BQ330" s="38">
        <v>0</v>
      </c>
      <c r="BR330" s="38">
        <v>0</v>
      </c>
      <c r="BS330" s="38">
        <v>0</v>
      </c>
      <c r="BT330" s="38">
        <v>0</v>
      </c>
      <c r="BU330" s="38">
        <v>0</v>
      </c>
      <c r="BV330" s="38">
        <v>13.444908460546888</v>
      </c>
      <c r="BW330" s="38">
        <v>0</v>
      </c>
      <c r="BX330" s="38">
        <v>303.57111618674247</v>
      </c>
      <c r="BY330" s="38">
        <v>91.059483287493123</v>
      </c>
      <c r="BZ330" s="38">
        <v>0</v>
      </c>
      <c r="CA330" s="38">
        <v>0</v>
      </c>
      <c r="CB330" s="38">
        <v>133.56698892519387</v>
      </c>
      <c r="CC330" s="38">
        <v>394.63059947423562</v>
      </c>
      <c r="CD330" s="50">
        <v>0.3384608013244399</v>
      </c>
      <c r="CE330" s="38">
        <v>183.33374014386877</v>
      </c>
      <c r="CF330" s="38">
        <v>1.2621604938511459</v>
      </c>
      <c r="CG330" s="38">
        <v>0</v>
      </c>
      <c r="CH330" s="38">
        <v>1.2621604938511459</v>
      </c>
      <c r="CI330" s="38">
        <v>6.3107382057203107E-2</v>
      </c>
      <c r="CJ330" s="38">
        <v>0</v>
      </c>
      <c r="CK330" s="38">
        <v>6.3107382057203107E-2</v>
      </c>
      <c r="CL330" s="38"/>
      <c r="CM330" s="38">
        <v>0</v>
      </c>
      <c r="CN330" s="38"/>
      <c r="CO330" s="38">
        <v>0</v>
      </c>
      <c r="CP330" s="38">
        <v>0</v>
      </c>
      <c r="CQ330" s="38">
        <v>0</v>
      </c>
      <c r="CR330" s="38">
        <v>0</v>
      </c>
      <c r="CS330" s="38">
        <v>0</v>
      </c>
      <c r="CT330" s="38">
        <v>0</v>
      </c>
      <c r="CU330" s="38">
        <v>0</v>
      </c>
      <c r="CV330" s="38">
        <v>9999</v>
      </c>
      <c r="CW330" s="49">
        <v>9999</v>
      </c>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row>
    <row r="331" spans="1:131">
      <c r="A331" s="27" t="s">
        <v>852</v>
      </c>
      <c r="B331" s="27"/>
      <c r="C331" s="38">
        <v>45</v>
      </c>
      <c r="D331" s="38">
        <v>119.18486929000939</v>
      </c>
      <c r="E331" s="38">
        <v>0</v>
      </c>
      <c r="F331" s="38">
        <v>438.40829868232129</v>
      </c>
      <c r="G331" s="38">
        <v>0</v>
      </c>
      <c r="H331" s="38">
        <v>0</v>
      </c>
      <c r="I331" s="38"/>
      <c r="J331" s="38"/>
      <c r="K331" s="38"/>
      <c r="L331" s="38">
        <v>128.47289430492631</v>
      </c>
      <c r="M331" s="38">
        <v>6.2456419423885523E-2</v>
      </c>
      <c r="N331" s="38">
        <v>6.2005636996664108E-2</v>
      </c>
      <c r="O331" s="38">
        <v>0</v>
      </c>
      <c r="P331" s="38">
        <v>0</v>
      </c>
      <c r="Q331" s="38">
        <v>0</v>
      </c>
      <c r="R331" s="38">
        <v>57.341931367555993</v>
      </c>
      <c r="S331" s="38">
        <v>132.50848173189453</v>
      </c>
      <c r="T331" s="38">
        <v>0</v>
      </c>
      <c r="U331" s="38">
        <v>102.45982581621995</v>
      </c>
      <c r="V331" s="38">
        <v>26.304497920939276</v>
      </c>
      <c r="W331" s="38">
        <v>61.377161815524978</v>
      </c>
      <c r="X331" s="38">
        <v>0</v>
      </c>
      <c r="Y331" s="38">
        <v>0</v>
      </c>
      <c r="Z331" s="38">
        <v>0</v>
      </c>
      <c r="AA331" s="38">
        <v>0</v>
      </c>
      <c r="AB331" s="38">
        <v>0</v>
      </c>
      <c r="AC331" s="38">
        <v>0</v>
      </c>
      <c r="AD331" s="38">
        <v>0</v>
      </c>
      <c r="AE331" s="38">
        <v>0</v>
      </c>
      <c r="AF331" s="38">
        <v>0</v>
      </c>
      <c r="AG331" s="38">
        <v>0</v>
      </c>
      <c r="AH331" s="38">
        <v>83.64642928849527</v>
      </c>
      <c r="AI331" s="38">
        <v>193.88564354741951</v>
      </c>
      <c r="AJ331" s="38">
        <v>0</v>
      </c>
      <c r="AK331" s="38">
        <v>102.45982581621995</v>
      </c>
      <c r="AL331" s="38">
        <v>379.99189865213475</v>
      </c>
      <c r="AM331" s="38">
        <v>67.649174955724504</v>
      </c>
      <c r="AN331" s="38">
        <v>22.068881180028352</v>
      </c>
      <c r="AO331" s="38">
        <v>0</v>
      </c>
      <c r="AP331" s="38">
        <v>0</v>
      </c>
      <c r="AQ331" s="38">
        <v>89.71805613575286</v>
      </c>
      <c r="AR331" s="38">
        <v>83.64642928849527</v>
      </c>
      <c r="AS331" s="49">
        <v>1.072586802555751</v>
      </c>
      <c r="AT331" s="38">
        <v>67.649174955724504</v>
      </c>
      <c r="AU331" s="38">
        <v>26.122982102380277</v>
      </c>
      <c r="AV331" s="38">
        <v>0</v>
      </c>
      <c r="AW331" s="38">
        <v>0</v>
      </c>
      <c r="AX331" s="38">
        <v>93.772157058104781</v>
      </c>
      <c r="AY331" s="38">
        <v>193.88564354741951</v>
      </c>
      <c r="AZ331" s="50">
        <v>0.48364672774325601</v>
      </c>
      <c r="BA331" s="38">
        <v>67.649174955724504</v>
      </c>
      <c r="BB331" s="38">
        <v>48.191863282408633</v>
      </c>
      <c r="BC331" s="38">
        <v>0</v>
      </c>
      <c r="BD331" s="38">
        <v>0</v>
      </c>
      <c r="BE331" s="38">
        <v>115.84103823813314</v>
      </c>
      <c r="BF331" s="38">
        <v>277.53207283591479</v>
      </c>
      <c r="BG331" s="38">
        <v>131.352641590129</v>
      </c>
      <c r="BH331" s="50">
        <v>0.41739694102534158</v>
      </c>
      <c r="BI331" s="38">
        <v>47.907776259628932</v>
      </c>
      <c r="BJ331" s="38">
        <v>111.04634244442877</v>
      </c>
      <c r="BK331" s="38">
        <v>0</v>
      </c>
      <c r="BL331" s="38">
        <v>58.682988055285101</v>
      </c>
      <c r="BM331" s="38">
        <v>217.6371067593428</v>
      </c>
      <c r="BN331" s="38">
        <v>67.649174955724504</v>
      </c>
      <c r="BO331" s="38">
        <v>0</v>
      </c>
      <c r="BP331" s="38">
        <v>48.191863282408633</v>
      </c>
      <c r="BQ331" s="38">
        <v>0</v>
      </c>
      <c r="BR331" s="38">
        <v>0</v>
      </c>
      <c r="BS331" s="38">
        <v>0</v>
      </c>
      <c r="BT331" s="38">
        <v>0</v>
      </c>
      <c r="BU331" s="38">
        <v>0</v>
      </c>
      <c r="BV331" s="38">
        <v>11.973316389309359</v>
      </c>
      <c r="BW331" s="38">
        <v>0</v>
      </c>
      <c r="BX331" s="38">
        <v>292.31023891567048</v>
      </c>
      <c r="BY331" s="38">
        <v>87.681659736464269</v>
      </c>
      <c r="BZ331" s="38">
        <v>0</v>
      </c>
      <c r="CA331" s="38">
        <v>0</v>
      </c>
      <c r="CB331" s="38">
        <v>127.8143546274425</v>
      </c>
      <c r="CC331" s="38">
        <v>379.99189865213475</v>
      </c>
      <c r="CD331" s="50">
        <v>0.33636073579676684</v>
      </c>
      <c r="CE331" s="38">
        <v>183.17801518961477</v>
      </c>
      <c r="CF331" s="38">
        <v>1.220505363237133</v>
      </c>
      <c r="CG331" s="38">
        <v>0</v>
      </c>
      <c r="CH331" s="38">
        <v>1.220505363237133</v>
      </c>
      <c r="CI331" s="38">
        <v>6.1024624794839999E-2</v>
      </c>
      <c r="CJ331" s="38">
        <v>0</v>
      </c>
      <c r="CK331" s="38">
        <v>6.1024624794839999E-2</v>
      </c>
      <c r="CL331" s="38"/>
      <c r="CM331" s="38">
        <v>0</v>
      </c>
      <c r="CN331" s="38"/>
      <c r="CO331" s="38">
        <v>0</v>
      </c>
      <c r="CP331" s="38">
        <v>0</v>
      </c>
      <c r="CQ331" s="38">
        <v>0</v>
      </c>
      <c r="CR331" s="38">
        <v>0</v>
      </c>
      <c r="CS331" s="38">
        <v>0</v>
      </c>
      <c r="CT331" s="38">
        <v>0</v>
      </c>
      <c r="CU331" s="38">
        <v>0</v>
      </c>
      <c r="CV331" s="38">
        <v>9999</v>
      </c>
      <c r="CW331" s="49">
        <v>9999</v>
      </c>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row>
    <row r="332" spans="1:131">
      <c r="A332" s="27" t="s">
        <v>865</v>
      </c>
      <c r="B332" s="27"/>
      <c r="C332" s="38">
        <v>45</v>
      </c>
      <c r="D332" s="38">
        <v>153.10955245938885</v>
      </c>
      <c r="E332" s="38">
        <v>0</v>
      </c>
      <c r="F332" s="38">
        <v>595.71787033770602</v>
      </c>
      <c r="G332" s="38">
        <v>0</v>
      </c>
      <c r="H332" s="38">
        <v>0</v>
      </c>
      <c r="I332" s="38"/>
      <c r="J332" s="38"/>
      <c r="K332" s="38"/>
      <c r="L332" s="38">
        <v>165.03918128276874</v>
      </c>
      <c r="M332" s="38">
        <v>8.004554720630265E-2</v>
      </c>
      <c r="N332" s="38">
        <v>7.9467814342479154E-2</v>
      </c>
      <c r="O332" s="38">
        <v>0</v>
      </c>
      <c r="P332" s="38">
        <v>0</v>
      </c>
      <c r="Q332" s="38">
        <v>0</v>
      </c>
      <c r="R332" s="38">
        <v>77.917350875887607</v>
      </c>
      <c r="S332" s="38">
        <v>180.05514671200763</v>
      </c>
      <c r="T332" s="38">
        <v>0</v>
      </c>
      <c r="U332" s="38">
        <v>139.22443852879593</v>
      </c>
      <c r="V332" s="38">
        <v>35.743072220262363</v>
      </c>
      <c r="W332" s="38">
        <v>83.400501847278846</v>
      </c>
      <c r="X332" s="38">
        <v>0</v>
      </c>
      <c r="Y332" s="38">
        <v>0</v>
      </c>
      <c r="Z332" s="38">
        <v>0</v>
      </c>
      <c r="AA332" s="38">
        <v>0</v>
      </c>
      <c r="AB332" s="38">
        <v>0</v>
      </c>
      <c r="AC332" s="38">
        <v>0</v>
      </c>
      <c r="AD332" s="38">
        <v>0</v>
      </c>
      <c r="AE332" s="38">
        <v>0</v>
      </c>
      <c r="AF332" s="38">
        <v>0</v>
      </c>
      <c r="AG332" s="38">
        <v>0</v>
      </c>
      <c r="AH332" s="38">
        <v>113.66042309614997</v>
      </c>
      <c r="AI332" s="38">
        <v>263.45564855928649</v>
      </c>
      <c r="AJ332" s="38">
        <v>0</v>
      </c>
      <c r="AK332" s="38">
        <v>139.22443852879593</v>
      </c>
      <c r="AL332" s="38">
        <v>516.34051018423236</v>
      </c>
      <c r="AM332" s="38">
        <v>86.902826314777954</v>
      </c>
      <c r="AN332" s="38">
        <v>28.283972833874401</v>
      </c>
      <c r="AO332" s="38">
        <v>0</v>
      </c>
      <c r="AP332" s="38">
        <v>0</v>
      </c>
      <c r="AQ332" s="38">
        <v>115.18679914865236</v>
      </c>
      <c r="AR332" s="38">
        <v>113.66042309614997</v>
      </c>
      <c r="AS332" s="49">
        <v>1.0134292659742359</v>
      </c>
      <c r="AT332" s="38">
        <v>86.902826314777954</v>
      </c>
      <c r="AU332" s="38">
        <v>33.479799455903454</v>
      </c>
      <c r="AV332" s="38">
        <v>0</v>
      </c>
      <c r="AW332" s="38">
        <v>0</v>
      </c>
      <c r="AX332" s="38">
        <v>120.38262577068141</v>
      </c>
      <c r="AY332" s="38">
        <v>263.45564855928649</v>
      </c>
      <c r="AZ332" s="50">
        <v>0.4569369699567904</v>
      </c>
      <c r="BA332" s="38">
        <v>86.902826314777954</v>
      </c>
      <c r="BB332" s="38">
        <v>61.763772289777854</v>
      </c>
      <c r="BC332" s="38">
        <v>0</v>
      </c>
      <c r="BD332" s="38">
        <v>0</v>
      </c>
      <c r="BE332" s="38">
        <v>148.66659860455582</v>
      </c>
      <c r="BF332" s="38">
        <v>377.11607165543649</v>
      </c>
      <c r="BG332" s="38">
        <v>140.59797180965288</v>
      </c>
      <c r="BH332" s="50">
        <v>0.39421973704793351</v>
      </c>
      <c r="BI332" s="38">
        <v>50.674832542812773</v>
      </c>
      <c r="BJ332" s="38">
        <v>117.46015463892991</v>
      </c>
      <c r="BK332" s="38">
        <v>0</v>
      </c>
      <c r="BL332" s="38">
        <v>62.072398783397148</v>
      </c>
      <c r="BM332" s="38">
        <v>230.20738596513982</v>
      </c>
      <c r="BN332" s="38">
        <v>86.902826314777954</v>
      </c>
      <c r="BO332" s="38">
        <v>0</v>
      </c>
      <c r="BP332" s="38">
        <v>61.763772289777854</v>
      </c>
      <c r="BQ332" s="38">
        <v>0</v>
      </c>
      <c r="BR332" s="38">
        <v>0</v>
      </c>
      <c r="BS332" s="38">
        <v>0</v>
      </c>
      <c r="BT332" s="38">
        <v>0</v>
      </c>
      <c r="BU332" s="38">
        <v>0</v>
      </c>
      <c r="BV332" s="38">
        <v>17.430628350651823</v>
      </c>
      <c r="BW332" s="38">
        <v>0</v>
      </c>
      <c r="BX332" s="38">
        <v>397.19693611669118</v>
      </c>
      <c r="BY332" s="38">
        <v>119.14357406754121</v>
      </c>
      <c r="BZ332" s="38">
        <v>0</v>
      </c>
      <c r="CA332" s="38">
        <v>0</v>
      </c>
      <c r="CB332" s="38">
        <v>166.09722695520765</v>
      </c>
      <c r="CC332" s="38">
        <v>516.34051018423236</v>
      </c>
      <c r="CD332" s="50">
        <v>0.32168157190677038</v>
      </c>
      <c r="CE332" s="38">
        <v>194.89902724657949</v>
      </c>
      <c r="CF332" s="38">
        <v>1.5678889534071376</v>
      </c>
      <c r="CG332" s="38">
        <v>0</v>
      </c>
      <c r="CH332" s="38">
        <v>1.5678889534071376</v>
      </c>
      <c r="CI332" s="38">
        <v>7.8393611109315142E-2</v>
      </c>
      <c r="CJ332" s="38">
        <v>0</v>
      </c>
      <c r="CK332" s="38">
        <v>7.8393611109315142E-2</v>
      </c>
      <c r="CL332" s="38"/>
      <c r="CM332" s="38">
        <v>0</v>
      </c>
      <c r="CN332" s="38"/>
      <c r="CO332" s="38">
        <v>0</v>
      </c>
      <c r="CP332" s="38">
        <v>0</v>
      </c>
      <c r="CQ332" s="38">
        <v>0</v>
      </c>
      <c r="CR332" s="38">
        <v>0</v>
      </c>
      <c r="CS332" s="38">
        <v>0</v>
      </c>
      <c r="CT332" s="38">
        <v>0</v>
      </c>
      <c r="CU332" s="38">
        <v>0</v>
      </c>
      <c r="CV332" s="38">
        <v>9999</v>
      </c>
      <c r="CW332" s="49">
        <v>9999</v>
      </c>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row>
    <row r="333" spans="1:131">
      <c r="A333" s="27" t="s">
        <v>893</v>
      </c>
      <c r="B333" s="27"/>
      <c r="C333" s="38">
        <v>15.000000000000002</v>
      </c>
      <c r="D333" s="38">
        <v>225.82767121242227</v>
      </c>
      <c r="E333" s="38">
        <v>0</v>
      </c>
      <c r="F333" s="38">
        <v>562.51108736151139</v>
      </c>
      <c r="G333" s="38">
        <v>0</v>
      </c>
      <c r="H333" s="38">
        <v>0</v>
      </c>
      <c r="I333" s="38"/>
      <c r="J333" s="38"/>
      <c r="K333" s="38"/>
      <c r="L333" s="38">
        <v>243.51386470524091</v>
      </c>
      <c r="M333" s="38">
        <v>0.1260769360878535</v>
      </c>
      <c r="N333" s="38">
        <v>0.12516696930156371</v>
      </c>
      <c r="O333" s="38">
        <v>0</v>
      </c>
      <c r="P333" s="38">
        <v>0</v>
      </c>
      <c r="Q333" s="38">
        <v>0</v>
      </c>
      <c r="R333" s="38">
        <v>112.1722251254678</v>
      </c>
      <c r="S333" s="38">
        <v>259.21295096582526</v>
      </c>
      <c r="T333" s="38">
        <v>0</v>
      </c>
      <c r="U333" s="38">
        <v>327.75118307283714</v>
      </c>
      <c r="V333" s="38">
        <v>33.750665241690683</v>
      </c>
      <c r="W333" s="38">
        <v>78.751552230611594</v>
      </c>
      <c r="X333" s="38">
        <v>0</v>
      </c>
      <c r="Y333" s="38">
        <v>0</v>
      </c>
      <c r="Z333" s="38">
        <v>0</v>
      </c>
      <c r="AA333" s="38">
        <v>0</v>
      </c>
      <c r="AB333" s="38">
        <v>0</v>
      </c>
      <c r="AC333" s="38">
        <v>0</v>
      </c>
      <c r="AD333" s="38">
        <v>0</v>
      </c>
      <c r="AE333" s="38">
        <v>0</v>
      </c>
      <c r="AF333" s="38">
        <v>0</v>
      </c>
      <c r="AG333" s="38">
        <v>0</v>
      </c>
      <c r="AH333" s="38">
        <v>145.92289036715849</v>
      </c>
      <c r="AI333" s="38">
        <v>337.96450319643685</v>
      </c>
      <c r="AJ333" s="38">
        <v>0</v>
      </c>
      <c r="AK333" s="38">
        <v>327.75118307283714</v>
      </c>
      <c r="AL333" s="38">
        <v>811.6385766364325</v>
      </c>
      <c r="AM333" s="38">
        <v>128.25972839699054</v>
      </c>
      <c r="AN333" s="38">
        <v>44.549094356196619</v>
      </c>
      <c r="AO333" s="38">
        <v>0</v>
      </c>
      <c r="AP333" s="38">
        <v>0</v>
      </c>
      <c r="AQ333" s="38">
        <v>172.80882275318714</v>
      </c>
      <c r="AR333" s="38">
        <v>145.92289036715849</v>
      </c>
      <c r="AS333" s="49">
        <v>1.1842475318188983</v>
      </c>
      <c r="AT333" s="38">
        <v>128.25972839699054</v>
      </c>
      <c r="AU333" s="38">
        <v>52.732858772982887</v>
      </c>
      <c r="AV333" s="38">
        <v>0</v>
      </c>
      <c r="AW333" s="38">
        <v>0</v>
      </c>
      <c r="AX333" s="38">
        <v>180.99258716997343</v>
      </c>
      <c r="AY333" s="38">
        <v>337.96450319643685</v>
      </c>
      <c r="AZ333" s="50">
        <v>0.53553726932314594</v>
      </c>
      <c r="BA333" s="38">
        <v>128.25972839699054</v>
      </c>
      <c r="BB333" s="38">
        <v>97.281953129179499</v>
      </c>
      <c r="BC333" s="38">
        <v>0</v>
      </c>
      <c r="BD333" s="38">
        <v>0</v>
      </c>
      <c r="BE333" s="38">
        <v>225.54168152617007</v>
      </c>
      <c r="BF333" s="38">
        <v>483.88739356359531</v>
      </c>
      <c r="BG333" s="38">
        <v>116.81924159911102</v>
      </c>
      <c r="BH333" s="50">
        <v>0.4661036524741124</v>
      </c>
      <c r="BI333" s="38">
        <v>44.09301991582678</v>
      </c>
      <c r="BJ333" s="38">
        <v>102.12157621596029</v>
      </c>
      <c r="BK333" s="38">
        <v>0</v>
      </c>
      <c r="BL333" s="38">
        <v>99.035452260469128</v>
      </c>
      <c r="BM333" s="38">
        <v>245.25004839225622</v>
      </c>
      <c r="BN333" s="38">
        <v>128.25972839699054</v>
      </c>
      <c r="BO333" s="38">
        <v>0</v>
      </c>
      <c r="BP333" s="38">
        <v>97.281953129179499</v>
      </c>
      <c r="BQ333" s="38">
        <v>0</v>
      </c>
      <c r="BR333" s="38">
        <v>0</v>
      </c>
      <c r="BS333" s="38">
        <v>0</v>
      </c>
      <c r="BT333" s="38">
        <v>0</v>
      </c>
      <c r="BU333" s="38">
        <v>0</v>
      </c>
      <c r="BV333" s="38">
        <v>34.258043830907702</v>
      </c>
      <c r="BW333" s="38">
        <v>0</v>
      </c>
      <c r="BX333" s="38">
        <v>699.13635916413023</v>
      </c>
      <c r="BY333" s="38">
        <v>112.50221747230228</v>
      </c>
      <c r="BZ333" s="38">
        <v>0</v>
      </c>
      <c r="CA333" s="38">
        <v>0</v>
      </c>
      <c r="CB333" s="38">
        <v>259.79972535707776</v>
      </c>
      <c r="CC333" s="38">
        <v>811.6385766364325</v>
      </c>
      <c r="CD333" s="50">
        <v>0.32009287487754928</v>
      </c>
      <c r="CE333" s="38">
        <v>205.50305810789797</v>
      </c>
      <c r="CF333" s="38">
        <v>2.3133978284992556</v>
      </c>
      <c r="CG333" s="38">
        <v>0</v>
      </c>
      <c r="CH333" s="38">
        <v>2.3133978284992556</v>
      </c>
      <c r="CI333" s="38">
        <v>0.11566908573498942</v>
      </c>
      <c r="CJ333" s="38">
        <v>0</v>
      </c>
      <c r="CK333" s="38">
        <v>0.11566908573498942</v>
      </c>
      <c r="CL333" s="38"/>
      <c r="CM333" s="38">
        <v>0</v>
      </c>
      <c r="CN333" s="38"/>
      <c r="CO333" s="38">
        <v>0</v>
      </c>
      <c r="CP333" s="38">
        <v>0</v>
      </c>
      <c r="CQ333" s="38">
        <v>0</v>
      </c>
      <c r="CR333" s="38">
        <v>0</v>
      </c>
      <c r="CS333" s="38">
        <v>0</v>
      </c>
      <c r="CT333" s="38">
        <v>0</v>
      </c>
      <c r="CU333" s="38">
        <v>0</v>
      </c>
      <c r="CV333" s="38">
        <v>9999</v>
      </c>
      <c r="CW333" s="49">
        <v>9999</v>
      </c>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row>
    <row r="334" spans="1:131">
      <c r="A334" s="27" t="s">
        <v>873</v>
      </c>
      <c r="B334" s="27"/>
      <c r="C334" s="38">
        <v>45</v>
      </c>
      <c r="D334" s="38">
        <v>260.97492468355267</v>
      </c>
      <c r="E334" s="38">
        <v>0</v>
      </c>
      <c r="F334" s="38">
        <v>1405.8270926925682</v>
      </c>
      <c r="G334" s="38">
        <v>0</v>
      </c>
      <c r="H334" s="38">
        <v>0</v>
      </c>
      <c r="I334" s="38"/>
      <c r="J334" s="38"/>
      <c r="K334" s="38"/>
      <c r="L334" s="38">
        <v>281.25569038844571</v>
      </c>
      <c r="M334" s="38">
        <v>0.13173035584737974</v>
      </c>
      <c r="N334" s="38">
        <v>0.13077958521250546</v>
      </c>
      <c r="O334" s="38">
        <v>0</v>
      </c>
      <c r="P334" s="38">
        <v>0</v>
      </c>
      <c r="Q334" s="38">
        <v>0</v>
      </c>
      <c r="R334" s="38">
        <v>183.87617411923486</v>
      </c>
      <c r="S334" s="38">
        <v>424.90987098134377</v>
      </c>
      <c r="T334" s="38">
        <v>0</v>
      </c>
      <c r="U334" s="38">
        <v>328.55399744469258</v>
      </c>
      <c r="V334" s="38">
        <v>84.349625561554092</v>
      </c>
      <c r="W334" s="38">
        <v>196.81579297695953</v>
      </c>
      <c r="X334" s="38">
        <v>0</v>
      </c>
      <c r="Y334" s="38">
        <v>0</v>
      </c>
      <c r="Z334" s="38">
        <v>0</v>
      </c>
      <c r="AA334" s="38">
        <v>0</v>
      </c>
      <c r="AB334" s="38">
        <v>0</v>
      </c>
      <c r="AC334" s="38">
        <v>0</v>
      </c>
      <c r="AD334" s="38">
        <v>0</v>
      </c>
      <c r="AE334" s="38">
        <v>0</v>
      </c>
      <c r="AF334" s="38">
        <v>0</v>
      </c>
      <c r="AG334" s="38">
        <v>0</v>
      </c>
      <c r="AH334" s="38">
        <v>268.22579968078895</v>
      </c>
      <c r="AI334" s="38">
        <v>621.72566395830336</v>
      </c>
      <c r="AJ334" s="38">
        <v>0</v>
      </c>
      <c r="AK334" s="38">
        <v>328.55399744469258</v>
      </c>
      <c r="AL334" s="38">
        <v>1218.5054610837849</v>
      </c>
      <c r="AM334" s="38">
        <v>148.07687295004712</v>
      </c>
      <c r="AN334" s="38">
        <v>46.546721663119932</v>
      </c>
      <c r="AO334" s="38">
        <v>0</v>
      </c>
      <c r="AP334" s="38">
        <v>0</v>
      </c>
      <c r="AQ334" s="38">
        <v>194.62359461316706</v>
      </c>
      <c r="AR334" s="38">
        <v>268.22579968078895</v>
      </c>
      <c r="AS334" s="50">
        <v>0.72559610166056121</v>
      </c>
      <c r="AT334" s="38">
        <v>148.07687295004712</v>
      </c>
      <c r="AU334" s="38">
        <v>55.097454511221223</v>
      </c>
      <c r="AV334" s="38">
        <v>0</v>
      </c>
      <c r="AW334" s="38">
        <v>0</v>
      </c>
      <c r="AX334" s="38">
        <v>203.17432746126835</v>
      </c>
      <c r="AY334" s="38">
        <v>621.72566395830336</v>
      </c>
      <c r="AZ334" s="50">
        <v>0.32679096141492792</v>
      </c>
      <c r="BA334" s="38">
        <v>148.07687295004712</v>
      </c>
      <c r="BB334" s="38">
        <v>101.64417617434115</v>
      </c>
      <c r="BC334" s="38">
        <v>0</v>
      </c>
      <c r="BD334" s="38">
        <v>0</v>
      </c>
      <c r="BE334" s="38">
        <v>249.72104912438829</v>
      </c>
      <c r="BF334" s="38">
        <v>889.95146363909225</v>
      </c>
      <c r="BG334" s="38">
        <v>206.23593402984486</v>
      </c>
      <c r="BH334" s="50">
        <v>0.28060075108282451</v>
      </c>
      <c r="BI334" s="38">
        <v>70.172887156701677</v>
      </c>
      <c r="BJ334" s="38">
        <v>162.65506491654699</v>
      </c>
      <c r="BK334" s="38">
        <v>0</v>
      </c>
      <c r="BL334" s="38">
        <v>85.955872309851358</v>
      </c>
      <c r="BM334" s="38">
        <v>318.78382438310001</v>
      </c>
      <c r="BN334" s="38">
        <v>148.07687295004712</v>
      </c>
      <c r="BO334" s="38">
        <v>0</v>
      </c>
      <c r="BP334" s="38">
        <v>101.64417617434115</v>
      </c>
      <c r="BQ334" s="38">
        <v>0</v>
      </c>
      <c r="BR334" s="38">
        <v>0</v>
      </c>
      <c r="BS334" s="38">
        <v>0</v>
      </c>
      <c r="BT334" s="38">
        <v>0</v>
      </c>
      <c r="BU334" s="38">
        <v>0</v>
      </c>
      <c r="BV334" s="38">
        <v>33.354764316334595</v>
      </c>
      <c r="BW334" s="38">
        <v>0</v>
      </c>
      <c r="BX334" s="38">
        <v>937.34004254527122</v>
      </c>
      <c r="BY334" s="38">
        <v>281.16541853851362</v>
      </c>
      <c r="BZ334" s="38">
        <v>0</v>
      </c>
      <c r="CA334" s="38">
        <v>0</v>
      </c>
      <c r="CB334" s="38">
        <v>283.07581344072287</v>
      </c>
      <c r="CC334" s="38">
        <v>1218.5054610837849</v>
      </c>
      <c r="CD334" s="50">
        <v>0.23231394727516816</v>
      </c>
      <c r="CE334" s="38">
        <v>283.46557599461369</v>
      </c>
      <c r="CF334" s="38">
        <v>2.6719626067975666</v>
      </c>
      <c r="CG334" s="38">
        <v>0</v>
      </c>
      <c r="CH334" s="38">
        <v>2.6719626067975666</v>
      </c>
      <c r="CI334" s="38">
        <v>0.13359645293451172</v>
      </c>
      <c r="CJ334" s="38">
        <v>0</v>
      </c>
      <c r="CK334" s="38">
        <v>0.13359645293451172</v>
      </c>
      <c r="CL334" s="38"/>
      <c r="CM334" s="38">
        <v>0</v>
      </c>
      <c r="CN334" s="38"/>
      <c r="CO334" s="38">
        <v>0</v>
      </c>
      <c r="CP334" s="38">
        <v>0</v>
      </c>
      <c r="CQ334" s="38">
        <v>0</v>
      </c>
      <c r="CR334" s="38">
        <v>0</v>
      </c>
      <c r="CS334" s="38">
        <v>0</v>
      </c>
      <c r="CT334" s="38">
        <v>0</v>
      </c>
      <c r="CU334" s="38">
        <v>0</v>
      </c>
      <c r="CV334" s="38">
        <v>9999</v>
      </c>
      <c r="CW334" s="49">
        <v>9999</v>
      </c>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row>
    <row r="335" spans="1:131">
      <c r="A335" s="27" t="s">
        <v>875</v>
      </c>
      <c r="B335" s="27"/>
      <c r="C335" s="38">
        <v>45</v>
      </c>
      <c r="D335" s="38">
        <v>303.28004968347233</v>
      </c>
      <c r="E335" s="38">
        <v>0</v>
      </c>
      <c r="F335" s="38">
        <v>1655.6474837848516</v>
      </c>
      <c r="G335" s="38">
        <v>0</v>
      </c>
      <c r="H335" s="38">
        <v>0</v>
      </c>
      <c r="I335" s="38"/>
      <c r="J335" s="38"/>
      <c r="K335" s="38"/>
      <c r="L335" s="38">
        <v>326.86560849508749</v>
      </c>
      <c r="M335" s="38">
        <v>0.1546041296791954</v>
      </c>
      <c r="N335" s="38">
        <v>0.15348826640240007</v>
      </c>
      <c r="O335" s="38">
        <v>0</v>
      </c>
      <c r="P335" s="38">
        <v>0</v>
      </c>
      <c r="Q335" s="38">
        <v>0</v>
      </c>
      <c r="R335" s="38">
        <v>216.55161334628747</v>
      </c>
      <c r="S335" s="38">
        <v>500.41784112881089</v>
      </c>
      <c r="T335" s="38">
        <v>0</v>
      </c>
      <c r="U335" s="38">
        <v>386.93919187095747</v>
      </c>
      <c r="V335" s="38">
        <v>99.338849027091101</v>
      </c>
      <c r="W335" s="38">
        <v>231.79064772987923</v>
      </c>
      <c r="X335" s="38">
        <v>0</v>
      </c>
      <c r="Y335" s="38">
        <v>0</v>
      </c>
      <c r="Z335" s="38">
        <v>0</v>
      </c>
      <c r="AA335" s="38">
        <v>0</v>
      </c>
      <c r="AB335" s="38">
        <v>0</v>
      </c>
      <c r="AC335" s="38">
        <v>0</v>
      </c>
      <c r="AD335" s="38">
        <v>0</v>
      </c>
      <c r="AE335" s="38">
        <v>0</v>
      </c>
      <c r="AF335" s="38">
        <v>0</v>
      </c>
      <c r="AG335" s="38">
        <v>0</v>
      </c>
      <c r="AH335" s="38">
        <v>315.89046237337857</v>
      </c>
      <c r="AI335" s="38">
        <v>732.20848885869009</v>
      </c>
      <c r="AJ335" s="38">
        <v>0</v>
      </c>
      <c r="AK335" s="38">
        <v>386.93919187095747</v>
      </c>
      <c r="AL335" s="38">
        <v>1435.0381431030262</v>
      </c>
      <c r="AM335" s="38">
        <v>172.09651429874626</v>
      </c>
      <c r="AN335" s="38">
        <v>54.629134992119212</v>
      </c>
      <c r="AO335" s="38">
        <v>0</v>
      </c>
      <c r="AP335" s="38">
        <v>0</v>
      </c>
      <c r="AQ335" s="38">
        <v>226.72564929086548</v>
      </c>
      <c r="AR335" s="38">
        <v>315.89046237337857</v>
      </c>
      <c r="AS335" s="50">
        <v>0.71773502620942886</v>
      </c>
      <c r="AT335" s="38">
        <v>172.09651429874626</v>
      </c>
      <c r="AU335" s="38">
        <v>64.664624546490629</v>
      </c>
      <c r="AV335" s="38">
        <v>0</v>
      </c>
      <c r="AW335" s="38">
        <v>0</v>
      </c>
      <c r="AX335" s="38">
        <v>236.76113884523687</v>
      </c>
      <c r="AY335" s="38">
        <v>732.20848885869009</v>
      </c>
      <c r="AZ335" s="50">
        <v>0.32335208133721832</v>
      </c>
      <c r="BA335" s="38">
        <v>172.09651429874626</v>
      </c>
      <c r="BB335" s="38">
        <v>119.29375953860983</v>
      </c>
      <c r="BC335" s="38">
        <v>0</v>
      </c>
      <c r="BD335" s="38">
        <v>0</v>
      </c>
      <c r="BE335" s="38">
        <v>291.39027383735606</v>
      </c>
      <c r="BF335" s="38">
        <v>1048.0989512320687</v>
      </c>
      <c r="BG335" s="38">
        <v>209.08627259312746</v>
      </c>
      <c r="BH335" s="50">
        <v>0.27801790422060713</v>
      </c>
      <c r="BI335" s="38">
        <v>71.11110049346901</v>
      </c>
      <c r="BJ335" s="38">
        <v>164.82976738898023</v>
      </c>
      <c r="BK335" s="38">
        <v>0</v>
      </c>
      <c r="BL335" s="38">
        <v>87.10510457094513</v>
      </c>
      <c r="BM335" s="38">
        <v>323.04597245339437</v>
      </c>
      <c r="BN335" s="38">
        <v>172.09651429874626</v>
      </c>
      <c r="BO335" s="38">
        <v>0</v>
      </c>
      <c r="BP335" s="38">
        <v>119.29375953860983</v>
      </c>
      <c r="BQ335" s="38">
        <v>0</v>
      </c>
      <c r="BR335" s="38">
        <v>0</v>
      </c>
      <c r="BS335" s="38">
        <v>0</v>
      </c>
      <c r="BT335" s="38">
        <v>0</v>
      </c>
      <c r="BU335" s="38">
        <v>0</v>
      </c>
      <c r="BV335" s="38">
        <v>40.555823797206209</v>
      </c>
      <c r="BW335" s="38">
        <v>0</v>
      </c>
      <c r="BX335" s="38">
        <v>1103.9086463460558</v>
      </c>
      <c r="BY335" s="38">
        <v>331.12949675697035</v>
      </c>
      <c r="BZ335" s="38">
        <v>0</v>
      </c>
      <c r="CA335" s="38">
        <v>0</v>
      </c>
      <c r="CB335" s="38">
        <v>331.94609763456231</v>
      </c>
      <c r="CC335" s="38">
        <v>1435.0381431030262</v>
      </c>
      <c r="CD335" s="50">
        <v>0.23131517390665676</v>
      </c>
      <c r="CE335" s="38">
        <v>287.06172747484032</v>
      </c>
      <c r="CF335" s="38">
        <v>3.105260643193489</v>
      </c>
      <c r="CG335" s="38">
        <v>0</v>
      </c>
      <c r="CH335" s="38">
        <v>3.105260643193489</v>
      </c>
      <c r="CI335" s="38">
        <v>0.15526116403516654</v>
      </c>
      <c r="CJ335" s="38">
        <v>0</v>
      </c>
      <c r="CK335" s="38">
        <v>0.15526116403516654</v>
      </c>
      <c r="CL335" s="38"/>
      <c r="CM335" s="38">
        <v>0</v>
      </c>
      <c r="CN335" s="38"/>
      <c r="CO335" s="38">
        <v>0</v>
      </c>
      <c r="CP335" s="38">
        <v>0</v>
      </c>
      <c r="CQ335" s="38">
        <v>0</v>
      </c>
      <c r="CR335" s="38">
        <v>0</v>
      </c>
      <c r="CS335" s="38">
        <v>0</v>
      </c>
      <c r="CT335" s="38">
        <v>0</v>
      </c>
      <c r="CU335" s="38">
        <v>0</v>
      </c>
      <c r="CV335" s="38">
        <v>9999</v>
      </c>
      <c r="CW335" s="49">
        <v>9999</v>
      </c>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row>
    <row r="336" spans="1:131">
      <c r="A336" s="27" t="s">
        <v>871</v>
      </c>
      <c r="B336" s="27"/>
      <c r="C336" s="38">
        <v>44.999999999999993</v>
      </c>
      <c r="D336" s="38">
        <v>145.12871400913829</v>
      </c>
      <c r="E336" s="38">
        <v>0</v>
      </c>
      <c r="F336" s="38">
        <v>799.02848103778376</v>
      </c>
      <c r="G336" s="38">
        <v>0</v>
      </c>
      <c r="H336" s="38">
        <v>0</v>
      </c>
      <c r="I336" s="38"/>
      <c r="J336" s="38"/>
      <c r="K336" s="38"/>
      <c r="L336" s="38">
        <v>156.57714680994795</v>
      </c>
      <c r="M336" s="38">
        <v>8.830196857402918E-2</v>
      </c>
      <c r="N336" s="38">
        <v>8.7664644563312563E-2</v>
      </c>
      <c r="O336" s="38">
        <v>0</v>
      </c>
      <c r="P336" s="38">
        <v>0</v>
      </c>
      <c r="Q336" s="38">
        <v>0</v>
      </c>
      <c r="R336" s="38">
        <v>104.50950964683166</v>
      </c>
      <c r="S336" s="38">
        <v>241.50558098714225</v>
      </c>
      <c r="T336" s="38">
        <v>0</v>
      </c>
      <c r="U336" s="38">
        <v>186.73989346322435</v>
      </c>
      <c r="V336" s="38">
        <v>47.941708862267028</v>
      </c>
      <c r="W336" s="38">
        <v>111.86398734528973</v>
      </c>
      <c r="X336" s="38">
        <v>0</v>
      </c>
      <c r="Y336" s="38">
        <v>0</v>
      </c>
      <c r="Z336" s="38">
        <v>0</v>
      </c>
      <c r="AA336" s="38">
        <v>0</v>
      </c>
      <c r="AB336" s="38">
        <v>0</v>
      </c>
      <c r="AC336" s="38">
        <v>0</v>
      </c>
      <c r="AD336" s="38">
        <v>0</v>
      </c>
      <c r="AE336" s="38">
        <v>0</v>
      </c>
      <c r="AF336" s="38">
        <v>0</v>
      </c>
      <c r="AG336" s="38">
        <v>0</v>
      </c>
      <c r="AH336" s="38">
        <v>152.45121850909868</v>
      </c>
      <c r="AI336" s="38">
        <v>353.36956833243198</v>
      </c>
      <c r="AJ336" s="38">
        <v>0</v>
      </c>
      <c r="AK336" s="38">
        <v>186.73989346322435</v>
      </c>
      <c r="AL336" s="38">
        <v>692.56068030475512</v>
      </c>
      <c r="AM336" s="38">
        <v>82.501920306128923</v>
      </c>
      <c r="AN336" s="38">
        <v>31.201366815427569</v>
      </c>
      <c r="AO336" s="38">
        <v>0</v>
      </c>
      <c r="AP336" s="38">
        <v>0</v>
      </c>
      <c r="AQ336" s="38">
        <v>113.70328712155649</v>
      </c>
      <c r="AR336" s="38">
        <v>152.45121850909868</v>
      </c>
      <c r="AS336" s="50">
        <v>0.74583390171309372</v>
      </c>
      <c r="AT336" s="38">
        <v>82.501920306128923</v>
      </c>
      <c r="AU336" s="38">
        <v>36.93312498446145</v>
      </c>
      <c r="AV336" s="38">
        <v>0</v>
      </c>
      <c r="AW336" s="38">
        <v>0</v>
      </c>
      <c r="AX336" s="38">
        <v>119.43504529059038</v>
      </c>
      <c r="AY336" s="38">
        <v>353.36956833243198</v>
      </c>
      <c r="AZ336" s="50">
        <v>0.33798905167247456</v>
      </c>
      <c r="BA336" s="38">
        <v>82.501920306128923</v>
      </c>
      <c r="BB336" s="38">
        <v>68.13449179988902</v>
      </c>
      <c r="BC336" s="38">
        <v>0</v>
      </c>
      <c r="BD336" s="38">
        <v>0</v>
      </c>
      <c r="BE336" s="38">
        <v>150.63641210601796</v>
      </c>
      <c r="BF336" s="38">
        <v>505.82078684153066</v>
      </c>
      <c r="BG336" s="38">
        <v>205.68597870229235</v>
      </c>
      <c r="BH336" s="50">
        <v>0.29780589494280918</v>
      </c>
      <c r="BI336" s="38">
        <v>71.642814588054819</v>
      </c>
      <c r="BJ336" s="38">
        <v>166.06223756480136</v>
      </c>
      <c r="BK336" s="38">
        <v>0</v>
      </c>
      <c r="BL336" s="38">
        <v>87.756409521780398</v>
      </c>
      <c r="BM336" s="38">
        <v>325.46146167463667</v>
      </c>
      <c r="BN336" s="38">
        <v>82.501920306128923</v>
      </c>
      <c r="BO336" s="38">
        <v>0</v>
      </c>
      <c r="BP336" s="38">
        <v>68.13449179988902</v>
      </c>
      <c r="BQ336" s="38">
        <v>0</v>
      </c>
      <c r="BR336" s="38">
        <v>0</v>
      </c>
      <c r="BS336" s="38">
        <v>0</v>
      </c>
      <c r="BT336" s="38">
        <v>0</v>
      </c>
      <c r="BU336" s="38">
        <v>0</v>
      </c>
      <c r="BV336" s="38">
        <v>2.9236791566650409</v>
      </c>
      <c r="BW336" s="38">
        <v>0</v>
      </c>
      <c r="BX336" s="38">
        <v>532.7549840971983</v>
      </c>
      <c r="BY336" s="38">
        <v>159.80569620755676</v>
      </c>
      <c r="BZ336" s="38">
        <v>0</v>
      </c>
      <c r="CA336" s="38">
        <v>0</v>
      </c>
      <c r="CB336" s="38">
        <v>153.56009126268296</v>
      </c>
      <c r="CC336" s="38">
        <v>692.56068030475512</v>
      </c>
      <c r="CD336" s="50">
        <v>0.22172799529293263</v>
      </c>
      <c r="CE336" s="38">
        <v>292.06843657065644</v>
      </c>
      <c r="CF336" s="38">
        <v>1.4874854730527454</v>
      </c>
      <c r="CG336" s="38">
        <v>0</v>
      </c>
      <c r="CH336" s="38">
        <v>1.4874854730527454</v>
      </c>
      <c r="CI336" s="38">
        <v>7.4374144734725298E-2</v>
      </c>
      <c r="CJ336" s="38">
        <v>0</v>
      </c>
      <c r="CK336" s="38">
        <v>7.4374144734725298E-2</v>
      </c>
      <c r="CL336" s="38"/>
      <c r="CM336" s="38">
        <v>0</v>
      </c>
      <c r="CN336" s="38"/>
      <c r="CO336" s="38">
        <v>0</v>
      </c>
      <c r="CP336" s="38">
        <v>0</v>
      </c>
      <c r="CQ336" s="38">
        <v>0</v>
      </c>
      <c r="CR336" s="38">
        <v>0</v>
      </c>
      <c r="CS336" s="38">
        <v>0</v>
      </c>
      <c r="CT336" s="38">
        <v>0</v>
      </c>
      <c r="CU336" s="38">
        <v>0</v>
      </c>
      <c r="CV336" s="38">
        <v>9999</v>
      </c>
      <c r="CW336" s="49">
        <v>9999</v>
      </c>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row>
    <row r="337" spans="1:131">
      <c r="A337" s="27" t="s">
        <v>870</v>
      </c>
      <c r="B337" s="27"/>
      <c r="C337" s="38">
        <v>45.000000000000007</v>
      </c>
      <c r="D337" s="38">
        <v>139.20706915085663</v>
      </c>
      <c r="E337" s="38">
        <v>0</v>
      </c>
      <c r="F337" s="38">
        <v>775.20267326839053</v>
      </c>
      <c r="G337" s="38">
        <v>0</v>
      </c>
      <c r="H337" s="38">
        <v>0</v>
      </c>
      <c r="I337" s="38"/>
      <c r="J337" s="38"/>
      <c r="K337" s="38"/>
      <c r="L337" s="38">
        <v>150.18689121837056</v>
      </c>
      <c r="M337" s="38">
        <v>8.4567890739138257E-2</v>
      </c>
      <c r="N337" s="38">
        <v>8.3957517627710671E-2</v>
      </c>
      <c r="O337" s="38">
        <v>0</v>
      </c>
      <c r="P337" s="38">
        <v>0</v>
      </c>
      <c r="Q337" s="38">
        <v>0</v>
      </c>
      <c r="R337" s="38">
        <v>101.39319584073942</v>
      </c>
      <c r="S337" s="38">
        <v>234.30425376991732</v>
      </c>
      <c r="T337" s="38">
        <v>0</v>
      </c>
      <c r="U337" s="38">
        <v>181.17159532352218</v>
      </c>
      <c r="V337" s="38">
        <v>46.512160396103432</v>
      </c>
      <c r="W337" s="38">
        <v>108.52837425757467</v>
      </c>
      <c r="X337" s="38">
        <v>0</v>
      </c>
      <c r="Y337" s="38">
        <v>0</v>
      </c>
      <c r="Z337" s="38">
        <v>0</v>
      </c>
      <c r="AA337" s="38">
        <v>0</v>
      </c>
      <c r="AB337" s="38">
        <v>0</v>
      </c>
      <c r="AC337" s="38">
        <v>0</v>
      </c>
      <c r="AD337" s="38">
        <v>0</v>
      </c>
      <c r="AE337" s="38">
        <v>0</v>
      </c>
      <c r="AF337" s="38">
        <v>0</v>
      </c>
      <c r="AG337" s="38">
        <v>0</v>
      </c>
      <c r="AH337" s="38">
        <v>147.90535623684286</v>
      </c>
      <c r="AI337" s="38">
        <v>342.83262802749198</v>
      </c>
      <c r="AJ337" s="38">
        <v>0</v>
      </c>
      <c r="AK337" s="38">
        <v>181.17159532352218</v>
      </c>
      <c r="AL337" s="38">
        <v>671.90957958785702</v>
      </c>
      <c r="AM337" s="38">
        <v>79.134258466376821</v>
      </c>
      <c r="AN337" s="38">
        <v>29.881936069711941</v>
      </c>
      <c r="AO337" s="38">
        <v>0</v>
      </c>
      <c r="AP337" s="38">
        <v>0</v>
      </c>
      <c r="AQ337" s="38">
        <v>109.01619453608876</v>
      </c>
      <c r="AR337" s="38">
        <v>147.90535623684286</v>
      </c>
      <c r="AS337" s="50">
        <v>0.73706725239564441</v>
      </c>
      <c r="AT337" s="38">
        <v>79.134258466376821</v>
      </c>
      <c r="AU337" s="38">
        <v>35.371311973892915</v>
      </c>
      <c r="AV337" s="38">
        <v>0</v>
      </c>
      <c r="AW337" s="38">
        <v>0</v>
      </c>
      <c r="AX337" s="38">
        <v>114.50557044026974</v>
      </c>
      <c r="AY337" s="38">
        <v>342.83262802749198</v>
      </c>
      <c r="AZ337" s="50">
        <v>0.33399846187069293</v>
      </c>
      <c r="BA337" s="38">
        <v>79.134258466376821</v>
      </c>
      <c r="BB337" s="38">
        <v>65.253248043604856</v>
      </c>
      <c r="BC337" s="38">
        <v>0</v>
      </c>
      <c r="BD337" s="38">
        <v>0</v>
      </c>
      <c r="BE337" s="38">
        <v>144.38750650998168</v>
      </c>
      <c r="BF337" s="38">
        <v>490.73798426433484</v>
      </c>
      <c r="BG337" s="38">
        <v>208.4596823015319</v>
      </c>
      <c r="BH337" s="50">
        <v>0.29422525082592282</v>
      </c>
      <c r="BI337" s="38">
        <v>72.463947463046466</v>
      </c>
      <c r="BJ337" s="38">
        <v>167.96555701621031</v>
      </c>
      <c r="BK337" s="38">
        <v>0</v>
      </c>
      <c r="BL337" s="38">
        <v>88.762228085217728</v>
      </c>
      <c r="BM337" s="38">
        <v>329.19173256447448</v>
      </c>
      <c r="BN337" s="38">
        <v>79.134258466376821</v>
      </c>
      <c r="BO337" s="38">
        <v>0</v>
      </c>
      <c r="BP337" s="38">
        <v>65.253248043604856</v>
      </c>
      <c r="BQ337" s="38">
        <v>0</v>
      </c>
      <c r="BR337" s="38">
        <v>0</v>
      </c>
      <c r="BS337" s="38">
        <v>0</v>
      </c>
      <c r="BT337" s="38">
        <v>0</v>
      </c>
      <c r="BU337" s="38">
        <v>0</v>
      </c>
      <c r="BV337" s="38">
        <v>1.9969927082731391</v>
      </c>
      <c r="BW337" s="38">
        <v>0</v>
      </c>
      <c r="BX337" s="38">
        <v>516.86904493417887</v>
      </c>
      <c r="BY337" s="38">
        <v>155.04053465367812</v>
      </c>
      <c r="BZ337" s="38">
        <v>0</v>
      </c>
      <c r="CA337" s="38">
        <v>0</v>
      </c>
      <c r="CB337" s="38">
        <v>146.3844992182548</v>
      </c>
      <c r="CC337" s="38">
        <v>671.90957958785702</v>
      </c>
      <c r="CD337" s="50">
        <v>0.21786339064855373</v>
      </c>
      <c r="CE337" s="38">
        <v>296.24351461814291</v>
      </c>
      <c r="CF337" s="38">
        <v>1.4267780798346494</v>
      </c>
      <c r="CG337" s="38">
        <v>0</v>
      </c>
      <c r="CH337" s="38">
        <v>1.4267780798346494</v>
      </c>
      <c r="CI337" s="38">
        <v>7.1338773328725999E-2</v>
      </c>
      <c r="CJ337" s="38">
        <v>0</v>
      </c>
      <c r="CK337" s="38">
        <v>7.1338773328725999E-2</v>
      </c>
      <c r="CL337" s="38"/>
      <c r="CM337" s="38">
        <v>0</v>
      </c>
      <c r="CN337" s="38"/>
      <c r="CO337" s="38">
        <v>0</v>
      </c>
      <c r="CP337" s="38">
        <v>0</v>
      </c>
      <c r="CQ337" s="38">
        <v>0</v>
      </c>
      <c r="CR337" s="38">
        <v>0</v>
      </c>
      <c r="CS337" s="38">
        <v>0</v>
      </c>
      <c r="CT337" s="38">
        <v>0</v>
      </c>
      <c r="CU337" s="38">
        <v>0</v>
      </c>
      <c r="CV337" s="38">
        <v>9999</v>
      </c>
      <c r="CW337" s="49">
        <v>9999</v>
      </c>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row>
    <row r="338" spans="1:131">
      <c r="A338" s="27" t="s">
        <v>869</v>
      </c>
      <c r="B338" s="27"/>
      <c r="C338" s="38">
        <v>44.999999999999993</v>
      </c>
      <c r="D338" s="38">
        <v>129.73086286414696</v>
      </c>
      <c r="E338" s="38">
        <v>0</v>
      </c>
      <c r="F338" s="38">
        <v>746.61170394511896</v>
      </c>
      <c r="G338" s="38">
        <v>0</v>
      </c>
      <c r="H338" s="38">
        <v>0</v>
      </c>
      <c r="I338" s="38"/>
      <c r="J338" s="38"/>
      <c r="K338" s="38"/>
      <c r="L338" s="38">
        <v>139.96110175796073</v>
      </c>
      <c r="M338" s="38">
        <v>7.8620529718667787E-2</v>
      </c>
      <c r="N338" s="38">
        <v>7.8053081992030093E-2</v>
      </c>
      <c r="O338" s="38">
        <v>0</v>
      </c>
      <c r="P338" s="38">
        <v>0</v>
      </c>
      <c r="Q338" s="38">
        <v>0</v>
      </c>
      <c r="R338" s="38">
        <v>97.653619273428774</v>
      </c>
      <c r="S338" s="38">
        <v>225.66266110924752</v>
      </c>
      <c r="T338" s="38">
        <v>0</v>
      </c>
      <c r="U338" s="38">
        <v>174.48963755587963</v>
      </c>
      <c r="V338" s="38">
        <v>44.796702236707141</v>
      </c>
      <c r="W338" s="38">
        <v>104.52563855231665</v>
      </c>
      <c r="X338" s="38">
        <v>0</v>
      </c>
      <c r="Y338" s="38">
        <v>0</v>
      </c>
      <c r="Z338" s="38">
        <v>0</v>
      </c>
      <c r="AA338" s="38">
        <v>0</v>
      </c>
      <c r="AB338" s="38">
        <v>0</v>
      </c>
      <c r="AC338" s="38">
        <v>0</v>
      </c>
      <c r="AD338" s="38">
        <v>0</v>
      </c>
      <c r="AE338" s="38">
        <v>0</v>
      </c>
      <c r="AF338" s="38">
        <v>0</v>
      </c>
      <c r="AG338" s="38">
        <v>0</v>
      </c>
      <c r="AH338" s="38">
        <v>142.45032151013592</v>
      </c>
      <c r="AI338" s="38">
        <v>330.1882996615642</v>
      </c>
      <c r="AJ338" s="38">
        <v>0</v>
      </c>
      <c r="AK338" s="38">
        <v>174.48963755587963</v>
      </c>
      <c r="AL338" s="38">
        <v>647.12825872757969</v>
      </c>
      <c r="AM338" s="38">
        <v>73.745396115437984</v>
      </c>
      <c r="AN338" s="38">
        <v>27.780445063564063</v>
      </c>
      <c r="AO338" s="38">
        <v>0</v>
      </c>
      <c r="AP338" s="38">
        <v>0</v>
      </c>
      <c r="AQ338" s="38">
        <v>101.52584117900204</v>
      </c>
      <c r="AR338" s="38">
        <v>142.45032151013592</v>
      </c>
      <c r="AS338" s="50">
        <v>0.71271050919866175</v>
      </c>
      <c r="AT338" s="38">
        <v>73.745396115437984</v>
      </c>
      <c r="AU338" s="38">
        <v>32.883772551568491</v>
      </c>
      <c r="AV338" s="38">
        <v>0</v>
      </c>
      <c r="AW338" s="38">
        <v>0</v>
      </c>
      <c r="AX338" s="38">
        <v>106.62916866700647</v>
      </c>
      <c r="AY338" s="38">
        <v>330.1882996615642</v>
      </c>
      <c r="AZ338" s="50">
        <v>0.32293442492147373</v>
      </c>
      <c r="BA338" s="38">
        <v>73.745396115437984</v>
      </c>
      <c r="BB338" s="38">
        <v>60.664217615132557</v>
      </c>
      <c r="BC338" s="38">
        <v>0</v>
      </c>
      <c r="BD338" s="38">
        <v>0</v>
      </c>
      <c r="BE338" s="38">
        <v>134.40961373057053</v>
      </c>
      <c r="BF338" s="38">
        <v>472.63862117170004</v>
      </c>
      <c r="BG338" s="38">
        <v>216.58730406901029</v>
      </c>
      <c r="BH338" s="50">
        <v>0.28438135968948303</v>
      </c>
      <c r="BI338" s="38">
        <v>74.890407834300618</v>
      </c>
      <c r="BJ338" s="38">
        <v>173.58989549215804</v>
      </c>
      <c r="BK338" s="38">
        <v>0</v>
      </c>
      <c r="BL338" s="38">
        <v>91.734437528028394</v>
      </c>
      <c r="BM338" s="38">
        <v>340.21474085448705</v>
      </c>
      <c r="BN338" s="38">
        <v>73.745396115437984</v>
      </c>
      <c r="BO338" s="38">
        <v>0</v>
      </c>
      <c r="BP338" s="38">
        <v>60.664217615132557</v>
      </c>
      <c r="BQ338" s="38">
        <v>0</v>
      </c>
      <c r="BR338" s="38">
        <v>0</v>
      </c>
      <c r="BS338" s="38">
        <v>0</v>
      </c>
      <c r="BT338" s="38">
        <v>0</v>
      </c>
      <c r="BU338" s="38">
        <v>0</v>
      </c>
      <c r="BV338" s="38">
        <v>0.60357057613532172</v>
      </c>
      <c r="BW338" s="38">
        <v>0</v>
      </c>
      <c r="BX338" s="38">
        <v>497.80591793855592</v>
      </c>
      <c r="BY338" s="38">
        <v>149.3223407890238</v>
      </c>
      <c r="BZ338" s="38">
        <v>0</v>
      </c>
      <c r="CA338" s="38">
        <v>0</v>
      </c>
      <c r="CB338" s="38">
        <v>135.01318430670585</v>
      </c>
      <c r="CC338" s="38">
        <v>647.12825872757969</v>
      </c>
      <c r="CD338" s="50">
        <v>0.20863435105148465</v>
      </c>
      <c r="CE338" s="38">
        <v>308.00442643674728</v>
      </c>
      <c r="CF338" s="38">
        <v>1.3296331057266657</v>
      </c>
      <c r="CG338" s="38">
        <v>0</v>
      </c>
      <c r="CH338" s="38">
        <v>1.3296331057266657</v>
      </c>
      <c r="CI338" s="38">
        <v>6.6481523335031323E-2</v>
      </c>
      <c r="CJ338" s="38">
        <v>0</v>
      </c>
      <c r="CK338" s="38">
        <v>6.6481523335031323E-2</v>
      </c>
      <c r="CL338" s="38"/>
      <c r="CM338" s="38">
        <v>0</v>
      </c>
      <c r="CN338" s="38"/>
      <c r="CO338" s="38">
        <v>0</v>
      </c>
      <c r="CP338" s="38">
        <v>0</v>
      </c>
      <c r="CQ338" s="38">
        <v>0</v>
      </c>
      <c r="CR338" s="38">
        <v>0</v>
      </c>
      <c r="CS338" s="38">
        <v>0</v>
      </c>
      <c r="CT338" s="38">
        <v>0</v>
      </c>
      <c r="CU338" s="38">
        <v>0</v>
      </c>
      <c r="CV338" s="38">
        <v>9999</v>
      </c>
      <c r="CW338" s="49">
        <v>9999</v>
      </c>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row>
    <row r="339" spans="1:131">
      <c r="A339" s="27" t="s">
        <v>867</v>
      </c>
      <c r="B339" s="27"/>
      <c r="C339" s="38">
        <v>45</v>
      </c>
      <c r="D339" s="38">
        <v>85.705933798582421</v>
      </c>
      <c r="E339" s="38">
        <v>0</v>
      </c>
      <c r="F339" s="38">
        <v>534.20512843764811</v>
      </c>
      <c r="G339" s="38">
        <v>0</v>
      </c>
      <c r="H339" s="38">
        <v>0</v>
      </c>
      <c r="I339" s="38"/>
      <c r="J339" s="38"/>
      <c r="K339" s="38"/>
      <c r="L339" s="38">
        <v>92.391365978509668</v>
      </c>
      <c r="M339" s="38">
        <v>4.5478598379474544E-2</v>
      </c>
      <c r="N339" s="38">
        <v>4.5150354250956877E-2</v>
      </c>
      <c r="O339" s="38">
        <v>0</v>
      </c>
      <c r="P339" s="38">
        <v>0</v>
      </c>
      <c r="Q339" s="38">
        <v>0</v>
      </c>
      <c r="R339" s="38">
        <v>69.87174718894822</v>
      </c>
      <c r="S339" s="38">
        <v>161.4629803209036</v>
      </c>
      <c r="T339" s="38">
        <v>0</v>
      </c>
      <c r="U339" s="38">
        <v>124.84837667161611</v>
      </c>
      <c r="V339" s="38">
        <v>32.052307706258887</v>
      </c>
      <c r="W339" s="38">
        <v>74.788717981270736</v>
      </c>
      <c r="X339" s="38">
        <v>0</v>
      </c>
      <c r="Y339" s="38">
        <v>0</v>
      </c>
      <c r="Z339" s="38">
        <v>0</v>
      </c>
      <c r="AA339" s="38">
        <v>0</v>
      </c>
      <c r="AB339" s="38">
        <v>0</v>
      </c>
      <c r="AC339" s="38">
        <v>0</v>
      </c>
      <c r="AD339" s="38">
        <v>0</v>
      </c>
      <c r="AE339" s="38">
        <v>0</v>
      </c>
      <c r="AF339" s="38">
        <v>0</v>
      </c>
      <c r="AG339" s="38">
        <v>0</v>
      </c>
      <c r="AH339" s="38">
        <v>101.92405489520711</v>
      </c>
      <c r="AI339" s="38">
        <v>236.25169830217433</v>
      </c>
      <c r="AJ339" s="38">
        <v>0</v>
      </c>
      <c r="AK339" s="38">
        <v>124.84837667161611</v>
      </c>
      <c r="AL339" s="38">
        <v>463.02412986899753</v>
      </c>
      <c r="AM339" s="38">
        <v>48.65244694049769</v>
      </c>
      <c r="AN339" s="38">
        <v>16.069793835908218</v>
      </c>
      <c r="AO339" s="38">
        <v>0</v>
      </c>
      <c r="AP339" s="38">
        <v>0</v>
      </c>
      <c r="AQ339" s="38">
        <v>64.722240776405911</v>
      </c>
      <c r="AR339" s="38">
        <v>101.92405489520711</v>
      </c>
      <c r="AS339" s="50">
        <v>0.63500457122658516</v>
      </c>
      <c r="AT339" s="38">
        <v>48.65244694049769</v>
      </c>
      <c r="AU339" s="38">
        <v>19.021849514703497</v>
      </c>
      <c r="AV339" s="38">
        <v>0</v>
      </c>
      <c r="AW339" s="38">
        <v>0</v>
      </c>
      <c r="AX339" s="38">
        <v>67.674296455201187</v>
      </c>
      <c r="AY339" s="38">
        <v>236.25169830217433</v>
      </c>
      <c r="AZ339" s="50">
        <v>0.2864499893187788</v>
      </c>
      <c r="BA339" s="38">
        <v>48.65244694049769</v>
      </c>
      <c r="BB339" s="38">
        <v>35.091643350611719</v>
      </c>
      <c r="BC339" s="38">
        <v>0</v>
      </c>
      <c r="BD339" s="38">
        <v>0</v>
      </c>
      <c r="BE339" s="38">
        <v>83.744090291109401</v>
      </c>
      <c r="BF339" s="38">
        <v>338.17575319738143</v>
      </c>
      <c r="BG339" s="38">
        <v>241.3803396359252</v>
      </c>
      <c r="BH339" s="50">
        <v>0.2476348156227241</v>
      </c>
      <c r="BI339" s="38">
        <v>81.173714452117096</v>
      </c>
      <c r="BJ339" s="38">
        <v>188.15409097023885</v>
      </c>
      <c r="BK339" s="38">
        <v>0</v>
      </c>
      <c r="BL339" s="38">
        <v>99.430958552147288</v>
      </c>
      <c r="BM339" s="38">
        <v>368.75876397450327</v>
      </c>
      <c r="BN339" s="38">
        <v>48.65244694049769</v>
      </c>
      <c r="BO339" s="38">
        <v>0</v>
      </c>
      <c r="BP339" s="38">
        <v>35.091643350611719</v>
      </c>
      <c r="BQ339" s="38">
        <v>0</v>
      </c>
      <c r="BR339" s="38">
        <v>0</v>
      </c>
      <c r="BS339" s="38">
        <v>0</v>
      </c>
      <c r="BT339" s="38">
        <v>0</v>
      </c>
      <c r="BU339" s="38">
        <v>0</v>
      </c>
      <c r="BV339" s="38">
        <v>10.66467723652077</v>
      </c>
      <c r="BW339" s="38">
        <v>0</v>
      </c>
      <c r="BX339" s="38">
        <v>356.18310418146791</v>
      </c>
      <c r="BY339" s="38">
        <v>106.84102568752962</v>
      </c>
      <c r="BZ339" s="38">
        <v>0</v>
      </c>
      <c r="CA339" s="38">
        <v>0</v>
      </c>
      <c r="CB339" s="38">
        <v>94.408767527630189</v>
      </c>
      <c r="CC339" s="38">
        <v>463.02412986899753</v>
      </c>
      <c r="CD339" s="50">
        <v>0.20389599901487007</v>
      </c>
      <c r="CE339" s="38">
        <v>332.31780304984051</v>
      </c>
      <c r="CF339" s="38">
        <v>0.87772662476594654</v>
      </c>
      <c r="CG339" s="38">
        <v>0</v>
      </c>
      <c r="CH339" s="38">
        <v>0.87772662476594654</v>
      </c>
      <c r="CI339" s="38">
        <v>4.3885898839792097E-2</v>
      </c>
      <c r="CJ339" s="38">
        <v>0</v>
      </c>
      <c r="CK339" s="38">
        <v>4.3885898839792097E-2</v>
      </c>
      <c r="CL339" s="38"/>
      <c r="CM339" s="38">
        <v>0</v>
      </c>
      <c r="CN339" s="38"/>
      <c r="CO339" s="38">
        <v>0</v>
      </c>
      <c r="CP339" s="38">
        <v>0</v>
      </c>
      <c r="CQ339" s="38">
        <v>0</v>
      </c>
      <c r="CR339" s="38">
        <v>0</v>
      </c>
      <c r="CS339" s="38">
        <v>0</v>
      </c>
      <c r="CT339" s="38">
        <v>0</v>
      </c>
      <c r="CU339" s="38">
        <v>0</v>
      </c>
      <c r="CV339" s="38">
        <v>9999</v>
      </c>
      <c r="CW339" s="49">
        <v>9999</v>
      </c>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row>
    <row r="340" spans="1:131">
      <c r="A340" s="27" t="s">
        <v>866</v>
      </c>
      <c r="B340" s="27"/>
      <c r="C340" s="38">
        <v>44.999999999999993</v>
      </c>
      <c r="D340" s="38">
        <v>71.168879970551004</v>
      </c>
      <c r="E340" s="38">
        <v>0</v>
      </c>
      <c r="F340" s="38">
        <v>449.62510832506831</v>
      </c>
      <c r="G340" s="38">
        <v>0</v>
      </c>
      <c r="H340" s="38">
        <v>0</v>
      </c>
      <c r="I340" s="38"/>
      <c r="J340" s="38"/>
      <c r="K340" s="38"/>
      <c r="L340" s="38">
        <v>76.720309131071929</v>
      </c>
      <c r="M340" s="38">
        <v>3.7760289506453951E-2</v>
      </c>
      <c r="N340" s="38">
        <v>3.7487752670155694E-2</v>
      </c>
      <c r="O340" s="38">
        <v>0</v>
      </c>
      <c r="P340" s="38">
        <v>0</v>
      </c>
      <c r="Q340" s="38">
        <v>0</v>
      </c>
      <c r="R340" s="38">
        <v>58.809042119406548</v>
      </c>
      <c r="S340" s="38">
        <v>135.89875153313545</v>
      </c>
      <c r="T340" s="38">
        <v>0</v>
      </c>
      <c r="U340" s="38">
        <v>105.08129161799376</v>
      </c>
      <c r="V340" s="38">
        <v>26.977506499504099</v>
      </c>
      <c r="W340" s="38">
        <v>62.947515165509564</v>
      </c>
      <c r="X340" s="38">
        <v>0</v>
      </c>
      <c r="Y340" s="38">
        <v>0</v>
      </c>
      <c r="Z340" s="38">
        <v>0</v>
      </c>
      <c r="AA340" s="38">
        <v>0</v>
      </c>
      <c r="AB340" s="38">
        <v>0</v>
      </c>
      <c r="AC340" s="38">
        <v>0</v>
      </c>
      <c r="AD340" s="38">
        <v>0</v>
      </c>
      <c r="AE340" s="38">
        <v>0</v>
      </c>
      <c r="AF340" s="38">
        <v>0</v>
      </c>
      <c r="AG340" s="38">
        <v>0</v>
      </c>
      <c r="AH340" s="38">
        <v>85.786548618910643</v>
      </c>
      <c r="AI340" s="38">
        <v>198.84626669864502</v>
      </c>
      <c r="AJ340" s="38">
        <v>0</v>
      </c>
      <c r="AK340" s="38">
        <v>105.08129161799376</v>
      </c>
      <c r="AL340" s="38">
        <v>389.71410693554941</v>
      </c>
      <c r="AM340" s="38">
        <v>40.400192396959604</v>
      </c>
      <c r="AN340" s="38">
        <v>13.342541089102365</v>
      </c>
      <c r="AO340" s="38">
        <v>0</v>
      </c>
      <c r="AP340" s="38">
        <v>0</v>
      </c>
      <c r="AQ340" s="38">
        <v>53.742733486061965</v>
      </c>
      <c r="AR340" s="38">
        <v>85.786548618910643</v>
      </c>
      <c r="AS340" s="50">
        <v>0.62647040067788673</v>
      </c>
      <c r="AT340" s="38">
        <v>40.400192396959604</v>
      </c>
      <c r="AU340" s="38">
        <v>15.793594574532337</v>
      </c>
      <c r="AV340" s="38">
        <v>0</v>
      </c>
      <c r="AW340" s="38">
        <v>0</v>
      </c>
      <c r="AX340" s="38">
        <v>56.193786971491939</v>
      </c>
      <c r="AY340" s="38">
        <v>198.84626669864502</v>
      </c>
      <c r="AZ340" s="50">
        <v>0.28259915513855033</v>
      </c>
      <c r="BA340" s="38">
        <v>40.400192396959604</v>
      </c>
      <c r="BB340" s="38">
        <v>29.136135663634704</v>
      </c>
      <c r="BC340" s="38">
        <v>0</v>
      </c>
      <c r="BD340" s="38">
        <v>0</v>
      </c>
      <c r="BE340" s="38">
        <v>69.5363280605943</v>
      </c>
      <c r="BF340" s="38">
        <v>284.63281531755564</v>
      </c>
      <c r="BG340" s="38">
        <v>245.04454042240647</v>
      </c>
      <c r="BH340" s="50">
        <v>0.24430186653993097</v>
      </c>
      <c r="BI340" s="38">
        <v>82.277098118142931</v>
      </c>
      <c r="BJ340" s="38">
        <v>190.71164487883775</v>
      </c>
      <c r="BK340" s="38">
        <v>0</v>
      </c>
      <c r="BL340" s="38">
        <v>100.78251054535374</v>
      </c>
      <c r="BM340" s="38">
        <v>373.77125354233442</v>
      </c>
      <c r="BN340" s="38">
        <v>40.400192396959604</v>
      </c>
      <c r="BO340" s="38">
        <v>0</v>
      </c>
      <c r="BP340" s="38">
        <v>29.136135663634704</v>
      </c>
      <c r="BQ340" s="38">
        <v>0</v>
      </c>
      <c r="BR340" s="38">
        <v>0</v>
      </c>
      <c r="BS340" s="38">
        <v>0</v>
      </c>
      <c r="BT340" s="38">
        <v>0</v>
      </c>
      <c r="BU340" s="38">
        <v>0</v>
      </c>
      <c r="BV340" s="38">
        <v>8.770931198266112</v>
      </c>
      <c r="BW340" s="38">
        <v>0</v>
      </c>
      <c r="BX340" s="38">
        <v>299.78908527053574</v>
      </c>
      <c r="BY340" s="38">
        <v>89.925021665013674</v>
      </c>
      <c r="BZ340" s="38">
        <v>0</v>
      </c>
      <c r="CA340" s="38">
        <v>0</v>
      </c>
      <c r="CB340" s="38">
        <v>78.307259258860412</v>
      </c>
      <c r="CC340" s="38">
        <v>389.71410693554941</v>
      </c>
      <c r="CD340" s="50">
        <v>0.20093514159550505</v>
      </c>
      <c r="CE340" s="38">
        <v>337.4149306714537</v>
      </c>
      <c r="CF340" s="38">
        <v>0.72885012262375548</v>
      </c>
      <c r="CG340" s="38">
        <v>0</v>
      </c>
      <c r="CH340" s="38">
        <v>0.72885012262375548</v>
      </c>
      <c r="CI340" s="38">
        <v>3.6442146837259173E-2</v>
      </c>
      <c r="CJ340" s="38">
        <v>0</v>
      </c>
      <c r="CK340" s="38">
        <v>3.6442146837259173E-2</v>
      </c>
      <c r="CL340" s="38"/>
      <c r="CM340" s="38">
        <v>0</v>
      </c>
      <c r="CN340" s="38"/>
      <c r="CO340" s="38">
        <v>0</v>
      </c>
      <c r="CP340" s="38">
        <v>0</v>
      </c>
      <c r="CQ340" s="38">
        <v>0</v>
      </c>
      <c r="CR340" s="38">
        <v>0</v>
      </c>
      <c r="CS340" s="38">
        <v>0</v>
      </c>
      <c r="CT340" s="38">
        <v>0</v>
      </c>
      <c r="CU340" s="38">
        <v>0</v>
      </c>
      <c r="CV340" s="38">
        <v>9999</v>
      </c>
      <c r="CW340" s="49">
        <v>9999</v>
      </c>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row>
    <row r="341" spans="1:131">
      <c r="A341" s="27"/>
      <c r="B341" s="27"/>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50"/>
      <c r="AT341" s="38"/>
      <c r="AU341" s="38"/>
      <c r="AV341" s="38"/>
      <c r="AW341" s="38"/>
      <c r="AX341" s="38"/>
      <c r="AY341" s="38"/>
      <c r="AZ341" s="50"/>
      <c r="BA341" s="38"/>
      <c r="BB341" s="38"/>
      <c r="BC341" s="38"/>
      <c r="BD341" s="38"/>
      <c r="BE341" s="38"/>
      <c r="BF341" s="38"/>
      <c r="BG341" s="38"/>
      <c r="BH341" s="50"/>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50"/>
      <c r="CE341" s="38"/>
      <c r="CF341" s="38"/>
      <c r="CG341" s="38"/>
      <c r="CH341" s="38"/>
      <c r="CI341" s="38"/>
      <c r="CJ341" s="38"/>
      <c r="CK341" s="38"/>
      <c r="CL341" s="38"/>
      <c r="CM341" s="38"/>
      <c r="CN341" s="38"/>
      <c r="CO341" s="38"/>
      <c r="CP341" s="38"/>
      <c r="CQ341" s="38"/>
      <c r="CR341" s="38"/>
      <c r="CS341" s="38"/>
      <c r="CT341" s="38"/>
      <c r="CU341" s="38"/>
      <c r="CV341" s="38"/>
      <c r="CW341" s="50"/>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row>
    <row r="342" spans="1:131">
      <c r="A342" s="27"/>
      <c r="B342" s="27"/>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50"/>
      <c r="AT342" s="38"/>
      <c r="AU342" s="38"/>
      <c r="AV342" s="38"/>
      <c r="AW342" s="38"/>
      <c r="AX342" s="38"/>
      <c r="AY342" s="38"/>
      <c r="AZ342" s="50"/>
      <c r="BA342" s="38"/>
      <c r="BB342" s="38"/>
      <c r="BC342" s="38"/>
      <c r="BD342" s="38"/>
      <c r="BE342" s="38"/>
      <c r="BF342" s="38"/>
      <c r="BG342" s="38"/>
      <c r="BH342" s="50"/>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50"/>
      <c r="CE342" s="38"/>
      <c r="CF342" s="38"/>
      <c r="CG342" s="38"/>
      <c r="CH342" s="38"/>
      <c r="CI342" s="38"/>
      <c r="CJ342" s="38"/>
      <c r="CK342" s="38"/>
      <c r="CL342" s="38"/>
      <c r="CM342" s="38"/>
      <c r="CN342" s="38"/>
      <c r="CO342" s="38"/>
      <c r="CP342" s="38"/>
      <c r="CQ342" s="38"/>
      <c r="CR342" s="38"/>
      <c r="CS342" s="38"/>
      <c r="CT342" s="38"/>
      <c r="CU342" s="38"/>
      <c r="CV342" s="38"/>
      <c r="CW342" s="50"/>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row>
    <row r="343" spans="1:131" ht="13.5" thickBot="1">
      <c r="A343" s="36" t="s">
        <v>1586</v>
      </c>
      <c r="B343" s="37"/>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50"/>
      <c r="AT343" s="38"/>
      <c r="AU343" s="38"/>
      <c r="AV343" s="38"/>
      <c r="AW343" s="38"/>
      <c r="AX343" s="38"/>
      <c r="AY343" s="38"/>
      <c r="AZ343" s="50"/>
      <c r="BA343" s="38"/>
      <c r="BB343" s="38"/>
      <c r="BC343" s="38"/>
      <c r="BD343" s="38"/>
      <c r="BE343" s="38"/>
      <c r="BF343" s="38"/>
      <c r="BG343" s="38"/>
      <c r="BH343" s="50"/>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50"/>
      <c r="CE343" s="38"/>
      <c r="CF343" s="38"/>
      <c r="CG343" s="38"/>
      <c r="CH343" s="38"/>
      <c r="CI343" s="38"/>
      <c r="CJ343" s="38"/>
      <c r="CK343" s="38"/>
      <c r="CL343" s="38"/>
      <c r="CM343" s="38"/>
      <c r="CN343" s="38"/>
      <c r="CO343" s="38"/>
      <c r="CP343" s="38"/>
      <c r="CQ343" s="38"/>
      <c r="CR343" s="38"/>
      <c r="CS343" s="38"/>
      <c r="CT343" s="38"/>
      <c r="CU343" s="38"/>
      <c r="CV343" s="38"/>
      <c r="CW343" s="50"/>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row>
    <row r="344" spans="1:131" ht="13.5" thickBot="1">
      <c r="A344" s="366" t="s">
        <v>1587</v>
      </c>
      <c r="B344" s="367"/>
      <c r="C344" s="368"/>
      <c r="D344" s="368"/>
      <c r="E344" s="368"/>
      <c r="F344" s="368"/>
      <c r="G344" s="368"/>
      <c r="H344" s="368"/>
      <c r="I344" s="368"/>
      <c r="J344" s="368"/>
      <c r="K344" s="368"/>
      <c r="L344" s="44"/>
      <c r="M344" s="369"/>
      <c r="N344" s="370" t="s">
        <v>1588</v>
      </c>
      <c r="O344" s="368"/>
      <c r="P344" s="368"/>
      <c r="Q344" s="368"/>
      <c r="R344" s="368"/>
      <c r="S344" s="368"/>
      <c r="T344" s="368"/>
      <c r="U344" s="368"/>
      <c r="V344" s="368"/>
      <c r="W344" s="368"/>
      <c r="X344" s="368"/>
      <c r="Y344" s="44"/>
      <c r="Z344" s="369"/>
      <c r="AA344" s="370" t="s">
        <v>1589</v>
      </c>
      <c r="AB344" s="368"/>
      <c r="AC344" s="368"/>
      <c r="AD344" s="368"/>
      <c r="AE344" s="368"/>
      <c r="AF344" s="368"/>
      <c r="AG344" s="368"/>
      <c r="AH344" s="368"/>
      <c r="AI344" s="368"/>
      <c r="AJ344" s="368"/>
      <c r="AK344" s="368"/>
      <c r="AL344" s="44"/>
      <c r="AM344" s="38"/>
      <c r="AN344" s="38"/>
      <c r="AO344" s="38"/>
      <c r="AP344" s="38"/>
      <c r="AQ344" s="38"/>
      <c r="AR344" s="38"/>
      <c r="AS344" s="50"/>
      <c r="AT344" s="38"/>
      <c r="AU344" s="38"/>
      <c r="AV344" s="38"/>
      <c r="AW344" s="38"/>
      <c r="AX344" s="38"/>
      <c r="AY344" s="38"/>
      <c r="AZ344" s="50"/>
      <c r="BA344" s="38"/>
      <c r="BB344" s="38"/>
      <c r="BC344" s="38"/>
      <c r="BD344" s="38"/>
      <c r="BE344" s="38"/>
      <c r="BF344" s="38"/>
      <c r="BG344" s="38"/>
      <c r="BH344" s="50"/>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50"/>
      <c r="CE344" s="38"/>
      <c r="CF344" s="38"/>
      <c r="CG344" s="38"/>
      <c r="CH344" s="38"/>
      <c r="CI344" s="38"/>
      <c r="CJ344" s="38"/>
      <c r="CK344" s="38"/>
      <c r="CL344" s="38"/>
      <c r="CM344" s="38"/>
      <c r="CN344" s="38"/>
      <c r="CO344" s="38"/>
      <c r="CP344" s="38"/>
      <c r="CQ344" s="38"/>
      <c r="CR344" s="38"/>
      <c r="CS344" s="38"/>
      <c r="CT344" s="38"/>
      <c r="CU344" s="38"/>
      <c r="CV344" s="38"/>
      <c r="CW344" s="50"/>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row>
    <row r="345" spans="1:131" ht="191.25">
      <c r="A345" s="45"/>
      <c r="B345" s="46" t="s">
        <v>1590</v>
      </c>
      <c r="C345" s="47" t="s">
        <v>1591</v>
      </c>
      <c r="D345" s="47" t="s">
        <v>34</v>
      </c>
      <c r="E345" s="47" t="s">
        <v>35</v>
      </c>
      <c r="F345" s="47" t="s">
        <v>36</v>
      </c>
      <c r="G345" s="47" t="s">
        <v>37</v>
      </c>
      <c r="H345" s="47" t="s">
        <v>38</v>
      </c>
      <c r="I345" s="47" t="s">
        <v>39</v>
      </c>
      <c r="J345" s="47" t="s">
        <v>40</v>
      </c>
      <c r="K345" s="47" t="s">
        <v>41</v>
      </c>
      <c r="L345" s="47" t="s">
        <v>42</v>
      </c>
      <c r="M345" s="47" t="s">
        <v>43</v>
      </c>
      <c r="N345" s="47" t="s">
        <v>44</v>
      </c>
      <c r="O345" s="47" t="s">
        <v>45</v>
      </c>
      <c r="P345" s="47" t="s">
        <v>46</v>
      </c>
      <c r="Q345" s="47" t="s">
        <v>47</v>
      </c>
      <c r="R345" s="47" t="s">
        <v>48</v>
      </c>
      <c r="S345" s="47" t="s">
        <v>49</v>
      </c>
      <c r="T345" s="47" t="s">
        <v>50</v>
      </c>
      <c r="U345" s="47" t="s">
        <v>51</v>
      </c>
      <c r="V345" s="47" t="s">
        <v>52</v>
      </c>
      <c r="W345" s="47" t="s">
        <v>53</v>
      </c>
      <c r="X345" s="47" t="s">
        <v>54</v>
      </c>
      <c r="Y345" s="47" t="s">
        <v>55</v>
      </c>
      <c r="Z345" s="47"/>
      <c r="AA345" s="47" t="s">
        <v>44</v>
      </c>
      <c r="AB345" s="47" t="s">
        <v>45</v>
      </c>
      <c r="AC345" s="47" t="s">
        <v>46</v>
      </c>
      <c r="AD345" s="47" t="s">
        <v>47</v>
      </c>
      <c r="AE345" s="47" t="s">
        <v>48</v>
      </c>
      <c r="AF345" s="47" t="s">
        <v>49</v>
      </c>
      <c r="AG345" s="47" t="s">
        <v>50</v>
      </c>
      <c r="AH345" s="47" t="s">
        <v>51</v>
      </c>
      <c r="AI345" s="47" t="s">
        <v>52</v>
      </c>
      <c r="AJ345" s="47" t="s">
        <v>53</v>
      </c>
      <c r="AK345" s="47" t="s">
        <v>54</v>
      </c>
      <c r="AL345" s="47" t="s">
        <v>55</v>
      </c>
      <c r="AM345" s="38"/>
      <c r="AN345" s="38"/>
      <c r="AO345" s="38"/>
      <c r="AP345" s="38"/>
      <c r="AQ345" s="38"/>
      <c r="AR345" s="38"/>
      <c r="AS345" s="50"/>
      <c r="AT345" s="38"/>
      <c r="AU345" s="38"/>
      <c r="AV345" s="38"/>
      <c r="AW345" s="38"/>
      <c r="AX345" s="38"/>
      <c r="AY345" s="38"/>
      <c r="AZ345" s="50"/>
      <c r="BA345" s="38"/>
      <c r="BB345" s="38"/>
      <c r="BC345" s="38"/>
      <c r="BD345" s="38"/>
      <c r="BE345" s="38"/>
      <c r="BF345" s="38"/>
      <c r="BG345" s="38"/>
      <c r="BH345" s="50"/>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50"/>
      <c r="CE345" s="38"/>
      <c r="CF345" s="38"/>
      <c r="CG345" s="38"/>
      <c r="CH345" s="38"/>
      <c r="CI345" s="38"/>
      <c r="CJ345" s="38"/>
      <c r="CK345" s="38"/>
      <c r="CL345" s="38"/>
      <c r="CM345" s="38"/>
      <c r="CN345" s="38"/>
      <c r="CO345" s="38"/>
      <c r="CP345" s="38"/>
      <c r="CQ345" s="38"/>
      <c r="CR345" s="38"/>
      <c r="CS345" s="38"/>
      <c r="CT345" s="38"/>
      <c r="CU345" s="38"/>
      <c r="CV345" s="38"/>
      <c r="CW345" s="50"/>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row>
    <row r="346" spans="1:131">
      <c r="A346" s="27"/>
      <c r="B346" s="333" t="s">
        <v>1592</v>
      </c>
      <c r="C346" s="371">
        <v>28092.692850802679</v>
      </c>
      <c r="D346" s="371">
        <v>20313.068641926042</v>
      </c>
      <c r="E346" s="371">
        <v>0</v>
      </c>
      <c r="F346" s="371">
        <v>20313.068641926042</v>
      </c>
      <c r="G346" s="371">
        <v>13543.808284829918</v>
      </c>
      <c r="H346" s="371">
        <v>26759.656244475373</v>
      </c>
      <c r="I346" s="371">
        <v>6334.1197744305191</v>
      </c>
      <c r="J346" s="371">
        <v>-4.0715319166101471</v>
      </c>
      <c r="K346" s="371">
        <v>4.1270757005451966</v>
      </c>
      <c r="L346" s="49">
        <v>870.22649254717464</v>
      </c>
      <c r="M346" s="38">
        <v>266.88365641290187</v>
      </c>
      <c r="N346" s="48">
        <v>2857.6880390387278</v>
      </c>
      <c r="O346" s="48">
        <v>2084.9686391632281</v>
      </c>
      <c r="P346" s="48">
        <v>1889.3027320638409</v>
      </c>
      <c r="Q346" s="48">
        <v>1532.9347528890451</v>
      </c>
      <c r="R346" s="48">
        <v>717.01158412304176</v>
      </c>
      <c r="S346" s="48">
        <v>277.29716462531229</v>
      </c>
      <c r="T346" s="48">
        <v>747.24774475953802</v>
      </c>
      <c r="U346" s="48">
        <v>741.5787593748986</v>
      </c>
      <c r="V346" s="48">
        <v>630.22870681662289</v>
      </c>
      <c r="W346" s="48">
        <v>1215.9353722291767</v>
      </c>
      <c r="X346" s="48">
        <v>1839.3964169026654</v>
      </c>
      <c r="Y346" s="48">
        <v>3330.3593022343011</v>
      </c>
      <c r="Z346" s="48"/>
      <c r="AA346" s="48">
        <v>1816.4714015615234</v>
      </c>
      <c r="AB346" s="48">
        <v>1360.8654035519712</v>
      </c>
      <c r="AC346" s="48">
        <v>1054.1400521749658</v>
      </c>
      <c r="AD346" s="48">
        <v>908.85858787995812</v>
      </c>
      <c r="AE346" s="48">
        <v>378.71832792047093</v>
      </c>
      <c r="AF346" s="48">
        <v>106.88181868036527</v>
      </c>
      <c r="AG346" s="48">
        <v>216.08875205288933</v>
      </c>
      <c r="AH346" s="48">
        <v>140.95881625068327</v>
      </c>
      <c r="AI346" s="48">
        <v>286.34382492846902</v>
      </c>
      <c r="AJ346" s="48">
        <v>612.22959116616926</v>
      </c>
      <c r="AK346" s="48">
        <v>1203.4748014871327</v>
      </c>
      <c r="AL346" s="48">
        <v>2143.712258927681</v>
      </c>
      <c r="AM346" s="38"/>
      <c r="AN346" s="38"/>
      <c r="AO346" s="38"/>
      <c r="AP346" s="38"/>
      <c r="AQ346" s="38"/>
      <c r="AR346" s="38"/>
      <c r="AS346" s="50"/>
      <c r="AT346" s="38"/>
      <c r="AU346" s="38"/>
      <c r="AV346" s="38"/>
      <c r="AW346" s="38"/>
      <c r="AX346" s="38"/>
      <c r="AY346" s="38"/>
      <c r="AZ346" s="50"/>
      <c r="BA346" s="38"/>
      <c r="BB346" s="38"/>
      <c r="BC346" s="38"/>
      <c r="BD346" s="38"/>
      <c r="BE346" s="38"/>
      <c r="BF346" s="38"/>
      <c r="BG346" s="38"/>
      <c r="BH346" s="50"/>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50"/>
      <c r="CE346" s="38"/>
      <c r="CF346" s="38"/>
      <c r="CG346" s="38"/>
      <c r="CH346" s="38"/>
      <c r="CI346" s="38"/>
      <c r="CJ346" s="38"/>
      <c r="CK346" s="38"/>
      <c r="CL346" s="38"/>
      <c r="CM346" s="38"/>
      <c r="CN346" s="38"/>
      <c r="CO346" s="38"/>
      <c r="CP346" s="38"/>
      <c r="CQ346" s="38"/>
      <c r="CR346" s="38"/>
      <c r="CS346" s="38"/>
      <c r="CT346" s="38"/>
      <c r="CU346" s="38"/>
      <c r="CV346" s="38"/>
      <c r="CW346" s="50"/>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row>
    <row r="347" spans="1:131">
      <c r="A347" s="27"/>
      <c r="B347" s="333" t="s">
        <v>1593</v>
      </c>
      <c r="C347" s="371">
        <v>21902.561807934886</v>
      </c>
      <c r="D347" s="371">
        <v>14050.810149978115</v>
      </c>
      <c r="E347" s="371">
        <v>2810.1620299956226</v>
      </c>
      <c r="F347" s="371">
        <v>16860.972179973738</v>
      </c>
      <c r="G347" s="371">
        <v>12178.587956793552</v>
      </c>
      <c r="H347" s="371">
        <v>21093.051949371165</v>
      </c>
      <c r="I347" s="371">
        <v>6743.6000223069914</v>
      </c>
      <c r="J347" s="371">
        <v>2.0370419513225921</v>
      </c>
      <c r="K347" s="371">
        <v>8.7987066136354013</v>
      </c>
      <c r="L347" s="49">
        <v>2.0799839678822272</v>
      </c>
      <c r="M347" s="38">
        <v>208.07642978413628</v>
      </c>
      <c r="N347" s="48">
        <v>336.34370107724158</v>
      </c>
      <c r="O347" s="48">
        <v>245.39629908729736</v>
      </c>
      <c r="P347" s="48">
        <v>222.36684504283795</v>
      </c>
      <c r="Q347" s="48">
        <v>180.19651842831496</v>
      </c>
      <c r="R347" s="48">
        <v>83.248872640550275</v>
      </c>
      <c r="S347" s="48">
        <v>31.373053566099919</v>
      </c>
      <c r="T347" s="48">
        <v>79.298892914403453</v>
      </c>
      <c r="U347" s="48">
        <v>78.618233792861076</v>
      </c>
      <c r="V347" s="48">
        <v>70.596718009383068</v>
      </c>
      <c r="W347" s="48">
        <v>142.46159580189351</v>
      </c>
      <c r="X347" s="48">
        <v>216.49297969465135</v>
      </c>
      <c r="Y347" s="48">
        <v>391.97608637760908</v>
      </c>
      <c r="Z347" s="48"/>
      <c r="AA347" s="48">
        <v>213.79475497531286</v>
      </c>
      <c r="AB347" s="48">
        <v>160.1709144755394</v>
      </c>
      <c r="AC347" s="48">
        <v>124.0700040587879</v>
      </c>
      <c r="AD347" s="48">
        <v>106.91141845810799</v>
      </c>
      <c r="AE347" s="48">
        <v>44.285129318372981</v>
      </c>
      <c r="AF347" s="48">
        <v>12.35007813242089</v>
      </c>
      <c r="AG347" s="48">
        <v>23.072442328774631</v>
      </c>
      <c r="AH347" s="48">
        <v>15.055358468828734</v>
      </c>
      <c r="AI347" s="48">
        <v>32.573799152162373</v>
      </c>
      <c r="AJ347" s="48">
        <v>71.902376934051034</v>
      </c>
      <c r="AK347" s="48">
        <v>141.64638104498681</v>
      </c>
      <c r="AL347" s="48">
        <v>252.31029607239051</v>
      </c>
      <c r="AM347" s="38"/>
      <c r="AN347" s="38"/>
      <c r="AO347" s="38"/>
      <c r="AP347" s="38"/>
      <c r="AQ347" s="38"/>
      <c r="AR347" s="38"/>
      <c r="AS347" s="50"/>
      <c r="AT347" s="38"/>
      <c r="AU347" s="38"/>
      <c r="AV347" s="38"/>
      <c r="AW347" s="38"/>
      <c r="AX347" s="38"/>
      <c r="AY347" s="38"/>
      <c r="AZ347" s="50"/>
      <c r="BA347" s="38"/>
      <c r="BB347" s="38"/>
      <c r="BC347" s="38"/>
      <c r="BD347" s="38"/>
      <c r="BE347" s="38"/>
      <c r="BF347" s="38"/>
      <c r="BG347" s="38"/>
      <c r="BH347" s="50"/>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50"/>
      <c r="CE347" s="38"/>
      <c r="CF347" s="38"/>
      <c r="CG347" s="38"/>
      <c r="CH347" s="38"/>
      <c r="CI347" s="38"/>
      <c r="CJ347" s="38"/>
      <c r="CK347" s="38"/>
      <c r="CL347" s="38"/>
      <c r="CM347" s="38"/>
      <c r="CN347" s="38"/>
      <c r="CO347" s="38"/>
      <c r="CP347" s="38"/>
      <c r="CQ347" s="38"/>
      <c r="CR347" s="38"/>
      <c r="CS347" s="38"/>
      <c r="CT347" s="38"/>
      <c r="CU347" s="38"/>
      <c r="CV347" s="38"/>
      <c r="CW347" s="50"/>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row>
    <row r="348" spans="1:131">
      <c r="A348" s="27"/>
      <c r="B348" s="333" t="s">
        <v>1594</v>
      </c>
      <c r="C348" s="372"/>
      <c r="D348" s="372"/>
      <c r="E348" s="372"/>
      <c r="F348" s="372"/>
      <c r="G348" s="372"/>
      <c r="H348" s="372"/>
      <c r="I348" s="372"/>
      <c r="J348" s="372"/>
      <c r="K348" s="372"/>
      <c r="L348" s="50"/>
      <c r="M348" s="373"/>
      <c r="N348" s="373"/>
      <c r="O348" s="373"/>
      <c r="P348" s="373"/>
      <c r="Q348" s="373"/>
      <c r="R348" s="373"/>
      <c r="S348" s="373"/>
      <c r="T348" s="373"/>
      <c r="U348" s="373"/>
      <c r="V348" s="373"/>
      <c r="W348" s="373"/>
      <c r="X348" s="373"/>
      <c r="Y348" s="373"/>
      <c r="Z348" s="373"/>
      <c r="AA348" s="373"/>
      <c r="AB348" s="373"/>
      <c r="AC348" s="373"/>
      <c r="AD348" s="373"/>
      <c r="AE348" s="373"/>
      <c r="AF348" s="373"/>
      <c r="AG348" s="373"/>
      <c r="AH348" s="373"/>
      <c r="AI348" s="373"/>
      <c r="AJ348" s="373"/>
      <c r="AK348" s="373"/>
      <c r="AL348" s="373"/>
      <c r="AM348" s="38"/>
      <c r="AN348" s="38"/>
      <c r="AO348" s="38"/>
      <c r="AP348" s="38"/>
      <c r="AQ348" s="38"/>
      <c r="AR348" s="38"/>
      <c r="AS348" s="50"/>
      <c r="AT348" s="38"/>
      <c r="AU348" s="38"/>
      <c r="AV348" s="38"/>
      <c r="AW348" s="38"/>
      <c r="AX348" s="38"/>
      <c r="AY348" s="38"/>
      <c r="AZ348" s="50"/>
      <c r="BA348" s="38"/>
      <c r="BB348" s="38"/>
      <c r="BC348" s="38"/>
      <c r="BD348" s="38"/>
      <c r="BE348" s="38"/>
      <c r="BF348" s="38"/>
      <c r="BG348" s="38"/>
      <c r="BH348" s="50"/>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50"/>
      <c r="CE348" s="38"/>
      <c r="CF348" s="38"/>
      <c r="CG348" s="38"/>
      <c r="CH348" s="38"/>
      <c r="CI348" s="38"/>
      <c r="CJ348" s="38"/>
      <c r="CK348" s="38"/>
      <c r="CL348" s="38"/>
      <c r="CM348" s="38"/>
      <c r="CN348" s="38"/>
      <c r="CO348" s="38"/>
      <c r="CP348" s="38"/>
      <c r="CQ348" s="38"/>
      <c r="CR348" s="38"/>
      <c r="CS348" s="38"/>
      <c r="CT348" s="38"/>
      <c r="CU348" s="38"/>
      <c r="CV348" s="38"/>
      <c r="CW348" s="50"/>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row>
    <row r="349" spans="1:131">
      <c r="A349" s="27"/>
      <c r="B349" s="27" t="s">
        <v>250</v>
      </c>
      <c r="C349" s="38">
        <v>10585.840631229101</v>
      </c>
      <c r="D349" s="38">
        <v>4155.7439681105316</v>
      </c>
      <c r="E349" s="38">
        <v>831.1487936221065</v>
      </c>
      <c r="F349" s="38">
        <v>4986.8927617326381</v>
      </c>
      <c r="G349" s="38">
        <v>3602.005357792641</v>
      </c>
      <c r="H349" s="38">
        <v>9952.503335126592</v>
      </c>
      <c r="I349" s="38">
        <v>4126.7559294160383</v>
      </c>
      <c r="J349" s="38">
        <v>-8.747306037718138</v>
      </c>
      <c r="K349" s="38">
        <v>-5.399834380164509</v>
      </c>
      <c r="L349" s="49">
        <v>2.840143801752899</v>
      </c>
      <c r="M349" s="38">
        <v>100.56666009768853</v>
      </c>
      <c r="N349" s="48">
        <v>1073.732149289292</v>
      </c>
      <c r="O349" s="48">
        <v>783.39476791964978</v>
      </c>
      <c r="P349" s="48">
        <v>709.87632500271911</v>
      </c>
      <c r="Q349" s="48">
        <v>576.20699677568393</v>
      </c>
      <c r="R349" s="48">
        <v>270.56727251857222</v>
      </c>
      <c r="S349" s="48">
        <v>105.475832500639</v>
      </c>
      <c r="T349" s="48">
        <v>289.56434496988368</v>
      </c>
      <c r="U349" s="48">
        <v>287.44797130124397</v>
      </c>
      <c r="V349" s="48">
        <v>240.43937186562755</v>
      </c>
      <c r="W349" s="48">
        <v>457.53137419617417</v>
      </c>
      <c r="X349" s="48">
        <v>691.12479778593365</v>
      </c>
      <c r="Y349" s="48">
        <v>1251.3310769556545</v>
      </c>
      <c r="Z349" s="48"/>
      <c r="AA349" s="48">
        <v>682.51107730333854</v>
      </c>
      <c r="AB349" s="48">
        <v>511.32415949111777</v>
      </c>
      <c r="AC349" s="48">
        <v>396.07684548187785</v>
      </c>
      <c r="AD349" s="48">
        <v>341.54985752331612</v>
      </c>
      <c r="AE349" s="48">
        <v>142.5916760764793</v>
      </c>
      <c r="AF349" s="48">
        <v>40.392776377544955</v>
      </c>
      <c r="AG349" s="48">
        <v>83.592862671396645</v>
      </c>
      <c r="AH349" s="48">
        <v>54.524374357839626</v>
      </c>
      <c r="AI349" s="48">
        <v>108.73669164330369</v>
      </c>
      <c r="AJ349" s="48">
        <v>230.1941820015077</v>
      </c>
      <c r="AK349" s="48">
        <v>452.18707135400194</v>
      </c>
      <c r="AL349" s="48">
        <v>805.46677586630335</v>
      </c>
      <c r="AM349" s="38"/>
      <c r="AN349" s="38"/>
      <c r="AO349" s="38"/>
      <c r="AP349" s="38"/>
      <c r="AQ349" s="38"/>
      <c r="AR349" s="38"/>
      <c r="AS349" s="50"/>
      <c r="AT349" s="38"/>
      <c r="AU349" s="38"/>
      <c r="AV349" s="38"/>
      <c r="AW349" s="38"/>
      <c r="AX349" s="38"/>
      <c r="AY349" s="38"/>
      <c r="AZ349" s="50"/>
      <c r="BA349" s="38"/>
      <c r="BB349" s="38"/>
      <c r="BC349" s="38"/>
      <c r="BD349" s="38"/>
      <c r="BE349" s="38"/>
      <c r="BF349" s="38"/>
      <c r="BG349" s="38"/>
      <c r="BH349" s="50"/>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50"/>
      <c r="CE349" s="38"/>
      <c r="CF349" s="38"/>
      <c r="CG349" s="38"/>
      <c r="CH349" s="38"/>
      <c r="CI349" s="38"/>
      <c r="CJ349" s="38"/>
      <c r="CK349" s="38"/>
      <c r="CL349" s="38"/>
      <c r="CM349" s="38"/>
      <c r="CN349" s="38"/>
      <c r="CO349" s="38"/>
      <c r="CP349" s="38"/>
      <c r="CQ349" s="38"/>
      <c r="CR349" s="38"/>
      <c r="CS349" s="38"/>
      <c r="CT349" s="38"/>
      <c r="CU349" s="38"/>
      <c r="CV349" s="38"/>
      <c r="CW349" s="50"/>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row>
    <row r="350" spans="1:131">
      <c r="A350" s="27"/>
      <c r="B350" s="27" t="s">
        <v>1595</v>
      </c>
      <c r="C350" s="38">
        <v>1430.1806332760389</v>
      </c>
      <c r="D350" s="38">
        <v>688.8802831401041</v>
      </c>
      <c r="E350" s="38">
        <v>137.77605662802083</v>
      </c>
      <c r="F350" s="38">
        <v>826.65633976812489</v>
      </c>
      <c r="G350" s="38">
        <v>597.08935145890302</v>
      </c>
      <c r="H350" s="38">
        <v>1328.700670429286</v>
      </c>
      <c r="I350" s="38">
        <v>5063.3530953226746</v>
      </c>
      <c r="J350" s="38">
        <v>-4.2060098482085699</v>
      </c>
      <c r="K350" s="38">
        <v>1.0991025649408628</v>
      </c>
      <c r="L350" s="49">
        <v>2.2252962093241062</v>
      </c>
      <c r="M350" s="38">
        <v>13.586885236488079</v>
      </c>
      <c r="N350" s="48">
        <v>142.96612271711675</v>
      </c>
      <c r="O350" s="48">
        <v>104.30805541259093</v>
      </c>
      <c r="P350" s="48">
        <v>94.519164636627607</v>
      </c>
      <c r="Q350" s="48">
        <v>76.87784950809376</v>
      </c>
      <c r="R350" s="48">
        <v>36.814820482713046</v>
      </c>
      <c r="S350" s="48">
        <v>14.917675299203953</v>
      </c>
      <c r="T350" s="48">
        <v>44.533483967347806</v>
      </c>
      <c r="U350" s="48">
        <v>44.260974043394356</v>
      </c>
      <c r="V350" s="48">
        <v>34.488213502054599</v>
      </c>
      <c r="W350" s="48">
        <v>61.369899308203827</v>
      </c>
      <c r="X350" s="48">
        <v>92.022421717098936</v>
      </c>
      <c r="Y350" s="48">
        <v>166.61320276774543</v>
      </c>
      <c r="Z350" s="48"/>
      <c r="AA350" s="48">
        <v>90.875515367707493</v>
      </c>
      <c r="AB350" s="48">
        <v>68.082186588545625</v>
      </c>
      <c r="AC350" s="48">
        <v>52.737147652746863</v>
      </c>
      <c r="AD350" s="48">
        <v>45.517908069604303</v>
      </c>
      <c r="AE350" s="48">
        <v>19.185770876276543</v>
      </c>
      <c r="AF350" s="48">
        <v>5.5369798206130252</v>
      </c>
      <c r="AG350" s="48">
        <v>12.761778766333265</v>
      </c>
      <c r="AH350" s="48">
        <v>8.3208142622270689</v>
      </c>
      <c r="AI350" s="48">
        <v>15.257884386625253</v>
      </c>
      <c r="AJ350" s="48">
        <v>30.757692226174807</v>
      </c>
      <c r="AK350" s="48">
        <v>60.208155615979535</v>
      </c>
      <c r="AL350" s="48">
        <v>107.24691628101434</v>
      </c>
      <c r="AM350" s="38"/>
      <c r="AN350" s="38"/>
      <c r="AO350" s="38"/>
      <c r="AP350" s="38"/>
      <c r="AQ350" s="38"/>
      <c r="AR350" s="38"/>
      <c r="AS350" s="50"/>
      <c r="AT350" s="38"/>
      <c r="AU350" s="38"/>
      <c r="AV350" s="38"/>
      <c r="AW350" s="38"/>
      <c r="AX350" s="38"/>
      <c r="AY350" s="38"/>
      <c r="AZ350" s="50"/>
      <c r="BA350" s="38"/>
      <c r="BB350" s="38"/>
      <c r="BC350" s="38"/>
      <c r="BD350" s="38"/>
      <c r="BE350" s="38"/>
      <c r="BF350" s="38"/>
      <c r="BG350" s="38"/>
      <c r="BH350" s="50"/>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50"/>
      <c r="CE350" s="38"/>
      <c r="CF350" s="38"/>
      <c r="CG350" s="38"/>
      <c r="CH350" s="38"/>
      <c r="CI350" s="38"/>
      <c r="CJ350" s="38"/>
      <c r="CK350" s="38"/>
      <c r="CL350" s="38"/>
      <c r="CM350" s="38"/>
      <c r="CN350" s="38"/>
      <c r="CO350" s="38"/>
      <c r="CP350" s="38"/>
      <c r="CQ350" s="38"/>
      <c r="CR350" s="38"/>
      <c r="CS350" s="38"/>
      <c r="CT350" s="38"/>
      <c r="CU350" s="38"/>
      <c r="CV350" s="38"/>
      <c r="CW350" s="50"/>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row>
    <row r="351" spans="1:131">
      <c r="A351" s="27"/>
      <c r="B351" s="27" t="s">
        <v>255</v>
      </c>
      <c r="C351" s="38">
        <v>2097.1194476255951</v>
      </c>
      <c r="D351" s="38">
        <v>1629.9712824209014</v>
      </c>
      <c r="E351" s="38">
        <v>325.99425648418026</v>
      </c>
      <c r="F351" s="38">
        <v>1955.9655389050818</v>
      </c>
      <c r="G351" s="38">
        <v>1412.783207382633</v>
      </c>
      <c r="H351" s="38">
        <v>2022.7557519801001</v>
      </c>
      <c r="I351" s="38">
        <v>8170.3777723335224</v>
      </c>
      <c r="J351" s="38">
        <v>7.9761007234756685</v>
      </c>
      <c r="K351" s="38">
        <v>17.346949110584685</v>
      </c>
      <c r="L351" s="49">
        <v>1.43322215656924</v>
      </c>
      <c r="M351" s="38">
        <v>19.92281988891348</v>
      </c>
      <c r="N351" s="48">
        <v>222.11250940975975</v>
      </c>
      <c r="O351" s="48">
        <v>162.05324379667897</v>
      </c>
      <c r="P351" s="48">
        <v>146.84519972815957</v>
      </c>
      <c r="Q351" s="48">
        <v>118.4929147116801</v>
      </c>
      <c r="R351" s="48">
        <v>52.434972389256814</v>
      </c>
      <c r="S351" s="48">
        <v>17.905269613320961</v>
      </c>
      <c r="T351" s="48">
        <v>33.120986265953569</v>
      </c>
      <c r="U351" s="48">
        <v>32.641613598230521</v>
      </c>
      <c r="V351" s="48">
        <v>38.655718929995516</v>
      </c>
      <c r="W351" s="48">
        <v>92.628705667312872</v>
      </c>
      <c r="X351" s="48">
        <v>142.96625397046529</v>
      </c>
      <c r="Y351" s="48">
        <v>258.85066940484626</v>
      </c>
      <c r="Z351" s="48"/>
      <c r="AA351" s="48">
        <v>141.18441752921706</v>
      </c>
      <c r="AB351" s="48">
        <v>105.77264754676651</v>
      </c>
      <c r="AC351" s="48">
        <v>81.932558438630764</v>
      </c>
      <c r="AD351" s="48">
        <v>70.469612689333843</v>
      </c>
      <c r="AE351" s="48">
        <v>28.601316536598215</v>
      </c>
      <c r="AF351" s="48">
        <v>7.6446677315719693</v>
      </c>
      <c r="AG351" s="48">
        <v>9.9842205721491908</v>
      </c>
      <c r="AH351" s="48">
        <v>6.5266428885415699</v>
      </c>
      <c r="AI351" s="48">
        <v>19.000726206073409</v>
      </c>
      <c r="AJ351" s="48">
        <v>47.135980708075081</v>
      </c>
      <c r="AK351" s="48">
        <v>93.539534238186633</v>
      </c>
      <c r="AL351" s="48">
        <v>166.61906505479101</v>
      </c>
      <c r="AM351" s="38"/>
      <c r="AN351" s="38"/>
      <c r="AO351" s="38"/>
      <c r="AP351" s="38"/>
      <c r="AQ351" s="38"/>
      <c r="AR351" s="38"/>
      <c r="AS351" s="50"/>
      <c r="AT351" s="38"/>
      <c r="AU351" s="38"/>
      <c r="AV351" s="38"/>
      <c r="AW351" s="38"/>
      <c r="AX351" s="38"/>
      <c r="AY351" s="38"/>
      <c r="AZ351" s="50"/>
      <c r="BA351" s="38"/>
      <c r="BB351" s="38"/>
      <c r="BC351" s="38"/>
      <c r="BD351" s="38"/>
      <c r="BE351" s="38"/>
      <c r="BF351" s="38"/>
      <c r="BG351" s="38"/>
      <c r="BH351" s="50"/>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50"/>
      <c r="CE351" s="38"/>
      <c r="CF351" s="38"/>
      <c r="CG351" s="38"/>
      <c r="CH351" s="38"/>
      <c r="CI351" s="38"/>
      <c r="CJ351" s="38"/>
      <c r="CK351" s="38"/>
      <c r="CL351" s="38"/>
      <c r="CM351" s="38"/>
      <c r="CN351" s="38"/>
      <c r="CO351" s="38"/>
      <c r="CP351" s="38"/>
      <c r="CQ351" s="38"/>
      <c r="CR351" s="38"/>
      <c r="CS351" s="38"/>
      <c r="CT351" s="38"/>
      <c r="CU351" s="38"/>
      <c r="CV351" s="38"/>
      <c r="CW351" s="50"/>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row>
    <row r="352" spans="1:131">
      <c r="A352" s="27"/>
      <c r="B352" s="27" t="s">
        <v>258</v>
      </c>
      <c r="C352" s="38">
        <v>5893.7395955367947</v>
      </c>
      <c r="D352" s="38">
        <v>5567.9730298467657</v>
      </c>
      <c r="E352" s="38">
        <v>1113.5946059693533</v>
      </c>
      <c r="F352" s="38">
        <v>6681.567635816119</v>
      </c>
      <c r="G352" s="38">
        <v>4826.0597475334016</v>
      </c>
      <c r="H352" s="38">
        <v>5894.6691318426692</v>
      </c>
      <c r="I352" s="38">
        <v>9930.9668404883632</v>
      </c>
      <c r="J352" s="38">
        <v>15.336763137253767</v>
      </c>
      <c r="K352" s="38">
        <v>25.410325875226999</v>
      </c>
      <c r="L352" s="49">
        <v>1.2280492131495651</v>
      </c>
      <c r="M352" s="38">
        <v>55.990997245381756</v>
      </c>
      <c r="N352" s="48">
        <v>633.97253700314673</v>
      </c>
      <c r="O352" s="48">
        <v>462.54624006717779</v>
      </c>
      <c r="P352" s="48">
        <v>419.13813889090403</v>
      </c>
      <c r="Q352" s="48">
        <v>337.515990571727</v>
      </c>
      <c r="R352" s="48">
        <v>146.15385026534477</v>
      </c>
      <c r="S352" s="48">
        <v>47.219955796079148</v>
      </c>
      <c r="T352" s="48">
        <v>67.941019981990365</v>
      </c>
      <c r="U352" s="48">
        <v>66.531457994112088</v>
      </c>
      <c r="V352" s="48">
        <v>99.328409602622372</v>
      </c>
      <c r="W352" s="48">
        <v>262.3861802117587</v>
      </c>
      <c r="X352" s="48">
        <v>408.06651987476687</v>
      </c>
      <c r="Y352" s="48">
        <v>738.83373801701941</v>
      </c>
      <c r="Z352" s="48"/>
      <c r="AA352" s="48">
        <v>402.98064978044096</v>
      </c>
      <c r="AB352" s="48">
        <v>301.90534467851415</v>
      </c>
      <c r="AC352" s="48">
        <v>233.85892165430158</v>
      </c>
      <c r="AD352" s="48">
        <v>200.95817309410191</v>
      </c>
      <c r="AE352" s="48">
        <v>80.747197250552261</v>
      </c>
      <c r="AF352" s="48">
        <v>21.11392173925541</v>
      </c>
      <c r="AG352" s="48">
        <v>21.239837464607344</v>
      </c>
      <c r="AH352" s="48">
        <v>13.909031224881399</v>
      </c>
      <c r="AI352" s="48">
        <v>50.764745468425808</v>
      </c>
      <c r="AJ352" s="48">
        <v>134.06079144363216</v>
      </c>
      <c r="AK352" s="48">
        <v>266.98854552885501</v>
      </c>
      <c r="AL352" s="48">
        <v>475.57839793257807</v>
      </c>
      <c r="AM352" s="38"/>
      <c r="AN352" s="38"/>
      <c r="AO352" s="38"/>
      <c r="AP352" s="38"/>
      <c r="AQ352" s="38"/>
      <c r="AR352" s="38"/>
      <c r="AS352" s="50"/>
      <c r="AT352" s="38"/>
      <c r="AU352" s="38"/>
      <c r="AV352" s="38"/>
      <c r="AW352" s="38"/>
      <c r="AX352" s="38"/>
      <c r="AY352" s="38"/>
      <c r="AZ352" s="50"/>
      <c r="BA352" s="38"/>
      <c r="BB352" s="38"/>
      <c r="BC352" s="38"/>
      <c r="BD352" s="38"/>
      <c r="BE352" s="38"/>
      <c r="BF352" s="38"/>
      <c r="BG352" s="38"/>
      <c r="BH352" s="50"/>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50"/>
      <c r="CE352" s="38"/>
      <c r="CF352" s="38"/>
      <c r="CG352" s="38"/>
      <c r="CH352" s="38"/>
      <c r="CI352" s="38"/>
      <c r="CJ352" s="38"/>
      <c r="CK352" s="38"/>
      <c r="CL352" s="38"/>
      <c r="CM352" s="38"/>
      <c r="CN352" s="38"/>
      <c r="CO352" s="38"/>
      <c r="CP352" s="38"/>
      <c r="CQ352" s="38"/>
      <c r="CR352" s="38"/>
      <c r="CS352" s="38"/>
      <c r="CT352" s="38"/>
      <c r="CU352" s="38"/>
      <c r="CV352" s="38"/>
      <c r="CW352" s="50"/>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row>
    <row r="353" spans="1:131">
      <c r="A353" s="27"/>
      <c r="B353" s="27" t="s">
        <v>261</v>
      </c>
      <c r="C353" s="38">
        <v>1895.6815002673543</v>
      </c>
      <c r="D353" s="38">
        <v>2008.2415864598097</v>
      </c>
      <c r="E353" s="38">
        <v>401.64831729196197</v>
      </c>
      <c r="F353" s="38">
        <v>2409.8899037517717</v>
      </c>
      <c r="G353" s="38">
        <v>1740.6502926259745</v>
      </c>
      <c r="H353" s="38">
        <v>1894.4230599925177</v>
      </c>
      <c r="I353" s="38">
        <v>11136.17216493816</v>
      </c>
      <c r="J353" s="38">
        <v>19.049431364093522</v>
      </c>
      <c r="K353" s="38">
        <v>32.79222713533963</v>
      </c>
      <c r="L353" s="49">
        <v>1.08966189132452</v>
      </c>
      <c r="M353" s="38">
        <v>18.009067315664478</v>
      </c>
      <c r="N353" s="48">
        <v>215.49100641090138</v>
      </c>
      <c r="O353" s="48">
        <v>157.22219649265315</v>
      </c>
      <c r="P353" s="48">
        <v>142.467526750839</v>
      </c>
      <c r="Q353" s="48">
        <v>113.90899411142891</v>
      </c>
      <c r="R353" s="48">
        <v>45.573112038803231</v>
      </c>
      <c r="S353" s="48">
        <v>11.504873880360783</v>
      </c>
      <c r="T353" s="48">
        <v>-8.0091869819638823</v>
      </c>
      <c r="U353" s="48">
        <v>-8.5365989832030778</v>
      </c>
      <c r="V353" s="48">
        <v>20.891136054792248</v>
      </c>
      <c r="W353" s="48">
        <v>86.844642856204302</v>
      </c>
      <c r="X353" s="48">
        <v>138.70421811342777</v>
      </c>
      <c r="Y353" s="48">
        <v>251.13394742338113</v>
      </c>
      <c r="Z353" s="48"/>
      <c r="AA353" s="48">
        <v>136.97550085655396</v>
      </c>
      <c r="AB353" s="48">
        <v>102.61940820518566</v>
      </c>
      <c r="AC353" s="48">
        <v>79.490027476069457</v>
      </c>
      <c r="AD353" s="48">
        <v>68.09376038267672</v>
      </c>
      <c r="AE353" s="48">
        <v>26.406645316390186</v>
      </c>
      <c r="AF353" s="48">
        <v>6.3509377973844447</v>
      </c>
      <c r="AG353" s="48">
        <v>-1.2683961265426955</v>
      </c>
      <c r="AH353" s="48">
        <v>-0.7919557950987961</v>
      </c>
      <c r="AI353" s="48">
        <v>13.198655654728935</v>
      </c>
      <c r="AJ353" s="48">
        <v>45.008162348730295</v>
      </c>
      <c r="AK353" s="48">
        <v>90.750982129546372</v>
      </c>
      <c r="AL353" s="48">
        <v>161.65190385410455</v>
      </c>
      <c r="AM353" s="38"/>
      <c r="AN353" s="38"/>
      <c r="AO353" s="38"/>
      <c r="AP353" s="38"/>
      <c r="AQ353" s="38"/>
      <c r="AR353" s="38"/>
      <c r="AS353" s="50"/>
      <c r="AT353" s="38"/>
      <c r="AU353" s="38"/>
      <c r="AV353" s="38"/>
      <c r="AW353" s="38"/>
      <c r="AX353" s="38"/>
      <c r="AY353" s="38"/>
      <c r="AZ353" s="50"/>
      <c r="BA353" s="38"/>
      <c r="BB353" s="38"/>
      <c r="BC353" s="38"/>
      <c r="BD353" s="38"/>
      <c r="BE353" s="38"/>
      <c r="BF353" s="38"/>
      <c r="BG353" s="38"/>
      <c r="BH353" s="50"/>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50"/>
      <c r="CE353" s="38"/>
      <c r="CF353" s="38"/>
      <c r="CG353" s="38"/>
      <c r="CH353" s="38"/>
      <c r="CI353" s="38"/>
      <c r="CJ353" s="38"/>
      <c r="CK353" s="38"/>
      <c r="CL353" s="38"/>
      <c r="CM353" s="38"/>
      <c r="CN353" s="38"/>
      <c r="CO353" s="38"/>
      <c r="CP353" s="38"/>
      <c r="CQ353" s="38"/>
      <c r="CR353" s="38"/>
      <c r="CS353" s="38"/>
      <c r="CT353" s="38"/>
      <c r="CU353" s="38"/>
      <c r="CV353" s="38"/>
      <c r="CW353" s="50"/>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row>
    <row r="354" spans="1:131">
      <c r="A354" s="27"/>
      <c r="B354" s="27" t="s">
        <v>264</v>
      </c>
      <c r="C354" s="38">
        <v>5022.1798308506231</v>
      </c>
      <c r="D354" s="38">
        <v>6262.2584919479268</v>
      </c>
      <c r="E354" s="38">
        <v>1252.4516983895853</v>
      </c>
      <c r="F354" s="38">
        <v>7514.7101903375124</v>
      </c>
      <c r="G354" s="38">
        <v>5427.8340564215769</v>
      </c>
      <c r="H354" s="38">
        <v>5054.1231570082537</v>
      </c>
      <c r="I354" s="38">
        <v>13107.627262364867</v>
      </c>
      <c r="J354" s="38">
        <v>27.863895946997673</v>
      </c>
      <c r="K354" s="38">
        <v>44.235907736992537</v>
      </c>
      <c r="L354" s="50">
        <v>0.93179904752381892</v>
      </c>
      <c r="M354" s="38">
        <v>47.710962420680858</v>
      </c>
      <c r="N354" s="48">
        <v>569.4137142085109</v>
      </c>
      <c r="O354" s="48">
        <v>415.44413547447715</v>
      </c>
      <c r="P354" s="48">
        <v>376.4563770545912</v>
      </c>
      <c r="Q354" s="48">
        <v>301.09188565398586</v>
      </c>
      <c r="R354" s="48">
        <v>120.9193883066438</v>
      </c>
      <c r="S354" s="48">
        <v>30.950693788323967</v>
      </c>
      <c r="T354" s="48">
        <v>-17.398695758831291</v>
      </c>
      <c r="U354" s="48">
        <v>-18.786484282594881</v>
      </c>
      <c r="V354" s="48">
        <v>56.760739561408407</v>
      </c>
      <c r="W354" s="48">
        <v>229.76187712006924</v>
      </c>
      <c r="X354" s="48">
        <v>366.51220544097299</v>
      </c>
      <c r="Y354" s="48">
        <v>663.59666766565431</v>
      </c>
      <c r="Z354" s="48"/>
      <c r="AA354" s="48">
        <v>361.94424072426511</v>
      </c>
      <c r="AB354" s="48">
        <v>271.16165704184147</v>
      </c>
      <c r="AC354" s="48">
        <v>210.04455147133936</v>
      </c>
      <c r="AD354" s="48">
        <v>179.95683599478181</v>
      </c>
      <c r="AE354" s="48">
        <v>69.902815405142107</v>
      </c>
      <c r="AF354" s="48">
        <v>16.881685193024389</v>
      </c>
      <c r="AG354" s="48">
        <v>-2.324199775297104</v>
      </c>
      <c r="AH354" s="48">
        <v>-1.4245380696384364</v>
      </c>
      <c r="AI354" s="48">
        <v>35.367168276112757</v>
      </c>
      <c r="AJ354" s="48">
        <v>118.99739779638671</v>
      </c>
      <c r="AK354" s="48">
        <v>239.8005126205631</v>
      </c>
      <c r="AL354" s="48">
        <v>427.14919993889015</v>
      </c>
      <c r="AM354" s="38"/>
      <c r="AN354" s="38"/>
      <c r="AO354" s="38"/>
      <c r="AP354" s="38"/>
      <c r="AQ354" s="38"/>
      <c r="AR354" s="38"/>
      <c r="AS354" s="50"/>
      <c r="AT354" s="38"/>
      <c r="AU354" s="38"/>
      <c r="AV354" s="38"/>
      <c r="AW354" s="38"/>
      <c r="AX354" s="38"/>
      <c r="AY354" s="38"/>
      <c r="AZ354" s="50"/>
      <c r="BA354" s="38"/>
      <c r="BB354" s="38"/>
      <c r="BC354" s="38"/>
      <c r="BD354" s="38"/>
      <c r="BE354" s="38"/>
      <c r="BF354" s="38"/>
      <c r="BG354" s="38"/>
      <c r="BH354" s="50"/>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50"/>
      <c r="CE354" s="38"/>
      <c r="CF354" s="38"/>
      <c r="CG354" s="38"/>
      <c r="CH354" s="38"/>
      <c r="CI354" s="38"/>
      <c r="CJ354" s="38"/>
      <c r="CK354" s="38"/>
      <c r="CL354" s="38"/>
      <c r="CM354" s="38"/>
      <c r="CN354" s="38"/>
      <c r="CO354" s="38"/>
      <c r="CP354" s="38"/>
      <c r="CQ354" s="38"/>
      <c r="CR354" s="38"/>
      <c r="CS354" s="38"/>
      <c r="CT354" s="38"/>
      <c r="CU354" s="38"/>
      <c r="CV354" s="38"/>
      <c r="CW354" s="50"/>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row>
    <row r="355" spans="1:131">
      <c r="A355" s="27"/>
      <c r="B355" s="27" t="s">
        <v>267</v>
      </c>
      <c r="C355" s="373">
        <v>0</v>
      </c>
      <c r="D355" s="373">
        <v>0</v>
      </c>
      <c r="E355" s="373">
        <v>0</v>
      </c>
      <c r="F355" s="373">
        <v>0</v>
      </c>
      <c r="G355" s="373">
        <v>0</v>
      </c>
      <c r="H355" s="373">
        <v>0</v>
      </c>
      <c r="I355" s="373">
        <v>0</v>
      </c>
      <c r="J355" s="373">
        <v>0</v>
      </c>
      <c r="K355" s="373">
        <v>0</v>
      </c>
      <c r="L355" s="374">
        <v>0</v>
      </c>
      <c r="M355" s="373">
        <v>0</v>
      </c>
      <c r="N355" s="373">
        <v>0</v>
      </c>
      <c r="O355" s="373">
        <v>0</v>
      </c>
      <c r="P355" s="373">
        <v>0</v>
      </c>
      <c r="Q355" s="373">
        <v>0</v>
      </c>
      <c r="R355" s="373">
        <v>0</v>
      </c>
      <c r="S355" s="373">
        <v>0</v>
      </c>
      <c r="T355" s="373">
        <v>0</v>
      </c>
      <c r="U355" s="373">
        <v>0</v>
      </c>
      <c r="V355" s="373">
        <v>0</v>
      </c>
      <c r="W355" s="373">
        <v>0</v>
      </c>
      <c r="X355" s="373">
        <v>0</v>
      </c>
      <c r="Y355" s="373">
        <v>0</v>
      </c>
      <c r="Z355" s="373"/>
      <c r="AA355" s="373">
        <v>0</v>
      </c>
      <c r="AB355" s="373">
        <v>0</v>
      </c>
      <c r="AC355" s="373">
        <v>0</v>
      </c>
      <c r="AD355" s="373">
        <v>0</v>
      </c>
      <c r="AE355" s="373">
        <v>0</v>
      </c>
      <c r="AF355" s="373">
        <v>0</v>
      </c>
      <c r="AG355" s="373">
        <v>0</v>
      </c>
      <c r="AH355" s="373">
        <v>0</v>
      </c>
      <c r="AI355" s="373">
        <v>0</v>
      </c>
      <c r="AJ355" s="373">
        <v>0</v>
      </c>
      <c r="AK355" s="373">
        <v>0</v>
      </c>
      <c r="AL355" s="373">
        <v>0</v>
      </c>
      <c r="AM355" s="38"/>
      <c r="AN355" s="38"/>
      <c r="AO355" s="38"/>
      <c r="AP355" s="38"/>
      <c r="AQ355" s="38"/>
      <c r="AR355" s="38"/>
      <c r="AS355" s="50"/>
      <c r="AT355" s="38"/>
      <c r="AU355" s="38"/>
      <c r="AV355" s="38"/>
      <c r="AW355" s="38"/>
      <c r="AX355" s="38"/>
      <c r="AY355" s="38"/>
      <c r="AZ355" s="50"/>
      <c r="BA355" s="38"/>
      <c r="BB355" s="38"/>
      <c r="BC355" s="38"/>
      <c r="BD355" s="38"/>
      <c r="BE355" s="38"/>
      <c r="BF355" s="38"/>
      <c r="BG355" s="38"/>
      <c r="BH355" s="50"/>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50"/>
      <c r="CE355" s="38"/>
      <c r="CF355" s="38"/>
      <c r="CG355" s="38"/>
      <c r="CH355" s="38"/>
      <c r="CI355" s="38"/>
      <c r="CJ355" s="38"/>
      <c r="CK355" s="38"/>
      <c r="CL355" s="38"/>
      <c r="CM355" s="38"/>
      <c r="CN355" s="38"/>
      <c r="CO355" s="38"/>
      <c r="CP355" s="38"/>
      <c r="CQ355" s="38"/>
      <c r="CR355" s="38"/>
      <c r="CS355" s="38"/>
      <c r="CT355" s="38"/>
      <c r="CU355" s="38"/>
      <c r="CV355" s="38"/>
      <c r="CW355" s="50"/>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row>
    <row r="356" spans="1:131">
      <c r="A356" s="27"/>
      <c r="B356" s="27" t="s">
        <v>270</v>
      </c>
      <c r="C356" s="373">
        <v>0</v>
      </c>
      <c r="D356" s="373">
        <v>0</v>
      </c>
      <c r="E356" s="373">
        <v>0</v>
      </c>
      <c r="F356" s="373">
        <v>0</v>
      </c>
      <c r="G356" s="373">
        <v>0</v>
      </c>
      <c r="H356" s="373">
        <v>0</v>
      </c>
      <c r="I356" s="373">
        <v>0</v>
      </c>
      <c r="J356" s="373">
        <v>0</v>
      </c>
      <c r="K356" s="373">
        <v>0</v>
      </c>
      <c r="L356" s="374">
        <v>0</v>
      </c>
      <c r="M356" s="373">
        <v>0</v>
      </c>
      <c r="N356" s="373">
        <v>0</v>
      </c>
      <c r="O356" s="373">
        <v>0</v>
      </c>
      <c r="P356" s="373">
        <v>0</v>
      </c>
      <c r="Q356" s="373">
        <v>0</v>
      </c>
      <c r="R356" s="373">
        <v>0</v>
      </c>
      <c r="S356" s="373">
        <v>0</v>
      </c>
      <c r="T356" s="373">
        <v>0</v>
      </c>
      <c r="U356" s="373">
        <v>0</v>
      </c>
      <c r="V356" s="373">
        <v>0</v>
      </c>
      <c r="W356" s="373">
        <v>0</v>
      </c>
      <c r="X356" s="373">
        <v>0</v>
      </c>
      <c r="Y356" s="373">
        <v>0</v>
      </c>
      <c r="Z356" s="373"/>
      <c r="AA356" s="373">
        <v>0</v>
      </c>
      <c r="AB356" s="373">
        <v>0</v>
      </c>
      <c r="AC356" s="373">
        <v>0</v>
      </c>
      <c r="AD356" s="373">
        <v>0</v>
      </c>
      <c r="AE356" s="373">
        <v>0</v>
      </c>
      <c r="AF356" s="373">
        <v>0</v>
      </c>
      <c r="AG356" s="373">
        <v>0</v>
      </c>
      <c r="AH356" s="373">
        <v>0</v>
      </c>
      <c r="AI356" s="373">
        <v>0</v>
      </c>
      <c r="AJ356" s="373">
        <v>0</v>
      </c>
      <c r="AK356" s="373">
        <v>0</v>
      </c>
      <c r="AL356" s="373">
        <v>0</v>
      </c>
      <c r="AM356" s="38"/>
      <c r="AN356" s="38"/>
      <c r="AO356" s="38"/>
      <c r="AP356" s="38"/>
      <c r="AQ356" s="38"/>
      <c r="AR356" s="38"/>
      <c r="AS356" s="50"/>
      <c r="AT356" s="38"/>
      <c r="AU356" s="38"/>
      <c r="AV356" s="38"/>
      <c r="AW356" s="38"/>
      <c r="AX356" s="38"/>
      <c r="AY356" s="38"/>
      <c r="AZ356" s="50"/>
      <c r="BA356" s="38"/>
      <c r="BB356" s="38"/>
      <c r="BC356" s="38"/>
      <c r="BD356" s="38"/>
      <c r="BE356" s="38"/>
      <c r="BF356" s="38"/>
      <c r="BG356" s="38"/>
      <c r="BH356" s="50"/>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50"/>
      <c r="CE356" s="38"/>
      <c r="CF356" s="38"/>
      <c r="CG356" s="38"/>
      <c r="CH356" s="38"/>
      <c r="CI356" s="38"/>
      <c r="CJ356" s="38"/>
      <c r="CK356" s="38"/>
      <c r="CL356" s="38"/>
      <c r="CM356" s="38"/>
      <c r="CN356" s="38"/>
      <c r="CO356" s="38"/>
      <c r="CP356" s="38"/>
      <c r="CQ356" s="38"/>
      <c r="CR356" s="38"/>
      <c r="CS356" s="38"/>
      <c r="CT356" s="38"/>
      <c r="CU356" s="38"/>
      <c r="CV356" s="38"/>
      <c r="CW356" s="50"/>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row>
    <row r="357" spans="1:131">
      <c r="A357" s="27"/>
      <c r="B357" s="27" t="s">
        <v>273</v>
      </c>
      <c r="C357" s="38">
        <v>541.31676816379593</v>
      </c>
      <c r="D357" s="38">
        <v>555.67373558374129</v>
      </c>
      <c r="E357" s="38">
        <v>111.13474711674826</v>
      </c>
      <c r="F357" s="38">
        <v>666.80848270048955</v>
      </c>
      <c r="G357" s="38">
        <v>801.77306715660711</v>
      </c>
      <c r="H357" s="38">
        <v>564.60838971856299</v>
      </c>
      <c r="I357" s="38">
        <v>10790.802450606516</v>
      </c>
      <c r="J357" s="38">
        <v>35.393658488393733</v>
      </c>
      <c r="K357" s="38">
        <v>70.994917943067094</v>
      </c>
      <c r="L357" s="50">
        <v>0.70419974534799423</v>
      </c>
      <c r="M357" s="38">
        <v>5.1425432019382198</v>
      </c>
      <c r="N357" s="48">
        <v>60.082290235900736</v>
      </c>
      <c r="O357" s="48">
        <v>43.836027305868704</v>
      </c>
      <c r="P357" s="48">
        <v>39.722192744846886</v>
      </c>
      <c r="Q357" s="48">
        <v>31.856285221605336</v>
      </c>
      <c r="R357" s="48">
        <v>13.193610857317926</v>
      </c>
      <c r="S357" s="48">
        <v>3.7470574628364783</v>
      </c>
      <c r="T357" s="48">
        <v>1.4572353176968644</v>
      </c>
      <c r="U357" s="48">
        <v>1.3159145406033488</v>
      </c>
      <c r="V357" s="48">
        <v>7.3519360800703479</v>
      </c>
      <c r="W357" s="48">
        <v>24.491528930437294</v>
      </c>
      <c r="X357" s="48">
        <v>38.67292296061715</v>
      </c>
      <c r="Y357" s="48">
        <v>70.020104172735913</v>
      </c>
      <c r="Z357" s="48"/>
      <c r="AA357" s="48">
        <v>38.190929332700961</v>
      </c>
      <c r="AB357" s="48">
        <v>28.611909008692759</v>
      </c>
      <c r="AC357" s="48">
        <v>22.163072980271352</v>
      </c>
      <c r="AD357" s="48">
        <v>19.010899236146965</v>
      </c>
      <c r="AE357" s="48">
        <v>7.485961179196214</v>
      </c>
      <c r="AF357" s="48">
        <v>1.8687233489754458</v>
      </c>
      <c r="AG357" s="48">
        <v>0.6534407997484879</v>
      </c>
      <c r="AH357" s="48">
        <v>0.43410166915411236</v>
      </c>
      <c r="AI357" s="48">
        <v>4.1613043740450602</v>
      </c>
      <c r="AJ357" s="48">
        <v>12.6154161536233</v>
      </c>
      <c r="AK357" s="48">
        <v>25.302804689229063</v>
      </c>
      <c r="AL357" s="48">
        <v>45.071099561475208</v>
      </c>
      <c r="AM357" s="38"/>
      <c r="AN357" s="38"/>
      <c r="AO357" s="38"/>
      <c r="AP357" s="38"/>
      <c r="AQ357" s="38"/>
      <c r="AR357" s="38"/>
      <c r="AS357" s="50"/>
      <c r="AT357" s="38"/>
      <c r="AU357" s="38"/>
      <c r="AV357" s="38"/>
      <c r="AW357" s="38"/>
      <c r="AX357" s="38"/>
      <c r="AY357" s="38"/>
      <c r="AZ357" s="50"/>
      <c r="BA357" s="38"/>
      <c r="BB357" s="38"/>
      <c r="BC357" s="38"/>
      <c r="BD357" s="38"/>
      <c r="BE357" s="38"/>
      <c r="BF357" s="38"/>
      <c r="BG357" s="38"/>
      <c r="BH357" s="50"/>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50"/>
      <c r="CE357" s="38"/>
      <c r="CF357" s="38"/>
      <c r="CG357" s="38"/>
      <c r="CH357" s="38"/>
      <c r="CI357" s="38"/>
      <c r="CJ357" s="38"/>
      <c r="CK357" s="38"/>
      <c r="CL357" s="38"/>
      <c r="CM357" s="38"/>
      <c r="CN357" s="38"/>
      <c r="CO357" s="38"/>
      <c r="CP357" s="38"/>
      <c r="CQ357" s="38"/>
      <c r="CR357" s="38"/>
      <c r="CS357" s="38"/>
      <c r="CT357" s="38"/>
      <c r="CU357" s="38"/>
      <c r="CV357" s="38"/>
      <c r="CW357" s="50"/>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row>
    <row r="358" spans="1:131">
      <c r="A358" s="27"/>
      <c r="B358" s="27" t="s">
        <v>276</v>
      </c>
      <c r="C358" s="38">
        <v>1492.9793642448431</v>
      </c>
      <c r="D358" s="38">
        <v>2794.3183864661714</v>
      </c>
      <c r="E358" s="38">
        <v>558.86367729323433</v>
      </c>
      <c r="F358" s="38">
        <v>3353.1820637594055</v>
      </c>
      <c r="G358" s="38">
        <v>2421.9850589125444</v>
      </c>
      <c r="H358" s="38">
        <v>1497.0446643013925</v>
      </c>
      <c r="I358" s="38">
        <v>19674.669042321195</v>
      </c>
      <c r="J358" s="38">
        <v>59.348885488548383</v>
      </c>
      <c r="K358" s="38">
        <v>84.332667630821348</v>
      </c>
      <c r="L358" s="50">
        <v>0.61859096835541183</v>
      </c>
      <c r="M358" s="38">
        <v>14.183446940939092</v>
      </c>
      <c r="N358" s="48">
        <v>155.91220854774713</v>
      </c>
      <c r="O358" s="48">
        <v>113.75351712431068</v>
      </c>
      <c r="P358" s="48">
        <v>103.07820781951139</v>
      </c>
      <c r="Q358" s="48">
        <v>83.334493622471328</v>
      </c>
      <c r="R358" s="48">
        <v>37.604101396944557</v>
      </c>
      <c r="S358" s="48">
        <v>13.451379216147203</v>
      </c>
      <c r="T358" s="48">
        <v>29.289605167059591</v>
      </c>
      <c r="U358" s="48">
        <v>28.962487612522022</v>
      </c>
      <c r="V358" s="48">
        <v>29.63407483331325</v>
      </c>
      <c r="W358" s="48">
        <v>65.475678414965671</v>
      </c>
      <c r="X358" s="48">
        <v>100.3553760369785</v>
      </c>
      <c r="Y358" s="48">
        <v>181.70061496409795</v>
      </c>
      <c r="Z358" s="48"/>
      <c r="AA358" s="48">
        <v>99.104613279112598</v>
      </c>
      <c r="AB358" s="48">
        <v>74.24726831812643</v>
      </c>
      <c r="AC358" s="48">
        <v>57.512682073065491</v>
      </c>
      <c r="AD358" s="48">
        <v>49.507636684033407</v>
      </c>
      <c r="AE358" s="48">
        <v>20.278671058143853</v>
      </c>
      <c r="AF358" s="48">
        <v>5.5265614016578297</v>
      </c>
      <c r="AG358" s="48">
        <v>8.6568316284091864</v>
      </c>
      <c r="AH358" s="48">
        <v>5.6533384489329386</v>
      </c>
      <c r="AI358" s="48">
        <v>14.125392789079925</v>
      </c>
      <c r="AJ358" s="48">
        <v>33.195905500785713</v>
      </c>
      <c r="AK358" s="48">
        <v>65.66021611461052</v>
      </c>
      <c r="AL358" s="48">
        <v>116.9585021928159</v>
      </c>
      <c r="AM358" s="38"/>
      <c r="AN358" s="38"/>
      <c r="AO358" s="38"/>
      <c r="AP358" s="38"/>
      <c r="AQ358" s="38"/>
      <c r="AR358" s="38"/>
      <c r="AS358" s="50"/>
      <c r="AT358" s="38"/>
      <c r="AU358" s="38"/>
      <c r="AV358" s="38"/>
      <c r="AW358" s="38"/>
      <c r="AX358" s="38"/>
      <c r="AY358" s="38"/>
      <c r="AZ358" s="50"/>
      <c r="BA358" s="38"/>
      <c r="BB358" s="38"/>
      <c r="BC358" s="38"/>
      <c r="BD358" s="38"/>
      <c r="BE358" s="38"/>
      <c r="BF358" s="38"/>
      <c r="BG358" s="38"/>
      <c r="BH358" s="50"/>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50"/>
      <c r="CE358" s="38"/>
      <c r="CF358" s="38"/>
      <c r="CG358" s="38"/>
      <c r="CH358" s="38"/>
      <c r="CI358" s="38"/>
      <c r="CJ358" s="38"/>
      <c r="CK358" s="38"/>
      <c r="CL358" s="38"/>
      <c r="CM358" s="38"/>
      <c r="CN358" s="38"/>
      <c r="CO358" s="38"/>
      <c r="CP358" s="38"/>
      <c r="CQ358" s="38"/>
      <c r="CR358" s="38"/>
      <c r="CS358" s="38"/>
      <c r="CT358" s="38"/>
      <c r="CU358" s="38"/>
      <c r="CV358" s="38"/>
      <c r="CW358" s="50"/>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row>
    <row r="359" spans="1:131">
      <c r="A359" s="27"/>
      <c r="B359" s="27" t="s">
        <v>279</v>
      </c>
      <c r="C359" s="38">
        <v>3008.0270489519562</v>
      </c>
      <c r="D359" s="38">
        <v>5424.9368304231957</v>
      </c>
      <c r="E359" s="38">
        <v>1084.9873660846392</v>
      </c>
      <c r="F359" s="38">
        <v>6509.9241965078345</v>
      </c>
      <c r="G359" s="38">
        <v>5346.2465916119709</v>
      </c>
      <c r="H359" s="38">
        <v>3047.8369526905817</v>
      </c>
      <c r="I359" s="38">
        <v>18958.252380502265</v>
      </c>
      <c r="J359" s="38">
        <v>62.034285624264633</v>
      </c>
      <c r="K359" s="38">
        <v>94.972083665200216</v>
      </c>
      <c r="L359" s="50">
        <v>0.57044820674544061</v>
      </c>
      <c r="M359" s="38">
        <v>28.576524891906544</v>
      </c>
      <c r="N359" s="48">
        <v>318.11936315103156</v>
      </c>
      <c r="O359" s="48">
        <v>232.09982567012111</v>
      </c>
      <c r="P359" s="48">
        <v>210.31819208853395</v>
      </c>
      <c r="Q359" s="48">
        <v>169.7443994580949</v>
      </c>
      <c r="R359" s="48">
        <v>75.269030555389918</v>
      </c>
      <c r="S359" s="48">
        <v>25.832212790269008</v>
      </c>
      <c r="T359" s="48">
        <v>48.720281425126259</v>
      </c>
      <c r="U359" s="48">
        <v>48.035694715085086</v>
      </c>
      <c r="V359" s="48">
        <v>55.895346874080523</v>
      </c>
      <c r="W359" s="48">
        <v>132.76353306224465</v>
      </c>
      <c r="X359" s="48">
        <v>204.76259435379023</v>
      </c>
      <c r="Y359" s="48">
        <v>370.73738134386048</v>
      </c>
      <c r="Z359" s="48"/>
      <c r="AA359" s="48">
        <v>202.21056936683436</v>
      </c>
      <c r="AB359" s="48">
        <v>151.49226563507261</v>
      </c>
      <c r="AC359" s="48">
        <v>117.34743523043832</v>
      </c>
      <c r="AD359" s="48">
        <v>100.93848755353737</v>
      </c>
      <c r="AE359" s="48">
        <v>41.006961255681034</v>
      </c>
      <c r="AF359" s="48">
        <v>10.983094680214709</v>
      </c>
      <c r="AG359" s="48">
        <v>14.649956810001125</v>
      </c>
      <c r="AH359" s="48">
        <v>9.5754264425492828</v>
      </c>
      <c r="AI359" s="48">
        <v>27.381008370843627</v>
      </c>
      <c r="AJ359" s="48">
        <v>67.533331721296079</v>
      </c>
      <c r="AK359" s="48">
        <v>133.97145951108919</v>
      </c>
      <c r="AL359" s="48">
        <v>238.63919688677095</v>
      </c>
      <c r="AM359" s="38"/>
      <c r="AN359" s="38"/>
      <c r="AO359" s="38"/>
      <c r="AP359" s="38"/>
      <c r="AQ359" s="38"/>
      <c r="AR359" s="38"/>
      <c r="AS359" s="50"/>
      <c r="AT359" s="38"/>
      <c r="AU359" s="38"/>
      <c r="AV359" s="38"/>
      <c r="AW359" s="38"/>
      <c r="AX359" s="38"/>
      <c r="AY359" s="38"/>
      <c r="AZ359" s="50"/>
      <c r="BA359" s="38"/>
      <c r="BB359" s="38"/>
      <c r="BC359" s="38"/>
      <c r="BD359" s="38"/>
      <c r="BE359" s="38"/>
      <c r="BF359" s="38"/>
      <c r="BG359" s="38"/>
      <c r="BH359" s="50"/>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50"/>
      <c r="CE359" s="38"/>
      <c r="CF359" s="38"/>
      <c r="CG359" s="38"/>
      <c r="CH359" s="38"/>
      <c r="CI359" s="38"/>
      <c r="CJ359" s="38"/>
      <c r="CK359" s="38"/>
      <c r="CL359" s="38"/>
      <c r="CM359" s="38"/>
      <c r="CN359" s="38"/>
      <c r="CO359" s="38"/>
      <c r="CP359" s="38"/>
      <c r="CQ359" s="38"/>
      <c r="CR359" s="38"/>
      <c r="CS359" s="38"/>
      <c r="CT359" s="38"/>
      <c r="CU359" s="38"/>
      <c r="CV359" s="38"/>
      <c r="CW359" s="50"/>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row>
    <row r="360" spans="1:131">
      <c r="A360" s="27"/>
      <c r="B360" s="27" t="s">
        <v>282</v>
      </c>
      <c r="C360" s="38">
        <v>548.70726903284697</v>
      </c>
      <c r="D360" s="38">
        <v>1184.0897126565405</v>
      </c>
      <c r="E360" s="38">
        <v>236.81794253130812</v>
      </c>
      <c r="F360" s="38">
        <v>1420.9076551878486</v>
      </c>
      <c r="G360" s="38">
        <v>1026.3138253522377</v>
      </c>
      <c r="H360" s="38">
        <v>543.18592156919749</v>
      </c>
      <c r="I360" s="38">
        <v>22684.501849929817</v>
      </c>
      <c r="J360" s="38">
        <v>73.354092109968619</v>
      </c>
      <c r="K360" s="38">
        <v>103.53052017633944</v>
      </c>
      <c r="L360" s="50">
        <v>0.52928996036868559</v>
      </c>
      <c r="M360" s="38">
        <v>5.2127785496701424</v>
      </c>
      <c r="N360" s="48">
        <v>55.926174438880395</v>
      </c>
      <c r="O360" s="48">
        <v>40.803726026253464</v>
      </c>
      <c r="P360" s="48">
        <v>36.974460724130751</v>
      </c>
      <c r="Q360" s="48">
        <v>29.992022564585838</v>
      </c>
      <c r="R360" s="48">
        <v>13.991078041260273</v>
      </c>
      <c r="S360" s="48">
        <v>5.3812692999569469</v>
      </c>
      <c r="T360" s="48">
        <v>14.312246473303084</v>
      </c>
      <c r="U360" s="48">
        <v>14.200818013375683</v>
      </c>
      <c r="V360" s="48">
        <v>12.204850178060067</v>
      </c>
      <c r="W360" s="48">
        <v>23.77290299556136</v>
      </c>
      <c r="X360" s="48">
        <v>35.9977728389673</v>
      </c>
      <c r="Y360" s="48">
        <v>65.176552771504035</v>
      </c>
      <c r="Z360" s="48"/>
      <c r="AA360" s="48">
        <v>35.549120505518758</v>
      </c>
      <c r="AB360" s="48">
        <v>26.6327166951667</v>
      </c>
      <c r="AC360" s="48">
        <v>20.62997067404833</v>
      </c>
      <c r="AD360" s="48">
        <v>17.784614651702316</v>
      </c>
      <c r="AE360" s="48">
        <v>7.4012584137855448</v>
      </c>
      <c r="AF360" s="48">
        <v>2.0834465710780052</v>
      </c>
      <c r="AG360" s="48">
        <v>4.1438831785928105</v>
      </c>
      <c r="AH360" s="48">
        <v>2.7033057358921369</v>
      </c>
      <c r="AI360" s="48">
        <v>5.5632159127696124</v>
      </c>
      <c r="AJ360" s="48">
        <v>11.975983148131581</v>
      </c>
      <c r="AK360" s="48">
        <v>23.552515446509943</v>
      </c>
      <c r="AL360" s="48">
        <v>41.953363733812054</v>
      </c>
      <c r="AM360" s="38"/>
      <c r="AN360" s="38"/>
      <c r="AO360" s="38"/>
      <c r="AP360" s="38"/>
      <c r="AQ360" s="38"/>
      <c r="AR360" s="38"/>
      <c r="AS360" s="50"/>
      <c r="AT360" s="38"/>
      <c r="AU360" s="38"/>
      <c r="AV360" s="38"/>
      <c r="AW360" s="38"/>
      <c r="AX360" s="38"/>
      <c r="AY360" s="38"/>
      <c r="AZ360" s="50"/>
      <c r="BA360" s="38"/>
      <c r="BB360" s="38"/>
      <c r="BC360" s="38"/>
      <c r="BD360" s="38"/>
      <c r="BE360" s="38"/>
      <c r="BF360" s="38"/>
      <c r="BG360" s="38"/>
      <c r="BH360" s="50"/>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50"/>
      <c r="CE360" s="38"/>
      <c r="CF360" s="38"/>
      <c r="CG360" s="38"/>
      <c r="CH360" s="38"/>
      <c r="CI360" s="38"/>
      <c r="CJ360" s="38"/>
      <c r="CK360" s="38"/>
      <c r="CL360" s="38"/>
      <c r="CM360" s="38"/>
      <c r="CN360" s="38"/>
      <c r="CO360" s="38"/>
      <c r="CP360" s="38"/>
      <c r="CQ360" s="38"/>
      <c r="CR360" s="38"/>
      <c r="CS360" s="38"/>
      <c r="CT360" s="38"/>
      <c r="CU360" s="38"/>
      <c r="CV360" s="38"/>
      <c r="CW360" s="50"/>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row>
    <row r="361" spans="1:131">
      <c r="A361" s="27"/>
      <c r="B361" s="27" t="s">
        <v>285</v>
      </c>
      <c r="C361" s="38">
        <v>1582.7287677794034</v>
      </c>
      <c r="D361" s="38">
        <v>3766.4380119402758</v>
      </c>
      <c r="E361" s="38">
        <v>753.28760238805512</v>
      </c>
      <c r="F361" s="38">
        <v>4519.7256143283312</v>
      </c>
      <c r="G361" s="38">
        <v>3264.5730831610977</v>
      </c>
      <c r="H361" s="38">
        <v>1585.3669663539199</v>
      </c>
      <c r="I361" s="38">
        <v>25015.528363122874</v>
      </c>
      <c r="J361" s="38">
        <v>83.748712894678192</v>
      </c>
      <c r="K361" s="38">
        <v>116.80962339267671</v>
      </c>
      <c r="L361" s="50">
        <v>0.4854987111260422</v>
      </c>
      <c r="M361" s="38">
        <v>15.036096863844335</v>
      </c>
      <c r="N361" s="48">
        <v>160.92874291946509</v>
      </c>
      <c r="O361" s="48">
        <v>117.41357962918602</v>
      </c>
      <c r="P361" s="48">
        <v>106.39478820355046</v>
      </c>
      <c r="Q361" s="48">
        <v>86.3315287555628</v>
      </c>
      <c r="R361" s="48">
        <v>40.405021542134946</v>
      </c>
      <c r="S361" s="48">
        <v>15.645699926260836</v>
      </c>
      <c r="T361" s="48">
        <v>42.285339046813334</v>
      </c>
      <c r="U361" s="48">
        <v>41.966411697262174</v>
      </c>
      <c r="V361" s="48">
        <v>35.575564490006329</v>
      </c>
      <c r="W361" s="48">
        <v>68.489972461548007</v>
      </c>
      <c r="X361" s="48">
        <v>103.58434827696836</v>
      </c>
      <c r="Y361" s="48">
        <v>187.5469010812659</v>
      </c>
      <c r="Z361" s="48"/>
      <c r="AA361" s="48">
        <v>102.29334175356195</v>
      </c>
      <c r="AB361" s="48">
        <v>76.636202302151062</v>
      </c>
      <c r="AC361" s="48">
        <v>59.363174405363296</v>
      </c>
      <c r="AD361" s="48">
        <v>51.183150169519898</v>
      </c>
      <c r="AE361" s="48">
        <v>21.334102870096871</v>
      </c>
      <c r="AF361" s="48">
        <v>6.024408539001886</v>
      </c>
      <c r="AG361" s="48">
        <v>12.224723820830254</v>
      </c>
      <c r="AH361" s="48">
        <v>7.9743079382570636</v>
      </c>
      <c r="AI361" s="48">
        <v>16.151940490495242</v>
      </c>
      <c r="AJ361" s="48">
        <v>34.48097271264551</v>
      </c>
      <c r="AK361" s="48">
        <v>67.772858441093263</v>
      </c>
      <c r="AL361" s="48">
        <v>120.72168630636293</v>
      </c>
      <c r="AM361" s="38"/>
      <c r="AN361" s="38"/>
      <c r="AO361" s="38"/>
      <c r="AP361" s="38"/>
      <c r="AQ361" s="38"/>
      <c r="AR361" s="38"/>
      <c r="AS361" s="50"/>
      <c r="AT361" s="38"/>
      <c r="AU361" s="38"/>
      <c r="AV361" s="38"/>
      <c r="AW361" s="38"/>
      <c r="AX361" s="38"/>
      <c r="AY361" s="38"/>
      <c r="AZ361" s="50"/>
      <c r="BA361" s="38"/>
      <c r="BB361" s="38"/>
      <c r="BC361" s="38"/>
      <c r="BD361" s="38"/>
      <c r="BE361" s="38"/>
      <c r="BF361" s="38"/>
      <c r="BG361" s="38"/>
      <c r="BH361" s="50"/>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50"/>
      <c r="CE361" s="38"/>
      <c r="CF361" s="38"/>
      <c r="CG361" s="38"/>
      <c r="CH361" s="38"/>
      <c r="CI361" s="38"/>
      <c r="CJ361" s="38"/>
      <c r="CK361" s="38"/>
      <c r="CL361" s="38"/>
      <c r="CM361" s="38"/>
      <c r="CN361" s="38"/>
      <c r="CO361" s="38"/>
      <c r="CP361" s="38"/>
      <c r="CQ361" s="38"/>
      <c r="CR361" s="38"/>
      <c r="CS361" s="38"/>
      <c r="CT361" s="38"/>
      <c r="CU361" s="38"/>
      <c r="CV361" s="38"/>
      <c r="CW361" s="50"/>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row>
    <row r="362" spans="1:131">
      <c r="A362" s="27"/>
      <c r="B362" s="27" t="s">
        <v>288</v>
      </c>
      <c r="C362" s="38">
        <v>1320.3170106133198</v>
      </c>
      <c r="D362" s="38">
        <v>3291.1704855444414</v>
      </c>
      <c r="E362" s="38">
        <v>658.23409710888836</v>
      </c>
      <c r="F362" s="38">
        <v>3949.4045826533297</v>
      </c>
      <c r="G362" s="38">
        <v>2852.633322290556</v>
      </c>
      <c r="H362" s="38">
        <v>1329.7794499187978</v>
      </c>
      <c r="I362" s="38">
        <v>26203.391962640933</v>
      </c>
      <c r="J362" s="38">
        <v>89.060275880972597</v>
      </c>
      <c r="K362" s="38">
        <v>123.61152718470946</v>
      </c>
      <c r="L362" s="50">
        <v>0.46614221326774219</v>
      </c>
      <c r="M362" s="38">
        <v>12.54315759219709</v>
      </c>
      <c r="N362" s="48">
        <v>134.00980307421963</v>
      </c>
      <c r="O362" s="48">
        <v>97.773526337806572</v>
      </c>
      <c r="P362" s="48">
        <v>88.597874789939326</v>
      </c>
      <c r="Q362" s="48">
        <v>71.908319492977824</v>
      </c>
      <c r="R362" s="48">
        <v>33.735442020203578</v>
      </c>
      <c r="S362" s="48">
        <v>13.127218133239108</v>
      </c>
      <c r="T362" s="48">
        <v>35.886930709158548</v>
      </c>
      <c r="U362" s="48">
        <v>35.622398819458255</v>
      </c>
      <c r="V362" s="48">
        <v>29.903989270513229</v>
      </c>
      <c r="W362" s="48">
        <v>57.084297344708531</v>
      </c>
      <c r="X362" s="48">
        <v>86.257543943623887</v>
      </c>
      <c r="Y362" s="48">
        <v>156.17547757555138</v>
      </c>
      <c r="Z362" s="48"/>
      <c r="AA362" s="48">
        <v>85.182487202170265</v>
      </c>
      <c r="AB362" s="48">
        <v>63.817079488446787</v>
      </c>
      <c r="AC362" s="48">
        <v>49.433352722480414</v>
      </c>
      <c r="AD362" s="48">
        <v>42.62624422525333</v>
      </c>
      <c r="AE362" s="48">
        <v>17.788054067291686</v>
      </c>
      <c r="AF362" s="48">
        <v>5.0346067784632398</v>
      </c>
      <c r="AG362" s="48">
        <v>10.364007507415076</v>
      </c>
      <c r="AH362" s="48">
        <v>6.7601744201508112</v>
      </c>
      <c r="AI362" s="48">
        <v>13.538172393830608</v>
      </c>
      <c r="AJ362" s="48">
        <v>28.725403701482584</v>
      </c>
      <c r="AK362" s="48">
        <v>56.436328580612638</v>
      </c>
      <c r="AL362" s="48">
        <v>100.52827801432244</v>
      </c>
      <c r="AM362" s="38"/>
      <c r="AN362" s="38"/>
      <c r="AO362" s="38"/>
      <c r="AP362" s="38"/>
      <c r="AQ362" s="38"/>
      <c r="AR362" s="38"/>
      <c r="AS362" s="50"/>
      <c r="AT362" s="38"/>
      <c r="AU362" s="38"/>
      <c r="AV362" s="38"/>
      <c r="AW362" s="38"/>
      <c r="AX362" s="38"/>
      <c r="AY362" s="38"/>
      <c r="AZ362" s="50"/>
      <c r="BA362" s="38"/>
      <c r="BB362" s="38"/>
      <c r="BC362" s="38"/>
      <c r="BD362" s="38"/>
      <c r="BE362" s="38"/>
      <c r="BF362" s="38"/>
      <c r="BG362" s="38"/>
      <c r="BH362" s="50"/>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50"/>
      <c r="CE362" s="38"/>
      <c r="CF362" s="38"/>
      <c r="CG362" s="38"/>
      <c r="CH362" s="38"/>
      <c r="CI362" s="38"/>
      <c r="CJ362" s="38"/>
      <c r="CK362" s="38"/>
      <c r="CL362" s="38"/>
      <c r="CM362" s="38"/>
      <c r="CN362" s="38"/>
      <c r="CO362" s="38"/>
      <c r="CP362" s="38"/>
      <c r="CQ362" s="38"/>
      <c r="CR362" s="38"/>
      <c r="CS362" s="38"/>
      <c r="CT362" s="38"/>
      <c r="CU362" s="38"/>
      <c r="CV362" s="38"/>
      <c r="CW362" s="50"/>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row>
    <row r="363" spans="1:131">
      <c r="A363" s="27"/>
      <c r="B363" s="27" t="s">
        <v>291</v>
      </c>
      <c r="C363" s="373">
        <v>0</v>
      </c>
      <c r="D363" s="373">
        <v>0</v>
      </c>
      <c r="E363" s="373">
        <v>0</v>
      </c>
      <c r="F363" s="373">
        <v>0</v>
      </c>
      <c r="G363" s="373">
        <v>0</v>
      </c>
      <c r="H363" s="373">
        <v>0</v>
      </c>
      <c r="I363" s="373">
        <v>0</v>
      </c>
      <c r="J363" s="373">
        <v>0</v>
      </c>
      <c r="K363" s="373">
        <v>0</v>
      </c>
      <c r="L363" s="374">
        <v>0</v>
      </c>
      <c r="M363" s="373">
        <v>0</v>
      </c>
      <c r="N363" s="373">
        <v>0</v>
      </c>
      <c r="O363" s="373">
        <v>0</v>
      </c>
      <c r="P363" s="373">
        <v>0</v>
      </c>
      <c r="Q363" s="373">
        <v>0</v>
      </c>
      <c r="R363" s="373">
        <v>0</v>
      </c>
      <c r="S363" s="373">
        <v>0</v>
      </c>
      <c r="T363" s="373">
        <v>0</v>
      </c>
      <c r="U363" s="373">
        <v>0</v>
      </c>
      <c r="V363" s="373">
        <v>0</v>
      </c>
      <c r="W363" s="373">
        <v>0</v>
      </c>
      <c r="X363" s="373">
        <v>0</v>
      </c>
      <c r="Y363" s="373">
        <v>0</v>
      </c>
      <c r="Z363" s="373"/>
      <c r="AA363" s="373">
        <v>0</v>
      </c>
      <c r="AB363" s="373">
        <v>0</v>
      </c>
      <c r="AC363" s="373">
        <v>0</v>
      </c>
      <c r="AD363" s="373">
        <v>0</v>
      </c>
      <c r="AE363" s="373">
        <v>0</v>
      </c>
      <c r="AF363" s="373">
        <v>0</v>
      </c>
      <c r="AG363" s="373">
        <v>0</v>
      </c>
      <c r="AH363" s="373">
        <v>0</v>
      </c>
      <c r="AI363" s="373">
        <v>0</v>
      </c>
      <c r="AJ363" s="373">
        <v>0</v>
      </c>
      <c r="AK363" s="373">
        <v>0</v>
      </c>
      <c r="AL363" s="373">
        <v>0</v>
      </c>
      <c r="AM363" s="38"/>
      <c r="AN363" s="38"/>
      <c r="AO363" s="38"/>
      <c r="AP363" s="38"/>
      <c r="AQ363" s="38"/>
      <c r="AR363" s="38"/>
      <c r="AS363" s="50"/>
      <c r="AT363" s="38"/>
      <c r="AU363" s="38"/>
      <c r="AV363" s="38"/>
      <c r="AW363" s="38"/>
      <c r="AX363" s="38"/>
      <c r="AY363" s="38"/>
      <c r="AZ363" s="50"/>
      <c r="BA363" s="38"/>
      <c r="BB363" s="38"/>
      <c r="BC363" s="38"/>
      <c r="BD363" s="38"/>
      <c r="BE363" s="38"/>
      <c r="BF363" s="38"/>
      <c r="BG363" s="38"/>
      <c r="BH363" s="50"/>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50"/>
      <c r="CE363" s="38"/>
      <c r="CF363" s="38"/>
      <c r="CG363" s="38"/>
      <c r="CH363" s="38"/>
      <c r="CI363" s="38"/>
      <c r="CJ363" s="38"/>
      <c r="CK363" s="38"/>
      <c r="CL363" s="38"/>
      <c r="CM363" s="38"/>
      <c r="CN363" s="38"/>
      <c r="CO363" s="38"/>
      <c r="CP363" s="38"/>
      <c r="CQ363" s="38"/>
      <c r="CR363" s="38"/>
      <c r="CS363" s="38"/>
      <c r="CT363" s="38"/>
      <c r="CU363" s="38"/>
      <c r="CV363" s="38"/>
      <c r="CW363" s="50"/>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row>
    <row r="364" spans="1:131">
      <c r="A364" s="27"/>
      <c r="B364" s="27" t="s">
        <v>294</v>
      </c>
      <c r="C364" s="373">
        <v>0</v>
      </c>
      <c r="D364" s="373">
        <v>0</v>
      </c>
      <c r="E364" s="373">
        <v>0</v>
      </c>
      <c r="F364" s="373">
        <v>0</v>
      </c>
      <c r="G364" s="373">
        <v>0</v>
      </c>
      <c r="H364" s="373">
        <v>0</v>
      </c>
      <c r="I364" s="373">
        <v>0</v>
      </c>
      <c r="J364" s="373">
        <v>0</v>
      </c>
      <c r="K364" s="373">
        <v>0</v>
      </c>
      <c r="L364" s="374">
        <v>0</v>
      </c>
      <c r="M364" s="373">
        <v>0</v>
      </c>
      <c r="N364" s="373">
        <v>0</v>
      </c>
      <c r="O364" s="373">
        <v>0</v>
      </c>
      <c r="P364" s="373">
        <v>0</v>
      </c>
      <c r="Q364" s="373">
        <v>0</v>
      </c>
      <c r="R364" s="373">
        <v>0</v>
      </c>
      <c r="S364" s="373">
        <v>0</v>
      </c>
      <c r="T364" s="373">
        <v>0</v>
      </c>
      <c r="U364" s="373">
        <v>0</v>
      </c>
      <c r="V364" s="373">
        <v>0</v>
      </c>
      <c r="W364" s="373">
        <v>0</v>
      </c>
      <c r="X364" s="373">
        <v>0</v>
      </c>
      <c r="Y364" s="373">
        <v>0</v>
      </c>
      <c r="Z364" s="373"/>
      <c r="AA364" s="373">
        <v>0</v>
      </c>
      <c r="AB364" s="373">
        <v>0</v>
      </c>
      <c r="AC364" s="373">
        <v>0</v>
      </c>
      <c r="AD364" s="373">
        <v>0</v>
      </c>
      <c r="AE364" s="373">
        <v>0</v>
      </c>
      <c r="AF364" s="373">
        <v>0</v>
      </c>
      <c r="AG364" s="373">
        <v>0</v>
      </c>
      <c r="AH364" s="373">
        <v>0</v>
      </c>
      <c r="AI364" s="373">
        <v>0</v>
      </c>
      <c r="AJ364" s="373">
        <v>0</v>
      </c>
      <c r="AK364" s="373">
        <v>0</v>
      </c>
      <c r="AL364" s="373">
        <v>0</v>
      </c>
      <c r="AM364" s="38"/>
      <c r="AN364" s="38"/>
      <c r="AO364" s="38"/>
      <c r="AP364" s="38"/>
      <c r="AQ364" s="38"/>
      <c r="AR364" s="38"/>
      <c r="AS364" s="50"/>
      <c r="AT364" s="38"/>
      <c r="AU364" s="38"/>
      <c r="AV364" s="38"/>
      <c r="AW364" s="38"/>
      <c r="AX364" s="38"/>
      <c r="AY364" s="38"/>
      <c r="AZ364" s="50"/>
      <c r="BA364" s="38"/>
      <c r="BB364" s="38"/>
      <c r="BC364" s="38"/>
      <c r="BD364" s="38"/>
      <c r="BE364" s="38"/>
      <c r="BF364" s="38"/>
      <c r="BG364" s="38"/>
      <c r="BH364" s="50"/>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50"/>
      <c r="CE364" s="38"/>
      <c r="CF364" s="38"/>
      <c r="CG364" s="38"/>
      <c r="CH364" s="38"/>
      <c r="CI364" s="38"/>
      <c r="CJ364" s="38"/>
      <c r="CK364" s="38"/>
      <c r="CL364" s="38"/>
      <c r="CM364" s="38"/>
      <c r="CN364" s="38"/>
      <c r="CO364" s="38"/>
      <c r="CP364" s="38"/>
      <c r="CQ364" s="38"/>
      <c r="CR364" s="38"/>
      <c r="CS364" s="38"/>
      <c r="CT364" s="38"/>
      <c r="CU364" s="38"/>
      <c r="CV364" s="38"/>
      <c r="CW364" s="50"/>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row>
    <row r="365" spans="1:131">
      <c r="A365" s="27"/>
      <c r="B365" s="27" t="s">
        <v>297</v>
      </c>
      <c r="C365" s="373">
        <v>0</v>
      </c>
      <c r="D365" s="373">
        <v>0</v>
      </c>
      <c r="E365" s="373">
        <v>0</v>
      </c>
      <c r="F365" s="373">
        <v>0</v>
      </c>
      <c r="G365" s="373">
        <v>0</v>
      </c>
      <c r="H365" s="373">
        <v>0</v>
      </c>
      <c r="I365" s="373">
        <v>0</v>
      </c>
      <c r="J365" s="373">
        <v>0</v>
      </c>
      <c r="K365" s="373">
        <v>0</v>
      </c>
      <c r="L365" s="374">
        <v>0</v>
      </c>
      <c r="M365" s="373">
        <v>0</v>
      </c>
      <c r="N365" s="373">
        <v>0</v>
      </c>
      <c r="O365" s="373">
        <v>0</v>
      </c>
      <c r="P365" s="373">
        <v>0</v>
      </c>
      <c r="Q365" s="373">
        <v>0</v>
      </c>
      <c r="R365" s="373">
        <v>0</v>
      </c>
      <c r="S365" s="373">
        <v>0</v>
      </c>
      <c r="T365" s="373">
        <v>0</v>
      </c>
      <c r="U365" s="373">
        <v>0</v>
      </c>
      <c r="V365" s="373">
        <v>0</v>
      </c>
      <c r="W365" s="373">
        <v>0</v>
      </c>
      <c r="X365" s="373">
        <v>0</v>
      </c>
      <c r="Y365" s="373">
        <v>0</v>
      </c>
      <c r="Z365" s="373"/>
      <c r="AA365" s="373">
        <v>0</v>
      </c>
      <c r="AB365" s="373">
        <v>0</v>
      </c>
      <c r="AC365" s="373">
        <v>0</v>
      </c>
      <c r="AD365" s="373">
        <v>0</v>
      </c>
      <c r="AE365" s="373">
        <v>0</v>
      </c>
      <c r="AF365" s="373">
        <v>0</v>
      </c>
      <c r="AG365" s="373">
        <v>0</v>
      </c>
      <c r="AH365" s="373">
        <v>0</v>
      </c>
      <c r="AI365" s="373">
        <v>0</v>
      </c>
      <c r="AJ365" s="373">
        <v>0</v>
      </c>
      <c r="AK365" s="373">
        <v>0</v>
      </c>
      <c r="AL365" s="373">
        <v>0</v>
      </c>
      <c r="AM365" s="38"/>
      <c r="AN365" s="38"/>
      <c r="AO365" s="38"/>
      <c r="AP365" s="38"/>
      <c r="AQ365" s="38"/>
      <c r="AR365" s="38"/>
      <c r="AS365" s="50"/>
      <c r="AT365" s="38"/>
      <c r="AU365" s="38"/>
      <c r="AV365" s="38"/>
      <c r="AW365" s="38"/>
      <c r="AX365" s="38"/>
      <c r="AY365" s="38"/>
      <c r="AZ365" s="50"/>
      <c r="BA365" s="38"/>
      <c r="BB365" s="38"/>
      <c r="BC365" s="38"/>
      <c r="BD365" s="38"/>
      <c r="BE365" s="38"/>
      <c r="BF365" s="38"/>
      <c r="BG365" s="38"/>
      <c r="BH365" s="50"/>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50"/>
      <c r="CE365" s="38"/>
      <c r="CF365" s="38"/>
      <c r="CG365" s="38"/>
      <c r="CH365" s="38"/>
      <c r="CI365" s="38"/>
      <c r="CJ365" s="38"/>
      <c r="CK365" s="38"/>
      <c r="CL365" s="38"/>
      <c r="CM365" s="38"/>
      <c r="CN365" s="38"/>
      <c r="CO365" s="38"/>
      <c r="CP365" s="38"/>
      <c r="CQ365" s="38"/>
      <c r="CR365" s="38"/>
      <c r="CS365" s="38"/>
      <c r="CT365" s="38"/>
      <c r="CU365" s="38"/>
      <c r="CV365" s="38"/>
      <c r="CW365" s="50"/>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row>
    <row r="366" spans="1:131">
      <c r="A366" s="27"/>
      <c r="B366" s="27" t="s">
        <v>300</v>
      </c>
      <c r="C366" s="38">
        <v>439.06031889213284</v>
      </c>
      <c r="D366" s="38">
        <v>1370.7558864868229</v>
      </c>
      <c r="E366" s="38">
        <v>274.1511772973646</v>
      </c>
      <c r="F366" s="38">
        <v>1644.9070637841874</v>
      </c>
      <c r="G366" s="38">
        <v>1188.1073726484233</v>
      </c>
      <c r="H366" s="38">
        <v>422.47853922372718</v>
      </c>
      <c r="I366" s="38">
        <v>32818.69314701049</v>
      </c>
      <c r="J366" s="38">
        <v>119.75274828506343</v>
      </c>
      <c r="K366" s="38">
        <v>167.04548665953993</v>
      </c>
      <c r="L366" s="50">
        <v>0.35558952747004302</v>
      </c>
      <c r="M366" s="38">
        <v>4.1711330470216472</v>
      </c>
      <c r="N366" s="48">
        <v>42.292289238303461</v>
      </c>
      <c r="O366" s="48">
        <v>30.856446027588319</v>
      </c>
      <c r="P366" s="48">
        <v>27.960692878862574</v>
      </c>
      <c r="Q366" s="48">
        <v>22.863012580170142</v>
      </c>
      <c r="R366" s="48">
        <v>11.500228817519057</v>
      </c>
      <c r="S366" s="48">
        <v>5.0879507409106015</v>
      </c>
      <c r="T366" s="48">
        <v>17.792645947224841</v>
      </c>
      <c r="U366" s="48">
        <v>17.719203524574841</v>
      </c>
      <c r="V366" s="48">
        <v>12.113676147764989</v>
      </c>
      <c r="W366" s="48">
        <v>18.502246032939613</v>
      </c>
      <c r="X366" s="48">
        <v>27.222105500960982</v>
      </c>
      <c r="Y366" s="48">
        <v>49.287576864039487</v>
      </c>
      <c r="Z366" s="48"/>
      <c r="AA366" s="48">
        <v>26.882827257025625</v>
      </c>
      <c r="AB366" s="48">
        <v>20.14009663587375</v>
      </c>
      <c r="AC366" s="48">
        <v>15.600721763618573</v>
      </c>
      <c r="AD366" s="48">
        <v>13.496770206491167</v>
      </c>
      <c r="AE366" s="48">
        <v>5.8299516443180224</v>
      </c>
      <c r="AF366" s="48">
        <v>1.7605833582852941</v>
      </c>
      <c r="AG366" s="48">
        <v>5.0356473223544951</v>
      </c>
      <c r="AH366" s="48">
        <v>3.2811403743270882</v>
      </c>
      <c r="AI366" s="48">
        <v>5.115992164496018</v>
      </c>
      <c r="AJ366" s="48">
        <v>9.1818949753947372</v>
      </c>
      <c r="AK366" s="48">
        <v>17.810797994810059</v>
      </c>
      <c r="AL366" s="48">
        <v>31.725820894279121</v>
      </c>
      <c r="AM366" s="38"/>
      <c r="AN366" s="38"/>
      <c r="AO366" s="38"/>
      <c r="AP366" s="38"/>
      <c r="AQ366" s="38"/>
      <c r="AR366" s="38"/>
      <c r="AS366" s="50"/>
      <c r="AT366" s="38"/>
      <c r="AU366" s="38"/>
      <c r="AV366" s="38"/>
      <c r="AW366" s="38"/>
      <c r="AX366" s="38"/>
      <c r="AY366" s="38"/>
      <c r="AZ366" s="50"/>
      <c r="BA366" s="38"/>
      <c r="BB366" s="38"/>
      <c r="BC366" s="38"/>
      <c r="BD366" s="38"/>
      <c r="BE366" s="38"/>
      <c r="BF366" s="38"/>
      <c r="BG366" s="38"/>
      <c r="BH366" s="50"/>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50"/>
      <c r="CE366" s="38"/>
      <c r="CF366" s="38"/>
      <c r="CG366" s="38"/>
      <c r="CH366" s="38"/>
      <c r="CI366" s="38"/>
      <c r="CJ366" s="38"/>
      <c r="CK366" s="38"/>
      <c r="CL366" s="38"/>
      <c r="CM366" s="38"/>
      <c r="CN366" s="38"/>
      <c r="CO366" s="38"/>
      <c r="CP366" s="38"/>
      <c r="CQ366" s="38"/>
      <c r="CR366" s="38"/>
      <c r="CS366" s="38"/>
      <c r="CT366" s="38"/>
      <c r="CU366" s="38"/>
      <c r="CV366" s="38"/>
      <c r="CW366" s="50"/>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row>
    <row r="367" spans="1:131">
      <c r="A367" s="27"/>
      <c r="B367" s="27" t="s">
        <v>303</v>
      </c>
      <c r="C367" s="38">
        <v>1603.9612280406079</v>
      </c>
      <c r="D367" s="38">
        <v>5225.5788867573228</v>
      </c>
      <c r="E367" s="38">
        <v>1045.1157773514647</v>
      </c>
      <c r="F367" s="38">
        <v>6270.694664108787</v>
      </c>
      <c r="G367" s="38">
        <v>4529.2884480142611</v>
      </c>
      <c r="H367" s="38">
        <v>1570.4535709385107</v>
      </c>
      <c r="I367" s="38">
        <v>34247.265019427432</v>
      </c>
      <c r="J367" s="38">
        <v>125.5701671737809</v>
      </c>
      <c r="K367" s="38">
        <v>174.47394598135253</v>
      </c>
      <c r="L367" s="50">
        <v>0.34679897097758994</v>
      </c>
      <c r="M367" s="38">
        <v>15.237835337408647</v>
      </c>
      <c r="N367" s="48">
        <v>157.58715163210786</v>
      </c>
      <c r="O367" s="48">
        <v>114.97555527388079</v>
      </c>
      <c r="P367" s="48">
        <v>104.18556261195354</v>
      </c>
      <c r="Q367" s="48">
        <v>84.948359755384757</v>
      </c>
      <c r="R367" s="48">
        <v>41.629406783875424</v>
      </c>
      <c r="S367" s="48">
        <v>17.605351273869054</v>
      </c>
      <c r="T367" s="48">
        <v>57.039361887025912</v>
      </c>
      <c r="U367" s="48">
        <v>56.75132893654218</v>
      </c>
      <c r="V367" s="48">
        <v>41.305835758907477</v>
      </c>
      <c r="W367" s="48">
        <v>68.24487753087557</v>
      </c>
      <c r="X367" s="48">
        <v>101.43347982780566</v>
      </c>
      <c r="Y367" s="48">
        <v>183.65259929741595</v>
      </c>
      <c r="Z367" s="48"/>
      <c r="AA367" s="48">
        <v>100.16928030029241</v>
      </c>
      <c r="AB367" s="48">
        <v>75.044896353547657</v>
      </c>
      <c r="AC367" s="48">
        <v>58.130532785325904</v>
      </c>
      <c r="AD367" s="48">
        <v>50.227469046433193</v>
      </c>
      <c r="AE367" s="48">
        <v>21.413711783231708</v>
      </c>
      <c r="AF367" s="48">
        <v>6.3143618258528846</v>
      </c>
      <c r="AG367" s="48">
        <v>16.236874057206997</v>
      </c>
      <c r="AH367" s="48">
        <v>10.582903458176133</v>
      </c>
      <c r="AI367" s="48">
        <v>17.855368415285334</v>
      </c>
      <c r="AJ367" s="48">
        <v>34.046393748856545</v>
      </c>
      <c r="AK367" s="48">
        <v>66.365594647332145</v>
      </c>
      <c r="AL367" s="48">
        <v>118.21497104942281</v>
      </c>
      <c r="AM367" s="38"/>
      <c r="AN367" s="38"/>
      <c r="AO367" s="38"/>
      <c r="AP367" s="38"/>
      <c r="AQ367" s="38"/>
      <c r="AR367" s="38"/>
      <c r="AS367" s="50"/>
      <c r="AT367" s="38"/>
      <c r="AU367" s="38"/>
      <c r="AV367" s="38"/>
      <c r="AW367" s="38"/>
      <c r="AX367" s="38"/>
      <c r="AY367" s="38"/>
      <c r="AZ367" s="50"/>
      <c r="BA367" s="38"/>
      <c r="BB367" s="38"/>
      <c r="BC367" s="38"/>
      <c r="BD367" s="38"/>
      <c r="BE367" s="38"/>
      <c r="BF367" s="38"/>
      <c r="BG367" s="38"/>
      <c r="BH367" s="50"/>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50"/>
      <c r="CE367" s="38"/>
      <c r="CF367" s="38"/>
      <c r="CG367" s="38"/>
      <c r="CH367" s="38"/>
      <c r="CI367" s="38"/>
      <c r="CJ367" s="38"/>
      <c r="CK367" s="38"/>
      <c r="CL367" s="38"/>
      <c r="CM367" s="38"/>
      <c r="CN367" s="38"/>
      <c r="CO367" s="38"/>
      <c r="CP367" s="38"/>
      <c r="CQ367" s="38"/>
      <c r="CR367" s="38"/>
      <c r="CS367" s="38"/>
      <c r="CT367" s="38"/>
      <c r="CU367" s="38"/>
      <c r="CV367" s="38"/>
      <c r="CW367" s="50"/>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row>
    <row r="368" spans="1:131">
      <c r="A368" s="27"/>
      <c r="B368" s="27" t="s">
        <v>306</v>
      </c>
      <c r="C368" s="38">
        <v>576.2041895817963</v>
      </c>
      <c r="D368" s="38">
        <v>1955.5284814450629</v>
      </c>
      <c r="E368" s="38">
        <v>391.1056962890126</v>
      </c>
      <c r="F368" s="38">
        <v>2346.6341777340754</v>
      </c>
      <c r="G368" s="38">
        <v>1694.9610278045584</v>
      </c>
      <c r="H368" s="38">
        <v>576.69085632278575</v>
      </c>
      <c r="I368" s="38">
        <v>35675.74788352412</v>
      </c>
      <c r="J368" s="38">
        <v>130.38970600872921</v>
      </c>
      <c r="K368" s="38">
        <v>181.55005207754277</v>
      </c>
      <c r="L368" s="50">
        <v>0.34025413681506961</v>
      </c>
      <c r="M368" s="38">
        <v>5.4739964809317048</v>
      </c>
      <c r="N368" s="48">
        <v>59.876540907573585</v>
      </c>
      <c r="O368" s="48">
        <v>43.685912635816997</v>
      </c>
      <c r="P368" s="48">
        <v>39.586165731814518</v>
      </c>
      <c r="Q368" s="48">
        <v>32.025285178934531</v>
      </c>
      <c r="R368" s="48">
        <v>14.549815822993262</v>
      </c>
      <c r="S368" s="48">
        <v>5.2858130293450376</v>
      </c>
      <c r="T368" s="48">
        <v>12.069109449319168</v>
      </c>
      <c r="U368" s="48">
        <v>11.944757540227299</v>
      </c>
      <c r="V368" s="48">
        <v>11.720312551344501</v>
      </c>
      <c r="W368" s="48">
        <v>25.207085297766113</v>
      </c>
      <c r="X368" s="48">
        <v>38.540489128745008</v>
      </c>
      <c r="Y368" s="48">
        <v>69.780323209886916</v>
      </c>
      <c r="Z368" s="48"/>
      <c r="AA368" s="48">
        <v>38.06014606815593</v>
      </c>
      <c r="AB368" s="48">
        <v>28.513928704719952</v>
      </c>
      <c r="AC368" s="48">
        <v>22.087176449672192</v>
      </c>
      <c r="AD368" s="48">
        <v>19.018541399971912</v>
      </c>
      <c r="AE368" s="48">
        <v>7.8152608684945211</v>
      </c>
      <c r="AF368" s="48">
        <v>2.1442123248932652</v>
      </c>
      <c r="AG368" s="48">
        <v>3.5485468771780777</v>
      </c>
      <c r="AH368" s="48">
        <v>2.3167607428972903</v>
      </c>
      <c r="AI368" s="48">
        <v>5.5317607261366977</v>
      </c>
      <c r="AJ368" s="48">
        <v>12.76333322184945</v>
      </c>
      <c r="AK368" s="48">
        <v>25.216156276707473</v>
      </c>
      <c r="AL368" s="48">
        <v>44.91675543735262</v>
      </c>
      <c r="AM368" s="38"/>
      <c r="AN368" s="38"/>
      <c r="AO368" s="38"/>
      <c r="AP368" s="38"/>
      <c r="AQ368" s="38"/>
      <c r="AR368" s="38"/>
      <c r="AS368" s="50"/>
      <c r="AT368" s="38"/>
      <c r="AU368" s="38"/>
      <c r="AV368" s="38"/>
      <c r="AW368" s="38"/>
      <c r="AX368" s="38"/>
      <c r="AY368" s="38"/>
      <c r="AZ368" s="50"/>
      <c r="BA368" s="38"/>
      <c r="BB368" s="38"/>
      <c r="BC368" s="38"/>
      <c r="BD368" s="38"/>
      <c r="BE368" s="38"/>
      <c r="BF368" s="38"/>
      <c r="BG368" s="38"/>
      <c r="BH368" s="50"/>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50"/>
      <c r="CE368" s="38"/>
      <c r="CF368" s="38"/>
      <c r="CG368" s="38"/>
      <c r="CH368" s="38"/>
      <c r="CI368" s="38"/>
      <c r="CJ368" s="38"/>
      <c r="CK368" s="38"/>
      <c r="CL368" s="38"/>
      <c r="CM368" s="38"/>
      <c r="CN368" s="38"/>
      <c r="CO368" s="38"/>
      <c r="CP368" s="38"/>
      <c r="CQ368" s="38"/>
      <c r="CR368" s="38"/>
      <c r="CS368" s="38"/>
      <c r="CT368" s="38"/>
      <c r="CU368" s="38"/>
      <c r="CV368" s="38"/>
      <c r="CW368" s="50"/>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row>
    <row r="369" spans="1:131">
      <c r="A369" s="27"/>
      <c r="B369" s="27" t="s">
        <v>309</v>
      </c>
      <c r="C369" s="38">
        <v>165.03918128276874</v>
      </c>
      <c r="D369" s="38">
        <v>595.71787033770602</v>
      </c>
      <c r="E369" s="38">
        <v>119.14357406754121</v>
      </c>
      <c r="F369" s="38">
        <v>714.8614444052472</v>
      </c>
      <c r="G369" s="38">
        <v>516.34051018423236</v>
      </c>
      <c r="H369" s="38">
        <v>166.09722695520765</v>
      </c>
      <c r="I369" s="38">
        <v>37943.633774216876</v>
      </c>
      <c r="J369" s="38">
        <v>140.59797180965288</v>
      </c>
      <c r="K369" s="38">
        <v>194.89902724657949</v>
      </c>
      <c r="L369" s="50">
        <v>0.32168157190677038</v>
      </c>
      <c r="M369" s="38">
        <v>1.5678889534071376</v>
      </c>
      <c r="N369" s="48">
        <v>17.051756380227395</v>
      </c>
      <c r="O369" s="48">
        <v>12.440958148596497</v>
      </c>
      <c r="P369" s="48">
        <v>11.273424347077254</v>
      </c>
      <c r="Q369" s="48">
        <v>9.1273873274307764</v>
      </c>
      <c r="R369" s="48">
        <v>4.1796315802775021</v>
      </c>
      <c r="S369" s="48">
        <v>1.5452810371822376</v>
      </c>
      <c r="T369" s="48">
        <v>3.7106104346490731</v>
      </c>
      <c r="U369" s="48">
        <v>3.6756219972631001</v>
      </c>
      <c r="V369" s="48">
        <v>3.4509341552763861</v>
      </c>
      <c r="W369" s="48">
        <v>7.199119622648376</v>
      </c>
      <c r="X369" s="48">
        <v>10.975634554651393</v>
      </c>
      <c r="Y369" s="48">
        <v>19.87217453568724</v>
      </c>
      <c r="Z369" s="48"/>
      <c r="AA369" s="48">
        <v>10.83884153481511</v>
      </c>
      <c r="AB369" s="48">
        <v>8.1202514097563387</v>
      </c>
      <c r="AC369" s="48">
        <v>6.290028552722692</v>
      </c>
      <c r="AD369" s="48">
        <v>5.418011039728345</v>
      </c>
      <c r="AE369" s="48">
        <v>2.2347900015563615</v>
      </c>
      <c r="AF369" s="48">
        <v>0.61789583222115696</v>
      </c>
      <c r="AG369" s="48">
        <v>1.0852128091027504</v>
      </c>
      <c r="AH369" s="48">
        <v>0.70831707539930233</v>
      </c>
      <c r="AI369" s="48">
        <v>1.61102277201879</v>
      </c>
      <c r="AJ369" s="48">
        <v>3.639690767030284</v>
      </c>
      <c r="AK369" s="48">
        <v>7.1811054406078956</v>
      </c>
      <c r="AL369" s="48">
        <v>12.791479926842497</v>
      </c>
      <c r="AM369" s="38"/>
      <c r="AN369" s="38"/>
      <c r="AO369" s="38"/>
      <c r="AP369" s="38"/>
      <c r="AQ369" s="38"/>
      <c r="AR369" s="38"/>
      <c r="AS369" s="50"/>
      <c r="AT369" s="38"/>
      <c r="AU369" s="38"/>
      <c r="AV369" s="38"/>
      <c r="AW369" s="38"/>
      <c r="AX369" s="38"/>
      <c r="AY369" s="38"/>
      <c r="AZ369" s="50"/>
      <c r="BA369" s="38"/>
      <c r="BB369" s="38"/>
      <c r="BC369" s="38"/>
      <c r="BD369" s="38"/>
      <c r="BE369" s="38"/>
      <c r="BF369" s="38"/>
      <c r="BG369" s="38"/>
      <c r="BH369" s="50"/>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50"/>
      <c r="CE369" s="38"/>
      <c r="CF369" s="38"/>
      <c r="CG369" s="38"/>
      <c r="CH369" s="38"/>
      <c r="CI369" s="38"/>
      <c r="CJ369" s="38"/>
      <c r="CK369" s="38"/>
      <c r="CL369" s="38"/>
      <c r="CM369" s="38"/>
      <c r="CN369" s="38"/>
      <c r="CO369" s="38"/>
      <c r="CP369" s="38"/>
      <c r="CQ369" s="38"/>
      <c r="CR369" s="38"/>
      <c r="CS369" s="38"/>
      <c r="CT369" s="38"/>
      <c r="CU369" s="38"/>
      <c r="CV369" s="38"/>
      <c r="CW369" s="50"/>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row>
    <row r="370" spans="1:131">
      <c r="A370" s="27"/>
      <c r="B370" s="27" t="s">
        <v>1596</v>
      </c>
      <c r="C370" s="38">
        <v>1467.4719784846347</v>
      </c>
      <c r="D370" s="38">
        <v>6928.658758852941</v>
      </c>
      <c r="E370" s="38">
        <v>1385.7317517705883</v>
      </c>
      <c r="F370" s="38">
        <v>8314.3905106235288</v>
      </c>
      <c r="G370" s="38">
        <v>6329.5189362479832</v>
      </c>
      <c r="H370" s="38">
        <v>1482.4954380064971</v>
      </c>
      <c r="I370" s="38">
        <v>49632.335023032756</v>
      </c>
      <c r="J370" s="38">
        <v>197.43070816892393</v>
      </c>
      <c r="K370" s="38">
        <v>281.79168655428435</v>
      </c>
      <c r="L370" s="50">
        <v>0.2383610350049444</v>
      </c>
      <c r="M370" s="38">
        <v>13.941094484494073</v>
      </c>
      <c r="N370" s="48">
        <v>159.16014841261193</v>
      </c>
      <c r="O370" s="48">
        <v>116.12321341992492</v>
      </c>
      <c r="P370" s="48">
        <v>105.22551766454694</v>
      </c>
      <c r="Q370" s="48">
        <v>84.642037429691783</v>
      </c>
      <c r="R370" s="48">
        <v>36.228279030387682</v>
      </c>
      <c r="S370" s="48">
        <v>11.340988341051238</v>
      </c>
      <c r="T370" s="48">
        <v>13.541828030954937</v>
      </c>
      <c r="U370" s="48">
        <v>13.182496870518692</v>
      </c>
      <c r="V370" s="48">
        <v>23.4820408534835</v>
      </c>
      <c r="W370" s="48">
        <v>65.607941442288322</v>
      </c>
      <c r="X370" s="48">
        <v>102.44596425659302</v>
      </c>
      <c r="Y370" s="48">
        <v>185.4857750635498</v>
      </c>
      <c r="Z370" s="48"/>
      <c r="AA370" s="48">
        <v>101.1691457955811</v>
      </c>
      <c r="AB370" s="48">
        <v>75.793976333322746</v>
      </c>
      <c r="AC370" s="48">
        <v>58.710777684565997</v>
      </c>
      <c r="AD370" s="48">
        <v>50.426891749907789</v>
      </c>
      <c r="AE370" s="48">
        <v>20.154247120588916</v>
      </c>
      <c r="AF370" s="48">
        <v>5.20737044016317</v>
      </c>
      <c r="AG370" s="48">
        <v>4.3730870472877399</v>
      </c>
      <c r="AH370" s="48">
        <v>2.8681105552385242</v>
      </c>
      <c r="AI370" s="48">
        <v>12.286164215335383</v>
      </c>
      <c r="AJ370" s="48">
        <v>33.592972528304308</v>
      </c>
      <c r="AK370" s="48">
        <v>67.028039939574001</v>
      </c>
      <c r="AL370" s="48">
        <v>119.39496425916262</v>
      </c>
      <c r="AM370" s="38"/>
      <c r="AN370" s="38"/>
      <c r="AO370" s="38"/>
      <c r="AP370" s="38"/>
      <c r="AQ370" s="38"/>
      <c r="AR370" s="38"/>
      <c r="AS370" s="50"/>
      <c r="AT370" s="38"/>
      <c r="AU370" s="38"/>
      <c r="AV370" s="38"/>
      <c r="AW370" s="38"/>
      <c r="AX370" s="38"/>
      <c r="AY370" s="38"/>
      <c r="AZ370" s="50"/>
      <c r="BA370" s="38"/>
      <c r="BB370" s="38"/>
      <c r="BC370" s="38"/>
      <c r="BD370" s="38"/>
      <c r="BE370" s="38"/>
      <c r="BF370" s="38"/>
      <c r="BG370" s="38"/>
      <c r="BH370" s="50"/>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50"/>
      <c r="CE370" s="38"/>
      <c r="CF370" s="38"/>
      <c r="CG370" s="38"/>
      <c r="CH370" s="38"/>
      <c r="CI370" s="38"/>
      <c r="CJ370" s="38"/>
      <c r="CK370" s="38"/>
      <c r="CL370" s="38"/>
      <c r="CM370" s="38"/>
      <c r="CN370" s="38"/>
      <c r="CO370" s="38"/>
      <c r="CP370" s="38"/>
      <c r="CQ370" s="38"/>
      <c r="CR370" s="38"/>
      <c r="CS370" s="38"/>
      <c r="CT370" s="38"/>
      <c r="CU370" s="38"/>
      <c r="CV370" s="38"/>
      <c r="CW370" s="50"/>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row>
    <row r="371" spans="1:131">
      <c r="A371" s="27"/>
      <c r="B371" s="27"/>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50"/>
      <c r="AT371" s="38"/>
      <c r="AU371" s="38"/>
      <c r="AV371" s="38"/>
      <c r="AW371" s="38"/>
      <c r="AX371" s="38"/>
      <c r="AY371" s="38"/>
      <c r="AZ371" s="50"/>
      <c r="BA371" s="38"/>
      <c r="BB371" s="38"/>
      <c r="BC371" s="38"/>
      <c r="BD371" s="38"/>
      <c r="BE371" s="38"/>
      <c r="BF371" s="38"/>
      <c r="BG371" s="38"/>
      <c r="BH371" s="50"/>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50"/>
      <c r="CE371" s="38"/>
      <c r="CF371" s="38"/>
      <c r="CG371" s="38"/>
      <c r="CH371" s="38"/>
      <c r="CI371" s="38"/>
      <c r="CJ371" s="38"/>
      <c r="CK371" s="38"/>
      <c r="CL371" s="38"/>
      <c r="CM371" s="38"/>
      <c r="CN371" s="38"/>
      <c r="CO371" s="38"/>
      <c r="CP371" s="38"/>
      <c r="CQ371" s="38"/>
      <c r="CR371" s="38"/>
      <c r="CS371" s="38"/>
      <c r="CT371" s="38"/>
      <c r="CU371" s="38"/>
      <c r="CV371" s="38"/>
      <c r="CW371" s="50"/>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row>
    <row r="372" spans="1:131">
      <c r="A372" s="27"/>
      <c r="B372" s="27"/>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50"/>
      <c r="AT372" s="38"/>
      <c r="AU372" s="38"/>
      <c r="AV372" s="38"/>
      <c r="AW372" s="38"/>
      <c r="AX372" s="38"/>
      <c r="AY372" s="38"/>
      <c r="AZ372" s="50"/>
      <c r="BA372" s="38"/>
      <c r="BB372" s="38"/>
      <c r="BC372" s="38"/>
      <c r="BD372" s="38"/>
      <c r="BE372" s="38"/>
      <c r="BF372" s="38"/>
      <c r="BG372" s="38"/>
      <c r="BH372" s="50"/>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50"/>
      <c r="CE372" s="38"/>
      <c r="CF372" s="38"/>
      <c r="CG372" s="38"/>
      <c r="CH372" s="38"/>
      <c r="CI372" s="38"/>
      <c r="CJ372" s="38"/>
      <c r="CK372" s="38"/>
      <c r="CL372" s="38"/>
      <c r="CM372" s="38"/>
      <c r="CN372" s="38"/>
      <c r="CO372" s="38"/>
      <c r="CP372" s="38"/>
      <c r="CQ372" s="38"/>
      <c r="CR372" s="38"/>
      <c r="CS372" s="38"/>
      <c r="CT372" s="38"/>
      <c r="CU372" s="38"/>
      <c r="CV372" s="38"/>
      <c r="CW372" s="50"/>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row>
    <row r="373" spans="1:131" ht="13.5" thickBot="1">
      <c r="A373" s="36" t="s">
        <v>30</v>
      </c>
      <c r="B373" s="37"/>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50"/>
      <c r="AT373" s="38"/>
      <c r="AU373" s="38"/>
      <c r="AV373" s="38"/>
      <c r="AW373" s="38"/>
      <c r="AX373" s="38"/>
      <c r="AY373" s="38"/>
      <c r="AZ373" s="50"/>
      <c r="BA373" s="38"/>
      <c r="BB373" s="38"/>
      <c r="BC373" s="38"/>
      <c r="BD373" s="38"/>
      <c r="BE373" s="38"/>
      <c r="BF373" s="38"/>
      <c r="BG373" s="38"/>
      <c r="BH373" s="50"/>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50"/>
      <c r="CE373" s="38"/>
      <c r="CF373" s="38"/>
      <c r="CG373" s="38"/>
      <c r="CH373" s="38"/>
      <c r="CI373" s="38"/>
      <c r="CJ373" s="38"/>
      <c r="CK373" s="38"/>
      <c r="CL373" s="38"/>
      <c r="CM373" s="38"/>
      <c r="CN373" s="38"/>
      <c r="CO373" s="38"/>
      <c r="CP373" s="38"/>
      <c r="CQ373" s="38"/>
      <c r="CR373" s="38"/>
      <c r="CS373" s="38"/>
      <c r="CT373" s="38"/>
      <c r="CU373" s="38"/>
      <c r="CV373" s="38"/>
      <c r="CW373" s="50"/>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row>
    <row r="374" spans="1:131" ht="13.5" thickBot="1">
      <c r="A374" s="39"/>
      <c r="B374" s="40"/>
      <c r="C374" s="41"/>
      <c r="D374" s="41"/>
      <c r="E374" s="41"/>
      <c r="F374" s="41"/>
      <c r="G374" s="41"/>
      <c r="H374" s="41"/>
      <c r="I374" s="41"/>
      <c r="J374" s="41"/>
      <c r="K374" s="41"/>
      <c r="L374" s="41"/>
      <c r="M374" s="41"/>
      <c r="N374" s="41"/>
      <c r="O374" s="42" t="s">
        <v>1409</v>
      </c>
      <c r="P374" s="43"/>
      <c r="Q374" s="43"/>
      <c r="R374" s="43"/>
      <c r="S374" s="43"/>
      <c r="T374" s="43"/>
      <c r="U374" s="43"/>
      <c r="V374" s="43"/>
      <c r="W374" s="43"/>
      <c r="X374" s="43"/>
      <c r="Y374" s="43"/>
      <c r="Z374" s="44"/>
      <c r="AA374" s="41"/>
      <c r="AB374" s="42" t="s">
        <v>1410</v>
      </c>
      <c r="AC374" s="43"/>
      <c r="AD374" s="43"/>
      <c r="AE374" s="43"/>
      <c r="AF374" s="43"/>
      <c r="AG374" s="43"/>
      <c r="AH374" s="43"/>
      <c r="AI374" s="43"/>
      <c r="AJ374" s="43"/>
      <c r="AK374" s="43"/>
      <c r="AL374" s="43"/>
      <c r="AM374" s="44"/>
      <c r="AN374" s="38"/>
      <c r="AO374" s="38"/>
      <c r="AP374" s="38"/>
      <c r="AQ374" s="38"/>
      <c r="AR374" s="38"/>
      <c r="AS374" s="50"/>
      <c r="AT374" s="38"/>
      <c r="AU374" s="38"/>
      <c r="AV374" s="38"/>
      <c r="AW374" s="38"/>
      <c r="AX374" s="38"/>
      <c r="AY374" s="38"/>
      <c r="AZ374" s="50"/>
      <c r="BA374" s="38"/>
      <c r="BB374" s="38"/>
      <c r="BC374" s="38"/>
      <c r="BD374" s="38"/>
      <c r="BE374" s="38"/>
      <c r="BF374" s="38"/>
      <c r="BG374" s="38"/>
      <c r="BH374" s="50"/>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50"/>
      <c r="CE374" s="38"/>
      <c r="CF374" s="38"/>
      <c r="CG374" s="38"/>
      <c r="CH374" s="38"/>
      <c r="CI374" s="38"/>
      <c r="CJ374" s="38"/>
      <c r="CK374" s="38"/>
      <c r="CL374" s="38"/>
      <c r="CM374" s="38"/>
      <c r="CN374" s="38"/>
      <c r="CO374" s="38"/>
      <c r="CP374" s="38"/>
      <c r="CQ374" s="38"/>
      <c r="CR374" s="38"/>
      <c r="CS374" s="38"/>
      <c r="CT374" s="38"/>
      <c r="CU374" s="38"/>
      <c r="CV374" s="38"/>
      <c r="CW374" s="50"/>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row>
    <row r="375" spans="1:131" ht="191.25">
      <c r="A375" s="45" t="s">
        <v>31</v>
      </c>
      <c r="B375" s="46" t="s">
        <v>32</v>
      </c>
      <c r="C375" s="47" t="s">
        <v>33</v>
      </c>
      <c r="D375" s="47" t="s">
        <v>34</v>
      </c>
      <c r="E375" s="47" t="s">
        <v>35</v>
      </c>
      <c r="F375" s="47" t="s">
        <v>36</v>
      </c>
      <c r="G375" s="47" t="s">
        <v>37</v>
      </c>
      <c r="H375" s="47" t="s">
        <v>38</v>
      </c>
      <c r="I375" s="47" t="s">
        <v>39</v>
      </c>
      <c r="J375" s="47" t="s">
        <v>40</v>
      </c>
      <c r="K375" s="47" t="s">
        <v>41</v>
      </c>
      <c r="L375" s="47" t="s">
        <v>42</v>
      </c>
      <c r="M375" s="47" t="s">
        <v>43</v>
      </c>
      <c r="N375" s="47" t="s">
        <v>1411</v>
      </c>
      <c r="O375" s="47" t="s">
        <v>44</v>
      </c>
      <c r="P375" s="47" t="s">
        <v>45</v>
      </c>
      <c r="Q375" s="47" t="s">
        <v>46</v>
      </c>
      <c r="R375" s="47" t="s">
        <v>47</v>
      </c>
      <c r="S375" s="47" t="s">
        <v>48</v>
      </c>
      <c r="T375" s="47" t="s">
        <v>49</v>
      </c>
      <c r="U375" s="47" t="s">
        <v>50</v>
      </c>
      <c r="V375" s="47" t="s">
        <v>51</v>
      </c>
      <c r="W375" s="47" t="s">
        <v>52</v>
      </c>
      <c r="X375" s="47" t="s">
        <v>53</v>
      </c>
      <c r="Y375" s="47" t="s">
        <v>54</v>
      </c>
      <c r="Z375" s="47" t="s">
        <v>55</v>
      </c>
      <c r="AA375" s="47"/>
      <c r="AB375" s="47" t="s">
        <v>44</v>
      </c>
      <c r="AC375" s="47" t="s">
        <v>45</v>
      </c>
      <c r="AD375" s="47" t="s">
        <v>46</v>
      </c>
      <c r="AE375" s="47" t="s">
        <v>47</v>
      </c>
      <c r="AF375" s="47" t="s">
        <v>48</v>
      </c>
      <c r="AG375" s="47" t="s">
        <v>49</v>
      </c>
      <c r="AH375" s="47" t="s">
        <v>50</v>
      </c>
      <c r="AI375" s="47" t="s">
        <v>51</v>
      </c>
      <c r="AJ375" s="47" t="s">
        <v>52</v>
      </c>
      <c r="AK375" s="47" t="s">
        <v>53</v>
      </c>
      <c r="AL375" s="47" t="s">
        <v>54</v>
      </c>
      <c r="AM375" s="47" t="s">
        <v>55</v>
      </c>
      <c r="AN375" s="38"/>
      <c r="AO375" s="38"/>
      <c r="AP375" s="38"/>
      <c r="AQ375" s="38"/>
      <c r="AR375" s="38"/>
      <c r="AS375" s="50"/>
      <c r="AT375" s="38"/>
      <c r="AU375" s="38"/>
      <c r="AV375" s="38"/>
      <c r="AW375" s="38"/>
      <c r="AX375" s="38"/>
      <c r="AY375" s="38"/>
      <c r="AZ375" s="50"/>
      <c r="BA375" s="38"/>
      <c r="BB375" s="38"/>
      <c r="BC375" s="38"/>
      <c r="BD375" s="38"/>
      <c r="BE375" s="38"/>
      <c r="BF375" s="38"/>
      <c r="BG375" s="38"/>
      <c r="BH375" s="50"/>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50"/>
      <c r="CE375" s="38"/>
      <c r="CF375" s="38"/>
      <c r="CG375" s="38"/>
      <c r="CH375" s="38"/>
      <c r="CI375" s="38"/>
      <c r="CJ375" s="38"/>
      <c r="CK375" s="38"/>
      <c r="CL375" s="38"/>
      <c r="CM375" s="38"/>
      <c r="CN375" s="38"/>
      <c r="CO375" s="38"/>
      <c r="CP375" s="38"/>
      <c r="CQ375" s="38"/>
      <c r="CR375" s="38"/>
      <c r="CS375" s="38"/>
      <c r="CT375" s="38"/>
      <c r="CU375" s="38"/>
      <c r="CV375" s="38"/>
      <c r="CW375" s="50"/>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row>
    <row r="376" spans="1:131">
      <c r="A376" s="27" t="s">
        <v>834</v>
      </c>
      <c r="B376" s="27"/>
      <c r="C376" s="48">
        <v>1989.2959574313022</v>
      </c>
      <c r="D376" s="48">
        <v>588.47688837074031</v>
      </c>
      <c r="E376" s="48">
        <v>117.69537767414806</v>
      </c>
      <c r="F376" s="48">
        <v>706.17226604488837</v>
      </c>
      <c r="G376" s="48">
        <v>510.06436419428849</v>
      </c>
      <c r="H376" s="48">
        <v>1839.294694814882</v>
      </c>
      <c r="I376" s="48">
        <v>3109.6775859038312</v>
      </c>
      <c r="J376" s="48">
        <v>-12.497968951468712</v>
      </c>
      <c r="K376" s="48">
        <v>-10.428816981598308</v>
      </c>
      <c r="L376" s="49">
        <v>3.6060050925539207</v>
      </c>
      <c r="M376" s="48">
        <v>18.898560731174999</v>
      </c>
      <c r="N376" s="48">
        <v>0.92069704234190197</v>
      </c>
      <c r="O376" s="48">
        <v>196.13210495703711</v>
      </c>
      <c r="P376" s="48">
        <v>143.09794574569767</v>
      </c>
      <c r="Q376" s="48">
        <v>129.66878003429974</v>
      </c>
      <c r="R376" s="48">
        <v>105.67339098893628</v>
      </c>
      <c r="S376" s="48">
        <v>51.545293544306183</v>
      </c>
      <c r="T376" s="48">
        <v>21.616528815031014</v>
      </c>
      <c r="U376" s="48">
        <v>68.972350255587386</v>
      </c>
      <c r="V376" s="48">
        <v>68.610731835967727</v>
      </c>
      <c r="W376" s="48">
        <v>50.573694352717872</v>
      </c>
      <c r="X376" s="48">
        <v>84.785209782594578</v>
      </c>
      <c r="Y376" s="48">
        <v>126.24355288931609</v>
      </c>
      <c r="Z376" s="48">
        <v>228.57301821866594</v>
      </c>
      <c r="AA376" s="48"/>
      <c r="AB376" s="48">
        <v>124.67013708828867</v>
      </c>
      <c r="AC376" s="48">
        <v>93.400466571445349</v>
      </c>
      <c r="AD376" s="48">
        <v>72.348942406654032</v>
      </c>
      <c r="AE376" s="48">
        <v>62.499002144256728</v>
      </c>
      <c r="AF376" s="48">
        <v>26.583906409018482</v>
      </c>
      <c r="AG376" s="48">
        <v>7.8052262088575493</v>
      </c>
      <c r="AH376" s="48">
        <v>19.65746818121848</v>
      </c>
      <c r="AI376" s="48">
        <v>12.813201234150894</v>
      </c>
      <c r="AJ376" s="48">
        <v>21.959426889943956</v>
      </c>
      <c r="AK376" s="48">
        <v>42.337618765560407</v>
      </c>
      <c r="AL376" s="48">
        <v>82.598255251760492</v>
      </c>
      <c r="AM376" s="38">
        <v>147.12970485998986</v>
      </c>
      <c r="AN376" s="38"/>
      <c r="AO376" s="38"/>
      <c r="AP376" s="38"/>
      <c r="AQ376" s="38"/>
      <c r="AR376" s="38"/>
      <c r="AS376" s="50"/>
      <c r="AT376" s="38"/>
      <c r="AU376" s="38"/>
      <c r="AV376" s="38"/>
      <c r="AW376" s="38"/>
      <c r="AX376" s="38"/>
      <c r="AY376" s="38"/>
      <c r="AZ376" s="50"/>
      <c r="BA376" s="38"/>
      <c r="BB376" s="38"/>
      <c r="BC376" s="38"/>
      <c r="BD376" s="38"/>
      <c r="BE376" s="38"/>
      <c r="BF376" s="38"/>
      <c r="BG376" s="38"/>
      <c r="BH376" s="50"/>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50"/>
      <c r="CE376" s="38"/>
      <c r="CF376" s="38"/>
      <c r="CG376" s="38"/>
      <c r="CH376" s="38"/>
      <c r="CI376" s="38"/>
      <c r="CJ376" s="38"/>
      <c r="CK376" s="38"/>
      <c r="CL376" s="38"/>
      <c r="CM376" s="38"/>
      <c r="CN376" s="38"/>
      <c r="CO376" s="38"/>
      <c r="CP376" s="38"/>
      <c r="CQ376" s="38"/>
      <c r="CR376" s="38"/>
      <c r="CS376" s="38"/>
      <c r="CT376" s="38"/>
      <c r="CU376" s="38"/>
      <c r="CV376" s="38"/>
      <c r="CW376" s="50"/>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row>
    <row r="377" spans="1:131">
      <c r="A377" s="27" t="s">
        <v>835</v>
      </c>
      <c r="B377" s="27"/>
      <c r="C377" s="48">
        <v>2017.4633697725581</v>
      </c>
      <c r="D377" s="48">
        <v>672.02883390154909</v>
      </c>
      <c r="E377" s="48">
        <v>134.40576678030982</v>
      </c>
      <c r="F377" s="48">
        <v>806.43460068185891</v>
      </c>
      <c r="G377" s="48">
        <v>582.48329995293329</v>
      </c>
      <c r="H377" s="48">
        <v>1867.1768520456508</v>
      </c>
      <c r="I377" s="48">
        <v>3501.6086080261753</v>
      </c>
      <c r="J377" s="48">
        <v>-10.771925843284963</v>
      </c>
      <c r="K377" s="48">
        <v>-8.1179366910875217</v>
      </c>
      <c r="L377" s="49">
        <v>3.205545724995936</v>
      </c>
      <c r="M377" s="48">
        <v>19.166154268131969</v>
      </c>
      <c r="N377" s="48">
        <v>0.93411288852968544</v>
      </c>
      <c r="O377" s="48">
        <v>198.99002458920717</v>
      </c>
      <c r="P377" s="48">
        <v>145.18308335516463</v>
      </c>
      <c r="Q377" s="48">
        <v>131.55823587948501</v>
      </c>
      <c r="R377" s="48">
        <v>107.20699828739455</v>
      </c>
      <c r="S377" s="48">
        <v>52.265126360535831</v>
      </c>
      <c r="T377" s="48">
        <v>21.89690772941935</v>
      </c>
      <c r="U377" s="48">
        <v>69.740591915961758</v>
      </c>
      <c r="V377" s="48">
        <v>69.37333655498206</v>
      </c>
      <c r="W377" s="48">
        <v>51.21263693822808</v>
      </c>
      <c r="X377" s="48">
        <v>86.002819932688666</v>
      </c>
      <c r="Y377" s="48">
        <v>128.08309837482599</v>
      </c>
      <c r="Z377" s="48">
        <v>231.90364742031846</v>
      </c>
      <c r="AA377" s="48"/>
      <c r="AB377" s="48">
        <v>126.48675570056531</v>
      </c>
      <c r="AC377" s="48">
        <v>94.761442262431004</v>
      </c>
      <c r="AD377" s="48">
        <v>73.403167888586268</v>
      </c>
      <c r="AE377" s="48">
        <v>63.408077818310232</v>
      </c>
      <c r="AF377" s="48">
        <v>26.963355257388681</v>
      </c>
      <c r="AG377" s="48">
        <v>7.9126724909846038</v>
      </c>
      <c r="AH377" s="48">
        <v>19.879287161607586</v>
      </c>
      <c r="AI377" s="48">
        <v>12.957886459144456</v>
      </c>
      <c r="AJ377" s="48">
        <v>22.24852415788726</v>
      </c>
      <c r="AK377" s="48">
        <v>42.950274802100409</v>
      </c>
      <c r="AL377" s="48">
        <v>83.80182758541136</v>
      </c>
      <c r="AM377" s="38">
        <v>149.27359084992943</v>
      </c>
      <c r="AN377" s="38"/>
      <c r="AO377" s="38"/>
      <c r="AP377" s="38"/>
      <c r="AQ377" s="38"/>
      <c r="AR377" s="38"/>
      <c r="AS377" s="50"/>
      <c r="AT377" s="38"/>
      <c r="AU377" s="38"/>
      <c r="AV377" s="38"/>
      <c r="AW377" s="38"/>
      <c r="AX377" s="38"/>
      <c r="AY377" s="38"/>
      <c r="AZ377" s="50"/>
      <c r="BA377" s="38"/>
      <c r="BB377" s="38"/>
      <c r="BC377" s="38"/>
      <c r="BD377" s="38"/>
      <c r="BE377" s="38"/>
      <c r="BF377" s="38"/>
      <c r="BG377" s="38"/>
      <c r="BH377" s="50"/>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50"/>
      <c r="CE377" s="38"/>
      <c r="CF377" s="38"/>
      <c r="CG377" s="38"/>
      <c r="CH377" s="38"/>
      <c r="CI377" s="38"/>
      <c r="CJ377" s="38"/>
      <c r="CK377" s="38"/>
      <c r="CL377" s="38"/>
      <c r="CM377" s="38"/>
      <c r="CN377" s="38"/>
      <c r="CO377" s="38"/>
      <c r="CP377" s="38"/>
      <c r="CQ377" s="38"/>
      <c r="CR377" s="38"/>
      <c r="CS377" s="38"/>
      <c r="CT377" s="38"/>
      <c r="CU377" s="38"/>
      <c r="CV377" s="38"/>
      <c r="CW377" s="50"/>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row>
    <row r="378" spans="1:131">
      <c r="A378" s="27" t="s">
        <v>848</v>
      </c>
      <c r="B378" s="27"/>
      <c r="C378" s="48">
        <v>1472.3208251380622</v>
      </c>
      <c r="D378" s="48">
        <v>580.85648064073723</v>
      </c>
      <c r="E378" s="48">
        <v>116.17129612814745</v>
      </c>
      <c r="F378" s="48">
        <v>697.02777676888468</v>
      </c>
      <c r="G378" s="48">
        <v>503.45934962104582</v>
      </c>
      <c r="H378" s="48">
        <v>1364.2022409761951</v>
      </c>
      <c r="I378" s="48">
        <v>4147.1690274589864</v>
      </c>
      <c r="J378" s="48">
        <v>-8.2034984473082293</v>
      </c>
      <c r="K378" s="48">
        <v>-4.2774845005057509</v>
      </c>
      <c r="L378" s="49">
        <v>2.7096571788825274</v>
      </c>
      <c r="M378" s="48">
        <v>13.987223782545716</v>
      </c>
      <c r="N378" s="48">
        <v>0.68928093337822249</v>
      </c>
      <c r="O378" s="48">
        <v>146.83453313410237</v>
      </c>
      <c r="P378" s="48">
        <v>107.13044690272029</v>
      </c>
      <c r="Q378" s="48">
        <v>97.076686055940272</v>
      </c>
      <c r="R378" s="48">
        <v>78.984080595443288</v>
      </c>
      <c r="S378" s="48">
        <v>37.942250961595022</v>
      </c>
      <c r="T378" s="48">
        <v>15.466679119039974</v>
      </c>
      <c r="U378" s="48">
        <v>46.733104858381694</v>
      </c>
      <c r="V378" s="48">
        <v>46.454765660729059</v>
      </c>
      <c r="W378" s="48">
        <v>35.833006378062187</v>
      </c>
      <c r="X378" s="48">
        <v>63.10535321269866</v>
      </c>
      <c r="Y378" s="48">
        <v>94.512385688990648</v>
      </c>
      <c r="Z378" s="48">
        <v>171.12146134638365</v>
      </c>
      <c r="AA378" s="48"/>
      <c r="AB378" s="48">
        <v>93.334446082314386</v>
      </c>
      <c r="AC378" s="48">
        <v>69.924370140878594</v>
      </c>
      <c r="AD378" s="48">
        <v>54.164121592200068</v>
      </c>
      <c r="AE378" s="48">
        <v>46.756357076523436</v>
      </c>
      <c r="AF378" s="48">
        <v>19.738155412714235</v>
      </c>
      <c r="AG378" s="48">
        <v>5.7132089497797454</v>
      </c>
      <c r="AH378" s="48">
        <v>13.378522841114712</v>
      </c>
      <c r="AI378" s="48">
        <v>8.7224738827357378</v>
      </c>
      <c r="AJ378" s="48">
        <v>15.800459722444225</v>
      </c>
      <c r="AK378" s="48">
        <v>31.607845558011778</v>
      </c>
      <c r="AL378" s="48">
        <v>61.837281816969117</v>
      </c>
      <c r="AM378" s="38">
        <v>110.1488281482891</v>
      </c>
      <c r="AN378" s="38"/>
      <c r="AO378" s="38"/>
      <c r="AP378" s="38"/>
      <c r="AQ378" s="38"/>
      <c r="AR378" s="38"/>
      <c r="AS378" s="50"/>
      <c r="AT378" s="38"/>
      <c r="AU378" s="38"/>
      <c r="AV378" s="38"/>
      <c r="AW378" s="38"/>
      <c r="AX378" s="38"/>
      <c r="AY378" s="38"/>
      <c r="AZ378" s="50"/>
      <c r="BA378" s="38"/>
      <c r="BB378" s="38"/>
      <c r="BC378" s="38"/>
      <c r="BD378" s="38"/>
      <c r="BE378" s="38"/>
      <c r="BF378" s="38"/>
      <c r="BG378" s="38"/>
      <c r="BH378" s="50"/>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50"/>
      <c r="CE378" s="38"/>
      <c r="CF378" s="38"/>
      <c r="CG378" s="38"/>
      <c r="CH378" s="38"/>
      <c r="CI378" s="38"/>
      <c r="CJ378" s="38"/>
      <c r="CK378" s="38"/>
      <c r="CL378" s="38"/>
      <c r="CM378" s="38"/>
      <c r="CN378" s="38"/>
      <c r="CO378" s="38"/>
      <c r="CP378" s="38"/>
      <c r="CQ378" s="38"/>
      <c r="CR378" s="38"/>
      <c r="CS378" s="38"/>
      <c r="CT378" s="38"/>
      <c r="CU378" s="38"/>
      <c r="CV378" s="38"/>
      <c r="CW378" s="50"/>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row>
    <row r="379" spans="1:131">
      <c r="A379" s="27" t="s">
        <v>876</v>
      </c>
      <c r="B379" s="27"/>
      <c r="C379" s="48">
        <v>1410.4445457359341</v>
      </c>
      <c r="D379" s="48">
        <v>603.23323201580342</v>
      </c>
      <c r="E379" s="48">
        <v>120.64664640316069</v>
      </c>
      <c r="F379" s="48">
        <v>723.87987841896415</v>
      </c>
      <c r="G379" s="48">
        <v>522.85447573119188</v>
      </c>
      <c r="H379" s="48">
        <v>1308.9944350855112</v>
      </c>
      <c r="I379" s="48">
        <v>4495.8788022690078</v>
      </c>
      <c r="J379" s="48">
        <v>-6.7142360962681957</v>
      </c>
      <c r="K379" s="48">
        <v>-2.2723506639345135</v>
      </c>
      <c r="L379" s="49">
        <v>2.5035540400700076</v>
      </c>
      <c r="M379" s="48">
        <v>13.399390239423273</v>
      </c>
      <c r="N379" s="48">
        <v>0.66170245511314385</v>
      </c>
      <c r="O379" s="48">
        <v>140.95960930477924</v>
      </c>
      <c r="P379" s="48">
        <v>102.84410361602207</v>
      </c>
      <c r="Q379" s="48">
        <v>93.192598818363138</v>
      </c>
      <c r="R379" s="48">
        <v>75.801423259528022</v>
      </c>
      <c r="S379" s="48">
        <v>36.310957220636148</v>
      </c>
      <c r="T379" s="48">
        <v>14.722510975932712</v>
      </c>
      <c r="U379" s="48">
        <v>44.005650631843835</v>
      </c>
      <c r="V379" s="48">
        <v>43.737116260504926</v>
      </c>
      <c r="W379" s="48">
        <v>34.044394854909264</v>
      </c>
      <c r="X379" s="48">
        <v>60.515897816455904</v>
      </c>
      <c r="Y379" s="48">
        <v>90.73089740419239</v>
      </c>
      <c r="Z379" s="48">
        <v>164.27480525319939</v>
      </c>
      <c r="AA379" s="48"/>
      <c r="AB379" s="48">
        <v>89.600087756096414</v>
      </c>
      <c r="AC379" s="48">
        <v>67.12666077631188</v>
      </c>
      <c r="AD379" s="48">
        <v>51.99698773176307</v>
      </c>
      <c r="AE379" s="48">
        <v>44.879735278483174</v>
      </c>
      <c r="AF379" s="48">
        <v>18.919749898159189</v>
      </c>
      <c r="AG379" s="48">
        <v>5.4618494004739375</v>
      </c>
      <c r="AH379" s="48">
        <v>12.609191556592352</v>
      </c>
      <c r="AI379" s="48">
        <v>8.2212804521125573</v>
      </c>
      <c r="AJ379" s="48">
        <v>15.056417605391397</v>
      </c>
      <c r="AK379" s="48">
        <v>30.327761020040125</v>
      </c>
      <c r="AL379" s="48">
        <v>59.363140940617548</v>
      </c>
      <c r="AM379" s="38">
        <v>105.74171790352537</v>
      </c>
      <c r="AN379" s="38"/>
      <c r="AO379" s="38"/>
      <c r="AP379" s="38"/>
      <c r="AQ379" s="38"/>
      <c r="AR379" s="38"/>
      <c r="AS379" s="50"/>
      <c r="AT379" s="38"/>
      <c r="AU379" s="38"/>
      <c r="AV379" s="38"/>
      <c r="AW379" s="38"/>
      <c r="AX379" s="38"/>
      <c r="AY379" s="38"/>
      <c r="AZ379" s="50"/>
      <c r="BA379" s="38"/>
      <c r="BB379" s="38"/>
      <c r="BC379" s="38"/>
      <c r="BD379" s="38"/>
      <c r="BE379" s="38"/>
      <c r="BF379" s="38"/>
      <c r="BG379" s="38"/>
      <c r="BH379" s="50"/>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50"/>
      <c r="CE379" s="38"/>
      <c r="CF379" s="38"/>
      <c r="CG379" s="38"/>
      <c r="CH379" s="38"/>
      <c r="CI379" s="38"/>
      <c r="CJ379" s="38"/>
      <c r="CK379" s="38"/>
      <c r="CL379" s="38"/>
      <c r="CM379" s="38"/>
      <c r="CN379" s="38"/>
      <c r="CO379" s="38"/>
      <c r="CP379" s="38"/>
      <c r="CQ379" s="38"/>
      <c r="CR379" s="38"/>
      <c r="CS379" s="38"/>
      <c r="CT379" s="38"/>
      <c r="CU379" s="38"/>
      <c r="CV379" s="38"/>
      <c r="CW379" s="50"/>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row>
    <row r="380" spans="1:131">
      <c r="A380" s="27" t="s">
        <v>840</v>
      </c>
      <c r="B380" s="27"/>
      <c r="C380" s="48">
        <v>2203.2727260729475</v>
      </c>
      <c r="D380" s="48">
        <v>1047.8220524597768</v>
      </c>
      <c r="E380" s="48">
        <v>209.56441049195539</v>
      </c>
      <c r="F380" s="48">
        <v>1257.3864629517323</v>
      </c>
      <c r="G380" s="48">
        <v>908.20336284802909</v>
      </c>
      <c r="H380" s="48">
        <v>2188.1829468286214</v>
      </c>
      <c r="I380" s="48">
        <v>4999.2473855424523</v>
      </c>
      <c r="J380" s="48">
        <v>-7.1064474849799799</v>
      </c>
      <c r="K380" s="48">
        <v>-3.9919083317794515</v>
      </c>
      <c r="L380" s="49">
        <v>2.4093534954183746</v>
      </c>
      <c r="M380" s="48">
        <v>20.931242384013029</v>
      </c>
      <c r="N380" s="48">
        <v>1.1354316849352235</v>
      </c>
      <c r="O380" s="48">
        <v>241.87609621815517</v>
      </c>
      <c r="P380" s="48">
        <v>176.47275289982994</v>
      </c>
      <c r="Q380" s="48">
        <v>159.91149599366889</v>
      </c>
      <c r="R380" s="48">
        <v>128.42751447925554</v>
      </c>
      <c r="S380" s="48">
        <v>54.032159112150715</v>
      </c>
      <c r="T380" s="48">
        <v>16.101119581738438</v>
      </c>
      <c r="U380" s="48">
        <v>12.821360979058218</v>
      </c>
      <c r="V380" s="48">
        <v>12.263238242203046</v>
      </c>
      <c r="W380" s="48">
        <v>32.475164815542463</v>
      </c>
      <c r="X380" s="48">
        <v>99.120386451118904</v>
      </c>
      <c r="Y380" s="48">
        <v>155.68740136790333</v>
      </c>
      <c r="Z380" s="48">
        <v>281.88322028993008</v>
      </c>
      <c r="AA380" s="48"/>
      <c r="AB380" s="48">
        <v>153.74701699399452</v>
      </c>
      <c r="AC380" s="48">
        <v>115.18430521206179</v>
      </c>
      <c r="AD380" s="48">
        <v>89.222923287683528</v>
      </c>
      <c r="AE380" s="48">
        <v>76.580722782059226</v>
      </c>
      <c r="AF380" s="48">
        <v>30.369096346810274</v>
      </c>
      <c r="AG380" s="48">
        <v>7.7076668522250014</v>
      </c>
      <c r="AH380" s="48">
        <v>4.5285805719495409</v>
      </c>
      <c r="AI380" s="48">
        <v>2.9818504502303695</v>
      </c>
      <c r="AJ380" s="48">
        <v>17.659452570342815</v>
      </c>
      <c r="AK380" s="48">
        <v>50.911670702953174</v>
      </c>
      <c r="AL380" s="48">
        <v>101.86268861542517</v>
      </c>
      <c r="AM380" s="38">
        <v>181.44484125665747</v>
      </c>
      <c r="AN380" s="38"/>
      <c r="AO380" s="38"/>
      <c r="AP380" s="38"/>
      <c r="AQ380" s="38"/>
      <c r="AR380" s="38"/>
      <c r="AS380" s="50"/>
      <c r="AT380" s="38"/>
      <c r="AU380" s="38"/>
      <c r="AV380" s="38"/>
      <c r="AW380" s="38"/>
      <c r="AX380" s="38"/>
      <c r="AY380" s="38"/>
      <c r="AZ380" s="50"/>
      <c r="BA380" s="38"/>
      <c r="BB380" s="38"/>
      <c r="BC380" s="38"/>
      <c r="BD380" s="38"/>
      <c r="BE380" s="38"/>
      <c r="BF380" s="38"/>
      <c r="BG380" s="38"/>
      <c r="BH380" s="50"/>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50"/>
      <c r="CE380" s="38"/>
      <c r="CF380" s="38"/>
      <c r="CG380" s="38"/>
      <c r="CH380" s="38"/>
      <c r="CI380" s="38"/>
      <c r="CJ380" s="38"/>
      <c r="CK380" s="38"/>
      <c r="CL380" s="38"/>
      <c r="CM380" s="38"/>
      <c r="CN380" s="38"/>
      <c r="CO380" s="38"/>
      <c r="CP380" s="38"/>
      <c r="CQ380" s="38"/>
      <c r="CR380" s="38"/>
      <c r="CS380" s="38"/>
      <c r="CT380" s="38"/>
      <c r="CU380" s="38"/>
      <c r="CV380" s="38"/>
      <c r="CW380" s="50"/>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row>
    <row r="381" spans="1:131">
      <c r="A381" s="27" t="s">
        <v>849</v>
      </c>
      <c r="B381" s="27"/>
      <c r="C381" s="48">
        <v>1493.0432070782967</v>
      </c>
      <c r="D381" s="48">
        <v>663.32648072192512</v>
      </c>
      <c r="E381" s="48">
        <v>132.66529614438502</v>
      </c>
      <c r="F381" s="48">
        <v>795.99177686631015</v>
      </c>
      <c r="G381" s="48">
        <v>574.94050544515198</v>
      </c>
      <c r="H381" s="48">
        <v>1384.6521653757327</v>
      </c>
      <c r="I381" s="48">
        <v>4670.2519607546838</v>
      </c>
      <c r="J381" s="48">
        <v>-5.8925163702700196</v>
      </c>
      <c r="K381" s="48">
        <v>-1.1654223661305556</v>
      </c>
      <c r="L381" s="49">
        <v>2.4083399104115224</v>
      </c>
      <c r="M381" s="48">
        <v>14.184088692399534</v>
      </c>
      <c r="N381" s="48">
        <v>0.69916353553121158</v>
      </c>
      <c r="O381" s="48">
        <v>148.93978108601107</v>
      </c>
      <c r="P381" s="48">
        <v>108.66643540021519</v>
      </c>
      <c r="Q381" s="48">
        <v>98.468528220962185</v>
      </c>
      <c r="R381" s="48">
        <v>80.113589165126228</v>
      </c>
      <c r="S381" s="48">
        <v>38.471485319348353</v>
      </c>
      <c r="T381" s="48">
        <v>15.672086279477517</v>
      </c>
      <c r="U381" s="48">
        <v>47.291286329050756</v>
      </c>
      <c r="V381" s="48">
        <v>47.00878274685715</v>
      </c>
      <c r="W381" s="48">
        <v>36.300474526167704</v>
      </c>
      <c r="X381" s="48">
        <v>64.001707000617458</v>
      </c>
      <c r="Y381" s="48">
        <v>95.867462060705151</v>
      </c>
      <c r="Z381" s="48">
        <v>173.5749244271569</v>
      </c>
      <c r="AA381" s="48"/>
      <c r="AB381" s="48">
        <v>94.67263368207928</v>
      </c>
      <c r="AC381" s="48">
        <v>70.926914527989126</v>
      </c>
      <c r="AD381" s="48">
        <v>54.940702574990894</v>
      </c>
      <c r="AE381" s="48">
        <v>47.425962423683302</v>
      </c>
      <c r="AF381" s="48">
        <v>20.017412752388438</v>
      </c>
      <c r="AG381" s="48">
        <v>5.7921524752241158</v>
      </c>
      <c r="AH381" s="48">
        <v>13.539812358913977</v>
      </c>
      <c r="AI381" s="48">
        <v>8.8276818794656169</v>
      </c>
      <c r="AJ381" s="48">
        <v>16.012410697294026</v>
      </c>
      <c r="AK381" s="48">
        <v>32.059011152841812</v>
      </c>
      <c r="AL381" s="48">
        <v>62.723877143818285</v>
      </c>
      <c r="AM381" s="38">
        <v>111.72809284791221</v>
      </c>
      <c r="AN381" s="38"/>
      <c r="AO381" s="38"/>
      <c r="AP381" s="38"/>
      <c r="AQ381" s="38"/>
      <c r="AR381" s="38"/>
      <c r="AS381" s="50"/>
      <c r="AT381" s="38"/>
      <c r="AU381" s="38"/>
      <c r="AV381" s="38"/>
      <c r="AW381" s="38"/>
      <c r="AX381" s="38"/>
      <c r="AY381" s="38"/>
      <c r="AZ381" s="50"/>
      <c r="BA381" s="38"/>
      <c r="BB381" s="38"/>
      <c r="BC381" s="38"/>
      <c r="BD381" s="38"/>
      <c r="BE381" s="38"/>
      <c r="BF381" s="38"/>
      <c r="BG381" s="38"/>
      <c r="BH381" s="50"/>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50"/>
      <c r="CE381" s="38"/>
      <c r="CF381" s="38"/>
      <c r="CG381" s="38"/>
      <c r="CH381" s="38"/>
      <c r="CI381" s="38"/>
      <c r="CJ381" s="38"/>
      <c r="CK381" s="38"/>
      <c r="CL381" s="38"/>
      <c r="CM381" s="38"/>
      <c r="CN381" s="38"/>
      <c r="CO381" s="38"/>
      <c r="CP381" s="38"/>
      <c r="CQ381" s="38"/>
      <c r="CR381" s="38"/>
      <c r="CS381" s="38"/>
      <c r="CT381" s="38"/>
      <c r="CU381" s="38"/>
      <c r="CV381" s="38"/>
      <c r="CW381" s="50"/>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row>
    <row r="382" spans="1:131">
      <c r="A382" s="27" t="s">
        <v>877</v>
      </c>
      <c r="B382" s="27"/>
      <c r="C382" s="48">
        <v>1430.1806332760389</v>
      </c>
      <c r="D382" s="48">
        <v>688.8802831401041</v>
      </c>
      <c r="E382" s="48">
        <v>137.77605662802083</v>
      </c>
      <c r="F382" s="48">
        <v>826.65633976812489</v>
      </c>
      <c r="G382" s="48">
        <v>597.08935145890302</v>
      </c>
      <c r="H382" s="48">
        <v>1328.700670429286</v>
      </c>
      <c r="I382" s="48">
        <v>5063.3530953226746</v>
      </c>
      <c r="J382" s="48">
        <v>-4.2060098482085699</v>
      </c>
      <c r="K382" s="48">
        <v>1.0991025649408628</v>
      </c>
      <c r="L382" s="49">
        <v>2.2252962093241062</v>
      </c>
      <c r="M382" s="48">
        <v>13.586885236488079</v>
      </c>
      <c r="N382" s="48">
        <v>0.67112157068610512</v>
      </c>
      <c r="O382" s="48">
        <v>142.96612271711675</v>
      </c>
      <c r="P382" s="48">
        <v>104.30805541259093</v>
      </c>
      <c r="Q382" s="48">
        <v>94.519164636627607</v>
      </c>
      <c r="R382" s="48">
        <v>76.87784950809376</v>
      </c>
      <c r="S382" s="48">
        <v>36.814820482713046</v>
      </c>
      <c r="T382" s="48">
        <v>14.917675299203953</v>
      </c>
      <c r="U382" s="48">
        <v>44.533483967347806</v>
      </c>
      <c r="V382" s="48">
        <v>44.260974043394356</v>
      </c>
      <c r="W382" s="48">
        <v>34.488213502054599</v>
      </c>
      <c r="X382" s="48">
        <v>61.369899308203827</v>
      </c>
      <c r="Y382" s="48">
        <v>92.022421717098936</v>
      </c>
      <c r="Z382" s="48">
        <v>166.61320276774543</v>
      </c>
      <c r="AA382" s="48"/>
      <c r="AB382" s="48">
        <v>90.875515367707493</v>
      </c>
      <c r="AC382" s="48">
        <v>68.082186588545625</v>
      </c>
      <c r="AD382" s="48">
        <v>52.737147652746863</v>
      </c>
      <c r="AE382" s="48">
        <v>45.517908069604303</v>
      </c>
      <c r="AF382" s="48">
        <v>19.185770876276543</v>
      </c>
      <c r="AG382" s="48">
        <v>5.5369798206130252</v>
      </c>
      <c r="AH382" s="48">
        <v>12.761778766333265</v>
      </c>
      <c r="AI382" s="48">
        <v>8.3208142622270689</v>
      </c>
      <c r="AJ382" s="48">
        <v>15.257884386625253</v>
      </c>
      <c r="AK382" s="48">
        <v>30.757692226174807</v>
      </c>
      <c r="AL382" s="48">
        <v>60.208155615979535</v>
      </c>
      <c r="AM382" s="38">
        <v>107.24691628101434</v>
      </c>
      <c r="AN382" s="38"/>
      <c r="AO382" s="38"/>
      <c r="AP382" s="38"/>
      <c r="AQ382" s="38"/>
      <c r="AR382" s="38"/>
      <c r="AS382" s="50"/>
      <c r="AT382" s="38"/>
      <c r="AU382" s="38"/>
      <c r="AV382" s="38"/>
      <c r="AW382" s="38"/>
      <c r="AX382" s="38"/>
      <c r="AY382" s="38"/>
      <c r="AZ382" s="50"/>
      <c r="BA382" s="38"/>
      <c r="BB382" s="38"/>
      <c r="BC382" s="38"/>
      <c r="BD382" s="38"/>
      <c r="BE382" s="38"/>
      <c r="BF382" s="38"/>
      <c r="BG382" s="38"/>
      <c r="BH382" s="50"/>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50"/>
      <c r="CE382" s="38"/>
      <c r="CF382" s="38"/>
      <c r="CG382" s="38"/>
      <c r="CH382" s="38"/>
      <c r="CI382" s="38"/>
      <c r="CJ382" s="38"/>
      <c r="CK382" s="38"/>
      <c r="CL382" s="38"/>
      <c r="CM382" s="38"/>
      <c r="CN382" s="38"/>
      <c r="CO382" s="38"/>
      <c r="CP382" s="38"/>
      <c r="CQ382" s="38"/>
      <c r="CR382" s="38"/>
      <c r="CS382" s="38"/>
      <c r="CT382" s="38"/>
      <c r="CU382" s="38"/>
      <c r="CV382" s="38"/>
      <c r="CW382" s="50"/>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row>
    <row r="383" spans="1:131">
      <c r="A383" s="27" t="s">
        <v>862</v>
      </c>
      <c r="B383" s="27"/>
      <c r="C383" s="48">
        <v>810.85108095413966</v>
      </c>
      <c r="D383" s="48">
        <v>595.71787033770602</v>
      </c>
      <c r="E383" s="48">
        <v>119.14357406754121</v>
      </c>
      <c r="F383" s="48">
        <v>714.8614444052472</v>
      </c>
      <c r="G383" s="48">
        <v>516.34051018423236</v>
      </c>
      <c r="H383" s="48">
        <v>762.01528352371224</v>
      </c>
      <c r="I383" s="48">
        <v>7722.9794719163037</v>
      </c>
      <c r="J383" s="48">
        <v>7.3231483139859979</v>
      </c>
      <c r="K383" s="48">
        <v>16.447363051407777</v>
      </c>
      <c r="L383" s="49">
        <v>1.475799919808388</v>
      </c>
      <c r="M383" s="48">
        <v>7.703177275469133</v>
      </c>
      <c r="N383" s="48">
        <v>0.38415491752086445</v>
      </c>
      <c r="O383" s="48">
        <v>81.83485895785536</v>
      </c>
      <c r="P383" s="48">
        <v>59.706697227479303</v>
      </c>
      <c r="Q383" s="48">
        <v>54.10346423227616</v>
      </c>
      <c r="R383" s="48">
        <v>43.946447527918281</v>
      </c>
      <c r="S383" s="48">
        <v>20.775762510126249</v>
      </c>
      <c r="T383" s="48">
        <v>8.2098097701090982</v>
      </c>
      <c r="U383" s="48">
        <v>23.238871294939905</v>
      </c>
      <c r="V383" s="48">
        <v>23.079387252151786</v>
      </c>
      <c r="W383" s="48">
        <v>18.809192058093117</v>
      </c>
      <c r="X383" s="48">
        <v>34.9589787806799</v>
      </c>
      <c r="Y383" s="48">
        <v>52.674310242572346</v>
      </c>
      <c r="Z383" s="48">
        <v>95.370621304417384</v>
      </c>
      <c r="AA383" s="48"/>
      <c r="AB383" s="48">
        <v>52.017812622321216</v>
      </c>
      <c r="AC383" s="48">
        <v>38.970743775713871</v>
      </c>
      <c r="AD383" s="48">
        <v>30.187130755036044</v>
      </c>
      <c r="AE383" s="48">
        <v>26.039351925458082</v>
      </c>
      <c r="AF383" s="48">
        <v>10.906774911787352</v>
      </c>
      <c r="AG383" s="48">
        <v>3.1096038732468969</v>
      </c>
      <c r="AH383" s="48">
        <v>6.6902496190235965</v>
      </c>
      <c r="AI383" s="48">
        <v>4.3631640763458002</v>
      </c>
      <c r="AJ383" s="48">
        <v>8.4399525333620886</v>
      </c>
      <c r="AK383" s="48">
        <v>17.565382324352914</v>
      </c>
      <c r="AL383" s="48">
        <v>34.46359059967979</v>
      </c>
      <c r="AM383" s="38">
        <v>61.388922779193138</v>
      </c>
      <c r="AN383" s="38"/>
      <c r="AO383" s="38"/>
      <c r="AP383" s="38"/>
      <c r="AQ383" s="38"/>
      <c r="AR383" s="38"/>
      <c r="AS383" s="50"/>
      <c r="AT383" s="38"/>
      <c r="AU383" s="38"/>
      <c r="AV383" s="38"/>
      <c r="AW383" s="38"/>
      <c r="AX383" s="38"/>
      <c r="AY383" s="38"/>
      <c r="AZ383" s="50"/>
      <c r="BA383" s="38"/>
      <c r="BB383" s="38"/>
      <c r="BC383" s="38"/>
      <c r="BD383" s="38"/>
      <c r="BE383" s="38"/>
      <c r="BF383" s="38"/>
      <c r="BG383" s="38"/>
      <c r="BH383" s="50"/>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50"/>
      <c r="CE383" s="38"/>
      <c r="CF383" s="38"/>
      <c r="CG383" s="38"/>
      <c r="CH383" s="38"/>
      <c r="CI383" s="38"/>
      <c r="CJ383" s="38"/>
      <c r="CK383" s="38"/>
      <c r="CL383" s="38"/>
      <c r="CM383" s="38"/>
      <c r="CN383" s="38"/>
      <c r="CO383" s="38"/>
      <c r="CP383" s="38"/>
      <c r="CQ383" s="38"/>
      <c r="CR383" s="38"/>
      <c r="CS383" s="38"/>
      <c r="CT383" s="38"/>
      <c r="CU383" s="38"/>
      <c r="CV383" s="38"/>
      <c r="CW383" s="50"/>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row>
    <row r="384" spans="1:131">
      <c r="A384" s="27" t="s">
        <v>854</v>
      </c>
      <c r="B384" s="27"/>
      <c r="C384" s="48">
        <v>1286.2683666714556</v>
      </c>
      <c r="D384" s="48">
        <v>1034.2534120831954</v>
      </c>
      <c r="E384" s="48">
        <v>206.85068241663907</v>
      </c>
      <c r="F384" s="48">
        <v>1241.1040944998344</v>
      </c>
      <c r="G384" s="48">
        <v>896.44269719840054</v>
      </c>
      <c r="H384" s="48">
        <v>1260.7404684563878</v>
      </c>
      <c r="I384" s="48">
        <v>8452.4133139904407</v>
      </c>
      <c r="J384" s="48">
        <v>8.3877155783262047</v>
      </c>
      <c r="K384" s="48">
        <v>17.914039421903194</v>
      </c>
      <c r="L384" s="49">
        <v>1.406381548309229</v>
      </c>
      <c r="M384" s="48">
        <v>12.219642613444346</v>
      </c>
      <c r="N384" s="48">
        <v>0.65850115617751936</v>
      </c>
      <c r="O384" s="48">
        <v>140.27765045190438</v>
      </c>
      <c r="P384" s="48">
        <v>102.34654656919967</v>
      </c>
      <c r="Q384" s="48">
        <v>92.741735495883404</v>
      </c>
      <c r="R384" s="48">
        <v>74.54646718376182</v>
      </c>
      <c r="S384" s="48">
        <v>31.659209879130568</v>
      </c>
      <c r="T384" s="48">
        <v>9.6954598432118626</v>
      </c>
      <c r="U384" s="48">
        <v>9.8821149710136655</v>
      </c>
      <c r="V384" s="48">
        <v>9.5622263460787362</v>
      </c>
      <c r="W384" s="48">
        <v>19.846526871902395</v>
      </c>
      <c r="X384" s="48">
        <v>57.669726886632972</v>
      </c>
      <c r="Y384" s="48">
        <v>90.291943727892928</v>
      </c>
      <c r="Z384" s="48">
        <v>163.48004810042886</v>
      </c>
      <c r="AA384" s="48"/>
      <c r="AB384" s="48">
        <v>89.166604906895856</v>
      </c>
      <c r="AC384" s="48">
        <v>66.801903771052636</v>
      </c>
      <c r="AD384" s="48">
        <v>51.745427683594727</v>
      </c>
      <c r="AE384" s="48">
        <v>44.430260763875758</v>
      </c>
      <c r="AF384" s="48">
        <v>17.694541624810864</v>
      </c>
      <c r="AG384" s="48">
        <v>4.5350638583250724</v>
      </c>
      <c r="AH384" s="48">
        <v>3.2939709531255938</v>
      </c>
      <c r="AI384" s="48">
        <v>2.1634788121957693</v>
      </c>
      <c r="AJ384" s="48">
        <v>10.560773672711321</v>
      </c>
      <c r="AK384" s="48">
        <v>29.570598383722167</v>
      </c>
      <c r="AL384" s="48">
        <v>59.075943638506843</v>
      </c>
      <c r="AM384" s="38">
        <v>105.23014227559788</v>
      </c>
      <c r="AN384" s="38"/>
      <c r="AO384" s="38"/>
      <c r="AP384" s="38"/>
      <c r="AQ384" s="38"/>
      <c r="AR384" s="38"/>
      <c r="AS384" s="50"/>
      <c r="AT384" s="38"/>
      <c r="AU384" s="38"/>
      <c r="AV384" s="38"/>
      <c r="AW384" s="38"/>
      <c r="AX384" s="38"/>
      <c r="AY384" s="38"/>
      <c r="AZ384" s="50"/>
      <c r="BA384" s="38"/>
      <c r="BB384" s="38"/>
      <c r="BC384" s="38"/>
      <c r="BD384" s="38"/>
      <c r="BE384" s="38"/>
      <c r="BF384" s="38"/>
      <c r="BG384" s="38"/>
      <c r="BH384" s="50"/>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50"/>
      <c r="CE384" s="38"/>
      <c r="CF384" s="38"/>
      <c r="CG384" s="38"/>
      <c r="CH384" s="38"/>
      <c r="CI384" s="38"/>
      <c r="CJ384" s="38"/>
      <c r="CK384" s="38"/>
      <c r="CL384" s="38"/>
      <c r="CM384" s="38"/>
      <c r="CN384" s="38"/>
      <c r="CO384" s="38"/>
      <c r="CP384" s="38"/>
      <c r="CQ384" s="38"/>
      <c r="CR384" s="38"/>
      <c r="CS384" s="38"/>
      <c r="CT384" s="38"/>
      <c r="CU384" s="38"/>
      <c r="CV384" s="38"/>
      <c r="CW384" s="50"/>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row>
    <row r="385" spans="1:131">
      <c r="A385" s="27" t="s">
        <v>882</v>
      </c>
      <c r="B385" s="27"/>
      <c r="C385" s="48">
        <v>1259.0493800803215</v>
      </c>
      <c r="D385" s="48">
        <v>1074.0966990780664</v>
      </c>
      <c r="E385" s="48">
        <v>214.81933981561329</v>
      </c>
      <c r="F385" s="48">
        <v>1288.9160388936798</v>
      </c>
      <c r="G385" s="48">
        <v>930.97700304805733</v>
      </c>
      <c r="H385" s="48">
        <v>1242.2265105047059</v>
      </c>
      <c r="I385" s="48">
        <v>8967.8011675668567</v>
      </c>
      <c r="J385" s="48">
        <v>10.662077126482917</v>
      </c>
      <c r="K385" s="48">
        <v>20.563825946152182</v>
      </c>
      <c r="L385" s="49">
        <v>1.3343256669473089</v>
      </c>
      <c r="M385" s="48">
        <v>11.961060045549338</v>
      </c>
      <c r="N385" s="48">
        <v>0.6447752331267802</v>
      </c>
      <c r="O385" s="48">
        <v>137.35367648803441</v>
      </c>
      <c r="P385" s="48">
        <v>100.21321573213274</v>
      </c>
      <c r="Q385" s="48">
        <v>90.808609163352955</v>
      </c>
      <c r="R385" s="48">
        <v>72.989520140920405</v>
      </c>
      <c r="S385" s="48">
        <v>30.983746280014437</v>
      </c>
      <c r="T385" s="48">
        <v>9.4761458366805691</v>
      </c>
      <c r="U385" s="48">
        <v>9.5583009984417</v>
      </c>
      <c r="V385" s="48">
        <v>9.2448972378790231</v>
      </c>
      <c r="W385" s="48">
        <v>19.384081071154988</v>
      </c>
      <c r="X385" s="48">
        <v>56.458775869204835</v>
      </c>
      <c r="Y385" s="48">
        <v>88.409881319825374</v>
      </c>
      <c r="Z385" s="48">
        <v>160.07243895729061</v>
      </c>
      <c r="AA385" s="48"/>
      <c r="AB385" s="48">
        <v>87.30799927474753</v>
      </c>
      <c r="AC385" s="48">
        <v>65.409472213108387</v>
      </c>
      <c r="AD385" s="48">
        <v>50.666836170201634</v>
      </c>
      <c r="AE385" s="48">
        <v>43.503340639797763</v>
      </c>
      <c r="AF385" s="48">
        <v>17.3217740609843</v>
      </c>
      <c r="AG385" s="48">
        <v>4.4374056414362855</v>
      </c>
      <c r="AH385" s="48">
        <v>3.1931551671670464</v>
      </c>
      <c r="AI385" s="48">
        <v>2.0974720096842785</v>
      </c>
      <c r="AJ385" s="48">
        <v>10.325274994275114</v>
      </c>
      <c r="AK385" s="48">
        <v>28.952102131950621</v>
      </c>
      <c r="AL385" s="48">
        <v>57.844553459575465</v>
      </c>
      <c r="AM385" s="38">
        <v>103.03670522246108</v>
      </c>
      <c r="AN385" s="38"/>
      <c r="AO385" s="38"/>
      <c r="AP385" s="38"/>
      <c r="AQ385" s="38"/>
      <c r="AR385" s="38"/>
      <c r="AS385" s="50"/>
      <c r="AT385" s="38"/>
      <c r="AU385" s="38"/>
      <c r="AV385" s="38"/>
      <c r="AW385" s="38"/>
      <c r="AX385" s="38"/>
      <c r="AY385" s="38"/>
      <c r="AZ385" s="50"/>
      <c r="BA385" s="38"/>
      <c r="BB385" s="38"/>
      <c r="BC385" s="38"/>
      <c r="BD385" s="38"/>
      <c r="BE385" s="38"/>
      <c r="BF385" s="38"/>
      <c r="BG385" s="38"/>
      <c r="BH385" s="50"/>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50"/>
      <c r="CE385" s="38"/>
      <c r="CF385" s="38"/>
      <c r="CG385" s="38"/>
      <c r="CH385" s="38"/>
      <c r="CI385" s="38"/>
      <c r="CJ385" s="38"/>
      <c r="CK385" s="38"/>
      <c r="CL385" s="38"/>
      <c r="CM385" s="38"/>
      <c r="CN385" s="38"/>
      <c r="CO385" s="38"/>
      <c r="CP385" s="38"/>
      <c r="CQ385" s="38"/>
      <c r="CR385" s="38"/>
      <c r="CS385" s="38"/>
      <c r="CT385" s="38"/>
      <c r="CU385" s="38"/>
      <c r="CV385" s="38"/>
      <c r="CW385" s="50"/>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row>
    <row r="386" spans="1:131">
      <c r="A386" s="27" t="s">
        <v>863</v>
      </c>
      <c r="B386" s="27"/>
      <c r="C386" s="48">
        <v>821.68425829354476</v>
      </c>
      <c r="D386" s="48">
        <v>680.29789045028565</v>
      </c>
      <c r="E386" s="48">
        <v>136.05957809005713</v>
      </c>
      <c r="F386" s="48">
        <v>816.35746854034278</v>
      </c>
      <c r="G386" s="48">
        <v>589.65053311768042</v>
      </c>
      <c r="H386" s="48">
        <v>773.04874893035753</v>
      </c>
      <c r="I386" s="48">
        <v>8703.2109380615893</v>
      </c>
      <c r="J386" s="48">
        <v>11.662853044376721</v>
      </c>
      <c r="K386" s="48">
        <v>22.318173045115</v>
      </c>
      <c r="L386" s="49">
        <v>1.3110286610663933</v>
      </c>
      <c r="M386" s="48">
        <v>7.8060936291001717</v>
      </c>
      <c r="N386" s="48">
        <v>0.38934340794320083</v>
      </c>
      <c r="O386" s="48">
        <v>82.940140609997727</v>
      </c>
      <c r="P386" s="48">
        <v>60.513110506562967</v>
      </c>
      <c r="Q386" s="48">
        <v>54.834198873904519</v>
      </c>
      <c r="R386" s="48">
        <v>44.539103036132687</v>
      </c>
      <c r="S386" s="48">
        <v>21.051849933327656</v>
      </c>
      <c r="T386" s="48">
        <v>8.3156944250062672</v>
      </c>
      <c r="U386" s="48">
        <v>23.51853478902855</v>
      </c>
      <c r="V386" s="48">
        <v>23.356843603048986</v>
      </c>
      <c r="W386" s="48">
        <v>19.049078059181095</v>
      </c>
      <c r="X386" s="48">
        <v>35.428567645510846</v>
      </c>
      <c r="Y386" s="48">
        <v>53.385742380316408</v>
      </c>
      <c r="Z386" s="48">
        <v>96.658720278663523</v>
      </c>
      <c r="AA386" s="48"/>
      <c r="AB386" s="48">
        <v>52.720377942384161</v>
      </c>
      <c r="AC386" s="48">
        <v>39.497092187798522</v>
      </c>
      <c r="AD386" s="48">
        <v>30.594845537944721</v>
      </c>
      <c r="AE386" s="48">
        <v>26.39081141741379</v>
      </c>
      <c r="AF386" s="48">
        <v>11.052940923025238</v>
      </c>
      <c r="AG386" s="48">
        <v>3.1506947310159266</v>
      </c>
      <c r="AH386" s="48">
        <v>6.7712748395048106</v>
      </c>
      <c r="AI386" s="48">
        <v>4.4160235247306314</v>
      </c>
      <c r="AJ386" s="48">
        <v>8.5494832242697836</v>
      </c>
      <c r="AK386" s="48">
        <v>17.802008919250316</v>
      </c>
      <c r="AL386" s="48">
        <v>34.929064296853142</v>
      </c>
      <c r="AM386" s="38">
        <v>62.21805660867247</v>
      </c>
      <c r="AN386" s="38"/>
      <c r="AO386" s="38"/>
      <c r="AP386" s="38"/>
      <c r="AQ386" s="38"/>
      <c r="AR386" s="38"/>
      <c r="AS386" s="50"/>
      <c r="AT386" s="38"/>
      <c r="AU386" s="38"/>
      <c r="AV386" s="38"/>
      <c r="AW386" s="38"/>
      <c r="AX386" s="38"/>
      <c r="AY386" s="38"/>
      <c r="AZ386" s="50"/>
      <c r="BA386" s="38"/>
      <c r="BB386" s="38"/>
      <c r="BC386" s="38"/>
      <c r="BD386" s="38"/>
      <c r="BE386" s="38"/>
      <c r="BF386" s="38"/>
      <c r="BG386" s="38"/>
      <c r="BH386" s="50"/>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50"/>
      <c r="CE386" s="38"/>
      <c r="CF386" s="38"/>
      <c r="CG386" s="38"/>
      <c r="CH386" s="38"/>
      <c r="CI386" s="38"/>
      <c r="CJ386" s="38"/>
      <c r="CK386" s="38"/>
      <c r="CL386" s="38"/>
      <c r="CM386" s="38"/>
      <c r="CN386" s="38"/>
      <c r="CO386" s="38"/>
      <c r="CP386" s="38"/>
      <c r="CQ386" s="38"/>
      <c r="CR386" s="38"/>
      <c r="CS386" s="38"/>
      <c r="CT386" s="38"/>
      <c r="CU386" s="38"/>
      <c r="CV386" s="38"/>
      <c r="CW386" s="50"/>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row>
    <row r="387" spans="1:131">
      <c r="A387" s="27" t="s">
        <v>844</v>
      </c>
      <c r="B387" s="27"/>
      <c r="C387" s="48">
        <v>1451.4464353474798</v>
      </c>
      <c r="D387" s="48">
        <v>1388.7391906273035</v>
      </c>
      <c r="E387" s="48">
        <v>277.7478381254607</v>
      </c>
      <c r="F387" s="48">
        <v>1666.4870287527642</v>
      </c>
      <c r="G387" s="48">
        <v>1203.6944632781369</v>
      </c>
      <c r="H387" s="48">
        <v>1478.3334047855305</v>
      </c>
      <c r="I387" s="48">
        <v>10057.84713535041</v>
      </c>
      <c r="J387" s="48">
        <v>16.247744372193427</v>
      </c>
      <c r="K387" s="48">
        <v>24.826671733747755</v>
      </c>
      <c r="L387" s="49">
        <v>1.2281633337079934</v>
      </c>
      <c r="M387" s="48">
        <v>13.788866739803893</v>
      </c>
      <c r="N387" s="48">
        <v>0.72399088979316295</v>
      </c>
      <c r="O387" s="48">
        <v>154.22864487938722</v>
      </c>
      <c r="P387" s="48">
        <v>112.52518939832636</v>
      </c>
      <c r="Q387" s="48">
        <v>101.96515370206274</v>
      </c>
      <c r="R387" s="48">
        <v>82.242297596346376</v>
      </c>
      <c r="S387" s="48">
        <v>36.228796978622789</v>
      </c>
      <c r="T387" s="48">
        <v>12.232994879138973</v>
      </c>
      <c r="U387" s="48">
        <v>21.630320947343872</v>
      </c>
      <c r="V387" s="48">
        <v>21.295334085277883</v>
      </c>
      <c r="W387" s="48">
        <v>26.27534018978583</v>
      </c>
      <c r="X387" s="48">
        <v>64.215749518519345</v>
      </c>
      <c r="Y387" s="48">
        <v>99.271723469971761</v>
      </c>
      <c r="Z387" s="48">
        <v>179.73858417304203</v>
      </c>
      <c r="AA387" s="48"/>
      <c r="AB387" s="48">
        <v>98.034466638014393</v>
      </c>
      <c r="AC387" s="48">
        <v>73.445535056955379</v>
      </c>
      <c r="AD387" s="48">
        <v>56.89165141157951</v>
      </c>
      <c r="AE387" s="48">
        <v>48.922733170930762</v>
      </c>
      <c r="AF387" s="48">
        <v>19.814212863924045</v>
      </c>
      <c r="AG387" s="48">
        <v>5.271920495195296</v>
      </c>
      <c r="AH387" s="48">
        <v>6.5594452318078265</v>
      </c>
      <c r="AI387" s="48">
        <v>4.289149001549287</v>
      </c>
      <c r="AJ387" s="48">
        <v>13.015151090477477</v>
      </c>
      <c r="AK387" s="48">
        <v>32.705266871960518</v>
      </c>
      <c r="AL387" s="48">
        <v>64.951207145159827</v>
      </c>
      <c r="AM387" s="38">
        <v>115.69556655210039</v>
      </c>
      <c r="AN387" s="38"/>
      <c r="AO387" s="38"/>
      <c r="AP387" s="38"/>
      <c r="AQ387" s="38"/>
      <c r="AR387" s="38"/>
      <c r="AS387" s="50"/>
      <c r="AT387" s="38"/>
      <c r="AU387" s="38"/>
      <c r="AV387" s="38"/>
      <c r="AW387" s="38"/>
      <c r="AX387" s="38"/>
      <c r="AY387" s="38"/>
      <c r="AZ387" s="50"/>
      <c r="BA387" s="38"/>
      <c r="BB387" s="38"/>
      <c r="BC387" s="38"/>
      <c r="BD387" s="38"/>
      <c r="BE387" s="38"/>
      <c r="BF387" s="38"/>
      <c r="BG387" s="38"/>
      <c r="BH387" s="50"/>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50"/>
      <c r="CE387" s="38"/>
      <c r="CF387" s="38"/>
      <c r="CG387" s="38"/>
      <c r="CH387" s="38"/>
      <c r="CI387" s="38"/>
      <c r="CJ387" s="38"/>
      <c r="CK387" s="38"/>
      <c r="CL387" s="38"/>
      <c r="CM387" s="38"/>
      <c r="CN387" s="38"/>
      <c r="CO387" s="38"/>
      <c r="CP387" s="38"/>
      <c r="CQ387" s="38"/>
      <c r="CR387" s="38"/>
      <c r="CS387" s="38"/>
      <c r="CT387" s="38"/>
      <c r="CU387" s="38"/>
      <c r="CV387" s="38"/>
      <c r="CW387" s="50"/>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row>
    <row r="388" spans="1:131">
      <c r="A388" s="27" t="s">
        <v>843</v>
      </c>
      <c r="B388" s="27"/>
      <c r="C388" s="48">
        <v>778.80226042812978</v>
      </c>
      <c r="D388" s="48">
        <v>789.31624793152037</v>
      </c>
      <c r="E388" s="48">
        <v>157.86324958630408</v>
      </c>
      <c r="F388" s="48">
        <v>947.17949751782442</v>
      </c>
      <c r="G388" s="48">
        <v>684.14256890199761</v>
      </c>
      <c r="H388" s="48">
        <v>784.79011206122198</v>
      </c>
      <c r="I388" s="48">
        <v>10653.914118963759</v>
      </c>
      <c r="J388" s="48">
        <v>16.017267427749879</v>
      </c>
      <c r="K388" s="48">
        <v>29.256890208988256</v>
      </c>
      <c r="L388" s="49">
        <v>1.1471148671844187</v>
      </c>
      <c r="M388" s="48">
        <v>7.3986464994862677</v>
      </c>
      <c r="N388" s="48">
        <v>0.4278636079896535</v>
      </c>
      <c r="O388" s="48">
        <v>91.145932060418559</v>
      </c>
      <c r="P388" s="48">
        <v>66.500054357647656</v>
      </c>
      <c r="Q388" s="48">
        <v>60.25929216408786</v>
      </c>
      <c r="R388" s="48">
        <v>48.00575707181163</v>
      </c>
      <c r="S388" s="48">
        <v>18.398287401744604</v>
      </c>
      <c r="T388" s="48">
        <v>3.8944187079806136</v>
      </c>
      <c r="U388" s="48">
        <v>-10.037132658043289</v>
      </c>
      <c r="V388" s="48">
        <v>-10.27053612841247</v>
      </c>
      <c r="W388" s="48">
        <v>6.0845482015238348</v>
      </c>
      <c r="X388" s="48">
        <v>36.231865511105944</v>
      </c>
      <c r="Y388" s="48">
        <v>58.667530730045385</v>
      </c>
      <c r="Z388" s="48">
        <v>106.22177737788994</v>
      </c>
      <c r="AA388" s="48"/>
      <c r="AB388" s="48">
        <v>57.936337589918487</v>
      </c>
      <c r="AC388" s="48">
        <v>43.404788738677681</v>
      </c>
      <c r="AD388" s="48">
        <v>33.621786655909865</v>
      </c>
      <c r="AE388" s="48">
        <v>28.755962608687199</v>
      </c>
      <c r="AF388" s="48">
        <v>10.946881105825243</v>
      </c>
      <c r="AG388" s="48">
        <v>2.5096965452824653</v>
      </c>
      <c r="AH388" s="48">
        <v>-2.351140662053421</v>
      </c>
      <c r="AI388" s="48">
        <v>-1.5150405046939885</v>
      </c>
      <c r="AJ388" s="48">
        <v>4.7153550310241528</v>
      </c>
      <c r="AK388" s="48">
        <v>18.917339961249489</v>
      </c>
      <c r="AL388" s="48">
        <v>38.38481702490877</v>
      </c>
      <c r="AM388" s="38">
        <v>68.373681535593576</v>
      </c>
      <c r="AN388" s="38"/>
      <c r="AO388" s="38"/>
      <c r="AP388" s="38"/>
      <c r="AQ388" s="38"/>
      <c r="AR388" s="38"/>
      <c r="AS388" s="50"/>
      <c r="AT388" s="38"/>
      <c r="AU388" s="38"/>
      <c r="AV388" s="38"/>
      <c r="AW388" s="38"/>
      <c r="AX388" s="38"/>
      <c r="AY388" s="38"/>
      <c r="AZ388" s="50"/>
      <c r="BA388" s="38"/>
      <c r="BB388" s="38"/>
      <c r="BC388" s="38"/>
      <c r="BD388" s="38"/>
      <c r="BE388" s="38"/>
      <c r="BF388" s="38"/>
      <c r="BG388" s="38"/>
      <c r="BH388" s="50"/>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50"/>
      <c r="CE388" s="38"/>
      <c r="CF388" s="38"/>
      <c r="CG388" s="38"/>
      <c r="CH388" s="38"/>
      <c r="CI388" s="38"/>
      <c r="CJ388" s="38"/>
      <c r="CK388" s="38"/>
      <c r="CL388" s="38"/>
      <c r="CM388" s="38"/>
      <c r="CN388" s="38"/>
      <c r="CO388" s="38"/>
      <c r="CP388" s="38"/>
      <c r="CQ388" s="38"/>
      <c r="CR388" s="38"/>
      <c r="CS388" s="38"/>
      <c r="CT388" s="38"/>
      <c r="CU388" s="38"/>
      <c r="CV388" s="38"/>
      <c r="CW388" s="50"/>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row>
    <row r="389" spans="1:131">
      <c r="A389" s="27" t="s">
        <v>846</v>
      </c>
      <c r="B389" s="27"/>
      <c r="C389" s="48">
        <v>1582.757261387319</v>
      </c>
      <c r="D389" s="48">
        <v>1635.52300175959</v>
      </c>
      <c r="E389" s="48">
        <v>327.10460035191801</v>
      </c>
      <c r="F389" s="48">
        <v>1962.6276021115079</v>
      </c>
      <c r="G389" s="48">
        <v>1417.5951791875295</v>
      </c>
      <c r="H389" s="48">
        <v>1616.2703555608534</v>
      </c>
      <c r="I389" s="48">
        <v>10862.447586831559</v>
      </c>
      <c r="J389" s="48">
        <v>19.792427969687754</v>
      </c>
      <c r="K389" s="48">
        <v>29.513409727402735</v>
      </c>
      <c r="L389" s="49">
        <v>1.1401494441362245</v>
      </c>
      <c r="M389" s="48">
        <v>15.03633033144208</v>
      </c>
      <c r="N389" s="48">
        <v>0.79006507718862173</v>
      </c>
      <c r="O389" s="48">
        <v>168.30414296530876</v>
      </c>
      <c r="P389" s="48">
        <v>122.79467007250808</v>
      </c>
      <c r="Q389" s="48">
        <v>111.27088498749593</v>
      </c>
      <c r="R389" s="48">
        <v>89.739312726515848</v>
      </c>
      <c r="S389" s="48">
        <v>39.491169671635284</v>
      </c>
      <c r="T389" s="48">
        <v>13.300701947272715</v>
      </c>
      <c r="U389" s="48">
        <v>23.270995905219532</v>
      </c>
      <c r="V389" s="48">
        <v>22.904919196318673</v>
      </c>
      <c r="W389" s="48">
        <v>28.535362080976622</v>
      </c>
      <c r="X389" s="48">
        <v>70.051221667417707</v>
      </c>
      <c r="Y389" s="48">
        <v>108.33164197460793</v>
      </c>
      <c r="Z389" s="48">
        <v>196.14221723013327</v>
      </c>
      <c r="AA389" s="48"/>
      <c r="AB389" s="48">
        <v>106.98146833537635</v>
      </c>
      <c r="AC389" s="48">
        <v>80.148456481974165</v>
      </c>
      <c r="AD389" s="48">
        <v>62.083801878665852</v>
      </c>
      <c r="AE389" s="48">
        <v>53.385325257272406</v>
      </c>
      <c r="AF389" s="48">
        <v>21.611388296793425</v>
      </c>
      <c r="AG389" s="48">
        <v>5.7442043263254394</v>
      </c>
      <c r="AH389" s="48">
        <v>7.0671028881810818</v>
      </c>
      <c r="AI389" s="48">
        <v>4.6214271936111908</v>
      </c>
      <c r="AJ389" s="48">
        <v>14.159481128379278</v>
      </c>
      <c r="AK389" s="48">
        <v>35.684073559221225</v>
      </c>
      <c r="AL389" s="48">
        <v>70.878903602357823</v>
      </c>
      <c r="AM389" s="38">
        <v>126.25438801375057</v>
      </c>
      <c r="AN389" s="38"/>
      <c r="AO389" s="38"/>
      <c r="AP389" s="38"/>
      <c r="AQ389" s="38"/>
      <c r="AR389" s="38"/>
      <c r="AS389" s="50"/>
      <c r="AT389" s="38"/>
      <c r="AU389" s="38"/>
      <c r="AV389" s="38"/>
      <c r="AW389" s="38"/>
      <c r="AX389" s="38"/>
      <c r="AY389" s="38"/>
      <c r="AZ389" s="50"/>
      <c r="BA389" s="38"/>
      <c r="BB389" s="38"/>
      <c r="BC389" s="38"/>
      <c r="BD389" s="38"/>
      <c r="BE389" s="38"/>
      <c r="BF389" s="38"/>
      <c r="BG389" s="38"/>
      <c r="BH389" s="50"/>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50"/>
      <c r="CE389" s="38"/>
      <c r="CF389" s="38"/>
      <c r="CG389" s="38"/>
      <c r="CH389" s="38"/>
      <c r="CI389" s="38"/>
      <c r="CJ389" s="38"/>
      <c r="CK389" s="38"/>
      <c r="CL389" s="38"/>
      <c r="CM389" s="38"/>
      <c r="CN389" s="38"/>
      <c r="CO389" s="38"/>
      <c r="CP389" s="38"/>
      <c r="CQ389" s="38"/>
      <c r="CR389" s="38"/>
      <c r="CS389" s="38"/>
      <c r="CT389" s="38"/>
      <c r="CU389" s="38"/>
      <c r="CV389" s="38"/>
      <c r="CW389" s="50"/>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row>
    <row r="390" spans="1:131">
      <c r="A390" s="27" t="s">
        <v>842</v>
      </c>
      <c r="B390" s="27"/>
      <c r="C390" s="48">
        <v>747.03411883358774</v>
      </c>
      <c r="D390" s="48">
        <v>765.78004410553206</v>
      </c>
      <c r="E390" s="48">
        <v>153.15600882110641</v>
      </c>
      <c r="F390" s="48">
        <v>918.93605292663847</v>
      </c>
      <c r="G390" s="48">
        <v>663.74248339772748</v>
      </c>
      <c r="H390" s="48">
        <v>750.11203228263219</v>
      </c>
      <c r="I390" s="48">
        <v>10775.786032646491</v>
      </c>
      <c r="J390" s="48">
        <v>16.595667647690256</v>
      </c>
      <c r="K390" s="48">
        <v>30.258643525641588</v>
      </c>
      <c r="L390" s="49">
        <v>1.1301250877339886</v>
      </c>
      <c r="M390" s="48">
        <v>7.0968486764610184</v>
      </c>
      <c r="N390" s="48">
        <v>0.40990583729839319</v>
      </c>
      <c r="O390" s="48">
        <v>87.320465914623398</v>
      </c>
      <c r="P390" s="48">
        <v>63.708994999451754</v>
      </c>
      <c r="Q390" s="48">
        <v>57.730162482354054</v>
      </c>
      <c r="R390" s="48">
        <v>45.997872165034664</v>
      </c>
      <c r="S390" s="48">
        <v>17.661141845383938</v>
      </c>
      <c r="T390" s="48">
        <v>3.7697680171650587</v>
      </c>
      <c r="U390" s="48">
        <v>-9.3503665074682303</v>
      </c>
      <c r="V390" s="48">
        <v>-9.5735616069267628</v>
      </c>
      <c r="W390" s="48">
        <v>5.939046141490393</v>
      </c>
      <c r="X390" s="48">
        <v>34.731177297132959</v>
      </c>
      <c r="Y390" s="48">
        <v>56.20520852222139</v>
      </c>
      <c r="Z390" s="48">
        <v>101.7635661980871</v>
      </c>
      <c r="AA390" s="48"/>
      <c r="AB390" s="48">
        <v>55.504704130789705</v>
      </c>
      <c r="AC390" s="48">
        <v>41.5830557646253</v>
      </c>
      <c r="AD390" s="48">
        <v>32.21065394043034</v>
      </c>
      <c r="AE390" s="48">
        <v>27.550871480040819</v>
      </c>
      <c r="AF390" s="48">
        <v>10.496307924692161</v>
      </c>
      <c r="AG390" s="48">
        <v>2.4114119013712085</v>
      </c>
      <c r="AH390" s="48">
        <v>-2.1800065061278113</v>
      </c>
      <c r="AI390" s="48">
        <v>-1.40433554525351</v>
      </c>
      <c r="AJ390" s="48">
        <v>4.5520757542238952</v>
      </c>
      <c r="AK390" s="48">
        <v>18.12814374789189</v>
      </c>
      <c r="AL390" s="48">
        <v>36.773776194869384</v>
      </c>
      <c r="AM390" s="38">
        <v>65.503984577484573</v>
      </c>
      <c r="AN390" s="38"/>
      <c r="AO390" s="38"/>
      <c r="AP390" s="38"/>
      <c r="AQ390" s="38"/>
      <c r="AR390" s="38"/>
      <c r="AS390" s="50"/>
      <c r="AT390" s="38"/>
      <c r="AU390" s="38"/>
      <c r="AV390" s="38"/>
      <c r="AW390" s="38"/>
      <c r="AX390" s="38"/>
      <c r="AY390" s="38"/>
      <c r="AZ390" s="50"/>
      <c r="BA390" s="38"/>
      <c r="BB390" s="38"/>
      <c r="BC390" s="38"/>
      <c r="BD390" s="38"/>
      <c r="BE390" s="38"/>
      <c r="BF390" s="38"/>
      <c r="BG390" s="38"/>
      <c r="BH390" s="50"/>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50"/>
      <c r="CE390" s="38"/>
      <c r="CF390" s="38"/>
      <c r="CG390" s="38"/>
      <c r="CH390" s="38"/>
      <c r="CI390" s="38"/>
      <c r="CJ390" s="38"/>
      <c r="CK390" s="38"/>
      <c r="CL390" s="38"/>
      <c r="CM390" s="38"/>
      <c r="CN390" s="38"/>
      <c r="CO390" s="38"/>
      <c r="CP390" s="38"/>
      <c r="CQ390" s="38"/>
      <c r="CR390" s="38"/>
      <c r="CS390" s="38"/>
      <c r="CT390" s="38"/>
      <c r="CU390" s="38"/>
      <c r="CV390" s="38"/>
      <c r="CW390" s="50"/>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row>
    <row r="391" spans="1:131">
      <c r="A391" s="27" t="s">
        <v>841</v>
      </c>
      <c r="B391" s="27"/>
      <c r="C391" s="48">
        <v>696.18068172704102</v>
      </c>
      <c r="D391" s="48">
        <v>737.53659951434634</v>
      </c>
      <c r="E391" s="48">
        <v>147.50731990286928</v>
      </c>
      <c r="F391" s="48">
        <v>885.04391941721565</v>
      </c>
      <c r="G391" s="48">
        <v>639.26238079260361</v>
      </c>
      <c r="H391" s="48">
        <v>695.02695722925739</v>
      </c>
      <c r="I391" s="48">
        <v>11136.454856606613</v>
      </c>
      <c r="J391" s="48">
        <v>18.253284969339905</v>
      </c>
      <c r="K391" s="48">
        <v>32.871622467373534</v>
      </c>
      <c r="L391" s="49">
        <v>1.0872326889743031</v>
      </c>
      <c r="M391" s="48">
        <v>6.6137401367092421</v>
      </c>
      <c r="N391" s="48">
        <v>0.38127328102225538</v>
      </c>
      <c r="O391" s="48">
        <v>81.220996410023531</v>
      </c>
      <c r="P391" s="48">
        <v>59.258823231612098</v>
      </c>
      <c r="Q391" s="48">
        <v>53.697621406576935</v>
      </c>
      <c r="R391" s="48">
        <v>42.794901601730594</v>
      </c>
      <c r="S391" s="48">
        <v>16.478138497052743</v>
      </c>
      <c r="T391" s="48">
        <v>3.5625277984431514</v>
      </c>
      <c r="U391" s="48">
        <v>-8.3134701851134096</v>
      </c>
      <c r="V391" s="48">
        <v>-8.5204788954921646</v>
      </c>
      <c r="W391" s="48">
        <v>5.6830046095935991</v>
      </c>
      <c r="X391" s="48">
        <v>32.33404707685505</v>
      </c>
      <c r="Y391" s="48">
        <v>52.2791878374926</v>
      </c>
      <c r="Z391" s="48">
        <v>94.655223815770341</v>
      </c>
      <c r="AA391" s="48"/>
      <c r="AB391" s="48">
        <v>51.627614760485571</v>
      </c>
      <c r="AC391" s="48">
        <v>38.678415049670839</v>
      </c>
      <c r="AD391" s="48">
        <v>29.96068997866027</v>
      </c>
      <c r="AE391" s="48">
        <v>25.629029948120209</v>
      </c>
      <c r="AF391" s="48">
        <v>9.7759541289748544</v>
      </c>
      <c r="AG391" s="48">
        <v>2.253160231278649</v>
      </c>
      <c r="AH391" s="48">
        <v>-1.9230018607804791</v>
      </c>
      <c r="AI391" s="48">
        <v>-1.2381359264623415</v>
      </c>
      <c r="AJ391" s="48">
        <v>4.2841580382333095</v>
      </c>
      <c r="AK391" s="48">
        <v>16.86877307001739</v>
      </c>
      <c r="AL391" s="48">
        <v>34.205071090972048</v>
      </c>
      <c r="AM391" s="38">
        <v>60.928430013325553</v>
      </c>
      <c r="AN391" s="38"/>
      <c r="AO391" s="38"/>
      <c r="AP391" s="38"/>
      <c r="AQ391" s="38"/>
      <c r="AR391" s="38"/>
      <c r="AS391" s="50"/>
      <c r="AT391" s="38"/>
      <c r="AU391" s="38"/>
      <c r="AV391" s="38"/>
      <c r="AW391" s="38"/>
      <c r="AX391" s="38"/>
      <c r="AY391" s="38"/>
      <c r="AZ391" s="50"/>
      <c r="BA391" s="38"/>
      <c r="BB391" s="38"/>
      <c r="BC391" s="38"/>
      <c r="BD391" s="38"/>
      <c r="BE391" s="38"/>
      <c r="BF391" s="38"/>
      <c r="BG391" s="38"/>
      <c r="BH391" s="50"/>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50"/>
      <c r="CE391" s="38"/>
      <c r="CF391" s="38"/>
      <c r="CG391" s="38"/>
      <c r="CH391" s="38"/>
      <c r="CI391" s="38"/>
      <c r="CJ391" s="38"/>
      <c r="CK391" s="38"/>
      <c r="CL391" s="38"/>
      <c r="CM391" s="38"/>
      <c r="CN391" s="38"/>
      <c r="CO391" s="38"/>
      <c r="CP391" s="38"/>
      <c r="CQ391" s="38"/>
      <c r="CR391" s="38"/>
      <c r="CS391" s="38"/>
      <c r="CT391" s="38"/>
      <c r="CU391" s="38"/>
      <c r="CV391" s="38"/>
      <c r="CW391" s="50"/>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row>
    <row r="392" spans="1:131">
      <c r="A392" s="27" t="s">
        <v>836</v>
      </c>
      <c r="B392" s="27"/>
      <c r="C392" s="48">
        <v>452.46669970672536</v>
      </c>
      <c r="D392" s="48">
        <v>504.9249428399313</v>
      </c>
      <c r="E392" s="48">
        <v>100.98498856798626</v>
      </c>
      <c r="F392" s="48">
        <v>605.90993140791761</v>
      </c>
      <c r="G392" s="48">
        <v>437.64542843564357</v>
      </c>
      <c r="H392" s="48">
        <v>449.28407048062797</v>
      </c>
      <c r="I392" s="48">
        <v>11730.743947728501</v>
      </c>
      <c r="J392" s="48">
        <v>24.325636125925989</v>
      </c>
      <c r="K392" s="48">
        <v>36.853078252497284</v>
      </c>
      <c r="L392" s="49">
        <v>1.0265937704104131</v>
      </c>
      <c r="M392" s="48">
        <v>4.2984785024942171</v>
      </c>
      <c r="N392" s="48">
        <v>0.22039383296775392</v>
      </c>
      <c r="O392" s="48">
        <v>46.949544086254463</v>
      </c>
      <c r="P392" s="48">
        <v>34.254378261589295</v>
      </c>
      <c r="Q392" s="48">
        <v>31.039742861908024</v>
      </c>
      <c r="R392" s="48">
        <v>25.116220344663656</v>
      </c>
      <c r="S392" s="48">
        <v>11.433831696366548</v>
      </c>
      <c r="T392" s="48">
        <v>4.1725780647525728</v>
      </c>
      <c r="U392" s="48">
        <v>9.6546497106177576</v>
      </c>
      <c r="V392" s="48">
        <v>9.5574415192158497</v>
      </c>
      <c r="W392" s="48">
        <v>9.2690853037082555</v>
      </c>
      <c r="X392" s="48">
        <v>19.779418482216293</v>
      </c>
      <c r="Y392" s="48">
        <v>30.21982175371377</v>
      </c>
      <c r="Z392" s="48">
        <v>54.715157409523655</v>
      </c>
      <c r="AA392" s="48"/>
      <c r="AB392" s="48">
        <v>29.843181965278685</v>
      </c>
      <c r="AC392" s="48">
        <v>22.357937390889528</v>
      </c>
      <c r="AD392" s="48">
        <v>17.318683556978847</v>
      </c>
      <c r="AE392" s="48">
        <v>14.913858954515687</v>
      </c>
      <c r="AF392" s="48">
        <v>6.1343832627231718</v>
      </c>
      <c r="AG392" s="48">
        <v>1.6863656647345879</v>
      </c>
      <c r="AH392" s="48">
        <v>2.8346122403655949</v>
      </c>
      <c r="AI392" s="48">
        <v>1.8505156766170554</v>
      </c>
      <c r="AJ392" s="48">
        <v>4.362421862271729</v>
      </c>
      <c r="AK392" s="48">
        <v>10.011245530821018</v>
      </c>
      <c r="AL392" s="48">
        <v>19.77213484370494</v>
      </c>
      <c r="AM392" s="38">
        <v>35.219489263294413</v>
      </c>
      <c r="AN392" s="38"/>
      <c r="AO392" s="38"/>
      <c r="AP392" s="38"/>
      <c r="AQ392" s="38"/>
      <c r="AR392" s="38"/>
      <c r="AS392" s="50"/>
      <c r="AT392" s="38"/>
      <c r="AU392" s="38"/>
      <c r="AV392" s="38"/>
      <c r="AW392" s="38"/>
      <c r="AX392" s="38"/>
      <c r="AY392" s="38"/>
      <c r="AZ392" s="50"/>
      <c r="BA392" s="38"/>
      <c r="BB392" s="38"/>
      <c r="BC392" s="38"/>
      <c r="BD392" s="38"/>
      <c r="BE392" s="38"/>
      <c r="BF392" s="38"/>
      <c r="BG392" s="38"/>
      <c r="BH392" s="50"/>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50"/>
      <c r="CE392" s="38"/>
      <c r="CF392" s="38"/>
      <c r="CG392" s="38"/>
      <c r="CH392" s="38"/>
      <c r="CI392" s="38"/>
      <c r="CJ392" s="38"/>
      <c r="CK392" s="38"/>
      <c r="CL392" s="38"/>
      <c r="CM392" s="38"/>
      <c r="CN392" s="38"/>
      <c r="CO392" s="38"/>
      <c r="CP392" s="38"/>
      <c r="CQ392" s="38"/>
      <c r="CR392" s="38"/>
      <c r="CS392" s="38"/>
      <c r="CT392" s="38"/>
      <c r="CU392" s="38"/>
      <c r="CV392" s="38"/>
      <c r="CW392" s="50"/>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row>
    <row r="393" spans="1:131">
      <c r="A393" s="27" t="s">
        <v>837</v>
      </c>
      <c r="B393" s="27"/>
      <c r="C393" s="48">
        <v>491.02684582146389</v>
      </c>
      <c r="D393" s="48">
        <v>588.47688837074031</v>
      </c>
      <c r="E393" s="48">
        <v>117.69537767414806</v>
      </c>
      <c r="F393" s="48">
        <v>706.17226604488837</v>
      </c>
      <c r="G393" s="48">
        <v>510.06436419428849</v>
      </c>
      <c r="H393" s="48">
        <v>488.07523693131822</v>
      </c>
      <c r="I393" s="48">
        <v>12598.229818176706</v>
      </c>
      <c r="J393" s="48">
        <v>28.161759264940045</v>
      </c>
      <c r="K393" s="48">
        <v>42.040973396789774</v>
      </c>
      <c r="L393" s="50">
        <v>0.95688950492021752</v>
      </c>
      <c r="M393" s="48">
        <v>4.6648036401190147</v>
      </c>
      <c r="N393" s="48">
        <v>0.23924423568170797</v>
      </c>
      <c r="O393" s="48">
        <v>50.965163767372879</v>
      </c>
      <c r="P393" s="48">
        <v>37.184173602285362</v>
      </c>
      <c r="Q393" s="48">
        <v>33.69458871310821</v>
      </c>
      <c r="R393" s="48">
        <v>27.263367720158765</v>
      </c>
      <c r="S393" s="48">
        <v>12.406449825653565</v>
      </c>
      <c r="T393" s="48">
        <v>4.5235666882136689</v>
      </c>
      <c r="U393" s="48">
        <v>10.440085415846143</v>
      </c>
      <c r="V393" s="48">
        <v>10.334500332298665</v>
      </c>
      <c r="W393" s="48">
        <v>10.045184780115715</v>
      </c>
      <c r="X393" s="48">
        <v>21.468125865528584</v>
      </c>
      <c r="Y393" s="48">
        <v>32.804539312869615</v>
      </c>
      <c r="Z393" s="48">
        <v>59.394974162281045</v>
      </c>
      <c r="AA393" s="48"/>
      <c r="AB393" s="48">
        <v>32.395685321366798</v>
      </c>
      <c r="AC393" s="48">
        <v>24.27022376477052</v>
      </c>
      <c r="AD393" s="48">
        <v>18.799959848282114</v>
      </c>
      <c r="AE393" s="48">
        <v>16.189172965188028</v>
      </c>
      <c r="AF393" s="48">
        <v>6.6577120146898823</v>
      </c>
      <c r="AG393" s="48">
        <v>1.8295305784519398</v>
      </c>
      <c r="AH393" s="48">
        <v>3.0660516292393281</v>
      </c>
      <c r="AI393" s="48">
        <v>2.0016337259917627</v>
      </c>
      <c r="AJ393" s="48">
        <v>4.7302818787051963</v>
      </c>
      <c r="AK393" s="48">
        <v>10.866786704406506</v>
      </c>
      <c r="AL393" s="48">
        <v>21.463256139158673</v>
      </c>
      <c r="AM393" s="38">
        <v>38.231831065480939</v>
      </c>
      <c r="AN393" s="38"/>
      <c r="AO393" s="38"/>
      <c r="AP393" s="38"/>
      <c r="AQ393" s="38"/>
      <c r="AR393" s="38"/>
      <c r="AS393" s="50"/>
      <c r="AT393" s="38"/>
      <c r="AU393" s="38"/>
      <c r="AV393" s="38"/>
      <c r="AW393" s="38"/>
      <c r="AX393" s="38"/>
      <c r="AY393" s="38"/>
      <c r="AZ393" s="50"/>
      <c r="BA393" s="38"/>
      <c r="BB393" s="38"/>
      <c r="BC393" s="38"/>
      <c r="BD393" s="38"/>
      <c r="BE393" s="38"/>
      <c r="BF393" s="38"/>
      <c r="BG393" s="38"/>
      <c r="BH393" s="50"/>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50"/>
      <c r="CE393" s="38"/>
      <c r="CF393" s="38"/>
      <c r="CG393" s="38"/>
      <c r="CH393" s="38"/>
      <c r="CI393" s="38"/>
      <c r="CJ393" s="38"/>
      <c r="CK393" s="38"/>
      <c r="CL393" s="38"/>
      <c r="CM393" s="38"/>
      <c r="CN393" s="38"/>
      <c r="CO393" s="38"/>
      <c r="CP393" s="38"/>
      <c r="CQ393" s="38"/>
      <c r="CR393" s="38"/>
      <c r="CS393" s="38"/>
      <c r="CT393" s="38"/>
      <c r="CU393" s="38"/>
      <c r="CV393" s="38"/>
      <c r="CW393" s="50"/>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row>
    <row r="394" spans="1:131">
      <c r="A394" s="27" t="s">
        <v>857</v>
      </c>
      <c r="B394" s="27"/>
      <c r="C394" s="48">
        <v>639.13948315058769</v>
      </c>
      <c r="D394" s="48">
        <v>779.09509607998802</v>
      </c>
      <c r="E394" s="48">
        <v>155.81901921599763</v>
      </c>
      <c r="F394" s="48">
        <v>934.91411529598565</v>
      </c>
      <c r="G394" s="48">
        <v>675.28335042883191</v>
      </c>
      <c r="H394" s="48">
        <v>645.31267052879775</v>
      </c>
      <c r="I394" s="48">
        <v>12813.865933648201</v>
      </c>
      <c r="J394" s="48">
        <v>25.901503977607479</v>
      </c>
      <c r="K394" s="48">
        <v>42.214748463118696</v>
      </c>
      <c r="L394" s="50">
        <v>0.95561762350426438</v>
      </c>
      <c r="M394" s="48">
        <v>6.07184941867511</v>
      </c>
      <c r="N394" s="48">
        <v>0.34761004959546665</v>
      </c>
      <c r="O394" s="48">
        <v>74.049863957378875</v>
      </c>
      <c r="P394" s="48">
        <v>54.026766384679568</v>
      </c>
      <c r="Q394" s="48">
        <v>48.956572016409545</v>
      </c>
      <c r="R394" s="48">
        <v>39.049968730288143</v>
      </c>
      <c r="S394" s="48">
        <v>15.19206337289237</v>
      </c>
      <c r="T394" s="48">
        <v>3.4348854626960721</v>
      </c>
      <c r="U394" s="48">
        <v>-6.3005887617597676</v>
      </c>
      <c r="V394" s="48">
        <v>-6.487334621931927</v>
      </c>
      <c r="W394" s="48">
        <v>5.7104755872081574</v>
      </c>
      <c r="X394" s="48">
        <v>29.575518275647308</v>
      </c>
      <c r="Y394" s="48">
        <v>47.663374229312318</v>
      </c>
      <c r="Z394" s="48">
        <v>86.297961810624045</v>
      </c>
      <c r="AA394" s="48"/>
      <c r="AB394" s="48">
        <v>47.069329587615371</v>
      </c>
      <c r="AC394" s="48">
        <v>35.263435553736912</v>
      </c>
      <c r="AD394" s="48">
        <v>27.315412455531028</v>
      </c>
      <c r="AE394" s="48">
        <v>23.374964180700264</v>
      </c>
      <c r="AF394" s="48">
        <v>8.9555736926609821</v>
      </c>
      <c r="AG394" s="48">
        <v>2.0881804106079587</v>
      </c>
      <c r="AH394" s="48">
        <v>-1.4042126506957526</v>
      </c>
      <c r="AI394" s="48">
        <v>-0.90186106870456295</v>
      </c>
      <c r="AJ394" s="48">
        <v>4.0726999267347894</v>
      </c>
      <c r="AK394" s="48">
        <v>15.402423391127591</v>
      </c>
      <c r="AL394" s="48">
        <v>31.185050330487808</v>
      </c>
      <c r="AM394" s="38">
        <v>55.548960897340592</v>
      </c>
      <c r="AN394" s="38"/>
      <c r="AO394" s="38"/>
      <c r="AP394" s="38"/>
      <c r="AQ394" s="38"/>
      <c r="AR394" s="38"/>
      <c r="AS394" s="50"/>
      <c r="AT394" s="38"/>
      <c r="AU394" s="38"/>
      <c r="AV394" s="38"/>
      <c r="AW394" s="38"/>
      <c r="AX394" s="38"/>
      <c r="AY394" s="38"/>
      <c r="AZ394" s="50"/>
      <c r="BA394" s="38"/>
      <c r="BB394" s="38"/>
      <c r="BC394" s="38"/>
      <c r="BD394" s="38"/>
      <c r="BE394" s="38"/>
      <c r="BF394" s="38"/>
      <c r="BG394" s="38"/>
      <c r="BH394" s="50"/>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50"/>
      <c r="CE394" s="38"/>
      <c r="CF394" s="38"/>
      <c r="CG394" s="38"/>
      <c r="CH394" s="38"/>
      <c r="CI394" s="38"/>
      <c r="CJ394" s="38"/>
      <c r="CK394" s="38"/>
      <c r="CL394" s="38"/>
      <c r="CM394" s="38"/>
      <c r="CN394" s="38"/>
      <c r="CO394" s="38"/>
      <c r="CP394" s="38"/>
      <c r="CQ394" s="38"/>
      <c r="CR394" s="38"/>
      <c r="CS394" s="38"/>
      <c r="CT394" s="38"/>
      <c r="CU394" s="38"/>
      <c r="CV394" s="38"/>
      <c r="CW394" s="50"/>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row>
    <row r="395" spans="1:131">
      <c r="A395" s="27" t="s">
        <v>868</v>
      </c>
      <c r="B395" s="27"/>
      <c r="C395" s="48">
        <v>873.35078334878551</v>
      </c>
      <c r="D395" s="48">
        <v>1060.7151001501568</v>
      </c>
      <c r="E395" s="48">
        <v>212.14302003003138</v>
      </c>
      <c r="F395" s="48">
        <v>1272.8581201801881</v>
      </c>
      <c r="G395" s="48">
        <v>919.37845621648307</v>
      </c>
      <c r="H395" s="48">
        <v>873.8063584152934</v>
      </c>
      <c r="I395" s="48">
        <v>12767.191998184122</v>
      </c>
      <c r="J395" s="48">
        <v>27.358070656582591</v>
      </c>
      <c r="K395" s="48">
        <v>42.594319944428157</v>
      </c>
      <c r="L395" s="50">
        <v>0.95043162313294516</v>
      </c>
      <c r="M395" s="48">
        <v>8.296893206805894</v>
      </c>
      <c r="N395" s="48">
        <v>0.44940424956184161</v>
      </c>
      <c r="O395" s="48">
        <v>95.734641678657383</v>
      </c>
      <c r="P395" s="48">
        <v>69.847976005341863</v>
      </c>
      <c r="Q395" s="48">
        <v>63.293024852874439</v>
      </c>
      <c r="R395" s="48">
        <v>50.841453544719798</v>
      </c>
      <c r="S395" s="48">
        <v>21.435329107728748</v>
      </c>
      <c r="T395" s="48">
        <v>6.4275034696270179</v>
      </c>
      <c r="U395" s="48">
        <v>5.4488161143873848</v>
      </c>
      <c r="V395" s="48">
        <v>5.2284918397055149</v>
      </c>
      <c r="W395" s="48">
        <v>13.008501359643814</v>
      </c>
      <c r="X395" s="48">
        <v>39.260053080052671</v>
      </c>
      <c r="Y395" s="48">
        <v>61.621126754065727</v>
      </c>
      <c r="Z395" s="48">
        <v>111.56947508092341</v>
      </c>
      <c r="AA395" s="48"/>
      <c r="AB395" s="48">
        <v>60.853121954668431</v>
      </c>
      <c r="AC395" s="48">
        <v>45.589987431152153</v>
      </c>
      <c r="AD395" s="48">
        <v>35.314463578760112</v>
      </c>
      <c r="AE395" s="48">
        <v>30.313239651329905</v>
      </c>
      <c r="AF395" s="48">
        <v>12.032605930484584</v>
      </c>
      <c r="AG395" s="48">
        <v>3.0606303594398501</v>
      </c>
      <c r="AH395" s="48">
        <v>1.8945103353263379</v>
      </c>
      <c r="AI395" s="48">
        <v>1.2466109498890892</v>
      </c>
      <c r="AJ395" s="48">
        <v>7.0384116601103068</v>
      </c>
      <c r="AK395" s="48">
        <v>20.15759130880863</v>
      </c>
      <c r="AL395" s="48">
        <v>40.317287022141109</v>
      </c>
      <c r="AM395" s="38">
        <v>71.815930278947263</v>
      </c>
      <c r="AN395" s="38"/>
      <c r="AO395" s="38"/>
      <c r="AP395" s="38"/>
      <c r="AQ395" s="38"/>
      <c r="AR395" s="38"/>
      <c r="AS395" s="50"/>
      <c r="AT395" s="38"/>
      <c r="AU395" s="38"/>
      <c r="AV395" s="38"/>
      <c r="AW395" s="38"/>
      <c r="AX395" s="38"/>
      <c r="AY395" s="38"/>
      <c r="AZ395" s="50"/>
      <c r="BA395" s="38"/>
      <c r="BB395" s="38"/>
      <c r="BC395" s="38"/>
      <c r="BD395" s="38"/>
      <c r="BE395" s="38"/>
      <c r="BF395" s="38"/>
      <c r="BG395" s="38"/>
      <c r="BH395" s="50"/>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50"/>
      <c r="CE395" s="38"/>
      <c r="CF395" s="38"/>
      <c r="CG395" s="38"/>
      <c r="CH395" s="38"/>
      <c r="CI395" s="38"/>
      <c r="CJ395" s="38"/>
      <c r="CK395" s="38"/>
      <c r="CL395" s="38"/>
      <c r="CM395" s="38"/>
      <c r="CN395" s="38"/>
      <c r="CO395" s="38"/>
      <c r="CP395" s="38"/>
      <c r="CQ395" s="38"/>
      <c r="CR395" s="38"/>
      <c r="CS395" s="38"/>
      <c r="CT395" s="38"/>
      <c r="CU395" s="38"/>
      <c r="CV395" s="38"/>
      <c r="CW395" s="50"/>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row>
    <row r="396" spans="1:131">
      <c r="A396" s="27" t="s">
        <v>856</v>
      </c>
      <c r="B396" s="27"/>
      <c r="C396" s="48">
        <v>614.24096297616722</v>
      </c>
      <c r="D396" s="48">
        <v>755.86367137636603</v>
      </c>
      <c r="E396" s="48">
        <v>151.1727342752732</v>
      </c>
      <c r="F396" s="48">
        <v>907.03640565163926</v>
      </c>
      <c r="G396" s="48">
        <v>655.14743327567555</v>
      </c>
      <c r="H396" s="48">
        <v>618.33702186904281</v>
      </c>
      <c r="I396" s="48">
        <v>12935.703400518167</v>
      </c>
      <c r="J396" s="48">
        <v>26.468915476447126</v>
      </c>
      <c r="K396" s="48">
        <v>43.173805867537062</v>
      </c>
      <c r="L396" s="50">
        <v>0.94381354556701202</v>
      </c>
      <c r="M396" s="48">
        <v>5.8353128495889521</v>
      </c>
      <c r="N396" s="48">
        <v>0.3337706270689636</v>
      </c>
      <c r="O396" s="48">
        <v>71.101711691560155</v>
      </c>
      <c r="P396" s="48">
        <v>51.875795063199099</v>
      </c>
      <c r="Q396" s="48">
        <v>47.00746068785979</v>
      </c>
      <c r="R396" s="48">
        <v>37.499414283664471</v>
      </c>
      <c r="S396" s="48">
        <v>14.608106732454331</v>
      </c>
      <c r="T396" s="48">
        <v>3.3212567187871942</v>
      </c>
      <c r="U396" s="48">
        <v>-5.8915111033242935</v>
      </c>
      <c r="V396" s="48">
        <v>-6.0705763494980802</v>
      </c>
      <c r="W396" s="48">
        <v>5.548604778261093</v>
      </c>
      <c r="X396" s="48">
        <v>28.409940670955191</v>
      </c>
      <c r="Y396" s="48">
        <v>45.765749072139961</v>
      </c>
      <c r="Z396" s="48">
        <v>82.862175192650426</v>
      </c>
      <c r="AA396" s="48"/>
      <c r="AB396" s="48">
        <v>45.1953551701314</v>
      </c>
      <c r="AC396" s="48">
        <v>33.859489997697267</v>
      </c>
      <c r="AD396" s="48">
        <v>26.227902083210861</v>
      </c>
      <c r="AE396" s="48">
        <v>22.445419310233866</v>
      </c>
      <c r="AF396" s="48">
        <v>8.6043147186436464</v>
      </c>
      <c r="AG396" s="48">
        <v>2.0092447565695921</v>
      </c>
      <c r="AH396" s="48">
        <v>-1.3051251323330055</v>
      </c>
      <c r="AI396" s="48">
        <v>-0.83787423562342522</v>
      </c>
      <c r="AJ396" s="48">
        <v>3.9311906723088272</v>
      </c>
      <c r="AK396" s="48">
        <v>14.792054051843063</v>
      </c>
      <c r="AL396" s="48">
        <v>29.943477802489433</v>
      </c>
      <c r="AM396" s="38">
        <v>53.337386342286301</v>
      </c>
      <c r="AN396" s="38"/>
      <c r="AO396" s="38"/>
      <c r="AP396" s="38"/>
      <c r="AQ396" s="38"/>
      <c r="AR396" s="38"/>
      <c r="AS396" s="50"/>
      <c r="AT396" s="38"/>
      <c r="AU396" s="38"/>
      <c r="AV396" s="38"/>
      <c r="AW396" s="38"/>
      <c r="AX396" s="38"/>
      <c r="AY396" s="38"/>
      <c r="AZ396" s="50"/>
      <c r="BA396" s="38"/>
      <c r="BB396" s="38"/>
      <c r="BC396" s="38"/>
      <c r="BD396" s="38"/>
      <c r="BE396" s="38"/>
      <c r="BF396" s="38"/>
      <c r="BG396" s="38"/>
      <c r="BH396" s="50"/>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50"/>
      <c r="CE396" s="38"/>
      <c r="CF396" s="38"/>
      <c r="CG396" s="38"/>
      <c r="CH396" s="38"/>
      <c r="CI396" s="38"/>
      <c r="CJ396" s="38"/>
      <c r="CK396" s="38"/>
      <c r="CL396" s="38"/>
      <c r="CM396" s="38"/>
      <c r="CN396" s="38"/>
      <c r="CO396" s="38"/>
      <c r="CP396" s="38"/>
      <c r="CQ396" s="38"/>
      <c r="CR396" s="38"/>
      <c r="CS396" s="38"/>
      <c r="CT396" s="38"/>
      <c r="CU396" s="38"/>
      <c r="CV396" s="38"/>
      <c r="CW396" s="50"/>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row>
    <row r="397" spans="1:131">
      <c r="A397" s="27" t="s">
        <v>885</v>
      </c>
      <c r="B397" s="27"/>
      <c r="C397" s="48">
        <v>639.94300129168926</v>
      </c>
      <c r="D397" s="48">
        <v>809.10873601266894</v>
      </c>
      <c r="E397" s="48">
        <v>161.8217472025338</v>
      </c>
      <c r="F397" s="48">
        <v>970.93048321520268</v>
      </c>
      <c r="G397" s="48">
        <v>701.29777592615847</v>
      </c>
      <c r="H397" s="48">
        <v>650.31049849726162</v>
      </c>
      <c r="I397" s="48">
        <v>13290.794673584365</v>
      </c>
      <c r="J397" s="48">
        <v>28.110738363455113</v>
      </c>
      <c r="K397" s="48">
        <v>44.626389319123021</v>
      </c>
      <c r="L397" s="50">
        <v>0.92729582328767368</v>
      </c>
      <c r="M397" s="48">
        <v>6.0794840339715801</v>
      </c>
      <c r="N397" s="48">
        <v>0.34696638564699878</v>
      </c>
      <c r="O397" s="48">
        <v>73.912747013050648</v>
      </c>
      <c r="P397" s="48">
        <v>53.926725888685326</v>
      </c>
      <c r="Q397" s="48">
        <v>48.865919917932516</v>
      </c>
      <c r="R397" s="48">
        <v>38.992699979598889</v>
      </c>
      <c r="S397" s="48">
        <v>15.239721015229662</v>
      </c>
      <c r="T397" s="48">
        <v>3.5124367376504035</v>
      </c>
      <c r="U397" s="48">
        <v>-5.7147499883730273</v>
      </c>
      <c r="V397" s="48">
        <v>-5.9002585310072533</v>
      </c>
      <c r="W397" s="48">
        <v>5.9375099168418393</v>
      </c>
      <c r="X397" s="48">
        <v>29.563987661006578</v>
      </c>
      <c r="Y397" s="48">
        <v>47.575116724417271</v>
      </c>
      <c r="Z397" s="48">
        <v>86.138165260126158</v>
      </c>
      <c r="AA397" s="48"/>
      <c r="AB397" s="48">
        <v>46.982172065646843</v>
      </c>
      <c r="AC397" s="48">
        <v>35.198138816224649</v>
      </c>
      <c r="AD397" s="48">
        <v>27.264832944795891</v>
      </c>
      <c r="AE397" s="48">
        <v>23.335615223954967</v>
      </c>
      <c r="AF397" s="48">
        <v>8.9581860912116191</v>
      </c>
      <c r="AG397" s="48">
        <v>2.09955860191535</v>
      </c>
      <c r="AH397" s="48">
        <v>-1.2449208540430983</v>
      </c>
      <c r="AI397" s="48">
        <v>-0.79829437269184644</v>
      </c>
      <c r="AJ397" s="48">
        <v>4.1400450763242498</v>
      </c>
      <c r="AK397" s="48">
        <v>15.384238851566806</v>
      </c>
      <c r="AL397" s="48">
        <v>31.127305473420957</v>
      </c>
      <c r="AM397" s="38">
        <v>55.446101778203847</v>
      </c>
      <c r="AN397" s="38"/>
      <c r="AO397" s="38"/>
      <c r="AP397" s="38"/>
      <c r="AQ397" s="38"/>
      <c r="AR397" s="38"/>
      <c r="AS397" s="50"/>
      <c r="AT397" s="38"/>
      <c r="AU397" s="38"/>
      <c r="AV397" s="38"/>
      <c r="AW397" s="38"/>
      <c r="AX397" s="38"/>
      <c r="AY397" s="38"/>
      <c r="AZ397" s="50"/>
      <c r="BA397" s="38"/>
      <c r="BB397" s="38"/>
      <c r="BC397" s="38"/>
      <c r="BD397" s="38"/>
      <c r="BE397" s="38"/>
      <c r="BF397" s="38"/>
      <c r="BG397" s="38"/>
      <c r="BH397" s="50"/>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50"/>
      <c r="CE397" s="38"/>
      <c r="CF397" s="38"/>
      <c r="CG397" s="38"/>
      <c r="CH397" s="38"/>
      <c r="CI397" s="38"/>
      <c r="CJ397" s="38"/>
      <c r="CK397" s="38"/>
      <c r="CL397" s="38"/>
      <c r="CM397" s="38"/>
      <c r="CN397" s="38"/>
      <c r="CO397" s="38"/>
      <c r="CP397" s="38"/>
      <c r="CQ397" s="38"/>
      <c r="CR397" s="38"/>
      <c r="CS397" s="38"/>
      <c r="CT397" s="38"/>
      <c r="CU397" s="38"/>
      <c r="CV397" s="38"/>
      <c r="CW397" s="50"/>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row>
    <row r="398" spans="1:131">
      <c r="A398" s="27" t="s">
        <v>884</v>
      </c>
      <c r="B398" s="27"/>
      <c r="C398" s="48">
        <v>615.13839465377009</v>
      </c>
      <c r="D398" s="48">
        <v>784.98235045037131</v>
      </c>
      <c r="E398" s="48">
        <v>156.99647009007427</v>
      </c>
      <c r="F398" s="48">
        <v>941.97882054044555</v>
      </c>
      <c r="G398" s="48">
        <v>680.38614837488774</v>
      </c>
      <c r="H398" s="48">
        <v>623.18000431046323</v>
      </c>
      <c r="I398" s="48">
        <v>13414.435742673455</v>
      </c>
      <c r="J398" s="48">
        <v>28.684308218594406</v>
      </c>
      <c r="K398" s="48">
        <v>45.606532666050889</v>
      </c>
      <c r="L398" s="50">
        <v>0.91592106305946674</v>
      </c>
      <c r="M398" s="48">
        <v>5.8438395811015029</v>
      </c>
      <c r="N398" s="48">
        <v>0.33323935997760962</v>
      </c>
      <c r="O398" s="48">
        <v>70.988538163103257</v>
      </c>
      <c r="P398" s="48">
        <v>51.793223678781843</v>
      </c>
      <c r="Q398" s="48">
        <v>46.932638295215831</v>
      </c>
      <c r="R398" s="48">
        <v>37.453918647872172</v>
      </c>
      <c r="S398" s="48">
        <v>14.656376192163254</v>
      </c>
      <c r="T398" s="48">
        <v>3.395157303774675</v>
      </c>
      <c r="U398" s="48">
        <v>-5.3402893833009273</v>
      </c>
      <c r="V398" s="48">
        <v>-5.5182282817032258</v>
      </c>
      <c r="W398" s="48">
        <v>5.7640031146602171</v>
      </c>
      <c r="X398" s="48">
        <v>28.405519869251503</v>
      </c>
      <c r="Y398" s="48">
        <v>45.692903128185257</v>
      </c>
      <c r="Z398" s="48">
        <v>82.730282379959135</v>
      </c>
      <c r="AA398" s="48"/>
      <c r="AB398" s="48">
        <v>45.123417129642938</v>
      </c>
      <c r="AC398" s="48">
        <v>33.805595402706174</v>
      </c>
      <c r="AD398" s="48">
        <v>26.186154786948073</v>
      </c>
      <c r="AE398" s="48">
        <v>22.413405227313227</v>
      </c>
      <c r="AF398" s="48">
        <v>8.60873364467305</v>
      </c>
      <c r="AG398" s="48">
        <v>2.0204331174239343</v>
      </c>
      <c r="AH398" s="48">
        <v>-1.1551784108959777</v>
      </c>
      <c r="AI398" s="48">
        <v>-0.74038099795065881</v>
      </c>
      <c r="AJ398" s="48">
        <v>3.9956034680869239</v>
      </c>
      <c r="AK398" s="48">
        <v>14.778263278479699</v>
      </c>
      <c r="AL398" s="48">
        <v>29.895816375548279</v>
      </c>
      <c r="AM398" s="38">
        <v>53.252488523831374</v>
      </c>
      <c r="AN398" s="38"/>
      <c r="AO398" s="38"/>
      <c r="AP398" s="38"/>
      <c r="AQ398" s="38"/>
      <c r="AR398" s="38"/>
      <c r="AS398" s="50"/>
      <c r="AT398" s="38"/>
      <c r="AU398" s="38"/>
      <c r="AV398" s="38"/>
      <c r="AW398" s="38"/>
      <c r="AX398" s="38"/>
      <c r="AY398" s="38"/>
      <c r="AZ398" s="50"/>
      <c r="BA398" s="38"/>
      <c r="BB398" s="38"/>
      <c r="BC398" s="38"/>
      <c r="BD398" s="38"/>
      <c r="BE398" s="38"/>
      <c r="BF398" s="38"/>
      <c r="BG398" s="38"/>
      <c r="BH398" s="50"/>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50"/>
      <c r="CE398" s="38"/>
      <c r="CF398" s="38"/>
      <c r="CG398" s="38"/>
      <c r="CH398" s="38"/>
      <c r="CI398" s="38"/>
      <c r="CJ398" s="38"/>
      <c r="CK398" s="38"/>
      <c r="CL398" s="38"/>
      <c r="CM398" s="38"/>
      <c r="CN398" s="38"/>
      <c r="CO398" s="38"/>
      <c r="CP398" s="38"/>
      <c r="CQ398" s="38"/>
      <c r="CR398" s="38"/>
      <c r="CS398" s="38"/>
      <c r="CT398" s="38"/>
      <c r="CU398" s="38"/>
      <c r="CV398" s="38"/>
      <c r="CW398" s="50"/>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row>
    <row r="399" spans="1:131">
      <c r="A399" s="27" t="s">
        <v>855</v>
      </c>
      <c r="B399" s="27"/>
      <c r="C399" s="48">
        <v>574.15335241032233</v>
      </c>
      <c r="D399" s="48">
        <v>727.98596173202009</v>
      </c>
      <c r="E399" s="48">
        <v>145.59719234640403</v>
      </c>
      <c r="F399" s="48">
        <v>873.58315407842406</v>
      </c>
      <c r="G399" s="48">
        <v>630.98433269188831</v>
      </c>
      <c r="H399" s="48">
        <v>575.24952273416636</v>
      </c>
      <c r="I399" s="48">
        <v>13328.474696875104</v>
      </c>
      <c r="J399" s="48">
        <v>28.25217766260948</v>
      </c>
      <c r="K399" s="48">
        <v>45.906735026032656</v>
      </c>
      <c r="L399" s="50">
        <v>0.91167005728977835</v>
      </c>
      <c r="M399" s="48">
        <v>5.454479468163437</v>
      </c>
      <c r="N399" s="48">
        <v>0.31155448827652776</v>
      </c>
      <c r="O399" s="48">
        <v>66.369103824921609</v>
      </c>
      <c r="P399" s="48">
        <v>48.422885281375002</v>
      </c>
      <c r="Q399" s="48">
        <v>43.878592578367083</v>
      </c>
      <c r="R399" s="48">
        <v>35.009444143882838</v>
      </c>
      <c r="S399" s="48">
        <v>13.666172185893906</v>
      </c>
      <c r="T399" s="48">
        <v>3.1338452524254135</v>
      </c>
      <c r="U399" s="48">
        <v>-5.26907838717477</v>
      </c>
      <c r="V399" s="48">
        <v>-5.435867284721156</v>
      </c>
      <c r="W399" s="48">
        <v>5.2745828240611683</v>
      </c>
      <c r="X399" s="48">
        <v>26.536284006013993</v>
      </c>
      <c r="Y399" s="48">
        <v>42.719530648862182</v>
      </c>
      <c r="Z399" s="48">
        <v>77.346777984427277</v>
      </c>
      <c r="AA399" s="48"/>
      <c r="AB399" s="48">
        <v>42.187102790195006</v>
      </c>
      <c r="AC399" s="48">
        <v>31.605765229176789</v>
      </c>
      <c r="AD399" s="48">
        <v>24.482144171461979</v>
      </c>
      <c r="AE399" s="48">
        <v>20.953005471071499</v>
      </c>
      <c r="AF399" s="48">
        <v>8.0393008913332888</v>
      </c>
      <c r="AG399" s="48">
        <v>1.8816215802193719</v>
      </c>
      <c r="AH399" s="48">
        <v>-1.1554091425250539</v>
      </c>
      <c r="AI399" s="48">
        <v>-0.74123595980984835</v>
      </c>
      <c r="AJ399" s="48">
        <v>3.6995615745439654</v>
      </c>
      <c r="AK399" s="48">
        <v>13.811624205357683</v>
      </c>
      <c r="AL399" s="48">
        <v>27.950407098125513</v>
      </c>
      <c r="AM399" s="38">
        <v>49.787191442837681</v>
      </c>
      <c r="AN399" s="38"/>
      <c r="AO399" s="38"/>
      <c r="AP399" s="38"/>
      <c r="AQ399" s="38"/>
      <c r="AR399" s="38"/>
      <c r="AS399" s="50"/>
      <c r="AT399" s="38"/>
      <c r="AU399" s="38"/>
      <c r="AV399" s="38"/>
      <c r="AW399" s="38"/>
      <c r="AX399" s="38"/>
      <c r="AY399" s="38"/>
      <c r="AZ399" s="50"/>
      <c r="BA399" s="38"/>
      <c r="BB399" s="38"/>
      <c r="BC399" s="38"/>
      <c r="BD399" s="38"/>
      <c r="BE399" s="38"/>
      <c r="BF399" s="38"/>
      <c r="BG399" s="38"/>
      <c r="BH399" s="50"/>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50"/>
      <c r="CE399" s="38"/>
      <c r="CF399" s="38"/>
      <c r="CG399" s="38"/>
      <c r="CH399" s="38"/>
      <c r="CI399" s="38"/>
      <c r="CJ399" s="38"/>
      <c r="CK399" s="38"/>
      <c r="CL399" s="38"/>
      <c r="CM399" s="38"/>
      <c r="CN399" s="38"/>
      <c r="CO399" s="38"/>
      <c r="CP399" s="38"/>
      <c r="CQ399" s="38"/>
      <c r="CR399" s="38"/>
      <c r="CS399" s="38"/>
      <c r="CT399" s="38"/>
      <c r="CU399" s="38"/>
      <c r="CV399" s="38"/>
      <c r="CW399" s="50"/>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row>
    <row r="400" spans="1:131">
      <c r="A400" s="27" t="s">
        <v>883</v>
      </c>
      <c r="B400" s="27"/>
      <c r="C400" s="48">
        <v>575.18700719783692</v>
      </c>
      <c r="D400" s="48">
        <v>756.03068777561452</v>
      </c>
      <c r="E400" s="48">
        <v>151.20613755512292</v>
      </c>
      <c r="F400" s="48">
        <v>907.23682533073747</v>
      </c>
      <c r="G400" s="48">
        <v>655.29219531336332</v>
      </c>
      <c r="H400" s="48">
        <v>579.85184372191009</v>
      </c>
      <c r="I400" s="48">
        <v>13817.062086667989</v>
      </c>
      <c r="J400" s="48">
        <v>30.508314079665759</v>
      </c>
      <c r="K400" s="48">
        <v>48.414238863463837</v>
      </c>
      <c r="L400" s="50">
        <v>0.88487524781921545</v>
      </c>
      <c r="M400" s="48">
        <v>5.4643002222553569</v>
      </c>
      <c r="N400" s="48">
        <v>0.31119227975864489</v>
      </c>
      <c r="O400" s="48">
        <v>66.291944112466098</v>
      </c>
      <c r="P400" s="48">
        <v>48.366589570129094</v>
      </c>
      <c r="Q400" s="48">
        <v>43.827579992823807</v>
      </c>
      <c r="R400" s="48">
        <v>34.98161860380074</v>
      </c>
      <c r="S400" s="48">
        <v>13.715169874627966</v>
      </c>
      <c r="T400" s="48">
        <v>3.2020421551495186</v>
      </c>
      <c r="U400" s="48">
        <v>-4.7713796651320335</v>
      </c>
      <c r="V400" s="48">
        <v>-4.9372113857374176</v>
      </c>
      <c r="W400" s="48">
        <v>5.4718772006163956</v>
      </c>
      <c r="X400" s="48">
        <v>26.542447691613411</v>
      </c>
      <c r="Y400" s="48">
        <v>42.669865571120646</v>
      </c>
      <c r="Z400" s="48">
        <v>77.256855794662854</v>
      </c>
      <c r="AA400" s="48"/>
      <c r="AB400" s="48">
        <v>42.138056704998355</v>
      </c>
      <c r="AC400" s="48">
        <v>31.569020846377029</v>
      </c>
      <c r="AD400" s="48">
        <v>24.453681602349281</v>
      </c>
      <c r="AE400" s="48">
        <v>20.932013964990048</v>
      </c>
      <c r="AF400" s="48">
        <v>8.0463884214450534</v>
      </c>
      <c r="AG400" s="48">
        <v>1.8924857883963881</v>
      </c>
      <c r="AH400" s="48">
        <v>-1.0199155493698822</v>
      </c>
      <c r="AI400" s="48">
        <v>-0.65313611073894651</v>
      </c>
      <c r="AJ400" s="48">
        <v>3.759374019298503</v>
      </c>
      <c r="AK400" s="48">
        <v>13.804416004796735</v>
      </c>
      <c r="AL400" s="48">
        <v>27.917912379191307</v>
      </c>
      <c r="AM400" s="38">
        <v>49.729309609962087</v>
      </c>
      <c r="AN400" s="38"/>
      <c r="AO400" s="38"/>
      <c r="AP400" s="38"/>
      <c r="AQ400" s="38"/>
      <c r="AR400" s="38"/>
      <c r="AS400" s="50"/>
      <c r="AT400" s="38"/>
      <c r="AU400" s="38"/>
      <c r="AV400" s="38"/>
      <c r="AW400" s="38"/>
      <c r="AX400" s="38"/>
      <c r="AY400" s="38"/>
      <c r="AZ400" s="50"/>
      <c r="BA400" s="38"/>
      <c r="BB400" s="38"/>
      <c r="BC400" s="38"/>
      <c r="BD400" s="38"/>
      <c r="BE400" s="38"/>
      <c r="BF400" s="38"/>
      <c r="BG400" s="38"/>
      <c r="BH400" s="50"/>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50"/>
      <c r="CE400" s="38"/>
      <c r="CF400" s="38"/>
      <c r="CG400" s="38"/>
      <c r="CH400" s="38"/>
      <c r="CI400" s="38"/>
      <c r="CJ400" s="38"/>
      <c r="CK400" s="38"/>
      <c r="CL400" s="38"/>
      <c r="CM400" s="38"/>
      <c r="CN400" s="38"/>
      <c r="CO400" s="38"/>
      <c r="CP400" s="38"/>
      <c r="CQ400" s="38"/>
      <c r="CR400" s="38"/>
      <c r="CS400" s="38"/>
      <c r="CT400" s="38"/>
      <c r="CU400" s="38"/>
      <c r="CV400" s="38"/>
      <c r="CW400" s="50"/>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row>
    <row r="401" spans="1:131">
      <c r="A401" s="27" t="s">
        <v>891</v>
      </c>
      <c r="B401" s="27"/>
      <c r="C401" s="48">
        <v>541.31676816379593</v>
      </c>
      <c r="D401" s="48">
        <v>555.67373558374129</v>
      </c>
      <c r="E401" s="48">
        <v>111.13474711674826</v>
      </c>
      <c r="F401" s="48">
        <v>666.80848270048955</v>
      </c>
      <c r="G401" s="48">
        <v>801.77306715660711</v>
      </c>
      <c r="H401" s="48">
        <v>564.60838971856299</v>
      </c>
      <c r="I401" s="48">
        <v>10790.802450606516</v>
      </c>
      <c r="J401" s="48">
        <v>35.393658488393733</v>
      </c>
      <c r="K401" s="48">
        <v>70.994917943067094</v>
      </c>
      <c r="L401" s="50">
        <v>0.70419974534799423</v>
      </c>
      <c r="M401" s="48">
        <v>5.1425432019382198</v>
      </c>
      <c r="N401" s="48">
        <v>0.28204248829858275</v>
      </c>
      <c r="O401" s="48">
        <v>60.082290235900736</v>
      </c>
      <c r="P401" s="48">
        <v>43.836027305868704</v>
      </c>
      <c r="Q401" s="48">
        <v>39.722192744846886</v>
      </c>
      <c r="R401" s="48">
        <v>31.856285221605336</v>
      </c>
      <c r="S401" s="48">
        <v>13.193610857317926</v>
      </c>
      <c r="T401" s="48">
        <v>3.7470574628364783</v>
      </c>
      <c r="U401" s="48">
        <v>1.4572353176968644</v>
      </c>
      <c r="V401" s="48">
        <v>1.3159145406033488</v>
      </c>
      <c r="W401" s="48">
        <v>7.3519360800703479</v>
      </c>
      <c r="X401" s="48">
        <v>24.491528930437294</v>
      </c>
      <c r="Y401" s="48">
        <v>38.67292296061715</v>
      </c>
      <c r="Z401" s="48">
        <v>70.020104172735913</v>
      </c>
      <c r="AA401" s="48"/>
      <c r="AB401" s="48">
        <v>38.190929332700961</v>
      </c>
      <c r="AC401" s="48">
        <v>28.611909008692759</v>
      </c>
      <c r="AD401" s="48">
        <v>22.163072980271352</v>
      </c>
      <c r="AE401" s="48">
        <v>19.010899236146965</v>
      </c>
      <c r="AF401" s="48">
        <v>7.485961179196214</v>
      </c>
      <c r="AG401" s="48">
        <v>1.8687233489754458</v>
      </c>
      <c r="AH401" s="48">
        <v>0.6534407997484879</v>
      </c>
      <c r="AI401" s="48">
        <v>0.43410166915411236</v>
      </c>
      <c r="AJ401" s="48">
        <v>4.1613043740450602</v>
      </c>
      <c r="AK401" s="48">
        <v>12.6154161536233</v>
      </c>
      <c r="AL401" s="48">
        <v>25.302804689229063</v>
      </c>
      <c r="AM401" s="38">
        <v>45.071099561475208</v>
      </c>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row>
    <row r="402" spans="1:131">
      <c r="A402" s="27" t="s">
        <v>858</v>
      </c>
      <c r="B402" s="27"/>
      <c r="C402" s="48">
        <v>755.41778328775206</v>
      </c>
      <c r="D402" s="48">
        <v>1370.7558864868229</v>
      </c>
      <c r="E402" s="48">
        <v>274.1511772973646</v>
      </c>
      <c r="F402" s="48">
        <v>1644.9070637841874</v>
      </c>
      <c r="G402" s="48">
        <v>1188.1073726484233</v>
      </c>
      <c r="H402" s="48">
        <v>753.38329972169151</v>
      </c>
      <c r="I402" s="48">
        <v>19074.72420894901</v>
      </c>
      <c r="J402" s="48">
        <v>56.721380735806612</v>
      </c>
      <c r="K402" s="48">
        <v>81.09109981605944</v>
      </c>
      <c r="L402" s="50">
        <v>0.63410371576292512</v>
      </c>
      <c r="M402" s="48">
        <v>7.176541729604522</v>
      </c>
      <c r="N402" s="48">
        <v>0.36991186919010871</v>
      </c>
      <c r="O402" s="48">
        <v>78.800724034373587</v>
      </c>
      <c r="P402" s="48">
        <v>57.492992975640327</v>
      </c>
      <c r="Q402" s="48">
        <v>52.097507206150695</v>
      </c>
      <c r="R402" s="48">
        <v>42.125052451361427</v>
      </c>
      <c r="S402" s="48">
        <v>19.037810249249649</v>
      </c>
      <c r="T402" s="48">
        <v>6.8340420381953102</v>
      </c>
      <c r="U402" s="48">
        <v>15.046264952723138</v>
      </c>
      <c r="V402" s="48">
        <v>14.881311075218967</v>
      </c>
      <c r="W402" s="48">
        <v>15.07804767862709</v>
      </c>
      <c r="X402" s="48">
        <v>33.110820890710045</v>
      </c>
      <c r="Y402" s="48">
        <v>50.721340978464376</v>
      </c>
      <c r="Z402" s="48">
        <v>91.834630206505054</v>
      </c>
      <c r="AA402" s="48"/>
      <c r="AB402" s="48">
        <v>50.089183870094772</v>
      </c>
      <c r="AC402" s="48">
        <v>37.525852244284117</v>
      </c>
      <c r="AD402" s="48">
        <v>29.067903217652066</v>
      </c>
      <c r="AE402" s="48">
        <v>25.023678523211355</v>
      </c>
      <c r="AF402" s="48">
        <v>10.257307580375738</v>
      </c>
      <c r="AG402" s="48">
        <v>2.7996660012216177</v>
      </c>
      <c r="AH402" s="48">
        <v>4.4415703669464719</v>
      </c>
      <c r="AI402" s="48">
        <v>2.9003826342807097</v>
      </c>
      <c r="AJ402" s="48">
        <v>7.1708838228853811</v>
      </c>
      <c r="AK402" s="48">
        <v>16.782154790466265</v>
      </c>
      <c r="AL402" s="48">
        <v>33.185807694464323</v>
      </c>
      <c r="AM402" s="38">
        <v>59.11284780464959</v>
      </c>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row>
    <row r="403" spans="1:131">
      <c r="A403" s="27" t="s">
        <v>886</v>
      </c>
      <c r="B403" s="27"/>
      <c r="C403" s="48">
        <v>737.561580957091</v>
      </c>
      <c r="D403" s="48">
        <v>1423.5624999793488</v>
      </c>
      <c r="E403" s="48">
        <v>284.71249999586979</v>
      </c>
      <c r="F403" s="48">
        <v>1708.2749999752186</v>
      </c>
      <c r="G403" s="48">
        <v>1233.8776862641209</v>
      </c>
      <c r="H403" s="48">
        <v>743.66136457970094</v>
      </c>
      <c r="I403" s="48">
        <v>20289.138407079667</v>
      </c>
      <c r="J403" s="48">
        <v>62.040001548740378</v>
      </c>
      <c r="K403" s="48">
        <v>87.652713083604795</v>
      </c>
      <c r="L403" s="50">
        <v>0.60270266077290469</v>
      </c>
      <c r="M403" s="48">
        <v>7.0069052113345709</v>
      </c>
      <c r="N403" s="48">
        <v>0.36198212290439746</v>
      </c>
      <c r="O403" s="48">
        <v>77.11148451337354</v>
      </c>
      <c r="P403" s="48">
        <v>56.260524148670349</v>
      </c>
      <c r="Q403" s="48">
        <v>50.980700613360689</v>
      </c>
      <c r="R403" s="48">
        <v>41.209441171109901</v>
      </c>
      <c r="S403" s="48">
        <v>18.566291147694905</v>
      </c>
      <c r="T403" s="48">
        <v>6.6173371779518924</v>
      </c>
      <c r="U403" s="48">
        <v>14.243340214336454</v>
      </c>
      <c r="V403" s="48">
        <v>14.081176537303055</v>
      </c>
      <c r="W403" s="48">
        <v>14.556027154686159</v>
      </c>
      <c r="X403" s="48">
        <v>32.364857524255619</v>
      </c>
      <c r="Y403" s="48">
        <v>49.634035058514115</v>
      </c>
      <c r="Z403" s="48">
        <v>89.865984757592884</v>
      </c>
      <c r="AA403" s="48"/>
      <c r="AB403" s="48">
        <v>49.015429409017827</v>
      </c>
      <c r="AC403" s="48">
        <v>36.721416073842313</v>
      </c>
      <c r="AD403" s="48">
        <v>28.444778855413428</v>
      </c>
      <c r="AE403" s="48">
        <v>24.483958160822052</v>
      </c>
      <c r="AF403" s="48">
        <v>10.021363477768116</v>
      </c>
      <c r="AG403" s="48">
        <v>2.726895400436212</v>
      </c>
      <c r="AH403" s="48">
        <v>4.2152612614627136</v>
      </c>
      <c r="AI403" s="48">
        <v>2.7529558146522293</v>
      </c>
      <c r="AJ403" s="48">
        <v>6.9545089661945436</v>
      </c>
      <c r="AK403" s="48">
        <v>16.413750710319444</v>
      </c>
      <c r="AL403" s="48">
        <v>32.474408420146197</v>
      </c>
      <c r="AM403" s="38">
        <v>57.845654388166302</v>
      </c>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row>
    <row r="404" spans="1:131">
      <c r="A404" s="27" t="s">
        <v>860</v>
      </c>
      <c r="B404" s="27"/>
      <c r="C404" s="48">
        <v>823.63357390767669</v>
      </c>
      <c r="D404" s="48">
        <v>1614.3440015787794</v>
      </c>
      <c r="E404" s="48">
        <v>322.86880031575589</v>
      </c>
      <c r="F404" s="48">
        <v>1937.2128018945352</v>
      </c>
      <c r="G404" s="48">
        <v>1399.2382080388338</v>
      </c>
      <c r="H404" s="48">
        <v>823.50858218191036</v>
      </c>
      <c r="I404" s="48">
        <v>20603.803295782523</v>
      </c>
      <c r="J404" s="48">
        <v>63.474840136230981</v>
      </c>
      <c r="K404" s="48">
        <v>90.181282369419662</v>
      </c>
      <c r="L404" s="50">
        <v>0.58854066266253291</v>
      </c>
      <c r="M404" s="48">
        <v>7.8245979676357402</v>
      </c>
      <c r="N404" s="48">
        <v>0.4036371720549527</v>
      </c>
      <c r="O404" s="48">
        <v>85.985079296741304</v>
      </c>
      <c r="P404" s="48">
        <v>62.734697181982852</v>
      </c>
      <c r="Q404" s="48">
        <v>56.847298589913642</v>
      </c>
      <c r="R404" s="48">
        <v>45.960674019449577</v>
      </c>
      <c r="S404" s="48">
        <v>20.748467992330056</v>
      </c>
      <c r="T404" s="48">
        <v>7.4293837828909988</v>
      </c>
      <c r="U404" s="48">
        <v>16.228333581980937</v>
      </c>
      <c r="V404" s="48">
        <v>16.048046088373457</v>
      </c>
      <c r="W404" s="48">
        <v>16.374220910507852</v>
      </c>
      <c r="X404" s="48">
        <v>36.115288328987354</v>
      </c>
      <c r="Y404" s="48">
        <v>55.345665658704924</v>
      </c>
      <c r="Z404" s="48">
        <v>100.20730211880753</v>
      </c>
      <c r="AA404" s="48"/>
      <c r="AB404" s="48">
        <v>54.655874038675542</v>
      </c>
      <c r="AC404" s="48">
        <v>40.947128601192404</v>
      </c>
      <c r="AD404" s="48">
        <v>31.718058352732289</v>
      </c>
      <c r="AE404" s="48">
        <v>27.303817010626346</v>
      </c>
      <c r="AF404" s="48">
        <v>11.186135969211955</v>
      </c>
      <c r="AG404" s="48">
        <v>3.0498776839775186</v>
      </c>
      <c r="AH404" s="48">
        <v>4.7947397563247653</v>
      </c>
      <c r="AI404" s="48">
        <v>3.1311453716299553</v>
      </c>
      <c r="AJ404" s="48">
        <v>7.7999178911179801</v>
      </c>
      <c r="AK404" s="48">
        <v>18.308788535050077</v>
      </c>
      <c r="AL404" s="48">
        <v>36.211397053791124</v>
      </c>
      <c r="AM404" s="38">
        <v>64.502236092676284</v>
      </c>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row>
    <row r="405" spans="1:131">
      <c r="A405" s="27" t="s">
        <v>892</v>
      </c>
      <c r="B405" s="27"/>
      <c r="C405" s="48">
        <v>436.32229192874519</v>
      </c>
      <c r="D405" s="48">
        <v>548.47810817052937</v>
      </c>
      <c r="E405" s="48">
        <v>109.69562163410588</v>
      </c>
      <c r="F405" s="48">
        <v>658.17372980463529</v>
      </c>
      <c r="G405" s="48">
        <v>791.39060728535469</v>
      </c>
      <c r="H405" s="48">
        <v>452.52706249815043</v>
      </c>
      <c r="I405" s="48">
        <v>13214.089629943024</v>
      </c>
      <c r="J405" s="48">
        <v>50.16600062626955</v>
      </c>
      <c r="K405" s="48">
        <v>95.9020646212862</v>
      </c>
      <c r="L405" s="50">
        <v>0.57181252637104019</v>
      </c>
      <c r="M405" s="48">
        <v>4.1450905955783925</v>
      </c>
      <c r="N405" s="48">
        <v>0.22594816964288897</v>
      </c>
      <c r="O405" s="48">
        <v>48.13276038177262</v>
      </c>
      <c r="P405" s="48">
        <v>35.117652641368025</v>
      </c>
      <c r="Q405" s="48">
        <v>31.822002419006804</v>
      </c>
      <c r="R405" s="48">
        <v>25.540692063653083</v>
      </c>
      <c r="S405" s="48">
        <v>10.671268065151706</v>
      </c>
      <c r="T405" s="48">
        <v>3.1144008145118627</v>
      </c>
      <c r="U405" s="48">
        <v>1.9377552736445485</v>
      </c>
      <c r="V405" s="48">
        <v>1.8257373499172727</v>
      </c>
      <c r="W405" s="48">
        <v>6.2085280972836596</v>
      </c>
      <c r="X405" s="48">
        <v>19.678510483883851</v>
      </c>
      <c r="Y405" s="48">
        <v>30.98141776582748</v>
      </c>
      <c r="Z405" s="48">
        <v>56.094081680648657</v>
      </c>
      <c r="AA405" s="48"/>
      <c r="AB405" s="48">
        <v>30.595285950496496</v>
      </c>
      <c r="AC405" s="48">
        <v>22.921399217195532</v>
      </c>
      <c r="AD405" s="48">
        <v>17.755146764457347</v>
      </c>
      <c r="AE405" s="48">
        <v>15.235174640441205</v>
      </c>
      <c r="AF405" s="48">
        <v>6.0228614255923603</v>
      </c>
      <c r="AG405" s="48">
        <v>1.5175137238099852</v>
      </c>
      <c r="AH405" s="48">
        <v>0.7337074494031558</v>
      </c>
      <c r="AI405" s="48">
        <v>0.48447567888653048</v>
      </c>
      <c r="AJ405" s="48">
        <v>3.4341511815829664</v>
      </c>
      <c r="AK405" s="48">
        <v>10.120253004381984</v>
      </c>
      <c r="AL405" s="48">
        <v>20.270429610982635</v>
      </c>
      <c r="AM405" s="38">
        <v>36.107086244845448</v>
      </c>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row>
    <row r="406" spans="1:131">
      <c r="A406" s="27" t="s">
        <v>850</v>
      </c>
      <c r="B406" s="27"/>
      <c r="C406" s="48">
        <v>250.87117127065753</v>
      </c>
      <c r="D406" s="48">
        <v>498.386480559549</v>
      </c>
      <c r="E406" s="48">
        <v>99.677296111909811</v>
      </c>
      <c r="F406" s="48">
        <v>598.06377667145875</v>
      </c>
      <c r="G406" s="48">
        <v>431.97819379693937</v>
      </c>
      <c r="H406" s="48">
        <v>246.64785031481475</v>
      </c>
      <c r="I406" s="48">
        <v>20883.382722320592</v>
      </c>
      <c r="J406" s="48">
        <v>65.47251949757478</v>
      </c>
      <c r="K406" s="48">
        <v>93.100705743060303</v>
      </c>
      <c r="L406" s="50">
        <v>0.5709729191347952</v>
      </c>
      <c r="M406" s="48">
        <v>2.3833038008192813</v>
      </c>
      <c r="N406" s="48">
        <v>0.11959126374110536</v>
      </c>
      <c r="O406" s="48">
        <v>25.47600916839362</v>
      </c>
      <c r="P406" s="48">
        <v>18.587291349339523</v>
      </c>
      <c r="Q406" s="48">
        <v>16.842948938583298</v>
      </c>
      <c r="R406" s="48">
        <v>13.669199479908382</v>
      </c>
      <c r="S406" s="48">
        <v>6.4083963077672292</v>
      </c>
      <c r="T406" s="48">
        <v>2.4901332182694493</v>
      </c>
      <c r="U406" s="48">
        <v>6.7851911201400874</v>
      </c>
      <c r="V406" s="48">
        <v>6.7348445086763302</v>
      </c>
      <c r="W406" s="48">
        <v>5.6695559066383456</v>
      </c>
      <c r="X406" s="48">
        <v>10.849247922474257</v>
      </c>
      <c r="Y406" s="48">
        <v>16.39803902356174</v>
      </c>
      <c r="Z406" s="48">
        <v>29.689827216516623</v>
      </c>
      <c r="AA406" s="48"/>
      <c r="AB406" s="48">
        <v>16.193664755608769</v>
      </c>
      <c r="AC406" s="48">
        <v>12.131981876335894</v>
      </c>
      <c r="AD406" s="48">
        <v>9.3975553899207185</v>
      </c>
      <c r="AE406" s="48">
        <v>8.103231894462569</v>
      </c>
      <c r="AF406" s="48">
        <v>3.3803672774371916</v>
      </c>
      <c r="AG406" s="48">
        <v>0.95612134440678487</v>
      </c>
      <c r="AH406" s="48">
        <v>1.9601270541136182</v>
      </c>
      <c r="AI406" s="48">
        <v>1.2785602369408013</v>
      </c>
      <c r="AJ406" s="48">
        <v>2.5688412853839955</v>
      </c>
      <c r="AK406" s="48">
        <v>5.4601909621193894</v>
      </c>
      <c r="AL406" s="48">
        <v>10.728860063721385</v>
      </c>
      <c r="AM406" s="38">
        <v>19.110984969937544</v>
      </c>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row>
    <row r="407" spans="1:131">
      <c r="A407" s="27" t="s">
        <v>878</v>
      </c>
      <c r="B407" s="27"/>
      <c r="C407" s="48">
        <v>254.89161364580158</v>
      </c>
      <c r="D407" s="48">
        <v>517.58618089150252</v>
      </c>
      <c r="E407" s="48">
        <v>103.51723617830051</v>
      </c>
      <c r="F407" s="48">
        <v>621.10341706980307</v>
      </c>
      <c r="G407" s="48">
        <v>448.61960000348034</v>
      </c>
      <c r="H407" s="48">
        <v>253.42835662501506</v>
      </c>
      <c r="I407" s="48">
        <v>21345.802067431388</v>
      </c>
      <c r="J407" s="48">
        <v>67.336308013987136</v>
      </c>
      <c r="K407" s="48">
        <v>95.091000531406678</v>
      </c>
      <c r="L407" s="50">
        <v>0.5649070094642521</v>
      </c>
      <c r="M407" s="48">
        <v>2.4214975522324709</v>
      </c>
      <c r="N407" s="48">
        <v>0.12233959347922661</v>
      </c>
      <c r="O407" s="48">
        <v>26.061473954163588</v>
      </c>
      <c r="P407" s="48">
        <v>19.014446343512859</v>
      </c>
      <c r="Q407" s="48">
        <v>17.230017157427245</v>
      </c>
      <c r="R407" s="48">
        <v>13.970125187092769</v>
      </c>
      <c r="S407" s="48">
        <v>6.4891160980534748</v>
      </c>
      <c r="T407" s="48">
        <v>2.4736742615159559</v>
      </c>
      <c r="U407" s="48">
        <v>6.4369276111550304</v>
      </c>
      <c r="V407" s="48">
        <v>6.3846411152460929</v>
      </c>
      <c r="W407" s="48">
        <v>5.5911985881884299</v>
      </c>
      <c r="X407" s="48">
        <v>11.060610038991125</v>
      </c>
      <c r="Y407" s="48">
        <v>16.774882756837194</v>
      </c>
      <c r="Z407" s="48">
        <v>30.372129857246961</v>
      </c>
      <c r="AA407" s="48"/>
      <c r="AB407" s="48">
        <v>16.565811758866065</v>
      </c>
      <c r="AC407" s="48">
        <v>12.410787246645077</v>
      </c>
      <c r="AD407" s="48">
        <v>9.6135208386985909</v>
      </c>
      <c r="AE407" s="48">
        <v>8.2859978462884527</v>
      </c>
      <c r="AF407" s="48">
        <v>3.4411957388961207</v>
      </c>
      <c r="AG407" s="48">
        <v>0.9647071344899083</v>
      </c>
      <c r="AH407" s="48">
        <v>1.8675781279159818</v>
      </c>
      <c r="AI407" s="48">
        <v>1.2184649155048313</v>
      </c>
      <c r="AJ407" s="48">
        <v>2.5621162707641578</v>
      </c>
      <c r="AK407" s="48">
        <v>5.5765955608112057</v>
      </c>
      <c r="AL407" s="48">
        <v>10.975420257558788</v>
      </c>
      <c r="AM407" s="38">
        <v>19.550174979931679</v>
      </c>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row>
    <row r="408" spans="1:131">
      <c r="A408" s="27" t="s">
        <v>888</v>
      </c>
      <c r="B408" s="27"/>
      <c r="C408" s="48">
        <v>804.07204601148794</v>
      </c>
      <c r="D408" s="48">
        <v>1676.5345349740685</v>
      </c>
      <c r="E408" s="48">
        <v>335.30690699481374</v>
      </c>
      <c r="F408" s="48">
        <v>2011.8414419688822</v>
      </c>
      <c r="G408" s="48">
        <v>1453.1420664605221</v>
      </c>
      <c r="H408" s="48">
        <v>812.90472190776381</v>
      </c>
      <c r="I408" s="48">
        <v>21918.099402992571</v>
      </c>
      <c r="J408" s="48">
        <v>69.237414383521227</v>
      </c>
      <c r="K408" s="48">
        <v>97.336128859188079</v>
      </c>
      <c r="L408" s="50">
        <v>0.55941173314718584</v>
      </c>
      <c r="M408" s="48">
        <v>7.638760642132036</v>
      </c>
      <c r="N408" s="48">
        <v>0.39491889156164106</v>
      </c>
      <c r="O408" s="48">
        <v>84.127861747296748</v>
      </c>
      <c r="P408" s="48">
        <v>61.379671618031495</v>
      </c>
      <c r="Q408" s="48">
        <v>55.619436716165225</v>
      </c>
      <c r="R408" s="48">
        <v>44.954546388405106</v>
      </c>
      <c r="S408" s="48">
        <v>20.232742247288758</v>
      </c>
      <c r="T408" s="48">
        <v>7.194098390551428</v>
      </c>
      <c r="U408" s="48">
        <v>15.365878914589175</v>
      </c>
      <c r="V408" s="48">
        <v>15.188690619179573</v>
      </c>
      <c r="W408" s="48">
        <v>15.808696704162482</v>
      </c>
      <c r="X408" s="48">
        <v>35.296675862228625</v>
      </c>
      <c r="Y408" s="48">
        <v>54.150238005584953</v>
      </c>
      <c r="Z408" s="48">
        <v>98.042894507630322</v>
      </c>
      <c r="AA408" s="48"/>
      <c r="AB408" s="48">
        <v>53.475345401904171</v>
      </c>
      <c r="AC408" s="48">
        <v>40.062699273924451</v>
      </c>
      <c r="AD408" s="48">
        <v>31.032970485293017</v>
      </c>
      <c r="AE408" s="48">
        <v>26.710566018598914</v>
      </c>
      <c r="AF408" s="48">
        <v>10.927408664679517</v>
      </c>
      <c r="AG408" s="48">
        <v>2.9704101010600059</v>
      </c>
      <c r="AH408" s="48">
        <v>4.5514698683058974</v>
      </c>
      <c r="AI408" s="48">
        <v>2.9726633044849229</v>
      </c>
      <c r="AJ408" s="48">
        <v>7.5646760301212819</v>
      </c>
      <c r="AK408" s="48">
        <v>17.904116002631639</v>
      </c>
      <c r="AL408" s="48">
        <v>35.429256214377432</v>
      </c>
      <c r="AM408" s="38">
        <v>63.10903292499281</v>
      </c>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row>
    <row r="409" spans="1:131">
      <c r="A409" s="27" t="s">
        <v>894</v>
      </c>
      <c r="B409" s="27"/>
      <c r="C409" s="48">
        <v>438.23635218758727</v>
      </c>
      <c r="D409" s="48">
        <v>569.60752424876659</v>
      </c>
      <c r="E409" s="48">
        <v>113.92150484975332</v>
      </c>
      <c r="F409" s="48">
        <v>683.52902909851991</v>
      </c>
      <c r="G409" s="48">
        <v>821.87791602684069</v>
      </c>
      <c r="H409" s="48">
        <v>458.82037916292734</v>
      </c>
      <c r="I409" s="48">
        <v>13663.207684651388</v>
      </c>
      <c r="J409" s="48">
        <v>52.875024850903003</v>
      </c>
      <c r="K409" s="48">
        <v>99.714717551795005</v>
      </c>
      <c r="L409" s="50">
        <v>0.55825855667345037</v>
      </c>
      <c r="M409" s="48">
        <v>4.1632743335086246</v>
      </c>
      <c r="N409" s="48">
        <v>0.2269030696801565</v>
      </c>
      <c r="O409" s="48">
        <v>48.336178602663658</v>
      </c>
      <c r="P409" s="48">
        <v>35.26606653588636</v>
      </c>
      <c r="Q409" s="48">
        <v>31.956488267437724</v>
      </c>
      <c r="R409" s="48">
        <v>25.649162319585994</v>
      </c>
      <c r="S409" s="48">
        <v>10.719039844798699</v>
      </c>
      <c r="T409" s="48">
        <v>3.1305223225293117</v>
      </c>
      <c r="U409" s="48">
        <v>1.9661949236164833</v>
      </c>
      <c r="V409" s="48">
        <v>1.853735033692357</v>
      </c>
      <c r="W409" s="48">
        <v>6.24314666729975</v>
      </c>
      <c r="X409" s="48">
        <v>19.76320042567944</v>
      </c>
      <c r="Y409" s="48">
        <v>31.112351143273941</v>
      </c>
      <c r="Z409" s="48">
        <v>56.331145963010393</v>
      </c>
      <c r="AA409" s="48"/>
      <c r="AB409" s="48">
        <v>30.724587461283306</v>
      </c>
      <c r="AC409" s="48">
        <v>23.018269419779237</v>
      </c>
      <c r="AD409" s="48">
        <v>17.830183399336342</v>
      </c>
      <c r="AE409" s="48">
        <v>15.299700143119891</v>
      </c>
      <c r="AF409" s="48">
        <v>6.048992179863891</v>
      </c>
      <c r="AG409" s="48">
        <v>1.5244646924705054</v>
      </c>
      <c r="AH409" s="48">
        <v>0.74233455393770686</v>
      </c>
      <c r="AI409" s="48">
        <v>0.4901169351022413</v>
      </c>
      <c r="AJ409" s="48">
        <v>3.4513057118732502</v>
      </c>
      <c r="AK409" s="48">
        <v>10.163387656301785</v>
      </c>
      <c r="AL409" s="48">
        <v>20.356096310657826</v>
      </c>
      <c r="AM409" s="38">
        <v>36.259681674387181</v>
      </c>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row>
    <row r="410" spans="1:131">
      <c r="A410" s="27" t="s">
        <v>851</v>
      </c>
      <c r="B410" s="27"/>
      <c r="C410" s="48">
        <v>272.17611365046236</v>
      </c>
      <c r="D410" s="48">
        <v>580.85648064073723</v>
      </c>
      <c r="E410" s="48">
        <v>116.17129612814745</v>
      </c>
      <c r="F410" s="48">
        <v>697.02777676888468</v>
      </c>
      <c r="G410" s="48">
        <v>503.45934962104582</v>
      </c>
      <c r="H410" s="48">
        <v>267.90516141048522</v>
      </c>
      <c r="I410" s="48">
        <v>22433.869168757814</v>
      </c>
      <c r="J410" s="48">
        <v>72.336516223325418</v>
      </c>
      <c r="K410" s="48">
        <v>102.42359603296441</v>
      </c>
      <c r="L410" s="50">
        <v>0.53212868449486062</v>
      </c>
      <c r="M410" s="48">
        <v>2.5857030701533206</v>
      </c>
      <c r="N410" s="48">
        <v>0.12977849773666439</v>
      </c>
      <c r="O410" s="48">
        <v>27.646151522882583</v>
      </c>
      <c r="P410" s="48">
        <v>20.17062679037365</v>
      </c>
      <c r="Q410" s="48">
        <v>18.277694727239304</v>
      </c>
      <c r="R410" s="48">
        <v>14.833099787584699</v>
      </c>
      <c r="S410" s="48">
        <v>6.9518004428189384</v>
      </c>
      <c r="T410" s="48">
        <v>2.6994983770596779</v>
      </c>
      <c r="U410" s="48">
        <v>7.3443363959586305</v>
      </c>
      <c r="V410" s="48">
        <v>7.2896718131336558</v>
      </c>
      <c r="W410" s="48">
        <v>6.1447123281464862</v>
      </c>
      <c r="X410" s="48">
        <v>11.77200887305551</v>
      </c>
      <c r="Y410" s="48">
        <v>17.794885710983387</v>
      </c>
      <c r="Z410" s="48">
        <v>32.218918453457974</v>
      </c>
      <c r="AA410" s="48"/>
      <c r="AB410" s="48">
        <v>17.573102073606783</v>
      </c>
      <c r="AC410" s="48">
        <v>13.165429758211857</v>
      </c>
      <c r="AD410" s="48">
        <v>10.198074531106476</v>
      </c>
      <c r="AE410" s="48">
        <v>8.7933665817381748</v>
      </c>
      <c r="AF410" s="48">
        <v>3.6676897462402107</v>
      </c>
      <c r="AG410" s="48">
        <v>1.0370670631309629</v>
      </c>
      <c r="AH410" s="48">
        <v>2.1219558399743774</v>
      </c>
      <c r="AI410" s="48">
        <v>1.3841288230094277</v>
      </c>
      <c r="AJ410" s="48">
        <v>2.7852072738752738</v>
      </c>
      <c r="AK410" s="48">
        <v>5.9249713839320384</v>
      </c>
      <c r="AL410" s="48">
        <v>11.642784748147735</v>
      </c>
      <c r="AM410" s="38">
        <v>20.738930604794547</v>
      </c>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row>
    <row r="411" spans="1:131">
      <c r="A411" s="27" t="s">
        <v>879</v>
      </c>
      <c r="B411" s="27"/>
      <c r="C411" s="48">
        <v>276.53115538238461</v>
      </c>
      <c r="D411" s="48">
        <v>603.23323201580342</v>
      </c>
      <c r="E411" s="48">
        <v>120.64664640316069</v>
      </c>
      <c r="F411" s="48">
        <v>723.87987841896415</v>
      </c>
      <c r="G411" s="48">
        <v>522.85447573119188</v>
      </c>
      <c r="H411" s="48">
        <v>275.28076015871227</v>
      </c>
      <c r="I411" s="48">
        <v>22931.187359997799</v>
      </c>
      <c r="J411" s="48">
        <v>74.355642368520833</v>
      </c>
      <c r="K411" s="48">
        <v>104.62001156125437</v>
      </c>
      <c r="L411" s="50">
        <v>0.52649594282183909</v>
      </c>
      <c r="M411" s="48">
        <v>2.6270754795168223</v>
      </c>
      <c r="N411" s="48">
        <v>0.13275406115599428</v>
      </c>
      <c r="O411" s="48">
        <v>28.280022915997815</v>
      </c>
      <c r="P411" s="48">
        <v>20.633099235879815</v>
      </c>
      <c r="Q411" s="48">
        <v>18.69676599689145</v>
      </c>
      <c r="R411" s="48">
        <v>15.158922777001141</v>
      </c>
      <c r="S411" s="48">
        <v>7.039277598441334</v>
      </c>
      <c r="T411" s="48">
        <v>2.681770922897269</v>
      </c>
      <c r="U411" s="48">
        <v>6.9679100773444533</v>
      </c>
      <c r="V411" s="48">
        <v>6.911146200242027</v>
      </c>
      <c r="W411" s="48">
        <v>6.0601378499135814</v>
      </c>
      <c r="X411" s="48">
        <v>12.000894122505848</v>
      </c>
      <c r="Y411" s="48">
        <v>18.202887127983914</v>
      </c>
      <c r="Z411" s="48">
        <v>32.957634318046061</v>
      </c>
      <c r="AA411" s="48"/>
      <c r="AB411" s="48">
        <v>17.976018431911971</v>
      </c>
      <c r="AC411" s="48">
        <v>13.467286936954844</v>
      </c>
      <c r="AD411" s="48">
        <v>10.431896142941852</v>
      </c>
      <c r="AE411" s="48">
        <v>8.9912480699641417</v>
      </c>
      <c r="AF411" s="48">
        <v>3.7335686675453346</v>
      </c>
      <c r="AG411" s="48">
        <v>1.0463795079470424</v>
      </c>
      <c r="AH411" s="48">
        <v>2.0219273386184335</v>
      </c>
      <c r="AI411" s="48">
        <v>1.3191769128827093</v>
      </c>
      <c r="AJ411" s="48">
        <v>2.7780086388943386</v>
      </c>
      <c r="AK411" s="48">
        <v>6.0510117641995427</v>
      </c>
      <c r="AL411" s="48">
        <v>11.909730698362207</v>
      </c>
      <c r="AM411" s="38">
        <v>21.214433129017511</v>
      </c>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row>
    <row r="412" spans="1:131">
      <c r="A412" s="27" t="s">
        <v>872</v>
      </c>
      <c r="B412" s="27"/>
      <c r="C412" s="48">
        <v>582.5730862074488</v>
      </c>
      <c r="D412" s="48">
        <v>1405.8270926925682</v>
      </c>
      <c r="E412" s="48">
        <v>281.16541853851362</v>
      </c>
      <c r="F412" s="48">
        <v>1686.9925112310818</v>
      </c>
      <c r="G412" s="48">
        <v>1218.5054610837849</v>
      </c>
      <c r="H412" s="48">
        <v>608.86065979987325</v>
      </c>
      <c r="I412" s="48">
        <v>25366.867691381729</v>
      </c>
      <c r="J412" s="48">
        <v>83.93545591585395</v>
      </c>
      <c r="K412" s="48">
        <v>115.75151545553935</v>
      </c>
      <c r="L412" s="50">
        <v>0.4996782363686163</v>
      </c>
      <c r="M412" s="48">
        <v>5.5344930856327776</v>
      </c>
      <c r="N412" s="48">
        <v>0.29212297541532162</v>
      </c>
      <c r="O412" s="48">
        <v>62.229692764933837</v>
      </c>
      <c r="P412" s="48">
        <v>45.402771774659591</v>
      </c>
      <c r="Q412" s="48">
        <v>41.14190455716485</v>
      </c>
      <c r="R412" s="48">
        <v>33.160689552585076</v>
      </c>
      <c r="S412" s="48">
        <v>14.500824256013438</v>
      </c>
      <c r="T412" s="48">
        <v>4.8062078736206439</v>
      </c>
      <c r="U412" s="48">
        <v>7.8402592447627795</v>
      </c>
      <c r="V412" s="48">
        <v>7.703717639226527</v>
      </c>
      <c r="W412" s="48">
        <v>10.23462067105026</v>
      </c>
      <c r="X412" s="48">
        <v>25.843587192927494</v>
      </c>
      <c r="Y412" s="48">
        <v>40.055132797237349</v>
      </c>
      <c r="Z412" s="48">
        <v>72.52269434021008</v>
      </c>
      <c r="AA412" s="48"/>
      <c r="AB412" s="48">
        <v>39.555912223885137</v>
      </c>
      <c r="AC412" s="48">
        <v>29.634527912274748</v>
      </c>
      <c r="AD412" s="48">
        <v>22.95520388576972</v>
      </c>
      <c r="AE412" s="48">
        <v>19.733746313164129</v>
      </c>
      <c r="AF412" s="48">
        <v>7.965168362232669</v>
      </c>
      <c r="AG412" s="48">
        <v>2.1036062296642277</v>
      </c>
      <c r="AH412" s="48">
        <v>2.4045100764444154</v>
      </c>
      <c r="AI412" s="48">
        <v>1.573151516891653</v>
      </c>
      <c r="AJ412" s="48">
        <v>5.135747821454534</v>
      </c>
      <c r="AK412" s="48">
        <v>13.180269606303618</v>
      </c>
      <c r="AL412" s="48">
        <v>26.207152818568751</v>
      </c>
      <c r="AM412" s="38">
        <v>46.681986776403356</v>
      </c>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row>
    <row r="413" spans="1:131">
      <c r="A413" s="27" t="s">
        <v>839</v>
      </c>
      <c r="B413" s="27"/>
      <c r="C413" s="48">
        <v>224.01460250228615</v>
      </c>
      <c r="D413" s="48">
        <v>527.71183707560658</v>
      </c>
      <c r="E413" s="48">
        <v>105.54236741512132</v>
      </c>
      <c r="F413" s="48">
        <v>633.25420449072794</v>
      </c>
      <c r="G413" s="48">
        <v>457.39604727891043</v>
      </c>
      <c r="H413" s="48">
        <v>224.32886542809393</v>
      </c>
      <c r="I413" s="48">
        <v>24763.148336645438</v>
      </c>
      <c r="J413" s="48">
        <v>82.034666847461139</v>
      </c>
      <c r="K413" s="48">
        <v>115.30126296869003</v>
      </c>
      <c r="L413" s="50">
        <v>0.49044775695515125</v>
      </c>
      <c r="M413" s="48">
        <v>2.1281607622539429</v>
      </c>
      <c r="N413" s="48">
        <v>0.10927348820846707</v>
      </c>
      <c r="O413" s="48">
        <v>23.278058115414044</v>
      </c>
      <c r="P413" s="48">
        <v>16.983666687278884</v>
      </c>
      <c r="Q413" s="48">
        <v>15.389817990555198</v>
      </c>
      <c r="R413" s="48">
        <v>12.450431270975855</v>
      </c>
      <c r="S413" s="48">
        <v>5.6566909623114743</v>
      </c>
      <c r="T413" s="48">
        <v>2.0551678000452145</v>
      </c>
      <c r="U413" s="48">
        <v>4.6935499575755388</v>
      </c>
      <c r="V413" s="48">
        <v>4.6452082511019643</v>
      </c>
      <c r="W413" s="48">
        <v>4.5570865117629626</v>
      </c>
      <c r="X413" s="48">
        <v>9.7998084340094529</v>
      </c>
      <c r="Y413" s="48">
        <v>14.983292824484661</v>
      </c>
      <c r="Z413" s="48">
        <v>27.128327628336066</v>
      </c>
      <c r="AA413" s="48"/>
      <c r="AB413" s="48">
        <v>14.796551013580984</v>
      </c>
      <c r="AC413" s="48">
        <v>11.085291157881306</v>
      </c>
      <c r="AD413" s="48">
        <v>8.5867782141008941</v>
      </c>
      <c r="AE413" s="48">
        <v>7.3938024632347519</v>
      </c>
      <c r="AF413" s="48">
        <v>3.0383692742186952</v>
      </c>
      <c r="AG413" s="48">
        <v>0.83363931226442911</v>
      </c>
      <c r="AH413" s="48">
        <v>1.3799615510869145</v>
      </c>
      <c r="AI413" s="48">
        <v>0.90094260830658512</v>
      </c>
      <c r="AJ413" s="48">
        <v>2.1507611629971821</v>
      </c>
      <c r="AK413" s="48">
        <v>4.9619967016989452</v>
      </c>
      <c r="AL413" s="48">
        <v>9.8032241401960114</v>
      </c>
      <c r="AM413" s="38">
        <v>17.462178468868142</v>
      </c>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row>
    <row r="414" spans="1:131">
      <c r="A414" s="27" t="s">
        <v>838</v>
      </c>
      <c r="B414" s="27"/>
      <c r="C414" s="48">
        <v>185.82051227713686</v>
      </c>
      <c r="D414" s="48">
        <v>444.15989154479752</v>
      </c>
      <c r="E414" s="48">
        <v>88.831978308959506</v>
      </c>
      <c r="F414" s="48">
        <v>532.99186985375707</v>
      </c>
      <c r="G414" s="48">
        <v>384.97711152026545</v>
      </c>
      <c r="H414" s="48">
        <v>185.88423927219074</v>
      </c>
      <c r="I414" s="48">
        <v>25126.444452781659</v>
      </c>
      <c r="J414" s="48">
        <v>83.653067121763527</v>
      </c>
      <c r="K414" s="48">
        <v>117.58335406700746</v>
      </c>
      <c r="L414" s="50">
        <v>0.48284491131989199</v>
      </c>
      <c r="M414" s="48">
        <v>1.765313177763931</v>
      </c>
      <c r="N414" s="48">
        <v>9.0614503024016732E-2</v>
      </c>
      <c r="O414" s="48">
        <v>19.303215281902038</v>
      </c>
      <c r="P414" s="48">
        <v>14.083622126689626</v>
      </c>
      <c r="Q414" s="48">
        <v>12.761930928605381</v>
      </c>
      <c r="R414" s="48">
        <v>10.324894182397882</v>
      </c>
      <c r="S414" s="48">
        <v>4.6929765107923229</v>
      </c>
      <c r="T414" s="48">
        <v>1.7066662122795979</v>
      </c>
      <c r="U414" s="48">
        <v>3.9087198659924041</v>
      </c>
      <c r="V414" s="48">
        <v>3.8686585443214732</v>
      </c>
      <c r="W414" s="48">
        <v>3.7858180152309604</v>
      </c>
      <c r="X414" s="48">
        <v>8.1276941743686901</v>
      </c>
      <c r="Y414" s="48">
        <v>12.424821932688992</v>
      </c>
      <c r="Z414" s="48">
        <v>22.496032351641357</v>
      </c>
      <c r="AA414" s="48"/>
      <c r="AB414" s="48">
        <v>12.269967203822285</v>
      </c>
      <c r="AC414" s="48">
        <v>9.1924232091101921</v>
      </c>
      <c r="AD414" s="48">
        <v>7.1205436305264422</v>
      </c>
      <c r="AE414" s="48">
        <v>6.1313882057009703</v>
      </c>
      <c r="AF414" s="48">
        <v>2.5201083020347608</v>
      </c>
      <c r="AG414" s="48">
        <v>0.69173249057047315</v>
      </c>
      <c r="AH414" s="48">
        <v>1.1488610150369725</v>
      </c>
      <c r="AI414" s="48">
        <v>0.75005113774191323</v>
      </c>
      <c r="AJ414" s="48">
        <v>1.7856753509832128</v>
      </c>
      <c r="AK414" s="48">
        <v>4.1150104990043737</v>
      </c>
      <c r="AL414" s="48">
        <v>8.12927543597967</v>
      </c>
      <c r="AM414" s="38">
        <v>14.480425669714876</v>
      </c>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row>
    <row r="415" spans="1:131">
      <c r="A415" s="27" t="s">
        <v>845</v>
      </c>
      <c r="B415" s="27"/>
      <c r="C415" s="48">
        <v>590.32056679253151</v>
      </c>
      <c r="D415" s="48">
        <v>1388.7391906273035</v>
      </c>
      <c r="E415" s="48">
        <v>277.7478381254607</v>
      </c>
      <c r="F415" s="48">
        <v>1666.4870287527642</v>
      </c>
      <c r="G415" s="48">
        <v>1203.6944632781369</v>
      </c>
      <c r="H415" s="48">
        <v>566.29320185376207</v>
      </c>
      <c r="I415" s="48">
        <v>24729.659092167189</v>
      </c>
      <c r="J415" s="48">
        <v>84.244973483862424</v>
      </c>
      <c r="K415" s="48">
        <v>118.1826823416875</v>
      </c>
      <c r="L415" s="50">
        <v>0.47046257927574187</v>
      </c>
      <c r="M415" s="48">
        <v>5.6081298381936824</v>
      </c>
      <c r="N415" s="48">
        <v>0.2634319918938765</v>
      </c>
      <c r="O415" s="48">
        <v>56.117776757215175</v>
      </c>
      <c r="P415" s="48">
        <v>40.943519040557909</v>
      </c>
      <c r="Q415" s="48">
        <v>37.10113472722503</v>
      </c>
      <c r="R415" s="48">
        <v>30.395513749603996</v>
      </c>
      <c r="S415" s="48">
        <v>15.554529813017712</v>
      </c>
      <c r="T415" s="48">
        <v>7.0776580403153782</v>
      </c>
      <c r="U415" s="48">
        <v>25.842809978482613</v>
      </c>
      <c r="V415" s="48">
        <v>25.74882726261221</v>
      </c>
      <c r="W415" s="48">
        <v>16.998039291962147</v>
      </c>
      <c r="X415" s="48">
        <v>24.718882660242382</v>
      </c>
      <c r="Y415" s="48">
        <v>36.121100722557351</v>
      </c>
      <c r="Z415" s="48">
        <v>65.399846761078393</v>
      </c>
      <c r="AA415" s="48"/>
      <c r="AB415" s="48">
        <v>35.670911312273532</v>
      </c>
      <c r="AC415" s="48">
        <v>26.723960022884818</v>
      </c>
      <c r="AD415" s="48">
        <v>20.700648674966235</v>
      </c>
      <c r="AE415" s="48">
        <v>17.924213187420047</v>
      </c>
      <c r="AF415" s="48">
        <v>7.8104569316107435</v>
      </c>
      <c r="AG415" s="48">
        <v>2.3954305065027555</v>
      </c>
      <c r="AH415" s="48">
        <v>7.2913911782619518</v>
      </c>
      <c r="AI415" s="48">
        <v>4.7501626753169122</v>
      </c>
      <c r="AJ415" s="48">
        <v>7.0797561550603145</v>
      </c>
      <c r="AK415" s="48">
        <v>12.223695905638577</v>
      </c>
      <c r="AL415" s="48">
        <v>23.633206046348821</v>
      </c>
      <c r="AM415" s="38">
        <v>42.097095391376541</v>
      </c>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row>
    <row r="416" spans="1:131">
      <c r="A416" s="27" t="s">
        <v>874</v>
      </c>
      <c r="B416" s="27"/>
      <c r="C416" s="48">
        <v>638.75356520811931</v>
      </c>
      <c r="D416" s="48">
        <v>1655.6474837848516</v>
      </c>
      <c r="E416" s="48">
        <v>331.12949675697035</v>
      </c>
      <c r="F416" s="48">
        <v>1986.776980541822</v>
      </c>
      <c r="G416" s="48">
        <v>1435.0381431030262</v>
      </c>
      <c r="H416" s="48">
        <v>669.56039552253662</v>
      </c>
      <c r="I416" s="48">
        <v>27247.075081100673</v>
      </c>
      <c r="J416" s="48">
        <v>92.246508148166242</v>
      </c>
      <c r="K416" s="48">
        <v>126.93044494164164</v>
      </c>
      <c r="L416" s="50">
        <v>0.46658020815720341</v>
      </c>
      <c r="M416" s="48">
        <v>6.068212091118391</v>
      </c>
      <c r="N416" s="48">
        <v>0.32052429492895801</v>
      </c>
      <c r="O416" s="48">
        <v>68.279902903111193</v>
      </c>
      <c r="P416" s="48">
        <v>49.817003918309005</v>
      </c>
      <c r="Q416" s="48">
        <v>45.141878797692478</v>
      </c>
      <c r="R416" s="48">
        <v>36.381221315749407</v>
      </c>
      <c r="S416" s="48">
        <v>15.893123185294289</v>
      </c>
      <c r="T416" s="48">
        <v>5.2540803494419404</v>
      </c>
      <c r="U416" s="48">
        <v>8.4697353651526122</v>
      </c>
      <c r="V416" s="48">
        <v>8.3197124841957084</v>
      </c>
      <c r="W416" s="48">
        <v>11.174720146651484</v>
      </c>
      <c r="X416" s="48">
        <v>28.346201816820106</v>
      </c>
      <c r="Y416" s="48">
        <v>43.94944690628023</v>
      </c>
      <c r="Z416" s="48">
        <v>79.573629690357365</v>
      </c>
      <c r="AA416" s="48"/>
      <c r="AB416" s="48">
        <v>43.401690188205407</v>
      </c>
      <c r="AC416" s="48">
        <v>32.515710724669681</v>
      </c>
      <c r="AD416" s="48">
        <v>25.186997119881148</v>
      </c>
      <c r="AE416" s="48">
        <v>21.651427244206289</v>
      </c>
      <c r="AF416" s="48">
        <v>8.7351335369432732</v>
      </c>
      <c r="AG416" s="48">
        <v>2.3046013713123408</v>
      </c>
      <c r="AH416" s="48">
        <v>2.6020490120295245</v>
      </c>
      <c r="AI416" s="48">
        <v>1.7025345411095871</v>
      </c>
      <c r="AJ416" s="48">
        <v>5.6177465980755832</v>
      </c>
      <c r="AK416" s="48">
        <v>14.459315830069855</v>
      </c>
      <c r="AL416" s="48">
        <v>28.755113038694009</v>
      </c>
      <c r="AM416" s="38">
        <v>51.220589123866787</v>
      </c>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row>
    <row r="417" spans="1:131">
      <c r="A417" s="27" t="s">
        <v>847</v>
      </c>
      <c r="B417" s="27"/>
      <c r="C417" s="48">
        <v>681.56344540520035</v>
      </c>
      <c r="D417" s="48">
        <v>1635.52300175959</v>
      </c>
      <c r="E417" s="48">
        <v>327.10460035191801</v>
      </c>
      <c r="F417" s="48">
        <v>1962.6276021115079</v>
      </c>
      <c r="G417" s="48">
        <v>1417.5951791875295</v>
      </c>
      <c r="H417" s="48">
        <v>660.21905439626119</v>
      </c>
      <c r="I417" s="48">
        <v>25225.263928694891</v>
      </c>
      <c r="J417" s="48">
        <v>86.074174977275945</v>
      </c>
      <c r="K417" s="48">
        <v>120.50107493823872</v>
      </c>
      <c r="L417" s="50">
        <v>0.46573172940292762</v>
      </c>
      <c r="M417" s="48">
        <v>6.4749455010787003</v>
      </c>
      <c r="N417" s="48">
        <v>0.30855389378615189</v>
      </c>
      <c r="O417" s="48">
        <v>65.729900171108454</v>
      </c>
      <c r="P417" s="48">
        <v>47.956522419497574</v>
      </c>
      <c r="Q417" s="48">
        <v>43.455995992246848</v>
      </c>
      <c r="R417" s="48">
        <v>35.52709817722841</v>
      </c>
      <c r="S417" s="48">
        <v>17.842318834909285</v>
      </c>
      <c r="T417" s="48">
        <v>7.8731377837971666</v>
      </c>
      <c r="U417" s="48">
        <v>27.41719534400594</v>
      </c>
      <c r="V417" s="48">
        <v>27.302686335262546</v>
      </c>
      <c r="W417" s="48">
        <v>18.729269123861744</v>
      </c>
      <c r="X417" s="48">
        <v>28.738095527888426</v>
      </c>
      <c r="Y417" s="48">
        <v>42.30809703734365</v>
      </c>
      <c r="Z417" s="48">
        <v>76.601847885194019</v>
      </c>
      <c r="AA417" s="48"/>
      <c r="AB417" s="48">
        <v>41.780797013964857</v>
      </c>
      <c r="AC417" s="48">
        <v>31.301368763777106</v>
      </c>
      <c r="AD417" s="48">
        <v>24.246355602599266</v>
      </c>
      <c r="AE417" s="48">
        <v>20.974816981047038</v>
      </c>
      <c r="AF417" s="48">
        <v>9.0529205303484126</v>
      </c>
      <c r="AG417" s="48">
        <v>2.730005407150899</v>
      </c>
      <c r="AH417" s="48">
        <v>7.7619584953855512</v>
      </c>
      <c r="AI417" s="48">
        <v>5.0576398790412238</v>
      </c>
      <c r="AJ417" s="48">
        <v>7.9204257957550253</v>
      </c>
      <c r="AK417" s="48">
        <v>14.266087871412727</v>
      </c>
      <c r="AL417" s="48">
        <v>27.681215541918625</v>
      </c>
      <c r="AM417" s="38">
        <v>49.307688890455658</v>
      </c>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row>
    <row r="418" spans="1:131">
      <c r="A418" s="27" t="s">
        <v>859</v>
      </c>
      <c r="B418" s="27"/>
      <c r="C418" s="48">
        <v>439.06031889213284</v>
      </c>
      <c r="D418" s="48">
        <v>1370.7558864868229</v>
      </c>
      <c r="E418" s="48">
        <v>274.1511772973646</v>
      </c>
      <c r="F418" s="48">
        <v>1644.9070637841874</v>
      </c>
      <c r="G418" s="48">
        <v>1188.1073726484233</v>
      </c>
      <c r="H418" s="48">
        <v>422.47853922372718</v>
      </c>
      <c r="I418" s="48">
        <v>32818.693147010497</v>
      </c>
      <c r="J418" s="48">
        <v>119.75274828506343</v>
      </c>
      <c r="K418" s="48">
        <v>167.04548665953993</v>
      </c>
      <c r="L418" s="50">
        <v>0.35558952747004302</v>
      </c>
      <c r="M418" s="48">
        <v>4.1711330470216472</v>
      </c>
      <c r="N418" s="48">
        <v>0.19853142158497575</v>
      </c>
      <c r="O418" s="48">
        <v>42.292289238303461</v>
      </c>
      <c r="P418" s="48">
        <v>30.856446027588319</v>
      </c>
      <c r="Q418" s="48">
        <v>27.960692878862574</v>
      </c>
      <c r="R418" s="48">
        <v>22.863012580170142</v>
      </c>
      <c r="S418" s="48">
        <v>11.500228817519057</v>
      </c>
      <c r="T418" s="48">
        <v>5.0879507409106015</v>
      </c>
      <c r="U418" s="48">
        <v>17.792645947224841</v>
      </c>
      <c r="V418" s="48">
        <v>17.719203524574841</v>
      </c>
      <c r="W418" s="48">
        <v>12.113676147764989</v>
      </c>
      <c r="X418" s="48">
        <v>18.502246032939613</v>
      </c>
      <c r="Y418" s="48">
        <v>27.222105500960982</v>
      </c>
      <c r="Z418" s="48">
        <v>49.287576864039487</v>
      </c>
      <c r="AA418" s="48"/>
      <c r="AB418" s="48">
        <v>26.882827257025625</v>
      </c>
      <c r="AC418" s="48">
        <v>20.14009663587375</v>
      </c>
      <c r="AD418" s="48">
        <v>15.600721763618573</v>
      </c>
      <c r="AE418" s="48">
        <v>13.496770206491167</v>
      </c>
      <c r="AF418" s="48">
        <v>5.8299516443180224</v>
      </c>
      <c r="AG418" s="48">
        <v>1.7605833582852941</v>
      </c>
      <c r="AH418" s="48">
        <v>5.0356473223544951</v>
      </c>
      <c r="AI418" s="48">
        <v>3.2811403743270882</v>
      </c>
      <c r="AJ418" s="48">
        <v>5.115992164496018</v>
      </c>
      <c r="AK418" s="48">
        <v>9.1818949753947372</v>
      </c>
      <c r="AL418" s="48">
        <v>17.810797994810059</v>
      </c>
      <c r="AM418" s="38">
        <v>31.725820894279121</v>
      </c>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row>
    <row r="419" spans="1:131">
      <c r="A419" s="27" t="s">
        <v>861</v>
      </c>
      <c r="B419" s="27"/>
      <c r="C419" s="48">
        <v>507.58277006475492</v>
      </c>
      <c r="D419" s="48">
        <v>1614.3440015787794</v>
      </c>
      <c r="E419" s="48">
        <v>322.86880031575589</v>
      </c>
      <c r="F419" s="48">
        <v>1937.2128018945352</v>
      </c>
      <c r="G419" s="48">
        <v>1399.2382080388338</v>
      </c>
      <c r="H419" s="48">
        <v>493.11798834983318</v>
      </c>
      <c r="I419" s="48">
        <v>33432.939700516588</v>
      </c>
      <c r="J419" s="48">
        <v>122.15001903295359</v>
      </c>
      <c r="K419" s="48">
        <v>170.09200247778341</v>
      </c>
      <c r="L419" s="50">
        <v>0.35241889873846799</v>
      </c>
      <c r="M419" s="48">
        <v>4.8221025788877299</v>
      </c>
      <c r="N419" s="48">
        <v>0.23241708303730066</v>
      </c>
      <c r="O419" s="48">
        <v>49.51080499632193</v>
      </c>
      <c r="P419" s="48">
        <v>36.123073724933739</v>
      </c>
      <c r="Q419" s="48">
        <v>32.73306878440674</v>
      </c>
      <c r="R419" s="48">
        <v>26.716738002665327</v>
      </c>
      <c r="S419" s="48">
        <v>13.218345549303066</v>
      </c>
      <c r="T419" s="48">
        <v>5.6853759809485176</v>
      </c>
      <c r="U419" s="48">
        <v>18.975221924733152</v>
      </c>
      <c r="V419" s="48">
        <v>18.886365037683277</v>
      </c>
      <c r="W419" s="48">
        <v>13.413896496495422</v>
      </c>
      <c r="X419" s="48">
        <v>21.520614235064208</v>
      </c>
      <c r="Y419" s="48">
        <v>31.868418128255659</v>
      </c>
      <c r="Z419" s="48">
        <v>57.700059533466337</v>
      </c>
      <c r="AA419" s="48"/>
      <c r="AB419" s="48">
        <v>31.471231329491303</v>
      </c>
      <c r="AC419" s="48">
        <v>23.57764063153903</v>
      </c>
      <c r="AD419" s="48">
        <v>18.263477975574808</v>
      </c>
      <c r="AE419" s="48">
        <v>15.787715364525694</v>
      </c>
      <c r="AF419" s="48">
        <v>6.7630255273351381</v>
      </c>
      <c r="AG419" s="48">
        <v>2.0118489981177272</v>
      </c>
      <c r="AH419" s="48">
        <v>5.3891005831228744</v>
      </c>
      <c r="AI419" s="48">
        <v>3.5120929263606242</v>
      </c>
      <c r="AJ419" s="48">
        <v>5.7473503014972769</v>
      </c>
      <c r="AK419" s="48">
        <v>10.715695582133566</v>
      </c>
      <c r="AL419" s="48">
        <v>20.850773562554416</v>
      </c>
      <c r="AM419" s="38">
        <v>37.140834888225129</v>
      </c>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row>
    <row r="420" spans="1:131">
      <c r="A420" s="27" t="s">
        <v>887</v>
      </c>
      <c r="B420" s="27"/>
      <c r="C420" s="48">
        <v>437.59839445869</v>
      </c>
      <c r="D420" s="48">
        <v>1423.5624999793488</v>
      </c>
      <c r="E420" s="48">
        <v>284.71249999586979</v>
      </c>
      <c r="F420" s="48">
        <v>1708.2749999752186</v>
      </c>
      <c r="G420" s="48">
        <v>1233.8776862641209</v>
      </c>
      <c r="H420" s="48">
        <v>426.20018324728534</v>
      </c>
      <c r="I420" s="48">
        <v>34196.855357054075</v>
      </c>
      <c r="J420" s="48">
        <v>125.62857343970386</v>
      </c>
      <c r="K420" s="48">
        <v>174.54591942439049</v>
      </c>
      <c r="L420" s="50">
        <v>0.34541526116556576</v>
      </c>
      <c r="M420" s="48">
        <v>4.157242649589274</v>
      </c>
      <c r="N420" s="48">
        <v>0.19965122834119201</v>
      </c>
      <c r="O420" s="48">
        <v>42.530836823601611</v>
      </c>
      <c r="P420" s="48">
        <v>31.030490299566324</v>
      </c>
      <c r="Q420" s="48">
        <v>28.118403797085342</v>
      </c>
      <c r="R420" s="48">
        <v>22.96216070254015</v>
      </c>
      <c r="S420" s="48">
        <v>11.414875394638457</v>
      </c>
      <c r="T420" s="48">
        <v>4.9503285313814569</v>
      </c>
      <c r="U420" s="48">
        <v>16.754942340398774</v>
      </c>
      <c r="V420" s="48">
        <v>16.679318587873169</v>
      </c>
      <c r="W420" s="48">
        <v>11.711041067622972</v>
      </c>
      <c r="X420" s="48">
        <v>18.5209134612398</v>
      </c>
      <c r="Y420" s="48">
        <v>27.375650453266481</v>
      </c>
      <c r="Z420" s="48">
        <v>49.565581026449898</v>
      </c>
      <c r="AA420" s="48"/>
      <c r="AB420" s="48">
        <v>27.034458527019464</v>
      </c>
      <c r="AC420" s="48">
        <v>20.253695864165412</v>
      </c>
      <c r="AD420" s="48">
        <v>15.688716870354222</v>
      </c>
      <c r="AE420" s="48">
        <v>13.565100348953774</v>
      </c>
      <c r="AF420" s="48">
        <v>5.8247883596699763</v>
      </c>
      <c r="AG420" s="48">
        <v>1.7402971567569372</v>
      </c>
      <c r="AH420" s="48">
        <v>4.7534733247106438</v>
      </c>
      <c r="AI420" s="48">
        <v>3.0976787342833823</v>
      </c>
      <c r="AJ420" s="48">
        <v>4.9964166933627521</v>
      </c>
      <c r="AK420" s="48">
        <v>9.213198332909176</v>
      </c>
      <c r="AL420" s="48">
        <v>17.911258928242976</v>
      </c>
      <c r="AM420" s="38">
        <v>31.904768832596854</v>
      </c>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row>
    <row r="421" spans="1:131">
      <c r="A421" s="27" t="s">
        <v>864</v>
      </c>
      <c r="B421" s="27"/>
      <c r="C421" s="48">
        <v>152.20883549304395</v>
      </c>
      <c r="D421" s="48">
        <v>511.13785022512633</v>
      </c>
      <c r="E421" s="48">
        <v>102.22757004502527</v>
      </c>
      <c r="F421" s="48">
        <v>613.36542027015162</v>
      </c>
      <c r="G421" s="48">
        <v>443.03048725078446</v>
      </c>
      <c r="H421" s="48">
        <v>152.99358277568479</v>
      </c>
      <c r="I421" s="48">
        <v>35300.717360866227</v>
      </c>
      <c r="J421" s="48">
        <v>128.89047308167832</v>
      </c>
      <c r="K421" s="48">
        <v>178.95655386408794</v>
      </c>
      <c r="L421" s="50">
        <v>0.34533420876988163</v>
      </c>
      <c r="M421" s="48">
        <v>1.445999378465803</v>
      </c>
      <c r="N421" s="48">
        <v>7.3812699729113154E-2</v>
      </c>
      <c r="O421" s="48">
        <v>15.72399986602392</v>
      </c>
      <c r="P421" s="48">
        <v>11.472227253292003</v>
      </c>
      <c r="Q421" s="48">
        <v>10.395604943583507</v>
      </c>
      <c r="R421" s="48">
        <v>8.4168280114626182</v>
      </c>
      <c r="S421" s="48">
        <v>3.8549664812743232</v>
      </c>
      <c r="T421" s="48">
        <v>1.4258273362265441</v>
      </c>
      <c r="U421" s="48">
        <v>3.4276427662532378</v>
      </c>
      <c r="V421" s="48">
        <v>3.395388007557798</v>
      </c>
      <c r="W421" s="48">
        <v>3.1846907566821945</v>
      </c>
      <c r="X421" s="48">
        <v>6.6390001475157474</v>
      </c>
      <c r="Y421" s="48">
        <v>10.121002928882129</v>
      </c>
      <c r="Z421" s="48">
        <v>18.324802605031302</v>
      </c>
      <c r="AA421" s="48"/>
      <c r="AB421" s="48">
        <v>9.9948614700425651</v>
      </c>
      <c r="AC421" s="48">
        <v>7.4879577934356156</v>
      </c>
      <c r="AD421" s="48">
        <v>5.8002475472253536</v>
      </c>
      <c r="AE421" s="48">
        <v>4.9961716393544142</v>
      </c>
      <c r="AF421" s="48">
        <v>2.0609746335312193</v>
      </c>
      <c r="AG421" s="48">
        <v>0.56994093601377638</v>
      </c>
      <c r="AH421" s="48">
        <v>1.0023388376842508</v>
      </c>
      <c r="AI421" s="48">
        <v>0.65422143313319991</v>
      </c>
      <c r="AJ421" s="48">
        <v>1.4863562679772697</v>
      </c>
      <c r="AK421" s="48">
        <v>3.3563890101079963</v>
      </c>
      <c r="AL421" s="48">
        <v>6.6219396095146639</v>
      </c>
      <c r="AM421" s="38">
        <v>11.795455211238293</v>
      </c>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row>
    <row r="422" spans="1:131">
      <c r="A422" s="27" t="s">
        <v>881</v>
      </c>
      <c r="B422" s="27"/>
      <c r="C422" s="48">
        <v>160.0762961366737</v>
      </c>
      <c r="D422" s="48">
        <v>540.94446756176649</v>
      </c>
      <c r="E422" s="48">
        <v>108.1888935123533</v>
      </c>
      <c r="F422" s="48">
        <v>649.13336107411976</v>
      </c>
      <c r="G422" s="48">
        <v>468.86547520194711</v>
      </c>
      <c r="H422" s="48">
        <v>161.12731601700136</v>
      </c>
      <c r="I422" s="48">
        <v>35523.112292367223</v>
      </c>
      <c r="J422" s="48">
        <v>129.62275223133949</v>
      </c>
      <c r="K422" s="48">
        <v>180.20354833551988</v>
      </c>
      <c r="L422" s="50">
        <v>0.34365361609873601</v>
      </c>
      <c r="M422" s="48">
        <v>1.5207402848970255</v>
      </c>
      <c r="N422" s="48">
        <v>7.8341830715264196E-2</v>
      </c>
      <c r="O422" s="48">
        <v>16.688821032040082</v>
      </c>
      <c r="P422" s="48">
        <v>12.176160588933939</v>
      </c>
      <c r="Q422" s="48">
        <v>11.033476971602537</v>
      </c>
      <c r="R422" s="48">
        <v>8.9221409801725979</v>
      </c>
      <c r="S422" s="48">
        <v>4.0353596089424535</v>
      </c>
      <c r="T422" s="48">
        <v>1.451151182047226</v>
      </c>
      <c r="U422" s="48">
        <v>3.2125956955481865</v>
      </c>
      <c r="V422" s="48">
        <v>3.1777013208144367</v>
      </c>
      <c r="W422" s="48">
        <v>3.2040742370570001</v>
      </c>
      <c r="X422" s="48">
        <v>7.0143385706911845</v>
      </c>
      <c r="Y422" s="48">
        <v>10.742025437804745</v>
      </c>
      <c r="Z422" s="48">
        <v>19.449208453864028</v>
      </c>
      <c r="AA422" s="48"/>
      <c r="AB422" s="48">
        <v>10.608143966853914</v>
      </c>
      <c r="AC422" s="48">
        <v>7.947417233202783</v>
      </c>
      <c r="AD422" s="48">
        <v>6.1561494582771656</v>
      </c>
      <c r="AE422" s="48">
        <v>5.2998211209815791</v>
      </c>
      <c r="AF422" s="48">
        <v>2.1732150494836979</v>
      </c>
      <c r="AG422" s="48">
        <v>0.59361848189749722</v>
      </c>
      <c r="AH422" s="48">
        <v>0.94775955778311238</v>
      </c>
      <c r="AI422" s="48">
        <v>0.6188757009368292</v>
      </c>
      <c r="AJ422" s="48">
        <v>1.522080257027193</v>
      </c>
      <c r="AK422" s="48">
        <v>3.5546791231776198</v>
      </c>
      <c r="AL422" s="48">
        <v>7.0282603643975055</v>
      </c>
      <c r="AM422" s="38">
        <v>12.519221743136395</v>
      </c>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row>
    <row r="423" spans="1:131">
      <c r="A423" s="27" t="s">
        <v>889</v>
      </c>
      <c r="B423" s="27"/>
      <c r="C423" s="48">
        <v>506.57122802411897</v>
      </c>
      <c r="D423" s="48">
        <v>1676.5345349740685</v>
      </c>
      <c r="E423" s="48">
        <v>335.30690699481374</v>
      </c>
      <c r="F423" s="48">
        <v>2011.8414419688822</v>
      </c>
      <c r="G423" s="48">
        <v>1453.1420664605221</v>
      </c>
      <c r="H423" s="48">
        <v>498.14181656570742</v>
      </c>
      <c r="I423" s="48">
        <v>34790.232955765707</v>
      </c>
      <c r="J423" s="48">
        <v>127.94904267394971</v>
      </c>
      <c r="K423" s="48">
        <v>177.4555820264554</v>
      </c>
      <c r="L423" s="50">
        <v>0.34280324550720076</v>
      </c>
      <c r="M423" s="48">
        <v>4.8124907304658384</v>
      </c>
      <c r="N423" s="48">
        <v>0.23387561594000897</v>
      </c>
      <c r="O423" s="48">
        <v>49.821509946160411</v>
      </c>
      <c r="P423" s="48">
        <v>36.349763996088711</v>
      </c>
      <c r="Q423" s="48">
        <v>32.938485086877968</v>
      </c>
      <c r="R423" s="48">
        <v>26.852633038716654</v>
      </c>
      <c r="S423" s="48">
        <v>13.141219358659573</v>
      </c>
      <c r="T423" s="48">
        <v>5.5438194253125328</v>
      </c>
      <c r="U423" s="48">
        <v>17.881554855640751</v>
      </c>
      <c r="V423" s="48">
        <v>17.790257303427932</v>
      </c>
      <c r="W423" s="48">
        <v>12.996207438106888</v>
      </c>
      <c r="X423" s="48">
        <v>21.56434968705581</v>
      </c>
      <c r="Y423" s="48">
        <v>32.068408317401378</v>
      </c>
      <c r="Z423" s="48">
        <v>58.062156132468409</v>
      </c>
      <c r="AA423" s="48"/>
      <c r="AB423" s="48">
        <v>31.668728973739082</v>
      </c>
      <c r="AC423" s="48">
        <v>23.7256020644076</v>
      </c>
      <c r="AD423" s="48">
        <v>18.378090392171522</v>
      </c>
      <c r="AE423" s="48">
        <v>15.878481693599312</v>
      </c>
      <c r="AF423" s="48">
        <v>6.7649232626953726</v>
      </c>
      <c r="AG423" s="48">
        <v>1.9922747349644436</v>
      </c>
      <c r="AH423" s="48">
        <v>5.0919613116892304</v>
      </c>
      <c r="AI423" s="48">
        <v>3.3189103643989286</v>
      </c>
      <c r="AJ423" s="48">
        <v>5.6252451524480342</v>
      </c>
      <c r="AK423" s="48">
        <v>10.761110823705804</v>
      </c>
      <c r="AL423" s="48">
        <v>20.981622547020095</v>
      </c>
      <c r="AM423" s="38">
        <v>37.373912117362536</v>
      </c>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row>
    <row r="424" spans="1:131">
      <c r="A424" s="27" t="s">
        <v>853</v>
      </c>
      <c r="B424" s="27"/>
      <c r="C424" s="48">
        <v>154.79735270397916</v>
      </c>
      <c r="D424" s="48">
        <v>520.87829876350941</v>
      </c>
      <c r="E424" s="48">
        <v>104.17565975270189</v>
      </c>
      <c r="F424" s="48">
        <v>625.05395851621131</v>
      </c>
      <c r="G424" s="48">
        <v>451.47305447624109</v>
      </c>
      <c r="H424" s="48">
        <v>154.18219675314808</v>
      </c>
      <c r="I424" s="48">
        <v>35371.875429115527</v>
      </c>
      <c r="J424" s="48">
        <v>129.13225972230339</v>
      </c>
      <c r="K424" s="48">
        <v>180.06047621908655</v>
      </c>
      <c r="L424" s="50">
        <v>0.34150918914090356</v>
      </c>
      <c r="M424" s="48">
        <v>1.4705903389464006</v>
      </c>
      <c r="N424" s="48">
        <v>7.5268453028015742E-2</v>
      </c>
      <c r="O424" s="48">
        <v>16.034112688897405</v>
      </c>
      <c r="P424" s="48">
        <v>11.698485508728133</v>
      </c>
      <c r="Q424" s="48">
        <v>10.600629773270652</v>
      </c>
      <c r="R424" s="48">
        <v>8.5796980107794063</v>
      </c>
      <c r="S424" s="48">
        <v>3.9152277388127064</v>
      </c>
      <c r="T424" s="48">
        <v>1.436490520908263</v>
      </c>
      <c r="U424" s="48">
        <v>3.3757902379558558</v>
      </c>
      <c r="V424" s="48">
        <v>3.3427138659225704</v>
      </c>
      <c r="W424" s="48">
        <v>3.1980669316852413</v>
      </c>
      <c r="X424" s="48">
        <v>6.7609416600723877</v>
      </c>
      <c r="Y424" s="48">
        <v>10.320611986076818</v>
      </c>
      <c r="Z424" s="48">
        <v>18.686209137266449</v>
      </c>
      <c r="AA424" s="48"/>
      <c r="AB424" s="48">
        <v>10.191982732514829</v>
      </c>
      <c r="AC424" s="48">
        <v>7.6356372483240254</v>
      </c>
      <c r="AD424" s="48">
        <v>5.9146415408377377</v>
      </c>
      <c r="AE424" s="48">
        <v>5.0938889724190561</v>
      </c>
      <c r="AF424" s="48">
        <v>2.0976282360175946</v>
      </c>
      <c r="AG424" s="48">
        <v>0.57800985292919593</v>
      </c>
      <c r="AH424" s="48">
        <v>0.98950837817540049</v>
      </c>
      <c r="AI424" s="48">
        <v>0.64592509469353399</v>
      </c>
      <c r="AJ424" s="48">
        <v>1.5000908420959298</v>
      </c>
      <c r="AK424" s="48">
        <v>3.4204342648008286</v>
      </c>
      <c r="AL424" s="48">
        <v>6.7525392281041805</v>
      </c>
      <c r="AM424" s="38">
        <v>12.028088252690987</v>
      </c>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row>
    <row r="425" spans="1:131">
      <c r="A425" s="27" t="s">
        <v>880</v>
      </c>
      <c r="B425" s="27"/>
      <c r="C425" s="48">
        <v>132.85764643621707</v>
      </c>
      <c r="D425" s="48">
        <v>455.29741643746559</v>
      </c>
      <c r="E425" s="48">
        <v>91.059483287493123</v>
      </c>
      <c r="F425" s="48">
        <v>546.35689972495868</v>
      </c>
      <c r="G425" s="48">
        <v>394.63059947423562</v>
      </c>
      <c r="H425" s="48">
        <v>133.56698892519387</v>
      </c>
      <c r="I425" s="48">
        <v>36024.170004308828</v>
      </c>
      <c r="J425" s="48">
        <v>131.84772788645472</v>
      </c>
      <c r="K425" s="48">
        <v>183.33374014386877</v>
      </c>
      <c r="L425" s="50">
        <v>0.3384608013244399</v>
      </c>
      <c r="M425" s="48">
        <v>1.2621604938511459</v>
      </c>
      <c r="N425" s="48">
        <v>6.5009942246611968E-2</v>
      </c>
      <c r="O425" s="48">
        <v>13.848786549298474</v>
      </c>
      <c r="P425" s="48">
        <v>10.104071981021979</v>
      </c>
      <c r="Q425" s="48">
        <v>9.1558455317466478</v>
      </c>
      <c r="R425" s="48">
        <v>7.4039780466925933</v>
      </c>
      <c r="S425" s="48">
        <v>3.3494959358666878</v>
      </c>
      <c r="T425" s="48">
        <v>1.2051492689005132</v>
      </c>
      <c r="U425" s="48">
        <v>2.6723829888208122</v>
      </c>
      <c r="V425" s="48">
        <v>2.6434368769158696</v>
      </c>
      <c r="W425" s="48">
        <v>2.6615053491927263</v>
      </c>
      <c r="X425" s="48">
        <v>5.8211564159959375</v>
      </c>
      <c r="Y425" s="48">
        <v>8.9139920135573014</v>
      </c>
      <c r="Z425" s="48">
        <v>16.139422665823179</v>
      </c>
      <c r="AA425" s="48"/>
      <c r="AB425" s="48">
        <v>8.8028939371536676</v>
      </c>
      <c r="AC425" s="48">
        <v>6.5949586654167227</v>
      </c>
      <c r="AD425" s="48">
        <v>5.1085214257845095</v>
      </c>
      <c r="AE425" s="48">
        <v>4.3979639924201512</v>
      </c>
      <c r="AF425" s="48">
        <v>1.8036033948656929</v>
      </c>
      <c r="AG425" s="48">
        <v>0.49277135554978585</v>
      </c>
      <c r="AH425" s="48">
        <v>0.78824584476951431</v>
      </c>
      <c r="AI425" s="48">
        <v>0.51471038487329379</v>
      </c>
      <c r="AJ425" s="48">
        <v>1.2639058592659598</v>
      </c>
      <c r="AK425" s="48">
        <v>2.9498754363867401</v>
      </c>
      <c r="AL425" s="48">
        <v>5.8322201078536917</v>
      </c>
      <c r="AM425" s="38">
        <v>10.388752408044633</v>
      </c>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row>
    <row r="426" spans="1:131">
      <c r="A426" s="27" t="s">
        <v>852</v>
      </c>
      <c r="B426" s="27"/>
      <c r="C426" s="48">
        <v>128.47289430492631</v>
      </c>
      <c r="D426" s="48">
        <v>438.40829868232129</v>
      </c>
      <c r="E426" s="48">
        <v>87.681659736464269</v>
      </c>
      <c r="F426" s="48">
        <v>526.0899584187855</v>
      </c>
      <c r="G426" s="48">
        <v>379.99189865213475</v>
      </c>
      <c r="H426" s="48">
        <v>127.8143546274425</v>
      </c>
      <c r="I426" s="48">
        <v>35871.753809876187</v>
      </c>
      <c r="J426" s="48">
        <v>131.352641590129</v>
      </c>
      <c r="K426" s="48">
        <v>183.17801518961477</v>
      </c>
      <c r="L426" s="50">
        <v>0.33636073579676684</v>
      </c>
      <c r="M426" s="48">
        <v>1.220505363237133</v>
      </c>
      <c r="N426" s="48">
        <v>6.2456419423885523E-2</v>
      </c>
      <c r="O426" s="48">
        <v>13.304820637337622</v>
      </c>
      <c r="P426" s="48">
        <v>9.7071945571329437</v>
      </c>
      <c r="Q426" s="48">
        <v>8.7962134551946747</v>
      </c>
      <c r="R426" s="48">
        <v>7.1194681412899321</v>
      </c>
      <c r="S426" s="48">
        <v>3.2497325393714145</v>
      </c>
      <c r="T426" s="48">
        <v>1.1930220574890353</v>
      </c>
      <c r="U426" s="48">
        <v>2.8083405269943138</v>
      </c>
      <c r="V426" s="48">
        <v>2.780905476574421</v>
      </c>
      <c r="W426" s="48">
        <v>2.6566660334095333</v>
      </c>
      <c r="X426" s="48">
        <v>5.6106486510066045</v>
      </c>
      <c r="Y426" s="48">
        <v>8.5638596913061438</v>
      </c>
      <c r="Z426" s="48">
        <v>15.505482952933253</v>
      </c>
      <c r="AA426" s="48"/>
      <c r="AB426" s="48">
        <v>8.4571254316335196</v>
      </c>
      <c r="AC426" s="48">
        <v>6.3359155577764179</v>
      </c>
      <c r="AD426" s="48">
        <v>4.9078640247727803</v>
      </c>
      <c r="AE426" s="48">
        <v>4.2268673141511242</v>
      </c>
      <c r="AF426" s="48">
        <v>1.7408141881275352</v>
      </c>
      <c r="AG426" s="48">
        <v>0.47981263451678619</v>
      </c>
      <c r="AH426" s="48">
        <v>0.82303309645005041</v>
      </c>
      <c r="AI426" s="48">
        <v>0.53724956239363364</v>
      </c>
      <c r="AJ426" s="48">
        <v>1.2456837677476147</v>
      </c>
      <c r="AK426" s="48">
        <v>2.8383443974842621</v>
      </c>
      <c r="AL426" s="48">
        <v>5.6031365763520986</v>
      </c>
      <c r="AM426" s="38">
        <v>9.9806930334806001</v>
      </c>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row>
    <row r="427" spans="1:131">
      <c r="A427" s="27" t="s">
        <v>865</v>
      </c>
      <c r="B427" s="27"/>
      <c r="C427" s="48">
        <v>165.03918128276874</v>
      </c>
      <c r="D427" s="48">
        <v>595.71787033770602</v>
      </c>
      <c r="E427" s="48">
        <v>119.14357406754121</v>
      </c>
      <c r="F427" s="48">
        <v>714.8614444052472</v>
      </c>
      <c r="G427" s="48">
        <v>516.34051018423236</v>
      </c>
      <c r="H427" s="48">
        <v>166.09722695520765</v>
      </c>
      <c r="I427" s="48">
        <v>37943.633774216876</v>
      </c>
      <c r="J427" s="48">
        <v>140.59797180965288</v>
      </c>
      <c r="K427" s="48">
        <v>194.89902724657949</v>
      </c>
      <c r="L427" s="50">
        <v>0.32168157190677038</v>
      </c>
      <c r="M427" s="48">
        <v>1.5678889534071376</v>
      </c>
      <c r="N427" s="48">
        <v>8.004554720630265E-2</v>
      </c>
      <c r="O427" s="48">
        <v>17.051756380227395</v>
      </c>
      <c r="P427" s="48">
        <v>12.440958148596497</v>
      </c>
      <c r="Q427" s="48">
        <v>11.273424347077254</v>
      </c>
      <c r="R427" s="48">
        <v>9.1273873274307764</v>
      </c>
      <c r="S427" s="48">
        <v>4.1796315802775021</v>
      </c>
      <c r="T427" s="48">
        <v>1.5452810371822376</v>
      </c>
      <c r="U427" s="48">
        <v>3.7106104346490731</v>
      </c>
      <c r="V427" s="48">
        <v>3.6756219972631001</v>
      </c>
      <c r="W427" s="48">
        <v>3.4509341552763861</v>
      </c>
      <c r="X427" s="48">
        <v>7.199119622648376</v>
      </c>
      <c r="Y427" s="48">
        <v>10.975634554651393</v>
      </c>
      <c r="Z427" s="48">
        <v>19.87217453568724</v>
      </c>
      <c r="AA427" s="48"/>
      <c r="AB427" s="48">
        <v>10.83884153481511</v>
      </c>
      <c r="AC427" s="48">
        <v>8.1202514097563387</v>
      </c>
      <c r="AD427" s="48">
        <v>6.290028552722692</v>
      </c>
      <c r="AE427" s="48">
        <v>5.418011039728345</v>
      </c>
      <c r="AF427" s="48">
        <v>2.2347900015563615</v>
      </c>
      <c r="AG427" s="48">
        <v>0.61789583222115696</v>
      </c>
      <c r="AH427" s="48">
        <v>1.0852128091027504</v>
      </c>
      <c r="AI427" s="48">
        <v>0.70831707539930233</v>
      </c>
      <c r="AJ427" s="48">
        <v>1.61102277201879</v>
      </c>
      <c r="AK427" s="48">
        <v>3.639690767030284</v>
      </c>
      <c r="AL427" s="48">
        <v>7.1811054406078956</v>
      </c>
      <c r="AM427" s="38">
        <v>12.791479926842497</v>
      </c>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row>
    <row r="428" spans="1:131">
      <c r="A428" s="27" t="s">
        <v>893</v>
      </c>
      <c r="B428" s="27"/>
      <c r="C428" s="48">
        <v>243.51386470524091</v>
      </c>
      <c r="D428" s="48">
        <v>562.51108736151139</v>
      </c>
      <c r="E428" s="48">
        <v>112.50221747230228</v>
      </c>
      <c r="F428" s="48">
        <v>675.01330483381366</v>
      </c>
      <c r="G428" s="48">
        <v>811.6385766364325</v>
      </c>
      <c r="H428" s="48">
        <v>259.79972535707776</v>
      </c>
      <c r="I428" s="48">
        <v>24282.463577594175</v>
      </c>
      <c r="J428" s="48">
        <v>116.81924159911102</v>
      </c>
      <c r="K428" s="48">
        <v>205.50305810789797</v>
      </c>
      <c r="L428" s="50">
        <v>0.32009287487754928</v>
      </c>
      <c r="M428" s="48">
        <v>2.3133978284992556</v>
      </c>
      <c r="N428" s="48">
        <v>0.1260769360878535</v>
      </c>
      <c r="O428" s="48">
        <v>26.857623870004648</v>
      </c>
      <c r="P428" s="48">
        <v>19.595317167733203</v>
      </c>
      <c r="Q428" s="48">
        <v>17.756375594941257</v>
      </c>
      <c r="R428" s="48">
        <v>14.251843661182113</v>
      </c>
      <c r="S428" s="48">
        <v>5.9563797241113372</v>
      </c>
      <c r="T428" s="48">
        <v>1.7399245291240386</v>
      </c>
      <c r="U428" s="48">
        <v>1.0957444449930065</v>
      </c>
      <c r="V428" s="48">
        <v>1.0332620129026755</v>
      </c>
      <c r="W428" s="48">
        <v>3.4702983944254542</v>
      </c>
      <c r="X428" s="48">
        <v>10.981513716955426</v>
      </c>
      <c r="Y428" s="48">
        <v>17.287337329383192</v>
      </c>
      <c r="Z428" s="48">
        <v>31.299965660866107</v>
      </c>
      <c r="AA428" s="48"/>
      <c r="AB428" s="48">
        <v>17.071879437956525</v>
      </c>
      <c r="AC428" s="48">
        <v>12.789923409063057</v>
      </c>
      <c r="AD428" s="48">
        <v>9.9072035298666918</v>
      </c>
      <c r="AE428" s="48">
        <v>8.5011822993612771</v>
      </c>
      <c r="AF428" s="48">
        <v>3.3611841617718565</v>
      </c>
      <c r="AG428" s="48">
        <v>0.84714313466021252</v>
      </c>
      <c r="AH428" s="48">
        <v>0.41335758977743076</v>
      </c>
      <c r="AI428" s="48">
        <v>0.27290528935239239</v>
      </c>
      <c r="AJ428" s="48">
        <v>1.9181143570393793</v>
      </c>
      <c r="AK428" s="48">
        <v>5.6472661468422656</v>
      </c>
      <c r="AL428" s="48">
        <v>11.310707506842695</v>
      </c>
      <c r="AM428" s="38">
        <v>20.147411736084681</v>
      </c>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row>
    <row r="429" spans="1:131">
      <c r="A429" s="27" t="s">
        <v>873</v>
      </c>
      <c r="B429" s="27"/>
      <c r="C429" s="48">
        <v>281.25569038844571</v>
      </c>
      <c r="D429" s="48">
        <v>1405.8270926925682</v>
      </c>
      <c r="E429" s="48">
        <v>281.16541853851362</v>
      </c>
      <c r="F429" s="48">
        <v>1686.9925112310818</v>
      </c>
      <c r="G429" s="48">
        <v>1218.5054610837849</v>
      </c>
      <c r="H429" s="48">
        <v>283.07581344072287</v>
      </c>
      <c r="I429" s="48">
        <v>52543.130337999995</v>
      </c>
      <c r="J429" s="48">
        <v>206.23593402984486</v>
      </c>
      <c r="K429" s="48">
        <v>283.46557599461369</v>
      </c>
      <c r="L429" s="50">
        <v>0.23231394727516816</v>
      </c>
      <c r="M429" s="48">
        <v>2.6719626067975666</v>
      </c>
      <c r="N429" s="48">
        <v>0.13173035584737974</v>
      </c>
      <c r="O429" s="48">
        <v>28.061947406030328</v>
      </c>
      <c r="P429" s="48">
        <v>20.473991386093427</v>
      </c>
      <c r="Q429" s="48">
        <v>18.552589777811786</v>
      </c>
      <c r="R429" s="48">
        <v>15.093927540767549</v>
      </c>
      <c r="S429" s="48">
        <v>7.2465343797313402</v>
      </c>
      <c r="T429" s="48">
        <v>2.9506615631173871</v>
      </c>
      <c r="U429" s="48">
        <v>8.895589089339957</v>
      </c>
      <c r="V429" s="48">
        <v>8.8423394928557055</v>
      </c>
      <c r="W429" s="48">
        <v>6.8333690073360582</v>
      </c>
      <c r="X429" s="48">
        <v>12.057547597572841</v>
      </c>
      <c r="Y429" s="48">
        <v>18.062519352996361</v>
      </c>
      <c r="Z429" s="48">
        <v>32.703488381439904</v>
      </c>
      <c r="AA429" s="48"/>
      <c r="AB429" s="48">
        <v>17.837400107649351</v>
      </c>
      <c r="AC429" s="48">
        <v>13.36343675708128</v>
      </c>
      <c r="AD429" s="48">
        <v>10.351452747331555</v>
      </c>
      <c r="AE429" s="48">
        <v>8.93549008172063</v>
      </c>
      <c r="AF429" s="48">
        <v>3.7710190645484731</v>
      </c>
      <c r="AG429" s="48">
        <v>1.0909189985624193</v>
      </c>
      <c r="AH429" s="48">
        <v>2.5470628941119964</v>
      </c>
      <c r="AI429" s="48">
        <v>1.6606398287986697</v>
      </c>
      <c r="AJ429" s="48">
        <v>3.0150124602115498</v>
      </c>
      <c r="AK429" s="48">
        <v>6.0400187402101881</v>
      </c>
      <c r="AL429" s="48">
        <v>11.817891289202764</v>
      </c>
      <c r="AM429" s="38">
        <v>21.050842443924235</v>
      </c>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row>
    <row r="430" spans="1:131">
      <c r="A430" s="27" t="s">
        <v>875</v>
      </c>
      <c r="B430" s="27"/>
      <c r="C430" s="48">
        <v>326.86560849508749</v>
      </c>
      <c r="D430" s="48">
        <v>1655.6474837848516</v>
      </c>
      <c r="E430" s="48">
        <v>331.12949675697035</v>
      </c>
      <c r="F430" s="48">
        <v>1986.776980541822</v>
      </c>
      <c r="G430" s="48">
        <v>1435.0381431030262</v>
      </c>
      <c r="H430" s="48">
        <v>331.94609763456231</v>
      </c>
      <c r="I430" s="48">
        <v>53245.633364967274</v>
      </c>
      <c r="J430" s="48">
        <v>209.08627259312746</v>
      </c>
      <c r="K430" s="48">
        <v>287.06172747484032</v>
      </c>
      <c r="L430" s="50">
        <v>0.23131517390665676</v>
      </c>
      <c r="M430" s="48">
        <v>3.105260643193489</v>
      </c>
      <c r="N430" s="48">
        <v>0.1546041296791954</v>
      </c>
      <c r="O430" s="48">
        <v>32.934648418009047</v>
      </c>
      <c r="P430" s="48">
        <v>24.029113099592987</v>
      </c>
      <c r="Q430" s="48">
        <v>21.774077640972095</v>
      </c>
      <c r="R430" s="48">
        <v>17.69042111661755</v>
      </c>
      <c r="S430" s="48">
        <v>8.3817226581450619</v>
      </c>
      <c r="T430" s="48">
        <v>3.3267161471566689</v>
      </c>
      <c r="U430" s="48">
        <v>9.5075769624499831</v>
      </c>
      <c r="V430" s="48">
        <v>9.4436329238515384</v>
      </c>
      <c r="W430" s="48">
        <v>7.6339647393732699</v>
      </c>
      <c r="X430" s="48">
        <v>14.081004177077999</v>
      </c>
      <c r="Y430" s="48">
        <v>21.198910960348496</v>
      </c>
      <c r="Z430" s="48">
        <v>38.382150614882491</v>
      </c>
      <c r="AA430" s="48"/>
      <c r="AB430" s="48">
        <v>20.934701812980556</v>
      </c>
      <c r="AC430" s="48">
        <v>15.683875565820212</v>
      </c>
      <c r="AD430" s="48">
        <v>12.148888026770972</v>
      </c>
      <c r="AE430" s="48">
        <v>10.480666075819732</v>
      </c>
      <c r="AF430" s="48">
        <v>4.3946424474319423</v>
      </c>
      <c r="AG430" s="48">
        <v>1.2555843372437743</v>
      </c>
      <c r="AH430" s="48">
        <v>2.7348168091309462</v>
      </c>
      <c r="AI430" s="48">
        <v>1.7834799584016221</v>
      </c>
      <c r="AJ430" s="48">
        <v>3.4169008012876576</v>
      </c>
      <c r="AK430" s="48">
        <v>7.0720238882255284</v>
      </c>
      <c r="AL430" s="48">
        <v>13.86996023549329</v>
      </c>
      <c r="AM430" s="38">
        <v>24.706129078004082</v>
      </c>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row>
    <row r="431" spans="1:131">
      <c r="A431" s="27" t="s">
        <v>871</v>
      </c>
      <c r="B431" s="27"/>
      <c r="C431" s="48">
        <v>156.57714680994795</v>
      </c>
      <c r="D431" s="48">
        <v>799.02848103778376</v>
      </c>
      <c r="E431" s="48">
        <v>159.80569620755676</v>
      </c>
      <c r="F431" s="48">
        <v>958.83417724534047</v>
      </c>
      <c r="G431" s="48">
        <v>692.56068030475512</v>
      </c>
      <c r="H431" s="48">
        <v>153.56009126268296</v>
      </c>
      <c r="I431" s="48">
        <v>53643.763242564957</v>
      </c>
      <c r="J431" s="48">
        <v>205.68597870229235</v>
      </c>
      <c r="K431" s="48">
        <v>292.06843657065644</v>
      </c>
      <c r="L431" s="50">
        <v>0.22172799529293263</v>
      </c>
      <c r="M431" s="48">
        <v>1.4874854730527454</v>
      </c>
      <c r="N431" s="48">
        <v>8.830196857402918E-2</v>
      </c>
      <c r="O431" s="48">
        <v>18.810586079674955</v>
      </c>
      <c r="P431" s="48">
        <v>13.724199956267915</v>
      </c>
      <c r="Q431" s="48">
        <v>12.436239080878316</v>
      </c>
      <c r="R431" s="48">
        <v>9.8759500749132005</v>
      </c>
      <c r="S431" s="48">
        <v>3.6386837423094405</v>
      </c>
      <c r="T431" s="48">
        <v>0.62842290412527679</v>
      </c>
      <c r="U431" s="48">
        <v>-3.270972885005984</v>
      </c>
      <c r="V431" s="48">
        <v>-3.3210049184182422</v>
      </c>
      <c r="W431" s="48">
        <v>0.75932627646352824</v>
      </c>
      <c r="X431" s="48">
        <v>7.3871667755880157</v>
      </c>
      <c r="Y431" s="48">
        <v>12.107733301229095</v>
      </c>
      <c r="Z431" s="48">
        <v>21.921920613839106</v>
      </c>
      <c r="AA431" s="48"/>
      <c r="AB431" s="48">
        <v>11.956830554476694</v>
      </c>
      <c r="AC431" s="48">
        <v>8.9578272598911326</v>
      </c>
      <c r="AD431" s="48">
        <v>6.9388232447305001</v>
      </c>
      <c r="AE431" s="48">
        <v>5.9264015890967698</v>
      </c>
      <c r="AF431" s="48">
        <v>2.2191024345571453</v>
      </c>
      <c r="AG431" s="48">
        <v>0.48609960792573814</v>
      </c>
      <c r="AH431" s="48">
        <v>-0.81257517823740166</v>
      </c>
      <c r="AI431" s="48">
        <v>-0.52554801775908189</v>
      </c>
      <c r="AJ431" s="48">
        <v>0.81670136035716356</v>
      </c>
      <c r="AK431" s="48">
        <v>3.8825444774032167</v>
      </c>
      <c r="AL431" s="48">
        <v>7.9218116319332239</v>
      </c>
      <c r="AM431" s="38">
        <v>14.110876843708242</v>
      </c>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row>
    <row r="432" spans="1:131">
      <c r="A432" s="27" t="s">
        <v>870</v>
      </c>
      <c r="B432" s="27"/>
      <c r="C432" s="48">
        <v>150.18689121837056</v>
      </c>
      <c r="D432" s="48">
        <v>775.20267326839053</v>
      </c>
      <c r="E432" s="48">
        <v>155.04053465367812</v>
      </c>
      <c r="F432" s="48">
        <v>930.24320792206868</v>
      </c>
      <c r="G432" s="48">
        <v>671.90957958785702</v>
      </c>
      <c r="H432" s="48">
        <v>146.3844992182548</v>
      </c>
      <c r="I432" s="48">
        <v>54258.60030319717</v>
      </c>
      <c r="J432" s="48">
        <v>208.4596823015319</v>
      </c>
      <c r="K432" s="48">
        <v>296.24351461814291</v>
      </c>
      <c r="L432" s="50">
        <v>0.21786339064855373</v>
      </c>
      <c r="M432" s="48">
        <v>1.4267780798346494</v>
      </c>
      <c r="N432" s="48">
        <v>8.4567890739138257E-2</v>
      </c>
      <c r="O432" s="48">
        <v>18.01513164444869</v>
      </c>
      <c r="P432" s="48">
        <v>13.143836554569264</v>
      </c>
      <c r="Q432" s="48">
        <v>11.910340446326584</v>
      </c>
      <c r="R432" s="48">
        <v>9.4600684382064255</v>
      </c>
      <c r="S432" s="48">
        <v>3.493623979365839</v>
      </c>
      <c r="T432" s="48">
        <v>0.61160424312813155</v>
      </c>
      <c r="U432" s="48">
        <v>-3.0658962200253566</v>
      </c>
      <c r="V432" s="48">
        <v>-3.1137088677450659</v>
      </c>
      <c r="W432" s="48">
        <v>0.75484130222539114</v>
      </c>
      <c r="X432" s="48">
        <v>7.0798077748231538</v>
      </c>
      <c r="Y432" s="48">
        <v>11.595726385856796</v>
      </c>
      <c r="Z432" s="48">
        <v>20.994895325679785</v>
      </c>
      <c r="AA432" s="48"/>
      <c r="AB432" s="48">
        <v>11.451204953258223</v>
      </c>
      <c r="AC432" s="48">
        <v>8.5790222937040141</v>
      </c>
      <c r="AD432" s="48">
        <v>6.6453971014995945</v>
      </c>
      <c r="AE432" s="48">
        <v>5.6762457120849845</v>
      </c>
      <c r="AF432" s="48">
        <v>2.127493636953858</v>
      </c>
      <c r="AG432" s="48">
        <v>0.46731603910035863</v>
      </c>
      <c r="AH432" s="48">
        <v>-0.75999585528501745</v>
      </c>
      <c r="AI432" s="48">
        <v>-0.49147701459188581</v>
      </c>
      <c r="AJ432" s="48">
        <v>0.7908715698701515</v>
      </c>
      <c r="AK432" s="48">
        <v>3.7195626938508553</v>
      </c>
      <c r="AL432" s="48">
        <v>7.5868172744497491</v>
      </c>
      <c r="AM432" s="38">
        <v>13.514161806616039</v>
      </c>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row>
    <row r="433" spans="1:131">
      <c r="A433" s="27" t="s">
        <v>869</v>
      </c>
      <c r="B433" s="27"/>
      <c r="C433" s="48">
        <v>139.96110175796073</v>
      </c>
      <c r="D433" s="48">
        <v>746.61170394511896</v>
      </c>
      <c r="E433" s="48">
        <v>149.3223407890238</v>
      </c>
      <c r="F433" s="48">
        <v>895.93404473414273</v>
      </c>
      <c r="G433" s="48">
        <v>647.12825872757969</v>
      </c>
      <c r="H433" s="48">
        <v>135.01318430670585</v>
      </c>
      <c r="I433" s="48">
        <v>56075.453345912865</v>
      </c>
      <c r="J433" s="48">
        <v>216.58730406901029</v>
      </c>
      <c r="K433" s="48">
        <v>308.00442643674728</v>
      </c>
      <c r="L433" s="50">
        <v>0.20863435105148465</v>
      </c>
      <c r="M433" s="48">
        <v>1.3296331057266657</v>
      </c>
      <c r="N433" s="48">
        <v>7.8620529718667787E-2</v>
      </c>
      <c r="O433" s="48">
        <v>16.748191074163753</v>
      </c>
      <c r="P433" s="48">
        <v>12.219476960155232</v>
      </c>
      <c r="Q433" s="48">
        <v>11.072728275892814</v>
      </c>
      <c r="R433" s="48">
        <v>8.7973208502609701</v>
      </c>
      <c r="S433" s="48">
        <v>3.2607578684025555</v>
      </c>
      <c r="T433" s="48">
        <v>0.5827953242721402</v>
      </c>
      <c r="U433" s="48">
        <v>-2.7530970396800631</v>
      </c>
      <c r="V433" s="48">
        <v>-2.7973962917544353</v>
      </c>
      <c r="W433" s="48">
        <v>0.74197404685367851</v>
      </c>
      <c r="X433" s="48">
        <v>6.5892277605604432</v>
      </c>
      <c r="Y433" s="48">
        <v>10.780239910924902</v>
      </c>
      <c r="Z433" s="48">
        <v>19.518398501678732</v>
      </c>
      <c r="AA433" s="48"/>
      <c r="AB433" s="48">
        <v>10.645882160160497</v>
      </c>
      <c r="AC433" s="48">
        <v>7.9756899610967285</v>
      </c>
      <c r="AD433" s="48">
        <v>6.1780497981487379</v>
      </c>
      <c r="AE433" s="48">
        <v>5.2777212943448077</v>
      </c>
      <c r="AF433" s="48">
        <v>1.9811235586201577</v>
      </c>
      <c r="AG433" s="48">
        <v>0.43703172563261494</v>
      </c>
      <c r="AH433" s="48">
        <v>-0.6800260870124829</v>
      </c>
      <c r="AI433" s="48">
        <v>-0.43966592444074926</v>
      </c>
      <c r="AJ433" s="48">
        <v>0.74792780738056219</v>
      </c>
      <c r="AK433" s="48">
        <v>3.4597284610109114</v>
      </c>
      <c r="AL433" s="48">
        <v>7.0532632158924855</v>
      </c>
      <c r="AM433" s="38">
        <v>12.563758545395739</v>
      </c>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row>
    <row r="434" spans="1:131">
      <c r="A434" s="27" t="s">
        <v>867</v>
      </c>
      <c r="B434" s="27"/>
      <c r="C434" s="48">
        <v>92.391365978509668</v>
      </c>
      <c r="D434" s="48">
        <v>534.20512843764811</v>
      </c>
      <c r="E434" s="48">
        <v>106.84102568752962</v>
      </c>
      <c r="F434" s="48">
        <v>641.04615412517774</v>
      </c>
      <c r="G434" s="48">
        <v>463.02412986899753</v>
      </c>
      <c r="H434" s="48">
        <v>94.408767527630189</v>
      </c>
      <c r="I434" s="48">
        <v>60780.184930296877</v>
      </c>
      <c r="J434" s="48">
        <v>241.3803396359252</v>
      </c>
      <c r="K434" s="48">
        <v>332.31780304984051</v>
      </c>
      <c r="L434" s="50">
        <v>0.20389599901487007</v>
      </c>
      <c r="M434" s="48">
        <v>0.87772662476594654</v>
      </c>
      <c r="N434" s="48">
        <v>4.5478598379474544E-2</v>
      </c>
      <c r="O434" s="48">
        <v>9.6881089223154646</v>
      </c>
      <c r="P434" s="48">
        <v>7.0684423911505396</v>
      </c>
      <c r="Q434" s="48">
        <v>6.4050975492831332</v>
      </c>
      <c r="R434" s="48">
        <v>5.1753839091344656</v>
      </c>
      <c r="S434" s="48">
        <v>2.3221685856248087</v>
      </c>
      <c r="T434" s="48">
        <v>0.81980876270167502</v>
      </c>
      <c r="U434" s="48">
        <v>1.7102755516605548</v>
      </c>
      <c r="V434" s="48">
        <v>1.6897786683265628</v>
      </c>
      <c r="W434" s="48">
        <v>1.7960002190030933</v>
      </c>
      <c r="X434" s="48">
        <v>4.0602805370764132</v>
      </c>
      <c r="Y434" s="48">
        <v>6.2359055974018114</v>
      </c>
      <c r="Z434" s="48">
        <v>11.290554892529745</v>
      </c>
      <c r="AA434" s="48"/>
      <c r="AB434" s="48">
        <v>6.1581854114904591</v>
      </c>
      <c r="AC434" s="48">
        <v>4.6135939536133579</v>
      </c>
      <c r="AD434" s="48">
        <v>3.5737363579691892</v>
      </c>
      <c r="AE434" s="48">
        <v>3.0755651588816231</v>
      </c>
      <c r="AF434" s="48">
        <v>1.2564123902666964</v>
      </c>
      <c r="AG434" s="48">
        <v>0.34049734534045784</v>
      </c>
      <c r="AH434" s="48">
        <v>0.50797522638340342</v>
      </c>
      <c r="AI434" s="48">
        <v>0.33181520097441647</v>
      </c>
      <c r="AJ434" s="48">
        <v>0.86341553945640404</v>
      </c>
      <c r="AK434" s="48">
        <v>2.0607595972251418</v>
      </c>
      <c r="AL434" s="48">
        <v>4.0800097151231816</v>
      </c>
      <c r="AM434" s="38">
        <v>7.2675944955770779</v>
      </c>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row>
    <row r="435" spans="1:131">
      <c r="A435" s="27" t="s">
        <v>866</v>
      </c>
      <c r="B435" s="27"/>
      <c r="C435" s="48">
        <v>76.720309131071929</v>
      </c>
      <c r="D435" s="48">
        <v>449.62510832506831</v>
      </c>
      <c r="E435" s="48">
        <v>89.925021665013674</v>
      </c>
      <c r="F435" s="48">
        <v>539.55012999008204</v>
      </c>
      <c r="G435" s="48">
        <v>389.71410693554941</v>
      </c>
      <c r="H435" s="48">
        <v>78.307259258860412</v>
      </c>
      <c r="I435" s="48">
        <v>61606.362021277229</v>
      </c>
      <c r="J435" s="48">
        <v>245.04454042240647</v>
      </c>
      <c r="K435" s="48">
        <v>337.4149306714537</v>
      </c>
      <c r="L435" s="50">
        <v>0.20093514159550505</v>
      </c>
      <c r="M435" s="48">
        <v>0.72885012262375548</v>
      </c>
      <c r="N435" s="48">
        <v>3.7760289506453951E-2</v>
      </c>
      <c r="O435" s="48">
        <v>8.0439109979650656</v>
      </c>
      <c r="P435" s="48">
        <v>5.868835904362359</v>
      </c>
      <c r="Q435" s="48">
        <v>5.3180692984409479</v>
      </c>
      <c r="R435" s="48">
        <v>4.2971218386095122</v>
      </c>
      <c r="S435" s="48">
        <v>1.9284080926973002</v>
      </c>
      <c r="T435" s="48">
        <v>0.68105486742591992</v>
      </c>
      <c r="U435" s="48">
        <v>1.4226081272228397</v>
      </c>
      <c r="V435" s="48">
        <v>1.4055938504999537</v>
      </c>
      <c r="W435" s="48">
        <v>1.4922668678030273</v>
      </c>
      <c r="X435" s="48">
        <v>3.3713931026340318</v>
      </c>
      <c r="Y435" s="48">
        <v>5.1775914184523666</v>
      </c>
      <c r="Z435" s="48">
        <v>9.3744010726339155</v>
      </c>
      <c r="AA435" s="48"/>
      <c r="AB435" s="48">
        <v>5.1130613576087889</v>
      </c>
      <c r="AC435" s="48">
        <v>3.8306071330529576</v>
      </c>
      <c r="AD435" s="48">
        <v>2.9672268782487503</v>
      </c>
      <c r="AE435" s="48">
        <v>2.5536195385979652</v>
      </c>
      <c r="AF435" s="48">
        <v>1.0432694264387903</v>
      </c>
      <c r="AG435" s="48">
        <v>0.28277925169759377</v>
      </c>
      <c r="AH435" s="48">
        <v>0.42247164841886498</v>
      </c>
      <c r="AI435" s="48">
        <v>0.27596123450314058</v>
      </c>
      <c r="AJ435" s="48">
        <v>0.71722031973251454</v>
      </c>
      <c r="AK435" s="48">
        <v>1.7110685235362009</v>
      </c>
      <c r="AL435" s="48">
        <v>3.3875790706366105</v>
      </c>
      <c r="AM435" s="38">
        <v>6.0341893098525246</v>
      </c>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row>
    <row r="436" spans="1:131">
      <c r="A436" s="27"/>
      <c r="B436" s="27"/>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row>
  </sheetData>
  <mergeCells count="3">
    <mergeCell ref="I6:N6"/>
    <mergeCell ref="O6:P6"/>
    <mergeCell ref="R6:T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dimension ref="A2:U401"/>
  <sheetViews>
    <sheetView topLeftCell="C382" workbookViewId="0">
      <selection activeCell="F413" sqref="F413"/>
    </sheetView>
  </sheetViews>
  <sheetFormatPr defaultRowHeight="12.75"/>
  <cols>
    <col min="3" max="3" width="15.7109375" customWidth="1"/>
    <col min="4" max="4" width="7.7109375" customWidth="1"/>
    <col min="5" max="5" width="11.42578125" customWidth="1"/>
    <col min="6" max="6" width="88.28515625" customWidth="1"/>
    <col min="7" max="7" width="43.85546875" customWidth="1"/>
    <col min="8" max="8" width="11" customWidth="1"/>
    <col min="20" max="20" width="11" customWidth="1"/>
  </cols>
  <sheetData>
    <row r="2" spans="1:21">
      <c r="A2" t="s">
        <v>21</v>
      </c>
      <c r="B2" t="s">
        <v>22</v>
      </c>
    </row>
    <row r="3" spans="1:21">
      <c r="A3" s="26" t="s">
        <v>230</v>
      </c>
      <c r="B3" s="26"/>
      <c r="C3" s="26"/>
      <c r="D3" s="26"/>
      <c r="E3" s="26"/>
      <c r="F3">
        <v>2</v>
      </c>
      <c r="G3">
        <v>3</v>
      </c>
      <c r="H3">
        <v>4</v>
      </c>
      <c r="I3">
        <v>5</v>
      </c>
      <c r="J3">
        <v>6</v>
      </c>
      <c r="K3">
        <v>7</v>
      </c>
      <c r="L3">
        <v>8</v>
      </c>
      <c r="M3">
        <v>9</v>
      </c>
      <c r="N3">
        <v>10</v>
      </c>
      <c r="O3">
        <v>11</v>
      </c>
      <c r="P3">
        <v>12</v>
      </c>
      <c r="Q3">
        <v>13</v>
      </c>
      <c r="R3">
        <v>14</v>
      </c>
      <c r="S3">
        <v>15</v>
      </c>
      <c r="T3">
        <v>16</v>
      </c>
      <c r="U3">
        <v>17</v>
      </c>
    </row>
    <row r="4" spans="1:21">
      <c r="F4" s="12" t="s">
        <v>2</v>
      </c>
      <c r="G4" s="13"/>
      <c r="H4" s="13"/>
      <c r="I4" s="13"/>
      <c r="J4" s="13"/>
      <c r="K4" s="13"/>
      <c r="L4" s="14"/>
      <c r="M4" s="28"/>
      <c r="N4" s="401" t="s">
        <v>3</v>
      </c>
      <c r="O4" s="402"/>
      <c r="P4" s="402"/>
      <c r="Q4" s="402"/>
      <c r="R4" s="402"/>
      <c r="S4" s="403"/>
      <c r="T4" s="404" t="s">
        <v>4</v>
      </c>
      <c r="U4" s="405"/>
    </row>
    <row r="5" spans="1:21" ht="25.5">
      <c r="A5" s="27" t="s">
        <v>23</v>
      </c>
      <c r="B5" s="27" t="s">
        <v>831</v>
      </c>
      <c r="C5" t="s">
        <v>1137</v>
      </c>
      <c r="D5" t="s">
        <v>1138</v>
      </c>
      <c r="E5" t="s">
        <v>1139</v>
      </c>
      <c r="F5" s="29" t="s">
        <v>5</v>
      </c>
      <c r="G5" s="29" t="s">
        <v>6</v>
      </c>
      <c r="H5" s="29" t="s">
        <v>7</v>
      </c>
      <c r="I5" s="29" t="s">
        <v>8</v>
      </c>
      <c r="J5" s="29" t="s">
        <v>9</v>
      </c>
      <c r="K5" s="29" t="s">
        <v>10</v>
      </c>
      <c r="L5" s="29" t="s">
        <v>11</v>
      </c>
      <c r="M5" s="29" t="s">
        <v>12</v>
      </c>
      <c r="N5" s="29" t="s">
        <v>13</v>
      </c>
      <c r="O5" s="29" t="s">
        <v>14</v>
      </c>
      <c r="P5" s="29" t="s">
        <v>15</v>
      </c>
      <c r="Q5" s="29" t="s">
        <v>16</v>
      </c>
      <c r="R5" s="29" t="s">
        <v>17</v>
      </c>
      <c r="S5" s="29" t="s">
        <v>18</v>
      </c>
      <c r="T5" s="30" t="s">
        <v>19</v>
      </c>
      <c r="U5" s="29" t="s">
        <v>11</v>
      </c>
    </row>
    <row r="6" spans="1:21">
      <c r="A6" t="s">
        <v>25</v>
      </c>
      <c r="B6" t="s">
        <v>227</v>
      </c>
      <c r="C6" t="s">
        <v>28</v>
      </c>
      <c r="D6" t="s">
        <v>60</v>
      </c>
      <c r="E6" t="str">
        <f>B6&amp;D6&amp;G6</f>
        <v>Electric FAFHZ1ATTIC R0 - R38</v>
      </c>
      <c r="F6" s="31" t="str">
        <f>Composite!B5</f>
        <v>Single Family Weatherization - Insulate Attic - R0 to R38 - Heating Zone 1 (Electric FAF)</v>
      </c>
      <c r="G6" t="s">
        <v>68</v>
      </c>
      <c r="H6" s="31">
        <f>VLOOKUP($F6&amp;$G6,Composite!$A$5:$Q$865,H$3,FALSE)*VLOOKUP($C6,[2]!ExistingSat,MATCH($A6,[2]SATS!$C$10:$F$10,0)+1,FALSE)</f>
        <v>3619.131220131897</v>
      </c>
      <c r="I6">
        <f>VLOOKUP($F6&amp;$G6,Composite!$A$5:$Q$865,I$3,FALSE)</f>
        <v>45</v>
      </c>
      <c r="J6" s="31">
        <f>VLOOKUP($F6&amp;$G6,Composite!$A$5:$Q$865,J$3,FALSE)*VLOOKUP($C6,[2]!ExistingSat,MATCH($A6,[2]SATS!$C$10:$F$10,0)+1,FALSE)</f>
        <v>1403.6424108745796</v>
      </c>
      <c r="K6" s="31">
        <f>VLOOKUP($F6&amp;$G6,Composite!$A$5:$Q$865,K$3,FALSE)*VLOOKUP($C6,[2]!ExistingSat,MATCH($A6,[2]SATS!$C$10:$F$10,0)+1,FALSE)</f>
        <v>0</v>
      </c>
      <c r="L6" t="str">
        <f>VLOOKUP($F6&amp;$G6,Composite!$A$5:$Q$865,L$3,FALSE)</f>
        <v>ResSpHtFAFZ1</v>
      </c>
      <c r="M6" s="31">
        <f>VLOOKUP($F6&amp;$G6,Composite!$A$5:$Q$865,M$3,FALSE)*VLOOKUP($C6,[2]!ExistingSat,MATCH($A6,[2]SATS!$C$10:$F$10,0)+1,FALSE)</f>
        <v>13.621415683663479</v>
      </c>
      <c r="N6" s="31">
        <f>VLOOKUP($F6&amp;$G6,Composite!$A$5:$Q$865,N$3,FALSE)*VLOOKUP($C6,[2]!ExistingSat,MATCH($A6,[2]SATS!$C$10:$F$10,0)+1,FALSE)</f>
        <v>0</v>
      </c>
      <c r="O6">
        <f>VLOOKUP($F6&amp;$G6,Composite!$A$5:$Q$865,O$3,FALSE)</f>
        <v>0</v>
      </c>
      <c r="P6" s="31">
        <f>VLOOKUP($F6&amp;$G6,Composite!$A$5:$Q$865,P$3,FALSE)*VLOOKUP($C6,[2]!ExistingSat,MATCH($A6,[2]SATS!$C$10:$F$10,0)+1,FALSE)</f>
        <v>0</v>
      </c>
      <c r="Q6">
        <f>VLOOKUP($F6&amp;$G6,Composite!$A$5:$Q$865,Q$3,FALSE)</f>
        <v>0</v>
      </c>
      <c r="R6" s="31">
        <f>VLOOKUP($F6&amp;$G6,Composite!$A$5:$Q$865,R$3,FALSE)*VLOOKUP($C6,[2]!ExistingSat,MATCH($A6,[2]SATS!$C$10:$F$10,0)+1,FALSE)</f>
        <v>0</v>
      </c>
      <c r="S6">
        <f>VLOOKUP($F6&amp;$G6,Composite!$A$5:$Q$865,S$3,FALSE)</f>
        <v>0</v>
      </c>
      <c r="T6" s="31">
        <f>VLOOKUP($F6&amp;$G6,Composite!$A$5:$Q$865,T$3,FALSE)*VLOOKUP($C6,[2]!ExistingSat,MATCH($A6,[2]SATS!$C$10:$F$10,0)+1,FALSE)</f>
        <v>0</v>
      </c>
    </row>
    <row r="7" spans="1:21">
      <c r="A7" t="s">
        <v>25</v>
      </c>
      <c r="B7" t="s">
        <v>227</v>
      </c>
      <c r="C7" t="s">
        <v>28</v>
      </c>
      <c r="D7" t="s">
        <v>60</v>
      </c>
      <c r="E7" t="str">
        <f t="shared" ref="E7:E63" si="0">B7&amp;D7&amp;G7</f>
        <v>Electric FAFHZ1ATTIC R0 - R49</v>
      </c>
      <c r="F7" s="31" t="str">
        <f>Composite!B6</f>
        <v>Single Family Weatherization - Insulate Attic - R0 to R49 - Heating Zone 1 (Electric FAF)</v>
      </c>
      <c r="G7" t="s">
        <v>71</v>
      </c>
      <c r="H7" s="31">
        <f>VLOOKUP($F7&amp;$G7,Composite!$A$5:$Q$865,H$3,FALSE)*VLOOKUP($C7,[2]!ExistingSat,MATCH($A7,[2]SATS!$C$10:$F$10,0)+1,FALSE)</f>
        <v>3671.4578278052331</v>
      </c>
      <c r="I7">
        <f>VLOOKUP($F7&amp;$G7,Composite!$A$5:$Q$865,I$3,FALSE)</f>
        <v>45</v>
      </c>
      <c r="J7" s="31">
        <f>VLOOKUP($F7&amp;$G7,Composite!$A$5:$Q$865,J$3,FALSE)*VLOOKUP($C7,[2]!ExistingSat,MATCH($A7,[2]SATS!$C$10:$F$10,0)+1,FALSE)</f>
        <v>1602.9315530239337</v>
      </c>
      <c r="K7" s="31">
        <f>VLOOKUP($F7&amp;$G7,Composite!$A$5:$Q$865,K$3,FALSE)*VLOOKUP($C7,[2]!ExistingSat,MATCH($A7,[2]SATS!$C$10:$F$10,0)+1,FALSE)</f>
        <v>0</v>
      </c>
      <c r="L7" t="str">
        <f>VLOOKUP($F7&amp;$G7,Composite!$A$5:$Q$865,L$3,FALSE)</f>
        <v>ResSpHtFAFZ1</v>
      </c>
      <c r="M7" s="31">
        <f>VLOOKUP($F7&amp;$G7,Composite!$A$5:$Q$865,M$3,FALSE)*VLOOKUP($C7,[2]!ExistingSat,MATCH($A7,[2]SATS!$C$10:$F$10,0)+1,FALSE)</f>
        <v>14.103921391792007</v>
      </c>
      <c r="N7" s="31">
        <f>VLOOKUP($F7&amp;$G7,Composite!$A$5:$Q$865,N$3,FALSE)*VLOOKUP($C7,[2]!ExistingSat,MATCH($A7,[2]SATS!$C$10:$F$10,0)+1,FALSE)</f>
        <v>0</v>
      </c>
      <c r="O7">
        <f>VLOOKUP($F7&amp;$G7,Composite!$A$5:$Q$865,O$3,FALSE)</f>
        <v>0</v>
      </c>
      <c r="P7" s="31">
        <f>VLOOKUP($F7&amp;$G7,Composite!$A$5:$Q$865,P$3,FALSE)*VLOOKUP($C7,[2]!ExistingSat,MATCH($A7,[2]SATS!$C$10:$F$10,0)+1,FALSE)</f>
        <v>0</v>
      </c>
      <c r="Q7">
        <f>VLOOKUP($F7&amp;$G7,Composite!$A$5:$Q$865,Q$3,FALSE)</f>
        <v>0</v>
      </c>
      <c r="R7" s="31">
        <f>VLOOKUP($F7&amp;$G7,Composite!$A$5:$Q$865,R$3,FALSE)*VLOOKUP($C7,[2]!ExistingSat,MATCH($A7,[2]SATS!$C$10:$F$10,0)+1,FALSE)</f>
        <v>0</v>
      </c>
      <c r="S7">
        <f>VLOOKUP($F7&amp;$G7,Composite!$A$5:$Q$865,S$3,FALSE)</f>
        <v>0</v>
      </c>
      <c r="T7" s="31">
        <f>VLOOKUP($F7&amp;$G7,Composite!$A$5:$Q$865,T$3,FALSE)*VLOOKUP($C7,[2]!ExistingSat,MATCH($A7,[2]SATS!$C$10:$F$10,0)+1,FALSE)</f>
        <v>0</v>
      </c>
    </row>
    <row r="8" spans="1:21">
      <c r="A8" t="s">
        <v>25</v>
      </c>
      <c r="B8" t="s">
        <v>227</v>
      </c>
      <c r="C8" t="s">
        <v>28</v>
      </c>
      <c r="D8" t="s">
        <v>60</v>
      </c>
      <c r="E8" t="str">
        <f t="shared" si="0"/>
        <v>Electric FAFHZ1ATTIC R11 - R38</v>
      </c>
      <c r="F8" s="31" t="str">
        <f>Composite!B7</f>
        <v>Single Family Weatherization - Insulate Attic - R11 to R38 - Heating Zone 1 (Electric FAF)</v>
      </c>
      <c r="G8" t="s">
        <v>73</v>
      </c>
      <c r="H8" s="31">
        <f>VLOOKUP($F8&amp;$G8,Composite!$A$5:$Q$865,H$3,FALSE)*VLOOKUP($C8,[2]!ExistingSat,MATCH($A8,[2]SATS!$C$10:$F$10,0)+1,FALSE)</f>
        <v>919.51586250860589</v>
      </c>
      <c r="I8">
        <f>VLOOKUP($F8&amp;$G8,Composite!$A$5:$Q$865,I$3,FALSE)</f>
        <v>45</v>
      </c>
      <c r="J8" s="31">
        <f>VLOOKUP($F8&amp;$G8,Composite!$A$5:$Q$865,J$3,FALSE)*VLOOKUP($C8,[2]!ExistingSat,MATCH($A8,[2]SATS!$C$10:$F$10,0)+1,FALSE)</f>
        <v>1204.353268725225</v>
      </c>
      <c r="K8" s="31">
        <f>VLOOKUP($F8&amp;$G8,Composite!$A$5:$Q$865,K$3,FALSE)*VLOOKUP($C8,[2]!ExistingSat,MATCH($A8,[2]SATS!$C$10:$F$10,0)+1,FALSE)</f>
        <v>0</v>
      </c>
      <c r="L8" t="str">
        <f>VLOOKUP($F8&amp;$G8,Composite!$A$5:$Q$865,L$3,FALSE)</f>
        <v>ResSpHtFAFZ1</v>
      </c>
      <c r="M8" s="31">
        <f>VLOOKUP($F8&amp;$G8,Composite!$A$5:$Q$865,M$3,FALSE)*VLOOKUP($C8,[2]!ExistingSat,MATCH($A8,[2]SATS!$C$10:$F$10,0)+1,FALSE)</f>
        <v>7.6368278256403599</v>
      </c>
      <c r="N8" s="31">
        <f>VLOOKUP($F8&amp;$G8,Composite!$A$5:$Q$865,N$3,FALSE)*VLOOKUP($C8,[2]!ExistingSat,MATCH($A8,[2]SATS!$C$10:$F$10,0)+1,FALSE)</f>
        <v>0</v>
      </c>
      <c r="O8">
        <f>VLOOKUP($F8&amp;$G8,Composite!$A$5:$Q$865,O$3,FALSE)</f>
        <v>0</v>
      </c>
      <c r="P8" s="31">
        <f>VLOOKUP($F8&amp;$G8,Composite!$A$5:$Q$865,P$3,FALSE)*VLOOKUP($C8,[2]!ExistingSat,MATCH($A8,[2]SATS!$C$10:$F$10,0)+1,FALSE)</f>
        <v>0</v>
      </c>
      <c r="Q8">
        <f>VLOOKUP($F8&amp;$G8,Composite!$A$5:$Q$865,Q$3,FALSE)</f>
        <v>0</v>
      </c>
      <c r="R8" s="31">
        <f>VLOOKUP($F8&amp;$G8,Composite!$A$5:$Q$865,R$3,FALSE)*VLOOKUP($C8,[2]!ExistingSat,MATCH($A8,[2]SATS!$C$10:$F$10,0)+1,FALSE)</f>
        <v>0</v>
      </c>
      <c r="S8">
        <f>VLOOKUP($F8&amp;$G8,Composite!$A$5:$Q$865,S$3,FALSE)</f>
        <v>0</v>
      </c>
      <c r="T8" s="31">
        <f>VLOOKUP($F8&amp;$G8,Composite!$A$5:$Q$865,T$3,FALSE)*VLOOKUP($C8,[2]!ExistingSat,MATCH($A8,[2]SATS!$C$10:$F$10,0)+1,FALSE)</f>
        <v>0</v>
      </c>
    </row>
    <row r="9" spans="1:21">
      <c r="A9" t="s">
        <v>25</v>
      </c>
      <c r="B9" t="s">
        <v>227</v>
      </c>
      <c r="C9" t="s">
        <v>28</v>
      </c>
      <c r="D9" t="s">
        <v>60</v>
      </c>
      <c r="E9" t="str">
        <f t="shared" si="0"/>
        <v>Electric FAFHZ1ATTIC R11 - R49</v>
      </c>
      <c r="F9" s="31" t="str">
        <f>Composite!B8</f>
        <v>Single Family Weatherization - Insulate Attic - R11 to R49 - Heating Zone 1 (Electric FAF)</v>
      </c>
      <c r="G9" t="s">
        <v>75</v>
      </c>
      <c r="H9" s="31">
        <f>VLOOKUP($F9&amp;$G9,Composite!$A$5:$Q$865,H$3,FALSE)*VLOOKUP($C9,[2]!ExistingSat,MATCH($A9,[2]SATS!$C$10:$F$10,0)+1,FALSE)</f>
        <v>998.09953722730381</v>
      </c>
      <c r="I9">
        <f>VLOOKUP($F9&amp;$G9,Composite!$A$5:$Q$865,I$3,FALSE)</f>
        <v>45</v>
      </c>
      <c r="J9" s="31">
        <f>VLOOKUP($F9&amp;$G9,Composite!$A$5:$Q$865,J$3,FALSE)*VLOOKUP($C9,[2]!ExistingSat,MATCH($A9,[2]SATS!$C$10:$F$10,0)+1,FALSE)</f>
        <v>1403.6424108745796</v>
      </c>
      <c r="K9" s="31">
        <f>VLOOKUP($F9&amp;$G9,Composite!$A$5:$Q$865,K$3,FALSE)*VLOOKUP($C9,[2]!ExistingSat,MATCH($A9,[2]SATS!$C$10:$F$10,0)+1,FALSE)</f>
        <v>0</v>
      </c>
      <c r="L9" t="str">
        <f>VLOOKUP($F9&amp;$G9,Composite!$A$5:$Q$865,L$3,FALSE)</f>
        <v>ResSpHtFAFZ1</v>
      </c>
      <c r="M9" s="31">
        <f>VLOOKUP($F9&amp;$G9,Composite!$A$5:$Q$865,M$3,FALSE)*VLOOKUP($C9,[2]!ExistingSat,MATCH($A9,[2]SATS!$C$10:$F$10,0)+1,FALSE)</f>
        <v>8.3685414177969548</v>
      </c>
      <c r="N9" s="31">
        <f>VLOOKUP($F9&amp;$G9,Composite!$A$5:$Q$865,N$3,FALSE)*VLOOKUP($C9,[2]!ExistingSat,MATCH($A9,[2]SATS!$C$10:$F$10,0)+1,FALSE)</f>
        <v>0</v>
      </c>
      <c r="O9">
        <f>VLOOKUP($F9&amp;$G9,Composite!$A$5:$Q$865,O$3,FALSE)</f>
        <v>0</v>
      </c>
      <c r="P9" s="31">
        <f>VLOOKUP($F9&amp;$G9,Composite!$A$5:$Q$865,P$3,FALSE)*VLOOKUP($C9,[2]!ExistingSat,MATCH($A9,[2]SATS!$C$10:$F$10,0)+1,FALSE)</f>
        <v>0</v>
      </c>
      <c r="Q9">
        <f>VLOOKUP($F9&amp;$G9,Composite!$A$5:$Q$865,Q$3,FALSE)</f>
        <v>0</v>
      </c>
      <c r="R9" s="31">
        <f>VLOOKUP($F9&amp;$G9,Composite!$A$5:$Q$865,R$3,FALSE)*VLOOKUP($C9,[2]!ExistingSat,MATCH($A9,[2]SATS!$C$10:$F$10,0)+1,FALSE)</f>
        <v>0</v>
      </c>
      <c r="S9">
        <f>VLOOKUP($F9&amp;$G9,Composite!$A$5:$Q$865,S$3,FALSE)</f>
        <v>0</v>
      </c>
      <c r="T9" s="31">
        <f>VLOOKUP($F9&amp;$G9,Composite!$A$5:$Q$865,T$3,FALSE)*VLOOKUP($C9,[2]!ExistingSat,MATCH($A9,[2]SATS!$C$10:$F$10,0)+1,FALSE)</f>
        <v>0</v>
      </c>
    </row>
    <row r="10" spans="1:21">
      <c r="A10" t="s">
        <v>25</v>
      </c>
      <c r="B10" t="s">
        <v>227</v>
      </c>
      <c r="C10" t="s">
        <v>28</v>
      </c>
      <c r="D10" t="s">
        <v>60</v>
      </c>
      <c r="E10" t="str">
        <f t="shared" si="0"/>
        <v>Electric FAFHZ1ATTIC R19 - R38</v>
      </c>
      <c r="F10" s="31" t="str">
        <f>Composite!B9</f>
        <v>Single Family Weatherization - Insulate Attic - R19 to R38 - Heating Zone 1 (Electric FAF)</v>
      </c>
      <c r="G10" t="s">
        <v>77</v>
      </c>
      <c r="H10" s="31">
        <f>VLOOKUP($F10&amp;$G10,Composite!$A$5:$Q$865,H$3,FALSE)*VLOOKUP($C10,[2]!ExistingSat,MATCH($A10,[2]SATS!$C$10:$F$10,0)+1,FALSE)</f>
        <v>376.50749122026571</v>
      </c>
      <c r="I10">
        <f>VLOOKUP($F10&amp;$G10,Composite!$A$5:$Q$865,I$3,FALSE)</f>
        <v>45</v>
      </c>
      <c r="J10" s="31">
        <f>VLOOKUP($F10&amp;$G10,Composite!$A$5:$Q$865,J$3,FALSE)*VLOOKUP($C10,[2]!ExistingSat,MATCH($A10,[2]SATS!$C$10:$F$10,0)+1,FALSE)</f>
        <v>1059.4157107984217</v>
      </c>
      <c r="K10" s="31">
        <f>VLOOKUP($F10&amp;$G10,Composite!$A$5:$Q$865,K$3,FALSE)*VLOOKUP($C10,[2]!ExistingSat,MATCH($A10,[2]SATS!$C$10:$F$10,0)+1,FALSE)</f>
        <v>0</v>
      </c>
      <c r="L10" t="str">
        <f>VLOOKUP($F10&amp;$G10,Composite!$A$5:$Q$865,L$3,FALSE)</f>
        <v>ResSpHtFAFZ1</v>
      </c>
      <c r="M10" s="31">
        <f>VLOOKUP($F10&amp;$G10,Composite!$A$5:$Q$865,M$3,FALSE)*VLOOKUP($C10,[2]!ExistingSat,MATCH($A10,[2]SATS!$C$10:$F$10,0)+1,FALSE)</f>
        <v>3.3760788946687739</v>
      </c>
      <c r="N10" s="31">
        <f>VLOOKUP($F10&amp;$G10,Composite!$A$5:$Q$865,N$3,FALSE)*VLOOKUP($C10,[2]!ExistingSat,MATCH($A10,[2]SATS!$C$10:$F$10,0)+1,FALSE)</f>
        <v>0</v>
      </c>
      <c r="O10">
        <f>VLOOKUP($F10&amp;$G10,Composite!$A$5:$Q$865,O$3,FALSE)</f>
        <v>0</v>
      </c>
      <c r="P10" s="31">
        <f>VLOOKUP($F10&amp;$G10,Composite!$A$5:$Q$865,P$3,FALSE)*VLOOKUP($C10,[2]!ExistingSat,MATCH($A10,[2]SATS!$C$10:$F$10,0)+1,FALSE)</f>
        <v>0</v>
      </c>
      <c r="Q10">
        <f>VLOOKUP($F10&amp;$G10,Composite!$A$5:$Q$865,Q$3,FALSE)</f>
        <v>0</v>
      </c>
      <c r="R10" s="31">
        <f>VLOOKUP($F10&amp;$G10,Composite!$A$5:$Q$865,R$3,FALSE)*VLOOKUP($C10,[2]!ExistingSat,MATCH($A10,[2]SATS!$C$10:$F$10,0)+1,FALSE)</f>
        <v>0</v>
      </c>
      <c r="S10">
        <f>VLOOKUP($F10&amp;$G10,Composite!$A$5:$Q$865,S$3,FALSE)</f>
        <v>0</v>
      </c>
      <c r="T10" s="31">
        <f>VLOOKUP($F10&amp;$G10,Composite!$A$5:$Q$865,T$3,FALSE)*VLOOKUP($C10,[2]!ExistingSat,MATCH($A10,[2]SATS!$C$10:$F$10,0)+1,FALSE)</f>
        <v>0</v>
      </c>
    </row>
    <row r="11" spans="1:21">
      <c r="A11" t="s">
        <v>25</v>
      </c>
      <c r="B11" t="s">
        <v>227</v>
      </c>
      <c r="C11" t="s">
        <v>28</v>
      </c>
      <c r="D11" t="s">
        <v>60</v>
      </c>
      <c r="E11" t="str">
        <f t="shared" si="0"/>
        <v>Electric FAFHZ1ATTIC R19 - R49</v>
      </c>
      <c r="F11" s="31" t="str">
        <f>Composite!B10</f>
        <v>Single Family Weatherization - Insulate Attic - R19 to R49 - Heating Zone 1 (Electric FAF)</v>
      </c>
      <c r="G11" t="s">
        <v>79</v>
      </c>
      <c r="H11" s="31">
        <f>VLOOKUP($F11&amp;$G11,Composite!$A$5:$Q$865,H$3,FALSE)*VLOOKUP($C11,[2]!ExistingSat,MATCH($A11,[2]SATS!$C$10:$F$10,0)+1,FALSE)</f>
        <v>454.00792557839247</v>
      </c>
      <c r="I11">
        <f>VLOOKUP($F11&amp;$G11,Composite!$A$5:$Q$865,I$3,FALSE)</f>
        <v>45</v>
      </c>
      <c r="J11" s="31">
        <f>VLOOKUP($F11&amp;$G11,Composite!$A$5:$Q$865,J$3,FALSE)*VLOOKUP($C11,[2]!ExistingSat,MATCH($A11,[2]SATS!$C$10:$F$10,0)+1,FALSE)</f>
        <v>1258.7048529477763</v>
      </c>
      <c r="K11" s="31">
        <f>VLOOKUP($F11&amp;$G11,Composite!$A$5:$Q$865,K$3,FALSE)*VLOOKUP($C11,[2]!ExistingSat,MATCH($A11,[2]SATS!$C$10:$F$10,0)+1,FALSE)</f>
        <v>0</v>
      </c>
      <c r="L11" t="str">
        <f>VLOOKUP($F11&amp;$G11,Composite!$A$5:$Q$865,L$3,FALSE)</f>
        <v>ResSpHtFAFZ1</v>
      </c>
      <c r="M11" s="31">
        <f>VLOOKUP($F11&amp;$G11,Composite!$A$5:$Q$865,M$3,FALSE)*VLOOKUP($C11,[2]!ExistingSat,MATCH($A11,[2]SATS!$C$10:$F$10,0)+1,FALSE)</f>
        <v>4.1081159094645257</v>
      </c>
      <c r="N11" s="31">
        <f>VLOOKUP($F11&amp;$G11,Composite!$A$5:$Q$865,N$3,FALSE)*VLOOKUP($C11,[2]!ExistingSat,MATCH($A11,[2]SATS!$C$10:$F$10,0)+1,FALSE)</f>
        <v>0</v>
      </c>
      <c r="O11">
        <f>VLOOKUP($F11&amp;$G11,Composite!$A$5:$Q$865,O$3,FALSE)</f>
        <v>0</v>
      </c>
      <c r="P11" s="31">
        <f>VLOOKUP($F11&amp;$G11,Composite!$A$5:$Q$865,P$3,FALSE)*VLOOKUP($C11,[2]!ExistingSat,MATCH($A11,[2]SATS!$C$10:$F$10,0)+1,FALSE)</f>
        <v>0</v>
      </c>
      <c r="Q11">
        <f>VLOOKUP($F11&amp;$G11,Composite!$A$5:$Q$865,Q$3,FALSE)</f>
        <v>0</v>
      </c>
      <c r="R11" s="31">
        <f>VLOOKUP($F11&amp;$G11,Composite!$A$5:$Q$865,R$3,FALSE)*VLOOKUP($C11,[2]!ExistingSat,MATCH($A11,[2]SATS!$C$10:$F$10,0)+1,FALSE)</f>
        <v>0</v>
      </c>
      <c r="S11">
        <f>VLOOKUP($F11&amp;$G11,Composite!$A$5:$Q$865,S$3,FALSE)</f>
        <v>0</v>
      </c>
      <c r="T11" s="31">
        <f>VLOOKUP($F11&amp;$G11,Composite!$A$5:$Q$865,T$3,FALSE)*VLOOKUP($C11,[2]!ExistingSat,MATCH($A11,[2]SATS!$C$10:$F$10,0)+1,FALSE)</f>
        <v>0</v>
      </c>
    </row>
    <row r="12" spans="1:21">
      <c r="A12" t="s">
        <v>25</v>
      </c>
      <c r="B12" t="s">
        <v>227</v>
      </c>
      <c r="C12" t="s">
        <v>64</v>
      </c>
      <c r="D12" t="s">
        <v>60</v>
      </c>
      <c r="E12" t="str">
        <f t="shared" si="0"/>
        <v>Electric FAFHZ1WALL R0 - R11</v>
      </c>
      <c r="F12" s="31" t="str">
        <f>Composite!B11</f>
        <v>Single Family Weatherization - Insulate Wall - R0 to R11 - Heating Zone 1 (Electric FAF)</v>
      </c>
      <c r="G12" t="s">
        <v>85</v>
      </c>
      <c r="H12" s="31">
        <f>VLOOKUP($F12&amp;$G12,Composite!$A$5:$Q$865,H$3,FALSE)*VLOOKUP($C12,[2]!ExistingSat,MATCH($A12,[2]SATS!$C$10:$F$10,0)+1,FALSE)</f>
        <v>4705.9833149327605</v>
      </c>
      <c r="I12">
        <f>VLOOKUP($F12&amp;$G12,Composite!$A$5:$Q$865,I$3,FALSE)</f>
        <v>45</v>
      </c>
      <c r="J12" s="31">
        <f>VLOOKUP($F12&amp;$G12,Composite!$A$5:$Q$865,J$3,FALSE)*VLOOKUP($C12,[2]!ExistingSat,MATCH($A12,[2]SATS!$C$10:$F$10,0)+1,FALSE)</f>
        <v>2499.2782230652501</v>
      </c>
      <c r="K12" s="31">
        <f>VLOOKUP($F12&amp;$G12,Composite!$A$5:$Q$865,K$3,FALSE)*VLOOKUP($C12,[2]!ExistingSat,MATCH($A12,[2]SATS!$C$10:$F$10,0)+1,FALSE)</f>
        <v>0</v>
      </c>
      <c r="L12" t="str">
        <f>VLOOKUP($F12&amp;$G12,Composite!$A$5:$Q$865,L$3,FALSE)</f>
        <v>ResSpHtFAFZ1</v>
      </c>
      <c r="M12" s="31">
        <f>VLOOKUP($F12&amp;$G12,Composite!$A$5:$Q$865,M$3,FALSE)*VLOOKUP($C12,[2]!ExistingSat,MATCH($A12,[2]SATS!$C$10:$F$10,0)+1,FALSE)</f>
        <v>28.229238988518894</v>
      </c>
      <c r="N12" s="31">
        <f>VLOOKUP($F12&amp;$G12,Composite!$A$5:$Q$865,N$3,FALSE)*VLOOKUP($C12,[2]!ExistingSat,MATCH($A12,[2]SATS!$C$10:$F$10,0)+1,FALSE)</f>
        <v>0</v>
      </c>
      <c r="O12">
        <f>VLOOKUP($F12&amp;$G12,Composite!$A$5:$Q$865,O$3,FALSE)</f>
        <v>0</v>
      </c>
      <c r="P12" s="31">
        <f>VLOOKUP($F12&amp;$G12,Composite!$A$5:$Q$865,P$3,FALSE)*VLOOKUP($C12,[2]!ExistingSat,MATCH($A12,[2]SATS!$C$10:$F$10,0)+1,FALSE)</f>
        <v>0</v>
      </c>
      <c r="Q12">
        <f>VLOOKUP($F12&amp;$G12,Composite!$A$5:$Q$865,Q$3,FALSE)</f>
        <v>0</v>
      </c>
      <c r="R12" s="31">
        <f>VLOOKUP($F12&amp;$G12,Composite!$A$5:$Q$865,R$3,FALSE)*VLOOKUP($C12,[2]!ExistingSat,MATCH($A12,[2]SATS!$C$10:$F$10,0)+1,FALSE)</f>
        <v>0</v>
      </c>
      <c r="S12">
        <f>VLOOKUP($F12&amp;$G12,Composite!$A$5:$Q$865,S$3,FALSE)</f>
        <v>0</v>
      </c>
      <c r="T12" s="31">
        <f>VLOOKUP($F12&amp;$G12,Composite!$A$5:$Q$865,T$3,FALSE)*VLOOKUP($C12,[2]!ExistingSat,MATCH($A12,[2]SATS!$C$10:$F$10,0)+1,FALSE)</f>
        <v>0</v>
      </c>
    </row>
    <row r="13" spans="1:21">
      <c r="A13" t="s">
        <v>25</v>
      </c>
      <c r="B13" t="s">
        <v>227</v>
      </c>
      <c r="C13" t="s">
        <v>26</v>
      </c>
      <c r="D13" t="s">
        <v>60</v>
      </c>
      <c r="E13" t="str">
        <f t="shared" si="0"/>
        <v>Electric FAFHZ1FLOOR R0 - R19</v>
      </c>
      <c r="F13" s="31" t="str">
        <f>Composite!B12</f>
        <v>Single Family Weatherization - Insulate Floor - R0 to R19 - Heating Zone 1 (Electric FAF)</v>
      </c>
      <c r="G13" t="s">
        <v>87</v>
      </c>
      <c r="H13" s="31">
        <f>VLOOKUP($F13&amp;$G13,Composite!$A$5:$Q$865,H$3,FALSE)*VLOOKUP($C13,[2]!ExistingSat,MATCH($A13,[2]SATS!$C$10:$F$10,0)+1,FALSE)</f>
        <v>1556.5461595597192</v>
      </c>
      <c r="I13">
        <f>VLOOKUP($F13&amp;$G13,Composite!$A$5:$Q$865,I$3,FALSE)</f>
        <v>45</v>
      </c>
      <c r="J13" s="31">
        <f>VLOOKUP($F13&amp;$G13,Composite!$A$5:$Q$865,J$3,FALSE)*VLOOKUP($C13,[2]!ExistingSat,MATCH($A13,[2]SATS!$C$10:$F$10,0)+1,FALSE)</f>
        <v>1759.181492270189</v>
      </c>
      <c r="K13" s="31">
        <f>VLOOKUP($F13&amp;$G13,Composite!$A$5:$Q$865,K$3,FALSE)*VLOOKUP($C13,[2]!ExistingSat,MATCH($A13,[2]SATS!$C$10:$F$10,0)+1,FALSE)</f>
        <v>0</v>
      </c>
      <c r="L13" t="str">
        <f>VLOOKUP($F13&amp;$G13,Composite!$A$5:$Q$865,L$3,FALSE)</f>
        <v>ResSpHtFAFZ1</v>
      </c>
      <c r="M13" s="31">
        <f>VLOOKUP($F13&amp;$G13,Composite!$A$5:$Q$865,M$3,FALSE)*VLOOKUP($C13,[2]!ExistingSat,MATCH($A13,[2]SATS!$C$10:$F$10,0)+1,FALSE)</f>
        <v>6.6149466310520273</v>
      </c>
      <c r="N13" s="31">
        <f>VLOOKUP($F13&amp;$G13,Composite!$A$5:$Q$865,N$3,FALSE)*VLOOKUP($C13,[2]!ExistingSat,MATCH($A13,[2]SATS!$C$10:$F$10,0)+1,FALSE)</f>
        <v>0</v>
      </c>
      <c r="O13">
        <f>VLOOKUP($F13&amp;$G13,Composite!$A$5:$Q$865,O$3,FALSE)</f>
        <v>0</v>
      </c>
      <c r="P13" s="31">
        <f>VLOOKUP($F13&amp;$G13,Composite!$A$5:$Q$865,P$3,FALSE)*VLOOKUP($C13,[2]!ExistingSat,MATCH($A13,[2]SATS!$C$10:$F$10,0)+1,FALSE)</f>
        <v>0</v>
      </c>
      <c r="Q13">
        <f>VLOOKUP($F13&amp;$G13,Composite!$A$5:$Q$865,Q$3,FALSE)</f>
        <v>0</v>
      </c>
      <c r="R13" s="31">
        <f>VLOOKUP($F13&amp;$G13,Composite!$A$5:$Q$865,R$3,FALSE)*VLOOKUP($C13,[2]!ExistingSat,MATCH($A13,[2]SATS!$C$10:$F$10,0)+1,FALSE)</f>
        <v>0</v>
      </c>
      <c r="S13">
        <f>VLOOKUP($F13&amp;$G13,Composite!$A$5:$Q$865,S$3,FALSE)</f>
        <v>0</v>
      </c>
      <c r="T13" s="31">
        <f>VLOOKUP($F13&amp;$G13,Composite!$A$5:$Q$865,T$3,FALSE)*VLOOKUP($C13,[2]!ExistingSat,MATCH($A13,[2]SATS!$C$10:$F$10,0)+1,FALSE)</f>
        <v>0</v>
      </c>
    </row>
    <row r="14" spans="1:21">
      <c r="A14" t="s">
        <v>25</v>
      </c>
      <c r="B14" t="s">
        <v>227</v>
      </c>
      <c r="C14" t="s">
        <v>26</v>
      </c>
      <c r="D14" t="s">
        <v>60</v>
      </c>
      <c r="E14" t="str">
        <f t="shared" si="0"/>
        <v>Electric FAFHZ1FLOOR R0 - R25</v>
      </c>
      <c r="F14" s="31" t="str">
        <f>Composite!B13</f>
        <v>Single Family Weatherization - Insulate Floor - R0 to R25 - Heating Zone 1 (Electric FAF)</v>
      </c>
      <c r="G14" t="s">
        <v>89</v>
      </c>
      <c r="H14" s="31">
        <f>VLOOKUP($F14&amp;$G14,Composite!$A$5:$Q$865,H$3,FALSE)*VLOOKUP($C14,[2]!ExistingSat,MATCH($A14,[2]SATS!$C$10:$F$10,0)+1,FALSE)</f>
        <v>1672.6560280073388</v>
      </c>
      <c r="I14">
        <f>VLOOKUP($F14&amp;$G14,Composite!$A$5:$Q$865,I$3,FALSE)</f>
        <v>45</v>
      </c>
      <c r="J14" s="31">
        <f>VLOOKUP($F14&amp;$G14,Composite!$A$5:$Q$865,J$3,FALSE)*VLOOKUP($C14,[2]!ExistingSat,MATCH($A14,[2]SATS!$C$10:$F$10,0)+1,FALSE)</f>
        <v>1826.548108429291</v>
      </c>
      <c r="K14" s="31">
        <f>VLOOKUP($F14&amp;$G14,Composite!$A$5:$Q$865,K$3,FALSE)*VLOOKUP($C14,[2]!ExistingSat,MATCH($A14,[2]SATS!$C$10:$F$10,0)+1,FALSE)</f>
        <v>0</v>
      </c>
      <c r="L14" t="str">
        <f>VLOOKUP($F14&amp;$G14,Composite!$A$5:$Q$865,L$3,FALSE)</f>
        <v>ResSpHtFAFZ1</v>
      </c>
      <c r="M14" s="31">
        <f>VLOOKUP($F14&amp;$G14,Composite!$A$5:$Q$865,M$3,FALSE)*VLOOKUP($C14,[2]!ExistingSat,MATCH($A14,[2]SATS!$C$10:$F$10,0)+1,FALSE)</f>
        <v>7.7582692348707933</v>
      </c>
      <c r="N14" s="31">
        <f>VLOOKUP($F14&amp;$G14,Composite!$A$5:$Q$865,N$3,FALSE)*VLOOKUP($C14,[2]!ExistingSat,MATCH($A14,[2]SATS!$C$10:$F$10,0)+1,FALSE)</f>
        <v>0</v>
      </c>
      <c r="O14">
        <f>VLOOKUP($F14&amp;$G14,Composite!$A$5:$Q$865,O$3,FALSE)</f>
        <v>0</v>
      </c>
      <c r="P14" s="31">
        <f>VLOOKUP($F14&amp;$G14,Composite!$A$5:$Q$865,P$3,FALSE)*VLOOKUP($C14,[2]!ExistingSat,MATCH($A14,[2]SATS!$C$10:$F$10,0)+1,FALSE)</f>
        <v>0</v>
      </c>
      <c r="Q14">
        <f>VLOOKUP($F14&amp;$G14,Composite!$A$5:$Q$865,Q$3,FALSE)</f>
        <v>0</v>
      </c>
      <c r="R14" s="31">
        <f>VLOOKUP($F14&amp;$G14,Composite!$A$5:$Q$865,R$3,FALSE)*VLOOKUP($C14,[2]!ExistingSat,MATCH($A14,[2]SATS!$C$10:$F$10,0)+1,FALSE)</f>
        <v>0</v>
      </c>
      <c r="S14">
        <f>VLOOKUP($F14&amp;$G14,Composite!$A$5:$Q$865,S$3,FALSE)</f>
        <v>0</v>
      </c>
      <c r="T14" s="31">
        <f>VLOOKUP($F14&amp;$G14,Composite!$A$5:$Q$865,T$3,FALSE)*VLOOKUP($C14,[2]!ExistingSat,MATCH($A14,[2]SATS!$C$10:$F$10,0)+1,FALSE)</f>
        <v>0</v>
      </c>
    </row>
    <row r="15" spans="1:21">
      <c r="A15" t="s">
        <v>25</v>
      </c>
      <c r="B15" t="s">
        <v>227</v>
      </c>
      <c r="C15" t="s">
        <v>26</v>
      </c>
      <c r="D15" t="s">
        <v>60</v>
      </c>
      <c r="E15" t="str">
        <f t="shared" si="0"/>
        <v>Electric FAFHZ1FLOOR R0 - R30</v>
      </c>
      <c r="F15" s="31" t="str">
        <f>Composite!B14</f>
        <v>Single Family Weatherization - Insulate Floor - R0 to R30 - Heating Zone 1 (Electric FAF)</v>
      </c>
      <c r="G15" t="s">
        <v>91</v>
      </c>
      <c r="H15" s="31">
        <f>VLOOKUP($F15&amp;$G15,Composite!$A$5:$Q$865,H$3,FALSE)*VLOOKUP($C15,[2]!ExistingSat,MATCH($A15,[2]SATS!$C$10:$F$10,0)+1,FALSE)</f>
        <v>1745.4358072945606</v>
      </c>
      <c r="I15">
        <f>VLOOKUP($F15&amp;$G15,Composite!$A$5:$Q$865,I$3,FALSE)</f>
        <v>45</v>
      </c>
      <c r="J15" s="31">
        <f>VLOOKUP($F15&amp;$G15,Composite!$A$5:$Q$865,J$3,FALSE)*VLOOKUP($C15,[2]!ExistingSat,MATCH($A15,[2]SATS!$C$10:$F$10,0)+1,FALSE)</f>
        <v>1882.6869552285434</v>
      </c>
      <c r="K15" s="31">
        <f>VLOOKUP($F15&amp;$G15,Composite!$A$5:$Q$865,K$3,FALSE)*VLOOKUP($C15,[2]!ExistingSat,MATCH($A15,[2]SATS!$C$10:$F$10,0)+1,FALSE)</f>
        <v>0</v>
      </c>
      <c r="L15" t="str">
        <f>VLOOKUP($F15&amp;$G15,Composite!$A$5:$Q$865,L$3,FALSE)</f>
        <v>ResSpHtFAFZ1</v>
      </c>
      <c r="M15" s="31">
        <f>VLOOKUP($F15&amp;$G15,Composite!$A$5:$Q$865,M$3,FALSE)*VLOOKUP($C15,[2]!ExistingSat,MATCH($A15,[2]SATS!$C$10:$F$10,0)+1,FALSE)</f>
        <v>8.5106561382933652</v>
      </c>
      <c r="N15" s="31">
        <f>VLOOKUP($F15&amp;$G15,Composite!$A$5:$Q$865,N$3,FALSE)*VLOOKUP($C15,[2]!ExistingSat,MATCH($A15,[2]SATS!$C$10:$F$10,0)+1,FALSE)</f>
        <v>0</v>
      </c>
      <c r="O15">
        <f>VLOOKUP($F15&amp;$G15,Composite!$A$5:$Q$865,O$3,FALSE)</f>
        <v>0</v>
      </c>
      <c r="P15" s="31">
        <f>VLOOKUP($F15&amp;$G15,Composite!$A$5:$Q$865,P$3,FALSE)*VLOOKUP($C15,[2]!ExistingSat,MATCH($A15,[2]SATS!$C$10:$F$10,0)+1,FALSE)</f>
        <v>0</v>
      </c>
      <c r="Q15">
        <f>VLOOKUP($F15&amp;$G15,Composite!$A$5:$Q$865,Q$3,FALSE)</f>
        <v>0</v>
      </c>
      <c r="R15" s="31">
        <f>VLOOKUP($F15&amp;$G15,Composite!$A$5:$Q$865,R$3,FALSE)*VLOOKUP($C15,[2]!ExistingSat,MATCH($A15,[2]SATS!$C$10:$F$10,0)+1,FALSE)</f>
        <v>0</v>
      </c>
      <c r="S15">
        <f>VLOOKUP($F15&amp;$G15,Composite!$A$5:$Q$865,S$3,FALSE)</f>
        <v>0</v>
      </c>
      <c r="T15" s="31">
        <f>VLOOKUP($F15&amp;$G15,Composite!$A$5:$Q$865,T$3,FALSE)*VLOOKUP($C15,[2]!ExistingSat,MATCH($A15,[2]SATS!$C$10:$F$10,0)+1,FALSE)</f>
        <v>0</v>
      </c>
    </row>
    <row r="16" spans="1:21">
      <c r="A16" t="s">
        <v>25</v>
      </c>
      <c r="B16" t="s">
        <v>227</v>
      </c>
      <c r="C16" t="s">
        <v>27</v>
      </c>
      <c r="D16" t="s">
        <v>60</v>
      </c>
      <c r="E16" t="str">
        <f t="shared" si="0"/>
        <v>Electric FAFHZ1WINDOW CL30 Prime Window Replacement of Single Pane Base</v>
      </c>
      <c r="F16" s="31" t="str">
        <f>Composite!B15</f>
        <v>Windows - Single Pane to Class 30 - Heating Zone 1 (Electric FAF)</v>
      </c>
      <c r="G16" t="s">
        <v>93</v>
      </c>
      <c r="H16" s="31">
        <f>VLOOKUP($F16&amp;$G16,Composite!$A$5:$Q$865,H$3,FALSE)*VLOOKUP($C16,[2]!ExistingSat,MATCH($A16,[2]SATS!$C$10:$F$10,0)+1,FALSE)</f>
        <v>2984.2636263724244</v>
      </c>
      <c r="I16">
        <f>VLOOKUP($F16&amp;$G16,Composite!$A$5:$Q$865,I$3,FALSE)</f>
        <v>45</v>
      </c>
      <c r="J16" s="31">
        <f>VLOOKUP($F16&amp;$G16,Composite!$A$5:$Q$865,J$3,FALSE)*VLOOKUP($C16,[2]!ExistingSat,MATCH($A16,[2]SATS!$C$10:$F$10,0)+1,FALSE)</f>
        <v>3312.4380313472334</v>
      </c>
      <c r="K16" s="31">
        <f>VLOOKUP($F16&amp;$G16,Composite!$A$5:$Q$865,K$3,FALSE)*VLOOKUP($C16,[2]!ExistingSat,MATCH($A16,[2]SATS!$C$10:$F$10,0)+1,FALSE)</f>
        <v>0</v>
      </c>
      <c r="L16" t="str">
        <f>VLOOKUP($F16&amp;$G16,Composite!$A$5:$Q$865,L$3,FALSE)</f>
        <v>ResSpHtFAFZ1</v>
      </c>
      <c r="M16" s="31">
        <f>VLOOKUP($F16&amp;$G16,Composite!$A$5:$Q$865,M$3,FALSE)*VLOOKUP($C16,[2]!ExistingSat,MATCH($A16,[2]SATS!$C$10:$F$10,0)+1,FALSE)</f>
        <v>28.616211801402354</v>
      </c>
      <c r="N16" s="31">
        <f>VLOOKUP($F16&amp;$G16,Composite!$A$5:$Q$865,N$3,FALSE)*VLOOKUP($C16,[2]!ExistingSat,MATCH($A16,[2]SATS!$C$10:$F$10,0)+1,FALSE)</f>
        <v>0</v>
      </c>
      <c r="O16">
        <f>VLOOKUP($F16&amp;$G16,Composite!$A$5:$Q$865,O$3,FALSE)</f>
        <v>0</v>
      </c>
      <c r="P16" s="31">
        <f>VLOOKUP($F16&amp;$G16,Composite!$A$5:$Q$865,P$3,FALSE)*VLOOKUP($C16,[2]!ExistingSat,MATCH($A16,[2]SATS!$C$10:$F$10,0)+1,FALSE)</f>
        <v>0</v>
      </c>
      <c r="Q16">
        <f>VLOOKUP($F16&amp;$G16,Composite!$A$5:$Q$865,Q$3,FALSE)</f>
        <v>0</v>
      </c>
      <c r="R16" s="31">
        <f>VLOOKUP($F16&amp;$G16,Composite!$A$5:$Q$865,R$3,FALSE)*VLOOKUP($C16,[2]!ExistingSat,MATCH($A16,[2]SATS!$C$10:$F$10,0)+1,FALSE)</f>
        <v>0</v>
      </c>
      <c r="S16">
        <f>VLOOKUP($F16&amp;$G16,Composite!$A$5:$Q$865,S$3,FALSE)</f>
        <v>0</v>
      </c>
      <c r="T16" s="31">
        <f>VLOOKUP($F16&amp;$G16,Composite!$A$5:$Q$865,T$3,FALSE)*VLOOKUP($C16,[2]!ExistingSat,MATCH($A16,[2]SATS!$C$10:$F$10,0)+1,FALSE)</f>
        <v>0</v>
      </c>
    </row>
    <row r="17" spans="1:20">
      <c r="A17" t="s">
        <v>25</v>
      </c>
      <c r="B17" t="s">
        <v>227</v>
      </c>
      <c r="C17" t="s">
        <v>27</v>
      </c>
      <c r="D17" t="s">
        <v>60</v>
      </c>
      <c r="E17" t="str">
        <f t="shared" si="0"/>
        <v>Electric FAFHZ1WINDOW CL30 Prime Window Replacement of Double Pane Base</v>
      </c>
      <c r="F17" s="31" t="str">
        <f>Composite!B16</f>
        <v>Windows - Double Pane to Class 30 - Heating Zone 1 (Electric FAF)</v>
      </c>
      <c r="G17" t="s">
        <v>95</v>
      </c>
      <c r="H17" s="31">
        <f>VLOOKUP($F17&amp;$G17,Composite!$A$5:$Q$865,H$3,FALSE)*VLOOKUP($C17,[2]!ExistingSat,MATCH($A17,[2]SATS!$C$10:$F$10,0)+1,FALSE)</f>
        <v>1066.7178800856052</v>
      </c>
      <c r="I17">
        <f>VLOOKUP($F17&amp;$G17,Composite!$A$5:$Q$865,I$3,FALSE)</f>
        <v>45</v>
      </c>
      <c r="J17" s="31">
        <f>VLOOKUP($F17&amp;$G17,Composite!$A$5:$Q$865,J$3,FALSE)*VLOOKUP($C17,[2]!ExistingSat,MATCH($A17,[2]SATS!$C$10:$F$10,0)+1,FALSE)</f>
        <v>3312.4380313472334</v>
      </c>
      <c r="K17" s="31">
        <f>VLOOKUP($F17&amp;$G17,Composite!$A$5:$Q$865,K$3,FALSE)*VLOOKUP($C17,[2]!ExistingSat,MATCH($A17,[2]SATS!$C$10:$F$10,0)+1,FALSE)</f>
        <v>0</v>
      </c>
      <c r="L17" t="str">
        <f>VLOOKUP($F17&amp;$G17,Composite!$A$5:$Q$865,L$3,FALSE)</f>
        <v>ResSpHtFAFZ1</v>
      </c>
      <c r="M17" s="31">
        <f>VLOOKUP($F17&amp;$G17,Composite!$A$5:$Q$865,M$3,FALSE)*VLOOKUP($C17,[2]!ExistingSat,MATCH($A17,[2]SATS!$C$10:$F$10,0)+1,FALSE)</f>
        <v>9.5468340044721742</v>
      </c>
      <c r="N17" s="31">
        <f>VLOOKUP($F17&amp;$G17,Composite!$A$5:$Q$865,N$3,FALSE)*VLOOKUP($C17,[2]!ExistingSat,MATCH($A17,[2]SATS!$C$10:$F$10,0)+1,FALSE)</f>
        <v>0</v>
      </c>
      <c r="O17">
        <f>VLOOKUP($F17&amp;$G17,Composite!$A$5:$Q$865,O$3,FALSE)</f>
        <v>0</v>
      </c>
      <c r="P17" s="31">
        <f>VLOOKUP($F17&amp;$G17,Composite!$A$5:$Q$865,P$3,FALSE)*VLOOKUP($C17,[2]!ExistingSat,MATCH($A17,[2]SATS!$C$10:$F$10,0)+1,FALSE)</f>
        <v>0</v>
      </c>
      <c r="Q17">
        <f>VLOOKUP($F17&amp;$G17,Composite!$A$5:$Q$865,Q$3,FALSE)</f>
        <v>0</v>
      </c>
      <c r="R17" s="31">
        <f>VLOOKUP($F17&amp;$G17,Composite!$A$5:$Q$865,R$3,FALSE)*VLOOKUP($C17,[2]!ExistingSat,MATCH($A17,[2]SATS!$C$10:$F$10,0)+1,FALSE)</f>
        <v>0</v>
      </c>
      <c r="S17">
        <f>VLOOKUP($F17&amp;$G17,Composite!$A$5:$Q$865,S$3,FALSE)</f>
        <v>0</v>
      </c>
      <c r="T17" s="31">
        <f>VLOOKUP($F17&amp;$G17,Composite!$A$5:$Q$865,T$3,FALSE)*VLOOKUP($C17,[2]!ExistingSat,MATCH($A17,[2]SATS!$C$10:$F$10,0)+1,FALSE)</f>
        <v>0</v>
      </c>
    </row>
    <row r="18" spans="1:20">
      <c r="A18" t="s">
        <v>25</v>
      </c>
      <c r="B18" t="s">
        <v>227</v>
      </c>
      <c r="C18" t="s">
        <v>27</v>
      </c>
      <c r="D18" t="s">
        <v>60</v>
      </c>
      <c r="E18" t="str">
        <f t="shared" si="0"/>
        <v>Electric FAFHZ1WINDOW CL22 Prime Window Replacement of Single Pane Base</v>
      </c>
      <c r="F18" s="31" t="str">
        <f>Composite!B17</f>
        <v>Windows - Single Pane to Class 22 - Heating Zone 1 (Electric FAF)</v>
      </c>
      <c r="G18" t="s">
        <v>99</v>
      </c>
      <c r="H18" s="31">
        <f>VLOOKUP($F18&amp;$G18,Composite!$A$5:$Q$865,H$3,FALSE)*VLOOKUP($C18,[2]!ExistingSat,MATCH($A18,[2]SATS!$C$10:$F$10,0)+1,FALSE)</f>
        <v>3256.2407922040766</v>
      </c>
      <c r="I18">
        <f>VLOOKUP($F18&amp;$G18,Composite!$A$5:$Q$865,I$3,FALSE)</f>
        <v>45</v>
      </c>
      <c r="J18" s="31">
        <f>VLOOKUP($F18&amp;$G18,Composite!$A$5:$Q$865,J$3,FALSE)*VLOOKUP($C18,[2]!ExistingSat,MATCH($A18,[2]SATS!$C$10:$F$10,0)+1,FALSE)</f>
        <v>3901.0698543939693</v>
      </c>
      <c r="K18" s="31">
        <f>VLOOKUP($F18&amp;$G18,Composite!$A$5:$Q$865,K$3,FALSE)*VLOOKUP($C18,[2]!ExistingSat,MATCH($A18,[2]SATS!$C$10:$F$10,0)+1,FALSE)</f>
        <v>0</v>
      </c>
      <c r="L18" t="str">
        <f>VLOOKUP($F18&amp;$G18,Composite!$A$5:$Q$865,L$3,FALSE)</f>
        <v>ResSpHtFAFZ1</v>
      </c>
      <c r="M18" s="31">
        <f>VLOOKUP($F18&amp;$G18,Composite!$A$5:$Q$865,M$3,FALSE)*VLOOKUP($C18,[2]!ExistingSat,MATCH($A18,[2]SATS!$C$10:$F$10,0)+1,FALSE)</f>
        <v>31.896754421016546</v>
      </c>
      <c r="N18" s="31">
        <f>VLOOKUP($F18&amp;$G18,Composite!$A$5:$Q$865,N$3,FALSE)*VLOOKUP($C18,[2]!ExistingSat,MATCH($A18,[2]SATS!$C$10:$F$10,0)+1,FALSE)</f>
        <v>0</v>
      </c>
      <c r="O18">
        <f>VLOOKUP($F18&amp;$G18,Composite!$A$5:$Q$865,O$3,FALSE)</f>
        <v>0</v>
      </c>
      <c r="P18" s="31">
        <f>VLOOKUP($F18&amp;$G18,Composite!$A$5:$Q$865,P$3,FALSE)*VLOOKUP($C18,[2]!ExistingSat,MATCH($A18,[2]SATS!$C$10:$F$10,0)+1,FALSE)</f>
        <v>0</v>
      </c>
      <c r="Q18">
        <f>VLOOKUP($F18&amp;$G18,Composite!$A$5:$Q$865,Q$3,FALSE)</f>
        <v>0</v>
      </c>
      <c r="R18" s="31">
        <f>VLOOKUP($F18&amp;$G18,Composite!$A$5:$Q$865,R$3,FALSE)*VLOOKUP($C18,[2]!ExistingSat,MATCH($A18,[2]SATS!$C$10:$F$10,0)+1,FALSE)</f>
        <v>0</v>
      </c>
      <c r="S18">
        <f>VLOOKUP($F18&amp;$G18,Composite!$A$5:$Q$865,S$3,FALSE)</f>
        <v>0</v>
      </c>
      <c r="T18" s="31">
        <f>VLOOKUP($F18&amp;$G18,Composite!$A$5:$Q$865,T$3,FALSE)*VLOOKUP($C18,[2]!ExistingSat,MATCH($A18,[2]SATS!$C$10:$F$10,0)+1,FALSE)</f>
        <v>0</v>
      </c>
    </row>
    <row r="19" spans="1:20">
      <c r="A19" t="s">
        <v>25</v>
      </c>
      <c r="B19" t="s">
        <v>227</v>
      </c>
      <c r="C19" t="s">
        <v>27</v>
      </c>
      <c r="D19" t="s">
        <v>60</v>
      </c>
      <c r="E19" t="str">
        <f t="shared" si="0"/>
        <v>Electric FAFHZ1WINDOW CL22 Prime Window Replacement of Double Pane Base</v>
      </c>
      <c r="F19" s="31" t="str">
        <f>Composite!B18</f>
        <v>Windows - Double Pane to Class 22 - Heating Zone 1 (Electric FAF)</v>
      </c>
      <c r="G19" t="s">
        <v>101</v>
      </c>
      <c r="H19" s="31">
        <f>VLOOKUP($F19&amp;$G19,Composite!$A$5:$Q$865,H$3,FALSE)*VLOOKUP($C19,[2]!ExistingSat,MATCH($A19,[2]SATS!$C$10:$F$10,0)+1,FALSE)</f>
        <v>1250.2941048080429</v>
      </c>
      <c r="I19">
        <f>VLOOKUP($F19&amp;$G19,Composite!$A$5:$Q$865,I$3,FALSE)</f>
        <v>45</v>
      </c>
      <c r="J19" s="31">
        <f>VLOOKUP($F19&amp;$G19,Composite!$A$5:$Q$865,J$3,FALSE)*VLOOKUP($C19,[2]!ExistingSat,MATCH($A19,[2]SATS!$C$10:$F$10,0)+1,FALSE)</f>
        <v>3901.0698543939693</v>
      </c>
      <c r="K19" s="31">
        <f>VLOOKUP($F19&amp;$G19,Composite!$A$5:$Q$865,K$3,FALSE)*VLOOKUP($C19,[2]!ExistingSat,MATCH($A19,[2]SATS!$C$10:$F$10,0)+1,FALSE)</f>
        <v>0</v>
      </c>
      <c r="L19" t="str">
        <f>VLOOKUP($F19&amp;$G19,Composite!$A$5:$Q$865,L$3,FALSE)</f>
        <v>ResSpHtFAFZ1</v>
      </c>
      <c r="M19" s="31">
        <f>VLOOKUP($F19&amp;$G19,Composite!$A$5:$Q$865,M$3,FALSE)*VLOOKUP($C19,[2]!ExistingSat,MATCH($A19,[2]SATS!$C$10:$F$10,0)+1,FALSE)</f>
        <v>11.571714007954078</v>
      </c>
      <c r="N19" s="31">
        <f>VLOOKUP($F19&amp;$G19,Composite!$A$5:$Q$865,N$3,FALSE)*VLOOKUP($C19,[2]!ExistingSat,MATCH($A19,[2]SATS!$C$10:$F$10,0)+1,FALSE)</f>
        <v>0</v>
      </c>
      <c r="O19">
        <f>VLOOKUP($F19&amp;$G19,Composite!$A$5:$Q$865,O$3,FALSE)</f>
        <v>0</v>
      </c>
      <c r="P19" s="31">
        <f>VLOOKUP($F19&amp;$G19,Composite!$A$5:$Q$865,P$3,FALSE)*VLOOKUP($C19,[2]!ExistingSat,MATCH($A19,[2]SATS!$C$10:$F$10,0)+1,FALSE)</f>
        <v>0</v>
      </c>
      <c r="Q19">
        <f>VLOOKUP($F19&amp;$G19,Composite!$A$5:$Q$865,Q$3,FALSE)</f>
        <v>0</v>
      </c>
      <c r="R19" s="31">
        <f>VLOOKUP($F19&amp;$G19,Composite!$A$5:$Q$865,R$3,FALSE)*VLOOKUP($C19,[2]!ExistingSat,MATCH($A19,[2]SATS!$C$10:$F$10,0)+1,FALSE)</f>
        <v>0</v>
      </c>
      <c r="S19">
        <f>VLOOKUP($F19&amp;$G19,Composite!$A$5:$Q$865,S$3,FALSE)</f>
        <v>0</v>
      </c>
      <c r="T19" s="31">
        <f>VLOOKUP($F19&amp;$G19,Composite!$A$5:$Q$865,T$3,FALSE)*VLOOKUP($C19,[2]!ExistingSat,MATCH($A19,[2]SATS!$C$10:$F$10,0)+1,FALSE)</f>
        <v>0</v>
      </c>
    </row>
    <row r="20" spans="1:20">
      <c r="A20" t="s">
        <v>25</v>
      </c>
      <c r="B20" t="s">
        <v>227</v>
      </c>
      <c r="C20" t="s">
        <v>66</v>
      </c>
      <c r="D20" t="s">
        <v>60</v>
      </c>
      <c r="E20" t="str">
        <f t="shared" si="0"/>
        <v>Electric FAFHZ1CFM50 Infiltration Reduction</v>
      </c>
      <c r="F20" s="31" t="str">
        <f>Composite!B19</f>
        <v>Infiltration Reduction - CFM50 reduction - Heating Zone 1 (Electric FAF)</v>
      </c>
      <c r="G20" s="305" t="s">
        <v>1362</v>
      </c>
      <c r="H20" s="31">
        <f>VLOOKUP($F20&amp;$G20,Composite!$A$5:$Q$865,H$3,FALSE)*VLOOKUP($C20,[2]!ExistingSat,MATCH($A20,[2]SATS!$C$10:$F$10,0)+1,FALSE)</f>
        <v>1158.4235748794024</v>
      </c>
      <c r="I20">
        <f>VLOOKUP($F20&amp;$G20,Composite!$A$5:$Q$865,I$3,FALSE)</f>
        <v>15</v>
      </c>
      <c r="J20" s="31">
        <f>VLOOKUP($F20&amp;$G20,Composite!$A$5:$Q$865,J$3,FALSE)*VLOOKUP($C20,[2]!ExistingSat,MATCH($A20,[2]SATS!$C$10:$F$10,0)+1,FALSE)</f>
        <v>1325.3999218794588</v>
      </c>
      <c r="K20" s="31">
        <f>VLOOKUP($F20&amp;$G20,Composite!$A$5:$Q$865,K$3,FALSE)*VLOOKUP($C20,[2]!ExistingSat,MATCH($A20,[2]SATS!$C$10:$F$10,0)+1,FALSE)</f>
        <v>0</v>
      </c>
      <c r="L20" t="str">
        <f>VLOOKUP($F20&amp;$G20,Composite!$A$5:$Q$865,L$3,FALSE)</f>
        <v>ResSpHtFAFZ1</v>
      </c>
      <c r="M20" s="31">
        <f>VLOOKUP($F20&amp;$G20,Composite!$A$5:$Q$865,M$3,FALSE)*VLOOKUP($C20,[2]!ExistingSat,MATCH($A20,[2]SATS!$C$10:$F$10,0)+1,FALSE)</f>
        <v>11.39816451236862</v>
      </c>
      <c r="N20" s="31">
        <f>VLOOKUP($F20&amp;$G20,Composite!$A$5:$Q$865,N$3,FALSE)*VLOOKUP($C20,[2]!ExistingSat,MATCH($A20,[2]SATS!$C$10:$F$10,0)+1,FALSE)</f>
        <v>0</v>
      </c>
      <c r="O20">
        <f>VLOOKUP($F20&amp;$G20,Composite!$A$5:$Q$865,O$3,FALSE)</f>
        <v>0</v>
      </c>
      <c r="P20" s="31">
        <f>VLOOKUP($F20&amp;$G20,Composite!$A$5:$Q$865,P$3,FALSE)*VLOOKUP($C20,[2]!ExistingSat,MATCH($A20,[2]SATS!$C$10:$F$10,0)+1,FALSE)</f>
        <v>0</v>
      </c>
      <c r="Q20">
        <f>VLOOKUP($F20&amp;$G20,Composite!$A$5:$Q$865,Q$3,FALSE)</f>
        <v>0</v>
      </c>
      <c r="R20" s="31">
        <f>VLOOKUP($F20&amp;$G20,Composite!$A$5:$Q$865,R$3,FALSE)*VLOOKUP($C20,[2]!ExistingSat,MATCH($A20,[2]SATS!$C$10:$F$10,0)+1,FALSE)</f>
        <v>0</v>
      </c>
      <c r="S20">
        <f>VLOOKUP($F20&amp;$G20,Composite!$A$5:$Q$865,S$3,FALSE)</f>
        <v>0</v>
      </c>
      <c r="T20" s="31">
        <f>VLOOKUP($F20&amp;$G20,Composite!$A$5:$Q$865,T$3,FALSE)*VLOOKUP($C20,[2]!ExistingSat,MATCH($A20,[2]SATS!$C$10:$F$10,0)+1,FALSE)</f>
        <v>0</v>
      </c>
    </row>
    <row r="21" spans="1:20">
      <c r="A21" t="s">
        <v>25</v>
      </c>
      <c r="B21" t="s">
        <v>227</v>
      </c>
      <c r="C21" t="s">
        <v>28</v>
      </c>
      <c r="D21" t="s">
        <v>61</v>
      </c>
      <c r="E21" t="str">
        <f t="shared" si="0"/>
        <v>Electric FAFHZ2ATTIC R0 - R38</v>
      </c>
      <c r="F21" s="31" t="str">
        <f>Composite!B20</f>
        <v>Single Family Weatherization - Insulate Attic - R0 to R38 - Heating Zone 2 (Electric FAF)</v>
      </c>
      <c r="G21" t="s">
        <v>68</v>
      </c>
      <c r="H21" s="31">
        <f>VLOOKUP($F21&amp;$G21,Composite!$A$5:$Q$865,H$3,FALSE)*VLOOKUP($C21,[2]!ExistingSat,MATCH($A21,[2]SATS!$C$10:$F$10,0)+1,FALSE)</f>
        <v>5126.9941211040423</v>
      </c>
      <c r="I21">
        <f>VLOOKUP($F21&amp;$G21,Composite!$A$5:$Q$865,I$3,FALSE)</f>
        <v>45</v>
      </c>
      <c r="J21" s="31">
        <f>VLOOKUP($F21&amp;$G21,Composite!$A$5:$Q$865,J$3,FALSE)*VLOOKUP($C21,[2]!ExistingSat,MATCH($A21,[2]SATS!$C$10:$F$10,0)+1,FALSE)</f>
        <v>1403.6424108745796</v>
      </c>
      <c r="K21" s="31">
        <f>VLOOKUP($F21&amp;$G21,Composite!$A$5:$Q$865,K$3,FALSE)*VLOOKUP($C21,[2]!ExistingSat,MATCH($A21,[2]SATS!$C$10:$F$10,0)+1,FALSE)</f>
        <v>0</v>
      </c>
      <c r="L21" t="str">
        <f>VLOOKUP($F21&amp;$G21,Composite!$A$5:$Q$865,L$3,FALSE)</f>
        <v>ResSpHtFAFZ2</v>
      </c>
      <c r="M21" s="31">
        <f>VLOOKUP($F21&amp;$G21,Composite!$A$5:$Q$865,M$3,FALSE)*VLOOKUP($C21,[2]!ExistingSat,MATCH($A21,[2]SATS!$C$10:$F$10,0)+1,FALSE)</f>
        <v>16.98877937282851</v>
      </c>
      <c r="N21" s="31">
        <f>VLOOKUP($F21&amp;$G21,Composite!$A$5:$Q$865,N$3,FALSE)*VLOOKUP($C21,[2]!ExistingSat,MATCH($A21,[2]SATS!$C$10:$F$10,0)+1,FALSE)</f>
        <v>0</v>
      </c>
      <c r="O21">
        <f>VLOOKUP($F21&amp;$G21,Composite!$A$5:$Q$865,O$3,FALSE)</f>
        <v>0</v>
      </c>
      <c r="P21" s="31">
        <f>VLOOKUP($F21&amp;$G21,Composite!$A$5:$Q$865,P$3,FALSE)*VLOOKUP($C21,[2]!ExistingSat,MATCH($A21,[2]SATS!$C$10:$F$10,0)+1,FALSE)</f>
        <v>0</v>
      </c>
      <c r="Q21">
        <f>VLOOKUP($F21&amp;$G21,Composite!$A$5:$Q$865,Q$3,FALSE)</f>
        <v>0</v>
      </c>
      <c r="R21" s="31">
        <f>VLOOKUP($F21&amp;$G21,Composite!$A$5:$Q$865,R$3,FALSE)*VLOOKUP($C21,[2]!ExistingSat,MATCH($A21,[2]SATS!$C$10:$F$10,0)+1,FALSE)</f>
        <v>0</v>
      </c>
      <c r="S21">
        <f>VLOOKUP($F21&amp;$G21,Composite!$A$5:$Q$865,S$3,FALSE)</f>
        <v>0</v>
      </c>
      <c r="T21" s="31">
        <f>VLOOKUP($F21&amp;$G21,Composite!$A$5:$Q$865,T$3,FALSE)*VLOOKUP($C21,[2]!ExistingSat,MATCH($A21,[2]SATS!$C$10:$F$10,0)+1,FALSE)</f>
        <v>0</v>
      </c>
    </row>
    <row r="22" spans="1:20">
      <c r="A22" t="s">
        <v>25</v>
      </c>
      <c r="B22" t="s">
        <v>227</v>
      </c>
      <c r="C22" t="s">
        <v>28</v>
      </c>
      <c r="D22" t="s">
        <v>61</v>
      </c>
      <c r="E22" t="str">
        <f t="shared" si="0"/>
        <v>Electric FAFHZ2ATTIC R0 - R49</v>
      </c>
      <c r="F22" s="31" t="str">
        <f>Composite!B21</f>
        <v>Single Family Weatherization - Insulate Attic - R0 to R49 - Heating Zone 2 (Electric FAF)</v>
      </c>
      <c r="G22" t="s">
        <v>71</v>
      </c>
      <c r="H22" s="31">
        <f>VLOOKUP($F22&amp;$G22,Composite!$A$5:$Q$865,H$3,FALSE)*VLOOKUP($C22,[2]!ExistingSat,MATCH($A22,[2]SATS!$C$10:$F$10,0)+1,FALSE)</f>
        <v>5203.5820302526163</v>
      </c>
      <c r="I22">
        <f>VLOOKUP($F22&amp;$G22,Composite!$A$5:$Q$865,I$3,FALSE)</f>
        <v>45</v>
      </c>
      <c r="J22" s="31">
        <f>VLOOKUP($F22&amp;$G22,Composite!$A$5:$Q$865,J$3,FALSE)*VLOOKUP($C22,[2]!ExistingSat,MATCH($A22,[2]SATS!$C$10:$F$10,0)+1,FALSE)</f>
        <v>1602.9315530239337</v>
      </c>
      <c r="K22" s="31">
        <f>VLOOKUP($F22&amp;$G22,Composite!$A$5:$Q$865,K$3,FALSE)*VLOOKUP($C22,[2]!ExistingSat,MATCH($A22,[2]SATS!$C$10:$F$10,0)+1,FALSE)</f>
        <v>0</v>
      </c>
      <c r="L22" t="str">
        <f>VLOOKUP($F22&amp;$G22,Composite!$A$5:$Q$865,L$3,FALSE)</f>
        <v>ResSpHtFAFZ2</v>
      </c>
      <c r="M22" s="31">
        <f>VLOOKUP($F22&amp;$G22,Composite!$A$5:$Q$865,M$3,FALSE)*VLOOKUP($C22,[2]!ExistingSat,MATCH($A22,[2]SATS!$C$10:$F$10,0)+1,FALSE)</f>
        <v>17.420646858696021</v>
      </c>
      <c r="N22" s="31">
        <f>VLOOKUP($F22&amp;$G22,Composite!$A$5:$Q$865,N$3,FALSE)*VLOOKUP($C22,[2]!ExistingSat,MATCH($A22,[2]SATS!$C$10:$F$10,0)+1,FALSE)</f>
        <v>0</v>
      </c>
      <c r="O22">
        <f>VLOOKUP($F22&amp;$G22,Composite!$A$5:$Q$865,O$3,FALSE)</f>
        <v>0</v>
      </c>
      <c r="P22" s="31">
        <f>VLOOKUP($F22&amp;$G22,Composite!$A$5:$Q$865,P$3,FALSE)*VLOOKUP($C22,[2]!ExistingSat,MATCH($A22,[2]SATS!$C$10:$F$10,0)+1,FALSE)</f>
        <v>0</v>
      </c>
      <c r="Q22">
        <f>VLOOKUP($F22&amp;$G22,Composite!$A$5:$Q$865,Q$3,FALSE)</f>
        <v>0</v>
      </c>
      <c r="R22" s="31">
        <f>VLOOKUP($F22&amp;$G22,Composite!$A$5:$Q$865,R$3,FALSE)*VLOOKUP($C22,[2]!ExistingSat,MATCH($A22,[2]SATS!$C$10:$F$10,0)+1,FALSE)</f>
        <v>0</v>
      </c>
      <c r="S22">
        <f>VLOOKUP($F22&amp;$G22,Composite!$A$5:$Q$865,S$3,FALSE)</f>
        <v>0</v>
      </c>
      <c r="T22" s="31">
        <f>VLOOKUP($F22&amp;$G22,Composite!$A$5:$Q$865,T$3,FALSE)*VLOOKUP($C22,[2]!ExistingSat,MATCH($A22,[2]SATS!$C$10:$F$10,0)+1,FALSE)</f>
        <v>0</v>
      </c>
    </row>
    <row r="23" spans="1:20">
      <c r="A23" t="s">
        <v>25</v>
      </c>
      <c r="B23" t="s">
        <v>227</v>
      </c>
      <c r="C23" t="s">
        <v>28</v>
      </c>
      <c r="D23" t="s">
        <v>61</v>
      </c>
      <c r="E23" t="str">
        <f t="shared" si="0"/>
        <v>Electric FAFHZ2ATTIC R11 - R38</v>
      </c>
      <c r="F23" s="31" t="str">
        <f>Composite!B22</f>
        <v>Single Family Weatherization - Insulate Attic - R11 to R38 - Heating Zone 2 (Electric FAF)</v>
      </c>
      <c r="G23" t="s">
        <v>73</v>
      </c>
      <c r="H23" s="31">
        <f>VLOOKUP($F23&amp;$G23,Composite!$A$5:$Q$865,H$3,FALSE)*VLOOKUP($C23,[2]!ExistingSat,MATCH($A23,[2]SATS!$C$10:$F$10,0)+1,FALSE)</f>
        <v>993.21412649103411</v>
      </c>
      <c r="I23">
        <f>VLOOKUP($F23&amp;$G23,Composite!$A$5:$Q$865,I$3,FALSE)</f>
        <v>45</v>
      </c>
      <c r="J23" s="31">
        <f>VLOOKUP($F23&amp;$G23,Composite!$A$5:$Q$865,J$3,FALSE)*VLOOKUP($C23,[2]!ExistingSat,MATCH($A23,[2]SATS!$C$10:$F$10,0)+1,FALSE)</f>
        <v>1204.353268725225</v>
      </c>
      <c r="K23" s="31">
        <f>VLOOKUP($F23&amp;$G23,Composite!$A$5:$Q$865,K$3,FALSE)*VLOOKUP($C23,[2]!ExistingSat,MATCH($A23,[2]SATS!$C$10:$F$10,0)+1,FALSE)</f>
        <v>0</v>
      </c>
      <c r="L23" t="str">
        <f>VLOOKUP($F23&amp;$G23,Composite!$A$5:$Q$865,L$3,FALSE)</f>
        <v>ResSpHtFAFZ2</v>
      </c>
      <c r="M23" s="31">
        <f>VLOOKUP($F23&amp;$G23,Composite!$A$5:$Q$865,M$3,FALSE)*VLOOKUP($C23,[2]!ExistingSat,MATCH($A23,[2]SATS!$C$10:$F$10,0)+1,FALSE)</f>
        <v>5.0772718604350109</v>
      </c>
      <c r="N23" s="31">
        <f>VLOOKUP($F23&amp;$G23,Composite!$A$5:$Q$865,N$3,FALSE)*VLOOKUP($C23,[2]!ExistingSat,MATCH($A23,[2]SATS!$C$10:$F$10,0)+1,FALSE)</f>
        <v>0</v>
      </c>
      <c r="O23">
        <f>VLOOKUP($F23&amp;$G23,Composite!$A$5:$Q$865,O$3,FALSE)</f>
        <v>0</v>
      </c>
      <c r="P23" s="31">
        <f>VLOOKUP($F23&amp;$G23,Composite!$A$5:$Q$865,P$3,FALSE)*VLOOKUP($C23,[2]!ExistingSat,MATCH($A23,[2]SATS!$C$10:$F$10,0)+1,FALSE)</f>
        <v>0</v>
      </c>
      <c r="Q23">
        <f>VLOOKUP($F23&amp;$G23,Composite!$A$5:$Q$865,Q$3,FALSE)</f>
        <v>0</v>
      </c>
      <c r="R23" s="31">
        <f>VLOOKUP($F23&amp;$G23,Composite!$A$5:$Q$865,R$3,FALSE)*VLOOKUP($C23,[2]!ExistingSat,MATCH($A23,[2]SATS!$C$10:$F$10,0)+1,FALSE)</f>
        <v>0</v>
      </c>
      <c r="S23">
        <f>VLOOKUP($F23&amp;$G23,Composite!$A$5:$Q$865,S$3,FALSE)</f>
        <v>0</v>
      </c>
      <c r="T23" s="31">
        <f>VLOOKUP($F23&amp;$G23,Composite!$A$5:$Q$865,T$3,FALSE)*VLOOKUP($C23,[2]!ExistingSat,MATCH($A23,[2]SATS!$C$10:$F$10,0)+1,FALSE)</f>
        <v>0</v>
      </c>
    </row>
    <row r="24" spans="1:20">
      <c r="A24" t="s">
        <v>25</v>
      </c>
      <c r="B24" t="s">
        <v>227</v>
      </c>
      <c r="C24" t="s">
        <v>28</v>
      </c>
      <c r="D24" t="s">
        <v>61</v>
      </c>
      <c r="E24" t="str">
        <f t="shared" si="0"/>
        <v>Electric FAFHZ2ATTIC R11 - R49</v>
      </c>
      <c r="F24" s="31" t="str">
        <f>Composite!B23</f>
        <v>Single Family Weatherization - Insulate Attic - R11 to R49 - Heating Zone 2 (Electric FAF)</v>
      </c>
      <c r="G24" t="s">
        <v>75</v>
      </c>
      <c r="H24" s="31">
        <f>VLOOKUP($F24&amp;$G24,Composite!$A$5:$Q$865,H$3,FALSE)*VLOOKUP($C24,[2]!ExistingSat,MATCH($A24,[2]SATS!$C$10:$F$10,0)+1,FALSE)</f>
        <v>1078.4624646656475</v>
      </c>
      <c r="I24">
        <f>VLOOKUP($F24&amp;$G24,Composite!$A$5:$Q$865,I$3,FALSE)</f>
        <v>45</v>
      </c>
      <c r="J24" s="31">
        <f>VLOOKUP($F24&amp;$G24,Composite!$A$5:$Q$865,J$3,FALSE)*VLOOKUP($C24,[2]!ExistingSat,MATCH($A24,[2]SATS!$C$10:$F$10,0)+1,FALSE)</f>
        <v>1403.6424108745796</v>
      </c>
      <c r="K24" s="31">
        <f>VLOOKUP($F24&amp;$G24,Composite!$A$5:$Q$865,K$3,FALSE)*VLOOKUP($C24,[2]!ExistingSat,MATCH($A24,[2]SATS!$C$10:$F$10,0)+1,FALSE)</f>
        <v>0</v>
      </c>
      <c r="L24" t="str">
        <f>VLOOKUP($F24&amp;$G24,Composite!$A$5:$Q$865,L$3,FALSE)</f>
        <v>ResSpHtFAFZ2</v>
      </c>
      <c r="M24" s="31">
        <f>VLOOKUP($F24&amp;$G24,Composite!$A$5:$Q$865,M$3,FALSE)*VLOOKUP($C24,[2]!ExistingSat,MATCH($A24,[2]SATS!$C$10:$F$10,0)+1,FALSE)</f>
        <v>5.5788024918784416</v>
      </c>
      <c r="N24" s="31">
        <f>VLOOKUP($F24&amp;$G24,Composite!$A$5:$Q$865,N$3,FALSE)*VLOOKUP($C24,[2]!ExistingSat,MATCH($A24,[2]SATS!$C$10:$F$10,0)+1,FALSE)</f>
        <v>0</v>
      </c>
      <c r="O24">
        <f>VLOOKUP($F24&amp;$G24,Composite!$A$5:$Q$865,O$3,FALSE)</f>
        <v>0</v>
      </c>
      <c r="P24" s="31">
        <f>VLOOKUP($F24&amp;$G24,Composite!$A$5:$Q$865,P$3,FALSE)*VLOOKUP($C24,[2]!ExistingSat,MATCH($A24,[2]SATS!$C$10:$F$10,0)+1,FALSE)</f>
        <v>0</v>
      </c>
      <c r="Q24">
        <f>VLOOKUP($F24&amp;$G24,Composite!$A$5:$Q$865,Q$3,FALSE)</f>
        <v>0</v>
      </c>
      <c r="R24" s="31">
        <f>VLOOKUP($F24&amp;$G24,Composite!$A$5:$Q$865,R$3,FALSE)*VLOOKUP($C24,[2]!ExistingSat,MATCH($A24,[2]SATS!$C$10:$F$10,0)+1,FALSE)</f>
        <v>0</v>
      </c>
      <c r="S24">
        <f>VLOOKUP($F24&amp;$G24,Composite!$A$5:$Q$865,S$3,FALSE)</f>
        <v>0</v>
      </c>
      <c r="T24" s="31">
        <f>VLOOKUP($F24&amp;$G24,Composite!$A$5:$Q$865,T$3,FALSE)*VLOOKUP($C24,[2]!ExistingSat,MATCH($A24,[2]SATS!$C$10:$F$10,0)+1,FALSE)</f>
        <v>0</v>
      </c>
    </row>
    <row r="25" spans="1:20">
      <c r="A25" t="s">
        <v>25</v>
      </c>
      <c r="B25" t="s">
        <v>227</v>
      </c>
      <c r="C25" t="s">
        <v>28</v>
      </c>
      <c r="D25" t="s">
        <v>61</v>
      </c>
      <c r="E25" t="str">
        <f t="shared" si="0"/>
        <v>Electric FAFHZ2ATTIC R19 - R38</v>
      </c>
      <c r="F25" s="31" t="str">
        <f>Composite!B24</f>
        <v>Single Family Weatherization - Insulate Attic - R19 to R38 - Heating Zone 2 (Electric FAF)</v>
      </c>
      <c r="G25" t="s">
        <v>77</v>
      </c>
      <c r="H25" s="31">
        <f>VLOOKUP($F25&amp;$G25,Composite!$A$5:$Q$865,H$3,FALSE)*VLOOKUP($C25,[2]!ExistingSat,MATCH($A25,[2]SATS!$C$10:$F$10,0)+1,FALSE)</f>
        <v>414.81954169515654</v>
      </c>
      <c r="I25">
        <f>VLOOKUP($F25&amp;$G25,Composite!$A$5:$Q$865,I$3,FALSE)</f>
        <v>45</v>
      </c>
      <c r="J25" s="31">
        <f>VLOOKUP($F25&amp;$G25,Composite!$A$5:$Q$865,J$3,FALSE)*VLOOKUP($C25,[2]!ExistingSat,MATCH($A25,[2]SATS!$C$10:$F$10,0)+1,FALSE)</f>
        <v>1059.4157107984217</v>
      </c>
      <c r="K25" s="31">
        <f>VLOOKUP($F25&amp;$G25,Composite!$A$5:$Q$865,K$3,FALSE)*VLOOKUP($C25,[2]!ExistingSat,MATCH($A25,[2]SATS!$C$10:$F$10,0)+1,FALSE)</f>
        <v>0</v>
      </c>
      <c r="L25" t="str">
        <f>VLOOKUP($F25&amp;$G25,Composite!$A$5:$Q$865,L$3,FALSE)</f>
        <v>ResSpHtFAFZ2</v>
      </c>
      <c r="M25" s="31">
        <f>VLOOKUP($F25&amp;$G25,Composite!$A$5:$Q$865,M$3,FALSE)*VLOOKUP($C25,[2]!ExistingSat,MATCH($A25,[2]SATS!$C$10:$F$10,0)+1,FALSE)</f>
        <v>2.2504513959910484</v>
      </c>
      <c r="N25" s="31">
        <f>VLOOKUP($F25&amp;$G25,Composite!$A$5:$Q$865,N$3,FALSE)*VLOOKUP($C25,[2]!ExistingSat,MATCH($A25,[2]SATS!$C$10:$F$10,0)+1,FALSE)</f>
        <v>0</v>
      </c>
      <c r="O25">
        <f>VLOOKUP($F25&amp;$G25,Composite!$A$5:$Q$865,O$3,FALSE)</f>
        <v>0</v>
      </c>
      <c r="P25" s="31">
        <f>VLOOKUP($F25&amp;$G25,Composite!$A$5:$Q$865,P$3,FALSE)*VLOOKUP($C25,[2]!ExistingSat,MATCH($A25,[2]SATS!$C$10:$F$10,0)+1,FALSE)</f>
        <v>0</v>
      </c>
      <c r="Q25">
        <f>VLOOKUP($F25&amp;$G25,Composite!$A$5:$Q$865,Q$3,FALSE)</f>
        <v>0</v>
      </c>
      <c r="R25" s="31">
        <f>VLOOKUP($F25&amp;$G25,Composite!$A$5:$Q$865,R$3,FALSE)*VLOOKUP($C25,[2]!ExistingSat,MATCH($A25,[2]SATS!$C$10:$F$10,0)+1,FALSE)</f>
        <v>0</v>
      </c>
      <c r="S25">
        <f>VLOOKUP($F25&amp;$G25,Composite!$A$5:$Q$865,S$3,FALSE)</f>
        <v>0</v>
      </c>
      <c r="T25" s="31">
        <f>VLOOKUP($F25&amp;$G25,Composite!$A$5:$Q$865,T$3,FALSE)*VLOOKUP($C25,[2]!ExistingSat,MATCH($A25,[2]SATS!$C$10:$F$10,0)+1,FALSE)</f>
        <v>0</v>
      </c>
    </row>
    <row r="26" spans="1:20">
      <c r="A26" t="s">
        <v>25</v>
      </c>
      <c r="B26" t="s">
        <v>227</v>
      </c>
      <c r="C26" t="s">
        <v>28</v>
      </c>
      <c r="D26" t="s">
        <v>61</v>
      </c>
      <c r="E26" t="str">
        <f t="shared" si="0"/>
        <v>Electric FAFHZ2ATTIC R19 - R49</v>
      </c>
      <c r="F26" s="31" t="str">
        <f>Composite!B25</f>
        <v>Single Family Weatherization - Insulate Attic - R19 to R49 - Heating Zone 2 (Electric FAF)</v>
      </c>
      <c r="G26" t="s">
        <v>79</v>
      </c>
      <c r="H26" s="31">
        <f>VLOOKUP($F26&amp;$G26,Composite!$A$5:$Q$865,H$3,FALSE)*VLOOKUP($C26,[2]!ExistingSat,MATCH($A26,[2]SATS!$C$10:$F$10,0)+1,FALSE)</f>
        <v>500.37514921938373</v>
      </c>
      <c r="I26">
        <f>VLOOKUP($F26&amp;$G26,Composite!$A$5:$Q$865,I$3,FALSE)</f>
        <v>45</v>
      </c>
      <c r="J26" s="31">
        <f>VLOOKUP($F26&amp;$G26,Composite!$A$5:$Q$865,J$3,FALSE)*VLOOKUP($C26,[2]!ExistingSat,MATCH($A26,[2]SATS!$C$10:$F$10,0)+1,FALSE)</f>
        <v>1258.7048529477763</v>
      </c>
      <c r="K26" s="31">
        <f>VLOOKUP($F26&amp;$G26,Composite!$A$5:$Q$865,K$3,FALSE)*VLOOKUP($C26,[2]!ExistingSat,MATCH($A26,[2]SATS!$C$10:$F$10,0)+1,FALSE)</f>
        <v>0</v>
      </c>
      <c r="L26" t="str">
        <f>VLOOKUP($F26&amp;$G26,Composite!$A$5:$Q$865,L$3,FALSE)</f>
        <v>ResSpHtFAFZ2</v>
      </c>
      <c r="M26" s="31">
        <f>VLOOKUP($F26&amp;$G26,Composite!$A$5:$Q$865,M$3,FALSE)*VLOOKUP($C26,[2]!ExistingSat,MATCH($A26,[2]SATS!$C$10:$F$10,0)+1,FALSE)</f>
        <v>2.7447976864908665</v>
      </c>
      <c r="N26" s="31">
        <f>VLOOKUP($F26&amp;$G26,Composite!$A$5:$Q$865,N$3,FALSE)*VLOOKUP($C26,[2]!ExistingSat,MATCH($A26,[2]SATS!$C$10:$F$10,0)+1,FALSE)</f>
        <v>0</v>
      </c>
      <c r="O26">
        <f>VLOOKUP($F26&amp;$G26,Composite!$A$5:$Q$865,O$3,FALSE)</f>
        <v>0</v>
      </c>
      <c r="P26" s="31">
        <f>VLOOKUP($F26&amp;$G26,Composite!$A$5:$Q$865,P$3,FALSE)*VLOOKUP($C26,[2]!ExistingSat,MATCH($A26,[2]SATS!$C$10:$F$10,0)+1,FALSE)</f>
        <v>0</v>
      </c>
      <c r="Q26">
        <f>VLOOKUP($F26&amp;$G26,Composite!$A$5:$Q$865,Q$3,FALSE)</f>
        <v>0</v>
      </c>
      <c r="R26" s="31">
        <f>VLOOKUP($F26&amp;$G26,Composite!$A$5:$Q$865,R$3,FALSE)*VLOOKUP($C26,[2]!ExistingSat,MATCH($A26,[2]SATS!$C$10:$F$10,0)+1,FALSE)</f>
        <v>0</v>
      </c>
      <c r="S26">
        <f>VLOOKUP($F26&amp;$G26,Composite!$A$5:$Q$865,S$3,FALSE)</f>
        <v>0</v>
      </c>
      <c r="T26" s="31">
        <f>VLOOKUP($F26&amp;$G26,Composite!$A$5:$Q$865,T$3,FALSE)*VLOOKUP($C26,[2]!ExistingSat,MATCH($A26,[2]SATS!$C$10:$F$10,0)+1,FALSE)</f>
        <v>0</v>
      </c>
    </row>
    <row r="27" spans="1:20">
      <c r="A27" t="s">
        <v>25</v>
      </c>
      <c r="B27" t="s">
        <v>227</v>
      </c>
      <c r="C27" t="s">
        <v>64</v>
      </c>
      <c r="D27" t="s">
        <v>61</v>
      </c>
      <c r="E27" t="str">
        <f t="shared" si="0"/>
        <v>Electric FAFHZ2WALL R0 - R11</v>
      </c>
      <c r="F27" s="31" t="str">
        <f>Composite!B26</f>
        <v>Single Family Weatherization - Insulate Wall - R0 to R11 - Heating Zone 2 (Electric FAF)</v>
      </c>
      <c r="G27" t="s">
        <v>85</v>
      </c>
      <c r="H27" s="31">
        <f>VLOOKUP($F27&amp;$G27,Composite!$A$5:$Q$865,H$3,FALSE)*VLOOKUP($C27,[2]!ExistingSat,MATCH($A27,[2]SATS!$C$10:$F$10,0)+1,FALSE)</f>
        <v>5230.3049582027543</v>
      </c>
      <c r="I27">
        <f>VLOOKUP($F27&amp;$G27,Composite!$A$5:$Q$865,I$3,FALSE)</f>
        <v>45</v>
      </c>
      <c r="J27" s="31">
        <f>VLOOKUP($F27&amp;$G27,Composite!$A$5:$Q$865,J$3,FALSE)*VLOOKUP($C27,[2]!ExistingSat,MATCH($A27,[2]SATS!$C$10:$F$10,0)+1,FALSE)</f>
        <v>2499.2782230652501</v>
      </c>
      <c r="K27" s="31">
        <f>VLOOKUP($F27&amp;$G27,Composite!$A$5:$Q$865,K$3,FALSE)*VLOOKUP($C27,[2]!ExistingSat,MATCH($A27,[2]SATS!$C$10:$F$10,0)+1,FALSE)</f>
        <v>0</v>
      </c>
      <c r="L27" t="str">
        <f>VLOOKUP($F27&amp;$G27,Composite!$A$5:$Q$865,L$3,FALSE)</f>
        <v>ResSpHtFAFZ2</v>
      </c>
      <c r="M27" s="31">
        <f>VLOOKUP($F27&amp;$G27,Composite!$A$5:$Q$865,M$3,FALSE)*VLOOKUP($C27,[2]!ExistingSat,MATCH($A27,[2]SATS!$C$10:$F$10,0)+1,FALSE)</f>
        <v>18.878190958041817</v>
      </c>
      <c r="N27" s="31">
        <f>VLOOKUP($F27&amp;$G27,Composite!$A$5:$Q$865,N$3,FALSE)*VLOOKUP($C27,[2]!ExistingSat,MATCH($A27,[2]SATS!$C$10:$F$10,0)+1,FALSE)</f>
        <v>0</v>
      </c>
      <c r="O27">
        <f>VLOOKUP($F27&amp;$G27,Composite!$A$5:$Q$865,O$3,FALSE)</f>
        <v>0</v>
      </c>
      <c r="P27" s="31">
        <f>VLOOKUP($F27&amp;$G27,Composite!$A$5:$Q$865,P$3,FALSE)*VLOOKUP($C27,[2]!ExistingSat,MATCH($A27,[2]SATS!$C$10:$F$10,0)+1,FALSE)</f>
        <v>0</v>
      </c>
      <c r="Q27">
        <f>VLOOKUP($F27&amp;$G27,Composite!$A$5:$Q$865,Q$3,FALSE)</f>
        <v>0</v>
      </c>
      <c r="R27" s="31">
        <f>VLOOKUP($F27&amp;$G27,Composite!$A$5:$Q$865,R$3,FALSE)*VLOOKUP($C27,[2]!ExistingSat,MATCH($A27,[2]SATS!$C$10:$F$10,0)+1,FALSE)</f>
        <v>0</v>
      </c>
      <c r="S27">
        <f>VLOOKUP($F27&amp;$G27,Composite!$A$5:$Q$865,S$3,FALSE)</f>
        <v>0</v>
      </c>
      <c r="T27" s="31">
        <f>VLOOKUP($F27&amp;$G27,Composite!$A$5:$Q$865,T$3,FALSE)*VLOOKUP($C27,[2]!ExistingSat,MATCH($A27,[2]SATS!$C$10:$F$10,0)+1,FALSE)</f>
        <v>0</v>
      </c>
    </row>
    <row r="28" spans="1:20">
      <c r="A28" t="s">
        <v>25</v>
      </c>
      <c r="B28" t="s">
        <v>227</v>
      </c>
      <c r="C28" t="s">
        <v>26</v>
      </c>
      <c r="D28" t="s">
        <v>61</v>
      </c>
      <c r="E28" t="str">
        <f t="shared" si="0"/>
        <v>Electric FAFHZ2FLOOR R0 - R19</v>
      </c>
      <c r="F28" s="31" t="str">
        <f>Composite!B27</f>
        <v>Single Family Weatherization - Insulate Floor - R0 to R19 - Heating Zone 2 (Electric FAF)</v>
      </c>
      <c r="G28" t="s">
        <v>87</v>
      </c>
      <c r="H28" s="31">
        <f>VLOOKUP($F28&amp;$G28,Composite!$A$5:$Q$865,H$3,FALSE)*VLOOKUP($C28,[2]!ExistingSat,MATCH($A28,[2]SATS!$C$10:$F$10,0)+1,FALSE)</f>
        <v>1827.6521882973966</v>
      </c>
      <c r="I28">
        <f>VLOOKUP($F28&amp;$G28,Composite!$A$5:$Q$865,I$3,FALSE)</f>
        <v>45</v>
      </c>
      <c r="J28" s="31">
        <f>VLOOKUP($F28&amp;$G28,Composite!$A$5:$Q$865,J$3,FALSE)*VLOOKUP($C28,[2]!ExistingSat,MATCH($A28,[2]SATS!$C$10:$F$10,0)+1,FALSE)</f>
        <v>1759.181492270189</v>
      </c>
      <c r="K28" s="31">
        <f>VLOOKUP($F28&amp;$G28,Composite!$A$5:$Q$865,K$3,FALSE)*VLOOKUP($C28,[2]!ExistingSat,MATCH($A28,[2]SATS!$C$10:$F$10,0)+1,FALSE)</f>
        <v>0</v>
      </c>
      <c r="L28" t="str">
        <f>VLOOKUP($F28&amp;$G28,Composite!$A$5:$Q$865,L$3,FALSE)</f>
        <v>ResSpHtFAFZ2</v>
      </c>
      <c r="M28" s="31">
        <f>VLOOKUP($F28&amp;$G28,Composite!$A$5:$Q$865,M$3,FALSE)*VLOOKUP($C28,[2]!ExistingSat,MATCH($A28,[2]SATS!$C$10:$F$10,0)+1,FALSE)</f>
        <v>2.7306484989280553</v>
      </c>
      <c r="N28" s="31">
        <f>VLOOKUP($F28&amp;$G28,Composite!$A$5:$Q$865,N$3,FALSE)*VLOOKUP($C28,[2]!ExistingSat,MATCH($A28,[2]SATS!$C$10:$F$10,0)+1,FALSE)</f>
        <v>0</v>
      </c>
      <c r="O28">
        <f>VLOOKUP($F28&amp;$G28,Composite!$A$5:$Q$865,O$3,FALSE)</f>
        <v>0</v>
      </c>
      <c r="P28" s="31">
        <f>VLOOKUP($F28&amp;$G28,Composite!$A$5:$Q$865,P$3,FALSE)*VLOOKUP($C28,[2]!ExistingSat,MATCH($A28,[2]SATS!$C$10:$F$10,0)+1,FALSE)</f>
        <v>0</v>
      </c>
      <c r="Q28">
        <f>VLOOKUP($F28&amp;$G28,Composite!$A$5:$Q$865,Q$3,FALSE)</f>
        <v>0</v>
      </c>
      <c r="R28" s="31">
        <f>VLOOKUP($F28&amp;$G28,Composite!$A$5:$Q$865,R$3,FALSE)*VLOOKUP($C28,[2]!ExistingSat,MATCH($A28,[2]SATS!$C$10:$F$10,0)+1,FALSE)</f>
        <v>0</v>
      </c>
      <c r="S28">
        <f>VLOOKUP($F28&amp;$G28,Composite!$A$5:$Q$865,S$3,FALSE)</f>
        <v>0</v>
      </c>
      <c r="T28" s="31">
        <f>VLOOKUP($F28&amp;$G28,Composite!$A$5:$Q$865,T$3,FALSE)*VLOOKUP($C28,[2]!ExistingSat,MATCH($A28,[2]SATS!$C$10:$F$10,0)+1,FALSE)</f>
        <v>0</v>
      </c>
    </row>
    <row r="29" spans="1:20">
      <c r="A29" t="s">
        <v>25</v>
      </c>
      <c r="B29" t="s">
        <v>227</v>
      </c>
      <c r="C29" t="s">
        <v>26</v>
      </c>
      <c r="D29" t="s">
        <v>61</v>
      </c>
      <c r="E29" t="str">
        <f t="shared" si="0"/>
        <v>Electric FAFHZ2FLOOR R0 - R25</v>
      </c>
      <c r="F29" s="31" t="str">
        <f>Composite!B28</f>
        <v>Single Family Weatherization - Insulate Floor - R0 to R25 - Heating Zone 2 (Electric FAF)</v>
      </c>
      <c r="G29" t="s">
        <v>89</v>
      </c>
      <c r="H29" s="31">
        <f>VLOOKUP($F29&amp;$G29,Composite!$A$5:$Q$865,H$3,FALSE)*VLOOKUP($C29,[2]!ExistingSat,MATCH($A29,[2]SATS!$C$10:$F$10,0)+1,FALSE)</f>
        <v>1968.5244625629532</v>
      </c>
      <c r="I29">
        <f>VLOOKUP($F29&amp;$G29,Composite!$A$5:$Q$865,I$3,FALSE)</f>
        <v>45</v>
      </c>
      <c r="J29" s="31">
        <f>VLOOKUP($F29&amp;$G29,Composite!$A$5:$Q$865,J$3,FALSE)*VLOOKUP($C29,[2]!ExistingSat,MATCH($A29,[2]SATS!$C$10:$F$10,0)+1,FALSE)</f>
        <v>1826.548108429291</v>
      </c>
      <c r="K29" s="31">
        <f>VLOOKUP($F29&amp;$G29,Composite!$A$5:$Q$865,K$3,FALSE)*VLOOKUP($C29,[2]!ExistingSat,MATCH($A29,[2]SATS!$C$10:$F$10,0)+1,FALSE)</f>
        <v>0</v>
      </c>
      <c r="L29" t="str">
        <f>VLOOKUP($F29&amp;$G29,Composite!$A$5:$Q$865,L$3,FALSE)</f>
        <v>ResSpHtFAFZ2</v>
      </c>
      <c r="M29" s="31">
        <f>VLOOKUP($F29&amp;$G29,Composite!$A$5:$Q$865,M$3,FALSE)*VLOOKUP($C29,[2]!ExistingSat,MATCH($A29,[2]SATS!$C$10:$F$10,0)+1,FALSE)</f>
        <v>3.536611362966589</v>
      </c>
      <c r="N29" s="31">
        <f>VLOOKUP($F29&amp;$G29,Composite!$A$5:$Q$865,N$3,FALSE)*VLOOKUP($C29,[2]!ExistingSat,MATCH($A29,[2]SATS!$C$10:$F$10,0)+1,FALSE)</f>
        <v>0</v>
      </c>
      <c r="O29">
        <f>VLOOKUP($F29&amp;$G29,Composite!$A$5:$Q$865,O$3,FALSE)</f>
        <v>0</v>
      </c>
      <c r="P29" s="31">
        <f>VLOOKUP($F29&amp;$G29,Composite!$A$5:$Q$865,P$3,FALSE)*VLOOKUP($C29,[2]!ExistingSat,MATCH($A29,[2]SATS!$C$10:$F$10,0)+1,FALSE)</f>
        <v>0</v>
      </c>
      <c r="Q29">
        <f>VLOOKUP($F29&amp;$G29,Composite!$A$5:$Q$865,Q$3,FALSE)</f>
        <v>0</v>
      </c>
      <c r="R29" s="31">
        <f>VLOOKUP($F29&amp;$G29,Composite!$A$5:$Q$865,R$3,FALSE)*VLOOKUP($C29,[2]!ExistingSat,MATCH($A29,[2]SATS!$C$10:$F$10,0)+1,FALSE)</f>
        <v>0</v>
      </c>
      <c r="S29">
        <f>VLOOKUP($F29&amp;$G29,Composite!$A$5:$Q$865,S$3,FALSE)</f>
        <v>0</v>
      </c>
      <c r="T29" s="31">
        <f>VLOOKUP($F29&amp;$G29,Composite!$A$5:$Q$865,T$3,FALSE)*VLOOKUP($C29,[2]!ExistingSat,MATCH($A29,[2]SATS!$C$10:$F$10,0)+1,FALSE)</f>
        <v>0</v>
      </c>
    </row>
    <row r="30" spans="1:20">
      <c r="A30" t="s">
        <v>25</v>
      </c>
      <c r="B30" t="s">
        <v>227</v>
      </c>
      <c r="C30" t="s">
        <v>26</v>
      </c>
      <c r="D30" t="s">
        <v>61</v>
      </c>
      <c r="E30" t="str">
        <f t="shared" si="0"/>
        <v>Electric FAFHZ2FLOOR R0 - R30</v>
      </c>
      <c r="F30" s="31" t="str">
        <f>Composite!B29</f>
        <v>Single Family Weatherization - Insulate Floor - R0 to R30 - Heating Zone 2 (Electric FAF)</v>
      </c>
      <c r="G30" t="s">
        <v>91</v>
      </c>
      <c r="H30" s="31">
        <f>VLOOKUP($F30&amp;$G30,Composite!$A$5:$Q$865,H$3,FALSE)*VLOOKUP($C30,[2]!ExistingSat,MATCH($A30,[2]SATS!$C$10:$F$10,0)+1,FALSE)</f>
        <v>2057.0712241558094</v>
      </c>
      <c r="I30">
        <f>VLOOKUP($F30&amp;$G30,Composite!$A$5:$Q$865,I$3,FALSE)</f>
        <v>45</v>
      </c>
      <c r="J30" s="31">
        <f>VLOOKUP($F30&amp;$G30,Composite!$A$5:$Q$865,J$3,FALSE)*VLOOKUP($C30,[2]!ExistingSat,MATCH($A30,[2]SATS!$C$10:$F$10,0)+1,FALSE)</f>
        <v>1882.6869552285434</v>
      </c>
      <c r="K30" s="31">
        <f>VLOOKUP($F30&amp;$G30,Composite!$A$5:$Q$865,K$3,FALSE)*VLOOKUP($C30,[2]!ExistingSat,MATCH($A30,[2]SATS!$C$10:$F$10,0)+1,FALSE)</f>
        <v>0</v>
      </c>
      <c r="L30" t="str">
        <f>VLOOKUP($F30&amp;$G30,Composite!$A$5:$Q$865,L$3,FALSE)</f>
        <v>ResSpHtFAFZ2</v>
      </c>
      <c r="M30" s="31">
        <f>VLOOKUP($F30&amp;$G30,Composite!$A$5:$Q$865,M$3,FALSE)*VLOOKUP($C30,[2]!ExistingSat,MATCH($A30,[2]SATS!$C$10:$F$10,0)+1,FALSE)</f>
        <v>4.0710437334285734</v>
      </c>
      <c r="N30" s="31">
        <f>VLOOKUP($F30&amp;$G30,Composite!$A$5:$Q$865,N$3,FALSE)*VLOOKUP($C30,[2]!ExistingSat,MATCH($A30,[2]SATS!$C$10:$F$10,0)+1,FALSE)</f>
        <v>0</v>
      </c>
      <c r="O30">
        <f>VLOOKUP($F30&amp;$G30,Composite!$A$5:$Q$865,O$3,FALSE)</f>
        <v>0</v>
      </c>
      <c r="P30" s="31">
        <f>VLOOKUP($F30&amp;$G30,Composite!$A$5:$Q$865,P$3,FALSE)*VLOOKUP($C30,[2]!ExistingSat,MATCH($A30,[2]SATS!$C$10:$F$10,0)+1,FALSE)</f>
        <v>0</v>
      </c>
      <c r="Q30">
        <f>VLOOKUP($F30&amp;$G30,Composite!$A$5:$Q$865,Q$3,FALSE)</f>
        <v>0</v>
      </c>
      <c r="R30" s="31">
        <f>VLOOKUP($F30&amp;$G30,Composite!$A$5:$Q$865,R$3,FALSE)*VLOOKUP($C30,[2]!ExistingSat,MATCH($A30,[2]SATS!$C$10:$F$10,0)+1,FALSE)</f>
        <v>0</v>
      </c>
      <c r="S30">
        <f>VLOOKUP($F30&amp;$G30,Composite!$A$5:$Q$865,S$3,FALSE)</f>
        <v>0</v>
      </c>
      <c r="T30" s="31">
        <f>VLOOKUP($F30&amp;$G30,Composite!$A$5:$Q$865,T$3,FALSE)*VLOOKUP($C30,[2]!ExistingSat,MATCH($A30,[2]SATS!$C$10:$F$10,0)+1,FALSE)</f>
        <v>0</v>
      </c>
    </row>
    <row r="31" spans="1:20">
      <c r="A31" t="s">
        <v>25</v>
      </c>
      <c r="B31" t="s">
        <v>227</v>
      </c>
      <c r="C31" t="s">
        <v>27</v>
      </c>
      <c r="D31" t="s">
        <v>61</v>
      </c>
      <c r="E31" t="str">
        <f t="shared" si="0"/>
        <v>Electric FAFHZ2WINDOW CL30 Prime Window Replacement of Single Pane Base</v>
      </c>
      <c r="F31" s="31" t="str">
        <f>Composite!B30</f>
        <v>Windows - Single Pane to Class 30 - Heating Zone 2 (Electric FAF)</v>
      </c>
      <c r="G31" t="s">
        <v>93</v>
      </c>
      <c r="H31" s="31">
        <f>VLOOKUP($F31&amp;$G31,Composite!$A$5:$Q$865,H$3,FALSE)*VLOOKUP($C31,[2]!ExistingSat,MATCH($A31,[2]SATS!$C$10:$F$10,0)+1,FALSE)</f>
        <v>3438.5988623910321</v>
      </c>
      <c r="I31">
        <f>VLOOKUP($F31&amp;$G31,Composite!$A$5:$Q$865,I$3,FALSE)</f>
        <v>45</v>
      </c>
      <c r="J31" s="31">
        <f>VLOOKUP($F31&amp;$G31,Composite!$A$5:$Q$865,J$3,FALSE)*VLOOKUP($C31,[2]!ExistingSat,MATCH($A31,[2]SATS!$C$10:$F$10,0)+1,FALSE)</f>
        <v>3312.4380313472334</v>
      </c>
      <c r="K31" s="31">
        <f>VLOOKUP($F31&amp;$G31,Composite!$A$5:$Q$865,K$3,FALSE)*VLOOKUP($C31,[2]!ExistingSat,MATCH($A31,[2]SATS!$C$10:$F$10,0)+1,FALSE)</f>
        <v>0</v>
      </c>
      <c r="L31" t="str">
        <f>VLOOKUP($F31&amp;$G31,Composite!$A$5:$Q$865,L$3,FALSE)</f>
        <v>ResSpHtFAFZ2</v>
      </c>
      <c r="M31" s="31">
        <f>VLOOKUP($F31&amp;$G31,Composite!$A$5:$Q$865,M$3,FALSE)*VLOOKUP($C31,[2]!ExistingSat,MATCH($A31,[2]SATS!$C$10:$F$10,0)+1,FALSE)</f>
        <v>20.914293306639323</v>
      </c>
      <c r="N31" s="31">
        <f>VLOOKUP($F31&amp;$G31,Composite!$A$5:$Q$865,N$3,FALSE)*VLOOKUP($C31,[2]!ExistingSat,MATCH($A31,[2]SATS!$C$10:$F$10,0)+1,FALSE)</f>
        <v>0</v>
      </c>
      <c r="O31">
        <f>VLOOKUP($F31&amp;$G31,Composite!$A$5:$Q$865,O$3,FALSE)</f>
        <v>0</v>
      </c>
      <c r="P31" s="31">
        <f>VLOOKUP($F31&amp;$G31,Composite!$A$5:$Q$865,P$3,FALSE)*VLOOKUP($C31,[2]!ExistingSat,MATCH($A31,[2]SATS!$C$10:$F$10,0)+1,FALSE)</f>
        <v>0</v>
      </c>
      <c r="Q31">
        <f>VLOOKUP($F31&amp;$G31,Composite!$A$5:$Q$865,Q$3,FALSE)</f>
        <v>0</v>
      </c>
      <c r="R31" s="31">
        <f>VLOOKUP($F31&amp;$G31,Composite!$A$5:$Q$865,R$3,FALSE)*VLOOKUP($C31,[2]!ExistingSat,MATCH($A31,[2]SATS!$C$10:$F$10,0)+1,FALSE)</f>
        <v>0</v>
      </c>
      <c r="S31">
        <f>VLOOKUP($F31&amp;$G31,Composite!$A$5:$Q$865,S$3,FALSE)</f>
        <v>0</v>
      </c>
      <c r="T31" s="31">
        <f>VLOOKUP($F31&amp;$G31,Composite!$A$5:$Q$865,T$3,FALSE)*VLOOKUP($C31,[2]!ExistingSat,MATCH($A31,[2]SATS!$C$10:$F$10,0)+1,FALSE)</f>
        <v>0</v>
      </c>
    </row>
    <row r="32" spans="1:20">
      <c r="A32" t="s">
        <v>25</v>
      </c>
      <c r="B32" t="s">
        <v>227</v>
      </c>
      <c r="C32" t="s">
        <v>27</v>
      </c>
      <c r="D32" t="s">
        <v>61</v>
      </c>
      <c r="E32" t="str">
        <f t="shared" si="0"/>
        <v>Electric FAFHZ2WINDOW CL30 Prime Window Replacement of Double Pane Base</v>
      </c>
      <c r="F32" s="31" t="str">
        <f>Composite!B31</f>
        <v>Windows - Double Pane to Class 30 - Heating Zone 2 (Electric FAF)</v>
      </c>
      <c r="G32" t="s">
        <v>95</v>
      </c>
      <c r="H32" s="31">
        <f>VLOOKUP($F32&amp;$G32,Composite!$A$5:$Q$865,H$3,FALSE)*VLOOKUP($C32,[2]!ExistingSat,MATCH($A32,[2]SATS!$C$10:$F$10,0)+1,FALSE)</f>
        <v>1324.7820559160803</v>
      </c>
      <c r="I32">
        <f>VLOOKUP($F32&amp;$G32,Composite!$A$5:$Q$865,I$3,FALSE)</f>
        <v>45</v>
      </c>
      <c r="J32" s="31">
        <f>VLOOKUP($F32&amp;$G32,Composite!$A$5:$Q$865,J$3,FALSE)*VLOOKUP($C32,[2]!ExistingSat,MATCH($A32,[2]SATS!$C$10:$F$10,0)+1,FALSE)</f>
        <v>3312.4380313472334</v>
      </c>
      <c r="K32" s="31">
        <f>VLOOKUP($F32&amp;$G32,Composite!$A$5:$Q$865,K$3,FALSE)*VLOOKUP($C32,[2]!ExistingSat,MATCH($A32,[2]SATS!$C$10:$F$10,0)+1,FALSE)</f>
        <v>0</v>
      </c>
      <c r="L32" t="str">
        <f>VLOOKUP($F32&amp;$G32,Composite!$A$5:$Q$865,L$3,FALSE)</f>
        <v>ResSpHtFAFZ2</v>
      </c>
      <c r="M32" s="31">
        <f>VLOOKUP($F32&amp;$G32,Composite!$A$5:$Q$865,M$3,FALSE)*VLOOKUP($C32,[2]!ExistingSat,MATCH($A32,[2]SATS!$C$10:$F$10,0)+1,FALSE)</f>
        <v>7.3786615029579483</v>
      </c>
      <c r="N32" s="31">
        <f>VLOOKUP($F32&amp;$G32,Composite!$A$5:$Q$865,N$3,FALSE)*VLOOKUP($C32,[2]!ExistingSat,MATCH($A32,[2]SATS!$C$10:$F$10,0)+1,FALSE)</f>
        <v>0</v>
      </c>
      <c r="O32">
        <f>VLOOKUP($F32&amp;$G32,Composite!$A$5:$Q$865,O$3,FALSE)</f>
        <v>0</v>
      </c>
      <c r="P32" s="31">
        <f>VLOOKUP($F32&amp;$G32,Composite!$A$5:$Q$865,P$3,FALSE)*VLOOKUP($C32,[2]!ExistingSat,MATCH($A32,[2]SATS!$C$10:$F$10,0)+1,FALSE)</f>
        <v>0</v>
      </c>
      <c r="Q32">
        <f>VLOOKUP($F32&amp;$G32,Composite!$A$5:$Q$865,Q$3,FALSE)</f>
        <v>0</v>
      </c>
      <c r="R32" s="31">
        <f>VLOOKUP($F32&amp;$G32,Composite!$A$5:$Q$865,R$3,FALSE)*VLOOKUP($C32,[2]!ExistingSat,MATCH($A32,[2]SATS!$C$10:$F$10,0)+1,FALSE)</f>
        <v>0</v>
      </c>
      <c r="S32">
        <f>VLOOKUP($F32&amp;$G32,Composite!$A$5:$Q$865,S$3,FALSE)</f>
        <v>0</v>
      </c>
      <c r="T32" s="31">
        <f>VLOOKUP($F32&amp;$G32,Composite!$A$5:$Q$865,T$3,FALSE)*VLOOKUP($C32,[2]!ExistingSat,MATCH($A32,[2]SATS!$C$10:$F$10,0)+1,FALSE)</f>
        <v>0</v>
      </c>
    </row>
    <row r="33" spans="1:20">
      <c r="A33" t="s">
        <v>25</v>
      </c>
      <c r="B33" t="s">
        <v>227</v>
      </c>
      <c r="C33" t="s">
        <v>27</v>
      </c>
      <c r="D33" t="s">
        <v>61</v>
      </c>
      <c r="E33" t="str">
        <f t="shared" si="0"/>
        <v>Electric FAFHZ2WINDOW CL22 Prime Window Replacement of Single Pane Base</v>
      </c>
      <c r="F33" s="31" t="str">
        <f>Composite!B32</f>
        <v>Windows - Single Pane to Class 22 - Heating Zone 2 (Electric FAF)</v>
      </c>
      <c r="G33" t="s">
        <v>99</v>
      </c>
      <c r="H33" s="31">
        <f>VLOOKUP($F33&amp;$G33,Composite!$A$5:$Q$865,H$3,FALSE)*VLOOKUP($C33,[2]!ExistingSat,MATCH($A33,[2]SATS!$C$10:$F$10,0)+1,FALSE)</f>
        <v>3754.2516783338892</v>
      </c>
      <c r="I33">
        <f>VLOOKUP($F33&amp;$G33,Composite!$A$5:$Q$865,I$3,FALSE)</f>
        <v>45</v>
      </c>
      <c r="J33" s="31">
        <f>VLOOKUP($F33&amp;$G33,Composite!$A$5:$Q$865,J$3,FALSE)*VLOOKUP($C33,[2]!ExistingSat,MATCH($A33,[2]SATS!$C$10:$F$10,0)+1,FALSE)</f>
        <v>3901.0698543939693</v>
      </c>
      <c r="K33" s="31">
        <f>VLOOKUP($F33&amp;$G33,Composite!$A$5:$Q$865,K$3,FALSE)*VLOOKUP($C33,[2]!ExistingSat,MATCH($A33,[2]SATS!$C$10:$F$10,0)+1,FALSE)</f>
        <v>0</v>
      </c>
      <c r="L33" t="str">
        <f>VLOOKUP($F33&amp;$G33,Composite!$A$5:$Q$865,L$3,FALSE)</f>
        <v>ResSpHtFAFZ2</v>
      </c>
      <c r="M33" s="31">
        <f>VLOOKUP($F33&amp;$G33,Composite!$A$5:$Q$865,M$3,FALSE)*VLOOKUP($C33,[2]!ExistingSat,MATCH($A33,[2]SATS!$C$10:$F$10,0)+1,FALSE)</f>
        <v>23.295953955966077</v>
      </c>
      <c r="N33" s="31">
        <f>VLOOKUP($F33&amp;$G33,Composite!$A$5:$Q$865,N$3,FALSE)*VLOOKUP($C33,[2]!ExistingSat,MATCH($A33,[2]SATS!$C$10:$F$10,0)+1,FALSE)</f>
        <v>0</v>
      </c>
      <c r="O33">
        <f>VLOOKUP($F33&amp;$G33,Composite!$A$5:$Q$865,O$3,FALSE)</f>
        <v>0</v>
      </c>
      <c r="P33" s="31">
        <f>VLOOKUP($F33&amp;$G33,Composite!$A$5:$Q$865,P$3,FALSE)*VLOOKUP($C33,[2]!ExistingSat,MATCH($A33,[2]SATS!$C$10:$F$10,0)+1,FALSE)</f>
        <v>0</v>
      </c>
      <c r="Q33">
        <f>VLOOKUP($F33&amp;$G33,Composite!$A$5:$Q$865,Q$3,FALSE)</f>
        <v>0</v>
      </c>
      <c r="R33" s="31">
        <f>VLOOKUP($F33&amp;$G33,Composite!$A$5:$Q$865,R$3,FALSE)*VLOOKUP($C33,[2]!ExistingSat,MATCH($A33,[2]SATS!$C$10:$F$10,0)+1,FALSE)</f>
        <v>0</v>
      </c>
      <c r="S33">
        <f>VLOOKUP($F33&amp;$G33,Composite!$A$5:$Q$865,S$3,FALSE)</f>
        <v>0</v>
      </c>
      <c r="T33" s="31">
        <f>VLOOKUP($F33&amp;$G33,Composite!$A$5:$Q$865,T$3,FALSE)*VLOOKUP($C33,[2]!ExistingSat,MATCH($A33,[2]SATS!$C$10:$F$10,0)+1,FALSE)</f>
        <v>0</v>
      </c>
    </row>
    <row r="34" spans="1:20">
      <c r="A34" t="s">
        <v>25</v>
      </c>
      <c r="B34" t="s">
        <v>227</v>
      </c>
      <c r="C34" t="s">
        <v>27</v>
      </c>
      <c r="D34" t="s">
        <v>61</v>
      </c>
      <c r="E34" t="str">
        <f t="shared" si="0"/>
        <v>Electric FAFHZ2WINDOW CL22 Prime Window Replacement of Double Pane Base</v>
      </c>
      <c r="F34" s="31" t="str">
        <f>Composite!B33</f>
        <v>Windows - Double Pane to Class 22 - Heating Zone 2 (Electric FAF)</v>
      </c>
      <c r="G34" t="s">
        <v>101</v>
      </c>
      <c r="H34" s="31">
        <f>VLOOKUP($F34&amp;$G34,Composite!$A$5:$Q$865,H$3,FALSE)*VLOOKUP($C34,[2]!ExistingSat,MATCH($A34,[2]SATS!$C$10:$F$10,0)+1,FALSE)</f>
        <v>1548.0863793329565</v>
      </c>
      <c r="I34">
        <f>VLOOKUP($F34&amp;$G34,Composite!$A$5:$Q$865,I$3,FALSE)</f>
        <v>45</v>
      </c>
      <c r="J34" s="31">
        <f>VLOOKUP($F34&amp;$G34,Composite!$A$5:$Q$865,J$3,FALSE)*VLOOKUP($C34,[2]!ExistingSat,MATCH($A34,[2]SATS!$C$10:$F$10,0)+1,FALSE)</f>
        <v>3901.0698543939693</v>
      </c>
      <c r="K34" s="31">
        <f>VLOOKUP($F34&amp;$G34,Composite!$A$5:$Q$865,K$3,FALSE)*VLOOKUP($C34,[2]!ExistingSat,MATCH($A34,[2]SATS!$C$10:$F$10,0)+1,FALSE)</f>
        <v>0</v>
      </c>
      <c r="L34" t="str">
        <f>VLOOKUP($F34&amp;$G34,Composite!$A$5:$Q$865,L$3,FALSE)</f>
        <v>ResSpHtFAFZ2</v>
      </c>
      <c r="M34" s="31">
        <f>VLOOKUP($F34&amp;$G34,Composite!$A$5:$Q$865,M$3,FALSE)*VLOOKUP($C34,[2]!ExistingSat,MATCH($A34,[2]SATS!$C$10:$F$10,0)+1,FALSE)</f>
        <v>8.9127243911688936</v>
      </c>
      <c r="N34" s="31">
        <f>VLOOKUP($F34&amp;$G34,Composite!$A$5:$Q$865,N$3,FALSE)*VLOOKUP($C34,[2]!ExistingSat,MATCH($A34,[2]SATS!$C$10:$F$10,0)+1,FALSE)</f>
        <v>0</v>
      </c>
      <c r="O34">
        <f>VLOOKUP($F34&amp;$G34,Composite!$A$5:$Q$865,O$3,FALSE)</f>
        <v>0</v>
      </c>
      <c r="P34" s="31">
        <f>VLOOKUP($F34&amp;$G34,Composite!$A$5:$Q$865,P$3,FALSE)*VLOOKUP($C34,[2]!ExistingSat,MATCH($A34,[2]SATS!$C$10:$F$10,0)+1,FALSE)</f>
        <v>0</v>
      </c>
      <c r="Q34">
        <f>VLOOKUP($F34&amp;$G34,Composite!$A$5:$Q$865,Q$3,FALSE)</f>
        <v>0</v>
      </c>
      <c r="R34" s="31">
        <f>VLOOKUP($F34&amp;$G34,Composite!$A$5:$Q$865,R$3,FALSE)*VLOOKUP($C34,[2]!ExistingSat,MATCH($A34,[2]SATS!$C$10:$F$10,0)+1,FALSE)</f>
        <v>0</v>
      </c>
      <c r="S34">
        <f>VLOOKUP($F34&amp;$G34,Composite!$A$5:$Q$865,S$3,FALSE)</f>
        <v>0</v>
      </c>
      <c r="T34" s="31">
        <f>VLOOKUP($F34&amp;$G34,Composite!$A$5:$Q$865,T$3,FALSE)*VLOOKUP($C34,[2]!ExistingSat,MATCH($A34,[2]SATS!$C$10:$F$10,0)+1,FALSE)</f>
        <v>0</v>
      </c>
    </row>
    <row r="35" spans="1:20">
      <c r="A35" t="s">
        <v>25</v>
      </c>
      <c r="B35" t="s">
        <v>227</v>
      </c>
      <c r="C35" t="s">
        <v>66</v>
      </c>
      <c r="D35" t="s">
        <v>61</v>
      </c>
      <c r="E35" t="str">
        <f t="shared" si="0"/>
        <v>Electric FAFHZ2CFM50 Infiltration Reduction</v>
      </c>
      <c r="F35" s="31" t="str">
        <f>Composite!B34</f>
        <v>Infiltration Reduction - CFM50 reduction - Heating Zone 2 (Electric FAF)</v>
      </c>
      <c r="G35" s="305" t="s">
        <v>1362</v>
      </c>
      <c r="H35" s="31">
        <f>VLOOKUP($F35&amp;$G35,Composite!$A$5:$Q$865,H$3,FALSE)*VLOOKUP($C35,[2]!ExistingSat,MATCH($A35,[2]SATS!$C$10:$F$10,0)+1,FALSE)</f>
        <v>1370.9984527277286</v>
      </c>
      <c r="I35">
        <f>VLOOKUP($F35&amp;$G35,Composite!$A$5:$Q$865,I$3,FALSE)</f>
        <v>15</v>
      </c>
      <c r="J35" s="31">
        <f>VLOOKUP($F35&amp;$G35,Composite!$A$5:$Q$865,J$3,FALSE)*VLOOKUP($C35,[2]!ExistingSat,MATCH($A35,[2]SATS!$C$10:$F$10,0)+1,FALSE)</f>
        <v>1325.3999218794588</v>
      </c>
      <c r="K35" s="31">
        <f>VLOOKUP($F35&amp;$G35,Composite!$A$5:$Q$865,K$3,FALSE)*VLOOKUP($C35,[2]!ExistingSat,MATCH($A35,[2]SATS!$C$10:$F$10,0)+1,FALSE)</f>
        <v>0</v>
      </c>
      <c r="L35" t="str">
        <f>VLOOKUP($F35&amp;$G35,Composite!$A$5:$Q$865,L$3,FALSE)</f>
        <v>ResSpHtFAFZ2</v>
      </c>
      <c r="M35" s="31">
        <f>VLOOKUP($F35&amp;$G35,Composite!$A$5:$Q$865,M$3,FALSE)*VLOOKUP($C35,[2]!ExistingSat,MATCH($A35,[2]SATS!$C$10:$F$10,0)+1,FALSE)</f>
        <v>8.3860789021279487</v>
      </c>
      <c r="N35" s="31">
        <f>VLOOKUP($F35&amp;$G35,Composite!$A$5:$Q$865,N$3,FALSE)*VLOOKUP($C35,[2]!ExistingSat,MATCH($A35,[2]SATS!$C$10:$F$10,0)+1,FALSE)</f>
        <v>0</v>
      </c>
      <c r="O35">
        <f>VLOOKUP($F35&amp;$G35,Composite!$A$5:$Q$865,O$3,FALSE)</f>
        <v>0</v>
      </c>
      <c r="P35" s="31">
        <f>VLOOKUP($F35&amp;$G35,Composite!$A$5:$Q$865,P$3,FALSE)*VLOOKUP($C35,[2]!ExistingSat,MATCH($A35,[2]SATS!$C$10:$F$10,0)+1,FALSE)</f>
        <v>0</v>
      </c>
      <c r="Q35">
        <f>VLOOKUP($F35&amp;$G35,Composite!$A$5:$Q$865,Q$3,FALSE)</f>
        <v>0</v>
      </c>
      <c r="R35" s="31">
        <f>VLOOKUP($F35&amp;$G35,Composite!$A$5:$Q$865,R$3,FALSE)*VLOOKUP($C35,[2]!ExistingSat,MATCH($A35,[2]SATS!$C$10:$F$10,0)+1,FALSE)</f>
        <v>0</v>
      </c>
      <c r="S35">
        <f>VLOOKUP($F35&amp;$G35,Composite!$A$5:$Q$865,S$3,FALSE)</f>
        <v>0</v>
      </c>
      <c r="T35" s="31">
        <f>VLOOKUP($F35&amp;$G35,Composite!$A$5:$Q$865,T$3,FALSE)*VLOOKUP($C35,[2]!ExistingSat,MATCH($A35,[2]SATS!$C$10:$F$10,0)+1,FALSE)</f>
        <v>0</v>
      </c>
    </row>
    <row r="36" spans="1:20">
      <c r="A36" t="s">
        <v>25</v>
      </c>
      <c r="B36" t="s">
        <v>227</v>
      </c>
      <c r="C36" t="s">
        <v>28</v>
      </c>
      <c r="D36" t="s">
        <v>62</v>
      </c>
      <c r="E36" t="str">
        <f t="shared" si="0"/>
        <v>Electric FAFHZ3ATTIC R0 - R38</v>
      </c>
      <c r="F36" s="31" t="str">
        <f>Composite!B35</f>
        <v>Single Family Weatherization - Insulate Attic - R0 to R38 - Heating Zone 3 (Electric FAF)</v>
      </c>
      <c r="G36" t="s">
        <v>68</v>
      </c>
      <c r="H36" s="31">
        <f>VLOOKUP($F36&amp;$G36,Composite!$A$5:$Q$865,H$3,FALSE)*VLOOKUP($C36,[2]!ExistingSat,MATCH($A36,[2]SATS!$C$10:$F$10,0)+1,FALSE)</f>
        <v>6345.9594132791144</v>
      </c>
      <c r="I36">
        <f>VLOOKUP($F36&amp;$G36,Composite!$A$5:$Q$865,I$3,FALSE)</f>
        <v>45</v>
      </c>
      <c r="J36" s="31">
        <f>VLOOKUP($F36&amp;$G36,Composite!$A$5:$Q$865,J$3,FALSE)*VLOOKUP($C36,[2]!ExistingSat,MATCH($A36,[2]SATS!$C$10:$F$10,0)+1,FALSE)</f>
        <v>1403.6424108745796</v>
      </c>
      <c r="K36" s="31">
        <f>VLOOKUP($F36&amp;$G36,Composite!$A$5:$Q$865,K$3,FALSE)*VLOOKUP($C36,[2]!ExistingSat,MATCH($A36,[2]SATS!$C$10:$F$10,0)+1,FALSE)</f>
        <v>0</v>
      </c>
      <c r="L36" t="str">
        <f>VLOOKUP($F36&amp;$G36,Composite!$A$5:$Q$865,L$3,FALSE)</f>
        <v>ResSpHtFAFZ3</v>
      </c>
      <c r="M36" s="31">
        <f>VLOOKUP($F36&amp;$G36,Composite!$A$5:$Q$865,M$3,FALSE)*VLOOKUP($C36,[2]!ExistingSat,MATCH($A36,[2]SATS!$C$10:$F$10,0)+1,FALSE)</f>
        <v>24.376792293197614</v>
      </c>
      <c r="N36" s="31">
        <f>VLOOKUP($F36&amp;$G36,Composite!$A$5:$Q$865,N$3,FALSE)*VLOOKUP($C36,[2]!ExistingSat,MATCH($A36,[2]SATS!$C$10:$F$10,0)+1,FALSE)</f>
        <v>0</v>
      </c>
      <c r="O36">
        <f>VLOOKUP($F36&amp;$G36,Composite!$A$5:$Q$865,O$3,FALSE)</f>
        <v>0</v>
      </c>
      <c r="P36" s="31">
        <f>VLOOKUP($F36&amp;$G36,Composite!$A$5:$Q$865,P$3,FALSE)*VLOOKUP($C36,[2]!ExistingSat,MATCH($A36,[2]SATS!$C$10:$F$10,0)+1,FALSE)</f>
        <v>0</v>
      </c>
      <c r="Q36">
        <f>VLOOKUP($F36&amp;$G36,Composite!$A$5:$Q$865,Q$3,FALSE)</f>
        <v>0</v>
      </c>
      <c r="R36" s="31">
        <f>VLOOKUP($F36&amp;$G36,Composite!$A$5:$Q$865,R$3,FALSE)*VLOOKUP($C36,[2]!ExistingSat,MATCH($A36,[2]SATS!$C$10:$F$10,0)+1,FALSE)</f>
        <v>0</v>
      </c>
      <c r="S36">
        <f>VLOOKUP($F36&amp;$G36,Composite!$A$5:$Q$865,S$3,FALSE)</f>
        <v>0</v>
      </c>
      <c r="T36" s="31">
        <f>VLOOKUP($F36&amp;$G36,Composite!$A$5:$Q$865,T$3,FALSE)*VLOOKUP($C36,[2]!ExistingSat,MATCH($A36,[2]SATS!$C$10:$F$10,0)+1,FALSE)</f>
        <v>0</v>
      </c>
    </row>
    <row r="37" spans="1:20">
      <c r="A37" t="s">
        <v>25</v>
      </c>
      <c r="B37" t="s">
        <v>227</v>
      </c>
      <c r="C37" t="s">
        <v>28</v>
      </c>
      <c r="D37" t="s">
        <v>62</v>
      </c>
      <c r="E37" t="str">
        <f t="shared" si="0"/>
        <v>Electric FAFHZ3ATTIC R0 - R49</v>
      </c>
      <c r="F37" s="31" t="str">
        <f>Composite!B36</f>
        <v>Single Family Weatherization - Insulate Attic - R0 to R49 - Heating Zone 3 (Electric FAF)</v>
      </c>
      <c r="G37" t="s">
        <v>71</v>
      </c>
      <c r="H37" s="31">
        <f>VLOOKUP($F37&amp;$G37,Composite!$A$5:$Q$865,H$3,FALSE)*VLOOKUP($C37,[2]!ExistingSat,MATCH($A37,[2]SATS!$C$10:$F$10,0)+1,FALSE)</f>
        <v>6441.6752559760143</v>
      </c>
      <c r="I37">
        <f>VLOOKUP($F37&amp;$G37,Composite!$A$5:$Q$865,I$3,FALSE)</f>
        <v>45</v>
      </c>
      <c r="J37" s="31">
        <f>VLOOKUP($F37&amp;$G37,Composite!$A$5:$Q$865,J$3,FALSE)*VLOOKUP($C37,[2]!ExistingSat,MATCH($A37,[2]SATS!$C$10:$F$10,0)+1,FALSE)</f>
        <v>1602.9315530239337</v>
      </c>
      <c r="K37" s="31">
        <f>VLOOKUP($F37&amp;$G37,Composite!$A$5:$Q$865,K$3,FALSE)*VLOOKUP($C37,[2]!ExistingSat,MATCH($A37,[2]SATS!$C$10:$F$10,0)+1,FALSE)</f>
        <v>0</v>
      </c>
      <c r="L37" t="str">
        <f>VLOOKUP($F37&amp;$G37,Composite!$A$5:$Q$865,L$3,FALSE)</f>
        <v>ResSpHtFAFZ3</v>
      </c>
      <c r="M37" s="31">
        <f>VLOOKUP($F37&amp;$G37,Composite!$A$5:$Q$865,M$3,FALSE)*VLOOKUP($C37,[2]!ExistingSat,MATCH($A37,[2]SATS!$C$10:$F$10,0)+1,FALSE)</f>
        <v>24.798426455642041</v>
      </c>
      <c r="N37" s="31">
        <f>VLOOKUP($F37&amp;$G37,Composite!$A$5:$Q$865,N$3,FALSE)*VLOOKUP($C37,[2]!ExistingSat,MATCH($A37,[2]SATS!$C$10:$F$10,0)+1,FALSE)</f>
        <v>0</v>
      </c>
      <c r="O37">
        <f>VLOOKUP($F37&amp;$G37,Composite!$A$5:$Q$865,O$3,FALSE)</f>
        <v>0</v>
      </c>
      <c r="P37" s="31">
        <f>VLOOKUP($F37&amp;$G37,Composite!$A$5:$Q$865,P$3,FALSE)*VLOOKUP($C37,[2]!ExistingSat,MATCH($A37,[2]SATS!$C$10:$F$10,0)+1,FALSE)</f>
        <v>0</v>
      </c>
      <c r="Q37">
        <f>VLOOKUP($F37&amp;$G37,Composite!$A$5:$Q$865,Q$3,FALSE)</f>
        <v>0</v>
      </c>
      <c r="R37" s="31">
        <f>VLOOKUP($F37&amp;$G37,Composite!$A$5:$Q$865,R$3,FALSE)*VLOOKUP($C37,[2]!ExistingSat,MATCH($A37,[2]SATS!$C$10:$F$10,0)+1,FALSE)</f>
        <v>0</v>
      </c>
      <c r="S37">
        <f>VLOOKUP($F37&amp;$G37,Composite!$A$5:$Q$865,S$3,FALSE)</f>
        <v>0</v>
      </c>
      <c r="T37" s="31">
        <f>VLOOKUP($F37&amp;$G37,Composite!$A$5:$Q$865,T$3,FALSE)*VLOOKUP($C37,[2]!ExistingSat,MATCH($A37,[2]SATS!$C$10:$F$10,0)+1,FALSE)</f>
        <v>0</v>
      </c>
    </row>
    <row r="38" spans="1:20">
      <c r="A38" t="s">
        <v>25</v>
      </c>
      <c r="B38" t="s">
        <v>227</v>
      </c>
      <c r="C38" t="s">
        <v>28</v>
      </c>
      <c r="D38" t="s">
        <v>62</v>
      </c>
      <c r="E38" t="str">
        <f t="shared" si="0"/>
        <v>Electric FAFHZ3ATTIC R11 - R38</v>
      </c>
      <c r="F38" s="31" t="str">
        <f>Composite!B37</f>
        <v>Single Family Weatherization - Insulate Attic - R11 to R38 - Heating Zone 3 (Electric FAF)</v>
      </c>
      <c r="G38" t="s">
        <v>73</v>
      </c>
      <c r="H38" s="31">
        <f>VLOOKUP($F38&amp;$G38,Composite!$A$5:$Q$865,H$3,FALSE)*VLOOKUP($C38,[2]!ExistingSat,MATCH($A38,[2]SATS!$C$10:$F$10,0)+1,FALSE)</f>
        <v>1011.423085232438</v>
      </c>
      <c r="I38">
        <f>VLOOKUP($F38&amp;$G38,Composite!$A$5:$Q$865,I$3,FALSE)</f>
        <v>45</v>
      </c>
      <c r="J38" s="31">
        <f>VLOOKUP($F38&amp;$G38,Composite!$A$5:$Q$865,J$3,FALSE)*VLOOKUP($C38,[2]!ExistingSat,MATCH($A38,[2]SATS!$C$10:$F$10,0)+1,FALSE)</f>
        <v>1204.353268725225</v>
      </c>
      <c r="K38" s="31">
        <f>VLOOKUP($F38&amp;$G38,Composite!$A$5:$Q$865,K$3,FALSE)*VLOOKUP($C38,[2]!ExistingSat,MATCH($A38,[2]SATS!$C$10:$F$10,0)+1,FALSE)</f>
        <v>0</v>
      </c>
      <c r="L38" t="str">
        <f>VLOOKUP($F38&amp;$G38,Composite!$A$5:$Q$865,L$3,FALSE)</f>
        <v>ResSpHtFAFZ3</v>
      </c>
      <c r="M38" s="31">
        <f>VLOOKUP($F38&amp;$G38,Composite!$A$5:$Q$865,M$3,FALSE)*VLOOKUP($C38,[2]!ExistingSat,MATCH($A38,[2]SATS!$C$10:$F$10,0)+1,FALSE)</f>
        <v>4.1908323656363704</v>
      </c>
      <c r="N38" s="31">
        <f>VLOOKUP($F38&amp;$G38,Composite!$A$5:$Q$865,N$3,FALSE)*VLOOKUP($C38,[2]!ExistingSat,MATCH($A38,[2]SATS!$C$10:$F$10,0)+1,FALSE)</f>
        <v>0</v>
      </c>
      <c r="O38">
        <f>VLOOKUP($F38&amp;$G38,Composite!$A$5:$Q$865,O$3,FALSE)</f>
        <v>0</v>
      </c>
      <c r="P38" s="31">
        <f>VLOOKUP($F38&amp;$G38,Composite!$A$5:$Q$865,P$3,FALSE)*VLOOKUP($C38,[2]!ExistingSat,MATCH($A38,[2]SATS!$C$10:$F$10,0)+1,FALSE)</f>
        <v>0</v>
      </c>
      <c r="Q38">
        <f>VLOOKUP($F38&amp;$G38,Composite!$A$5:$Q$865,Q$3,FALSE)</f>
        <v>0</v>
      </c>
      <c r="R38" s="31">
        <f>VLOOKUP($F38&amp;$G38,Composite!$A$5:$Q$865,R$3,FALSE)*VLOOKUP($C38,[2]!ExistingSat,MATCH($A38,[2]SATS!$C$10:$F$10,0)+1,FALSE)</f>
        <v>0</v>
      </c>
      <c r="S38">
        <f>VLOOKUP($F38&amp;$G38,Composite!$A$5:$Q$865,S$3,FALSE)</f>
        <v>0</v>
      </c>
      <c r="T38" s="31">
        <f>VLOOKUP($F38&amp;$G38,Composite!$A$5:$Q$865,T$3,FALSE)*VLOOKUP($C38,[2]!ExistingSat,MATCH($A38,[2]SATS!$C$10:$F$10,0)+1,FALSE)</f>
        <v>0</v>
      </c>
    </row>
    <row r="39" spans="1:20">
      <c r="A39" t="s">
        <v>25</v>
      </c>
      <c r="B39" t="s">
        <v>227</v>
      </c>
      <c r="C39" t="s">
        <v>28</v>
      </c>
      <c r="D39" t="s">
        <v>62</v>
      </c>
      <c r="E39" t="str">
        <f t="shared" si="0"/>
        <v>Electric FAFHZ3ATTIC R11 - R49</v>
      </c>
      <c r="F39" s="31" t="str">
        <f>Composite!B38</f>
        <v>Single Family Weatherization - Insulate Attic - R11 to R49 - Heating Zone 3 (Electric FAF)</v>
      </c>
      <c r="G39" t="s">
        <v>75</v>
      </c>
      <c r="H39" s="31">
        <f>VLOOKUP($F39&amp;$G39,Composite!$A$5:$Q$865,H$3,FALSE)*VLOOKUP($C39,[2]!ExistingSat,MATCH($A39,[2]SATS!$C$10:$F$10,0)+1,FALSE)</f>
        <v>1098.3584608182412</v>
      </c>
      <c r="I39">
        <f>VLOOKUP($F39&amp;$G39,Composite!$A$5:$Q$865,I$3,FALSE)</f>
        <v>45</v>
      </c>
      <c r="J39" s="31">
        <f>VLOOKUP($F39&amp;$G39,Composite!$A$5:$Q$865,J$3,FALSE)*VLOOKUP($C39,[2]!ExistingSat,MATCH($A39,[2]SATS!$C$10:$F$10,0)+1,FALSE)</f>
        <v>1403.6424108745796</v>
      </c>
      <c r="K39" s="31">
        <f>VLOOKUP($F39&amp;$G39,Composite!$A$5:$Q$865,K$3,FALSE)*VLOOKUP($C39,[2]!ExistingSat,MATCH($A39,[2]SATS!$C$10:$F$10,0)+1,FALSE)</f>
        <v>0</v>
      </c>
      <c r="L39" t="str">
        <f>VLOOKUP($F39&amp;$G39,Composite!$A$5:$Q$865,L$3,FALSE)</f>
        <v>ResSpHtFAFZ3</v>
      </c>
      <c r="M39" s="31">
        <f>VLOOKUP($F39&amp;$G39,Composite!$A$5:$Q$865,M$3,FALSE)*VLOOKUP($C39,[2]!ExistingSat,MATCH($A39,[2]SATS!$C$10:$F$10,0)+1,FALSE)</f>
        <v>4.6182885175755919</v>
      </c>
      <c r="N39" s="31">
        <f>VLOOKUP($F39&amp;$G39,Composite!$A$5:$Q$865,N$3,FALSE)*VLOOKUP($C39,[2]!ExistingSat,MATCH($A39,[2]SATS!$C$10:$F$10,0)+1,FALSE)</f>
        <v>0</v>
      </c>
      <c r="O39">
        <f>VLOOKUP($F39&amp;$G39,Composite!$A$5:$Q$865,O$3,FALSE)</f>
        <v>0</v>
      </c>
      <c r="P39" s="31">
        <f>VLOOKUP($F39&amp;$G39,Composite!$A$5:$Q$865,P$3,FALSE)*VLOOKUP($C39,[2]!ExistingSat,MATCH($A39,[2]SATS!$C$10:$F$10,0)+1,FALSE)</f>
        <v>0</v>
      </c>
      <c r="Q39">
        <f>VLOOKUP($F39&amp;$G39,Composite!$A$5:$Q$865,Q$3,FALSE)</f>
        <v>0</v>
      </c>
      <c r="R39" s="31">
        <f>VLOOKUP($F39&amp;$G39,Composite!$A$5:$Q$865,R$3,FALSE)*VLOOKUP($C39,[2]!ExistingSat,MATCH($A39,[2]SATS!$C$10:$F$10,0)+1,FALSE)</f>
        <v>0</v>
      </c>
      <c r="S39">
        <f>VLOOKUP($F39&amp;$G39,Composite!$A$5:$Q$865,S$3,FALSE)</f>
        <v>0</v>
      </c>
      <c r="T39" s="31">
        <f>VLOOKUP($F39&amp;$G39,Composite!$A$5:$Q$865,T$3,FALSE)*VLOOKUP($C39,[2]!ExistingSat,MATCH($A39,[2]SATS!$C$10:$F$10,0)+1,FALSE)</f>
        <v>0</v>
      </c>
    </row>
    <row r="40" spans="1:20">
      <c r="A40" t="s">
        <v>25</v>
      </c>
      <c r="B40" t="s">
        <v>227</v>
      </c>
      <c r="C40" t="s">
        <v>28</v>
      </c>
      <c r="D40" t="s">
        <v>62</v>
      </c>
      <c r="E40" t="str">
        <f t="shared" si="0"/>
        <v>Electric FAFHZ3ATTIC R19 - R38</v>
      </c>
      <c r="F40" s="31" t="str">
        <f>Composite!B39</f>
        <v>Single Family Weatherization - Insulate Attic - R19 to R38 - Heating Zone 3 (Electric FAF)</v>
      </c>
      <c r="G40" t="s">
        <v>77</v>
      </c>
      <c r="H40" s="31">
        <f>VLOOKUP($F40&amp;$G40,Composite!$A$5:$Q$865,H$3,FALSE)*VLOOKUP($C40,[2]!ExistingSat,MATCH($A40,[2]SATS!$C$10:$F$10,0)+1,FALSE)</f>
        <v>433.63416512887642</v>
      </c>
      <c r="I40">
        <f>VLOOKUP($F40&amp;$G40,Composite!$A$5:$Q$865,I$3,FALSE)</f>
        <v>45</v>
      </c>
      <c r="J40" s="31">
        <f>VLOOKUP($F40&amp;$G40,Composite!$A$5:$Q$865,J$3,FALSE)*VLOOKUP($C40,[2]!ExistingSat,MATCH($A40,[2]SATS!$C$10:$F$10,0)+1,FALSE)</f>
        <v>1059.4157107984217</v>
      </c>
      <c r="K40" s="31">
        <f>VLOOKUP($F40&amp;$G40,Composite!$A$5:$Q$865,K$3,FALSE)*VLOOKUP($C40,[2]!ExistingSat,MATCH($A40,[2]SATS!$C$10:$F$10,0)+1,FALSE)</f>
        <v>0</v>
      </c>
      <c r="L40" t="str">
        <f>VLOOKUP($F40&amp;$G40,Composite!$A$5:$Q$865,L$3,FALSE)</f>
        <v>ResSpHtFAFZ3</v>
      </c>
      <c r="M40" s="31">
        <f>VLOOKUP($F40&amp;$G40,Composite!$A$5:$Q$865,M$3,FALSE)*VLOOKUP($C40,[2]!ExistingSat,MATCH($A40,[2]SATS!$C$10:$F$10,0)+1,FALSE)</f>
        <v>1.8518112627632866</v>
      </c>
      <c r="N40" s="31">
        <f>VLOOKUP($F40&amp;$G40,Composite!$A$5:$Q$865,N$3,FALSE)*VLOOKUP($C40,[2]!ExistingSat,MATCH($A40,[2]SATS!$C$10:$F$10,0)+1,FALSE)</f>
        <v>0</v>
      </c>
      <c r="O40">
        <f>VLOOKUP($F40&amp;$G40,Composite!$A$5:$Q$865,O$3,FALSE)</f>
        <v>0</v>
      </c>
      <c r="P40" s="31">
        <f>VLOOKUP($F40&amp;$G40,Composite!$A$5:$Q$865,P$3,FALSE)*VLOOKUP($C40,[2]!ExistingSat,MATCH($A40,[2]SATS!$C$10:$F$10,0)+1,FALSE)</f>
        <v>0</v>
      </c>
      <c r="Q40">
        <f>VLOOKUP($F40&amp;$G40,Composite!$A$5:$Q$865,Q$3,FALSE)</f>
        <v>0</v>
      </c>
      <c r="R40" s="31">
        <f>VLOOKUP($F40&amp;$G40,Composite!$A$5:$Q$865,R$3,FALSE)*VLOOKUP($C40,[2]!ExistingSat,MATCH($A40,[2]SATS!$C$10:$F$10,0)+1,FALSE)</f>
        <v>0</v>
      </c>
      <c r="S40">
        <f>VLOOKUP($F40&amp;$G40,Composite!$A$5:$Q$865,S$3,FALSE)</f>
        <v>0</v>
      </c>
      <c r="T40" s="31">
        <f>VLOOKUP($F40&amp;$G40,Composite!$A$5:$Q$865,T$3,FALSE)*VLOOKUP($C40,[2]!ExistingSat,MATCH($A40,[2]SATS!$C$10:$F$10,0)+1,FALSE)</f>
        <v>0</v>
      </c>
    </row>
    <row r="41" spans="1:20">
      <c r="A41" t="s">
        <v>25</v>
      </c>
      <c r="B41" t="s">
        <v>227</v>
      </c>
      <c r="C41" t="s">
        <v>28</v>
      </c>
      <c r="D41" t="s">
        <v>62</v>
      </c>
      <c r="E41" t="str">
        <f t="shared" si="0"/>
        <v>Electric FAFHZ3ATTIC R19 - R49</v>
      </c>
      <c r="F41" s="31" t="str">
        <f>Composite!B40</f>
        <v>Single Family Weatherization - Insulate Attic - R19 to R49 - Heating Zone 3 (Electric FAF)</v>
      </c>
      <c r="G41" t="s">
        <v>79</v>
      </c>
      <c r="H41" s="31">
        <f>VLOOKUP($F41&amp;$G41,Composite!$A$5:$Q$865,H$3,FALSE)*VLOOKUP($C41,[2]!ExistingSat,MATCH($A41,[2]SATS!$C$10:$F$10,0)+1,FALSE)</f>
        <v>523.09833344538833</v>
      </c>
      <c r="I41">
        <f>VLOOKUP($F41&amp;$G41,Composite!$A$5:$Q$865,I$3,FALSE)</f>
        <v>45</v>
      </c>
      <c r="J41" s="31">
        <f>VLOOKUP($F41&amp;$G41,Composite!$A$5:$Q$865,J$3,FALSE)*VLOOKUP($C41,[2]!ExistingSat,MATCH($A41,[2]SATS!$C$10:$F$10,0)+1,FALSE)</f>
        <v>1258.7048529477763</v>
      </c>
      <c r="K41" s="31">
        <f>VLOOKUP($F41&amp;$G41,Composite!$A$5:$Q$865,K$3,FALSE)*VLOOKUP($C41,[2]!ExistingSat,MATCH($A41,[2]SATS!$C$10:$F$10,0)+1,FALSE)</f>
        <v>0</v>
      </c>
      <c r="L41" t="str">
        <f>VLOOKUP($F41&amp;$G41,Composite!$A$5:$Q$865,L$3,FALSE)</f>
        <v>ResSpHtFAFZ3</v>
      </c>
      <c r="M41" s="31">
        <f>VLOOKUP($F41&amp;$G41,Composite!$A$5:$Q$865,M$3,FALSE)*VLOOKUP($C41,[2]!ExistingSat,MATCH($A41,[2]SATS!$C$10:$F$10,0)+1,FALSE)</f>
        <v>2.2653913127399252</v>
      </c>
      <c r="N41" s="31">
        <f>VLOOKUP($F41&amp;$G41,Composite!$A$5:$Q$865,N$3,FALSE)*VLOOKUP($C41,[2]!ExistingSat,MATCH($A41,[2]SATS!$C$10:$F$10,0)+1,FALSE)</f>
        <v>0</v>
      </c>
      <c r="O41">
        <f>VLOOKUP($F41&amp;$G41,Composite!$A$5:$Q$865,O$3,FALSE)</f>
        <v>0</v>
      </c>
      <c r="P41" s="31">
        <f>VLOOKUP($F41&amp;$G41,Composite!$A$5:$Q$865,P$3,FALSE)*VLOOKUP($C41,[2]!ExistingSat,MATCH($A41,[2]SATS!$C$10:$F$10,0)+1,FALSE)</f>
        <v>0</v>
      </c>
      <c r="Q41">
        <f>VLOOKUP($F41&amp;$G41,Composite!$A$5:$Q$865,Q$3,FALSE)</f>
        <v>0</v>
      </c>
      <c r="R41" s="31">
        <f>VLOOKUP($F41&amp;$G41,Composite!$A$5:$Q$865,R$3,FALSE)*VLOOKUP($C41,[2]!ExistingSat,MATCH($A41,[2]SATS!$C$10:$F$10,0)+1,FALSE)</f>
        <v>0</v>
      </c>
      <c r="S41">
        <f>VLOOKUP($F41&amp;$G41,Composite!$A$5:$Q$865,S$3,FALSE)</f>
        <v>0</v>
      </c>
      <c r="T41" s="31">
        <f>VLOOKUP($F41&amp;$G41,Composite!$A$5:$Q$865,T$3,FALSE)*VLOOKUP($C41,[2]!ExistingSat,MATCH($A41,[2]SATS!$C$10:$F$10,0)+1,FALSE)</f>
        <v>0</v>
      </c>
    </row>
    <row r="42" spans="1:20">
      <c r="A42" t="s">
        <v>25</v>
      </c>
      <c r="B42" t="s">
        <v>227</v>
      </c>
      <c r="C42" t="s">
        <v>64</v>
      </c>
      <c r="D42" t="s">
        <v>62</v>
      </c>
      <c r="E42" t="str">
        <f t="shared" si="0"/>
        <v>Electric FAFHZ3WALL R0 - R11</v>
      </c>
      <c r="F42" s="31" t="str">
        <f>Composite!B41</f>
        <v>Single Family Weatherization - Insulate Wall - R0 to R11 - Heating Zone 3 (Electric FAF)</v>
      </c>
      <c r="G42" t="s">
        <v>85</v>
      </c>
      <c r="H42" s="31">
        <f>VLOOKUP($F42&amp;$G42,Composite!$A$5:$Q$865,H$3,FALSE)*VLOOKUP($C42,[2]!ExistingSat,MATCH($A42,[2]SATS!$C$10:$F$10,0)+1,FALSE)</f>
        <v>5707.8404583086403</v>
      </c>
      <c r="I42">
        <f>VLOOKUP($F42&amp;$G42,Composite!$A$5:$Q$865,I$3,FALSE)</f>
        <v>45</v>
      </c>
      <c r="J42" s="31">
        <f>VLOOKUP($F42&amp;$G42,Composite!$A$5:$Q$865,J$3,FALSE)*VLOOKUP($C42,[2]!ExistingSat,MATCH($A42,[2]SATS!$C$10:$F$10,0)+1,FALSE)</f>
        <v>2499.2782230652501</v>
      </c>
      <c r="K42" s="31">
        <f>VLOOKUP($F42&amp;$G42,Composite!$A$5:$Q$865,K$3,FALSE)*VLOOKUP($C42,[2]!ExistingSat,MATCH($A42,[2]SATS!$C$10:$F$10,0)+1,FALSE)</f>
        <v>0</v>
      </c>
      <c r="L42" t="str">
        <f>VLOOKUP($F42&amp;$G42,Composite!$A$5:$Q$865,L$3,FALSE)</f>
        <v>ResSpHtFAFZ3</v>
      </c>
      <c r="M42" s="31">
        <f>VLOOKUP($F42&amp;$G42,Composite!$A$5:$Q$865,M$3,FALSE)*VLOOKUP($C42,[2]!ExistingSat,MATCH($A42,[2]SATS!$C$10:$F$10,0)+1,FALSE)</f>
        <v>16.27428286279153</v>
      </c>
      <c r="N42" s="31">
        <f>VLOOKUP($F42&amp;$G42,Composite!$A$5:$Q$865,N$3,FALSE)*VLOOKUP($C42,[2]!ExistingSat,MATCH($A42,[2]SATS!$C$10:$F$10,0)+1,FALSE)</f>
        <v>0</v>
      </c>
      <c r="O42">
        <f>VLOOKUP($F42&amp;$G42,Composite!$A$5:$Q$865,O$3,FALSE)</f>
        <v>0</v>
      </c>
      <c r="P42" s="31">
        <f>VLOOKUP($F42&amp;$G42,Composite!$A$5:$Q$865,P$3,FALSE)*VLOOKUP($C42,[2]!ExistingSat,MATCH($A42,[2]SATS!$C$10:$F$10,0)+1,FALSE)</f>
        <v>0</v>
      </c>
      <c r="Q42">
        <f>VLOOKUP($F42&amp;$G42,Composite!$A$5:$Q$865,Q$3,FALSE)</f>
        <v>0</v>
      </c>
      <c r="R42" s="31">
        <f>VLOOKUP($F42&amp;$G42,Composite!$A$5:$Q$865,R$3,FALSE)*VLOOKUP($C42,[2]!ExistingSat,MATCH($A42,[2]SATS!$C$10:$F$10,0)+1,FALSE)</f>
        <v>0</v>
      </c>
      <c r="S42">
        <f>VLOOKUP($F42&amp;$G42,Composite!$A$5:$Q$865,S$3,FALSE)</f>
        <v>0</v>
      </c>
      <c r="T42" s="31">
        <f>VLOOKUP($F42&amp;$G42,Composite!$A$5:$Q$865,T$3,FALSE)*VLOOKUP($C42,[2]!ExistingSat,MATCH($A42,[2]SATS!$C$10:$F$10,0)+1,FALSE)</f>
        <v>0</v>
      </c>
    </row>
    <row r="43" spans="1:20">
      <c r="A43" t="s">
        <v>25</v>
      </c>
      <c r="B43" t="s">
        <v>227</v>
      </c>
      <c r="C43" t="s">
        <v>26</v>
      </c>
      <c r="D43" t="s">
        <v>62</v>
      </c>
      <c r="E43" t="str">
        <f t="shared" si="0"/>
        <v>Electric FAFHZ3FLOOR R0 - R19</v>
      </c>
      <c r="F43" s="31" t="str">
        <f>Composite!B42</f>
        <v>Single Family Weatherization - Insulate Floor - R0 to R19 - Heating Zone 3 (Electric FAF)</v>
      </c>
      <c r="G43" t="s">
        <v>87</v>
      </c>
      <c r="H43" s="31">
        <f>VLOOKUP($F43&amp;$G43,Composite!$A$5:$Q$865,H$3,FALSE)*VLOOKUP($C43,[2]!ExistingSat,MATCH($A43,[2]SATS!$C$10:$F$10,0)+1,FALSE)</f>
        <v>2417.7550155184617</v>
      </c>
      <c r="I43">
        <f>VLOOKUP($F43&amp;$G43,Composite!$A$5:$Q$865,I$3,FALSE)</f>
        <v>45</v>
      </c>
      <c r="J43" s="31">
        <f>VLOOKUP($F43&amp;$G43,Composite!$A$5:$Q$865,J$3,FALSE)*VLOOKUP($C43,[2]!ExistingSat,MATCH($A43,[2]SATS!$C$10:$F$10,0)+1,FALSE)</f>
        <v>1759.181492270189</v>
      </c>
      <c r="K43" s="31">
        <f>VLOOKUP($F43&amp;$G43,Composite!$A$5:$Q$865,K$3,FALSE)*VLOOKUP($C43,[2]!ExistingSat,MATCH($A43,[2]SATS!$C$10:$F$10,0)+1,FALSE)</f>
        <v>0</v>
      </c>
      <c r="L43" t="str">
        <f>VLOOKUP($F43&amp;$G43,Composite!$A$5:$Q$865,L$3,FALSE)</f>
        <v>ResSpHtFAFZ3</v>
      </c>
      <c r="M43" s="31">
        <f>VLOOKUP($F43&amp;$G43,Composite!$A$5:$Q$865,M$3,FALSE)*VLOOKUP($C43,[2]!ExistingSat,MATCH($A43,[2]SATS!$C$10:$F$10,0)+1,FALSE)</f>
        <v>3.5815725527629025</v>
      </c>
      <c r="N43" s="31">
        <f>VLOOKUP($F43&amp;$G43,Composite!$A$5:$Q$865,N$3,FALSE)*VLOOKUP($C43,[2]!ExistingSat,MATCH($A43,[2]SATS!$C$10:$F$10,0)+1,FALSE)</f>
        <v>0</v>
      </c>
      <c r="O43">
        <f>VLOOKUP($F43&amp;$G43,Composite!$A$5:$Q$865,O$3,FALSE)</f>
        <v>0</v>
      </c>
      <c r="P43" s="31">
        <f>VLOOKUP($F43&amp;$G43,Composite!$A$5:$Q$865,P$3,FALSE)*VLOOKUP($C43,[2]!ExistingSat,MATCH($A43,[2]SATS!$C$10:$F$10,0)+1,FALSE)</f>
        <v>0</v>
      </c>
      <c r="Q43">
        <f>VLOOKUP($F43&amp;$G43,Composite!$A$5:$Q$865,Q$3,FALSE)</f>
        <v>0</v>
      </c>
      <c r="R43" s="31">
        <f>VLOOKUP($F43&amp;$G43,Composite!$A$5:$Q$865,R$3,FALSE)*VLOOKUP($C43,[2]!ExistingSat,MATCH($A43,[2]SATS!$C$10:$F$10,0)+1,FALSE)</f>
        <v>0</v>
      </c>
      <c r="S43">
        <f>VLOOKUP($F43&amp;$G43,Composite!$A$5:$Q$865,S$3,FALSE)</f>
        <v>0</v>
      </c>
      <c r="T43" s="31">
        <f>VLOOKUP($F43&amp;$G43,Composite!$A$5:$Q$865,T$3,FALSE)*VLOOKUP($C43,[2]!ExistingSat,MATCH($A43,[2]SATS!$C$10:$F$10,0)+1,FALSE)</f>
        <v>0</v>
      </c>
    </row>
    <row r="44" spans="1:20">
      <c r="A44" t="s">
        <v>25</v>
      </c>
      <c r="B44" t="s">
        <v>227</v>
      </c>
      <c r="C44" t="s">
        <v>26</v>
      </c>
      <c r="D44" t="s">
        <v>62</v>
      </c>
      <c r="E44" t="str">
        <f t="shared" si="0"/>
        <v>Electric FAFHZ3FLOOR R0 - R25</v>
      </c>
      <c r="F44" s="31" t="str">
        <f>Composite!B43</f>
        <v>Single Family Weatherization - Insulate Floor - R0 to R25 - Heating Zone 3 (Electric FAF)</v>
      </c>
      <c r="G44" t="s">
        <v>89</v>
      </c>
      <c r="H44" s="31">
        <f>VLOOKUP($F44&amp;$G44,Composite!$A$5:$Q$865,H$3,FALSE)*VLOOKUP($C44,[2]!ExistingSat,MATCH($A44,[2]SATS!$C$10:$F$10,0)+1,FALSE)</f>
        <v>2605.3170281878934</v>
      </c>
      <c r="I44">
        <f>VLOOKUP($F44&amp;$G44,Composite!$A$5:$Q$865,I$3,FALSE)</f>
        <v>45</v>
      </c>
      <c r="J44" s="31">
        <f>VLOOKUP($F44&amp;$G44,Composite!$A$5:$Q$865,J$3,FALSE)*VLOOKUP($C44,[2]!ExistingSat,MATCH($A44,[2]SATS!$C$10:$F$10,0)+1,FALSE)</f>
        <v>1826.548108429291</v>
      </c>
      <c r="K44" s="31">
        <f>VLOOKUP($F44&amp;$G44,Composite!$A$5:$Q$865,K$3,FALSE)*VLOOKUP($C44,[2]!ExistingSat,MATCH($A44,[2]SATS!$C$10:$F$10,0)+1,FALSE)</f>
        <v>0</v>
      </c>
      <c r="L44" t="str">
        <f>VLOOKUP($F44&amp;$G44,Composite!$A$5:$Q$865,L$3,FALSE)</f>
        <v>ResSpHtFAFZ3</v>
      </c>
      <c r="M44" s="31">
        <f>VLOOKUP($F44&amp;$G44,Composite!$A$5:$Q$865,M$3,FALSE)*VLOOKUP($C44,[2]!ExistingSat,MATCH($A44,[2]SATS!$C$10:$F$10,0)+1,FALSE)</f>
        <v>4.4418015505346489</v>
      </c>
      <c r="N44" s="31">
        <f>VLOOKUP($F44&amp;$G44,Composite!$A$5:$Q$865,N$3,FALSE)*VLOOKUP($C44,[2]!ExistingSat,MATCH($A44,[2]SATS!$C$10:$F$10,0)+1,FALSE)</f>
        <v>0</v>
      </c>
      <c r="O44">
        <f>VLOOKUP($F44&amp;$G44,Composite!$A$5:$Q$865,O$3,FALSE)</f>
        <v>0</v>
      </c>
      <c r="P44" s="31">
        <f>VLOOKUP($F44&amp;$G44,Composite!$A$5:$Q$865,P$3,FALSE)*VLOOKUP($C44,[2]!ExistingSat,MATCH($A44,[2]SATS!$C$10:$F$10,0)+1,FALSE)</f>
        <v>0</v>
      </c>
      <c r="Q44">
        <f>VLOOKUP($F44&amp;$G44,Composite!$A$5:$Q$865,Q$3,FALSE)</f>
        <v>0</v>
      </c>
      <c r="R44" s="31">
        <f>VLOOKUP($F44&amp;$G44,Composite!$A$5:$Q$865,R$3,FALSE)*VLOOKUP($C44,[2]!ExistingSat,MATCH($A44,[2]SATS!$C$10:$F$10,0)+1,FALSE)</f>
        <v>0</v>
      </c>
      <c r="S44">
        <f>VLOOKUP($F44&amp;$G44,Composite!$A$5:$Q$865,S$3,FALSE)</f>
        <v>0</v>
      </c>
      <c r="T44" s="31">
        <f>VLOOKUP($F44&amp;$G44,Composite!$A$5:$Q$865,T$3,FALSE)*VLOOKUP($C44,[2]!ExistingSat,MATCH($A44,[2]SATS!$C$10:$F$10,0)+1,FALSE)</f>
        <v>0</v>
      </c>
    </row>
    <row r="45" spans="1:20">
      <c r="A45" t="s">
        <v>25</v>
      </c>
      <c r="B45" t="s">
        <v>227</v>
      </c>
      <c r="C45" t="s">
        <v>26</v>
      </c>
      <c r="D45" t="s">
        <v>62</v>
      </c>
      <c r="E45" t="str">
        <f t="shared" si="0"/>
        <v>Electric FAFHZ3FLOOR R0 - R30</v>
      </c>
      <c r="F45" s="31" t="str">
        <f>Composite!B44</f>
        <v>Single Family Weatherization - Insulate Floor - R0 to R30 - Heating Zone 3 (Electric FAF)</v>
      </c>
      <c r="G45" t="s">
        <v>91</v>
      </c>
      <c r="H45" s="31">
        <f>VLOOKUP($F45&amp;$G45,Composite!$A$5:$Q$865,H$3,FALSE)*VLOOKUP($C45,[2]!ExistingSat,MATCH($A45,[2]SATS!$C$10:$F$10,0)+1,FALSE)</f>
        <v>2723.2743063441226</v>
      </c>
      <c r="I45">
        <f>VLOOKUP($F45&amp;$G45,Composite!$A$5:$Q$865,I$3,FALSE)</f>
        <v>45</v>
      </c>
      <c r="J45" s="31">
        <f>VLOOKUP($F45&amp;$G45,Composite!$A$5:$Q$865,J$3,FALSE)*VLOOKUP($C45,[2]!ExistingSat,MATCH($A45,[2]SATS!$C$10:$F$10,0)+1,FALSE)</f>
        <v>1882.6869552285434</v>
      </c>
      <c r="K45" s="31">
        <f>VLOOKUP($F45&amp;$G45,Composite!$A$5:$Q$865,K$3,FALSE)*VLOOKUP($C45,[2]!ExistingSat,MATCH($A45,[2]SATS!$C$10:$F$10,0)+1,FALSE)</f>
        <v>0</v>
      </c>
      <c r="L45" t="str">
        <f>VLOOKUP($F45&amp;$G45,Composite!$A$5:$Q$865,L$3,FALSE)</f>
        <v>ResSpHtFAFZ3</v>
      </c>
      <c r="M45" s="31">
        <f>VLOOKUP($F45&amp;$G45,Composite!$A$5:$Q$865,M$3,FALSE)*VLOOKUP($C45,[2]!ExistingSat,MATCH($A45,[2]SATS!$C$10:$F$10,0)+1,FALSE)</f>
        <v>5.0182604545062288</v>
      </c>
      <c r="N45" s="31">
        <f>VLOOKUP($F45&amp;$G45,Composite!$A$5:$Q$865,N$3,FALSE)*VLOOKUP($C45,[2]!ExistingSat,MATCH($A45,[2]SATS!$C$10:$F$10,0)+1,FALSE)</f>
        <v>0</v>
      </c>
      <c r="O45">
        <f>VLOOKUP($F45&amp;$G45,Composite!$A$5:$Q$865,O$3,FALSE)</f>
        <v>0</v>
      </c>
      <c r="P45" s="31">
        <f>VLOOKUP($F45&amp;$G45,Composite!$A$5:$Q$865,P$3,FALSE)*VLOOKUP($C45,[2]!ExistingSat,MATCH($A45,[2]SATS!$C$10:$F$10,0)+1,FALSE)</f>
        <v>0</v>
      </c>
      <c r="Q45">
        <f>VLOOKUP($F45&amp;$G45,Composite!$A$5:$Q$865,Q$3,FALSE)</f>
        <v>0</v>
      </c>
      <c r="R45" s="31">
        <f>VLOOKUP($F45&amp;$G45,Composite!$A$5:$Q$865,R$3,FALSE)*VLOOKUP($C45,[2]!ExistingSat,MATCH($A45,[2]SATS!$C$10:$F$10,0)+1,FALSE)</f>
        <v>0</v>
      </c>
      <c r="S45">
        <f>VLOOKUP($F45&amp;$G45,Composite!$A$5:$Q$865,S$3,FALSE)</f>
        <v>0</v>
      </c>
      <c r="T45" s="31">
        <f>VLOOKUP($F45&amp;$G45,Composite!$A$5:$Q$865,T$3,FALSE)*VLOOKUP($C45,[2]!ExistingSat,MATCH($A45,[2]SATS!$C$10:$F$10,0)+1,FALSE)</f>
        <v>0</v>
      </c>
    </row>
    <row r="46" spans="1:20">
      <c r="A46" t="s">
        <v>25</v>
      </c>
      <c r="B46" t="s">
        <v>227</v>
      </c>
      <c r="C46" t="s">
        <v>27</v>
      </c>
      <c r="D46" t="s">
        <v>62</v>
      </c>
      <c r="E46" t="str">
        <f t="shared" si="0"/>
        <v>Electric FAFHZ3WINDOW CL30 Prime Window Replacement of Single Pane Base</v>
      </c>
      <c r="F46" s="31" t="str">
        <f>Composite!B45</f>
        <v>Windows - Single Pane to Class 30 - Heating Zone 3 (Electric FAF)</v>
      </c>
      <c r="G46" t="s">
        <v>93</v>
      </c>
      <c r="H46" s="31">
        <f>VLOOKUP($F46&amp;$G46,Composite!$A$5:$Q$865,H$3,FALSE)*VLOOKUP($C46,[2]!ExistingSat,MATCH($A46,[2]SATS!$C$10:$F$10,0)+1,FALSE)</f>
        <v>3536.3222737426881</v>
      </c>
      <c r="I46">
        <f>VLOOKUP($F46&amp;$G46,Composite!$A$5:$Q$865,I$3,FALSE)</f>
        <v>45</v>
      </c>
      <c r="J46" s="31">
        <f>VLOOKUP($F46&amp;$G46,Composite!$A$5:$Q$865,J$3,FALSE)*VLOOKUP($C46,[2]!ExistingSat,MATCH($A46,[2]SATS!$C$10:$F$10,0)+1,FALSE)</f>
        <v>3312.4380313472334</v>
      </c>
      <c r="K46" s="31">
        <f>VLOOKUP($F46&amp;$G46,Composite!$A$5:$Q$865,K$3,FALSE)*VLOOKUP($C46,[2]!ExistingSat,MATCH($A46,[2]SATS!$C$10:$F$10,0)+1,FALSE)</f>
        <v>0</v>
      </c>
      <c r="L46" t="str">
        <f>VLOOKUP($F46&amp;$G46,Composite!$A$5:$Q$865,L$3,FALSE)</f>
        <v>ResSpHtFAFZ3</v>
      </c>
      <c r="M46" s="31">
        <f>VLOOKUP($F46&amp;$G46,Composite!$A$5:$Q$865,M$3,FALSE)*VLOOKUP($C46,[2]!ExistingSat,MATCH($A46,[2]SATS!$C$10:$F$10,0)+1,FALSE)</f>
        <v>17.594413541710523</v>
      </c>
      <c r="N46" s="31">
        <f>VLOOKUP($F46&amp;$G46,Composite!$A$5:$Q$865,N$3,FALSE)*VLOOKUP($C46,[2]!ExistingSat,MATCH($A46,[2]SATS!$C$10:$F$10,0)+1,FALSE)</f>
        <v>0</v>
      </c>
      <c r="O46">
        <f>VLOOKUP($F46&amp;$G46,Composite!$A$5:$Q$865,O$3,FALSE)</f>
        <v>0</v>
      </c>
      <c r="P46" s="31">
        <f>VLOOKUP($F46&amp;$G46,Composite!$A$5:$Q$865,P$3,FALSE)*VLOOKUP($C46,[2]!ExistingSat,MATCH($A46,[2]SATS!$C$10:$F$10,0)+1,FALSE)</f>
        <v>0</v>
      </c>
      <c r="Q46">
        <f>VLOOKUP($F46&amp;$G46,Composite!$A$5:$Q$865,Q$3,FALSE)</f>
        <v>0</v>
      </c>
      <c r="R46" s="31">
        <f>VLOOKUP($F46&amp;$G46,Composite!$A$5:$Q$865,R$3,FALSE)*VLOOKUP($C46,[2]!ExistingSat,MATCH($A46,[2]SATS!$C$10:$F$10,0)+1,FALSE)</f>
        <v>0</v>
      </c>
      <c r="S46">
        <f>VLOOKUP($F46&amp;$G46,Composite!$A$5:$Q$865,S$3,FALSE)</f>
        <v>0</v>
      </c>
      <c r="T46" s="31">
        <f>VLOOKUP($F46&amp;$G46,Composite!$A$5:$Q$865,T$3,FALSE)*VLOOKUP($C46,[2]!ExistingSat,MATCH($A46,[2]SATS!$C$10:$F$10,0)+1,FALSE)</f>
        <v>0</v>
      </c>
    </row>
    <row r="47" spans="1:20">
      <c r="A47" t="s">
        <v>25</v>
      </c>
      <c r="B47" t="s">
        <v>227</v>
      </c>
      <c r="C47" t="s">
        <v>27</v>
      </c>
      <c r="D47" t="s">
        <v>62</v>
      </c>
      <c r="E47" t="str">
        <f t="shared" si="0"/>
        <v>Electric FAFHZ3WINDOW CL30 Prime Window Replacement of Double Pane Base</v>
      </c>
      <c r="F47" s="31" t="str">
        <f>Composite!B46</f>
        <v>Windows - Double Pane to Class 30 - Heating Zone 3 (Electric FAF)</v>
      </c>
      <c r="G47" t="s">
        <v>95</v>
      </c>
      <c r="H47" s="31">
        <f>VLOOKUP($F47&amp;$G47,Composite!$A$5:$Q$865,H$3,FALSE)*VLOOKUP($C47,[2]!ExistingSat,MATCH($A47,[2]SATS!$C$10:$F$10,0)+1,FALSE)</f>
        <v>1557.9825220956529</v>
      </c>
      <c r="I47">
        <f>VLOOKUP($F47&amp;$G47,Composite!$A$5:$Q$865,I$3,FALSE)</f>
        <v>45</v>
      </c>
      <c r="J47" s="31">
        <f>VLOOKUP($F47&amp;$G47,Composite!$A$5:$Q$865,J$3,FALSE)*VLOOKUP($C47,[2]!ExistingSat,MATCH($A47,[2]SATS!$C$10:$F$10,0)+1,FALSE)</f>
        <v>3312.4380313472334</v>
      </c>
      <c r="K47" s="31">
        <f>VLOOKUP($F47&amp;$G47,Composite!$A$5:$Q$865,K$3,FALSE)*VLOOKUP($C47,[2]!ExistingSat,MATCH($A47,[2]SATS!$C$10:$F$10,0)+1,FALSE)</f>
        <v>0</v>
      </c>
      <c r="L47" t="str">
        <f>VLOOKUP($F47&amp;$G47,Composite!$A$5:$Q$865,L$3,FALSE)</f>
        <v>ResSpHtFAFZ3</v>
      </c>
      <c r="M47" s="31">
        <f>VLOOKUP($F47&amp;$G47,Composite!$A$5:$Q$865,M$3,FALSE)*VLOOKUP($C47,[2]!ExistingSat,MATCH($A47,[2]SATS!$C$10:$F$10,0)+1,FALSE)</f>
        <v>7.0846776404812521</v>
      </c>
      <c r="N47" s="31">
        <f>VLOOKUP($F47&amp;$G47,Composite!$A$5:$Q$865,N$3,FALSE)*VLOOKUP($C47,[2]!ExistingSat,MATCH($A47,[2]SATS!$C$10:$F$10,0)+1,FALSE)</f>
        <v>0</v>
      </c>
      <c r="O47">
        <f>VLOOKUP($F47&amp;$G47,Composite!$A$5:$Q$865,O$3,FALSE)</f>
        <v>0</v>
      </c>
      <c r="P47" s="31">
        <f>VLOOKUP($F47&amp;$G47,Composite!$A$5:$Q$865,P$3,FALSE)*VLOOKUP($C47,[2]!ExistingSat,MATCH($A47,[2]SATS!$C$10:$F$10,0)+1,FALSE)</f>
        <v>0</v>
      </c>
      <c r="Q47">
        <f>VLOOKUP($F47&amp;$G47,Composite!$A$5:$Q$865,Q$3,FALSE)</f>
        <v>0</v>
      </c>
      <c r="R47" s="31">
        <f>VLOOKUP($F47&amp;$G47,Composite!$A$5:$Q$865,R$3,FALSE)*VLOOKUP($C47,[2]!ExistingSat,MATCH($A47,[2]SATS!$C$10:$F$10,0)+1,FALSE)</f>
        <v>0</v>
      </c>
      <c r="S47">
        <f>VLOOKUP($F47&amp;$G47,Composite!$A$5:$Q$865,S$3,FALSE)</f>
        <v>0</v>
      </c>
      <c r="T47" s="31">
        <f>VLOOKUP($F47&amp;$G47,Composite!$A$5:$Q$865,T$3,FALSE)*VLOOKUP($C47,[2]!ExistingSat,MATCH($A47,[2]SATS!$C$10:$F$10,0)+1,FALSE)</f>
        <v>0</v>
      </c>
    </row>
    <row r="48" spans="1:20">
      <c r="A48" t="s">
        <v>25</v>
      </c>
      <c r="B48" t="s">
        <v>227</v>
      </c>
      <c r="C48" t="s">
        <v>27</v>
      </c>
      <c r="D48" t="s">
        <v>62</v>
      </c>
      <c r="E48" t="str">
        <f t="shared" si="0"/>
        <v>Electric FAFHZ3WINDOW CL22 Prime Window Replacement of Single Pane Base</v>
      </c>
      <c r="F48" s="31" t="str">
        <f>Composite!B47</f>
        <v>Windows - Single Pane to Class 22 - Heating Zone 3 (Electric FAF)</v>
      </c>
      <c r="G48" t="s">
        <v>99</v>
      </c>
      <c r="H48" s="31">
        <f>VLOOKUP($F48&amp;$G48,Composite!$A$5:$Q$865,H$3,FALSE)*VLOOKUP($C48,[2]!ExistingSat,MATCH($A48,[2]SATS!$C$10:$F$10,0)+1,FALSE)</f>
        <v>3861.2679332498801</v>
      </c>
      <c r="I48">
        <f>VLOOKUP($F48&amp;$G48,Composite!$A$5:$Q$865,I$3,FALSE)</f>
        <v>45</v>
      </c>
      <c r="J48" s="31">
        <f>VLOOKUP($F48&amp;$G48,Composite!$A$5:$Q$865,J$3,FALSE)*VLOOKUP($C48,[2]!ExistingSat,MATCH($A48,[2]SATS!$C$10:$F$10,0)+1,FALSE)</f>
        <v>3901.0698543939693</v>
      </c>
      <c r="K48" s="31">
        <f>VLOOKUP($F48&amp;$G48,Composite!$A$5:$Q$865,K$3,FALSE)*VLOOKUP($C48,[2]!ExistingSat,MATCH($A48,[2]SATS!$C$10:$F$10,0)+1,FALSE)</f>
        <v>0</v>
      </c>
      <c r="L48" t="str">
        <f>VLOOKUP($F48&amp;$G48,Composite!$A$5:$Q$865,L$3,FALSE)</f>
        <v>ResSpHtFAFZ3</v>
      </c>
      <c r="M48" s="31">
        <f>VLOOKUP($F48&amp;$G48,Composite!$A$5:$Q$865,M$3,FALSE)*VLOOKUP($C48,[2]!ExistingSat,MATCH($A48,[2]SATS!$C$10:$F$10,0)+1,FALSE)</f>
        <v>19.671648932993488</v>
      </c>
      <c r="N48" s="31">
        <f>VLOOKUP($F48&amp;$G48,Composite!$A$5:$Q$865,N$3,FALSE)*VLOOKUP($C48,[2]!ExistingSat,MATCH($A48,[2]SATS!$C$10:$F$10,0)+1,FALSE)</f>
        <v>0</v>
      </c>
      <c r="O48">
        <f>VLOOKUP($F48&amp;$G48,Composite!$A$5:$Q$865,O$3,FALSE)</f>
        <v>0</v>
      </c>
      <c r="P48" s="31">
        <f>VLOOKUP($F48&amp;$G48,Composite!$A$5:$Q$865,P$3,FALSE)*VLOOKUP($C48,[2]!ExistingSat,MATCH($A48,[2]SATS!$C$10:$F$10,0)+1,FALSE)</f>
        <v>0</v>
      </c>
      <c r="Q48">
        <f>VLOOKUP($F48&amp;$G48,Composite!$A$5:$Q$865,Q$3,FALSE)</f>
        <v>0</v>
      </c>
      <c r="R48" s="31">
        <f>VLOOKUP($F48&amp;$G48,Composite!$A$5:$Q$865,R$3,FALSE)*VLOOKUP($C48,[2]!ExistingSat,MATCH($A48,[2]SATS!$C$10:$F$10,0)+1,FALSE)</f>
        <v>0</v>
      </c>
      <c r="S48">
        <f>VLOOKUP($F48&amp;$G48,Composite!$A$5:$Q$865,S$3,FALSE)</f>
        <v>0</v>
      </c>
      <c r="T48" s="31">
        <f>VLOOKUP($F48&amp;$G48,Composite!$A$5:$Q$865,T$3,FALSE)*VLOOKUP($C48,[2]!ExistingSat,MATCH($A48,[2]SATS!$C$10:$F$10,0)+1,FALSE)</f>
        <v>0</v>
      </c>
    </row>
    <row r="49" spans="1:20">
      <c r="A49" t="s">
        <v>25</v>
      </c>
      <c r="B49" t="s">
        <v>227</v>
      </c>
      <c r="C49" t="s">
        <v>27</v>
      </c>
      <c r="D49" t="s">
        <v>62</v>
      </c>
      <c r="E49" t="str">
        <f t="shared" si="0"/>
        <v>Electric FAFHZ3WINDOW CL22 Prime Window Replacement of Double Pane Base</v>
      </c>
      <c r="F49" s="31" t="str">
        <f>Composite!B48</f>
        <v>Windows - Double Pane to Class 22 - Heating Zone 3 (Electric FAF)</v>
      </c>
      <c r="G49" t="s">
        <v>101</v>
      </c>
      <c r="H49" s="31">
        <f>VLOOKUP($F49&amp;$G49,Composite!$A$5:$Q$865,H$3,FALSE)*VLOOKUP($C49,[2]!ExistingSat,MATCH($A49,[2]SATS!$C$10:$F$10,0)+1,FALSE)</f>
        <v>1815.008734329449</v>
      </c>
      <c r="I49">
        <f>VLOOKUP($F49&amp;$G49,Composite!$A$5:$Q$865,I$3,FALSE)</f>
        <v>45</v>
      </c>
      <c r="J49" s="31">
        <f>VLOOKUP($F49&amp;$G49,Composite!$A$5:$Q$865,J$3,FALSE)*VLOOKUP($C49,[2]!ExistingSat,MATCH($A49,[2]SATS!$C$10:$F$10,0)+1,FALSE)</f>
        <v>3901.0698543939693</v>
      </c>
      <c r="K49" s="31">
        <f>VLOOKUP($F49&amp;$G49,Composite!$A$5:$Q$865,K$3,FALSE)*VLOOKUP($C49,[2]!ExistingSat,MATCH($A49,[2]SATS!$C$10:$F$10,0)+1,FALSE)</f>
        <v>0</v>
      </c>
      <c r="L49" t="str">
        <f>VLOOKUP($F49&amp;$G49,Composite!$A$5:$Q$865,L$3,FALSE)</f>
        <v>ResSpHtFAFZ3</v>
      </c>
      <c r="M49" s="31">
        <f>VLOOKUP($F49&amp;$G49,Composite!$A$5:$Q$865,M$3,FALSE)*VLOOKUP($C49,[2]!ExistingSat,MATCH($A49,[2]SATS!$C$10:$F$10,0)+1,FALSE)</f>
        <v>8.5540883689860792</v>
      </c>
      <c r="N49" s="31">
        <f>VLOOKUP($F49&amp;$G49,Composite!$A$5:$Q$865,N$3,FALSE)*VLOOKUP($C49,[2]!ExistingSat,MATCH($A49,[2]SATS!$C$10:$F$10,0)+1,FALSE)</f>
        <v>0</v>
      </c>
      <c r="O49">
        <f>VLOOKUP($F49&amp;$G49,Composite!$A$5:$Q$865,O$3,FALSE)</f>
        <v>0</v>
      </c>
      <c r="P49" s="31">
        <f>VLOOKUP($F49&amp;$G49,Composite!$A$5:$Q$865,P$3,FALSE)*VLOOKUP($C49,[2]!ExistingSat,MATCH($A49,[2]SATS!$C$10:$F$10,0)+1,FALSE)</f>
        <v>0</v>
      </c>
      <c r="Q49">
        <f>VLOOKUP($F49&amp;$G49,Composite!$A$5:$Q$865,Q$3,FALSE)</f>
        <v>0</v>
      </c>
      <c r="R49" s="31">
        <f>VLOOKUP($F49&amp;$G49,Composite!$A$5:$Q$865,R$3,FALSE)*VLOOKUP($C49,[2]!ExistingSat,MATCH($A49,[2]SATS!$C$10:$F$10,0)+1,FALSE)</f>
        <v>0</v>
      </c>
      <c r="S49">
        <f>VLOOKUP($F49&amp;$G49,Composite!$A$5:$Q$865,S$3,FALSE)</f>
        <v>0</v>
      </c>
      <c r="T49" s="31">
        <f>VLOOKUP($F49&amp;$G49,Composite!$A$5:$Q$865,T$3,FALSE)*VLOOKUP($C49,[2]!ExistingSat,MATCH($A49,[2]SATS!$C$10:$F$10,0)+1,FALSE)</f>
        <v>0</v>
      </c>
    </row>
    <row r="50" spans="1:20">
      <c r="A50" t="s">
        <v>25</v>
      </c>
      <c r="B50" t="s">
        <v>227</v>
      </c>
      <c r="C50" t="s">
        <v>66</v>
      </c>
      <c r="D50" t="s">
        <v>62</v>
      </c>
      <c r="E50" t="str">
        <f t="shared" si="0"/>
        <v>Electric FAFHZ3CFM50 Infiltration Reduction</v>
      </c>
      <c r="F50" s="31" t="str">
        <f>Composite!B49</f>
        <v>Infiltration Reduction - CFM50 reduction - Heating Zone 3 (Electric FAF)</v>
      </c>
      <c r="G50" s="305" t="s">
        <v>1362</v>
      </c>
      <c r="H50" s="31">
        <f>VLOOKUP($F50&amp;$G50,Composite!$A$5:$Q$865,H$3,FALSE)*VLOOKUP($C50,[2]!ExistingSat,MATCH($A50,[2]SATS!$C$10:$F$10,0)+1,FALSE)</f>
        <v>1307.3455423795717</v>
      </c>
      <c r="I50">
        <f>VLOOKUP($F50&amp;$G50,Composite!$A$5:$Q$865,I$3,FALSE)</f>
        <v>15</v>
      </c>
      <c r="J50" s="31">
        <f>VLOOKUP($F50&amp;$G50,Composite!$A$5:$Q$865,J$3,FALSE)*VLOOKUP($C50,[2]!ExistingSat,MATCH($A50,[2]SATS!$C$10:$F$10,0)+1,FALSE)</f>
        <v>1325.3999218794588</v>
      </c>
      <c r="K50" s="31">
        <f>VLOOKUP($F50&amp;$G50,Composite!$A$5:$Q$865,K$3,FALSE)*VLOOKUP($C50,[2]!ExistingSat,MATCH($A50,[2]SATS!$C$10:$F$10,0)+1,FALSE)</f>
        <v>0</v>
      </c>
      <c r="L50" t="str">
        <f>VLOOKUP($F50&amp;$G50,Composite!$A$5:$Q$865,L$3,FALSE)</f>
        <v>ResSpHtFAFZ3</v>
      </c>
      <c r="M50" s="31">
        <f>VLOOKUP($F50&amp;$G50,Composite!$A$5:$Q$865,M$3,FALSE)*VLOOKUP($C50,[2]!ExistingSat,MATCH($A50,[2]SATS!$C$10:$F$10,0)+1,FALSE)</f>
        <v>6.43336291625398</v>
      </c>
      <c r="N50" s="31">
        <f>VLOOKUP($F50&amp;$G50,Composite!$A$5:$Q$865,N$3,FALSE)*VLOOKUP($C50,[2]!ExistingSat,MATCH($A50,[2]SATS!$C$10:$F$10,0)+1,FALSE)</f>
        <v>0</v>
      </c>
      <c r="O50">
        <f>VLOOKUP($F50&amp;$G50,Composite!$A$5:$Q$865,O$3,FALSE)</f>
        <v>0</v>
      </c>
      <c r="P50" s="31">
        <f>VLOOKUP($F50&amp;$G50,Composite!$A$5:$Q$865,P$3,FALSE)*VLOOKUP($C50,[2]!ExistingSat,MATCH($A50,[2]SATS!$C$10:$F$10,0)+1,FALSE)</f>
        <v>0</v>
      </c>
      <c r="Q50">
        <f>VLOOKUP($F50&amp;$G50,Composite!$A$5:$Q$865,Q$3,FALSE)</f>
        <v>0</v>
      </c>
      <c r="R50" s="31">
        <f>VLOOKUP($F50&amp;$G50,Composite!$A$5:$Q$865,R$3,FALSE)*VLOOKUP($C50,[2]!ExistingSat,MATCH($A50,[2]SATS!$C$10:$F$10,0)+1,FALSE)</f>
        <v>0</v>
      </c>
      <c r="S50">
        <f>VLOOKUP($F50&amp;$G50,Composite!$A$5:$Q$865,S$3,FALSE)</f>
        <v>0</v>
      </c>
      <c r="T50" s="31">
        <f>VLOOKUP($F50&amp;$G50,Composite!$A$5:$Q$865,T$3,FALSE)*VLOOKUP($C50,[2]!ExistingSat,MATCH($A50,[2]SATS!$C$10:$F$10,0)+1,FALSE)</f>
        <v>0</v>
      </c>
    </row>
    <row r="51" spans="1:20">
      <c r="A51" t="s">
        <v>25</v>
      </c>
      <c r="B51" t="s">
        <v>1359</v>
      </c>
      <c r="C51" t="s">
        <v>28</v>
      </c>
      <c r="D51" t="s">
        <v>60</v>
      </c>
      <c r="E51" t="str">
        <f t="shared" si="0"/>
        <v>Zonal/DHPHZ1ATTIC R0 - R38</v>
      </c>
      <c r="F51" s="31" t="str">
        <f>Composite!B50</f>
        <v>Single Family Weatherization - Insulate Attic - R0 to R38 - Heating Zone 1 (Zonal or DHP)</v>
      </c>
      <c r="G51" t="s">
        <v>68</v>
      </c>
      <c r="H51" s="31">
        <f>VLOOKUP($F51&amp;$G51,Composite!$A$5:$Q$865,H$3,FALSE)*VLOOKUP($C51,[2]!ExistingSat,MATCH($A51,[2]SATS!$C$10:$F$10,0)+1,FALSE)</f>
        <v>2710.5954793306996</v>
      </c>
      <c r="I51">
        <f>VLOOKUP($F51&amp;$G51,Composite!$A$5:$Q$865,I$3,FALSE)</f>
        <v>45</v>
      </c>
      <c r="J51" s="31">
        <f>VLOOKUP($F51&amp;$G51,Composite!$A$5:$Q$865,J$3,FALSE)*VLOOKUP($C51,[2]!ExistingSat,MATCH($A51,[2]SATS!$C$10:$F$10,0)+1,FALSE)</f>
        <v>1403.6424108745796</v>
      </c>
      <c r="K51" s="31">
        <f>VLOOKUP($F51&amp;$G51,Composite!$A$5:$Q$865,K$3,FALSE)*VLOOKUP($C51,[2]!ExistingSat,MATCH($A51,[2]SATS!$C$10:$F$10,0)+1,FALSE)</f>
        <v>0</v>
      </c>
      <c r="L51" t="str">
        <f>VLOOKUP($F51&amp;$G51,Composite!$A$5:$Q$865,L$3,FALSE)</f>
        <v>ResSpHtBBZ1</v>
      </c>
      <c r="M51" s="31">
        <f>VLOOKUP($F51&amp;$G51,Composite!$A$5:$Q$865,M$3,FALSE)*VLOOKUP($C51,[2]!ExistingSat,MATCH($A51,[2]SATS!$C$10:$F$10,0)+1,FALSE)</f>
        <v>9.4753107574303321</v>
      </c>
      <c r="N51" s="31">
        <f>VLOOKUP($F51&amp;$G51,Composite!$A$5:$Q$865,N$3,FALSE)*VLOOKUP($C51,[2]!ExistingSat,MATCH($A51,[2]SATS!$C$10:$F$10,0)+1,FALSE)</f>
        <v>0</v>
      </c>
      <c r="O51">
        <f>VLOOKUP($F51&amp;$G51,Composite!$A$5:$Q$865,O$3,FALSE)</f>
        <v>0</v>
      </c>
      <c r="P51" s="31">
        <f>VLOOKUP($F51&amp;$G51,Composite!$A$5:$Q$865,P$3,FALSE)*VLOOKUP($C51,[2]!ExistingSat,MATCH($A51,[2]SATS!$C$10:$F$10,0)+1,FALSE)</f>
        <v>0</v>
      </c>
      <c r="Q51">
        <f>VLOOKUP($F51&amp;$G51,Composite!$A$5:$Q$865,Q$3,FALSE)</f>
        <v>0</v>
      </c>
      <c r="R51" s="31">
        <f>VLOOKUP($F51&amp;$G51,Composite!$A$5:$Q$865,R$3,FALSE)*VLOOKUP($C51,[2]!ExistingSat,MATCH($A51,[2]SATS!$C$10:$F$10,0)+1,FALSE)</f>
        <v>0</v>
      </c>
      <c r="S51">
        <f>VLOOKUP($F51&amp;$G51,Composite!$A$5:$Q$865,S$3,FALSE)</f>
        <v>0</v>
      </c>
      <c r="T51" s="31">
        <f>VLOOKUP($F51&amp;$G51,Composite!$A$5:$Q$865,T$3,FALSE)*VLOOKUP($C51,[2]!ExistingSat,MATCH($A51,[2]SATS!$C$10:$F$10,0)+1,FALSE)</f>
        <v>0</v>
      </c>
    </row>
    <row r="52" spans="1:20">
      <c r="A52" t="s">
        <v>25</v>
      </c>
      <c r="B52" t="s">
        <v>1359</v>
      </c>
      <c r="C52" t="s">
        <v>28</v>
      </c>
      <c r="D52" t="s">
        <v>60</v>
      </c>
      <c r="E52" t="str">
        <f t="shared" si="0"/>
        <v>Zonal/DHPHZ1ATTIC R0 - R49</v>
      </c>
      <c r="F52" s="31" t="str">
        <f>Composite!B51</f>
        <v>Single Family Weatherization - Insulate Attic - R0 to R49 - Heating Zone 1 (Zonal or DHP)</v>
      </c>
      <c r="G52" t="s">
        <v>71</v>
      </c>
      <c r="H52" s="31">
        <f>VLOOKUP($F52&amp;$G52,Composite!$A$5:$Q$865,H$3,FALSE)*VLOOKUP($C52,[2]!ExistingSat,MATCH($A52,[2]SATS!$C$10:$F$10,0)+1,FALSE)</f>
        <v>2749.1550877826194</v>
      </c>
      <c r="I52">
        <f>VLOOKUP($F52&amp;$G52,Composite!$A$5:$Q$865,I$3,FALSE)</f>
        <v>45</v>
      </c>
      <c r="J52" s="31">
        <f>VLOOKUP($F52&amp;$G52,Composite!$A$5:$Q$865,J$3,FALSE)*VLOOKUP($C52,[2]!ExistingSat,MATCH($A52,[2]SATS!$C$10:$F$10,0)+1,FALSE)</f>
        <v>1602.9315530239337</v>
      </c>
      <c r="K52" s="31">
        <f>VLOOKUP($F52&amp;$G52,Composite!$A$5:$Q$865,K$3,FALSE)*VLOOKUP($C52,[2]!ExistingSat,MATCH($A52,[2]SATS!$C$10:$F$10,0)+1,FALSE)</f>
        <v>0</v>
      </c>
      <c r="L52" t="str">
        <f>VLOOKUP($F52&amp;$G52,Composite!$A$5:$Q$865,L$3,FALSE)</f>
        <v>ResSpHtBBZ1</v>
      </c>
      <c r="M52" s="31">
        <f>VLOOKUP($F52&amp;$G52,Composite!$A$5:$Q$865,M$3,FALSE)*VLOOKUP($C52,[2]!ExistingSat,MATCH($A52,[2]SATS!$C$10:$F$10,0)+1,FALSE)</f>
        <v>9.8263857919709618</v>
      </c>
      <c r="N52" s="31">
        <f>VLOOKUP($F52&amp;$G52,Composite!$A$5:$Q$865,N$3,FALSE)*VLOOKUP($C52,[2]!ExistingSat,MATCH($A52,[2]SATS!$C$10:$F$10,0)+1,FALSE)</f>
        <v>0</v>
      </c>
      <c r="O52">
        <f>VLOOKUP($F52&amp;$G52,Composite!$A$5:$Q$865,O$3,FALSE)</f>
        <v>0</v>
      </c>
      <c r="P52" s="31">
        <f>VLOOKUP($F52&amp;$G52,Composite!$A$5:$Q$865,P$3,FALSE)*VLOOKUP($C52,[2]!ExistingSat,MATCH($A52,[2]SATS!$C$10:$F$10,0)+1,FALSE)</f>
        <v>0</v>
      </c>
      <c r="Q52">
        <f>VLOOKUP($F52&amp;$G52,Composite!$A$5:$Q$865,Q$3,FALSE)</f>
        <v>0</v>
      </c>
      <c r="R52" s="31">
        <f>VLOOKUP($F52&amp;$G52,Composite!$A$5:$Q$865,R$3,FALSE)*VLOOKUP($C52,[2]!ExistingSat,MATCH($A52,[2]SATS!$C$10:$F$10,0)+1,FALSE)</f>
        <v>0</v>
      </c>
      <c r="S52">
        <f>VLOOKUP($F52&amp;$G52,Composite!$A$5:$Q$865,S$3,FALSE)</f>
        <v>0</v>
      </c>
      <c r="T52" s="31">
        <f>VLOOKUP($F52&amp;$G52,Composite!$A$5:$Q$865,T$3,FALSE)*VLOOKUP($C52,[2]!ExistingSat,MATCH($A52,[2]SATS!$C$10:$F$10,0)+1,FALSE)</f>
        <v>0</v>
      </c>
    </row>
    <row r="53" spans="1:20">
      <c r="A53" t="s">
        <v>25</v>
      </c>
      <c r="B53" t="s">
        <v>1359</v>
      </c>
      <c r="C53" t="s">
        <v>28</v>
      </c>
      <c r="D53" t="s">
        <v>60</v>
      </c>
      <c r="E53" t="str">
        <f t="shared" si="0"/>
        <v>Zonal/DHPHZ1ATTIC R11 - R38</v>
      </c>
      <c r="F53" s="31" t="str">
        <f>Composite!B52</f>
        <v>Single Family Weatherization - Insulate Attic - R11 to R38 - Heating Zone 1 (Zonal or DHP)</v>
      </c>
      <c r="G53" t="s">
        <v>73</v>
      </c>
      <c r="H53" s="31">
        <f>VLOOKUP($F53&amp;$G53,Composite!$A$5:$Q$865,H$3,FALSE)*VLOOKUP($C53,[2]!ExistingSat,MATCH($A53,[2]SATS!$C$10:$F$10,0)+1,FALSE)</f>
        <v>503.88428419112171</v>
      </c>
      <c r="I53">
        <f>VLOOKUP($F53&amp;$G53,Composite!$A$5:$Q$865,I$3,FALSE)</f>
        <v>45</v>
      </c>
      <c r="J53" s="31">
        <f>VLOOKUP($F53&amp;$G53,Composite!$A$5:$Q$865,J$3,FALSE)*VLOOKUP($C53,[2]!ExistingSat,MATCH($A53,[2]SATS!$C$10:$F$10,0)+1,FALSE)</f>
        <v>1204.353268725225</v>
      </c>
      <c r="K53" s="31">
        <f>VLOOKUP($F53&amp;$G53,Composite!$A$5:$Q$865,K$3,FALSE)*VLOOKUP($C53,[2]!ExistingSat,MATCH($A53,[2]SATS!$C$10:$F$10,0)+1,FALSE)</f>
        <v>0</v>
      </c>
      <c r="L53" t="str">
        <f>VLOOKUP($F53&amp;$G53,Composite!$A$5:$Q$865,L$3,FALSE)</f>
        <v>ResSpHtBBZ1</v>
      </c>
      <c r="M53" s="31">
        <f>VLOOKUP($F53&amp;$G53,Composite!$A$5:$Q$865,M$3,FALSE)*VLOOKUP($C53,[2]!ExistingSat,MATCH($A53,[2]SATS!$C$10:$F$10,0)+1,FALSE)</f>
        <v>4.2677687395941222</v>
      </c>
      <c r="N53" s="31">
        <f>VLOOKUP($F53&amp;$G53,Composite!$A$5:$Q$865,N$3,FALSE)*VLOOKUP($C53,[2]!ExistingSat,MATCH($A53,[2]SATS!$C$10:$F$10,0)+1,FALSE)</f>
        <v>0</v>
      </c>
      <c r="O53">
        <f>VLOOKUP($F53&amp;$G53,Composite!$A$5:$Q$865,O$3,FALSE)</f>
        <v>0</v>
      </c>
      <c r="P53" s="31">
        <f>VLOOKUP($F53&amp;$G53,Composite!$A$5:$Q$865,P$3,FALSE)*VLOOKUP($C53,[2]!ExistingSat,MATCH($A53,[2]SATS!$C$10:$F$10,0)+1,FALSE)</f>
        <v>0</v>
      </c>
      <c r="Q53">
        <f>VLOOKUP($F53&amp;$G53,Composite!$A$5:$Q$865,Q$3,FALSE)</f>
        <v>0</v>
      </c>
      <c r="R53" s="31">
        <f>VLOOKUP($F53&amp;$G53,Composite!$A$5:$Q$865,R$3,FALSE)*VLOOKUP($C53,[2]!ExistingSat,MATCH($A53,[2]SATS!$C$10:$F$10,0)+1,FALSE)</f>
        <v>0</v>
      </c>
      <c r="S53">
        <f>VLOOKUP($F53&amp;$G53,Composite!$A$5:$Q$865,S$3,FALSE)</f>
        <v>0</v>
      </c>
      <c r="T53" s="31">
        <f>VLOOKUP($F53&amp;$G53,Composite!$A$5:$Q$865,T$3,FALSE)*VLOOKUP($C53,[2]!ExistingSat,MATCH($A53,[2]SATS!$C$10:$F$10,0)+1,FALSE)</f>
        <v>0</v>
      </c>
    </row>
    <row r="54" spans="1:20">
      <c r="A54" t="s">
        <v>25</v>
      </c>
      <c r="B54" t="s">
        <v>1359</v>
      </c>
      <c r="C54" t="s">
        <v>28</v>
      </c>
      <c r="D54" t="s">
        <v>60</v>
      </c>
      <c r="E54" t="str">
        <f t="shared" si="0"/>
        <v>Zonal/DHPHZ1ATTIC R11 - R49</v>
      </c>
      <c r="F54" s="31" t="str">
        <f>Composite!B53</f>
        <v>Single Family Weatherization - Insulate Attic - R11 to R49 - Heating Zone 1 (Zonal or DHP)</v>
      </c>
      <c r="G54" t="s">
        <v>75</v>
      </c>
      <c r="H54" s="31">
        <f>VLOOKUP($F54&amp;$G54,Composite!$A$5:$Q$865,H$3,FALSE)*VLOOKUP($C54,[2]!ExistingSat,MATCH($A54,[2]SATS!$C$10:$F$10,0)+1,FALSE)</f>
        <v>546.77666365839752</v>
      </c>
      <c r="I54">
        <f>VLOOKUP($F54&amp;$G54,Composite!$A$5:$Q$865,I$3,FALSE)</f>
        <v>45</v>
      </c>
      <c r="J54" s="31">
        <f>VLOOKUP($F54&amp;$G54,Composite!$A$5:$Q$865,J$3,FALSE)*VLOOKUP($C54,[2]!ExistingSat,MATCH($A54,[2]SATS!$C$10:$F$10,0)+1,FALSE)</f>
        <v>1403.6424108745796</v>
      </c>
      <c r="K54" s="31">
        <f>VLOOKUP($F54&amp;$G54,Composite!$A$5:$Q$865,K$3,FALSE)*VLOOKUP($C54,[2]!ExistingSat,MATCH($A54,[2]SATS!$C$10:$F$10,0)+1,FALSE)</f>
        <v>0</v>
      </c>
      <c r="L54" t="str">
        <f>VLOOKUP($F54&amp;$G54,Composite!$A$5:$Q$865,L$3,FALSE)</f>
        <v>ResSpHtBBZ1</v>
      </c>
      <c r="M54" s="31">
        <f>VLOOKUP($F54&amp;$G54,Composite!$A$5:$Q$865,M$3,FALSE)*VLOOKUP($C54,[2]!ExistingSat,MATCH($A54,[2]SATS!$C$10:$F$10,0)+1,FALSE)</f>
        <v>4.6841653720420018</v>
      </c>
      <c r="N54" s="31">
        <f>VLOOKUP($F54&amp;$G54,Composite!$A$5:$Q$865,N$3,FALSE)*VLOOKUP($C54,[2]!ExistingSat,MATCH($A54,[2]SATS!$C$10:$F$10,0)+1,FALSE)</f>
        <v>0</v>
      </c>
      <c r="O54">
        <f>VLOOKUP($F54&amp;$G54,Composite!$A$5:$Q$865,O$3,FALSE)</f>
        <v>0</v>
      </c>
      <c r="P54" s="31">
        <f>VLOOKUP($F54&amp;$G54,Composite!$A$5:$Q$865,P$3,FALSE)*VLOOKUP($C54,[2]!ExistingSat,MATCH($A54,[2]SATS!$C$10:$F$10,0)+1,FALSE)</f>
        <v>0</v>
      </c>
      <c r="Q54">
        <f>VLOOKUP($F54&amp;$G54,Composite!$A$5:$Q$865,Q$3,FALSE)</f>
        <v>0</v>
      </c>
      <c r="R54" s="31">
        <f>VLOOKUP($F54&amp;$G54,Composite!$A$5:$Q$865,R$3,FALSE)*VLOOKUP($C54,[2]!ExistingSat,MATCH($A54,[2]SATS!$C$10:$F$10,0)+1,FALSE)</f>
        <v>0</v>
      </c>
      <c r="S54">
        <f>VLOOKUP($F54&amp;$G54,Composite!$A$5:$Q$865,S$3,FALSE)</f>
        <v>0</v>
      </c>
      <c r="T54" s="31">
        <f>VLOOKUP($F54&amp;$G54,Composite!$A$5:$Q$865,T$3,FALSE)*VLOOKUP($C54,[2]!ExistingSat,MATCH($A54,[2]SATS!$C$10:$F$10,0)+1,FALSE)</f>
        <v>0</v>
      </c>
    </row>
    <row r="55" spans="1:20">
      <c r="A55" t="s">
        <v>25</v>
      </c>
      <c r="B55" t="s">
        <v>1359</v>
      </c>
      <c r="C55" t="s">
        <v>28</v>
      </c>
      <c r="D55" t="s">
        <v>60</v>
      </c>
      <c r="E55" t="str">
        <f t="shared" si="0"/>
        <v>Zonal/DHPHZ1ATTIC R19 - R38</v>
      </c>
      <c r="F55" s="31" t="str">
        <f>Composite!B54</f>
        <v>Single Family Weatherization - Insulate Attic - R19 to R38 - Heating Zone 1 (Zonal or DHP)</v>
      </c>
      <c r="G55" t="s">
        <v>77</v>
      </c>
      <c r="H55" s="31">
        <f>VLOOKUP($F55&amp;$G55,Composite!$A$5:$Q$865,H$3,FALSE)*VLOOKUP($C55,[2]!ExistingSat,MATCH($A55,[2]SATS!$C$10:$F$10,0)+1,FALSE)</f>
        <v>268.36381883875953</v>
      </c>
      <c r="I55">
        <f>VLOOKUP($F55&amp;$G55,Composite!$A$5:$Q$865,I$3,FALSE)</f>
        <v>45</v>
      </c>
      <c r="J55" s="31">
        <f>VLOOKUP($F55&amp;$G55,Composite!$A$5:$Q$865,J$3,FALSE)*VLOOKUP($C55,[2]!ExistingSat,MATCH($A55,[2]SATS!$C$10:$F$10,0)+1,FALSE)</f>
        <v>1059.4157107984217</v>
      </c>
      <c r="K55" s="31">
        <f>VLOOKUP($F55&amp;$G55,Composite!$A$5:$Q$865,K$3,FALSE)*VLOOKUP($C55,[2]!ExistingSat,MATCH($A55,[2]SATS!$C$10:$F$10,0)+1,FALSE)</f>
        <v>0</v>
      </c>
      <c r="L55" t="str">
        <f>VLOOKUP($F55&amp;$G55,Composite!$A$5:$Q$865,L$3,FALSE)</f>
        <v>ResSpHtBBZ1</v>
      </c>
      <c r="M55" s="31">
        <f>VLOOKUP($F55&amp;$G55,Composite!$A$5:$Q$865,M$3,FALSE)*VLOOKUP($C55,[2]!ExistingSat,MATCH($A55,[2]SATS!$C$10:$F$10,0)+1,FALSE)</f>
        <v>2.3136062282310839</v>
      </c>
      <c r="N55" s="31">
        <f>VLOOKUP($F55&amp;$G55,Composite!$A$5:$Q$865,N$3,FALSE)*VLOOKUP($C55,[2]!ExistingSat,MATCH($A55,[2]SATS!$C$10:$F$10,0)+1,FALSE)</f>
        <v>0</v>
      </c>
      <c r="O55">
        <f>VLOOKUP($F55&amp;$G55,Composite!$A$5:$Q$865,O$3,FALSE)</f>
        <v>0</v>
      </c>
      <c r="P55" s="31">
        <f>VLOOKUP($F55&amp;$G55,Composite!$A$5:$Q$865,P$3,FALSE)*VLOOKUP($C55,[2]!ExistingSat,MATCH($A55,[2]SATS!$C$10:$F$10,0)+1,FALSE)</f>
        <v>0</v>
      </c>
      <c r="Q55">
        <f>VLOOKUP($F55&amp;$G55,Composite!$A$5:$Q$865,Q$3,FALSE)</f>
        <v>0</v>
      </c>
      <c r="R55" s="31">
        <f>VLOOKUP($F55&amp;$G55,Composite!$A$5:$Q$865,R$3,FALSE)*VLOOKUP($C55,[2]!ExistingSat,MATCH($A55,[2]SATS!$C$10:$F$10,0)+1,FALSE)</f>
        <v>0</v>
      </c>
      <c r="S55">
        <f>VLOOKUP($F55&amp;$G55,Composite!$A$5:$Q$865,S$3,FALSE)</f>
        <v>0</v>
      </c>
      <c r="T55" s="31">
        <f>VLOOKUP($F55&amp;$G55,Composite!$A$5:$Q$865,T$3,FALSE)*VLOOKUP($C55,[2]!ExistingSat,MATCH($A55,[2]SATS!$C$10:$F$10,0)+1,FALSE)</f>
        <v>0</v>
      </c>
    </row>
    <row r="56" spans="1:20">
      <c r="A56" t="s">
        <v>25</v>
      </c>
      <c r="B56" t="s">
        <v>1359</v>
      </c>
      <c r="C56" t="s">
        <v>28</v>
      </c>
      <c r="D56" t="s">
        <v>60</v>
      </c>
      <c r="E56" t="str">
        <f t="shared" si="0"/>
        <v>Zonal/DHPHZ1ATTIC R19 - R49</v>
      </c>
      <c r="F56" s="31" t="str">
        <f>Composite!B55</f>
        <v>Single Family Weatherization - Insulate Attic - R19 to R49 - Heating Zone 1 (Zonal or DHP)</v>
      </c>
      <c r="G56" t="s">
        <v>79</v>
      </c>
      <c r="H56" s="31">
        <f>VLOOKUP($F56&amp;$G56,Composite!$A$5:$Q$865,H$3,FALSE)*VLOOKUP($C56,[2]!ExistingSat,MATCH($A56,[2]SATS!$C$10:$F$10,0)+1,FALSE)</f>
        <v>323.39746790372669</v>
      </c>
      <c r="I56">
        <f>VLOOKUP($F56&amp;$G56,Composite!$A$5:$Q$865,I$3,FALSE)</f>
        <v>45</v>
      </c>
      <c r="J56" s="31">
        <f>VLOOKUP($F56&amp;$G56,Composite!$A$5:$Q$865,J$3,FALSE)*VLOOKUP($C56,[2]!ExistingSat,MATCH($A56,[2]SATS!$C$10:$F$10,0)+1,FALSE)</f>
        <v>1258.7048529477763</v>
      </c>
      <c r="K56" s="31">
        <f>VLOOKUP($F56&amp;$G56,Composite!$A$5:$Q$865,K$3,FALSE)*VLOOKUP($C56,[2]!ExistingSat,MATCH($A56,[2]SATS!$C$10:$F$10,0)+1,FALSE)</f>
        <v>0</v>
      </c>
      <c r="L56" t="str">
        <f>VLOOKUP($F56&amp;$G56,Composite!$A$5:$Q$865,L$3,FALSE)</f>
        <v>ResSpHtBBZ1</v>
      </c>
      <c r="M56" s="31">
        <f>VLOOKUP($F56&amp;$G56,Composite!$A$5:$Q$865,M$3,FALSE)*VLOOKUP($C56,[2]!ExistingSat,MATCH($A56,[2]SATS!$C$10:$F$10,0)+1,FALSE)</f>
        <v>2.8195504140295897</v>
      </c>
      <c r="N56" s="31">
        <f>VLOOKUP($F56&amp;$G56,Composite!$A$5:$Q$865,N$3,FALSE)*VLOOKUP($C56,[2]!ExistingSat,MATCH($A56,[2]SATS!$C$10:$F$10,0)+1,FALSE)</f>
        <v>0</v>
      </c>
      <c r="O56">
        <f>VLOOKUP($F56&amp;$G56,Composite!$A$5:$Q$865,O$3,FALSE)</f>
        <v>0</v>
      </c>
      <c r="P56" s="31">
        <f>VLOOKUP($F56&amp;$G56,Composite!$A$5:$Q$865,P$3,FALSE)*VLOOKUP($C56,[2]!ExistingSat,MATCH($A56,[2]SATS!$C$10:$F$10,0)+1,FALSE)</f>
        <v>0</v>
      </c>
      <c r="Q56">
        <f>VLOOKUP($F56&amp;$G56,Composite!$A$5:$Q$865,Q$3,FALSE)</f>
        <v>0</v>
      </c>
      <c r="R56" s="31">
        <f>VLOOKUP($F56&amp;$G56,Composite!$A$5:$Q$865,R$3,FALSE)*VLOOKUP($C56,[2]!ExistingSat,MATCH($A56,[2]SATS!$C$10:$F$10,0)+1,FALSE)</f>
        <v>0</v>
      </c>
      <c r="S56">
        <f>VLOOKUP($F56&amp;$G56,Composite!$A$5:$Q$865,S$3,FALSE)</f>
        <v>0</v>
      </c>
      <c r="T56" s="31">
        <f>VLOOKUP($F56&amp;$G56,Composite!$A$5:$Q$865,T$3,FALSE)*VLOOKUP($C56,[2]!ExistingSat,MATCH($A56,[2]SATS!$C$10:$F$10,0)+1,FALSE)</f>
        <v>0</v>
      </c>
    </row>
    <row r="57" spans="1:20">
      <c r="A57" t="s">
        <v>25</v>
      </c>
      <c r="B57" t="s">
        <v>1359</v>
      </c>
      <c r="C57" t="s">
        <v>64</v>
      </c>
      <c r="D57" t="s">
        <v>60</v>
      </c>
      <c r="E57" t="str">
        <f t="shared" si="0"/>
        <v>Zonal/DHPHZ1WALL R0 - R11</v>
      </c>
      <c r="F57" s="31" t="str">
        <f>Composite!B56</f>
        <v>Single Family Weatherization - Insulate Wall - R0 to R11 - Heating Zone 1 (Zonal or DHP)</v>
      </c>
      <c r="G57" t="s">
        <v>85</v>
      </c>
      <c r="H57" s="31">
        <f>VLOOKUP($F57&amp;$G57,Composite!$A$5:$Q$865,H$3,FALSE)*VLOOKUP($C57,[2]!ExistingSat,MATCH($A57,[2]SATS!$C$10:$F$10,0)+1,FALSE)</f>
        <v>2644.649876310667</v>
      </c>
      <c r="I57">
        <f>VLOOKUP($F57&amp;$G57,Composite!$A$5:$Q$865,I$3,FALSE)</f>
        <v>45</v>
      </c>
      <c r="J57" s="31">
        <f>VLOOKUP($F57&amp;$G57,Composite!$A$5:$Q$865,J$3,FALSE)*VLOOKUP($C57,[2]!ExistingSat,MATCH($A57,[2]SATS!$C$10:$F$10,0)+1,FALSE)</f>
        <v>2499.2782230652501</v>
      </c>
      <c r="K57" s="31">
        <f>VLOOKUP($F57&amp;$G57,Composite!$A$5:$Q$865,K$3,FALSE)*VLOOKUP($C57,[2]!ExistingSat,MATCH($A57,[2]SATS!$C$10:$F$10,0)+1,FALSE)</f>
        <v>0</v>
      </c>
      <c r="L57" t="str">
        <f>VLOOKUP($F57&amp;$G57,Composite!$A$5:$Q$865,L$3,FALSE)</f>
        <v>ResSpHtBBZ1</v>
      </c>
      <c r="M57" s="31">
        <f>VLOOKUP($F57&amp;$G57,Composite!$A$5:$Q$865,M$3,FALSE)*VLOOKUP($C57,[2]!ExistingSat,MATCH($A57,[2]SATS!$C$10:$F$10,0)+1,FALSE)</f>
        <v>13.991095233063488</v>
      </c>
      <c r="N57" s="31">
        <f>VLOOKUP($F57&amp;$G57,Composite!$A$5:$Q$865,N$3,FALSE)*VLOOKUP($C57,[2]!ExistingSat,MATCH($A57,[2]SATS!$C$10:$F$10,0)+1,FALSE)</f>
        <v>0</v>
      </c>
      <c r="O57">
        <f>VLOOKUP($F57&amp;$G57,Composite!$A$5:$Q$865,O$3,FALSE)</f>
        <v>0</v>
      </c>
      <c r="P57" s="31">
        <f>VLOOKUP($F57&amp;$G57,Composite!$A$5:$Q$865,P$3,FALSE)*VLOOKUP($C57,[2]!ExistingSat,MATCH($A57,[2]SATS!$C$10:$F$10,0)+1,FALSE)</f>
        <v>0</v>
      </c>
      <c r="Q57">
        <f>VLOOKUP($F57&amp;$G57,Composite!$A$5:$Q$865,Q$3,FALSE)</f>
        <v>0</v>
      </c>
      <c r="R57" s="31">
        <f>VLOOKUP($F57&amp;$G57,Composite!$A$5:$Q$865,R$3,FALSE)*VLOOKUP($C57,[2]!ExistingSat,MATCH($A57,[2]SATS!$C$10:$F$10,0)+1,FALSE)</f>
        <v>0</v>
      </c>
      <c r="S57">
        <f>VLOOKUP($F57&amp;$G57,Composite!$A$5:$Q$865,S$3,FALSE)</f>
        <v>0</v>
      </c>
      <c r="T57" s="31">
        <f>VLOOKUP($F57&amp;$G57,Composite!$A$5:$Q$865,T$3,FALSE)*VLOOKUP($C57,[2]!ExistingSat,MATCH($A57,[2]SATS!$C$10:$F$10,0)+1,FALSE)</f>
        <v>0</v>
      </c>
    </row>
    <row r="58" spans="1:20">
      <c r="A58" t="s">
        <v>25</v>
      </c>
      <c r="B58" t="s">
        <v>1359</v>
      </c>
      <c r="C58" t="s">
        <v>26</v>
      </c>
      <c r="D58" t="s">
        <v>60</v>
      </c>
      <c r="E58" t="str">
        <f t="shared" si="0"/>
        <v>Zonal/DHPHZ1FLOOR R0 - R19</v>
      </c>
      <c r="F58" s="31" t="str">
        <f>Composite!B57</f>
        <v>Single Family Weatherization - Insulate Floor - R0 to R19 - Heating Zone 1 (Zonal or DHP)</v>
      </c>
      <c r="G58" t="s">
        <v>87</v>
      </c>
      <c r="H58" s="31">
        <f>VLOOKUP($F58&amp;$G58,Composite!$A$5:$Q$865,H$3,FALSE)*VLOOKUP($C58,[2]!ExistingSat,MATCH($A58,[2]SATS!$C$10:$F$10,0)+1,FALSE)</f>
        <v>1276.8333277107793</v>
      </c>
      <c r="I58">
        <f>VLOOKUP($F58&amp;$G58,Composite!$A$5:$Q$865,I$3,FALSE)</f>
        <v>45</v>
      </c>
      <c r="J58" s="31">
        <f>VLOOKUP($F58&amp;$G58,Composite!$A$5:$Q$865,J$3,FALSE)*VLOOKUP($C58,[2]!ExistingSat,MATCH($A58,[2]SATS!$C$10:$F$10,0)+1,FALSE)</f>
        <v>1759.181492270189</v>
      </c>
      <c r="K58" s="31">
        <f>VLOOKUP($F58&amp;$G58,Composite!$A$5:$Q$865,K$3,FALSE)*VLOOKUP($C58,[2]!ExistingSat,MATCH($A58,[2]SATS!$C$10:$F$10,0)+1,FALSE)</f>
        <v>0</v>
      </c>
      <c r="L58" t="str">
        <f>VLOOKUP($F58&amp;$G58,Composite!$A$5:$Q$865,L$3,FALSE)</f>
        <v>ResSpHtBBZ1</v>
      </c>
      <c r="M58" s="31">
        <f>VLOOKUP($F58&amp;$G58,Composite!$A$5:$Q$865,M$3,FALSE)*VLOOKUP($C58,[2]!ExistingSat,MATCH($A58,[2]SATS!$C$10:$F$10,0)+1,FALSE)</f>
        <v>6.3079925473920015</v>
      </c>
      <c r="N58" s="31">
        <f>VLOOKUP($F58&amp;$G58,Composite!$A$5:$Q$865,N$3,FALSE)*VLOOKUP($C58,[2]!ExistingSat,MATCH($A58,[2]SATS!$C$10:$F$10,0)+1,FALSE)</f>
        <v>0</v>
      </c>
      <c r="O58">
        <f>VLOOKUP($F58&amp;$G58,Composite!$A$5:$Q$865,O$3,FALSE)</f>
        <v>0</v>
      </c>
      <c r="P58" s="31">
        <f>VLOOKUP($F58&amp;$G58,Composite!$A$5:$Q$865,P$3,FALSE)*VLOOKUP($C58,[2]!ExistingSat,MATCH($A58,[2]SATS!$C$10:$F$10,0)+1,FALSE)</f>
        <v>0</v>
      </c>
      <c r="Q58">
        <f>VLOOKUP($F58&amp;$G58,Composite!$A$5:$Q$865,Q$3,FALSE)</f>
        <v>0</v>
      </c>
      <c r="R58" s="31">
        <f>VLOOKUP($F58&amp;$G58,Composite!$A$5:$Q$865,R$3,FALSE)*VLOOKUP($C58,[2]!ExistingSat,MATCH($A58,[2]SATS!$C$10:$F$10,0)+1,FALSE)</f>
        <v>0</v>
      </c>
      <c r="S58">
        <f>VLOOKUP($F58&amp;$G58,Composite!$A$5:$Q$865,S$3,FALSE)</f>
        <v>0</v>
      </c>
      <c r="T58" s="31">
        <f>VLOOKUP($F58&amp;$G58,Composite!$A$5:$Q$865,T$3,FALSE)*VLOOKUP($C58,[2]!ExistingSat,MATCH($A58,[2]SATS!$C$10:$F$10,0)+1,FALSE)</f>
        <v>0</v>
      </c>
    </row>
    <row r="59" spans="1:20">
      <c r="A59" t="s">
        <v>25</v>
      </c>
      <c r="B59" t="s">
        <v>1359</v>
      </c>
      <c r="C59" t="s">
        <v>26</v>
      </c>
      <c r="D59" t="s">
        <v>60</v>
      </c>
      <c r="E59" t="str">
        <f t="shared" si="0"/>
        <v>Zonal/DHPHZ1FLOOR R0 - R25</v>
      </c>
      <c r="F59" s="31" t="str">
        <f>Composite!B58</f>
        <v>Single Family Weatherization - Insulate Floor - R0 to R25 - Heating Zone 1 (Zonal or DHP)</v>
      </c>
      <c r="G59" t="s">
        <v>89</v>
      </c>
      <c r="H59" s="31">
        <f>VLOOKUP($F59&amp;$G59,Composite!$A$5:$Q$865,H$3,FALSE)*VLOOKUP($C59,[2]!ExistingSat,MATCH($A59,[2]SATS!$C$10:$F$10,0)+1,FALSE)</f>
        <v>1367.2470213050333</v>
      </c>
      <c r="I59">
        <f>VLOOKUP($F59&amp;$G59,Composite!$A$5:$Q$865,I$3,FALSE)</f>
        <v>45</v>
      </c>
      <c r="J59" s="31">
        <f>VLOOKUP($F59&amp;$G59,Composite!$A$5:$Q$865,J$3,FALSE)*VLOOKUP($C59,[2]!ExistingSat,MATCH($A59,[2]SATS!$C$10:$F$10,0)+1,FALSE)</f>
        <v>1826.548108429291</v>
      </c>
      <c r="K59" s="31">
        <f>VLOOKUP($F59&amp;$G59,Composite!$A$5:$Q$865,K$3,FALSE)*VLOOKUP($C59,[2]!ExistingSat,MATCH($A59,[2]SATS!$C$10:$F$10,0)+1,FALSE)</f>
        <v>0</v>
      </c>
      <c r="L59" t="str">
        <f>VLOOKUP($F59&amp;$G59,Composite!$A$5:$Q$865,L$3,FALSE)</f>
        <v>ResSpHtBBZ1</v>
      </c>
      <c r="M59" s="31">
        <f>VLOOKUP($F59&amp;$G59,Composite!$A$5:$Q$865,M$3,FALSE)*VLOOKUP($C59,[2]!ExistingSat,MATCH($A59,[2]SATS!$C$10:$F$10,0)+1,FALSE)</f>
        <v>7.2117045255632428</v>
      </c>
      <c r="N59" s="31">
        <f>VLOOKUP($F59&amp;$G59,Composite!$A$5:$Q$865,N$3,FALSE)*VLOOKUP($C59,[2]!ExistingSat,MATCH($A59,[2]SATS!$C$10:$F$10,0)+1,FALSE)</f>
        <v>0</v>
      </c>
      <c r="O59">
        <f>VLOOKUP($F59&amp;$G59,Composite!$A$5:$Q$865,O$3,FALSE)</f>
        <v>0</v>
      </c>
      <c r="P59" s="31">
        <f>VLOOKUP($F59&amp;$G59,Composite!$A$5:$Q$865,P$3,FALSE)*VLOOKUP($C59,[2]!ExistingSat,MATCH($A59,[2]SATS!$C$10:$F$10,0)+1,FALSE)</f>
        <v>0</v>
      </c>
      <c r="Q59">
        <f>VLOOKUP($F59&amp;$G59,Composite!$A$5:$Q$865,Q$3,FALSE)</f>
        <v>0</v>
      </c>
      <c r="R59" s="31">
        <f>VLOOKUP($F59&amp;$G59,Composite!$A$5:$Q$865,R$3,FALSE)*VLOOKUP($C59,[2]!ExistingSat,MATCH($A59,[2]SATS!$C$10:$F$10,0)+1,FALSE)</f>
        <v>0</v>
      </c>
      <c r="S59">
        <f>VLOOKUP($F59&amp;$G59,Composite!$A$5:$Q$865,S$3,FALSE)</f>
        <v>0</v>
      </c>
      <c r="T59" s="31">
        <f>VLOOKUP($F59&amp;$G59,Composite!$A$5:$Q$865,T$3,FALSE)*VLOOKUP($C59,[2]!ExistingSat,MATCH($A59,[2]SATS!$C$10:$F$10,0)+1,FALSE)</f>
        <v>0</v>
      </c>
    </row>
    <row r="60" spans="1:20">
      <c r="A60" t="s">
        <v>25</v>
      </c>
      <c r="B60" t="s">
        <v>1359</v>
      </c>
      <c r="C60" t="s">
        <v>26</v>
      </c>
      <c r="D60" t="s">
        <v>60</v>
      </c>
      <c r="E60" t="str">
        <f t="shared" si="0"/>
        <v>Zonal/DHPHZ1FLOOR R0 - R30</v>
      </c>
      <c r="F60" s="31" t="str">
        <f>Composite!B59</f>
        <v>Single Family Weatherization - Insulate Floor - R0 to R30 - Heating Zone 1 (Zonal or DHP)</v>
      </c>
      <c r="G60" t="s">
        <v>91</v>
      </c>
      <c r="H60" s="31">
        <f>VLOOKUP($F60&amp;$G60,Composite!$A$5:$Q$865,H$3,FALSE)*VLOOKUP($C60,[2]!ExistingSat,MATCH($A60,[2]SATS!$C$10:$F$10,0)+1,FALSE)</f>
        <v>1423.5384211368539</v>
      </c>
      <c r="I60">
        <f>VLOOKUP($F60&amp;$G60,Composite!$A$5:$Q$865,I$3,FALSE)</f>
        <v>45</v>
      </c>
      <c r="J60" s="31">
        <f>VLOOKUP($F60&amp;$G60,Composite!$A$5:$Q$865,J$3,FALSE)*VLOOKUP($C60,[2]!ExistingSat,MATCH($A60,[2]SATS!$C$10:$F$10,0)+1,FALSE)</f>
        <v>1882.6869552285434</v>
      </c>
      <c r="K60" s="31">
        <f>VLOOKUP($F60&amp;$G60,Composite!$A$5:$Q$865,K$3,FALSE)*VLOOKUP($C60,[2]!ExistingSat,MATCH($A60,[2]SATS!$C$10:$F$10,0)+1,FALSE)</f>
        <v>0</v>
      </c>
      <c r="L60" t="str">
        <f>VLOOKUP($F60&amp;$G60,Composite!$A$5:$Q$865,L$3,FALSE)</f>
        <v>ResSpHtBBZ1</v>
      </c>
      <c r="M60" s="31">
        <f>VLOOKUP($F60&amp;$G60,Composite!$A$5:$Q$865,M$3,FALSE)*VLOOKUP($C60,[2]!ExistingSat,MATCH($A60,[2]SATS!$C$10:$F$10,0)+1,FALSE)</f>
        <v>7.8068974271740306</v>
      </c>
      <c r="N60" s="31">
        <f>VLOOKUP($F60&amp;$G60,Composite!$A$5:$Q$865,N$3,FALSE)*VLOOKUP($C60,[2]!ExistingSat,MATCH($A60,[2]SATS!$C$10:$F$10,0)+1,FALSE)</f>
        <v>0</v>
      </c>
      <c r="O60">
        <f>VLOOKUP($F60&amp;$G60,Composite!$A$5:$Q$865,O$3,FALSE)</f>
        <v>0</v>
      </c>
      <c r="P60" s="31">
        <f>VLOOKUP($F60&amp;$G60,Composite!$A$5:$Q$865,P$3,FALSE)*VLOOKUP($C60,[2]!ExistingSat,MATCH($A60,[2]SATS!$C$10:$F$10,0)+1,FALSE)</f>
        <v>0</v>
      </c>
      <c r="Q60">
        <f>VLOOKUP($F60&amp;$G60,Composite!$A$5:$Q$865,Q$3,FALSE)</f>
        <v>0</v>
      </c>
      <c r="R60" s="31">
        <f>VLOOKUP($F60&amp;$G60,Composite!$A$5:$Q$865,R$3,FALSE)*VLOOKUP($C60,[2]!ExistingSat,MATCH($A60,[2]SATS!$C$10:$F$10,0)+1,FALSE)</f>
        <v>0</v>
      </c>
      <c r="S60">
        <f>VLOOKUP($F60&amp;$G60,Composite!$A$5:$Q$865,S$3,FALSE)</f>
        <v>0</v>
      </c>
      <c r="T60" s="31">
        <f>VLOOKUP($F60&amp;$G60,Composite!$A$5:$Q$865,T$3,FALSE)*VLOOKUP($C60,[2]!ExistingSat,MATCH($A60,[2]SATS!$C$10:$F$10,0)+1,FALSE)</f>
        <v>0</v>
      </c>
    </row>
    <row r="61" spans="1:20">
      <c r="A61" t="s">
        <v>25</v>
      </c>
      <c r="B61" t="s">
        <v>1359</v>
      </c>
      <c r="C61" t="s">
        <v>27</v>
      </c>
      <c r="D61" t="s">
        <v>60</v>
      </c>
      <c r="E61" t="str">
        <f t="shared" si="0"/>
        <v>Zonal/DHPHZ1WINDOW CL30 Prime Window Replacement of Single Pane Base</v>
      </c>
      <c r="F61" s="31" t="str">
        <f>Composite!B60</f>
        <v>Windows - Single Pane to Class 30 - Heating Zone 1 (Zonal or DHP)</v>
      </c>
      <c r="G61" t="s">
        <v>93</v>
      </c>
      <c r="H61" s="31">
        <f>VLOOKUP($F61&amp;$G61,Composite!$A$5:$Q$865,H$3,FALSE)*VLOOKUP($C61,[2]!ExistingSat,MATCH($A61,[2]SATS!$C$10:$F$10,0)+1,FALSE)</f>
        <v>1485.7372109602272</v>
      </c>
      <c r="I61">
        <f>VLOOKUP($F61&amp;$G61,Composite!$A$5:$Q$865,I$3,FALSE)</f>
        <v>45</v>
      </c>
      <c r="J61" s="31">
        <f>VLOOKUP($F61&amp;$G61,Composite!$A$5:$Q$865,J$3,FALSE)*VLOOKUP($C61,[2]!ExistingSat,MATCH($A61,[2]SATS!$C$10:$F$10,0)+1,FALSE)</f>
        <v>3312.4380313472334</v>
      </c>
      <c r="K61" s="31">
        <f>VLOOKUP($F61&amp;$G61,Composite!$A$5:$Q$865,K$3,FALSE)*VLOOKUP($C61,[2]!ExistingSat,MATCH($A61,[2]SATS!$C$10:$F$10,0)+1,FALSE)</f>
        <v>0</v>
      </c>
      <c r="L61" t="str">
        <f>VLOOKUP($F61&amp;$G61,Composite!$A$5:$Q$865,L$3,FALSE)</f>
        <v>ResSpHtBBZ1</v>
      </c>
      <c r="M61" s="31">
        <f>VLOOKUP($F61&amp;$G61,Composite!$A$5:$Q$865,M$3,FALSE)*VLOOKUP($C61,[2]!ExistingSat,MATCH($A61,[2]SATS!$C$10:$F$10,0)+1,FALSE)</f>
        <v>13.032674741292347</v>
      </c>
      <c r="N61" s="31">
        <f>VLOOKUP($F61&amp;$G61,Composite!$A$5:$Q$865,N$3,FALSE)*VLOOKUP($C61,[2]!ExistingSat,MATCH($A61,[2]SATS!$C$10:$F$10,0)+1,FALSE)</f>
        <v>0</v>
      </c>
      <c r="O61">
        <f>VLOOKUP($F61&amp;$G61,Composite!$A$5:$Q$865,O$3,FALSE)</f>
        <v>0</v>
      </c>
      <c r="P61" s="31">
        <f>VLOOKUP($F61&amp;$G61,Composite!$A$5:$Q$865,P$3,FALSE)*VLOOKUP($C61,[2]!ExistingSat,MATCH($A61,[2]SATS!$C$10:$F$10,0)+1,FALSE)</f>
        <v>0</v>
      </c>
      <c r="Q61">
        <f>VLOOKUP($F61&amp;$G61,Composite!$A$5:$Q$865,Q$3,FALSE)</f>
        <v>0</v>
      </c>
      <c r="R61" s="31">
        <f>VLOOKUP($F61&amp;$G61,Composite!$A$5:$Q$865,R$3,FALSE)*VLOOKUP($C61,[2]!ExistingSat,MATCH($A61,[2]SATS!$C$10:$F$10,0)+1,FALSE)</f>
        <v>0</v>
      </c>
      <c r="S61">
        <f>VLOOKUP($F61&amp;$G61,Composite!$A$5:$Q$865,S$3,FALSE)</f>
        <v>0</v>
      </c>
      <c r="T61" s="31">
        <f>VLOOKUP($F61&amp;$G61,Composite!$A$5:$Q$865,T$3,FALSE)*VLOOKUP($C61,[2]!ExistingSat,MATCH($A61,[2]SATS!$C$10:$F$10,0)+1,FALSE)</f>
        <v>0</v>
      </c>
    </row>
    <row r="62" spans="1:20">
      <c r="A62" t="s">
        <v>25</v>
      </c>
      <c r="B62" t="s">
        <v>1359</v>
      </c>
      <c r="C62" t="s">
        <v>27</v>
      </c>
      <c r="D62" t="s">
        <v>60</v>
      </c>
      <c r="E62" t="str">
        <f t="shared" si="0"/>
        <v>Zonal/DHPHZ1WINDOW CL30 Prime Window Replacement of Double Pane Base</v>
      </c>
      <c r="F62" s="31" t="str">
        <f>Composite!B61</f>
        <v>Windows - Double Pane to Class 30 - Heating Zone 1 (Zonal or DHP)</v>
      </c>
      <c r="G62" t="s">
        <v>95</v>
      </c>
      <c r="H62" s="31">
        <f>VLOOKUP($F62&amp;$G62,Composite!$A$5:$Q$865,H$3,FALSE)*VLOOKUP($C62,[2]!ExistingSat,MATCH($A62,[2]SATS!$C$10:$F$10,0)+1,FALSE)</f>
        <v>821.09877671501044</v>
      </c>
      <c r="I62">
        <f>VLOOKUP($F62&amp;$G62,Composite!$A$5:$Q$865,I$3,FALSE)</f>
        <v>45</v>
      </c>
      <c r="J62" s="31">
        <f>VLOOKUP($F62&amp;$G62,Composite!$A$5:$Q$865,J$3,FALSE)*VLOOKUP($C62,[2]!ExistingSat,MATCH($A62,[2]SATS!$C$10:$F$10,0)+1,FALSE)</f>
        <v>3312.4380313472334</v>
      </c>
      <c r="K62" s="31">
        <f>VLOOKUP($F62&amp;$G62,Composite!$A$5:$Q$865,K$3,FALSE)*VLOOKUP($C62,[2]!ExistingSat,MATCH($A62,[2]SATS!$C$10:$F$10,0)+1,FALSE)</f>
        <v>0</v>
      </c>
      <c r="L62" t="str">
        <f>VLOOKUP($F62&amp;$G62,Composite!$A$5:$Q$865,L$3,FALSE)</f>
        <v>ResSpHtBBZ1</v>
      </c>
      <c r="M62" s="31">
        <f>VLOOKUP($F62&amp;$G62,Composite!$A$5:$Q$865,M$3,FALSE)*VLOOKUP($C62,[2]!ExistingSat,MATCH($A62,[2]SATS!$C$10:$F$10,0)+1,FALSE)</f>
        <v>7.176522465655844</v>
      </c>
      <c r="N62" s="31">
        <f>VLOOKUP($F62&amp;$G62,Composite!$A$5:$Q$865,N$3,FALSE)*VLOOKUP($C62,[2]!ExistingSat,MATCH($A62,[2]SATS!$C$10:$F$10,0)+1,FALSE)</f>
        <v>0</v>
      </c>
      <c r="O62">
        <f>VLOOKUP($F62&amp;$G62,Composite!$A$5:$Q$865,O$3,FALSE)</f>
        <v>0</v>
      </c>
      <c r="P62" s="31">
        <f>VLOOKUP($F62&amp;$G62,Composite!$A$5:$Q$865,P$3,FALSE)*VLOOKUP($C62,[2]!ExistingSat,MATCH($A62,[2]SATS!$C$10:$F$10,0)+1,FALSE)</f>
        <v>0</v>
      </c>
      <c r="Q62">
        <f>VLOOKUP($F62&amp;$G62,Composite!$A$5:$Q$865,Q$3,FALSE)</f>
        <v>0</v>
      </c>
      <c r="R62" s="31">
        <f>VLOOKUP($F62&amp;$G62,Composite!$A$5:$Q$865,R$3,FALSE)*VLOOKUP($C62,[2]!ExistingSat,MATCH($A62,[2]SATS!$C$10:$F$10,0)+1,FALSE)</f>
        <v>0</v>
      </c>
      <c r="S62">
        <f>VLOOKUP($F62&amp;$G62,Composite!$A$5:$Q$865,S$3,FALSE)</f>
        <v>0</v>
      </c>
      <c r="T62" s="31">
        <f>VLOOKUP($F62&amp;$G62,Composite!$A$5:$Q$865,T$3,FALSE)*VLOOKUP($C62,[2]!ExistingSat,MATCH($A62,[2]SATS!$C$10:$F$10,0)+1,FALSE)</f>
        <v>0</v>
      </c>
    </row>
    <row r="63" spans="1:20">
      <c r="A63" t="s">
        <v>25</v>
      </c>
      <c r="B63" t="s">
        <v>1359</v>
      </c>
      <c r="C63" t="s">
        <v>27</v>
      </c>
      <c r="D63" t="s">
        <v>60</v>
      </c>
      <c r="E63" t="str">
        <f t="shared" si="0"/>
        <v>Zonal/DHPHZ1WINDOW CL22 Prime Window Replacement of Single Pane Base</v>
      </c>
      <c r="F63" s="31" t="str">
        <f>Composite!B62</f>
        <v>Windows - Single Pane to Class 22 - Heating Zone 1 (Zonal or DHP)</v>
      </c>
      <c r="G63" t="s">
        <v>99</v>
      </c>
      <c r="H63" s="31">
        <f>VLOOKUP($F63&amp;$G63,Composite!$A$5:$Q$865,H$3,FALSE)*VLOOKUP($C63,[2]!ExistingSat,MATCH($A63,[2]SATS!$C$10:$F$10,0)+1,FALSE)</f>
        <v>1620.9037581356185</v>
      </c>
      <c r="I63">
        <f>VLOOKUP($F63&amp;$G63,Composite!$A$5:$Q$865,I$3,FALSE)</f>
        <v>45</v>
      </c>
      <c r="J63" s="31">
        <f>VLOOKUP($F63&amp;$G63,Composite!$A$5:$Q$865,J$3,FALSE)*VLOOKUP($C63,[2]!ExistingSat,MATCH($A63,[2]SATS!$C$10:$F$10,0)+1,FALSE)</f>
        <v>3901.0698543939693</v>
      </c>
      <c r="K63" s="31">
        <f>VLOOKUP($F63&amp;$G63,Composite!$A$5:$Q$865,K$3,FALSE)*VLOOKUP($C63,[2]!ExistingSat,MATCH($A63,[2]SATS!$C$10:$F$10,0)+1,FALSE)</f>
        <v>0</v>
      </c>
      <c r="L63" t="str">
        <f>VLOOKUP($F63&amp;$G63,Composite!$A$5:$Q$865,L$3,FALSE)</f>
        <v>ResSpHtBBZ1</v>
      </c>
      <c r="M63" s="31">
        <f>VLOOKUP($F63&amp;$G63,Composite!$A$5:$Q$865,M$3,FALSE)*VLOOKUP($C63,[2]!ExistingSat,MATCH($A63,[2]SATS!$C$10:$F$10,0)+1,FALSE)</f>
        <v>14.543202947451039</v>
      </c>
      <c r="N63" s="31">
        <f>VLOOKUP($F63&amp;$G63,Composite!$A$5:$Q$865,N$3,FALSE)*VLOOKUP($C63,[2]!ExistingSat,MATCH($A63,[2]SATS!$C$10:$F$10,0)+1,FALSE)</f>
        <v>0</v>
      </c>
      <c r="O63">
        <f>VLOOKUP($F63&amp;$G63,Composite!$A$5:$Q$865,O$3,FALSE)</f>
        <v>0</v>
      </c>
      <c r="P63" s="31">
        <f>VLOOKUP($F63&amp;$G63,Composite!$A$5:$Q$865,P$3,FALSE)*VLOOKUP($C63,[2]!ExistingSat,MATCH($A63,[2]SATS!$C$10:$F$10,0)+1,FALSE)</f>
        <v>0</v>
      </c>
      <c r="Q63">
        <f>VLOOKUP($F63&amp;$G63,Composite!$A$5:$Q$865,Q$3,FALSE)</f>
        <v>0</v>
      </c>
      <c r="R63" s="31">
        <f>VLOOKUP($F63&amp;$G63,Composite!$A$5:$Q$865,R$3,FALSE)*VLOOKUP($C63,[2]!ExistingSat,MATCH($A63,[2]SATS!$C$10:$F$10,0)+1,FALSE)</f>
        <v>0</v>
      </c>
      <c r="S63">
        <f>VLOOKUP($F63&amp;$G63,Composite!$A$5:$Q$865,S$3,FALSE)</f>
        <v>0</v>
      </c>
      <c r="T63" s="31">
        <f>VLOOKUP($F63&amp;$G63,Composite!$A$5:$Q$865,T$3,FALSE)*VLOOKUP($C63,[2]!ExistingSat,MATCH($A63,[2]SATS!$C$10:$F$10,0)+1,FALSE)</f>
        <v>0</v>
      </c>
    </row>
    <row r="64" spans="1:20">
      <c r="A64" t="s">
        <v>25</v>
      </c>
      <c r="B64" t="s">
        <v>1359</v>
      </c>
      <c r="C64" t="s">
        <v>27</v>
      </c>
      <c r="D64" t="s">
        <v>60</v>
      </c>
      <c r="E64" t="str">
        <f t="shared" ref="E64:E120" si="1">B64&amp;D64&amp;G64</f>
        <v>Zonal/DHPHZ1WINDOW CL22 Prime Window Replacement of Double Pane Base</v>
      </c>
      <c r="F64" s="31" t="str">
        <f>Composite!B63</f>
        <v>Windows - Double Pane to Class 22 - Heating Zone 1 (Zonal or DHP)</v>
      </c>
      <c r="G64" t="s">
        <v>101</v>
      </c>
      <c r="H64" s="31">
        <f>VLOOKUP($F64&amp;$G64,Composite!$A$5:$Q$865,H$3,FALSE)*VLOOKUP($C64,[2]!ExistingSat,MATCH($A64,[2]SATS!$C$10:$F$10,0)+1,FALSE)</f>
        <v>961.92163781449881</v>
      </c>
      <c r="I64">
        <f>VLOOKUP($F64&amp;$G64,Composite!$A$5:$Q$865,I$3,FALSE)</f>
        <v>45</v>
      </c>
      <c r="J64" s="31">
        <f>VLOOKUP($F64&amp;$G64,Composite!$A$5:$Q$865,J$3,FALSE)*VLOOKUP($C64,[2]!ExistingSat,MATCH($A64,[2]SATS!$C$10:$F$10,0)+1,FALSE)</f>
        <v>3901.0698543939693</v>
      </c>
      <c r="K64" s="31">
        <f>VLOOKUP($F64&amp;$G64,Composite!$A$5:$Q$865,K$3,FALSE)*VLOOKUP($C64,[2]!ExistingSat,MATCH($A64,[2]SATS!$C$10:$F$10,0)+1,FALSE)</f>
        <v>0</v>
      </c>
      <c r="L64" t="str">
        <f>VLOOKUP($F64&amp;$G64,Composite!$A$5:$Q$865,L$3,FALSE)</f>
        <v>ResSpHtBBZ1</v>
      </c>
      <c r="M64" s="31">
        <f>VLOOKUP($F64&amp;$G64,Composite!$A$5:$Q$865,M$3,FALSE)*VLOOKUP($C64,[2]!ExistingSat,MATCH($A64,[2]SATS!$C$10:$F$10,0)+1,FALSE)</f>
        <v>8.7587248932089903</v>
      </c>
      <c r="N64" s="31">
        <f>VLOOKUP($F64&amp;$G64,Composite!$A$5:$Q$865,N$3,FALSE)*VLOOKUP($C64,[2]!ExistingSat,MATCH($A64,[2]SATS!$C$10:$F$10,0)+1,FALSE)</f>
        <v>0</v>
      </c>
      <c r="O64">
        <f>VLOOKUP($F64&amp;$G64,Composite!$A$5:$Q$865,O$3,FALSE)</f>
        <v>0</v>
      </c>
      <c r="P64" s="31">
        <f>VLOOKUP($F64&amp;$G64,Composite!$A$5:$Q$865,P$3,FALSE)*VLOOKUP($C64,[2]!ExistingSat,MATCH($A64,[2]SATS!$C$10:$F$10,0)+1,FALSE)</f>
        <v>0</v>
      </c>
      <c r="Q64">
        <f>VLOOKUP($F64&amp;$G64,Composite!$A$5:$Q$865,Q$3,FALSE)</f>
        <v>0</v>
      </c>
      <c r="R64" s="31">
        <f>VLOOKUP($F64&amp;$G64,Composite!$A$5:$Q$865,R$3,FALSE)*VLOOKUP($C64,[2]!ExistingSat,MATCH($A64,[2]SATS!$C$10:$F$10,0)+1,FALSE)</f>
        <v>0</v>
      </c>
      <c r="S64">
        <f>VLOOKUP($F64&amp;$G64,Composite!$A$5:$Q$865,S$3,FALSE)</f>
        <v>0</v>
      </c>
      <c r="T64" s="31">
        <f>VLOOKUP($F64&amp;$G64,Composite!$A$5:$Q$865,T$3,FALSE)*VLOOKUP($C64,[2]!ExistingSat,MATCH($A64,[2]SATS!$C$10:$F$10,0)+1,FALSE)</f>
        <v>0</v>
      </c>
    </row>
    <row r="65" spans="1:20">
      <c r="A65" t="s">
        <v>25</v>
      </c>
      <c r="B65" t="s">
        <v>1359</v>
      </c>
      <c r="C65" t="s">
        <v>66</v>
      </c>
      <c r="D65" t="s">
        <v>60</v>
      </c>
      <c r="E65" t="str">
        <f t="shared" si="1"/>
        <v>Zonal/DHPHZ1CFM50 Infiltration Reduction</v>
      </c>
      <c r="F65" s="31" t="str">
        <f>Composite!B64</f>
        <v>Infiltration Reduction - CFM50 reduction - Heating Zone 1 (Zonal or DHP)</v>
      </c>
      <c r="G65" s="305" t="s">
        <v>1362</v>
      </c>
      <c r="H65" s="31">
        <f>VLOOKUP($F65&amp;$G65,Composite!$A$5:$Q$865,H$3,FALSE)*VLOOKUP($C65,[2]!ExistingSat,MATCH($A65,[2]SATS!$C$10:$F$10,0)+1,FALSE)</f>
        <v>934.64525006772317</v>
      </c>
      <c r="I65">
        <f>VLOOKUP($F65&amp;$G65,Composite!$A$5:$Q$865,I$3,FALSE)</f>
        <v>15</v>
      </c>
      <c r="J65" s="31">
        <f>VLOOKUP($F65&amp;$G65,Composite!$A$5:$Q$865,J$3,FALSE)*VLOOKUP($C65,[2]!ExistingSat,MATCH($A65,[2]SATS!$C$10:$F$10,0)+1,FALSE)</f>
        <v>1325.3999218794588</v>
      </c>
      <c r="K65" s="31">
        <f>VLOOKUP($F65&amp;$G65,Composite!$A$5:$Q$865,K$3,FALSE)*VLOOKUP($C65,[2]!ExistingSat,MATCH($A65,[2]SATS!$C$10:$F$10,0)+1,FALSE)</f>
        <v>0</v>
      </c>
      <c r="L65" t="str">
        <f>VLOOKUP($F65&amp;$G65,Composite!$A$5:$Q$865,L$3,FALSE)</f>
        <v>ResSpHtBBZ1</v>
      </c>
      <c r="M65" s="31">
        <f>VLOOKUP($F65&amp;$G65,Composite!$A$5:$Q$865,M$3,FALSE)*VLOOKUP($C65,[2]!ExistingSat,MATCH($A65,[2]SATS!$C$10:$F$10,0)+1,FALSE)</f>
        <v>9.095092598099729</v>
      </c>
      <c r="N65" s="31">
        <f>VLOOKUP($F65&amp;$G65,Composite!$A$5:$Q$865,N$3,FALSE)*VLOOKUP($C65,[2]!ExistingSat,MATCH($A65,[2]SATS!$C$10:$F$10,0)+1,FALSE)</f>
        <v>0</v>
      </c>
      <c r="O65">
        <f>VLOOKUP($F65&amp;$G65,Composite!$A$5:$Q$865,O$3,FALSE)</f>
        <v>0</v>
      </c>
      <c r="P65" s="31">
        <f>VLOOKUP($F65&amp;$G65,Composite!$A$5:$Q$865,P$3,FALSE)*VLOOKUP($C65,[2]!ExistingSat,MATCH($A65,[2]SATS!$C$10:$F$10,0)+1,FALSE)</f>
        <v>0</v>
      </c>
      <c r="Q65">
        <f>VLOOKUP($F65&amp;$G65,Composite!$A$5:$Q$865,Q$3,FALSE)</f>
        <v>0</v>
      </c>
      <c r="R65" s="31">
        <f>VLOOKUP($F65&amp;$G65,Composite!$A$5:$Q$865,R$3,FALSE)*VLOOKUP($C65,[2]!ExistingSat,MATCH($A65,[2]SATS!$C$10:$F$10,0)+1,FALSE)</f>
        <v>0</v>
      </c>
      <c r="S65">
        <f>VLOOKUP($F65&amp;$G65,Composite!$A$5:$Q$865,S$3,FALSE)</f>
        <v>0</v>
      </c>
      <c r="T65" s="31">
        <f>VLOOKUP($F65&amp;$G65,Composite!$A$5:$Q$865,T$3,FALSE)*VLOOKUP($C65,[2]!ExistingSat,MATCH($A65,[2]SATS!$C$10:$F$10,0)+1,FALSE)</f>
        <v>0</v>
      </c>
    </row>
    <row r="66" spans="1:20">
      <c r="A66" t="s">
        <v>25</v>
      </c>
      <c r="B66" t="s">
        <v>1359</v>
      </c>
      <c r="C66" t="s">
        <v>28</v>
      </c>
      <c r="D66" t="s">
        <v>61</v>
      </c>
      <c r="E66" t="str">
        <f t="shared" si="1"/>
        <v>Zonal/DHPHZ2ATTIC R0 - R38</v>
      </c>
      <c r="F66" s="31" t="str">
        <f>Composite!B65</f>
        <v>Single Family Weatherization - Insulate Attic - R0 to R38 - Heating Zone 2 (Zonal or DHP)</v>
      </c>
      <c r="G66" t="s">
        <v>68</v>
      </c>
      <c r="H66" s="31">
        <f>VLOOKUP($F66&amp;$G66,Composite!$A$5:$Q$865,H$3,FALSE)*VLOOKUP($C66,[2]!ExistingSat,MATCH($A66,[2]SATS!$C$10:$F$10,0)+1,FALSE)</f>
        <v>3798.9620917363218</v>
      </c>
      <c r="I66">
        <f>VLOOKUP($F66&amp;$G66,Composite!$A$5:$Q$865,I$3,FALSE)</f>
        <v>45</v>
      </c>
      <c r="J66" s="31">
        <f>VLOOKUP($F66&amp;$G66,Composite!$A$5:$Q$865,J$3,FALSE)*VLOOKUP($C66,[2]!ExistingSat,MATCH($A66,[2]SATS!$C$10:$F$10,0)+1,FALSE)</f>
        <v>1403.6424108745796</v>
      </c>
      <c r="K66" s="31">
        <f>VLOOKUP($F66&amp;$G66,Composite!$A$5:$Q$865,K$3,FALSE)*VLOOKUP($C66,[2]!ExistingSat,MATCH($A66,[2]SATS!$C$10:$F$10,0)+1,FALSE)</f>
        <v>0</v>
      </c>
      <c r="L66" t="str">
        <f>VLOOKUP($F66&amp;$G66,Composite!$A$5:$Q$865,L$3,FALSE)</f>
        <v>ResSpHtBBZ2</v>
      </c>
      <c r="M66" s="31">
        <f>VLOOKUP($F66&amp;$G66,Composite!$A$5:$Q$865,M$3,FALSE)*VLOOKUP($C66,[2]!ExistingSat,MATCH($A66,[2]SATS!$C$10:$F$10,0)+1,FALSE)</f>
        <v>12.121606339436784</v>
      </c>
      <c r="N66" s="31">
        <f>VLOOKUP($F66&amp;$G66,Composite!$A$5:$Q$865,N$3,FALSE)*VLOOKUP($C66,[2]!ExistingSat,MATCH($A66,[2]SATS!$C$10:$F$10,0)+1,FALSE)</f>
        <v>0</v>
      </c>
      <c r="O66">
        <f>VLOOKUP($F66&amp;$G66,Composite!$A$5:$Q$865,O$3,FALSE)</f>
        <v>0</v>
      </c>
      <c r="P66" s="31">
        <f>VLOOKUP($F66&amp;$G66,Composite!$A$5:$Q$865,P$3,FALSE)*VLOOKUP($C66,[2]!ExistingSat,MATCH($A66,[2]SATS!$C$10:$F$10,0)+1,FALSE)</f>
        <v>0</v>
      </c>
      <c r="Q66">
        <f>VLOOKUP($F66&amp;$G66,Composite!$A$5:$Q$865,Q$3,FALSE)</f>
        <v>0</v>
      </c>
      <c r="R66" s="31">
        <f>VLOOKUP($F66&amp;$G66,Composite!$A$5:$Q$865,R$3,FALSE)*VLOOKUP($C66,[2]!ExistingSat,MATCH($A66,[2]SATS!$C$10:$F$10,0)+1,FALSE)</f>
        <v>0</v>
      </c>
      <c r="S66">
        <f>VLOOKUP($F66&amp;$G66,Composite!$A$5:$Q$865,S$3,FALSE)</f>
        <v>0</v>
      </c>
      <c r="T66" s="31">
        <f>VLOOKUP($F66&amp;$G66,Composite!$A$5:$Q$865,T$3,FALSE)*VLOOKUP($C66,[2]!ExistingSat,MATCH($A66,[2]SATS!$C$10:$F$10,0)+1,FALSE)</f>
        <v>0</v>
      </c>
    </row>
    <row r="67" spans="1:20">
      <c r="A67" t="s">
        <v>25</v>
      </c>
      <c r="B67" t="s">
        <v>1359</v>
      </c>
      <c r="C67" t="s">
        <v>28</v>
      </c>
      <c r="D67" t="s">
        <v>61</v>
      </c>
      <c r="E67" t="str">
        <f t="shared" si="1"/>
        <v>Zonal/DHPHZ2ATTIC R0 - R49</v>
      </c>
      <c r="F67" s="31" t="str">
        <f>Composite!B66</f>
        <v>Single Family Weatherization - Insulate Attic - R0 to R49 - Heating Zone 2 (Zonal or DHP)</v>
      </c>
      <c r="G67" t="s">
        <v>71</v>
      </c>
      <c r="H67" s="31">
        <f>VLOOKUP($F67&amp;$G67,Composite!$A$5:$Q$865,H$3,FALSE)*VLOOKUP($C67,[2]!ExistingSat,MATCH($A67,[2]SATS!$C$10:$F$10,0)+1,FALSE)</f>
        <v>3854.5174906788206</v>
      </c>
      <c r="I67">
        <f>VLOOKUP($F67&amp;$G67,Composite!$A$5:$Q$865,I$3,FALSE)</f>
        <v>45</v>
      </c>
      <c r="J67" s="31">
        <f>VLOOKUP($F67&amp;$G67,Composite!$A$5:$Q$865,J$3,FALSE)*VLOOKUP($C67,[2]!ExistingSat,MATCH($A67,[2]SATS!$C$10:$F$10,0)+1,FALSE)</f>
        <v>1602.9315530239337</v>
      </c>
      <c r="K67" s="31">
        <f>VLOOKUP($F67&amp;$G67,Composite!$A$5:$Q$865,K$3,FALSE)*VLOOKUP($C67,[2]!ExistingSat,MATCH($A67,[2]SATS!$C$10:$F$10,0)+1,FALSE)</f>
        <v>0</v>
      </c>
      <c r="L67" t="str">
        <f>VLOOKUP($F67&amp;$G67,Composite!$A$5:$Q$865,L$3,FALSE)</f>
        <v>ResSpHtBBZ2</v>
      </c>
      <c r="M67" s="31">
        <f>VLOOKUP($F67&amp;$G67,Composite!$A$5:$Q$865,M$3,FALSE)*VLOOKUP($C67,[2]!ExistingSat,MATCH($A67,[2]SATS!$C$10:$F$10,0)+1,FALSE)</f>
        <v>12.420113001766875</v>
      </c>
      <c r="N67" s="31">
        <f>VLOOKUP($F67&amp;$G67,Composite!$A$5:$Q$865,N$3,FALSE)*VLOOKUP($C67,[2]!ExistingSat,MATCH($A67,[2]SATS!$C$10:$F$10,0)+1,FALSE)</f>
        <v>0</v>
      </c>
      <c r="O67">
        <f>VLOOKUP($F67&amp;$G67,Composite!$A$5:$Q$865,O$3,FALSE)</f>
        <v>0</v>
      </c>
      <c r="P67" s="31">
        <f>VLOOKUP($F67&amp;$G67,Composite!$A$5:$Q$865,P$3,FALSE)*VLOOKUP($C67,[2]!ExistingSat,MATCH($A67,[2]SATS!$C$10:$F$10,0)+1,FALSE)</f>
        <v>0</v>
      </c>
      <c r="Q67">
        <f>VLOOKUP($F67&amp;$G67,Composite!$A$5:$Q$865,Q$3,FALSE)</f>
        <v>0</v>
      </c>
      <c r="R67" s="31">
        <f>VLOOKUP($F67&amp;$G67,Composite!$A$5:$Q$865,R$3,FALSE)*VLOOKUP($C67,[2]!ExistingSat,MATCH($A67,[2]SATS!$C$10:$F$10,0)+1,FALSE)</f>
        <v>0</v>
      </c>
      <c r="S67">
        <f>VLOOKUP($F67&amp;$G67,Composite!$A$5:$Q$865,S$3,FALSE)</f>
        <v>0</v>
      </c>
      <c r="T67" s="31">
        <f>VLOOKUP($F67&amp;$G67,Composite!$A$5:$Q$865,T$3,FALSE)*VLOOKUP($C67,[2]!ExistingSat,MATCH($A67,[2]SATS!$C$10:$F$10,0)+1,FALSE)</f>
        <v>0</v>
      </c>
    </row>
    <row r="68" spans="1:20">
      <c r="A68" t="s">
        <v>25</v>
      </c>
      <c r="B68" t="s">
        <v>1359</v>
      </c>
      <c r="C68" t="s">
        <v>28</v>
      </c>
      <c r="D68" t="s">
        <v>61</v>
      </c>
      <c r="E68" t="str">
        <f t="shared" si="1"/>
        <v>Zonal/DHPHZ2ATTIC R11 - R38</v>
      </c>
      <c r="F68" s="31" t="str">
        <f>Composite!B67</f>
        <v>Single Family Weatherization - Insulate Attic - R11 to R38 - Heating Zone 2 (Zonal or DHP)</v>
      </c>
      <c r="G68" t="s">
        <v>73</v>
      </c>
      <c r="H68" s="31">
        <f>VLOOKUP($F68&amp;$G68,Composite!$A$5:$Q$865,H$3,FALSE)*VLOOKUP($C68,[2]!ExistingSat,MATCH($A68,[2]SATS!$C$10:$F$10,0)+1,FALSE)</f>
        <v>538.62045600841043</v>
      </c>
      <c r="I68">
        <f>VLOOKUP($F68&amp;$G68,Composite!$A$5:$Q$865,I$3,FALSE)</f>
        <v>45</v>
      </c>
      <c r="J68" s="31">
        <f>VLOOKUP($F68&amp;$G68,Composite!$A$5:$Q$865,J$3,FALSE)*VLOOKUP($C68,[2]!ExistingSat,MATCH($A68,[2]SATS!$C$10:$F$10,0)+1,FALSE)</f>
        <v>1204.353268725225</v>
      </c>
      <c r="K68" s="31">
        <f>VLOOKUP($F68&amp;$G68,Composite!$A$5:$Q$865,K$3,FALSE)*VLOOKUP($C68,[2]!ExistingSat,MATCH($A68,[2]SATS!$C$10:$F$10,0)+1,FALSE)</f>
        <v>0</v>
      </c>
      <c r="L68" t="str">
        <f>VLOOKUP($F68&amp;$G68,Composite!$A$5:$Q$865,L$3,FALSE)</f>
        <v>ResSpHtBBZ2</v>
      </c>
      <c r="M68" s="31">
        <f>VLOOKUP($F68&amp;$G68,Composite!$A$5:$Q$865,M$3,FALSE)*VLOOKUP($C68,[2]!ExistingSat,MATCH($A68,[2]SATS!$C$10:$F$10,0)+1,FALSE)</f>
        <v>2.7874681933618408</v>
      </c>
      <c r="N68" s="31">
        <f>VLOOKUP($F68&amp;$G68,Composite!$A$5:$Q$865,N$3,FALSE)*VLOOKUP($C68,[2]!ExistingSat,MATCH($A68,[2]SATS!$C$10:$F$10,0)+1,FALSE)</f>
        <v>0</v>
      </c>
      <c r="O68">
        <f>VLOOKUP($F68&amp;$G68,Composite!$A$5:$Q$865,O$3,FALSE)</f>
        <v>0</v>
      </c>
      <c r="P68" s="31">
        <f>VLOOKUP($F68&amp;$G68,Composite!$A$5:$Q$865,P$3,FALSE)*VLOOKUP($C68,[2]!ExistingSat,MATCH($A68,[2]SATS!$C$10:$F$10,0)+1,FALSE)</f>
        <v>0</v>
      </c>
      <c r="Q68">
        <f>VLOOKUP($F68&amp;$G68,Composite!$A$5:$Q$865,Q$3,FALSE)</f>
        <v>0</v>
      </c>
      <c r="R68" s="31">
        <f>VLOOKUP($F68&amp;$G68,Composite!$A$5:$Q$865,R$3,FALSE)*VLOOKUP($C68,[2]!ExistingSat,MATCH($A68,[2]SATS!$C$10:$F$10,0)+1,FALSE)</f>
        <v>0</v>
      </c>
      <c r="S68">
        <f>VLOOKUP($F68&amp;$G68,Composite!$A$5:$Q$865,S$3,FALSE)</f>
        <v>0</v>
      </c>
      <c r="T68" s="31">
        <f>VLOOKUP($F68&amp;$G68,Composite!$A$5:$Q$865,T$3,FALSE)*VLOOKUP($C68,[2]!ExistingSat,MATCH($A68,[2]SATS!$C$10:$F$10,0)+1,FALSE)</f>
        <v>0</v>
      </c>
    </row>
    <row r="69" spans="1:20">
      <c r="A69" t="s">
        <v>25</v>
      </c>
      <c r="B69" t="s">
        <v>1359</v>
      </c>
      <c r="C69" t="s">
        <v>28</v>
      </c>
      <c r="D69" t="s">
        <v>61</v>
      </c>
      <c r="E69" t="str">
        <f t="shared" si="1"/>
        <v>Zonal/DHPHZ2ATTIC R11 - R49</v>
      </c>
      <c r="F69" s="31" t="str">
        <f>Composite!B68</f>
        <v>Single Family Weatherization - Insulate Attic - R11 to R49 - Heating Zone 2 (Zonal or DHP)</v>
      </c>
      <c r="G69" t="s">
        <v>75</v>
      </c>
      <c r="H69" s="31">
        <f>VLOOKUP($F69&amp;$G69,Composite!$A$5:$Q$865,H$3,FALSE)*VLOOKUP($C69,[2]!ExistingSat,MATCH($A69,[2]SATS!$C$10:$F$10,0)+1,FALSE)</f>
        <v>584.61563581272276</v>
      </c>
      <c r="I69">
        <f>VLOOKUP($F69&amp;$G69,Composite!$A$5:$Q$865,I$3,FALSE)</f>
        <v>45</v>
      </c>
      <c r="J69" s="31">
        <f>VLOOKUP($F69&amp;$G69,Composite!$A$5:$Q$865,J$3,FALSE)*VLOOKUP($C69,[2]!ExistingSat,MATCH($A69,[2]SATS!$C$10:$F$10,0)+1,FALSE)</f>
        <v>1403.6424108745796</v>
      </c>
      <c r="K69" s="31">
        <f>VLOOKUP($F69&amp;$G69,Composite!$A$5:$Q$865,K$3,FALSE)*VLOOKUP($C69,[2]!ExistingSat,MATCH($A69,[2]SATS!$C$10:$F$10,0)+1,FALSE)</f>
        <v>0</v>
      </c>
      <c r="L69" t="str">
        <f>VLOOKUP($F69&amp;$G69,Composite!$A$5:$Q$865,L$3,FALSE)</f>
        <v>ResSpHtBBZ2</v>
      </c>
      <c r="M69" s="31">
        <f>VLOOKUP($F69&amp;$G69,Composite!$A$5:$Q$865,M$3,FALSE)*VLOOKUP($C69,[2]!ExistingSat,MATCH($A69,[2]SATS!$C$10:$F$10,0)+1,FALSE)</f>
        <v>3.0627992946127027</v>
      </c>
      <c r="N69" s="31">
        <f>VLOOKUP($F69&amp;$G69,Composite!$A$5:$Q$865,N$3,FALSE)*VLOOKUP($C69,[2]!ExistingSat,MATCH($A69,[2]SATS!$C$10:$F$10,0)+1,FALSE)</f>
        <v>0</v>
      </c>
      <c r="O69">
        <f>VLOOKUP($F69&amp;$G69,Composite!$A$5:$Q$865,O$3,FALSE)</f>
        <v>0</v>
      </c>
      <c r="P69" s="31">
        <f>VLOOKUP($F69&amp;$G69,Composite!$A$5:$Q$865,P$3,FALSE)*VLOOKUP($C69,[2]!ExistingSat,MATCH($A69,[2]SATS!$C$10:$F$10,0)+1,FALSE)</f>
        <v>0</v>
      </c>
      <c r="Q69">
        <f>VLOOKUP($F69&amp;$G69,Composite!$A$5:$Q$865,Q$3,FALSE)</f>
        <v>0</v>
      </c>
      <c r="R69" s="31">
        <f>VLOOKUP($F69&amp;$G69,Composite!$A$5:$Q$865,R$3,FALSE)*VLOOKUP($C69,[2]!ExistingSat,MATCH($A69,[2]SATS!$C$10:$F$10,0)+1,FALSE)</f>
        <v>0</v>
      </c>
      <c r="S69">
        <f>VLOOKUP($F69&amp;$G69,Composite!$A$5:$Q$865,S$3,FALSE)</f>
        <v>0</v>
      </c>
      <c r="T69" s="31">
        <f>VLOOKUP($F69&amp;$G69,Composite!$A$5:$Q$865,T$3,FALSE)*VLOOKUP($C69,[2]!ExistingSat,MATCH($A69,[2]SATS!$C$10:$F$10,0)+1,FALSE)</f>
        <v>0</v>
      </c>
    </row>
    <row r="70" spans="1:20">
      <c r="A70" t="s">
        <v>25</v>
      </c>
      <c r="B70" t="s">
        <v>1359</v>
      </c>
      <c r="C70" t="s">
        <v>28</v>
      </c>
      <c r="D70" t="s">
        <v>61</v>
      </c>
      <c r="E70" t="str">
        <f t="shared" si="1"/>
        <v>Zonal/DHPHZ2ATTIC R19 - R38</v>
      </c>
      <c r="F70" s="31" t="str">
        <f>Composite!B69</f>
        <v>Single Family Weatherization - Insulate Attic - R19 to R38 - Heating Zone 2 (Zonal or DHP)</v>
      </c>
      <c r="G70" t="s">
        <v>77</v>
      </c>
      <c r="H70" s="31">
        <f>VLOOKUP($F70&amp;$G70,Composite!$A$5:$Q$865,H$3,FALSE)*VLOOKUP($C70,[2]!ExistingSat,MATCH($A70,[2]SATS!$C$10:$F$10,0)+1,FALSE)</f>
        <v>265.99860242743819</v>
      </c>
      <c r="I70">
        <f>VLOOKUP($F70&amp;$G70,Composite!$A$5:$Q$865,I$3,FALSE)</f>
        <v>45</v>
      </c>
      <c r="J70" s="31">
        <f>VLOOKUP($F70&amp;$G70,Composite!$A$5:$Q$865,J$3,FALSE)*VLOOKUP($C70,[2]!ExistingSat,MATCH($A70,[2]SATS!$C$10:$F$10,0)+1,FALSE)</f>
        <v>1059.4157107984217</v>
      </c>
      <c r="K70" s="31">
        <f>VLOOKUP($F70&amp;$G70,Composite!$A$5:$Q$865,K$3,FALSE)*VLOOKUP($C70,[2]!ExistingSat,MATCH($A70,[2]SATS!$C$10:$F$10,0)+1,FALSE)</f>
        <v>0</v>
      </c>
      <c r="L70" t="str">
        <f>VLOOKUP($F70&amp;$G70,Composite!$A$5:$Q$865,L$3,FALSE)</f>
        <v>ResSpHtBBZ2</v>
      </c>
      <c r="M70" s="31">
        <f>VLOOKUP($F70&amp;$G70,Composite!$A$5:$Q$865,M$3,FALSE)*VLOOKUP($C70,[2]!ExistingSat,MATCH($A70,[2]SATS!$C$10:$F$10,0)+1,FALSE)</f>
        <v>1.4316574113851952</v>
      </c>
      <c r="N70" s="31">
        <f>VLOOKUP($F70&amp;$G70,Composite!$A$5:$Q$865,N$3,FALSE)*VLOOKUP($C70,[2]!ExistingSat,MATCH($A70,[2]SATS!$C$10:$F$10,0)+1,FALSE)</f>
        <v>0</v>
      </c>
      <c r="O70">
        <f>VLOOKUP($F70&amp;$G70,Composite!$A$5:$Q$865,O$3,FALSE)</f>
        <v>0</v>
      </c>
      <c r="P70" s="31">
        <f>VLOOKUP($F70&amp;$G70,Composite!$A$5:$Q$865,P$3,FALSE)*VLOOKUP($C70,[2]!ExistingSat,MATCH($A70,[2]SATS!$C$10:$F$10,0)+1,FALSE)</f>
        <v>0</v>
      </c>
      <c r="Q70">
        <f>VLOOKUP($F70&amp;$G70,Composite!$A$5:$Q$865,Q$3,FALSE)</f>
        <v>0</v>
      </c>
      <c r="R70" s="31">
        <f>VLOOKUP($F70&amp;$G70,Composite!$A$5:$Q$865,R$3,FALSE)*VLOOKUP($C70,[2]!ExistingSat,MATCH($A70,[2]SATS!$C$10:$F$10,0)+1,FALSE)</f>
        <v>0</v>
      </c>
      <c r="S70">
        <f>VLOOKUP($F70&amp;$G70,Composite!$A$5:$Q$865,S$3,FALSE)</f>
        <v>0</v>
      </c>
      <c r="T70" s="31">
        <f>VLOOKUP($F70&amp;$G70,Composite!$A$5:$Q$865,T$3,FALSE)*VLOOKUP($C70,[2]!ExistingSat,MATCH($A70,[2]SATS!$C$10:$F$10,0)+1,FALSE)</f>
        <v>0</v>
      </c>
    </row>
    <row r="71" spans="1:20">
      <c r="A71" t="s">
        <v>25</v>
      </c>
      <c r="B71" t="s">
        <v>1359</v>
      </c>
      <c r="C71" t="s">
        <v>28</v>
      </c>
      <c r="D71" t="s">
        <v>61</v>
      </c>
      <c r="E71" t="str">
        <f t="shared" si="1"/>
        <v>Zonal/DHPHZ2ATTIC R19 - R49</v>
      </c>
      <c r="F71" s="31" t="str">
        <f>Composite!B70</f>
        <v>Single Family Weatherization - Insulate Attic - R19 to R49 - Heating Zone 2 (Zonal or DHP)</v>
      </c>
      <c r="G71" t="s">
        <v>79</v>
      </c>
      <c r="H71" s="31">
        <f>VLOOKUP($F71&amp;$G71,Composite!$A$5:$Q$865,H$3,FALSE)*VLOOKUP($C71,[2]!ExistingSat,MATCH($A71,[2]SATS!$C$10:$F$10,0)+1,FALSE)</f>
        <v>320.63189601156677</v>
      </c>
      <c r="I71">
        <f>VLOOKUP($F71&amp;$G71,Composite!$A$5:$Q$865,I$3,FALSE)</f>
        <v>45</v>
      </c>
      <c r="J71" s="31">
        <f>VLOOKUP($F71&amp;$G71,Composite!$A$5:$Q$865,J$3,FALSE)*VLOOKUP($C71,[2]!ExistingSat,MATCH($A71,[2]SATS!$C$10:$F$10,0)+1,FALSE)</f>
        <v>1258.7048529477763</v>
      </c>
      <c r="K71" s="31">
        <f>VLOOKUP($F71&amp;$G71,Composite!$A$5:$Q$865,K$3,FALSE)*VLOOKUP($C71,[2]!ExistingSat,MATCH($A71,[2]SATS!$C$10:$F$10,0)+1,FALSE)</f>
        <v>0</v>
      </c>
      <c r="L71" t="str">
        <f>VLOOKUP($F71&amp;$G71,Composite!$A$5:$Q$865,L$3,FALSE)</f>
        <v>ResSpHtBBZ2</v>
      </c>
      <c r="M71" s="31">
        <f>VLOOKUP($F71&amp;$G71,Composite!$A$5:$Q$865,M$3,FALSE)*VLOOKUP($C71,[2]!ExistingSat,MATCH($A71,[2]SATS!$C$10:$F$10,0)+1,FALSE)</f>
        <v>1.7457965257836947</v>
      </c>
      <c r="N71" s="31">
        <f>VLOOKUP($F71&amp;$G71,Composite!$A$5:$Q$865,N$3,FALSE)*VLOOKUP($C71,[2]!ExistingSat,MATCH($A71,[2]SATS!$C$10:$F$10,0)+1,FALSE)</f>
        <v>0</v>
      </c>
      <c r="O71">
        <f>VLOOKUP($F71&amp;$G71,Composite!$A$5:$Q$865,O$3,FALSE)</f>
        <v>0</v>
      </c>
      <c r="P71" s="31">
        <f>VLOOKUP($F71&amp;$G71,Composite!$A$5:$Q$865,P$3,FALSE)*VLOOKUP($C71,[2]!ExistingSat,MATCH($A71,[2]SATS!$C$10:$F$10,0)+1,FALSE)</f>
        <v>0</v>
      </c>
      <c r="Q71">
        <f>VLOOKUP($F71&amp;$G71,Composite!$A$5:$Q$865,Q$3,FALSE)</f>
        <v>0</v>
      </c>
      <c r="R71" s="31">
        <f>VLOOKUP($F71&amp;$G71,Composite!$A$5:$Q$865,R$3,FALSE)*VLOOKUP($C71,[2]!ExistingSat,MATCH($A71,[2]SATS!$C$10:$F$10,0)+1,FALSE)</f>
        <v>0</v>
      </c>
      <c r="S71">
        <f>VLOOKUP($F71&amp;$G71,Composite!$A$5:$Q$865,S$3,FALSE)</f>
        <v>0</v>
      </c>
      <c r="T71" s="31">
        <f>VLOOKUP($F71&amp;$G71,Composite!$A$5:$Q$865,T$3,FALSE)*VLOOKUP($C71,[2]!ExistingSat,MATCH($A71,[2]SATS!$C$10:$F$10,0)+1,FALSE)</f>
        <v>0</v>
      </c>
    </row>
    <row r="72" spans="1:20">
      <c r="A72" t="s">
        <v>25</v>
      </c>
      <c r="B72" t="s">
        <v>1359</v>
      </c>
      <c r="C72" t="s">
        <v>64</v>
      </c>
      <c r="D72" t="s">
        <v>61</v>
      </c>
      <c r="E72" t="str">
        <f t="shared" si="1"/>
        <v>Zonal/DHPHZ2WALL R0 - R11</v>
      </c>
      <c r="F72" s="31" t="str">
        <f>Composite!B71</f>
        <v>Single Family Weatherization - Insulate Wall - R0 to R11 - Heating Zone 2 (Zonal or DHP)</v>
      </c>
      <c r="G72" t="s">
        <v>85</v>
      </c>
      <c r="H72" s="31">
        <f>VLOOKUP($F72&amp;$G72,Composite!$A$5:$Q$865,H$3,FALSE)*VLOOKUP($C72,[2]!ExistingSat,MATCH($A72,[2]SATS!$C$10:$F$10,0)+1,FALSE)</f>
        <v>3413.7610774141735</v>
      </c>
      <c r="I72">
        <f>VLOOKUP($F72&amp;$G72,Composite!$A$5:$Q$865,I$3,FALSE)</f>
        <v>45</v>
      </c>
      <c r="J72" s="31">
        <f>VLOOKUP($F72&amp;$G72,Composite!$A$5:$Q$865,J$3,FALSE)*VLOOKUP($C72,[2]!ExistingSat,MATCH($A72,[2]SATS!$C$10:$F$10,0)+1,FALSE)</f>
        <v>2499.2782230652501</v>
      </c>
      <c r="K72" s="31">
        <f>VLOOKUP($F72&amp;$G72,Composite!$A$5:$Q$865,K$3,FALSE)*VLOOKUP($C72,[2]!ExistingSat,MATCH($A72,[2]SATS!$C$10:$F$10,0)+1,FALSE)</f>
        <v>0</v>
      </c>
      <c r="L72" t="str">
        <f>VLOOKUP($F72&amp;$G72,Composite!$A$5:$Q$865,L$3,FALSE)</f>
        <v>ResSpHtBBZ2</v>
      </c>
      <c r="M72" s="31">
        <f>VLOOKUP($F72&amp;$G72,Composite!$A$5:$Q$865,M$3,FALSE)*VLOOKUP($C72,[2]!ExistingSat,MATCH($A72,[2]SATS!$C$10:$F$10,0)+1,FALSE)</f>
        <v>10.709590889916976</v>
      </c>
      <c r="N72" s="31">
        <f>VLOOKUP($F72&amp;$G72,Composite!$A$5:$Q$865,N$3,FALSE)*VLOOKUP($C72,[2]!ExistingSat,MATCH($A72,[2]SATS!$C$10:$F$10,0)+1,FALSE)</f>
        <v>0</v>
      </c>
      <c r="O72">
        <f>VLOOKUP($F72&amp;$G72,Composite!$A$5:$Q$865,O$3,FALSE)</f>
        <v>0</v>
      </c>
      <c r="P72" s="31">
        <f>VLOOKUP($F72&amp;$G72,Composite!$A$5:$Q$865,P$3,FALSE)*VLOOKUP($C72,[2]!ExistingSat,MATCH($A72,[2]SATS!$C$10:$F$10,0)+1,FALSE)</f>
        <v>0</v>
      </c>
      <c r="Q72">
        <f>VLOOKUP($F72&amp;$G72,Composite!$A$5:$Q$865,Q$3,FALSE)</f>
        <v>0</v>
      </c>
      <c r="R72" s="31">
        <f>VLOOKUP($F72&amp;$G72,Composite!$A$5:$Q$865,R$3,FALSE)*VLOOKUP($C72,[2]!ExistingSat,MATCH($A72,[2]SATS!$C$10:$F$10,0)+1,FALSE)</f>
        <v>0</v>
      </c>
      <c r="S72">
        <f>VLOOKUP($F72&amp;$G72,Composite!$A$5:$Q$865,S$3,FALSE)</f>
        <v>0</v>
      </c>
      <c r="T72" s="31">
        <f>VLOOKUP($F72&amp;$G72,Composite!$A$5:$Q$865,T$3,FALSE)*VLOOKUP($C72,[2]!ExistingSat,MATCH($A72,[2]SATS!$C$10:$F$10,0)+1,FALSE)</f>
        <v>0</v>
      </c>
    </row>
    <row r="73" spans="1:20">
      <c r="A73" t="s">
        <v>25</v>
      </c>
      <c r="B73" t="s">
        <v>1359</v>
      </c>
      <c r="C73" t="s">
        <v>26</v>
      </c>
      <c r="D73" t="s">
        <v>61</v>
      </c>
      <c r="E73" t="str">
        <f t="shared" si="1"/>
        <v>Zonal/DHPHZ2FLOOR R0 - R19</v>
      </c>
      <c r="F73" s="31" t="str">
        <f>Composite!B72</f>
        <v>Single Family Weatherization - Insulate Floor - R0 to R19 - Heating Zone 2 (Zonal or DHP)</v>
      </c>
      <c r="G73" t="s">
        <v>87</v>
      </c>
      <c r="H73" s="31">
        <f>VLOOKUP($F73&amp;$G73,Composite!$A$5:$Q$865,H$3,FALSE)*VLOOKUP($C73,[2]!ExistingSat,MATCH($A73,[2]SATS!$C$10:$F$10,0)+1,FALSE)</f>
        <v>1496.6796442726838</v>
      </c>
      <c r="I73">
        <f>VLOOKUP($F73&amp;$G73,Composite!$A$5:$Q$865,I$3,FALSE)</f>
        <v>45</v>
      </c>
      <c r="J73" s="31">
        <f>VLOOKUP($F73&amp;$G73,Composite!$A$5:$Q$865,J$3,FALSE)*VLOOKUP($C73,[2]!ExistingSat,MATCH($A73,[2]SATS!$C$10:$F$10,0)+1,FALSE)</f>
        <v>1759.181492270189</v>
      </c>
      <c r="K73" s="31">
        <f>VLOOKUP($F73&amp;$G73,Composite!$A$5:$Q$865,K$3,FALSE)*VLOOKUP($C73,[2]!ExistingSat,MATCH($A73,[2]SATS!$C$10:$F$10,0)+1,FALSE)</f>
        <v>0</v>
      </c>
      <c r="L73" t="str">
        <f>VLOOKUP($F73&amp;$G73,Composite!$A$5:$Q$865,L$3,FALSE)</f>
        <v>ResSpHtBBZ2</v>
      </c>
      <c r="M73" s="31">
        <f>VLOOKUP($F73&amp;$G73,Composite!$A$5:$Q$865,M$3,FALSE)*VLOOKUP($C73,[2]!ExistingSat,MATCH($A73,[2]SATS!$C$10:$F$10,0)+1,FALSE)</f>
        <v>3.4513194824585045</v>
      </c>
      <c r="N73" s="31">
        <f>VLOOKUP($F73&amp;$G73,Composite!$A$5:$Q$865,N$3,FALSE)*VLOOKUP($C73,[2]!ExistingSat,MATCH($A73,[2]SATS!$C$10:$F$10,0)+1,FALSE)</f>
        <v>0</v>
      </c>
      <c r="O73">
        <f>VLOOKUP($F73&amp;$G73,Composite!$A$5:$Q$865,O$3,FALSE)</f>
        <v>0</v>
      </c>
      <c r="P73" s="31">
        <f>VLOOKUP($F73&amp;$G73,Composite!$A$5:$Q$865,P$3,FALSE)*VLOOKUP($C73,[2]!ExistingSat,MATCH($A73,[2]SATS!$C$10:$F$10,0)+1,FALSE)</f>
        <v>0</v>
      </c>
      <c r="Q73">
        <f>VLOOKUP($F73&amp;$G73,Composite!$A$5:$Q$865,Q$3,FALSE)</f>
        <v>0</v>
      </c>
      <c r="R73" s="31">
        <f>VLOOKUP($F73&amp;$G73,Composite!$A$5:$Q$865,R$3,FALSE)*VLOOKUP($C73,[2]!ExistingSat,MATCH($A73,[2]SATS!$C$10:$F$10,0)+1,FALSE)</f>
        <v>0</v>
      </c>
      <c r="S73">
        <f>VLOOKUP($F73&amp;$G73,Composite!$A$5:$Q$865,S$3,FALSE)</f>
        <v>0</v>
      </c>
      <c r="T73" s="31">
        <f>VLOOKUP($F73&amp;$G73,Composite!$A$5:$Q$865,T$3,FALSE)*VLOOKUP($C73,[2]!ExistingSat,MATCH($A73,[2]SATS!$C$10:$F$10,0)+1,FALSE)</f>
        <v>0</v>
      </c>
    </row>
    <row r="74" spans="1:20">
      <c r="A74" t="s">
        <v>25</v>
      </c>
      <c r="B74" t="s">
        <v>1359</v>
      </c>
      <c r="C74" t="s">
        <v>26</v>
      </c>
      <c r="D74" t="s">
        <v>61</v>
      </c>
      <c r="E74" t="str">
        <f t="shared" si="1"/>
        <v>Zonal/DHPHZ2FLOOR R0 - R25</v>
      </c>
      <c r="F74" s="31" t="str">
        <f>Composite!B73</f>
        <v>Single Family Weatherization - Insulate Floor - R0 to R25 - Heating Zone 2 (Zonal or DHP)</v>
      </c>
      <c r="G74" t="s">
        <v>89</v>
      </c>
      <c r="H74" s="31">
        <f>VLOOKUP($F74&amp;$G74,Composite!$A$5:$Q$865,H$3,FALSE)*VLOOKUP($C74,[2]!ExistingSat,MATCH($A74,[2]SATS!$C$10:$F$10,0)+1,FALSE)</f>
        <v>1605.749700590258</v>
      </c>
      <c r="I74">
        <f>VLOOKUP($F74&amp;$G74,Composite!$A$5:$Q$865,I$3,FALSE)</f>
        <v>45</v>
      </c>
      <c r="J74" s="31">
        <f>VLOOKUP($F74&amp;$G74,Composite!$A$5:$Q$865,J$3,FALSE)*VLOOKUP($C74,[2]!ExistingSat,MATCH($A74,[2]SATS!$C$10:$F$10,0)+1,FALSE)</f>
        <v>1826.548108429291</v>
      </c>
      <c r="K74" s="31">
        <f>VLOOKUP($F74&amp;$G74,Composite!$A$5:$Q$865,K$3,FALSE)*VLOOKUP($C74,[2]!ExistingSat,MATCH($A74,[2]SATS!$C$10:$F$10,0)+1,FALSE)</f>
        <v>0</v>
      </c>
      <c r="L74" t="str">
        <f>VLOOKUP($F74&amp;$G74,Composite!$A$5:$Q$865,L$3,FALSE)</f>
        <v>ResSpHtBBZ2</v>
      </c>
      <c r="M74" s="31">
        <f>VLOOKUP($F74&amp;$G74,Composite!$A$5:$Q$865,M$3,FALSE)*VLOOKUP($C74,[2]!ExistingSat,MATCH($A74,[2]SATS!$C$10:$F$10,0)+1,FALSE)</f>
        <v>4.1177702342247775</v>
      </c>
      <c r="N74" s="31">
        <f>VLOOKUP($F74&amp;$G74,Composite!$A$5:$Q$865,N$3,FALSE)*VLOOKUP($C74,[2]!ExistingSat,MATCH($A74,[2]SATS!$C$10:$F$10,0)+1,FALSE)</f>
        <v>0</v>
      </c>
      <c r="O74">
        <f>VLOOKUP($F74&amp;$G74,Composite!$A$5:$Q$865,O$3,FALSE)</f>
        <v>0</v>
      </c>
      <c r="P74" s="31">
        <f>VLOOKUP($F74&amp;$G74,Composite!$A$5:$Q$865,P$3,FALSE)*VLOOKUP($C74,[2]!ExistingSat,MATCH($A74,[2]SATS!$C$10:$F$10,0)+1,FALSE)</f>
        <v>0</v>
      </c>
      <c r="Q74">
        <f>VLOOKUP($F74&amp;$G74,Composite!$A$5:$Q$865,Q$3,FALSE)</f>
        <v>0</v>
      </c>
      <c r="R74" s="31">
        <f>VLOOKUP($F74&amp;$G74,Composite!$A$5:$Q$865,R$3,FALSE)*VLOOKUP($C74,[2]!ExistingSat,MATCH($A74,[2]SATS!$C$10:$F$10,0)+1,FALSE)</f>
        <v>0</v>
      </c>
      <c r="S74">
        <f>VLOOKUP($F74&amp;$G74,Composite!$A$5:$Q$865,S$3,FALSE)</f>
        <v>0</v>
      </c>
      <c r="T74" s="31">
        <f>VLOOKUP($F74&amp;$G74,Composite!$A$5:$Q$865,T$3,FALSE)*VLOOKUP($C74,[2]!ExistingSat,MATCH($A74,[2]SATS!$C$10:$F$10,0)+1,FALSE)</f>
        <v>0</v>
      </c>
    </row>
    <row r="75" spans="1:20">
      <c r="A75" t="s">
        <v>25</v>
      </c>
      <c r="B75" t="s">
        <v>1359</v>
      </c>
      <c r="C75" t="s">
        <v>26</v>
      </c>
      <c r="D75" t="s">
        <v>61</v>
      </c>
      <c r="E75" t="str">
        <f t="shared" si="1"/>
        <v>Zonal/DHPHZ2FLOOR R0 - R30</v>
      </c>
      <c r="F75" s="31" t="str">
        <f>Composite!B74</f>
        <v>Single Family Weatherization - Insulate Floor - R0 to R30 - Heating Zone 2 (Zonal or DHP)</v>
      </c>
      <c r="G75" t="s">
        <v>91</v>
      </c>
      <c r="H75" s="31">
        <f>VLOOKUP($F75&amp;$G75,Composite!$A$5:$Q$865,H$3,FALSE)*VLOOKUP($C75,[2]!ExistingSat,MATCH($A75,[2]SATS!$C$10:$F$10,0)+1,FALSE)</f>
        <v>1673.8106621522015</v>
      </c>
      <c r="I75">
        <f>VLOOKUP($F75&amp;$G75,Composite!$A$5:$Q$865,I$3,FALSE)</f>
        <v>45</v>
      </c>
      <c r="J75" s="31">
        <f>VLOOKUP($F75&amp;$G75,Composite!$A$5:$Q$865,J$3,FALSE)*VLOOKUP($C75,[2]!ExistingSat,MATCH($A75,[2]SATS!$C$10:$F$10,0)+1,FALSE)</f>
        <v>1882.6869552285434</v>
      </c>
      <c r="K75" s="31">
        <f>VLOOKUP($F75&amp;$G75,Composite!$A$5:$Q$865,K$3,FALSE)*VLOOKUP($C75,[2]!ExistingSat,MATCH($A75,[2]SATS!$C$10:$F$10,0)+1,FALSE)</f>
        <v>0</v>
      </c>
      <c r="L75" t="str">
        <f>VLOOKUP($F75&amp;$G75,Composite!$A$5:$Q$865,L$3,FALSE)</f>
        <v>ResSpHtBBZ2</v>
      </c>
      <c r="M75" s="31">
        <f>VLOOKUP($F75&amp;$G75,Composite!$A$5:$Q$865,M$3,FALSE)*VLOOKUP($C75,[2]!ExistingSat,MATCH($A75,[2]SATS!$C$10:$F$10,0)+1,FALSE)</f>
        <v>4.5564004108914853</v>
      </c>
      <c r="N75" s="31">
        <f>VLOOKUP($F75&amp;$G75,Composite!$A$5:$Q$865,N$3,FALSE)*VLOOKUP($C75,[2]!ExistingSat,MATCH($A75,[2]SATS!$C$10:$F$10,0)+1,FALSE)</f>
        <v>0</v>
      </c>
      <c r="O75">
        <f>VLOOKUP($F75&amp;$G75,Composite!$A$5:$Q$865,O$3,FALSE)</f>
        <v>0</v>
      </c>
      <c r="P75" s="31">
        <f>VLOOKUP($F75&amp;$G75,Composite!$A$5:$Q$865,P$3,FALSE)*VLOOKUP($C75,[2]!ExistingSat,MATCH($A75,[2]SATS!$C$10:$F$10,0)+1,FALSE)</f>
        <v>0</v>
      </c>
      <c r="Q75">
        <f>VLOOKUP($F75&amp;$G75,Composite!$A$5:$Q$865,Q$3,FALSE)</f>
        <v>0</v>
      </c>
      <c r="R75" s="31">
        <f>VLOOKUP($F75&amp;$G75,Composite!$A$5:$Q$865,R$3,FALSE)*VLOOKUP($C75,[2]!ExistingSat,MATCH($A75,[2]SATS!$C$10:$F$10,0)+1,FALSE)</f>
        <v>0</v>
      </c>
      <c r="S75">
        <f>VLOOKUP($F75&amp;$G75,Composite!$A$5:$Q$865,S$3,FALSE)</f>
        <v>0</v>
      </c>
      <c r="T75" s="31">
        <f>VLOOKUP($F75&amp;$G75,Composite!$A$5:$Q$865,T$3,FALSE)*VLOOKUP($C75,[2]!ExistingSat,MATCH($A75,[2]SATS!$C$10:$F$10,0)+1,FALSE)</f>
        <v>0</v>
      </c>
    </row>
    <row r="76" spans="1:20">
      <c r="A76" t="s">
        <v>25</v>
      </c>
      <c r="B76" t="s">
        <v>1359</v>
      </c>
      <c r="C76" t="s">
        <v>27</v>
      </c>
      <c r="D76" t="s">
        <v>61</v>
      </c>
      <c r="E76" t="str">
        <f t="shared" si="1"/>
        <v>Zonal/DHPHZ2WINDOW CL30 Prime Window Replacement of Single Pane Base</v>
      </c>
      <c r="F76" s="31" t="str">
        <f>Composite!B75</f>
        <v>Windows - Single Pane to Class 30 - Heating Zone 2 (Zonal or DHP)</v>
      </c>
      <c r="G76" t="s">
        <v>93</v>
      </c>
      <c r="H76" s="31">
        <f>VLOOKUP($F76&amp;$G76,Composite!$A$5:$Q$865,H$3,FALSE)*VLOOKUP($C76,[2]!ExistingSat,MATCH($A76,[2]SATS!$C$10:$F$10,0)+1,FALSE)</f>
        <v>1933.7378128311793</v>
      </c>
      <c r="I76">
        <f>VLOOKUP($F76&amp;$G76,Composite!$A$5:$Q$865,I$3,FALSE)</f>
        <v>45</v>
      </c>
      <c r="J76" s="31">
        <f>VLOOKUP($F76&amp;$G76,Composite!$A$5:$Q$865,J$3,FALSE)*VLOOKUP($C76,[2]!ExistingSat,MATCH($A76,[2]SATS!$C$10:$F$10,0)+1,FALSE)</f>
        <v>3312.4380313472334</v>
      </c>
      <c r="K76" s="31">
        <f>VLOOKUP($F76&amp;$G76,Composite!$A$5:$Q$865,K$3,FALSE)*VLOOKUP($C76,[2]!ExistingSat,MATCH($A76,[2]SATS!$C$10:$F$10,0)+1,FALSE)</f>
        <v>0</v>
      </c>
      <c r="L76" t="str">
        <f>VLOOKUP($F76&amp;$G76,Composite!$A$5:$Q$865,L$3,FALSE)</f>
        <v>ResSpHtBBZ2</v>
      </c>
      <c r="M76" s="31">
        <f>VLOOKUP($F76&amp;$G76,Composite!$A$5:$Q$865,M$3,FALSE)*VLOOKUP($C76,[2]!ExistingSat,MATCH($A76,[2]SATS!$C$10:$F$10,0)+1,FALSE)</f>
        <v>10.235603027306684</v>
      </c>
      <c r="N76" s="31">
        <f>VLOOKUP($F76&amp;$G76,Composite!$A$5:$Q$865,N$3,FALSE)*VLOOKUP($C76,[2]!ExistingSat,MATCH($A76,[2]SATS!$C$10:$F$10,0)+1,FALSE)</f>
        <v>0</v>
      </c>
      <c r="O76">
        <f>VLOOKUP($F76&amp;$G76,Composite!$A$5:$Q$865,O$3,FALSE)</f>
        <v>0</v>
      </c>
      <c r="P76" s="31">
        <f>VLOOKUP($F76&amp;$G76,Composite!$A$5:$Q$865,P$3,FALSE)*VLOOKUP($C76,[2]!ExistingSat,MATCH($A76,[2]SATS!$C$10:$F$10,0)+1,FALSE)</f>
        <v>0</v>
      </c>
      <c r="Q76">
        <f>VLOOKUP($F76&amp;$G76,Composite!$A$5:$Q$865,Q$3,FALSE)</f>
        <v>0</v>
      </c>
      <c r="R76" s="31">
        <f>VLOOKUP($F76&amp;$G76,Composite!$A$5:$Q$865,R$3,FALSE)*VLOOKUP($C76,[2]!ExistingSat,MATCH($A76,[2]SATS!$C$10:$F$10,0)+1,FALSE)</f>
        <v>0</v>
      </c>
      <c r="S76">
        <f>VLOOKUP($F76&amp;$G76,Composite!$A$5:$Q$865,S$3,FALSE)</f>
        <v>0</v>
      </c>
      <c r="T76" s="31">
        <f>VLOOKUP($F76&amp;$G76,Composite!$A$5:$Q$865,T$3,FALSE)*VLOOKUP($C76,[2]!ExistingSat,MATCH($A76,[2]SATS!$C$10:$F$10,0)+1,FALSE)</f>
        <v>0</v>
      </c>
    </row>
    <row r="77" spans="1:20">
      <c r="A77" t="s">
        <v>25</v>
      </c>
      <c r="B77" t="s">
        <v>1359</v>
      </c>
      <c r="C77" t="s">
        <v>27</v>
      </c>
      <c r="D77" t="s">
        <v>61</v>
      </c>
      <c r="E77" t="str">
        <f t="shared" si="1"/>
        <v>Zonal/DHPHZ2WINDOW CL30 Prime Window Replacement of Double Pane Base</v>
      </c>
      <c r="F77" s="31" t="str">
        <f>Composite!B76</f>
        <v>Windows - Double Pane to Class 30 - Heating Zone 2 (Zonal or DHP)</v>
      </c>
      <c r="G77" t="s">
        <v>95</v>
      </c>
      <c r="H77" s="31">
        <f>VLOOKUP($F77&amp;$G77,Composite!$A$5:$Q$865,H$3,FALSE)*VLOOKUP($C77,[2]!ExistingSat,MATCH($A77,[2]SATS!$C$10:$F$10,0)+1,FALSE)</f>
        <v>948.76747282175154</v>
      </c>
      <c r="I77">
        <f>VLOOKUP($F77&amp;$G77,Composite!$A$5:$Q$865,I$3,FALSE)</f>
        <v>45</v>
      </c>
      <c r="J77" s="31">
        <f>VLOOKUP($F77&amp;$G77,Composite!$A$5:$Q$865,J$3,FALSE)*VLOOKUP($C77,[2]!ExistingSat,MATCH($A77,[2]SATS!$C$10:$F$10,0)+1,FALSE)</f>
        <v>3312.4380313472334</v>
      </c>
      <c r="K77" s="31">
        <f>VLOOKUP($F77&amp;$G77,Composite!$A$5:$Q$865,K$3,FALSE)*VLOOKUP($C77,[2]!ExistingSat,MATCH($A77,[2]SATS!$C$10:$F$10,0)+1,FALSE)</f>
        <v>0</v>
      </c>
      <c r="L77" t="str">
        <f>VLOOKUP($F77&amp;$G77,Composite!$A$5:$Q$865,L$3,FALSE)</f>
        <v>ResSpHtBBZ2</v>
      </c>
      <c r="M77" s="31">
        <f>VLOOKUP($F77&amp;$G77,Composite!$A$5:$Q$865,M$3,FALSE)*VLOOKUP($C77,[2]!ExistingSat,MATCH($A77,[2]SATS!$C$10:$F$10,0)+1,FALSE)</f>
        <v>5.2795722814630137</v>
      </c>
      <c r="N77" s="31">
        <f>VLOOKUP($F77&amp;$G77,Composite!$A$5:$Q$865,N$3,FALSE)*VLOOKUP($C77,[2]!ExistingSat,MATCH($A77,[2]SATS!$C$10:$F$10,0)+1,FALSE)</f>
        <v>0</v>
      </c>
      <c r="O77">
        <f>VLOOKUP($F77&amp;$G77,Composite!$A$5:$Q$865,O$3,FALSE)</f>
        <v>0</v>
      </c>
      <c r="P77" s="31">
        <f>VLOOKUP($F77&amp;$G77,Composite!$A$5:$Q$865,P$3,FALSE)*VLOOKUP($C77,[2]!ExistingSat,MATCH($A77,[2]SATS!$C$10:$F$10,0)+1,FALSE)</f>
        <v>0</v>
      </c>
      <c r="Q77">
        <f>VLOOKUP($F77&amp;$G77,Composite!$A$5:$Q$865,Q$3,FALSE)</f>
        <v>0</v>
      </c>
      <c r="R77" s="31">
        <f>VLOOKUP($F77&amp;$G77,Composite!$A$5:$Q$865,R$3,FALSE)*VLOOKUP($C77,[2]!ExistingSat,MATCH($A77,[2]SATS!$C$10:$F$10,0)+1,FALSE)</f>
        <v>0</v>
      </c>
      <c r="S77">
        <f>VLOOKUP($F77&amp;$G77,Composite!$A$5:$Q$865,S$3,FALSE)</f>
        <v>0</v>
      </c>
      <c r="T77" s="31">
        <f>VLOOKUP($F77&amp;$G77,Composite!$A$5:$Q$865,T$3,FALSE)*VLOOKUP($C77,[2]!ExistingSat,MATCH($A77,[2]SATS!$C$10:$F$10,0)+1,FALSE)</f>
        <v>0</v>
      </c>
    </row>
    <row r="78" spans="1:20">
      <c r="A78" t="s">
        <v>25</v>
      </c>
      <c r="B78" t="s">
        <v>1359</v>
      </c>
      <c r="C78" t="s">
        <v>27</v>
      </c>
      <c r="D78" t="s">
        <v>61</v>
      </c>
      <c r="E78" t="str">
        <f t="shared" si="1"/>
        <v>Zonal/DHPHZ2WINDOW CL22 Prime Window Replacement of Single Pane Base</v>
      </c>
      <c r="F78" s="31" t="str">
        <f>Composite!B77</f>
        <v>Windows - Single Pane to Class 22 - Heating Zone 2 (Zonal or DHP)</v>
      </c>
      <c r="G78" t="s">
        <v>99</v>
      </c>
      <c r="H78" s="31">
        <f>VLOOKUP($F78&amp;$G78,Composite!$A$5:$Q$865,H$3,FALSE)*VLOOKUP($C78,[2]!ExistingSat,MATCH($A78,[2]SATS!$C$10:$F$10,0)+1,FALSE)</f>
        <v>2111.1168968652787</v>
      </c>
      <c r="I78">
        <f>VLOOKUP($F78&amp;$G78,Composite!$A$5:$Q$865,I$3,FALSE)</f>
        <v>45</v>
      </c>
      <c r="J78" s="31">
        <f>VLOOKUP($F78&amp;$G78,Composite!$A$5:$Q$865,J$3,FALSE)*VLOOKUP($C78,[2]!ExistingSat,MATCH($A78,[2]SATS!$C$10:$F$10,0)+1,FALSE)</f>
        <v>3901.0698543939693</v>
      </c>
      <c r="K78" s="31">
        <f>VLOOKUP($F78&amp;$G78,Composite!$A$5:$Q$865,K$3,FALSE)*VLOOKUP($C78,[2]!ExistingSat,MATCH($A78,[2]SATS!$C$10:$F$10,0)+1,FALSE)</f>
        <v>0</v>
      </c>
      <c r="L78" t="str">
        <f>VLOOKUP($F78&amp;$G78,Composite!$A$5:$Q$865,L$3,FALSE)</f>
        <v>ResSpHtBBZ2</v>
      </c>
      <c r="M78" s="31">
        <f>VLOOKUP($F78&amp;$G78,Composite!$A$5:$Q$865,M$3,FALSE)*VLOOKUP($C78,[2]!ExistingSat,MATCH($A78,[2]SATS!$C$10:$F$10,0)+1,FALSE)</f>
        <v>11.471201870106363</v>
      </c>
      <c r="N78" s="31">
        <f>VLOOKUP($F78&amp;$G78,Composite!$A$5:$Q$865,N$3,FALSE)*VLOOKUP($C78,[2]!ExistingSat,MATCH($A78,[2]SATS!$C$10:$F$10,0)+1,FALSE)</f>
        <v>0</v>
      </c>
      <c r="O78">
        <f>VLOOKUP($F78&amp;$G78,Composite!$A$5:$Q$865,O$3,FALSE)</f>
        <v>0</v>
      </c>
      <c r="P78" s="31">
        <f>VLOOKUP($F78&amp;$G78,Composite!$A$5:$Q$865,P$3,FALSE)*VLOOKUP($C78,[2]!ExistingSat,MATCH($A78,[2]SATS!$C$10:$F$10,0)+1,FALSE)</f>
        <v>0</v>
      </c>
      <c r="Q78">
        <f>VLOOKUP($F78&amp;$G78,Composite!$A$5:$Q$865,Q$3,FALSE)</f>
        <v>0</v>
      </c>
      <c r="R78" s="31">
        <f>VLOOKUP($F78&amp;$G78,Composite!$A$5:$Q$865,R$3,FALSE)*VLOOKUP($C78,[2]!ExistingSat,MATCH($A78,[2]SATS!$C$10:$F$10,0)+1,FALSE)</f>
        <v>0</v>
      </c>
      <c r="S78">
        <f>VLOOKUP($F78&amp;$G78,Composite!$A$5:$Q$865,S$3,FALSE)</f>
        <v>0</v>
      </c>
      <c r="T78" s="31">
        <f>VLOOKUP($F78&amp;$G78,Composite!$A$5:$Q$865,T$3,FALSE)*VLOOKUP($C78,[2]!ExistingSat,MATCH($A78,[2]SATS!$C$10:$F$10,0)+1,FALSE)</f>
        <v>0</v>
      </c>
    </row>
    <row r="79" spans="1:20">
      <c r="A79" t="s">
        <v>25</v>
      </c>
      <c r="B79" t="s">
        <v>1359</v>
      </c>
      <c r="C79" t="s">
        <v>27</v>
      </c>
      <c r="D79" t="s">
        <v>61</v>
      </c>
      <c r="E79" t="str">
        <f t="shared" si="1"/>
        <v>Zonal/DHPHZ2WINDOW CL22 Prime Window Replacement of Double Pane Base</v>
      </c>
      <c r="F79" s="31" t="str">
        <f>Composite!B78</f>
        <v>Windows - Double Pane to Class 22 - Heating Zone 2 (Zonal or DHP)</v>
      </c>
      <c r="G79" t="s">
        <v>101</v>
      </c>
      <c r="H79" s="31">
        <f>VLOOKUP($F79&amp;$G79,Composite!$A$5:$Q$865,H$3,FALSE)*VLOOKUP($C79,[2]!ExistingSat,MATCH($A79,[2]SATS!$C$10:$F$10,0)+1,FALSE)</f>
        <v>1108.5543736775655</v>
      </c>
      <c r="I79">
        <f>VLOOKUP($F79&amp;$G79,Composite!$A$5:$Q$865,I$3,FALSE)</f>
        <v>45</v>
      </c>
      <c r="J79" s="31">
        <f>VLOOKUP($F79&amp;$G79,Composite!$A$5:$Q$865,J$3,FALSE)*VLOOKUP($C79,[2]!ExistingSat,MATCH($A79,[2]SATS!$C$10:$F$10,0)+1,FALSE)</f>
        <v>3901.0698543939693</v>
      </c>
      <c r="K79" s="31">
        <f>VLOOKUP($F79&amp;$G79,Composite!$A$5:$Q$865,K$3,FALSE)*VLOOKUP($C79,[2]!ExistingSat,MATCH($A79,[2]SATS!$C$10:$F$10,0)+1,FALSE)</f>
        <v>0</v>
      </c>
      <c r="L79" t="str">
        <f>VLOOKUP($F79&amp;$G79,Composite!$A$5:$Q$865,L$3,FALSE)</f>
        <v>ResSpHtBBZ2</v>
      </c>
      <c r="M79" s="31">
        <f>VLOOKUP($F79&amp;$G79,Composite!$A$5:$Q$865,M$3,FALSE)*VLOOKUP($C79,[2]!ExistingSat,MATCH($A79,[2]SATS!$C$10:$F$10,0)+1,FALSE)</f>
        <v>6.4374190198782504</v>
      </c>
      <c r="N79" s="31">
        <f>VLOOKUP($F79&amp;$G79,Composite!$A$5:$Q$865,N$3,FALSE)*VLOOKUP($C79,[2]!ExistingSat,MATCH($A79,[2]SATS!$C$10:$F$10,0)+1,FALSE)</f>
        <v>0</v>
      </c>
      <c r="O79">
        <f>VLOOKUP($F79&amp;$G79,Composite!$A$5:$Q$865,O$3,FALSE)</f>
        <v>0</v>
      </c>
      <c r="P79" s="31">
        <f>VLOOKUP($F79&amp;$G79,Composite!$A$5:$Q$865,P$3,FALSE)*VLOOKUP($C79,[2]!ExistingSat,MATCH($A79,[2]SATS!$C$10:$F$10,0)+1,FALSE)</f>
        <v>0</v>
      </c>
      <c r="Q79">
        <f>VLOOKUP($F79&amp;$G79,Composite!$A$5:$Q$865,Q$3,FALSE)</f>
        <v>0</v>
      </c>
      <c r="R79" s="31">
        <f>VLOOKUP($F79&amp;$G79,Composite!$A$5:$Q$865,R$3,FALSE)*VLOOKUP($C79,[2]!ExistingSat,MATCH($A79,[2]SATS!$C$10:$F$10,0)+1,FALSE)</f>
        <v>0</v>
      </c>
      <c r="S79">
        <f>VLOOKUP($F79&amp;$G79,Composite!$A$5:$Q$865,S$3,FALSE)</f>
        <v>0</v>
      </c>
      <c r="T79" s="31">
        <f>VLOOKUP($F79&amp;$G79,Composite!$A$5:$Q$865,T$3,FALSE)*VLOOKUP($C79,[2]!ExistingSat,MATCH($A79,[2]SATS!$C$10:$F$10,0)+1,FALSE)</f>
        <v>0</v>
      </c>
    </row>
    <row r="80" spans="1:20">
      <c r="A80" t="s">
        <v>25</v>
      </c>
      <c r="B80" t="s">
        <v>1359</v>
      </c>
      <c r="C80" t="s">
        <v>66</v>
      </c>
      <c r="D80" t="s">
        <v>61</v>
      </c>
      <c r="E80" t="str">
        <f t="shared" si="1"/>
        <v>Zonal/DHPHZ2CFM50 Infiltration Reduction</v>
      </c>
      <c r="F80" s="31" t="str">
        <f>Composite!B79</f>
        <v>Infiltration Reduction - CFM50 reduction - Heating Zone 2 (Zonal or DHP)</v>
      </c>
      <c r="G80" s="305" t="s">
        <v>1362</v>
      </c>
      <c r="H80" s="31">
        <f>VLOOKUP($F80&amp;$G80,Composite!$A$5:$Q$865,H$3,FALSE)*VLOOKUP($C80,[2]!ExistingSat,MATCH($A80,[2]SATS!$C$10:$F$10,0)+1,FALSE)</f>
        <v>1103.1409488972231</v>
      </c>
      <c r="I80">
        <f>VLOOKUP($F80&amp;$G80,Composite!$A$5:$Q$865,I$3,FALSE)</f>
        <v>15</v>
      </c>
      <c r="J80" s="31">
        <f>VLOOKUP($F80&amp;$G80,Composite!$A$5:$Q$865,J$3,FALSE)*VLOOKUP($C80,[2]!ExistingSat,MATCH($A80,[2]SATS!$C$10:$F$10,0)+1,FALSE)</f>
        <v>1325.3999218794588</v>
      </c>
      <c r="K80" s="31">
        <f>VLOOKUP($F80&amp;$G80,Composite!$A$5:$Q$865,K$3,FALSE)*VLOOKUP($C80,[2]!ExistingSat,MATCH($A80,[2]SATS!$C$10:$F$10,0)+1,FALSE)</f>
        <v>0</v>
      </c>
      <c r="L80" t="str">
        <f>VLOOKUP($F80&amp;$G80,Composite!$A$5:$Q$865,L$3,FALSE)</f>
        <v>ResSpHtBBZ2</v>
      </c>
      <c r="M80" s="31">
        <f>VLOOKUP($F80&amp;$G80,Composite!$A$5:$Q$865,M$3,FALSE)*VLOOKUP($C80,[2]!ExistingSat,MATCH($A80,[2]SATS!$C$10:$F$10,0)+1,FALSE)</f>
        <v>6.7890899172430776</v>
      </c>
      <c r="N80" s="31">
        <f>VLOOKUP($F80&amp;$G80,Composite!$A$5:$Q$865,N$3,FALSE)*VLOOKUP($C80,[2]!ExistingSat,MATCH($A80,[2]SATS!$C$10:$F$10,0)+1,FALSE)</f>
        <v>0</v>
      </c>
      <c r="O80">
        <f>VLOOKUP($F80&amp;$G80,Composite!$A$5:$Q$865,O$3,FALSE)</f>
        <v>0</v>
      </c>
      <c r="P80" s="31">
        <f>VLOOKUP($F80&amp;$G80,Composite!$A$5:$Q$865,P$3,FALSE)*VLOOKUP($C80,[2]!ExistingSat,MATCH($A80,[2]SATS!$C$10:$F$10,0)+1,FALSE)</f>
        <v>0</v>
      </c>
      <c r="Q80">
        <f>VLOOKUP($F80&amp;$G80,Composite!$A$5:$Q$865,Q$3,FALSE)</f>
        <v>0</v>
      </c>
      <c r="R80" s="31">
        <f>VLOOKUP($F80&amp;$G80,Composite!$A$5:$Q$865,R$3,FALSE)*VLOOKUP($C80,[2]!ExistingSat,MATCH($A80,[2]SATS!$C$10:$F$10,0)+1,FALSE)</f>
        <v>0</v>
      </c>
      <c r="S80">
        <f>VLOOKUP($F80&amp;$G80,Composite!$A$5:$Q$865,S$3,FALSE)</f>
        <v>0</v>
      </c>
      <c r="T80" s="31">
        <f>VLOOKUP($F80&amp;$G80,Composite!$A$5:$Q$865,T$3,FALSE)*VLOOKUP($C80,[2]!ExistingSat,MATCH($A80,[2]SATS!$C$10:$F$10,0)+1,FALSE)</f>
        <v>0</v>
      </c>
    </row>
    <row r="81" spans="1:20">
      <c r="A81" t="s">
        <v>25</v>
      </c>
      <c r="B81" t="s">
        <v>1359</v>
      </c>
      <c r="C81" t="s">
        <v>28</v>
      </c>
      <c r="D81" t="s">
        <v>62</v>
      </c>
      <c r="E81" t="str">
        <f t="shared" si="1"/>
        <v>Zonal/DHPHZ3ATTIC R0 - R38</v>
      </c>
      <c r="F81" s="31" t="str">
        <f>Composite!B80</f>
        <v>Single Family Weatherization - Insulate Attic - R0 to R38 - Heating Zone 3 (Zonal or DHP)</v>
      </c>
      <c r="G81" t="s">
        <v>68</v>
      </c>
      <c r="H81" s="31">
        <f>VLOOKUP($F81&amp;$G81,Composite!$A$5:$Q$865,H$3,FALSE)*VLOOKUP($C81,[2]!ExistingSat,MATCH($A81,[2]SATS!$C$10:$F$10,0)+1,FALSE)</f>
        <v>4747.7211656828922</v>
      </c>
      <c r="I81">
        <f>VLOOKUP($F81&amp;$G81,Composite!$A$5:$Q$865,I$3,FALSE)</f>
        <v>45</v>
      </c>
      <c r="J81" s="31">
        <f>VLOOKUP($F81&amp;$G81,Composite!$A$5:$Q$865,J$3,FALSE)*VLOOKUP($C81,[2]!ExistingSat,MATCH($A81,[2]SATS!$C$10:$F$10,0)+1,FALSE)</f>
        <v>1403.6424108745796</v>
      </c>
      <c r="K81" s="31">
        <f>VLOOKUP($F81&amp;$G81,Composite!$A$5:$Q$865,K$3,FALSE)*VLOOKUP($C81,[2]!ExistingSat,MATCH($A81,[2]SATS!$C$10:$F$10,0)+1,FALSE)</f>
        <v>0</v>
      </c>
      <c r="L81" t="str">
        <f>VLOOKUP($F81&amp;$G81,Composite!$A$5:$Q$865,L$3,FALSE)</f>
        <v>ResSpHtBBZ3</v>
      </c>
      <c r="M81" s="31">
        <f>VLOOKUP($F81&amp;$G81,Composite!$A$5:$Q$865,M$3,FALSE)*VLOOKUP($C81,[2]!ExistingSat,MATCH($A81,[2]SATS!$C$10:$F$10,0)+1,FALSE)</f>
        <v>18.195624751777387</v>
      </c>
      <c r="N81" s="31">
        <f>VLOOKUP($F81&amp;$G81,Composite!$A$5:$Q$865,N$3,FALSE)*VLOOKUP($C81,[2]!ExistingSat,MATCH($A81,[2]SATS!$C$10:$F$10,0)+1,FALSE)</f>
        <v>0</v>
      </c>
      <c r="O81">
        <f>VLOOKUP($F81&amp;$G81,Composite!$A$5:$Q$865,O$3,FALSE)</f>
        <v>0</v>
      </c>
      <c r="P81" s="31">
        <f>VLOOKUP($F81&amp;$G81,Composite!$A$5:$Q$865,P$3,FALSE)*VLOOKUP($C81,[2]!ExistingSat,MATCH($A81,[2]SATS!$C$10:$F$10,0)+1,FALSE)</f>
        <v>0</v>
      </c>
      <c r="Q81">
        <f>VLOOKUP($F81&amp;$G81,Composite!$A$5:$Q$865,Q$3,FALSE)</f>
        <v>0</v>
      </c>
      <c r="R81" s="31">
        <f>VLOOKUP($F81&amp;$G81,Composite!$A$5:$Q$865,R$3,FALSE)*VLOOKUP($C81,[2]!ExistingSat,MATCH($A81,[2]SATS!$C$10:$F$10,0)+1,FALSE)</f>
        <v>0</v>
      </c>
      <c r="S81">
        <f>VLOOKUP($F81&amp;$G81,Composite!$A$5:$Q$865,S$3,FALSE)</f>
        <v>0</v>
      </c>
      <c r="T81" s="31">
        <f>VLOOKUP($F81&amp;$G81,Composite!$A$5:$Q$865,T$3,FALSE)*VLOOKUP($C81,[2]!ExistingSat,MATCH($A81,[2]SATS!$C$10:$F$10,0)+1,FALSE)</f>
        <v>0</v>
      </c>
    </row>
    <row r="82" spans="1:20">
      <c r="A82" t="s">
        <v>25</v>
      </c>
      <c r="B82" t="s">
        <v>1359</v>
      </c>
      <c r="C82" t="s">
        <v>28</v>
      </c>
      <c r="D82" t="s">
        <v>62</v>
      </c>
      <c r="E82" t="str">
        <f t="shared" si="1"/>
        <v>Zonal/DHPHZ3ATTIC R0 - R49</v>
      </c>
      <c r="F82" s="31" t="str">
        <f>Composite!B81</f>
        <v>Single Family Weatherization - Insulate Attic - R0 to R49 - Heating Zone 3 (Zonal or DHP)</v>
      </c>
      <c r="G82" t="s">
        <v>71</v>
      </c>
      <c r="H82" s="31">
        <f>VLOOKUP($F82&amp;$G82,Composite!$A$5:$Q$865,H$3,FALSE)*VLOOKUP($C82,[2]!ExistingSat,MATCH($A82,[2]SATS!$C$10:$F$10,0)+1,FALSE)</f>
        <v>4817.8307624929548</v>
      </c>
      <c r="I82">
        <f>VLOOKUP($F82&amp;$G82,Composite!$A$5:$Q$865,I$3,FALSE)</f>
        <v>45</v>
      </c>
      <c r="J82" s="31">
        <f>VLOOKUP($F82&amp;$G82,Composite!$A$5:$Q$865,J$3,FALSE)*VLOOKUP($C82,[2]!ExistingSat,MATCH($A82,[2]SATS!$C$10:$F$10,0)+1,FALSE)</f>
        <v>1602.9315530239337</v>
      </c>
      <c r="K82" s="31">
        <f>VLOOKUP($F82&amp;$G82,Composite!$A$5:$Q$865,K$3,FALSE)*VLOOKUP($C82,[2]!ExistingSat,MATCH($A82,[2]SATS!$C$10:$F$10,0)+1,FALSE)</f>
        <v>0</v>
      </c>
      <c r="L82" t="str">
        <f>VLOOKUP($F82&amp;$G82,Composite!$A$5:$Q$865,L$3,FALSE)</f>
        <v>ResSpHtBBZ3</v>
      </c>
      <c r="M82" s="31">
        <f>VLOOKUP($F82&amp;$G82,Composite!$A$5:$Q$865,M$3,FALSE)*VLOOKUP($C82,[2]!ExistingSat,MATCH($A82,[2]SATS!$C$10:$F$10,0)+1,FALSE)</f>
        <v>18.482388909125767</v>
      </c>
      <c r="N82" s="31">
        <f>VLOOKUP($F82&amp;$G82,Composite!$A$5:$Q$865,N$3,FALSE)*VLOOKUP($C82,[2]!ExistingSat,MATCH($A82,[2]SATS!$C$10:$F$10,0)+1,FALSE)</f>
        <v>0</v>
      </c>
      <c r="O82">
        <f>VLOOKUP($F82&amp;$G82,Composite!$A$5:$Q$865,O$3,FALSE)</f>
        <v>0</v>
      </c>
      <c r="P82" s="31">
        <f>VLOOKUP($F82&amp;$G82,Composite!$A$5:$Q$865,P$3,FALSE)*VLOOKUP($C82,[2]!ExistingSat,MATCH($A82,[2]SATS!$C$10:$F$10,0)+1,FALSE)</f>
        <v>0</v>
      </c>
      <c r="Q82">
        <f>VLOOKUP($F82&amp;$G82,Composite!$A$5:$Q$865,Q$3,FALSE)</f>
        <v>0</v>
      </c>
      <c r="R82" s="31">
        <f>VLOOKUP($F82&amp;$G82,Composite!$A$5:$Q$865,R$3,FALSE)*VLOOKUP($C82,[2]!ExistingSat,MATCH($A82,[2]SATS!$C$10:$F$10,0)+1,FALSE)</f>
        <v>0</v>
      </c>
      <c r="S82">
        <f>VLOOKUP($F82&amp;$G82,Composite!$A$5:$Q$865,S$3,FALSE)</f>
        <v>0</v>
      </c>
      <c r="T82" s="31">
        <f>VLOOKUP($F82&amp;$G82,Composite!$A$5:$Q$865,T$3,FALSE)*VLOOKUP($C82,[2]!ExistingSat,MATCH($A82,[2]SATS!$C$10:$F$10,0)+1,FALSE)</f>
        <v>0</v>
      </c>
    </row>
    <row r="83" spans="1:20">
      <c r="A83" t="s">
        <v>25</v>
      </c>
      <c r="B83" t="s">
        <v>1359</v>
      </c>
      <c r="C83" t="s">
        <v>28</v>
      </c>
      <c r="D83" t="s">
        <v>62</v>
      </c>
      <c r="E83" t="str">
        <f t="shared" si="1"/>
        <v>Zonal/DHPHZ3ATTIC R11 - R38</v>
      </c>
      <c r="F83" s="31" t="str">
        <f>Composite!B82</f>
        <v>Single Family Weatherization - Insulate Attic - R11 to R38 - Heating Zone 3 (Zonal or DHP)</v>
      </c>
      <c r="G83" t="s">
        <v>73</v>
      </c>
      <c r="H83" s="31">
        <f>VLOOKUP($F83&amp;$G83,Composite!$A$5:$Q$865,H$3,FALSE)*VLOOKUP($C83,[2]!ExistingSat,MATCH($A83,[2]SATS!$C$10:$F$10,0)+1,FALSE)</f>
        <v>599.52878713244854</v>
      </c>
      <c r="I83">
        <f>VLOOKUP($F83&amp;$G83,Composite!$A$5:$Q$865,I$3,FALSE)</f>
        <v>45</v>
      </c>
      <c r="J83" s="31">
        <f>VLOOKUP($F83&amp;$G83,Composite!$A$5:$Q$865,J$3,FALSE)*VLOOKUP($C83,[2]!ExistingSat,MATCH($A83,[2]SATS!$C$10:$F$10,0)+1,FALSE)</f>
        <v>1204.353268725225</v>
      </c>
      <c r="K83" s="31">
        <f>VLOOKUP($F83&amp;$G83,Composite!$A$5:$Q$865,K$3,FALSE)*VLOOKUP($C83,[2]!ExistingSat,MATCH($A83,[2]SATS!$C$10:$F$10,0)+1,FALSE)</f>
        <v>0</v>
      </c>
      <c r="L83" t="str">
        <f>VLOOKUP($F83&amp;$G83,Composite!$A$5:$Q$865,L$3,FALSE)</f>
        <v>ResSpHtBBZ3</v>
      </c>
      <c r="M83" s="31">
        <f>VLOOKUP($F83&amp;$G83,Composite!$A$5:$Q$865,M$3,FALSE)*VLOOKUP($C83,[2]!ExistingSat,MATCH($A83,[2]SATS!$C$10:$F$10,0)+1,FALSE)</f>
        <v>2.402742328603606</v>
      </c>
      <c r="N83" s="31">
        <f>VLOOKUP($F83&amp;$G83,Composite!$A$5:$Q$865,N$3,FALSE)*VLOOKUP($C83,[2]!ExistingSat,MATCH($A83,[2]SATS!$C$10:$F$10,0)+1,FALSE)</f>
        <v>0</v>
      </c>
      <c r="O83">
        <f>VLOOKUP($F83&amp;$G83,Composite!$A$5:$Q$865,O$3,FALSE)</f>
        <v>0</v>
      </c>
      <c r="P83" s="31">
        <f>VLOOKUP($F83&amp;$G83,Composite!$A$5:$Q$865,P$3,FALSE)*VLOOKUP($C83,[2]!ExistingSat,MATCH($A83,[2]SATS!$C$10:$F$10,0)+1,FALSE)</f>
        <v>0</v>
      </c>
      <c r="Q83">
        <f>VLOOKUP($F83&amp;$G83,Composite!$A$5:$Q$865,Q$3,FALSE)</f>
        <v>0</v>
      </c>
      <c r="R83" s="31">
        <f>VLOOKUP($F83&amp;$G83,Composite!$A$5:$Q$865,R$3,FALSE)*VLOOKUP($C83,[2]!ExistingSat,MATCH($A83,[2]SATS!$C$10:$F$10,0)+1,FALSE)</f>
        <v>0</v>
      </c>
      <c r="S83">
        <f>VLOOKUP($F83&amp;$G83,Composite!$A$5:$Q$865,S$3,FALSE)</f>
        <v>0</v>
      </c>
      <c r="T83" s="31">
        <f>VLOOKUP($F83&amp;$G83,Composite!$A$5:$Q$865,T$3,FALSE)*VLOOKUP($C83,[2]!ExistingSat,MATCH($A83,[2]SATS!$C$10:$F$10,0)+1,FALSE)</f>
        <v>0</v>
      </c>
    </row>
    <row r="84" spans="1:20">
      <c r="A84" t="s">
        <v>25</v>
      </c>
      <c r="B84" t="s">
        <v>1359</v>
      </c>
      <c r="C84" t="s">
        <v>28</v>
      </c>
      <c r="D84" t="s">
        <v>62</v>
      </c>
      <c r="E84" t="str">
        <f t="shared" si="1"/>
        <v>Zonal/DHPHZ3ATTIC R11 - R49</v>
      </c>
      <c r="F84" s="31" t="str">
        <f>Composite!B83</f>
        <v>Single Family Weatherization - Insulate Attic - R11 to R49 - Heating Zone 3 (Zonal or DHP)</v>
      </c>
      <c r="G84" t="s">
        <v>75</v>
      </c>
      <c r="H84" s="31">
        <f>VLOOKUP($F84&amp;$G84,Composite!$A$5:$Q$865,H$3,FALSE)*VLOOKUP($C84,[2]!ExistingSat,MATCH($A84,[2]SATS!$C$10:$F$10,0)+1,FALSE)</f>
        <v>650.77353234063105</v>
      </c>
      <c r="I84">
        <f>VLOOKUP($F84&amp;$G84,Composite!$A$5:$Q$865,I$3,FALSE)</f>
        <v>45</v>
      </c>
      <c r="J84" s="31">
        <f>VLOOKUP($F84&amp;$G84,Composite!$A$5:$Q$865,J$3,FALSE)*VLOOKUP($C84,[2]!ExistingSat,MATCH($A84,[2]SATS!$C$10:$F$10,0)+1,FALSE)</f>
        <v>1403.6424108745796</v>
      </c>
      <c r="K84" s="31">
        <f>VLOOKUP($F84&amp;$G84,Composite!$A$5:$Q$865,K$3,FALSE)*VLOOKUP($C84,[2]!ExistingSat,MATCH($A84,[2]SATS!$C$10:$F$10,0)+1,FALSE)</f>
        <v>0</v>
      </c>
      <c r="L84" t="str">
        <f>VLOOKUP($F84&amp;$G84,Composite!$A$5:$Q$865,L$3,FALSE)</f>
        <v>ResSpHtBBZ3</v>
      </c>
      <c r="M84" s="31">
        <f>VLOOKUP($F84&amp;$G84,Composite!$A$5:$Q$865,M$3,FALSE)*VLOOKUP($C84,[2]!ExistingSat,MATCH($A84,[2]SATS!$C$10:$F$10,0)+1,FALSE)</f>
        <v>2.6496876346060643</v>
      </c>
      <c r="N84" s="31">
        <f>VLOOKUP($F84&amp;$G84,Composite!$A$5:$Q$865,N$3,FALSE)*VLOOKUP($C84,[2]!ExistingSat,MATCH($A84,[2]SATS!$C$10:$F$10,0)+1,FALSE)</f>
        <v>0</v>
      </c>
      <c r="O84">
        <f>VLOOKUP($F84&amp;$G84,Composite!$A$5:$Q$865,O$3,FALSE)</f>
        <v>0</v>
      </c>
      <c r="P84" s="31">
        <f>VLOOKUP($F84&amp;$G84,Composite!$A$5:$Q$865,P$3,FALSE)*VLOOKUP($C84,[2]!ExistingSat,MATCH($A84,[2]SATS!$C$10:$F$10,0)+1,FALSE)</f>
        <v>0</v>
      </c>
      <c r="Q84">
        <f>VLOOKUP($F84&amp;$G84,Composite!$A$5:$Q$865,Q$3,FALSE)</f>
        <v>0</v>
      </c>
      <c r="R84" s="31">
        <f>VLOOKUP($F84&amp;$G84,Composite!$A$5:$Q$865,R$3,FALSE)*VLOOKUP($C84,[2]!ExistingSat,MATCH($A84,[2]SATS!$C$10:$F$10,0)+1,FALSE)</f>
        <v>0</v>
      </c>
      <c r="S84">
        <f>VLOOKUP($F84&amp;$G84,Composite!$A$5:$Q$865,S$3,FALSE)</f>
        <v>0</v>
      </c>
      <c r="T84" s="31">
        <f>VLOOKUP($F84&amp;$G84,Composite!$A$5:$Q$865,T$3,FALSE)*VLOOKUP($C84,[2]!ExistingSat,MATCH($A84,[2]SATS!$C$10:$F$10,0)+1,FALSE)</f>
        <v>0</v>
      </c>
    </row>
    <row r="85" spans="1:20">
      <c r="A85" t="s">
        <v>25</v>
      </c>
      <c r="B85" t="s">
        <v>1359</v>
      </c>
      <c r="C85" t="s">
        <v>28</v>
      </c>
      <c r="D85" t="s">
        <v>62</v>
      </c>
      <c r="E85" t="str">
        <f t="shared" si="1"/>
        <v>Zonal/DHPHZ3ATTIC R19 - R38</v>
      </c>
      <c r="F85" s="31" t="str">
        <f>Composite!B84</f>
        <v>Single Family Weatherization - Insulate Attic - R19 to R38 - Heating Zone 3 (Zonal or DHP)</v>
      </c>
      <c r="G85" t="s">
        <v>77</v>
      </c>
      <c r="H85" s="31">
        <f>VLOOKUP($F85&amp;$G85,Composite!$A$5:$Q$865,H$3,FALSE)*VLOOKUP($C85,[2]!ExistingSat,MATCH($A85,[2]SATS!$C$10:$F$10,0)+1,FALSE)</f>
        <v>256.96750316803212</v>
      </c>
      <c r="I85">
        <f>VLOOKUP($F85&amp;$G85,Composite!$A$5:$Q$865,I$3,FALSE)</f>
        <v>45</v>
      </c>
      <c r="J85" s="31">
        <f>VLOOKUP($F85&amp;$G85,Composite!$A$5:$Q$865,J$3,FALSE)*VLOOKUP($C85,[2]!ExistingSat,MATCH($A85,[2]SATS!$C$10:$F$10,0)+1,FALSE)</f>
        <v>1059.4157107984217</v>
      </c>
      <c r="K85" s="31">
        <f>VLOOKUP($F85&amp;$G85,Composite!$A$5:$Q$865,K$3,FALSE)*VLOOKUP($C85,[2]!ExistingSat,MATCH($A85,[2]SATS!$C$10:$F$10,0)+1,FALSE)</f>
        <v>0</v>
      </c>
      <c r="L85" t="str">
        <f>VLOOKUP($F85&amp;$G85,Composite!$A$5:$Q$865,L$3,FALSE)</f>
        <v>ResSpHtBBZ3</v>
      </c>
      <c r="M85" s="31">
        <f>VLOOKUP($F85&amp;$G85,Composite!$A$5:$Q$865,M$3,FALSE)*VLOOKUP($C85,[2]!ExistingSat,MATCH($A85,[2]SATS!$C$10:$F$10,0)+1,FALSE)</f>
        <v>1.1169017524456839</v>
      </c>
      <c r="N85" s="31">
        <f>VLOOKUP($F85&amp;$G85,Composite!$A$5:$Q$865,N$3,FALSE)*VLOOKUP($C85,[2]!ExistingSat,MATCH($A85,[2]SATS!$C$10:$F$10,0)+1,FALSE)</f>
        <v>0</v>
      </c>
      <c r="O85">
        <f>VLOOKUP($F85&amp;$G85,Composite!$A$5:$Q$865,O$3,FALSE)</f>
        <v>0</v>
      </c>
      <c r="P85" s="31">
        <f>VLOOKUP($F85&amp;$G85,Composite!$A$5:$Q$865,P$3,FALSE)*VLOOKUP($C85,[2]!ExistingSat,MATCH($A85,[2]SATS!$C$10:$F$10,0)+1,FALSE)</f>
        <v>0</v>
      </c>
      <c r="Q85">
        <f>VLOOKUP($F85&amp;$G85,Composite!$A$5:$Q$865,Q$3,FALSE)</f>
        <v>0</v>
      </c>
      <c r="R85" s="31">
        <f>VLOOKUP($F85&amp;$G85,Composite!$A$5:$Q$865,R$3,FALSE)*VLOOKUP($C85,[2]!ExistingSat,MATCH($A85,[2]SATS!$C$10:$F$10,0)+1,FALSE)</f>
        <v>0</v>
      </c>
      <c r="S85">
        <f>VLOOKUP($F85&amp;$G85,Composite!$A$5:$Q$865,S$3,FALSE)</f>
        <v>0</v>
      </c>
      <c r="T85" s="31">
        <f>VLOOKUP($F85&amp;$G85,Composite!$A$5:$Q$865,T$3,FALSE)*VLOOKUP($C85,[2]!ExistingSat,MATCH($A85,[2]SATS!$C$10:$F$10,0)+1,FALSE)</f>
        <v>0</v>
      </c>
    </row>
    <row r="86" spans="1:20">
      <c r="A86" t="s">
        <v>25</v>
      </c>
      <c r="B86" t="s">
        <v>1359</v>
      </c>
      <c r="C86" t="s">
        <v>28</v>
      </c>
      <c r="D86" t="s">
        <v>62</v>
      </c>
      <c r="E86" t="str">
        <f t="shared" si="1"/>
        <v>Zonal/DHPHZ3ATTIC R19 - R49</v>
      </c>
      <c r="F86" s="31" t="str">
        <f>Composite!B85</f>
        <v>Single Family Weatherization - Insulate Attic - R19 to R49 - Heating Zone 3 (Zonal or DHP)</v>
      </c>
      <c r="G86" t="s">
        <v>79</v>
      </c>
      <c r="H86" s="31">
        <f>VLOOKUP($F86&amp;$G86,Composite!$A$5:$Q$865,H$3,FALSE)*VLOOKUP($C86,[2]!ExistingSat,MATCH($A86,[2]SATS!$C$10:$F$10,0)+1,FALSE)</f>
        <v>309.76236182407695</v>
      </c>
      <c r="I86">
        <f>VLOOKUP($F86&amp;$G86,Composite!$A$5:$Q$865,I$3,FALSE)</f>
        <v>45</v>
      </c>
      <c r="J86" s="31">
        <f>VLOOKUP($F86&amp;$G86,Composite!$A$5:$Q$865,J$3,FALSE)*VLOOKUP($C86,[2]!ExistingSat,MATCH($A86,[2]SATS!$C$10:$F$10,0)+1,FALSE)</f>
        <v>1258.7048529477763</v>
      </c>
      <c r="K86" s="31">
        <f>VLOOKUP($F86&amp;$G86,Composite!$A$5:$Q$865,K$3,FALSE)*VLOOKUP($C86,[2]!ExistingSat,MATCH($A86,[2]SATS!$C$10:$F$10,0)+1,FALSE)</f>
        <v>0</v>
      </c>
      <c r="L86" t="str">
        <f>VLOOKUP($F86&amp;$G86,Composite!$A$5:$Q$865,L$3,FALSE)</f>
        <v>ResSpHtBBZ3</v>
      </c>
      <c r="M86" s="31">
        <f>VLOOKUP($F86&amp;$G86,Composite!$A$5:$Q$865,M$3,FALSE)*VLOOKUP($C86,[2]!ExistingSat,MATCH($A86,[2]SATS!$C$10:$F$10,0)+1,FALSE)</f>
        <v>1.367822264058864</v>
      </c>
      <c r="N86" s="31">
        <f>VLOOKUP($F86&amp;$G86,Composite!$A$5:$Q$865,N$3,FALSE)*VLOOKUP($C86,[2]!ExistingSat,MATCH($A86,[2]SATS!$C$10:$F$10,0)+1,FALSE)</f>
        <v>0</v>
      </c>
      <c r="O86">
        <f>VLOOKUP($F86&amp;$G86,Composite!$A$5:$Q$865,O$3,FALSE)</f>
        <v>0</v>
      </c>
      <c r="P86" s="31">
        <f>VLOOKUP($F86&amp;$G86,Composite!$A$5:$Q$865,P$3,FALSE)*VLOOKUP($C86,[2]!ExistingSat,MATCH($A86,[2]SATS!$C$10:$F$10,0)+1,FALSE)</f>
        <v>0</v>
      </c>
      <c r="Q86">
        <f>VLOOKUP($F86&amp;$G86,Composite!$A$5:$Q$865,Q$3,FALSE)</f>
        <v>0</v>
      </c>
      <c r="R86" s="31">
        <f>VLOOKUP($F86&amp;$G86,Composite!$A$5:$Q$865,R$3,FALSE)*VLOOKUP($C86,[2]!ExistingSat,MATCH($A86,[2]SATS!$C$10:$F$10,0)+1,FALSE)</f>
        <v>0</v>
      </c>
      <c r="S86">
        <f>VLOOKUP($F86&amp;$G86,Composite!$A$5:$Q$865,S$3,FALSE)</f>
        <v>0</v>
      </c>
      <c r="T86" s="31">
        <f>VLOOKUP($F86&amp;$G86,Composite!$A$5:$Q$865,T$3,FALSE)*VLOOKUP($C86,[2]!ExistingSat,MATCH($A86,[2]SATS!$C$10:$F$10,0)+1,FALSE)</f>
        <v>0</v>
      </c>
    </row>
    <row r="87" spans="1:20">
      <c r="A87" t="s">
        <v>25</v>
      </c>
      <c r="B87" t="s">
        <v>1359</v>
      </c>
      <c r="C87" t="s">
        <v>64</v>
      </c>
      <c r="D87" t="s">
        <v>62</v>
      </c>
      <c r="E87" t="str">
        <f t="shared" si="1"/>
        <v>Zonal/DHPHZ3WALL R0 - R11</v>
      </c>
      <c r="F87" s="31" t="str">
        <f>Composite!B86</f>
        <v>Single Family Weatherization - Insulate Wall - R0 to R11 - Heating Zone 3 (Zonal or DHP)</v>
      </c>
      <c r="G87" t="s">
        <v>85</v>
      </c>
      <c r="H87" s="31">
        <f>VLOOKUP($F87&amp;$G87,Composite!$A$5:$Q$865,H$3,FALSE)*VLOOKUP($C87,[2]!ExistingSat,MATCH($A87,[2]SATS!$C$10:$F$10,0)+1,FALSE)</f>
        <v>4280.5856993931493</v>
      </c>
      <c r="I87">
        <f>VLOOKUP($F87&amp;$G87,Composite!$A$5:$Q$865,I$3,FALSE)</f>
        <v>45</v>
      </c>
      <c r="J87" s="31">
        <f>VLOOKUP($F87&amp;$G87,Composite!$A$5:$Q$865,J$3,FALSE)*VLOOKUP($C87,[2]!ExistingSat,MATCH($A87,[2]SATS!$C$10:$F$10,0)+1,FALSE)</f>
        <v>2499.2782230652501</v>
      </c>
      <c r="K87" s="31">
        <f>VLOOKUP($F87&amp;$G87,Composite!$A$5:$Q$865,K$3,FALSE)*VLOOKUP($C87,[2]!ExistingSat,MATCH($A87,[2]SATS!$C$10:$F$10,0)+1,FALSE)</f>
        <v>0</v>
      </c>
      <c r="L87" t="str">
        <f>VLOOKUP($F87&amp;$G87,Composite!$A$5:$Q$865,L$3,FALSE)</f>
        <v>ResSpHtBBZ3</v>
      </c>
      <c r="M87" s="31">
        <f>VLOOKUP($F87&amp;$G87,Composite!$A$5:$Q$865,M$3,FALSE)*VLOOKUP($C87,[2]!ExistingSat,MATCH($A87,[2]SATS!$C$10:$F$10,0)+1,FALSE)</f>
        <v>11.902391659982369</v>
      </c>
      <c r="N87" s="31">
        <f>VLOOKUP($F87&amp;$G87,Composite!$A$5:$Q$865,N$3,FALSE)*VLOOKUP($C87,[2]!ExistingSat,MATCH($A87,[2]SATS!$C$10:$F$10,0)+1,FALSE)</f>
        <v>0</v>
      </c>
      <c r="O87">
        <f>VLOOKUP($F87&amp;$G87,Composite!$A$5:$Q$865,O$3,FALSE)</f>
        <v>0</v>
      </c>
      <c r="P87" s="31">
        <f>VLOOKUP($F87&amp;$G87,Composite!$A$5:$Q$865,P$3,FALSE)*VLOOKUP($C87,[2]!ExistingSat,MATCH($A87,[2]SATS!$C$10:$F$10,0)+1,FALSE)</f>
        <v>0</v>
      </c>
      <c r="Q87">
        <f>VLOOKUP($F87&amp;$G87,Composite!$A$5:$Q$865,Q$3,FALSE)</f>
        <v>0</v>
      </c>
      <c r="R87" s="31">
        <f>VLOOKUP($F87&amp;$G87,Composite!$A$5:$Q$865,R$3,FALSE)*VLOOKUP($C87,[2]!ExistingSat,MATCH($A87,[2]SATS!$C$10:$F$10,0)+1,FALSE)</f>
        <v>0</v>
      </c>
      <c r="S87">
        <f>VLOOKUP($F87&amp;$G87,Composite!$A$5:$Q$865,S$3,FALSE)</f>
        <v>0</v>
      </c>
      <c r="T87" s="31">
        <f>VLOOKUP($F87&amp;$G87,Composite!$A$5:$Q$865,T$3,FALSE)*VLOOKUP($C87,[2]!ExistingSat,MATCH($A87,[2]SATS!$C$10:$F$10,0)+1,FALSE)</f>
        <v>0</v>
      </c>
    </row>
    <row r="88" spans="1:20">
      <c r="A88" t="s">
        <v>25</v>
      </c>
      <c r="B88" t="s">
        <v>1359</v>
      </c>
      <c r="C88" t="s">
        <v>26</v>
      </c>
      <c r="D88" t="s">
        <v>62</v>
      </c>
      <c r="E88" t="str">
        <f t="shared" si="1"/>
        <v>Zonal/DHPHZ3FLOOR R0 - R19</v>
      </c>
      <c r="F88" s="31" t="str">
        <f>Composite!B87</f>
        <v>Single Family Weatherization - Insulate Floor - R0 to R19 - Heating Zone 3 (Zonal or DHP)</v>
      </c>
      <c r="G88" t="s">
        <v>87</v>
      </c>
      <c r="H88" s="31">
        <f>VLOOKUP($F88&amp;$G88,Composite!$A$5:$Q$865,H$3,FALSE)*VLOOKUP($C88,[2]!ExistingSat,MATCH($A88,[2]SATS!$C$10:$F$10,0)+1,FALSE)</f>
        <v>2022.4018738020995</v>
      </c>
      <c r="I88">
        <f>VLOOKUP($F88&amp;$G88,Composite!$A$5:$Q$865,I$3,FALSE)</f>
        <v>45</v>
      </c>
      <c r="J88" s="31">
        <f>VLOOKUP($F88&amp;$G88,Composite!$A$5:$Q$865,J$3,FALSE)*VLOOKUP($C88,[2]!ExistingSat,MATCH($A88,[2]SATS!$C$10:$F$10,0)+1,FALSE)</f>
        <v>1759.181492270189</v>
      </c>
      <c r="K88" s="31">
        <f>VLOOKUP($F88&amp;$G88,Composite!$A$5:$Q$865,K$3,FALSE)*VLOOKUP($C88,[2]!ExistingSat,MATCH($A88,[2]SATS!$C$10:$F$10,0)+1,FALSE)</f>
        <v>0</v>
      </c>
      <c r="L88" t="str">
        <f>VLOOKUP($F88&amp;$G88,Composite!$A$5:$Q$865,L$3,FALSE)</f>
        <v>ResSpHtBBZ3</v>
      </c>
      <c r="M88" s="31">
        <f>VLOOKUP($F88&amp;$G88,Composite!$A$5:$Q$865,M$3,FALSE)*VLOOKUP($C88,[2]!ExistingSat,MATCH($A88,[2]SATS!$C$10:$F$10,0)+1,FALSE)</f>
        <v>4.1625807763635896</v>
      </c>
      <c r="N88" s="31">
        <f>VLOOKUP($F88&amp;$G88,Composite!$A$5:$Q$865,N$3,FALSE)*VLOOKUP($C88,[2]!ExistingSat,MATCH($A88,[2]SATS!$C$10:$F$10,0)+1,FALSE)</f>
        <v>0</v>
      </c>
      <c r="O88">
        <f>VLOOKUP($F88&amp;$G88,Composite!$A$5:$Q$865,O$3,FALSE)</f>
        <v>0</v>
      </c>
      <c r="P88" s="31">
        <f>VLOOKUP($F88&amp;$G88,Composite!$A$5:$Q$865,P$3,FALSE)*VLOOKUP($C88,[2]!ExistingSat,MATCH($A88,[2]SATS!$C$10:$F$10,0)+1,FALSE)</f>
        <v>0</v>
      </c>
      <c r="Q88">
        <f>VLOOKUP($F88&amp;$G88,Composite!$A$5:$Q$865,Q$3,FALSE)</f>
        <v>0</v>
      </c>
      <c r="R88" s="31">
        <f>VLOOKUP($F88&amp;$G88,Composite!$A$5:$Q$865,R$3,FALSE)*VLOOKUP($C88,[2]!ExistingSat,MATCH($A88,[2]SATS!$C$10:$F$10,0)+1,FALSE)</f>
        <v>0</v>
      </c>
      <c r="S88">
        <f>VLOOKUP($F88&amp;$G88,Composite!$A$5:$Q$865,S$3,FALSE)</f>
        <v>0</v>
      </c>
      <c r="T88" s="31">
        <f>VLOOKUP($F88&amp;$G88,Composite!$A$5:$Q$865,T$3,FALSE)*VLOOKUP($C88,[2]!ExistingSat,MATCH($A88,[2]SATS!$C$10:$F$10,0)+1,FALSE)</f>
        <v>0</v>
      </c>
    </row>
    <row r="89" spans="1:20">
      <c r="A89" t="s">
        <v>25</v>
      </c>
      <c r="B89" t="s">
        <v>1359</v>
      </c>
      <c r="C89" t="s">
        <v>26</v>
      </c>
      <c r="D89" t="s">
        <v>62</v>
      </c>
      <c r="E89" t="str">
        <f t="shared" si="1"/>
        <v>Zonal/DHPHZ3FLOOR R0 - R25</v>
      </c>
      <c r="F89" s="31" t="str">
        <f>Composite!B88</f>
        <v>Single Family Weatherization - Insulate Floor - R0 to R25 - Heating Zone 3 (Zonal or DHP)</v>
      </c>
      <c r="G89" t="s">
        <v>89</v>
      </c>
      <c r="H89" s="31">
        <f>VLOOKUP($F89&amp;$G89,Composite!$A$5:$Q$865,H$3,FALSE)*VLOOKUP($C89,[2]!ExistingSat,MATCH($A89,[2]SATS!$C$10:$F$10,0)+1,FALSE)</f>
        <v>2170.3959699074612</v>
      </c>
      <c r="I89">
        <f>VLOOKUP($F89&amp;$G89,Composite!$A$5:$Q$865,I$3,FALSE)</f>
        <v>45</v>
      </c>
      <c r="J89" s="31">
        <f>VLOOKUP($F89&amp;$G89,Composite!$A$5:$Q$865,J$3,FALSE)*VLOOKUP($C89,[2]!ExistingSat,MATCH($A89,[2]SATS!$C$10:$F$10,0)+1,FALSE)</f>
        <v>1826.548108429291</v>
      </c>
      <c r="K89" s="31">
        <f>VLOOKUP($F89&amp;$G89,Composite!$A$5:$Q$865,K$3,FALSE)*VLOOKUP($C89,[2]!ExistingSat,MATCH($A89,[2]SATS!$C$10:$F$10,0)+1,FALSE)</f>
        <v>0</v>
      </c>
      <c r="L89" t="str">
        <f>VLOOKUP($F89&amp;$G89,Composite!$A$5:$Q$865,L$3,FALSE)</f>
        <v>ResSpHtBBZ3</v>
      </c>
      <c r="M89" s="31">
        <f>VLOOKUP($F89&amp;$G89,Composite!$A$5:$Q$865,M$3,FALSE)*VLOOKUP($C89,[2]!ExistingSat,MATCH($A89,[2]SATS!$C$10:$F$10,0)+1,FALSE)</f>
        <v>4.8836101177366595</v>
      </c>
      <c r="N89" s="31">
        <f>VLOOKUP($F89&amp;$G89,Composite!$A$5:$Q$865,N$3,FALSE)*VLOOKUP($C89,[2]!ExistingSat,MATCH($A89,[2]SATS!$C$10:$F$10,0)+1,FALSE)</f>
        <v>0</v>
      </c>
      <c r="O89">
        <f>VLOOKUP($F89&amp;$G89,Composite!$A$5:$Q$865,O$3,FALSE)</f>
        <v>0</v>
      </c>
      <c r="P89" s="31">
        <f>VLOOKUP($F89&amp;$G89,Composite!$A$5:$Q$865,P$3,FALSE)*VLOOKUP($C89,[2]!ExistingSat,MATCH($A89,[2]SATS!$C$10:$F$10,0)+1,FALSE)</f>
        <v>0</v>
      </c>
      <c r="Q89">
        <f>VLOOKUP($F89&amp;$G89,Composite!$A$5:$Q$865,Q$3,FALSE)</f>
        <v>0</v>
      </c>
      <c r="R89" s="31">
        <f>VLOOKUP($F89&amp;$G89,Composite!$A$5:$Q$865,R$3,FALSE)*VLOOKUP($C89,[2]!ExistingSat,MATCH($A89,[2]SATS!$C$10:$F$10,0)+1,FALSE)</f>
        <v>0</v>
      </c>
      <c r="S89">
        <f>VLOOKUP($F89&amp;$G89,Composite!$A$5:$Q$865,S$3,FALSE)</f>
        <v>0</v>
      </c>
      <c r="T89" s="31">
        <f>VLOOKUP($F89&amp;$G89,Composite!$A$5:$Q$865,T$3,FALSE)*VLOOKUP($C89,[2]!ExistingSat,MATCH($A89,[2]SATS!$C$10:$F$10,0)+1,FALSE)</f>
        <v>0</v>
      </c>
    </row>
    <row r="90" spans="1:20">
      <c r="A90" t="s">
        <v>25</v>
      </c>
      <c r="B90" t="s">
        <v>1359</v>
      </c>
      <c r="C90" t="s">
        <v>26</v>
      </c>
      <c r="D90" t="s">
        <v>62</v>
      </c>
      <c r="E90" t="str">
        <f t="shared" si="1"/>
        <v>Zonal/DHPHZ3FLOOR R0 - R30</v>
      </c>
      <c r="F90" s="31" t="str">
        <f>Composite!B89</f>
        <v>Single Family Weatherization - Insulate Floor - R0 to R30 - Heating Zone 3 (Zonal or DHP)</v>
      </c>
      <c r="G90" t="s">
        <v>91</v>
      </c>
      <c r="H90" s="31">
        <f>VLOOKUP($F90&amp;$G90,Composite!$A$5:$Q$865,H$3,FALSE)*VLOOKUP($C90,[2]!ExistingSat,MATCH($A90,[2]SATS!$C$10:$F$10,0)+1,FALSE)</f>
        <v>2262.7718511900589</v>
      </c>
      <c r="I90">
        <f>VLOOKUP($F90&amp;$G90,Composite!$A$5:$Q$865,I$3,FALSE)</f>
        <v>45</v>
      </c>
      <c r="J90" s="31">
        <f>VLOOKUP($F90&amp;$G90,Composite!$A$5:$Q$865,J$3,FALSE)*VLOOKUP($C90,[2]!ExistingSat,MATCH($A90,[2]SATS!$C$10:$F$10,0)+1,FALSE)</f>
        <v>1882.6869552285434</v>
      </c>
      <c r="K90" s="31">
        <f>VLOOKUP($F90&amp;$G90,Composite!$A$5:$Q$865,K$3,FALSE)*VLOOKUP($C90,[2]!ExistingSat,MATCH($A90,[2]SATS!$C$10:$F$10,0)+1,FALSE)</f>
        <v>0</v>
      </c>
      <c r="L90" t="str">
        <f>VLOOKUP($F90&amp;$G90,Composite!$A$5:$Q$865,L$3,FALSE)</f>
        <v>ResSpHtBBZ3</v>
      </c>
      <c r="M90" s="31">
        <f>VLOOKUP($F90&amp;$G90,Composite!$A$5:$Q$865,M$3,FALSE)*VLOOKUP($C90,[2]!ExistingSat,MATCH($A90,[2]SATS!$C$10:$F$10,0)+1,FALSE)</f>
        <v>5.3680457483877966</v>
      </c>
      <c r="N90" s="31">
        <f>VLOOKUP($F90&amp;$G90,Composite!$A$5:$Q$865,N$3,FALSE)*VLOOKUP($C90,[2]!ExistingSat,MATCH($A90,[2]SATS!$C$10:$F$10,0)+1,FALSE)</f>
        <v>0</v>
      </c>
      <c r="O90">
        <f>VLOOKUP($F90&amp;$G90,Composite!$A$5:$Q$865,O$3,FALSE)</f>
        <v>0</v>
      </c>
      <c r="P90" s="31">
        <f>VLOOKUP($F90&amp;$G90,Composite!$A$5:$Q$865,P$3,FALSE)*VLOOKUP($C90,[2]!ExistingSat,MATCH($A90,[2]SATS!$C$10:$F$10,0)+1,FALSE)</f>
        <v>0</v>
      </c>
      <c r="Q90">
        <f>VLOOKUP($F90&amp;$G90,Composite!$A$5:$Q$865,Q$3,FALSE)</f>
        <v>0</v>
      </c>
      <c r="R90" s="31">
        <f>VLOOKUP($F90&amp;$G90,Composite!$A$5:$Q$865,R$3,FALSE)*VLOOKUP($C90,[2]!ExistingSat,MATCH($A90,[2]SATS!$C$10:$F$10,0)+1,FALSE)</f>
        <v>0</v>
      </c>
      <c r="S90">
        <f>VLOOKUP($F90&amp;$G90,Composite!$A$5:$Q$865,S$3,FALSE)</f>
        <v>0</v>
      </c>
      <c r="T90" s="31">
        <f>VLOOKUP($F90&amp;$G90,Composite!$A$5:$Q$865,T$3,FALSE)*VLOOKUP($C90,[2]!ExistingSat,MATCH($A90,[2]SATS!$C$10:$F$10,0)+1,FALSE)</f>
        <v>0</v>
      </c>
    </row>
    <row r="91" spans="1:20">
      <c r="A91" t="s">
        <v>25</v>
      </c>
      <c r="B91" t="s">
        <v>1359</v>
      </c>
      <c r="C91" t="s">
        <v>27</v>
      </c>
      <c r="D91" t="s">
        <v>62</v>
      </c>
      <c r="E91" t="str">
        <f t="shared" si="1"/>
        <v>Zonal/DHPHZ3WINDOW CL30 Prime Window Replacement of Single Pane Base</v>
      </c>
      <c r="F91" s="31" t="str">
        <f>Composite!B90</f>
        <v>Windows - Single Pane to Class 30 - Heating Zone 3 (Zonal or DHP)</v>
      </c>
      <c r="G91" t="s">
        <v>93</v>
      </c>
      <c r="H91" s="31">
        <f>VLOOKUP($F91&amp;$G91,Composite!$A$5:$Q$865,H$3,FALSE)*VLOOKUP($C91,[2]!ExistingSat,MATCH($A91,[2]SATS!$C$10:$F$10,0)+1,FALSE)</f>
        <v>2300.4185034166567</v>
      </c>
      <c r="I91">
        <f>VLOOKUP($F91&amp;$G91,Composite!$A$5:$Q$865,I$3,FALSE)</f>
        <v>45</v>
      </c>
      <c r="J91" s="31">
        <f>VLOOKUP($F91&amp;$G91,Composite!$A$5:$Q$865,J$3,FALSE)*VLOOKUP($C91,[2]!ExistingSat,MATCH($A91,[2]SATS!$C$10:$F$10,0)+1,FALSE)</f>
        <v>3312.4380313472334</v>
      </c>
      <c r="K91" s="31">
        <f>VLOOKUP($F91&amp;$G91,Composite!$A$5:$Q$865,K$3,FALSE)*VLOOKUP($C91,[2]!ExistingSat,MATCH($A91,[2]SATS!$C$10:$F$10,0)+1,FALSE)</f>
        <v>0</v>
      </c>
      <c r="L91" t="str">
        <f>VLOOKUP($F91&amp;$G91,Composite!$A$5:$Q$865,L$3,FALSE)</f>
        <v>ResSpHtBBZ3</v>
      </c>
      <c r="M91" s="31">
        <f>VLOOKUP($F91&amp;$G91,Composite!$A$5:$Q$865,M$3,FALSE)*VLOOKUP($C91,[2]!ExistingSat,MATCH($A91,[2]SATS!$C$10:$F$10,0)+1,FALSE)</f>
        <v>10.319179799132703</v>
      </c>
      <c r="N91" s="31">
        <f>VLOOKUP($F91&amp;$G91,Composite!$A$5:$Q$865,N$3,FALSE)*VLOOKUP($C91,[2]!ExistingSat,MATCH($A91,[2]SATS!$C$10:$F$10,0)+1,FALSE)</f>
        <v>0</v>
      </c>
      <c r="O91">
        <f>VLOOKUP($F91&amp;$G91,Composite!$A$5:$Q$865,O$3,FALSE)</f>
        <v>0</v>
      </c>
      <c r="P91" s="31">
        <f>VLOOKUP($F91&amp;$G91,Composite!$A$5:$Q$865,P$3,FALSE)*VLOOKUP($C91,[2]!ExistingSat,MATCH($A91,[2]SATS!$C$10:$F$10,0)+1,FALSE)</f>
        <v>0</v>
      </c>
      <c r="Q91">
        <f>VLOOKUP($F91&amp;$G91,Composite!$A$5:$Q$865,Q$3,FALSE)</f>
        <v>0</v>
      </c>
      <c r="R91" s="31">
        <f>VLOOKUP($F91&amp;$G91,Composite!$A$5:$Q$865,R$3,FALSE)*VLOOKUP($C91,[2]!ExistingSat,MATCH($A91,[2]SATS!$C$10:$F$10,0)+1,FALSE)</f>
        <v>0</v>
      </c>
      <c r="S91">
        <f>VLOOKUP($F91&amp;$G91,Composite!$A$5:$Q$865,S$3,FALSE)</f>
        <v>0</v>
      </c>
      <c r="T91" s="31">
        <f>VLOOKUP($F91&amp;$G91,Composite!$A$5:$Q$865,T$3,FALSE)*VLOOKUP($C91,[2]!ExistingSat,MATCH($A91,[2]SATS!$C$10:$F$10,0)+1,FALSE)</f>
        <v>0</v>
      </c>
    </row>
    <row r="92" spans="1:20">
      <c r="A92" t="s">
        <v>25</v>
      </c>
      <c r="B92" t="s">
        <v>1359</v>
      </c>
      <c r="C92" t="s">
        <v>27</v>
      </c>
      <c r="D92" t="s">
        <v>62</v>
      </c>
      <c r="E92" t="str">
        <f t="shared" si="1"/>
        <v>Zonal/DHPHZ3WINDOW CL30 Prime Window Replacement of Double Pane Base</v>
      </c>
      <c r="F92" s="31" t="str">
        <f>Composite!B91</f>
        <v>Windows - Double Pane to Class 30 - Heating Zone 3 (Zonal or DHP)</v>
      </c>
      <c r="G92" t="s">
        <v>95</v>
      </c>
      <c r="H92" s="31">
        <f>VLOOKUP($F92&amp;$G92,Composite!$A$5:$Q$865,H$3,FALSE)*VLOOKUP($C92,[2]!ExistingSat,MATCH($A92,[2]SATS!$C$10:$F$10,0)+1,FALSE)</f>
        <v>1101.7621359140037</v>
      </c>
      <c r="I92">
        <f>VLOOKUP($F92&amp;$G92,Composite!$A$5:$Q$865,I$3,FALSE)</f>
        <v>45</v>
      </c>
      <c r="J92" s="31">
        <f>VLOOKUP($F92&amp;$G92,Composite!$A$5:$Q$865,J$3,FALSE)*VLOOKUP($C92,[2]!ExistingSat,MATCH($A92,[2]SATS!$C$10:$F$10,0)+1,FALSE)</f>
        <v>3312.4380313472334</v>
      </c>
      <c r="K92" s="31">
        <f>VLOOKUP($F92&amp;$G92,Composite!$A$5:$Q$865,K$3,FALSE)*VLOOKUP($C92,[2]!ExistingSat,MATCH($A92,[2]SATS!$C$10:$F$10,0)+1,FALSE)</f>
        <v>0</v>
      </c>
      <c r="L92" t="str">
        <f>VLOOKUP($F92&amp;$G92,Composite!$A$5:$Q$865,L$3,FALSE)</f>
        <v>ResSpHtBBZ3</v>
      </c>
      <c r="M92" s="31">
        <f>VLOOKUP($F92&amp;$G92,Composite!$A$5:$Q$865,M$3,FALSE)*VLOOKUP($C92,[2]!ExistingSat,MATCH($A92,[2]SATS!$C$10:$F$10,0)+1,FALSE)</f>
        <v>4.8353235398479342</v>
      </c>
      <c r="N92" s="31">
        <f>VLOOKUP($F92&amp;$G92,Composite!$A$5:$Q$865,N$3,FALSE)*VLOOKUP($C92,[2]!ExistingSat,MATCH($A92,[2]SATS!$C$10:$F$10,0)+1,FALSE)</f>
        <v>0</v>
      </c>
      <c r="O92">
        <f>VLOOKUP($F92&amp;$G92,Composite!$A$5:$Q$865,O$3,FALSE)</f>
        <v>0</v>
      </c>
      <c r="P92" s="31">
        <f>VLOOKUP($F92&amp;$G92,Composite!$A$5:$Q$865,P$3,FALSE)*VLOOKUP($C92,[2]!ExistingSat,MATCH($A92,[2]SATS!$C$10:$F$10,0)+1,FALSE)</f>
        <v>0</v>
      </c>
      <c r="Q92">
        <f>VLOOKUP($F92&amp;$G92,Composite!$A$5:$Q$865,Q$3,FALSE)</f>
        <v>0</v>
      </c>
      <c r="R92" s="31">
        <f>VLOOKUP($F92&amp;$G92,Composite!$A$5:$Q$865,R$3,FALSE)*VLOOKUP($C92,[2]!ExistingSat,MATCH($A92,[2]SATS!$C$10:$F$10,0)+1,FALSE)</f>
        <v>0</v>
      </c>
      <c r="S92">
        <f>VLOOKUP($F92&amp;$G92,Composite!$A$5:$Q$865,S$3,FALSE)</f>
        <v>0</v>
      </c>
      <c r="T92" s="31">
        <f>VLOOKUP($F92&amp;$G92,Composite!$A$5:$Q$865,T$3,FALSE)*VLOOKUP($C92,[2]!ExistingSat,MATCH($A92,[2]SATS!$C$10:$F$10,0)+1,FALSE)</f>
        <v>0</v>
      </c>
    </row>
    <row r="93" spans="1:20">
      <c r="A93" t="s">
        <v>25</v>
      </c>
      <c r="B93" t="s">
        <v>1359</v>
      </c>
      <c r="C93" t="s">
        <v>27</v>
      </c>
      <c r="D93" t="s">
        <v>62</v>
      </c>
      <c r="E93" t="str">
        <f t="shared" si="1"/>
        <v>Zonal/DHPHZ3WINDOW CL22 Prime Window Replacement of Single Pane Base</v>
      </c>
      <c r="F93" s="31" t="str">
        <f>Composite!B92</f>
        <v>Windows - Single Pane to Class 22 - Heating Zone 3 (Zonal or DHP)</v>
      </c>
      <c r="G93" t="s">
        <v>99</v>
      </c>
      <c r="H93" s="31">
        <f>VLOOKUP($F93&amp;$G93,Composite!$A$5:$Q$865,H$3,FALSE)*VLOOKUP($C93,[2]!ExistingSat,MATCH($A93,[2]SATS!$C$10:$F$10,0)+1,FALSE)</f>
        <v>2511.8458955625952</v>
      </c>
      <c r="I93">
        <f>VLOOKUP($F93&amp;$G93,Composite!$A$5:$Q$865,I$3,FALSE)</f>
        <v>45</v>
      </c>
      <c r="J93" s="31">
        <f>VLOOKUP($F93&amp;$G93,Composite!$A$5:$Q$865,J$3,FALSE)*VLOOKUP($C93,[2]!ExistingSat,MATCH($A93,[2]SATS!$C$10:$F$10,0)+1,FALSE)</f>
        <v>3901.0698543939693</v>
      </c>
      <c r="K93" s="31">
        <f>VLOOKUP($F93&amp;$G93,Composite!$A$5:$Q$865,K$3,FALSE)*VLOOKUP($C93,[2]!ExistingSat,MATCH($A93,[2]SATS!$C$10:$F$10,0)+1,FALSE)</f>
        <v>0</v>
      </c>
      <c r="L93" t="str">
        <f>VLOOKUP($F93&amp;$G93,Composite!$A$5:$Q$865,L$3,FALSE)</f>
        <v>ResSpHtBBZ3</v>
      </c>
      <c r="M93" s="31">
        <f>VLOOKUP($F93&amp;$G93,Composite!$A$5:$Q$865,M$3,FALSE)*VLOOKUP($C93,[2]!ExistingSat,MATCH($A93,[2]SATS!$C$10:$F$10,0)+1,FALSE)</f>
        <v>11.512716215133571</v>
      </c>
      <c r="N93" s="31">
        <f>VLOOKUP($F93&amp;$G93,Composite!$A$5:$Q$865,N$3,FALSE)*VLOOKUP($C93,[2]!ExistingSat,MATCH($A93,[2]SATS!$C$10:$F$10,0)+1,FALSE)</f>
        <v>0</v>
      </c>
      <c r="O93">
        <f>VLOOKUP($F93&amp;$G93,Composite!$A$5:$Q$865,O$3,FALSE)</f>
        <v>0</v>
      </c>
      <c r="P93" s="31">
        <f>VLOOKUP($F93&amp;$G93,Composite!$A$5:$Q$865,P$3,FALSE)*VLOOKUP($C93,[2]!ExistingSat,MATCH($A93,[2]SATS!$C$10:$F$10,0)+1,FALSE)</f>
        <v>0</v>
      </c>
      <c r="Q93">
        <f>VLOOKUP($F93&amp;$G93,Composite!$A$5:$Q$865,Q$3,FALSE)</f>
        <v>0</v>
      </c>
      <c r="R93" s="31">
        <f>VLOOKUP($F93&amp;$G93,Composite!$A$5:$Q$865,R$3,FALSE)*VLOOKUP($C93,[2]!ExistingSat,MATCH($A93,[2]SATS!$C$10:$F$10,0)+1,FALSE)</f>
        <v>0</v>
      </c>
      <c r="S93">
        <f>VLOOKUP($F93&amp;$G93,Composite!$A$5:$Q$865,S$3,FALSE)</f>
        <v>0</v>
      </c>
      <c r="T93" s="31">
        <f>VLOOKUP($F93&amp;$G93,Composite!$A$5:$Q$865,T$3,FALSE)*VLOOKUP($C93,[2]!ExistingSat,MATCH($A93,[2]SATS!$C$10:$F$10,0)+1,FALSE)</f>
        <v>0</v>
      </c>
    </row>
    <row r="94" spans="1:20">
      <c r="A94" t="s">
        <v>25</v>
      </c>
      <c r="B94" t="s">
        <v>1359</v>
      </c>
      <c r="C94" t="s">
        <v>27</v>
      </c>
      <c r="D94" t="s">
        <v>62</v>
      </c>
      <c r="E94" t="str">
        <f t="shared" si="1"/>
        <v>Zonal/DHPHZ3WINDOW CL22 Prime Window Replacement of Double Pane Base</v>
      </c>
      <c r="F94" s="31" t="str">
        <f>Composite!B93</f>
        <v>Windows - Double Pane to Class 22 - Heating Zone 3 (Zonal or DHP)</v>
      </c>
      <c r="G94" t="s">
        <v>101</v>
      </c>
      <c r="H94" s="31">
        <f>VLOOKUP($F94&amp;$G94,Composite!$A$5:$Q$865,H$3,FALSE)*VLOOKUP($C94,[2]!ExistingSat,MATCH($A94,[2]SATS!$C$10:$F$10,0)+1,FALSE)</f>
        <v>1283.5615018064921</v>
      </c>
      <c r="I94">
        <f>VLOOKUP($F94&amp;$G94,Composite!$A$5:$Q$865,I$3,FALSE)</f>
        <v>45</v>
      </c>
      <c r="J94" s="31">
        <f>VLOOKUP($F94&amp;$G94,Composite!$A$5:$Q$865,J$3,FALSE)*VLOOKUP($C94,[2]!ExistingSat,MATCH($A94,[2]SATS!$C$10:$F$10,0)+1,FALSE)</f>
        <v>3901.0698543939693</v>
      </c>
      <c r="K94" s="31">
        <f>VLOOKUP($F94&amp;$G94,Composite!$A$5:$Q$865,K$3,FALSE)*VLOOKUP($C94,[2]!ExistingSat,MATCH($A94,[2]SATS!$C$10:$F$10,0)+1,FALSE)</f>
        <v>0</v>
      </c>
      <c r="L94" t="str">
        <f>VLOOKUP($F94&amp;$G94,Composite!$A$5:$Q$865,L$3,FALSE)</f>
        <v>ResSpHtBBZ3</v>
      </c>
      <c r="M94" s="31">
        <f>VLOOKUP($F94&amp;$G94,Composite!$A$5:$Q$865,M$3,FALSE)*VLOOKUP($C94,[2]!ExistingSat,MATCH($A94,[2]SATS!$C$10:$F$10,0)+1,FALSE)</f>
        <v>5.9090249706210676</v>
      </c>
      <c r="N94" s="31">
        <f>VLOOKUP($F94&amp;$G94,Composite!$A$5:$Q$865,N$3,FALSE)*VLOOKUP($C94,[2]!ExistingSat,MATCH($A94,[2]SATS!$C$10:$F$10,0)+1,FALSE)</f>
        <v>0</v>
      </c>
      <c r="O94">
        <f>VLOOKUP($F94&amp;$G94,Composite!$A$5:$Q$865,O$3,FALSE)</f>
        <v>0</v>
      </c>
      <c r="P94" s="31">
        <f>VLOOKUP($F94&amp;$G94,Composite!$A$5:$Q$865,P$3,FALSE)*VLOOKUP($C94,[2]!ExistingSat,MATCH($A94,[2]SATS!$C$10:$F$10,0)+1,FALSE)</f>
        <v>0</v>
      </c>
      <c r="Q94">
        <f>VLOOKUP($F94&amp;$G94,Composite!$A$5:$Q$865,Q$3,FALSE)</f>
        <v>0</v>
      </c>
      <c r="R94" s="31">
        <f>VLOOKUP($F94&amp;$G94,Composite!$A$5:$Q$865,R$3,FALSE)*VLOOKUP($C94,[2]!ExistingSat,MATCH($A94,[2]SATS!$C$10:$F$10,0)+1,FALSE)</f>
        <v>0</v>
      </c>
      <c r="S94">
        <f>VLOOKUP($F94&amp;$G94,Composite!$A$5:$Q$865,S$3,FALSE)</f>
        <v>0</v>
      </c>
      <c r="T94" s="31">
        <f>VLOOKUP($F94&amp;$G94,Composite!$A$5:$Q$865,T$3,FALSE)*VLOOKUP($C94,[2]!ExistingSat,MATCH($A94,[2]SATS!$C$10:$F$10,0)+1,FALSE)</f>
        <v>0</v>
      </c>
    </row>
    <row r="95" spans="1:20">
      <c r="A95" t="s">
        <v>25</v>
      </c>
      <c r="B95" t="s">
        <v>1359</v>
      </c>
      <c r="C95" t="s">
        <v>66</v>
      </c>
      <c r="D95" t="s">
        <v>62</v>
      </c>
      <c r="E95" t="str">
        <f t="shared" si="1"/>
        <v>Zonal/DHPHZ3CFM50 Infiltration Reduction</v>
      </c>
      <c r="F95" s="31" t="str">
        <f>Composite!B94</f>
        <v>Infiltration Reduction - CFM50 reduction - Heating Zone 3 (Zonal or DHP)</v>
      </c>
      <c r="G95" s="305" t="s">
        <v>1362</v>
      </c>
      <c r="H95" s="31">
        <f>VLOOKUP($F95&amp;$G95,Composite!$A$5:$Q$865,H$3,FALSE)*VLOOKUP($C95,[2]!ExistingSat,MATCH($A95,[2]SATS!$C$10:$F$10,0)+1,FALSE)</f>
        <v>1102.5994299251827</v>
      </c>
      <c r="I95">
        <f>VLOOKUP($F95&amp;$G95,Composite!$A$5:$Q$865,I$3,FALSE)</f>
        <v>15</v>
      </c>
      <c r="J95" s="31">
        <f>VLOOKUP($F95&amp;$G95,Composite!$A$5:$Q$865,J$3,FALSE)*VLOOKUP($C95,[2]!ExistingSat,MATCH($A95,[2]SATS!$C$10:$F$10,0)+1,FALSE)</f>
        <v>1325.3999218794588</v>
      </c>
      <c r="K95" s="31">
        <f>VLOOKUP($F95&amp;$G95,Composite!$A$5:$Q$865,K$3,FALSE)*VLOOKUP($C95,[2]!ExistingSat,MATCH($A95,[2]SATS!$C$10:$F$10,0)+1,FALSE)</f>
        <v>0</v>
      </c>
      <c r="L95" t="str">
        <f>VLOOKUP($F95&amp;$G95,Composite!$A$5:$Q$865,L$3,FALSE)</f>
        <v>ResSpHtBBZ3</v>
      </c>
      <c r="M95" s="31">
        <f>VLOOKUP($F95&amp;$G95,Composite!$A$5:$Q$865,M$3,FALSE)*VLOOKUP($C95,[2]!ExistingSat,MATCH($A95,[2]SATS!$C$10:$F$10,0)+1,FALSE)</f>
        <v>5.5452691293850487</v>
      </c>
      <c r="N95" s="31">
        <f>VLOOKUP($F95&amp;$G95,Composite!$A$5:$Q$865,N$3,FALSE)*VLOOKUP($C95,[2]!ExistingSat,MATCH($A95,[2]SATS!$C$10:$F$10,0)+1,FALSE)</f>
        <v>0</v>
      </c>
      <c r="O95">
        <f>VLOOKUP($F95&amp;$G95,Composite!$A$5:$Q$865,O$3,FALSE)</f>
        <v>0</v>
      </c>
      <c r="P95" s="31">
        <f>VLOOKUP($F95&amp;$G95,Composite!$A$5:$Q$865,P$3,FALSE)*VLOOKUP($C95,[2]!ExistingSat,MATCH($A95,[2]SATS!$C$10:$F$10,0)+1,FALSE)</f>
        <v>0</v>
      </c>
      <c r="Q95">
        <f>VLOOKUP($F95&amp;$G95,Composite!$A$5:$Q$865,Q$3,FALSE)</f>
        <v>0</v>
      </c>
      <c r="R95" s="31">
        <f>VLOOKUP($F95&amp;$G95,Composite!$A$5:$Q$865,R$3,FALSE)*VLOOKUP($C95,[2]!ExistingSat,MATCH($A95,[2]SATS!$C$10:$F$10,0)+1,FALSE)</f>
        <v>0</v>
      </c>
      <c r="S95">
        <f>VLOOKUP($F95&amp;$G95,Composite!$A$5:$Q$865,S$3,FALSE)</f>
        <v>0</v>
      </c>
      <c r="T95" s="31">
        <f>VLOOKUP($F95&amp;$G95,Composite!$A$5:$Q$865,T$3,FALSE)*VLOOKUP($C95,[2]!ExistingSat,MATCH($A95,[2]SATS!$C$10:$F$10,0)+1,FALSE)</f>
        <v>0</v>
      </c>
    </row>
    <row r="96" spans="1:20">
      <c r="A96" t="s">
        <v>25</v>
      </c>
      <c r="B96" t="s">
        <v>229</v>
      </c>
      <c r="C96" t="s">
        <v>28</v>
      </c>
      <c r="D96" t="s">
        <v>60</v>
      </c>
      <c r="E96" t="str">
        <f t="shared" si="1"/>
        <v>Heat PumpHZ1ATTIC R0 - R38</v>
      </c>
      <c r="F96" s="31" t="str">
        <f>Composite!B95</f>
        <v>Single Family Weatherization - Insulate Attic - R0 to R38 - Heating Zone 1 (Heat Pump)</v>
      </c>
      <c r="G96" t="s">
        <v>68</v>
      </c>
      <c r="H96" s="31">
        <f>VLOOKUP($F96&amp;$G96,Composite!$A$5:$Q$865,H$3,FALSE)*VLOOKUP($C96,[2]!ExistingSat,MATCH($A96,[2]SATS!$C$10:$F$10,0)+1,FALSE)</f>
        <v>1467.3101192270869</v>
      </c>
      <c r="I96">
        <f>VLOOKUP($F96&amp;$G96,Composite!$A$5:$Q$865,I$3,FALSE)</f>
        <v>45</v>
      </c>
      <c r="J96" s="31">
        <f>VLOOKUP($F96&amp;$G96,Composite!$A$5:$Q$865,J$3,FALSE)*VLOOKUP($C96,[2]!ExistingSat,MATCH($A96,[2]SATS!$C$10:$F$10,0)+1,FALSE)</f>
        <v>1403.6424108745796</v>
      </c>
      <c r="K96" s="31">
        <f>VLOOKUP($F96&amp;$G96,Composite!$A$5:$Q$865,K$3,FALSE)*VLOOKUP($C96,[2]!ExistingSat,MATCH($A96,[2]SATS!$C$10:$F$10,0)+1,FALSE)</f>
        <v>0</v>
      </c>
      <c r="L96" t="str">
        <f>VLOOKUP($F96&amp;$G96,Composite!$A$5:$Q$865,L$3,FALSE)</f>
        <v>ResSpHtHPZ1</v>
      </c>
      <c r="M96" s="31">
        <f>VLOOKUP($F96&amp;$G96,Composite!$A$5:$Q$865,M$3,FALSE)*VLOOKUP($C96,[2]!ExistingSat,MATCH($A96,[2]SATS!$C$10:$F$10,0)+1,FALSE)</f>
        <v>5.8844066622767306</v>
      </c>
      <c r="N96" s="31">
        <f>VLOOKUP($F96&amp;$G96,Composite!$A$5:$Q$865,N$3,FALSE)*VLOOKUP($C96,[2]!ExistingSat,MATCH($A96,[2]SATS!$C$10:$F$10,0)+1,FALSE)</f>
        <v>0</v>
      </c>
      <c r="O96">
        <f>VLOOKUP($F96&amp;$G96,Composite!$A$5:$Q$865,O$3,FALSE)</f>
        <v>0</v>
      </c>
      <c r="P96" s="31">
        <f>VLOOKUP($F96&amp;$G96,Composite!$A$5:$Q$865,P$3,FALSE)*VLOOKUP($C96,[2]!ExistingSat,MATCH($A96,[2]SATS!$C$10:$F$10,0)+1,FALSE)</f>
        <v>0</v>
      </c>
      <c r="Q96">
        <f>VLOOKUP($F96&amp;$G96,Composite!$A$5:$Q$865,Q$3,FALSE)</f>
        <v>0</v>
      </c>
      <c r="R96" s="31">
        <f>VLOOKUP($F96&amp;$G96,Composite!$A$5:$Q$865,R$3,FALSE)*VLOOKUP($C96,[2]!ExistingSat,MATCH($A96,[2]SATS!$C$10:$F$10,0)+1,FALSE)</f>
        <v>0</v>
      </c>
      <c r="S96">
        <f>VLOOKUP($F96&amp;$G96,Composite!$A$5:$Q$865,S$3,FALSE)</f>
        <v>0</v>
      </c>
      <c r="T96" s="31">
        <f>VLOOKUP($F96&amp;$G96,Composite!$A$5:$Q$865,T$3,FALSE)*VLOOKUP($C96,[2]!ExistingSat,MATCH($A96,[2]SATS!$C$10:$F$10,0)+1,FALSE)</f>
        <v>0</v>
      </c>
    </row>
    <row r="97" spans="1:20">
      <c r="A97" t="s">
        <v>25</v>
      </c>
      <c r="B97" t="s">
        <v>229</v>
      </c>
      <c r="C97" t="s">
        <v>28</v>
      </c>
      <c r="D97" t="s">
        <v>60</v>
      </c>
      <c r="E97" t="str">
        <f t="shared" si="1"/>
        <v>Heat PumpHZ1ATTIC R0 - R49</v>
      </c>
      <c r="F97" s="31" t="str">
        <f>Composite!B96</f>
        <v>Single Family Weatherization - Insulate Attic - R0 to R49 - Heating Zone 1 (Heat Pump)</v>
      </c>
      <c r="G97" t="s">
        <v>71</v>
      </c>
      <c r="H97" s="31">
        <f>VLOOKUP($F97&amp;$G97,Composite!$A$5:$Q$865,H$3,FALSE)*VLOOKUP($C97,[2]!ExistingSat,MATCH($A97,[2]SATS!$C$10:$F$10,0)+1,FALSE)</f>
        <v>1487.2643542521744</v>
      </c>
      <c r="I97">
        <f>VLOOKUP($F97&amp;$G97,Composite!$A$5:$Q$865,I$3,FALSE)</f>
        <v>45</v>
      </c>
      <c r="J97" s="31">
        <f>VLOOKUP($F97&amp;$G97,Composite!$A$5:$Q$865,J$3,FALSE)*VLOOKUP($C97,[2]!ExistingSat,MATCH($A97,[2]SATS!$C$10:$F$10,0)+1,FALSE)</f>
        <v>1602.9315530239337</v>
      </c>
      <c r="K97" s="31">
        <f>VLOOKUP($F97&amp;$G97,Composite!$A$5:$Q$865,K$3,FALSE)*VLOOKUP($C97,[2]!ExistingSat,MATCH($A97,[2]SATS!$C$10:$F$10,0)+1,FALSE)</f>
        <v>0</v>
      </c>
      <c r="L97" t="str">
        <f>VLOOKUP($F97&amp;$G97,Composite!$A$5:$Q$865,L$3,FALSE)</f>
        <v>ResSpHtHPZ1</v>
      </c>
      <c r="M97" s="31">
        <f>VLOOKUP($F97&amp;$G97,Composite!$A$5:$Q$865,M$3,FALSE)*VLOOKUP($C97,[2]!ExistingSat,MATCH($A97,[2]SATS!$C$10:$F$10,0)+1,FALSE)</f>
        <v>6.1133406897238753</v>
      </c>
      <c r="N97" s="31">
        <f>VLOOKUP($F97&amp;$G97,Composite!$A$5:$Q$865,N$3,FALSE)*VLOOKUP($C97,[2]!ExistingSat,MATCH($A97,[2]SATS!$C$10:$F$10,0)+1,FALSE)</f>
        <v>0</v>
      </c>
      <c r="O97">
        <f>VLOOKUP($F97&amp;$G97,Composite!$A$5:$Q$865,O$3,FALSE)</f>
        <v>0</v>
      </c>
      <c r="P97" s="31">
        <f>VLOOKUP($F97&amp;$G97,Composite!$A$5:$Q$865,P$3,FALSE)*VLOOKUP($C97,[2]!ExistingSat,MATCH($A97,[2]SATS!$C$10:$F$10,0)+1,FALSE)</f>
        <v>0</v>
      </c>
      <c r="Q97">
        <f>VLOOKUP($F97&amp;$G97,Composite!$A$5:$Q$865,Q$3,FALSE)</f>
        <v>0</v>
      </c>
      <c r="R97" s="31">
        <f>VLOOKUP($F97&amp;$G97,Composite!$A$5:$Q$865,R$3,FALSE)*VLOOKUP($C97,[2]!ExistingSat,MATCH($A97,[2]SATS!$C$10:$F$10,0)+1,FALSE)</f>
        <v>0</v>
      </c>
      <c r="S97">
        <f>VLOOKUP($F97&amp;$G97,Composite!$A$5:$Q$865,S$3,FALSE)</f>
        <v>0</v>
      </c>
      <c r="T97" s="31">
        <f>VLOOKUP($F97&amp;$G97,Composite!$A$5:$Q$865,T$3,FALSE)*VLOOKUP($C97,[2]!ExistingSat,MATCH($A97,[2]SATS!$C$10:$F$10,0)+1,FALSE)</f>
        <v>0</v>
      </c>
    </row>
    <row r="98" spans="1:20">
      <c r="A98" t="s">
        <v>25</v>
      </c>
      <c r="B98" t="s">
        <v>229</v>
      </c>
      <c r="C98" t="s">
        <v>28</v>
      </c>
      <c r="D98" t="s">
        <v>60</v>
      </c>
      <c r="E98" t="str">
        <f t="shared" si="1"/>
        <v>Heat PumpHZ1ATTIC R11 - R38</v>
      </c>
      <c r="F98" s="31" t="str">
        <f>Composite!B97</f>
        <v>Single Family Weatherization - Insulate Attic - R11 to R38 - Heating Zone 1 (Heat Pump)</v>
      </c>
      <c r="G98" t="s">
        <v>73</v>
      </c>
      <c r="H98" s="31">
        <f>VLOOKUP($F98&amp;$G98,Composite!$A$5:$Q$865,H$3,FALSE)*VLOOKUP($C98,[2]!ExistingSat,MATCH($A98,[2]SATS!$C$10:$F$10,0)+1,FALSE)</f>
        <v>295.99303522827165</v>
      </c>
      <c r="I98">
        <f>VLOOKUP($F98&amp;$G98,Composite!$A$5:$Q$865,I$3,FALSE)</f>
        <v>45</v>
      </c>
      <c r="J98" s="31">
        <f>VLOOKUP($F98&amp;$G98,Composite!$A$5:$Q$865,J$3,FALSE)*VLOOKUP($C98,[2]!ExistingSat,MATCH($A98,[2]SATS!$C$10:$F$10,0)+1,FALSE)</f>
        <v>1204.353268725225</v>
      </c>
      <c r="K98" s="31">
        <f>VLOOKUP($F98&amp;$G98,Composite!$A$5:$Q$865,K$3,FALSE)*VLOOKUP($C98,[2]!ExistingSat,MATCH($A98,[2]SATS!$C$10:$F$10,0)+1,FALSE)</f>
        <v>0</v>
      </c>
      <c r="L98" t="str">
        <f>VLOOKUP($F98&amp;$G98,Composite!$A$5:$Q$865,L$3,FALSE)</f>
        <v>ResSpHtHPZ1</v>
      </c>
      <c r="M98" s="31">
        <f>VLOOKUP($F98&amp;$G98,Composite!$A$5:$Q$865,M$3,FALSE)*VLOOKUP($C98,[2]!ExistingSat,MATCH($A98,[2]SATS!$C$10:$F$10,0)+1,FALSE)</f>
        <v>2.8337434999140334</v>
      </c>
      <c r="N98" s="31">
        <f>VLOOKUP($F98&amp;$G98,Composite!$A$5:$Q$865,N$3,FALSE)*VLOOKUP($C98,[2]!ExistingSat,MATCH($A98,[2]SATS!$C$10:$F$10,0)+1,FALSE)</f>
        <v>0</v>
      </c>
      <c r="O98">
        <f>VLOOKUP($F98&amp;$G98,Composite!$A$5:$Q$865,O$3,FALSE)</f>
        <v>0</v>
      </c>
      <c r="P98" s="31">
        <f>VLOOKUP($F98&amp;$G98,Composite!$A$5:$Q$865,P$3,FALSE)*VLOOKUP($C98,[2]!ExistingSat,MATCH($A98,[2]SATS!$C$10:$F$10,0)+1,FALSE)</f>
        <v>0</v>
      </c>
      <c r="Q98">
        <f>VLOOKUP($F98&amp;$G98,Composite!$A$5:$Q$865,Q$3,FALSE)</f>
        <v>0</v>
      </c>
      <c r="R98" s="31">
        <f>VLOOKUP($F98&amp;$G98,Composite!$A$5:$Q$865,R$3,FALSE)*VLOOKUP($C98,[2]!ExistingSat,MATCH($A98,[2]SATS!$C$10:$F$10,0)+1,FALSE)</f>
        <v>0</v>
      </c>
      <c r="S98">
        <f>VLOOKUP($F98&amp;$G98,Composite!$A$5:$Q$865,S$3,FALSE)</f>
        <v>0</v>
      </c>
      <c r="T98" s="31">
        <f>VLOOKUP($F98&amp;$G98,Composite!$A$5:$Q$865,T$3,FALSE)*VLOOKUP($C98,[2]!ExistingSat,MATCH($A98,[2]SATS!$C$10:$F$10,0)+1,FALSE)</f>
        <v>0</v>
      </c>
    </row>
    <row r="99" spans="1:20">
      <c r="A99" t="s">
        <v>25</v>
      </c>
      <c r="B99" t="s">
        <v>229</v>
      </c>
      <c r="C99" t="s">
        <v>28</v>
      </c>
      <c r="D99" t="s">
        <v>60</v>
      </c>
      <c r="E99" t="str">
        <f t="shared" si="1"/>
        <v>Heat PumpHZ1ATTIC R11 - R49</v>
      </c>
      <c r="F99" s="31" t="str">
        <f>Composite!B98</f>
        <v>Single Family Weatherization - Insulate Attic - R11 to R49 - Heating Zone 1 (Heat Pump)</v>
      </c>
      <c r="G99" t="s">
        <v>75</v>
      </c>
      <c r="H99" s="31">
        <f>VLOOKUP($F99&amp;$G99,Composite!$A$5:$Q$865,H$3,FALSE)*VLOOKUP($C99,[2]!ExistingSat,MATCH($A99,[2]SATS!$C$10:$F$10,0)+1,FALSE)</f>
        <v>321.02545897412011</v>
      </c>
      <c r="I99">
        <f>VLOOKUP($F99&amp;$G99,Composite!$A$5:$Q$865,I$3,FALSE)</f>
        <v>45</v>
      </c>
      <c r="J99" s="31">
        <f>VLOOKUP($F99&amp;$G99,Composite!$A$5:$Q$865,J$3,FALSE)*VLOOKUP($C99,[2]!ExistingSat,MATCH($A99,[2]SATS!$C$10:$F$10,0)+1,FALSE)</f>
        <v>1403.6424108745796</v>
      </c>
      <c r="K99" s="31">
        <f>VLOOKUP($F99&amp;$G99,Composite!$A$5:$Q$865,K$3,FALSE)*VLOOKUP($C99,[2]!ExistingSat,MATCH($A99,[2]SATS!$C$10:$F$10,0)+1,FALSE)</f>
        <v>0</v>
      </c>
      <c r="L99" t="str">
        <f>VLOOKUP($F99&amp;$G99,Composite!$A$5:$Q$865,L$3,FALSE)</f>
        <v>ResSpHtHPZ1</v>
      </c>
      <c r="M99" s="31">
        <f>VLOOKUP($F99&amp;$G99,Composite!$A$5:$Q$865,M$3,FALSE)*VLOOKUP($C99,[2]!ExistingSat,MATCH($A99,[2]SATS!$C$10:$F$10,0)+1,FALSE)</f>
        <v>3.1077401324797682</v>
      </c>
      <c r="N99" s="31">
        <f>VLOOKUP($F99&amp;$G99,Composite!$A$5:$Q$865,N$3,FALSE)*VLOOKUP($C99,[2]!ExistingSat,MATCH($A99,[2]SATS!$C$10:$F$10,0)+1,FALSE)</f>
        <v>0</v>
      </c>
      <c r="O99">
        <f>VLOOKUP($F99&amp;$G99,Composite!$A$5:$Q$865,O$3,FALSE)</f>
        <v>0</v>
      </c>
      <c r="P99" s="31">
        <f>VLOOKUP($F99&amp;$G99,Composite!$A$5:$Q$865,P$3,FALSE)*VLOOKUP($C99,[2]!ExistingSat,MATCH($A99,[2]SATS!$C$10:$F$10,0)+1,FALSE)</f>
        <v>0</v>
      </c>
      <c r="Q99">
        <f>VLOOKUP($F99&amp;$G99,Composite!$A$5:$Q$865,Q$3,FALSE)</f>
        <v>0</v>
      </c>
      <c r="R99" s="31">
        <f>VLOOKUP($F99&amp;$G99,Composite!$A$5:$Q$865,R$3,FALSE)*VLOOKUP($C99,[2]!ExistingSat,MATCH($A99,[2]SATS!$C$10:$F$10,0)+1,FALSE)</f>
        <v>0</v>
      </c>
      <c r="S99">
        <f>VLOOKUP($F99&amp;$G99,Composite!$A$5:$Q$865,S$3,FALSE)</f>
        <v>0</v>
      </c>
      <c r="T99" s="31">
        <f>VLOOKUP($F99&amp;$G99,Composite!$A$5:$Q$865,T$3,FALSE)*VLOOKUP($C99,[2]!ExistingSat,MATCH($A99,[2]SATS!$C$10:$F$10,0)+1,FALSE)</f>
        <v>0</v>
      </c>
    </row>
    <row r="100" spans="1:20">
      <c r="A100" t="s">
        <v>25</v>
      </c>
      <c r="B100" t="s">
        <v>229</v>
      </c>
      <c r="C100" t="s">
        <v>28</v>
      </c>
      <c r="D100" t="s">
        <v>60</v>
      </c>
      <c r="E100" t="str">
        <f t="shared" si="1"/>
        <v>Heat PumpHZ1ATTIC R19 - R38</v>
      </c>
      <c r="F100" s="31" t="str">
        <f>Composite!B99</f>
        <v>Single Family Weatherization - Insulate Attic - R19 to R38 - Heating Zone 1 (Heat Pump)</v>
      </c>
      <c r="G100" t="s">
        <v>77</v>
      </c>
      <c r="H100" s="31">
        <f>VLOOKUP($F100&amp;$G100,Composite!$A$5:$Q$865,H$3,FALSE)*VLOOKUP($C100,[2]!ExistingSat,MATCH($A100,[2]SATS!$C$10:$F$10,0)+1,FALSE)</f>
        <v>152.66419495835422</v>
      </c>
      <c r="I100">
        <f>VLOOKUP($F100&amp;$G100,Composite!$A$5:$Q$865,I$3,FALSE)</f>
        <v>45</v>
      </c>
      <c r="J100" s="31">
        <f>VLOOKUP($F100&amp;$G100,Composite!$A$5:$Q$865,J$3,FALSE)*VLOOKUP($C100,[2]!ExistingSat,MATCH($A100,[2]SATS!$C$10:$F$10,0)+1,FALSE)</f>
        <v>1059.4157107984217</v>
      </c>
      <c r="K100" s="31">
        <f>VLOOKUP($F100&amp;$G100,Composite!$A$5:$Q$865,K$3,FALSE)*VLOOKUP($C100,[2]!ExistingSat,MATCH($A100,[2]SATS!$C$10:$F$10,0)+1,FALSE)</f>
        <v>0</v>
      </c>
      <c r="L100" t="str">
        <f>VLOOKUP($F100&amp;$G100,Composite!$A$5:$Q$865,L$3,FALSE)</f>
        <v>ResSpHtHPZ1</v>
      </c>
      <c r="M100" s="31">
        <f>VLOOKUP($F100&amp;$G100,Composite!$A$5:$Q$865,M$3,FALSE)*VLOOKUP($C100,[2]!ExistingSat,MATCH($A100,[2]SATS!$C$10:$F$10,0)+1,FALSE)</f>
        <v>1.5789604957733461</v>
      </c>
      <c r="N100" s="31">
        <f>VLOOKUP($F100&amp;$G100,Composite!$A$5:$Q$865,N$3,FALSE)*VLOOKUP($C100,[2]!ExistingSat,MATCH($A100,[2]SATS!$C$10:$F$10,0)+1,FALSE)</f>
        <v>0</v>
      </c>
      <c r="O100">
        <f>VLOOKUP($F100&amp;$G100,Composite!$A$5:$Q$865,O$3,FALSE)</f>
        <v>0</v>
      </c>
      <c r="P100" s="31">
        <f>VLOOKUP($F100&amp;$G100,Composite!$A$5:$Q$865,P$3,FALSE)*VLOOKUP($C100,[2]!ExistingSat,MATCH($A100,[2]SATS!$C$10:$F$10,0)+1,FALSE)</f>
        <v>0</v>
      </c>
      <c r="Q100">
        <f>VLOOKUP($F100&amp;$G100,Composite!$A$5:$Q$865,Q$3,FALSE)</f>
        <v>0</v>
      </c>
      <c r="R100" s="31">
        <f>VLOOKUP($F100&amp;$G100,Composite!$A$5:$Q$865,R$3,FALSE)*VLOOKUP($C100,[2]!ExistingSat,MATCH($A100,[2]SATS!$C$10:$F$10,0)+1,FALSE)</f>
        <v>0</v>
      </c>
      <c r="S100">
        <f>VLOOKUP($F100&amp;$G100,Composite!$A$5:$Q$865,S$3,FALSE)</f>
        <v>0</v>
      </c>
      <c r="T100" s="31">
        <f>VLOOKUP($F100&amp;$G100,Composite!$A$5:$Q$865,T$3,FALSE)*VLOOKUP($C100,[2]!ExistingSat,MATCH($A100,[2]SATS!$C$10:$F$10,0)+1,FALSE)</f>
        <v>0</v>
      </c>
    </row>
    <row r="101" spans="1:20">
      <c r="A101" t="s">
        <v>25</v>
      </c>
      <c r="B101" t="s">
        <v>229</v>
      </c>
      <c r="C101" t="s">
        <v>28</v>
      </c>
      <c r="D101" t="s">
        <v>60</v>
      </c>
      <c r="E101" t="str">
        <f t="shared" si="1"/>
        <v>Heat PumpHZ1ATTIC R19 - R49</v>
      </c>
      <c r="F101" s="31" t="str">
        <f>Composite!B100</f>
        <v>Single Family Weatherization - Insulate Attic - R19 to R49 - Heating Zone 1 (Heat Pump)</v>
      </c>
      <c r="G101" t="s">
        <v>79</v>
      </c>
      <c r="H101" s="31">
        <f>VLOOKUP($F101&amp;$G101,Composite!$A$5:$Q$865,H$3,FALSE)*VLOOKUP($C101,[2]!ExistingSat,MATCH($A101,[2]SATS!$C$10:$F$10,0)+1,FALSE)</f>
        <v>183.88888116291957</v>
      </c>
      <c r="I101">
        <f>VLOOKUP($F101&amp;$G101,Composite!$A$5:$Q$865,I$3,FALSE)</f>
        <v>45</v>
      </c>
      <c r="J101" s="31">
        <f>VLOOKUP($F101&amp;$G101,Composite!$A$5:$Q$865,J$3,FALSE)*VLOOKUP($C101,[2]!ExistingSat,MATCH($A101,[2]SATS!$C$10:$F$10,0)+1,FALSE)</f>
        <v>1258.7048529477763</v>
      </c>
      <c r="K101" s="31">
        <f>VLOOKUP($F101&amp;$G101,Composite!$A$5:$Q$865,K$3,FALSE)*VLOOKUP($C101,[2]!ExistingSat,MATCH($A101,[2]SATS!$C$10:$F$10,0)+1,FALSE)</f>
        <v>0</v>
      </c>
      <c r="L101" t="str">
        <f>VLOOKUP($F101&amp;$G101,Composite!$A$5:$Q$865,L$3,FALSE)</f>
        <v>ResSpHtHPZ1</v>
      </c>
      <c r="M101" s="31">
        <f>VLOOKUP($F101&amp;$G101,Composite!$A$5:$Q$865,M$3,FALSE)*VLOOKUP($C101,[2]!ExistingSat,MATCH($A101,[2]SATS!$C$10:$F$10,0)+1,FALSE)</f>
        <v>1.9198105100554335</v>
      </c>
      <c r="N101" s="31">
        <f>VLOOKUP($F101&amp;$G101,Composite!$A$5:$Q$865,N$3,FALSE)*VLOOKUP($C101,[2]!ExistingSat,MATCH($A101,[2]SATS!$C$10:$F$10,0)+1,FALSE)</f>
        <v>0</v>
      </c>
      <c r="O101">
        <f>VLOOKUP($F101&amp;$G101,Composite!$A$5:$Q$865,O$3,FALSE)</f>
        <v>0</v>
      </c>
      <c r="P101" s="31">
        <f>VLOOKUP($F101&amp;$G101,Composite!$A$5:$Q$865,P$3,FALSE)*VLOOKUP($C101,[2]!ExistingSat,MATCH($A101,[2]SATS!$C$10:$F$10,0)+1,FALSE)</f>
        <v>0</v>
      </c>
      <c r="Q101">
        <f>VLOOKUP($F101&amp;$G101,Composite!$A$5:$Q$865,Q$3,FALSE)</f>
        <v>0</v>
      </c>
      <c r="R101" s="31">
        <f>VLOOKUP($F101&amp;$G101,Composite!$A$5:$Q$865,R$3,FALSE)*VLOOKUP($C101,[2]!ExistingSat,MATCH($A101,[2]SATS!$C$10:$F$10,0)+1,FALSE)</f>
        <v>0</v>
      </c>
      <c r="S101">
        <f>VLOOKUP($F101&amp;$G101,Composite!$A$5:$Q$865,S$3,FALSE)</f>
        <v>0</v>
      </c>
      <c r="T101" s="31">
        <f>VLOOKUP($F101&amp;$G101,Composite!$A$5:$Q$865,T$3,FALSE)*VLOOKUP($C101,[2]!ExistingSat,MATCH($A101,[2]SATS!$C$10:$F$10,0)+1,FALSE)</f>
        <v>0</v>
      </c>
    </row>
    <row r="102" spans="1:20">
      <c r="A102" t="s">
        <v>25</v>
      </c>
      <c r="B102" t="s">
        <v>229</v>
      </c>
      <c r="C102" t="s">
        <v>64</v>
      </c>
      <c r="D102" t="s">
        <v>60</v>
      </c>
      <c r="E102" t="str">
        <f t="shared" si="1"/>
        <v>Heat PumpHZ1WALL R0 - R11</v>
      </c>
      <c r="F102" s="31" t="str">
        <f>Composite!B101</f>
        <v>Single Family Weatherization - Insulate Wall - R0 to R11 - Heating Zone 1 (Heat Pump)</v>
      </c>
      <c r="G102" t="s">
        <v>85</v>
      </c>
      <c r="H102" s="31">
        <f>VLOOKUP($F102&amp;$G102,Composite!$A$5:$Q$865,H$3,FALSE)*VLOOKUP($C102,[2]!ExistingSat,MATCH($A102,[2]SATS!$C$10:$F$10,0)+1,FALSE)</f>
        <v>1772.8638585738984</v>
      </c>
      <c r="I102">
        <f>VLOOKUP($F102&amp;$G102,Composite!$A$5:$Q$865,I$3,FALSE)</f>
        <v>45</v>
      </c>
      <c r="J102" s="31">
        <f>VLOOKUP($F102&amp;$G102,Composite!$A$5:$Q$865,J$3,FALSE)*VLOOKUP($C102,[2]!ExistingSat,MATCH($A102,[2]SATS!$C$10:$F$10,0)+1,FALSE)</f>
        <v>2499.2782230652501</v>
      </c>
      <c r="K102" s="31">
        <f>VLOOKUP($F102&amp;$G102,Composite!$A$5:$Q$865,K$3,FALSE)*VLOOKUP($C102,[2]!ExistingSat,MATCH($A102,[2]SATS!$C$10:$F$10,0)+1,FALSE)</f>
        <v>0</v>
      </c>
      <c r="L102" t="str">
        <f>VLOOKUP($F102&amp;$G102,Composite!$A$5:$Q$865,L$3,FALSE)</f>
        <v>ResSpHtHPZ1</v>
      </c>
      <c r="M102" s="31">
        <f>VLOOKUP($F102&amp;$G102,Composite!$A$5:$Q$865,M$3,FALSE)*VLOOKUP($C102,[2]!ExistingSat,MATCH($A102,[2]SATS!$C$10:$F$10,0)+1,FALSE)</f>
        <v>11.714624852258089</v>
      </c>
      <c r="N102" s="31">
        <f>VLOOKUP($F102&amp;$G102,Composite!$A$5:$Q$865,N$3,FALSE)*VLOOKUP($C102,[2]!ExistingSat,MATCH($A102,[2]SATS!$C$10:$F$10,0)+1,FALSE)</f>
        <v>0</v>
      </c>
      <c r="O102">
        <f>VLOOKUP($F102&amp;$G102,Composite!$A$5:$Q$865,O$3,FALSE)</f>
        <v>0</v>
      </c>
      <c r="P102" s="31">
        <f>VLOOKUP($F102&amp;$G102,Composite!$A$5:$Q$865,P$3,FALSE)*VLOOKUP($C102,[2]!ExistingSat,MATCH($A102,[2]SATS!$C$10:$F$10,0)+1,FALSE)</f>
        <v>0</v>
      </c>
      <c r="Q102">
        <f>VLOOKUP($F102&amp;$G102,Composite!$A$5:$Q$865,Q$3,FALSE)</f>
        <v>0</v>
      </c>
      <c r="R102" s="31">
        <f>VLOOKUP($F102&amp;$G102,Composite!$A$5:$Q$865,R$3,FALSE)*VLOOKUP($C102,[2]!ExistingSat,MATCH($A102,[2]SATS!$C$10:$F$10,0)+1,FALSE)</f>
        <v>0</v>
      </c>
      <c r="S102">
        <f>VLOOKUP($F102&amp;$G102,Composite!$A$5:$Q$865,S$3,FALSE)</f>
        <v>0</v>
      </c>
      <c r="T102" s="31">
        <f>VLOOKUP($F102&amp;$G102,Composite!$A$5:$Q$865,T$3,FALSE)*VLOOKUP($C102,[2]!ExistingSat,MATCH($A102,[2]SATS!$C$10:$F$10,0)+1,FALSE)</f>
        <v>0</v>
      </c>
    </row>
    <row r="103" spans="1:20">
      <c r="A103" t="s">
        <v>25</v>
      </c>
      <c r="B103" t="s">
        <v>229</v>
      </c>
      <c r="C103" t="s">
        <v>26</v>
      </c>
      <c r="D103" t="s">
        <v>60</v>
      </c>
      <c r="E103" t="str">
        <f t="shared" si="1"/>
        <v>Heat PumpHZ1FLOOR R0 - R19</v>
      </c>
      <c r="F103" s="31" t="str">
        <f>Composite!B102</f>
        <v>Single Family Weatherization - Insulate Floor - R0 to R19 - Heating Zone 1 (Heat Pump)</v>
      </c>
      <c r="G103" t="s">
        <v>87</v>
      </c>
      <c r="H103" s="31">
        <f>VLOOKUP($F103&amp;$G103,Composite!$A$5:$Q$865,H$3,FALSE)*VLOOKUP($C103,[2]!ExistingSat,MATCH($A103,[2]SATS!$C$10:$F$10,0)+1,FALSE)</f>
        <v>318.32160156154316</v>
      </c>
      <c r="I103">
        <f>VLOOKUP($F103&amp;$G103,Composite!$A$5:$Q$865,I$3,FALSE)</f>
        <v>45</v>
      </c>
      <c r="J103" s="31">
        <f>VLOOKUP($F103&amp;$G103,Composite!$A$5:$Q$865,J$3,FALSE)*VLOOKUP($C103,[2]!ExistingSat,MATCH($A103,[2]SATS!$C$10:$F$10,0)+1,FALSE)</f>
        <v>1759.181492270189</v>
      </c>
      <c r="K103" s="31">
        <f>VLOOKUP($F103&amp;$G103,Composite!$A$5:$Q$865,K$3,FALSE)*VLOOKUP($C103,[2]!ExistingSat,MATCH($A103,[2]SATS!$C$10:$F$10,0)+1,FALSE)</f>
        <v>0</v>
      </c>
      <c r="L103" t="str">
        <f>VLOOKUP($F103&amp;$G103,Composite!$A$5:$Q$865,L$3,FALSE)</f>
        <v>ResSpHtHPZ1</v>
      </c>
      <c r="M103" s="31">
        <f>VLOOKUP($F103&amp;$G103,Composite!$A$5:$Q$865,M$3,FALSE)*VLOOKUP($C103,[2]!ExistingSat,MATCH($A103,[2]SATS!$C$10:$F$10,0)+1,FALSE)</f>
        <v>0.27006682907385354</v>
      </c>
      <c r="N103" s="31">
        <f>VLOOKUP($F103&amp;$G103,Composite!$A$5:$Q$865,N$3,FALSE)*VLOOKUP($C103,[2]!ExistingSat,MATCH($A103,[2]SATS!$C$10:$F$10,0)+1,FALSE)</f>
        <v>0</v>
      </c>
      <c r="O103">
        <f>VLOOKUP($F103&amp;$G103,Composite!$A$5:$Q$865,O$3,FALSE)</f>
        <v>0</v>
      </c>
      <c r="P103" s="31">
        <f>VLOOKUP($F103&amp;$G103,Composite!$A$5:$Q$865,P$3,FALSE)*VLOOKUP($C103,[2]!ExistingSat,MATCH($A103,[2]SATS!$C$10:$F$10,0)+1,FALSE)</f>
        <v>0</v>
      </c>
      <c r="Q103">
        <f>VLOOKUP($F103&amp;$G103,Composite!$A$5:$Q$865,Q$3,FALSE)</f>
        <v>0</v>
      </c>
      <c r="R103" s="31">
        <f>VLOOKUP($F103&amp;$G103,Composite!$A$5:$Q$865,R$3,FALSE)*VLOOKUP($C103,[2]!ExistingSat,MATCH($A103,[2]SATS!$C$10:$F$10,0)+1,FALSE)</f>
        <v>0</v>
      </c>
      <c r="S103">
        <f>VLOOKUP($F103&amp;$G103,Composite!$A$5:$Q$865,S$3,FALSE)</f>
        <v>0</v>
      </c>
      <c r="T103" s="31">
        <f>VLOOKUP($F103&amp;$G103,Composite!$A$5:$Q$865,T$3,FALSE)*VLOOKUP($C103,[2]!ExistingSat,MATCH($A103,[2]SATS!$C$10:$F$10,0)+1,FALSE)</f>
        <v>0</v>
      </c>
    </row>
    <row r="104" spans="1:20">
      <c r="A104" t="s">
        <v>25</v>
      </c>
      <c r="B104" t="s">
        <v>229</v>
      </c>
      <c r="C104" t="s">
        <v>26</v>
      </c>
      <c r="D104" t="s">
        <v>60</v>
      </c>
      <c r="E104" t="str">
        <f t="shared" si="1"/>
        <v>Heat PumpHZ1FLOOR R0 - R25</v>
      </c>
      <c r="F104" s="31" t="str">
        <f>Composite!B103</f>
        <v>Single Family Weatherization - Insulate Floor - R0 to R25 - Heating Zone 1 (Heat Pump)</v>
      </c>
      <c r="G104" t="s">
        <v>89</v>
      </c>
      <c r="H104" s="31">
        <f>VLOOKUP($F104&amp;$G104,Composite!$A$5:$Q$865,H$3,FALSE)*VLOOKUP($C104,[2]!ExistingSat,MATCH($A104,[2]SATS!$C$10:$F$10,0)+1,FALSE)</f>
        <v>342.43373704863075</v>
      </c>
      <c r="I104">
        <f>VLOOKUP($F104&amp;$G104,Composite!$A$5:$Q$865,I$3,FALSE)</f>
        <v>45</v>
      </c>
      <c r="J104" s="31">
        <f>VLOOKUP($F104&amp;$G104,Composite!$A$5:$Q$865,J$3,FALSE)*VLOOKUP($C104,[2]!ExistingSat,MATCH($A104,[2]SATS!$C$10:$F$10,0)+1,FALSE)</f>
        <v>1826.548108429291</v>
      </c>
      <c r="K104" s="31">
        <f>VLOOKUP($F104&amp;$G104,Composite!$A$5:$Q$865,K$3,FALSE)*VLOOKUP($C104,[2]!ExistingSat,MATCH($A104,[2]SATS!$C$10:$F$10,0)+1,FALSE)</f>
        <v>0</v>
      </c>
      <c r="L104" t="str">
        <f>VLOOKUP($F104&amp;$G104,Composite!$A$5:$Q$865,L$3,FALSE)</f>
        <v>ResSpHtHPZ1</v>
      </c>
      <c r="M104" s="31">
        <f>VLOOKUP($F104&amp;$G104,Composite!$A$5:$Q$865,M$3,FALSE)*VLOOKUP($C104,[2]!ExistingSat,MATCH($A104,[2]SATS!$C$10:$F$10,0)+1,FALSE)</f>
        <v>0.52326935965955701</v>
      </c>
      <c r="N104" s="31">
        <f>VLOOKUP($F104&amp;$G104,Composite!$A$5:$Q$865,N$3,FALSE)*VLOOKUP($C104,[2]!ExistingSat,MATCH($A104,[2]SATS!$C$10:$F$10,0)+1,FALSE)</f>
        <v>0</v>
      </c>
      <c r="O104">
        <f>VLOOKUP($F104&amp;$G104,Composite!$A$5:$Q$865,O$3,FALSE)</f>
        <v>0</v>
      </c>
      <c r="P104" s="31">
        <f>VLOOKUP($F104&amp;$G104,Composite!$A$5:$Q$865,P$3,FALSE)*VLOOKUP($C104,[2]!ExistingSat,MATCH($A104,[2]SATS!$C$10:$F$10,0)+1,FALSE)</f>
        <v>0</v>
      </c>
      <c r="Q104">
        <f>VLOOKUP($F104&amp;$G104,Composite!$A$5:$Q$865,Q$3,FALSE)</f>
        <v>0</v>
      </c>
      <c r="R104" s="31">
        <f>VLOOKUP($F104&amp;$G104,Composite!$A$5:$Q$865,R$3,FALSE)*VLOOKUP($C104,[2]!ExistingSat,MATCH($A104,[2]SATS!$C$10:$F$10,0)+1,FALSE)</f>
        <v>0</v>
      </c>
      <c r="S104">
        <f>VLOOKUP($F104&amp;$G104,Composite!$A$5:$Q$865,S$3,FALSE)</f>
        <v>0</v>
      </c>
      <c r="T104" s="31">
        <f>VLOOKUP($F104&amp;$G104,Composite!$A$5:$Q$865,T$3,FALSE)*VLOOKUP($C104,[2]!ExistingSat,MATCH($A104,[2]SATS!$C$10:$F$10,0)+1,FALSE)</f>
        <v>0</v>
      </c>
    </row>
    <row r="105" spans="1:20">
      <c r="A105" t="s">
        <v>25</v>
      </c>
      <c r="B105" t="s">
        <v>229</v>
      </c>
      <c r="C105" t="s">
        <v>26</v>
      </c>
      <c r="D105" t="s">
        <v>60</v>
      </c>
      <c r="E105" t="str">
        <f t="shared" si="1"/>
        <v>Heat PumpHZ1FLOOR R0 - R30</v>
      </c>
      <c r="F105" s="31" t="str">
        <f>Composite!B104</f>
        <v>Single Family Weatherization - Insulate Floor - R0 to R30 - Heating Zone 1 (Heat Pump)</v>
      </c>
      <c r="G105" t="s">
        <v>91</v>
      </c>
      <c r="H105" s="31">
        <f>VLOOKUP($F105&amp;$G105,Composite!$A$5:$Q$865,H$3,FALSE)*VLOOKUP($C105,[2]!ExistingSat,MATCH($A105,[2]SATS!$C$10:$F$10,0)+1,FALSE)</f>
        <v>357.57072081034755</v>
      </c>
      <c r="I105">
        <f>VLOOKUP($F105&amp;$G105,Composite!$A$5:$Q$865,I$3,FALSE)</f>
        <v>45</v>
      </c>
      <c r="J105" s="31">
        <f>VLOOKUP($F105&amp;$G105,Composite!$A$5:$Q$865,J$3,FALSE)*VLOOKUP($C105,[2]!ExistingSat,MATCH($A105,[2]SATS!$C$10:$F$10,0)+1,FALSE)</f>
        <v>1882.6869552285434</v>
      </c>
      <c r="K105" s="31">
        <f>VLOOKUP($F105&amp;$G105,Composite!$A$5:$Q$865,K$3,FALSE)*VLOOKUP($C105,[2]!ExistingSat,MATCH($A105,[2]SATS!$C$10:$F$10,0)+1,FALSE)</f>
        <v>0</v>
      </c>
      <c r="L105" t="str">
        <f>VLOOKUP($F105&amp;$G105,Composite!$A$5:$Q$865,L$3,FALSE)</f>
        <v>ResSpHtHPZ1</v>
      </c>
      <c r="M105" s="31">
        <f>VLOOKUP($F105&amp;$G105,Composite!$A$5:$Q$865,M$3,FALSE)*VLOOKUP($C105,[2]!ExistingSat,MATCH($A105,[2]SATS!$C$10:$F$10,0)+1,FALSE)</f>
        <v>0.69126015426699716</v>
      </c>
      <c r="N105" s="31">
        <f>VLOOKUP($F105&amp;$G105,Composite!$A$5:$Q$865,N$3,FALSE)*VLOOKUP($C105,[2]!ExistingSat,MATCH($A105,[2]SATS!$C$10:$F$10,0)+1,FALSE)</f>
        <v>0</v>
      </c>
      <c r="O105">
        <f>VLOOKUP($F105&amp;$G105,Composite!$A$5:$Q$865,O$3,FALSE)</f>
        <v>0</v>
      </c>
      <c r="P105" s="31">
        <f>VLOOKUP($F105&amp;$G105,Composite!$A$5:$Q$865,P$3,FALSE)*VLOOKUP($C105,[2]!ExistingSat,MATCH($A105,[2]SATS!$C$10:$F$10,0)+1,FALSE)</f>
        <v>0</v>
      </c>
      <c r="Q105">
        <f>VLOOKUP($F105&amp;$G105,Composite!$A$5:$Q$865,Q$3,FALSE)</f>
        <v>0</v>
      </c>
      <c r="R105" s="31">
        <f>VLOOKUP($F105&amp;$G105,Composite!$A$5:$Q$865,R$3,FALSE)*VLOOKUP($C105,[2]!ExistingSat,MATCH($A105,[2]SATS!$C$10:$F$10,0)+1,FALSE)</f>
        <v>0</v>
      </c>
      <c r="S105">
        <f>VLOOKUP($F105&amp;$G105,Composite!$A$5:$Q$865,S$3,FALSE)</f>
        <v>0</v>
      </c>
      <c r="T105" s="31">
        <f>VLOOKUP($F105&amp;$G105,Composite!$A$5:$Q$865,T$3,FALSE)*VLOOKUP($C105,[2]!ExistingSat,MATCH($A105,[2]SATS!$C$10:$F$10,0)+1,FALSE)</f>
        <v>0</v>
      </c>
    </row>
    <row r="106" spans="1:20">
      <c r="A106" t="s">
        <v>25</v>
      </c>
      <c r="B106" t="s">
        <v>229</v>
      </c>
      <c r="C106" t="s">
        <v>27</v>
      </c>
      <c r="D106" t="s">
        <v>60</v>
      </c>
      <c r="E106" t="str">
        <f t="shared" si="1"/>
        <v>Heat PumpHZ1WINDOW CL30 Prime Window Replacement of Single Pane Base</v>
      </c>
      <c r="F106" s="31" t="str">
        <f>Composite!B105</f>
        <v>Windows - Single Pane to Class 30 - Heating Zone 1 (Heat Pump)</v>
      </c>
      <c r="G106" t="s">
        <v>93</v>
      </c>
      <c r="H106" s="31">
        <f>VLOOKUP($F106&amp;$G106,Composite!$A$5:$Q$865,H$3,FALSE)*VLOOKUP($C106,[2]!ExistingSat,MATCH($A106,[2]SATS!$C$10:$F$10,0)+1,FALSE)</f>
        <v>1176.9826906198589</v>
      </c>
      <c r="I106">
        <f>VLOOKUP($F106&amp;$G106,Composite!$A$5:$Q$865,I$3,FALSE)</f>
        <v>45</v>
      </c>
      <c r="J106" s="31">
        <f>VLOOKUP($F106&amp;$G106,Composite!$A$5:$Q$865,J$3,FALSE)*VLOOKUP($C106,[2]!ExistingSat,MATCH($A106,[2]SATS!$C$10:$F$10,0)+1,FALSE)</f>
        <v>3312.4380313472334</v>
      </c>
      <c r="K106" s="31">
        <f>VLOOKUP($F106&amp;$G106,Composite!$A$5:$Q$865,K$3,FALSE)*VLOOKUP($C106,[2]!ExistingSat,MATCH($A106,[2]SATS!$C$10:$F$10,0)+1,FALSE)</f>
        <v>0</v>
      </c>
      <c r="L106" t="str">
        <f>VLOOKUP($F106&amp;$G106,Composite!$A$5:$Q$865,L$3,FALSE)</f>
        <v>ResSpHtHPZ1</v>
      </c>
      <c r="M106" s="31">
        <f>VLOOKUP($F106&amp;$G106,Composite!$A$5:$Q$865,M$3,FALSE)*VLOOKUP($C106,[2]!ExistingSat,MATCH($A106,[2]SATS!$C$10:$F$10,0)+1,FALSE)</f>
        <v>13.608039679618621</v>
      </c>
      <c r="N106" s="31">
        <f>VLOOKUP($F106&amp;$G106,Composite!$A$5:$Q$865,N$3,FALSE)*VLOOKUP($C106,[2]!ExistingSat,MATCH($A106,[2]SATS!$C$10:$F$10,0)+1,FALSE)</f>
        <v>0</v>
      </c>
      <c r="O106">
        <f>VLOOKUP($F106&amp;$G106,Composite!$A$5:$Q$865,O$3,FALSE)</f>
        <v>0</v>
      </c>
      <c r="P106" s="31">
        <f>VLOOKUP($F106&amp;$G106,Composite!$A$5:$Q$865,P$3,FALSE)*VLOOKUP($C106,[2]!ExistingSat,MATCH($A106,[2]SATS!$C$10:$F$10,0)+1,FALSE)</f>
        <v>0</v>
      </c>
      <c r="Q106">
        <f>VLOOKUP($F106&amp;$G106,Composite!$A$5:$Q$865,Q$3,FALSE)</f>
        <v>0</v>
      </c>
      <c r="R106" s="31">
        <f>VLOOKUP($F106&amp;$G106,Composite!$A$5:$Q$865,R$3,FALSE)*VLOOKUP($C106,[2]!ExistingSat,MATCH($A106,[2]SATS!$C$10:$F$10,0)+1,FALSE)</f>
        <v>0</v>
      </c>
      <c r="S106">
        <f>VLOOKUP($F106&amp;$G106,Composite!$A$5:$Q$865,S$3,FALSE)</f>
        <v>0</v>
      </c>
      <c r="T106" s="31">
        <f>VLOOKUP($F106&amp;$G106,Composite!$A$5:$Q$865,T$3,FALSE)*VLOOKUP($C106,[2]!ExistingSat,MATCH($A106,[2]SATS!$C$10:$F$10,0)+1,FALSE)</f>
        <v>0</v>
      </c>
    </row>
    <row r="107" spans="1:20">
      <c r="A107" t="s">
        <v>25</v>
      </c>
      <c r="B107" t="s">
        <v>229</v>
      </c>
      <c r="C107" t="s">
        <v>27</v>
      </c>
      <c r="D107" t="s">
        <v>60</v>
      </c>
      <c r="E107" t="str">
        <f t="shared" si="1"/>
        <v>Heat PumpHZ1WINDOW CL30 Prime Window Replacement of Double Pane Base</v>
      </c>
      <c r="F107" s="31" t="str">
        <f>Composite!B106</f>
        <v>Windows - Double Pane to Class 30 - Heating Zone 1 (Heat Pump)</v>
      </c>
      <c r="G107" t="s">
        <v>95</v>
      </c>
      <c r="H107" s="31">
        <f>VLOOKUP($F107&amp;$G107,Composite!$A$5:$Q$865,H$3,FALSE)*VLOOKUP($C107,[2]!ExistingSat,MATCH($A107,[2]SATS!$C$10:$F$10,0)+1,FALSE)</f>
        <v>518.49744433149704</v>
      </c>
      <c r="I107">
        <f>VLOOKUP($F107&amp;$G107,Composite!$A$5:$Q$865,I$3,FALSE)</f>
        <v>45</v>
      </c>
      <c r="J107" s="31">
        <f>VLOOKUP($F107&amp;$G107,Composite!$A$5:$Q$865,J$3,FALSE)*VLOOKUP($C107,[2]!ExistingSat,MATCH($A107,[2]SATS!$C$10:$F$10,0)+1,FALSE)</f>
        <v>3312.4380313472334</v>
      </c>
      <c r="K107" s="31">
        <f>VLOOKUP($F107&amp;$G107,Composite!$A$5:$Q$865,K$3,FALSE)*VLOOKUP($C107,[2]!ExistingSat,MATCH($A107,[2]SATS!$C$10:$F$10,0)+1,FALSE)</f>
        <v>0</v>
      </c>
      <c r="L107" t="str">
        <f>VLOOKUP($F107&amp;$G107,Composite!$A$5:$Q$865,L$3,FALSE)</f>
        <v>ResSpHtHPZ1</v>
      </c>
      <c r="M107" s="31">
        <f>VLOOKUP($F107&amp;$G107,Composite!$A$5:$Q$865,M$3,FALSE)*VLOOKUP($C107,[2]!ExistingSat,MATCH($A107,[2]SATS!$C$10:$F$10,0)+1,FALSE)</f>
        <v>5.781837490323376</v>
      </c>
      <c r="N107" s="31">
        <f>VLOOKUP($F107&amp;$G107,Composite!$A$5:$Q$865,N$3,FALSE)*VLOOKUP($C107,[2]!ExistingSat,MATCH($A107,[2]SATS!$C$10:$F$10,0)+1,FALSE)</f>
        <v>0</v>
      </c>
      <c r="O107">
        <f>VLOOKUP($F107&amp;$G107,Composite!$A$5:$Q$865,O$3,FALSE)</f>
        <v>0</v>
      </c>
      <c r="P107" s="31">
        <f>VLOOKUP($F107&amp;$G107,Composite!$A$5:$Q$865,P$3,FALSE)*VLOOKUP($C107,[2]!ExistingSat,MATCH($A107,[2]SATS!$C$10:$F$10,0)+1,FALSE)</f>
        <v>0</v>
      </c>
      <c r="Q107">
        <f>VLOOKUP($F107&amp;$G107,Composite!$A$5:$Q$865,Q$3,FALSE)</f>
        <v>0</v>
      </c>
      <c r="R107" s="31">
        <f>VLOOKUP($F107&amp;$G107,Composite!$A$5:$Q$865,R$3,FALSE)*VLOOKUP($C107,[2]!ExistingSat,MATCH($A107,[2]SATS!$C$10:$F$10,0)+1,FALSE)</f>
        <v>0</v>
      </c>
      <c r="S107">
        <f>VLOOKUP($F107&amp;$G107,Composite!$A$5:$Q$865,S$3,FALSE)</f>
        <v>0</v>
      </c>
      <c r="T107" s="31">
        <f>VLOOKUP($F107&amp;$G107,Composite!$A$5:$Q$865,T$3,FALSE)*VLOOKUP($C107,[2]!ExistingSat,MATCH($A107,[2]SATS!$C$10:$F$10,0)+1,FALSE)</f>
        <v>0</v>
      </c>
    </row>
    <row r="108" spans="1:20">
      <c r="A108" t="s">
        <v>25</v>
      </c>
      <c r="B108" t="s">
        <v>229</v>
      </c>
      <c r="C108" t="s">
        <v>27</v>
      </c>
      <c r="D108" t="s">
        <v>60</v>
      </c>
      <c r="E108" t="str">
        <f t="shared" si="1"/>
        <v>Heat PumpHZ1WINDOW CL22 Prime Window Replacement of Single Pane Base</v>
      </c>
      <c r="F108" s="31" t="str">
        <f>Composite!B107</f>
        <v>Windows - Single Pane to Class 22 - Heating Zone 1 (Heat Pump)</v>
      </c>
      <c r="G108" t="s">
        <v>99</v>
      </c>
      <c r="H108" s="31">
        <f>VLOOKUP($F108&amp;$G108,Composite!$A$5:$Q$865,H$3,FALSE)*VLOOKUP($C108,[2]!ExistingSat,MATCH($A108,[2]SATS!$C$10:$F$10,0)+1,FALSE)</f>
        <v>1292.3709915023196</v>
      </c>
      <c r="I108">
        <f>VLOOKUP($F108&amp;$G108,Composite!$A$5:$Q$865,I$3,FALSE)</f>
        <v>45</v>
      </c>
      <c r="J108" s="31">
        <f>VLOOKUP($F108&amp;$G108,Composite!$A$5:$Q$865,J$3,FALSE)*VLOOKUP($C108,[2]!ExistingSat,MATCH($A108,[2]SATS!$C$10:$F$10,0)+1,FALSE)</f>
        <v>3901.0698543939693</v>
      </c>
      <c r="K108" s="31">
        <f>VLOOKUP($F108&amp;$G108,Composite!$A$5:$Q$865,K$3,FALSE)*VLOOKUP($C108,[2]!ExistingSat,MATCH($A108,[2]SATS!$C$10:$F$10,0)+1,FALSE)</f>
        <v>0</v>
      </c>
      <c r="L108" t="str">
        <f>VLOOKUP($F108&amp;$G108,Composite!$A$5:$Q$865,L$3,FALSE)</f>
        <v>ResSpHtHPZ1</v>
      </c>
      <c r="M108" s="31">
        <f>VLOOKUP($F108&amp;$G108,Composite!$A$5:$Q$865,M$3,FALSE)*VLOOKUP($C108,[2]!ExistingSat,MATCH($A108,[2]SATS!$C$10:$F$10,0)+1,FALSE)</f>
        <v>15.248098006922548</v>
      </c>
      <c r="N108" s="31">
        <f>VLOOKUP($F108&amp;$G108,Composite!$A$5:$Q$865,N$3,FALSE)*VLOOKUP($C108,[2]!ExistingSat,MATCH($A108,[2]SATS!$C$10:$F$10,0)+1,FALSE)</f>
        <v>0</v>
      </c>
      <c r="O108">
        <f>VLOOKUP($F108&amp;$G108,Composite!$A$5:$Q$865,O$3,FALSE)</f>
        <v>0</v>
      </c>
      <c r="P108" s="31">
        <f>VLOOKUP($F108&amp;$G108,Composite!$A$5:$Q$865,P$3,FALSE)*VLOOKUP($C108,[2]!ExistingSat,MATCH($A108,[2]SATS!$C$10:$F$10,0)+1,FALSE)</f>
        <v>0</v>
      </c>
      <c r="Q108">
        <f>VLOOKUP($F108&amp;$G108,Composite!$A$5:$Q$865,Q$3,FALSE)</f>
        <v>0</v>
      </c>
      <c r="R108" s="31">
        <f>VLOOKUP($F108&amp;$G108,Composite!$A$5:$Q$865,R$3,FALSE)*VLOOKUP($C108,[2]!ExistingSat,MATCH($A108,[2]SATS!$C$10:$F$10,0)+1,FALSE)</f>
        <v>0</v>
      </c>
      <c r="S108">
        <f>VLOOKUP($F108&amp;$G108,Composite!$A$5:$Q$865,S$3,FALSE)</f>
        <v>0</v>
      </c>
      <c r="T108" s="31">
        <f>VLOOKUP($F108&amp;$G108,Composite!$A$5:$Q$865,T$3,FALSE)*VLOOKUP($C108,[2]!ExistingSat,MATCH($A108,[2]SATS!$C$10:$F$10,0)+1,FALSE)</f>
        <v>0</v>
      </c>
    </row>
    <row r="109" spans="1:20">
      <c r="A109" t="s">
        <v>25</v>
      </c>
      <c r="B109" t="s">
        <v>229</v>
      </c>
      <c r="C109" t="s">
        <v>27</v>
      </c>
      <c r="D109" t="s">
        <v>60</v>
      </c>
      <c r="E109" t="str">
        <f t="shared" si="1"/>
        <v>Heat PumpHZ1WINDOW CL22 Prime Window Replacement of Double Pane Base</v>
      </c>
      <c r="F109" s="31" t="str">
        <f>Composite!B108</f>
        <v>Windows - Double Pane to Class 22 - Heating Zone 1 (Heat Pump)</v>
      </c>
      <c r="G109" t="s">
        <v>101</v>
      </c>
      <c r="H109" s="31">
        <f>VLOOKUP($F109&amp;$G109,Composite!$A$5:$Q$865,H$3,FALSE)*VLOOKUP($C109,[2]!ExistingSat,MATCH($A109,[2]SATS!$C$10:$F$10,0)+1,FALSE)</f>
        <v>609.76950132084391</v>
      </c>
      <c r="I109">
        <f>VLOOKUP($F109&amp;$G109,Composite!$A$5:$Q$865,I$3,FALSE)</f>
        <v>45</v>
      </c>
      <c r="J109" s="31">
        <f>VLOOKUP($F109&amp;$G109,Composite!$A$5:$Q$865,J$3,FALSE)*VLOOKUP($C109,[2]!ExistingSat,MATCH($A109,[2]SATS!$C$10:$F$10,0)+1,FALSE)</f>
        <v>3901.0698543939693</v>
      </c>
      <c r="K109" s="31">
        <f>VLOOKUP($F109&amp;$G109,Composite!$A$5:$Q$865,K$3,FALSE)*VLOOKUP($C109,[2]!ExistingSat,MATCH($A109,[2]SATS!$C$10:$F$10,0)+1,FALSE)</f>
        <v>0</v>
      </c>
      <c r="L109" t="str">
        <f>VLOOKUP($F109&amp;$G109,Composite!$A$5:$Q$865,L$3,FALSE)</f>
        <v>ResSpHtHPZ1</v>
      </c>
      <c r="M109" s="31">
        <f>VLOOKUP($F109&amp;$G109,Composite!$A$5:$Q$865,M$3,FALSE)*VLOOKUP($C109,[2]!ExistingSat,MATCH($A109,[2]SATS!$C$10:$F$10,0)+1,FALSE)</f>
        <v>7.0451798626014215</v>
      </c>
      <c r="N109" s="31">
        <f>VLOOKUP($F109&amp;$G109,Composite!$A$5:$Q$865,N$3,FALSE)*VLOOKUP($C109,[2]!ExistingSat,MATCH($A109,[2]SATS!$C$10:$F$10,0)+1,FALSE)</f>
        <v>0</v>
      </c>
      <c r="O109">
        <f>VLOOKUP($F109&amp;$G109,Composite!$A$5:$Q$865,O$3,FALSE)</f>
        <v>0</v>
      </c>
      <c r="P109" s="31">
        <f>VLOOKUP($F109&amp;$G109,Composite!$A$5:$Q$865,P$3,FALSE)*VLOOKUP($C109,[2]!ExistingSat,MATCH($A109,[2]SATS!$C$10:$F$10,0)+1,FALSE)</f>
        <v>0</v>
      </c>
      <c r="Q109">
        <f>VLOOKUP($F109&amp;$G109,Composite!$A$5:$Q$865,Q$3,FALSE)</f>
        <v>0</v>
      </c>
      <c r="R109" s="31">
        <f>VLOOKUP($F109&amp;$G109,Composite!$A$5:$Q$865,R$3,FALSE)*VLOOKUP($C109,[2]!ExistingSat,MATCH($A109,[2]SATS!$C$10:$F$10,0)+1,FALSE)</f>
        <v>0</v>
      </c>
      <c r="S109">
        <f>VLOOKUP($F109&amp;$G109,Composite!$A$5:$Q$865,S$3,FALSE)</f>
        <v>0</v>
      </c>
      <c r="T109" s="31">
        <f>VLOOKUP($F109&amp;$G109,Composite!$A$5:$Q$865,T$3,FALSE)*VLOOKUP($C109,[2]!ExistingSat,MATCH($A109,[2]SATS!$C$10:$F$10,0)+1,FALSE)</f>
        <v>0</v>
      </c>
    </row>
    <row r="110" spans="1:20">
      <c r="A110" t="s">
        <v>25</v>
      </c>
      <c r="B110" t="s">
        <v>229</v>
      </c>
      <c r="C110" t="s">
        <v>66</v>
      </c>
      <c r="D110" t="s">
        <v>60</v>
      </c>
      <c r="E110" t="str">
        <f t="shared" si="1"/>
        <v>Heat PumpHZ1CFM50 Infiltration Reduction</v>
      </c>
      <c r="F110" s="31" t="str">
        <f>Composite!B109</f>
        <v>Infiltration Reduction - CFM50 reduction - Heating Zone 1 (Heat Pump)</v>
      </c>
      <c r="G110" s="305" t="s">
        <v>1362</v>
      </c>
      <c r="H110" s="31">
        <f>VLOOKUP($F110&amp;$G110,Composite!$A$5:$Q$865,H$3,FALSE)*VLOOKUP($C110,[2]!ExistingSat,MATCH($A110,[2]SATS!$C$10:$F$10,0)+1,FALSE)</f>
        <v>503.26515291506411</v>
      </c>
      <c r="I110">
        <f>VLOOKUP($F110&amp;$G110,Composite!$A$5:$Q$865,I$3,FALSE)</f>
        <v>15</v>
      </c>
      <c r="J110" s="31">
        <f>VLOOKUP($F110&amp;$G110,Composite!$A$5:$Q$865,J$3,FALSE)*VLOOKUP($C110,[2]!ExistingSat,MATCH($A110,[2]SATS!$C$10:$F$10,0)+1,FALSE)</f>
        <v>1325.3999218794588</v>
      </c>
      <c r="K110" s="31">
        <f>VLOOKUP($F110&amp;$G110,Composite!$A$5:$Q$865,K$3,FALSE)*VLOOKUP($C110,[2]!ExistingSat,MATCH($A110,[2]SATS!$C$10:$F$10,0)+1,FALSE)</f>
        <v>0</v>
      </c>
      <c r="L110" t="str">
        <f>VLOOKUP($F110&amp;$G110,Composite!$A$5:$Q$865,L$3,FALSE)</f>
        <v>ResSpHtHPZ1</v>
      </c>
      <c r="M110" s="31">
        <f>VLOOKUP($F110&amp;$G110,Composite!$A$5:$Q$865,M$3,FALSE)*VLOOKUP($C110,[2]!ExistingSat,MATCH($A110,[2]SATS!$C$10:$F$10,0)+1,FALSE)</f>
        <v>6.1107746885398901</v>
      </c>
      <c r="N110" s="31">
        <f>VLOOKUP($F110&amp;$G110,Composite!$A$5:$Q$865,N$3,FALSE)*VLOOKUP($C110,[2]!ExistingSat,MATCH($A110,[2]SATS!$C$10:$F$10,0)+1,FALSE)</f>
        <v>0</v>
      </c>
      <c r="O110">
        <f>VLOOKUP($F110&amp;$G110,Composite!$A$5:$Q$865,O$3,FALSE)</f>
        <v>0</v>
      </c>
      <c r="P110" s="31">
        <f>VLOOKUP($F110&amp;$G110,Composite!$A$5:$Q$865,P$3,FALSE)*VLOOKUP($C110,[2]!ExistingSat,MATCH($A110,[2]SATS!$C$10:$F$10,0)+1,FALSE)</f>
        <v>0</v>
      </c>
      <c r="Q110">
        <f>VLOOKUP($F110&amp;$G110,Composite!$A$5:$Q$865,Q$3,FALSE)</f>
        <v>0</v>
      </c>
      <c r="R110" s="31">
        <f>VLOOKUP($F110&amp;$G110,Composite!$A$5:$Q$865,R$3,FALSE)*VLOOKUP($C110,[2]!ExistingSat,MATCH($A110,[2]SATS!$C$10:$F$10,0)+1,FALSE)</f>
        <v>0</v>
      </c>
      <c r="S110">
        <f>VLOOKUP($F110&amp;$G110,Composite!$A$5:$Q$865,S$3,FALSE)</f>
        <v>0</v>
      </c>
      <c r="T110" s="31">
        <f>VLOOKUP($F110&amp;$G110,Composite!$A$5:$Q$865,T$3,FALSE)*VLOOKUP($C110,[2]!ExistingSat,MATCH($A110,[2]SATS!$C$10:$F$10,0)+1,FALSE)</f>
        <v>0</v>
      </c>
    </row>
    <row r="111" spans="1:20">
      <c r="A111" t="s">
        <v>25</v>
      </c>
      <c r="B111" t="s">
        <v>229</v>
      </c>
      <c r="C111" t="s">
        <v>28</v>
      </c>
      <c r="D111" t="s">
        <v>61</v>
      </c>
      <c r="E111" t="str">
        <f t="shared" si="1"/>
        <v>Heat PumpHZ2ATTIC R0 - R38</v>
      </c>
      <c r="F111" s="31" t="str">
        <f>Composite!B110</f>
        <v>Single Family Weatherization - Insulate Attic - R0 to R38 - Heating Zone 2 (Heat Pump)</v>
      </c>
      <c r="G111" t="s">
        <v>68</v>
      </c>
      <c r="H111" s="31">
        <f>VLOOKUP($F111&amp;$G111,Composite!$A$5:$Q$865,H$3,FALSE)*VLOOKUP($C111,[2]!ExistingSat,MATCH($A111,[2]SATS!$C$10:$F$10,0)+1,FALSE)</f>
        <v>2377.8943774113641</v>
      </c>
      <c r="I111">
        <f>VLOOKUP($F111&amp;$G111,Composite!$A$5:$Q$865,I$3,FALSE)</f>
        <v>45</v>
      </c>
      <c r="J111" s="31">
        <f>VLOOKUP($F111&amp;$G111,Composite!$A$5:$Q$865,J$3,FALSE)*VLOOKUP($C111,[2]!ExistingSat,MATCH($A111,[2]SATS!$C$10:$F$10,0)+1,FALSE)</f>
        <v>1403.6424108745796</v>
      </c>
      <c r="K111" s="31">
        <f>VLOOKUP($F111&amp;$G111,Composite!$A$5:$Q$865,K$3,FALSE)*VLOOKUP($C111,[2]!ExistingSat,MATCH($A111,[2]SATS!$C$10:$F$10,0)+1,FALSE)</f>
        <v>0</v>
      </c>
      <c r="L111" t="str">
        <f>VLOOKUP($F111&amp;$G111,Composite!$A$5:$Q$865,L$3,FALSE)</f>
        <v>ResSpHtHPZ2</v>
      </c>
      <c r="M111" s="31">
        <f>VLOOKUP($F111&amp;$G111,Composite!$A$5:$Q$865,M$3,FALSE)*VLOOKUP($C111,[2]!ExistingSat,MATCH($A111,[2]SATS!$C$10:$F$10,0)+1,FALSE)</f>
        <v>11.16064575636539</v>
      </c>
      <c r="N111" s="31">
        <f>VLOOKUP($F111&amp;$G111,Composite!$A$5:$Q$865,N$3,FALSE)*VLOOKUP($C111,[2]!ExistingSat,MATCH($A111,[2]SATS!$C$10:$F$10,0)+1,FALSE)</f>
        <v>0</v>
      </c>
      <c r="O111">
        <f>VLOOKUP($F111&amp;$G111,Composite!$A$5:$Q$865,O$3,FALSE)</f>
        <v>0</v>
      </c>
      <c r="P111" s="31">
        <f>VLOOKUP($F111&amp;$G111,Composite!$A$5:$Q$865,P$3,FALSE)*VLOOKUP($C111,[2]!ExistingSat,MATCH($A111,[2]SATS!$C$10:$F$10,0)+1,FALSE)</f>
        <v>0</v>
      </c>
      <c r="Q111">
        <f>VLOOKUP($F111&amp;$G111,Composite!$A$5:$Q$865,Q$3,FALSE)</f>
        <v>0</v>
      </c>
      <c r="R111" s="31">
        <f>VLOOKUP($F111&amp;$G111,Composite!$A$5:$Q$865,R$3,FALSE)*VLOOKUP($C111,[2]!ExistingSat,MATCH($A111,[2]SATS!$C$10:$F$10,0)+1,FALSE)</f>
        <v>0</v>
      </c>
      <c r="S111">
        <f>VLOOKUP($F111&amp;$G111,Composite!$A$5:$Q$865,S$3,FALSE)</f>
        <v>0</v>
      </c>
      <c r="T111" s="31">
        <f>VLOOKUP($F111&amp;$G111,Composite!$A$5:$Q$865,T$3,FALSE)*VLOOKUP($C111,[2]!ExistingSat,MATCH($A111,[2]SATS!$C$10:$F$10,0)+1,FALSE)</f>
        <v>0</v>
      </c>
    </row>
    <row r="112" spans="1:20">
      <c r="A112" t="s">
        <v>25</v>
      </c>
      <c r="B112" t="s">
        <v>229</v>
      </c>
      <c r="C112" t="s">
        <v>28</v>
      </c>
      <c r="D112" t="s">
        <v>61</v>
      </c>
      <c r="E112" t="str">
        <f t="shared" si="1"/>
        <v>Heat PumpHZ2ATTIC R0 - R49</v>
      </c>
      <c r="F112" s="31" t="str">
        <f>Composite!B111</f>
        <v>Single Family Weatherization - Insulate Attic - R0 to R49 - Heating Zone 2 (Heat Pump)</v>
      </c>
      <c r="G112" t="s">
        <v>71</v>
      </c>
      <c r="H112" s="31">
        <f>VLOOKUP($F112&amp;$G112,Composite!$A$5:$Q$865,H$3,FALSE)*VLOOKUP($C112,[2]!ExistingSat,MATCH($A112,[2]SATS!$C$10:$F$10,0)+1,FALSE)</f>
        <v>2409.1632958620271</v>
      </c>
      <c r="I112">
        <f>VLOOKUP($F112&amp;$G112,Composite!$A$5:$Q$865,I$3,FALSE)</f>
        <v>45</v>
      </c>
      <c r="J112" s="31">
        <f>VLOOKUP($F112&amp;$G112,Composite!$A$5:$Q$865,J$3,FALSE)*VLOOKUP($C112,[2]!ExistingSat,MATCH($A112,[2]SATS!$C$10:$F$10,0)+1,FALSE)</f>
        <v>1602.9315530239337</v>
      </c>
      <c r="K112" s="31">
        <f>VLOOKUP($F112&amp;$G112,Composite!$A$5:$Q$865,K$3,FALSE)*VLOOKUP($C112,[2]!ExistingSat,MATCH($A112,[2]SATS!$C$10:$F$10,0)+1,FALSE)</f>
        <v>0</v>
      </c>
      <c r="L112" t="str">
        <f>VLOOKUP($F112&amp;$G112,Composite!$A$5:$Q$865,L$3,FALSE)</f>
        <v>ResSpHtHPZ2</v>
      </c>
      <c r="M112" s="31">
        <f>VLOOKUP($F112&amp;$G112,Composite!$A$5:$Q$865,M$3,FALSE)*VLOOKUP($C112,[2]!ExistingSat,MATCH($A112,[2]SATS!$C$10:$F$10,0)+1,FALSE)</f>
        <v>11.394622928694021</v>
      </c>
      <c r="N112" s="31">
        <f>VLOOKUP($F112&amp;$G112,Composite!$A$5:$Q$865,N$3,FALSE)*VLOOKUP($C112,[2]!ExistingSat,MATCH($A112,[2]SATS!$C$10:$F$10,0)+1,FALSE)</f>
        <v>0</v>
      </c>
      <c r="O112">
        <f>VLOOKUP($F112&amp;$G112,Composite!$A$5:$Q$865,O$3,FALSE)</f>
        <v>0</v>
      </c>
      <c r="P112" s="31">
        <f>VLOOKUP($F112&amp;$G112,Composite!$A$5:$Q$865,P$3,FALSE)*VLOOKUP($C112,[2]!ExistingSat,MATCH($A112,[2]SATS!$C$10:$F$10,0)+1,FALSE)</f>
        <v>0</v>
      </c>
      <c r="Q112">
        <f>VLOOKUP($F112&amp;$G112,Composite!$A$5:$Q$865,Q$3,FALSE)</f>
        <v>0</v>
      </c>
      <c r="R112" s="31">
        <f>VLOOKUP($F112&amp;$G112,Composite!$A$5:$Q$865,R$3,FALSE)*VLOOKUP($C112,[2]!ExistingSat,MATCH($A112,[2]SATS!$C$10:$F$10,0)+1,FALSE)</f>
        <v>0</v>
      </c>
      <c r="S112">
        <f>VLOOKUP($F112&amp;$G112,Composite!$A$5:$Q$865,S$3,FALSE)</f>
        <v>0</v>
      </c>
      <c r="T112" s="31">
        <f>VLOOKUP($F112&amp;$G112,Composite!$A$5:$Q$865,T$3,FALSE)*VLOOKUP($C112,[2]!ExistingSat,MATCH($A112,[2]SATS!$C$10:$F$10,0)+1,FALSE)</f>
        <v>0</v>
      </c>
    </row>
    <row r="113" spans="1:20">
      <c r="A113" t="s">
        <v>25</v>
      </c>
      <c r="B113" t="s">
        <v>229</v>
      </c>
      <c r="C113" t="s">
        <v>28</v>
      </c>
      <c r="D113" t="s">
        <v>61</v>
      </c>
      <c r="E113" t="str">
        <f t="shared" si="1"/>
        <v>Heat PumpHZ2ATTIC R11 - R38</v>
      </c>
      <c r="F113" s="31" t="str">
        <f>Composite!B112</f>
        <v>Single Family Weatherization - Insulate Attic - R11 to R38 - Heating Zone 2 (Heat Pump)</v>
      </c>
      <c r="G113" t="s">
        <v>73</v>
      </c>
      <c r="H113" s="31">
        <f>VLOOKUP($F113&amp;$G113,Composite!$A$5:$Q$865,H$3,FALSE)*VLOOKUP($C113,[2]!ExistingSat,MATCH($A113,[2]SATS!$C$10:$F$10,0)+1,FALSE)</f>
        <v>378.11205267813602</v>
      </c>
      <c r="I113">
        <f>VLOOKUP($F113&amp;$G113,Composite!$A$5:$Q$865,I$3,FALSE)</f>
        <v>45</v>
      </c>
      <c r="J113" s="31">
        <f>VLOOKUP($F113&amp;$G113,Composite!$A$5:$Q$865,J$3,FALSE)*VLOOKUP($C113,[2]!ExistingSat,MATCH($A113,[2]SATS!$C$10:$F$10,0)+1,FALSE)</f>
        <v>1204.353268725225</v>
      </c>
      <c r="K113" s="31">
        <f>VLOOKUP($F113&amp;$G113,Composite!$A$5:$Q$865,K$3,FALSE)*VLOOKUP($C113,[2]!ExistingSat,MATCH($A113,[2]SATS!$C$10:$F$10,0)+1,FALSE)</f>
        <v>0</v>
      </c>
      <c r="L113" t="str">
        <f>VLOOKUP($F113&amp;$G113,Composite!$A$5:$Q$865,L$3,FALSE)</f>
        <v>ResSpHtHPZ2</v>
      </c>
      <c r="M113" s="31">
        <f>VLOOKUP($F113&amp;$G113,Composite!$A$5:$Q$865,M$3,FALSE)*VLOOKUP($C113,[2]!ExistingSat,MATCH($A113,[2]SATS!$C$10:$F$10,0)+1,FALSE)</f>
        <v>2.2962364137341247</v>
      </c>
      <c r="N113" s="31">
        <f>VLOOKUP($F113&amp;$G113,Composite!$A$5:$Q$865,N$3,FALSE)*VLOOKUP($C113,[2]!ExistingSat,MATCH($A113,[2]SATS!$C$10:$F$10,0)+1,FALSE)</f>
        <v>0</v>
      </c>
      <c r="O113">
        <f>VLOOKUP($F113&amp;$G113,Composite!$A$5:$Q$865,O$3,FALSE)</f>
        <v>0</v>
      </c>
      <c r="P113" s="31">
        <f>VLOOKUP($F113&amp;$G113,Composite!$A$5:$Q$865,P$3,FALSE)*VLOOKUP($C113,[2]!ExistingSat,MATCH($A113,[2]SATS!$C$10:$F$10,0)+1,FALSE)</f>
        <v>0</v>
      </c>
      <c r="Q113">
        <f>VLOOKUP($F113&amp;$G113,Composite!$A$5:$Q$865,Q$3,FALSE)</f>
        <v>0</v>
      </c>
      <c r="R113" s="31">
        <f>VLOOKUP($F113&amp;$G113,Composite!$A$5:$Q$865,R$3,FALSE)*VLOOKUP($C113,[2]!ExistingSat,MATCH($A113,[2]SATS!$C$10:$F$10,0)+1,FALSE)</f>
        <v>0</v>
      </c>
      <c r="S113">
        <f>VLOOKUP($F113&amp;$G113,Composite!$A$5:$Q$865,S$3,FALSE)</f>
        <v>0</v>
      </c>
      <c r="T113" s="31">
        <f>VLOOKUP($F113&amp;$G113,Composite!$A$5:$Q$865,T$3,FALSE)*VLOOKUP($C113,[2]!ExistingSat,MATCH($A113,[2]SATS!$C$10:$F$10,0)+1,FALSE)</f>
        <v>0</v>
      </c>
    </row>
    <row r="114" spans="1:20">
      <c r="A114" t="s">
        <v>25</v>
      </c>
      <c r="B114" t="s">
        <v>229</v>
      </c>
      <c r="C114" t="s">
        <v>28</v>
      </c>
      <c r="D114" t="s">
        <v>61</v>
      </c>
      <c r="E114" t="str">
        <f t="shared" si="1"/>
        <v>Heat PumpHZ2ATTIC R11 - R49</v>
      </c>
      <c r="F114" s="31" t="str">
        <f>Composite!B113</f>
        <v>Single Family Weatherization - Insulate Attic - R11 to R49 - Heating Zone 2 (Heat Pump)</v>
      </c>
      <c r="G114" t="s">
        <v>75</v>
      </c>
      <c r="H114" s="31">
        <f>VLOOKUP($F114&amp;$G114,Composite!$A$5:$Q$865,H$3,FALSE)*VLOOKUP($C114,[2]!ExistingSat,MATCH($A114,[2]SATS!$C$10:$F$10,0)+1,FALSE)</f>
        <v>409.81485250204531</v>
      </c>
      <c r="I114">
        <f>VLOOKUP($F114&amp;$G114,Composite!$A$5:$Q$865,I$3,FALSE)</f>
        <v>45</v>
      </c>
      <c r="J114" s="31">
        <f>VLOOKUP($F114&amp;$G114,Composite!$A$5:$Q$865,J$3,FALSE)*VLOOKUP($C114,[2]!ExistingSat,MATCH($A114,[2]SATS!$C$10:$F$10,0)+1,FALSE)</f>
        <v>1403.6424108745796</v>
      </c>
      <c r="K114" s="31">
        <f>VLOOKUP($F114&amp;$G114,Composite!$A$5:$Q$865,K$3,FALSE)*VLOOKUP($C114,[2]!ExistingSat,MATCH($A114,[2]SATS!$C$10:$F$10,0)+1,FALSE)</f>
        <v>0</v>
      </c>
      <c r="L114" t="str">
        <f>VLOOKUP($F114&amp;$G114,Composite!$A$5:$Q$865,L$3,FALSE)</f>
        <v>ResSpHtHPZ2</v>
      </c>
      <c r="M114" s="31">
        <f>VLOOKUP($F114&amp;$G114,Composite!$A$5:$Q$865,M$3,FALSE)*VLOOKUP($C114,[2]!ExistingSat,MATCH($A114,[2]SATS!$C$10:$F$10,0)+1,FALSE)</f>
        <v>2.5200789231955509</v>
      </c>
      <c r="N114" s="31">
        <f>VLOOKUP($F114&amp;$G114,Composite!$A$5:$Q$865,N$3,FALSE)*VLOOKUP($C114,[2]!ExistingSat,MATCH($A114,[2]SATS!$C$10:$F$10,0)+1,FALSE)</f>
        <v>0</v>
      </c>
      <c r="O114">
        <f>VLOOKUP($F114&amp;$G114,Composite!$A$5:$Q$865,O$3,FALSE)</f>
        <v>0</v>
      </c>
      <c r="P114" s="31">
        <f>VLOOKUP($F114&amp;$G114,Composite!$A$5:$Q$865,P$3,FALSE)*VLOOKUP($C114,[2]!ExistingSat,MATCH($A114,[2]SATS!$C$10:$F$10,0)+1,FALSE)</f>
        <v>0</v>
      </c>
      <c r="Q114">
        <f>VLOOKUP($F114&amp;$G114,Composite!$A$5:$Q$865,Q$3,FALSE)</f>
        <v>0</v>
      </c>
      <c r="R114" s="31">
        <f>VLOOKUP($F114&amp;$G114,Composite!$A$5:$Q$865,R$3,FALSE)*VLOOKUP($C114,[2]!ExistingSat,MATCH($A114,[2]SATS!$C$10:$F$10,0)+1,FALSE)</f>
        <v>0</v>
      </c>
      <c r="S114">
        <f>VLOOKUP($F114&amp;$G114,Composite!$A$5:$Q$865,S$3,FALSE)</f>
        <v>0</v>
      </c>
      <c r="T114" s="31">
        <f>VLOOKUP($F114&amp;$G114,Composite!$A$5:$Q$865,T$3,FALSE)*VLOOKUP($C114,[2]!ExistingSat,MATCH($A114,[2]SATS!$C$10:$F$10,0)+1,FALSE)</f>
        <v>0</v>
      </c>
    </row>
    <row r="115" spans="1:20">
      <c r="A115" t="s">
        <v>25</v>
      </c>
      <c r="B115" t="s">
        <v>229</v>
      </c>
      <c r="C115" t="s">
        <v>28</v>
      </c>
      <c r="D115" t="s">
        <v>61</v>
      </c>
      <c r="E115" t="str">
        <f t="shared" si="1"/>
        <v>Heat PumpHZ2ATTIC R19 - R38</v>
      </c>
      <c r="F115" s="31" t="str">
        <f>Composite!B114</f>
        <v>Single Family Weatherization - Insulate Attic - R19 to R38 - Heating Zone 2 (Heat Pump)</v>
      </c>
      <c r="G115" t="s">
        <v>77</v>
      </c>
      <c r="H115" s="31">
        <f>VLOOKUP($F115&amp;$G115,Composite!$A$5:$Q$865,H$3,FALSE)*VLOOKUP($C115,[2]!ExistingSat,MATCH($A115,[2]SATS!$C$10:$F$10,0)+1,FALSE)</f>
        <v>187.02301174178933</v>
      </c>
      <c r="I115">
        <f>VLOOKUP($F115&amp;$G115,Composite!$A$5:$Q$865,I$3,FALSE)</f>
        <v>45</v>
      </c>
      <c r="J115" s="31">
        <f>VLOOKUP($F115&amp;$G115,Composite!$A$5:$Q$865,J$3,FALSE)*VLOOKUP($C115,[2]!ExistingSat,MATCH($A115,[2]SATS!$C$10:$F$10,0)+1,FALSE)</f>
        <v>1059.4157107984217</v>
      </c>
      <c r="K115" s="31">
        <f>VLOOKUP($F115&amp;$G115,Composite!$A$5:$Q$865,K$3,FALSE)*VLOOKUP($C115,[2]!ExistingSat,MATCH($A115,[2]SATS!$C$10:$F$10,0)+1,FALSE)</f>
        <v>0</v>
      </c>
      <c r="L115" t="str">
        <f>VLOOKUP($F115&amp;$G115,Composite!$A$5:$Q$865,L$3,FALSE)</f>
        <v>ResSpHtHPZ2</v>
      </c>
      <c r="M115" s="31">
        <f>VLOOKUP($F115&amp;$G115,Composite!$A$5:$Q$865,M$3,FALSE)*VLOOKUP($C115,[2]!ExistingSat,MATCH($A115,[2]SATS!$C$10:$F$10,0)+1,FALSE)</f>
        <v>1.1812749192727803</v>
      </c>
      <c r="N115" s="31">
        <f>VLOOKUP($F115&amp;$G115,Composite!$A$5:$Q$865,N$3,FALSE)*VLOOKUP($C115,[2]!ExistingSat,MATCH($A115,[2]SATS!$C$10:$F$10,0)+1,FALSE)</f>
        <v>0</v>
      </c>
      <c r="O115">
        <f>VLOOKUP($F115&amp;$G115,Composite!$A$5:$Q$865,O$3,FALSE)</f>
        <v>0</v>
      </c>
      <c r="P115" s="31">
        <f>VLOOKUP($F115&amp;$G115,Composite!$A$5:$Q$865,P$3,FALSE)*VLOOKUP($C115,[2]!ExistingSat,MATCH($A115,[2]SATS!$C$10:$F$10,0)+1,FALSE)</f>
        <v>0</v>
      </c>
      <c r="Q115">
        <f>VLOOKUP($F115&amp;$G115,Composite!$A$5:$Q$865,Q$3,FALSE)</f>
        <v>0</v>
      </c>
      <c r="R115" s="31">
        <f>VLOOKUP($F115&amp;$G115,Composite!$A$5:$Q$865,R$3,FALSE)*VLOOKUP($C115,[2]!ExistingSat,MATCH($A115,[2]SATS!$C$10:$F$10,0)+1,FALSE)</f>
        <v>0</v>
      </c>
      <c r="S115">
        <f>VLOOKUP($F115&amp;$G115,Composite!$A$5:$Q$865,S$3,FALSE)</f>
        <v>0</v>
      </c>
      <c r="T115" s="31">
        <f>VLOOKUP($F115&amp;$G115,Composite!$A$5:$Q$865,T$3,FALSE)*VLOOKUP($C115,[2]!ExistingSat,MATCH($A115,[2]SATS!$C$10:$F$10,0)+1,FALSE)</f>
        <v>0</v>
      </c>
    </row>
    <row r="116" spans="1:20">
      <c r="A116" t="s">
        <v>25</v>
      </c>
      <c r="B116" t="s">
        <v>229</v>
      </c>
      <c r="C116" t="s">
        <v>28</v>
      </c>
      <c r="D116" t="s">
        <v>61</v>
      </c>
      <c r="E116" t="str">
        <f t="shared" si="1"/>
        <v>Heat PumpHZ2ATTIC R19 - R49</v>
      </c>
      <c r="F116" s="31" t="str">
        <f>Composite!B115</f>
        <v>Single Family Weatherization - Insulate Attic - R19 to R49 - Heating Zone 2 (Heat Pump)</v>
      </c>
      <c r="G116" t="s">
        <v>79</v>
      </c>
      <c r="H116" s="31">
        <f>VLOOKUP($F116&amp;$G116,Composite!$A$5:$Q$865,H$3,FALSE)*VLOOKUP($C116,[2]!ExistingSat,MATCH($A116,[2]SATS!$C$10:$F$10,0)+1,FALSE)</f>
        <v>225.1326044422957</v>
      </c>
      <c r="I116">
        <f>VLOOKUP($F116&amp;$G116,Composite!$A$5:$Q$865,I$3,FALSE)</f>
        <v>45</v>
      </c>
      <c r="J116" s="31">
        <f>VLOOKUP($F116&amp;$G116,Composite!$A$5:$Q$865,J$3,FALSE)*VLOOKUP($C116,[2]!ExistingSat,MATCH($A116,[2]SATS!$C$10:$F$10,0)+1,FALSE)</f>
        <v>1258.7048529477763</v>
      </c>
      <c r="K116" s="31">
        <f>VLOOKUP($F116&amp;$G116,Composite!$A$5:$Q$865,K$3,FALSE)*VLOOKUP($C116,[2]!ExistingSat,MATCH($A116,[2]SATS!$C$10:$F$10,0)+1,FALSE)</f>
        <v>0</v>
      </c>
      <c r="L116" t="str">
        <f>VLOOKUP($F116&amp;$G116,Composite!$A$5:$Q$865,L$3,FALSE)</f>
        <v>ResSpHtHPZ2</v>
      </c>
      <c r="M116" s="31">
        <f>VLOOKUP($F116&amp;$G116,Composite!$A$5:$Q$865,M$3,FALSE)*VLOOKUP($C116,[2]!ExistingSat,MATCH($A116,[2]SATS!$C$10:$F$10,0)+1,FALSE)</f>
        <v>1.4366683709942942</v>
      </c>
      <c r="N116" s="31">
        <f>VLOOKUP($F116&amp;$G116,Composite!$A$5:$Q$865,N$3,FALSE)*VLOOKUP($C116,[2]!ExistingSat,MATCH($A116,[2]SATS!$C$10:$F$10,0)+1,FALSE)</f>
        <v>0</v>
      </c>
      <c r="O116">
        <f>VLOOKUP($F116&amp;$G116,Composite!$A$5:$Q$865,O$3,FALSE)</f>
        <v>0</v>
      </c>
      <c r="P116" s="31">
        <f>VLOOKUP($F116&amp;$G116,Composite!$A$5:$Q$865,P$3,FALSE)*VLOOKUP($C116,[2]!ExistingSat,MATCH($A116,[2]SATS!$C$10:$F$10,0)+1,FALSE)</f>
        <v>0</v>
      </c>
      <c r="Q116">
        <f>VLOOKUP($F116&amp;$G116,Composite!$A$5:$Q$865,Q$3,FALSE)</f>
        <v>0</v>
      </c>
      <c r="R116" s="31">
        <f>VLOOKUP($F116&amp;$G116,Composite!$A$5:$Q$865,R$3,FALSE)*VLOOKUP($C116,[2]!ExistingSat,MATCH($A116,[2]SATS!$C$10:$F$10,0)+1,FALSE)</f>
        <v>0</v>
      </c>
      <c r="S116">
        <f>VLOOKUP($F116&amp;$G116,Composite!$A$5:$Q$865,S$3,FALSE)</f>
        <v>0</v>
      </c>
      <c r="T116" s="31">
        <f>VLOOKUP($F116&amp;$G116,Composite!$A$5:$Q$865,T$3,FALSE)*VLOOKUP($C116,[2]!ExistingSat,MATCH($A116,[2]SATS!$C$10:$F$10,0)+1,FALSE)</f>
        <v>0</v>
      </c>
    </row>
    <row r="117" spans="1:20">
      <c r="A117" t="s">
        <v>25</v>
      </c>
      <c r="B117" t="s">
        <v>229</v>
      </c>
      <c r="C117" t="s">
        <v>64</v>
      </c>
      <c r="D117" t="s">
        <v>61</v>
      </c>
      <c r="E117" t="str">
        <f t="shared" si="1"/>
        <v>Heat PumpHZ2WALL R0 - R11</v>
      </c>
      <c r="F117" s="31" t="str">
        <f>Composite!B116</f>
        <v>Single Family Weatherization - Insulate Wall - R0 to R11 - Heating Zone 2 (Heat Pump)</v>
      </c>
      <c r="G117" t="s">
        <v>85</v>
      </c>
      <c r="H117" s="31">
        <f>VLOOKUP($F117&amp;$G117,Composite!$A$5:$Q$865,H$3,FALSE)*VLOOKUP($C117,[2]!ExistingSat,MATCH($A117,[2]SATS!$C$10:$F$10,0)+1,FALSE)</f>
        <v>2446.2625633907614</v>
      </c>
      <c r="I117">
        <f>VLOOKUP($F117&amp;$G117,Composite!$A$5:$Q$865,I$3,FALSE)</f>
        <v>45</v>
      </c>
      <c r="J117" s="31">
        <f>VLOOKUP($F117&amp;$G117,Composite!$A$5:$Q$865,J$3,FALSE)*VLOOKUP($C117,[2]!ExistingSat,MATCH($A117,[2]SATS!$C$10:$F$10,0)+1,FALSE)</f>
        <v>2499.2782230652501</v>
      </c>
      <c r="K117" s="31">
        <f>VLOOKUP($F117&amp;$G117,Composite!$A$5:$Q$865,K$3,FALSE)*VLOOKUP($C117,[2]!ExistingSat,MATCH($A117,[2]SATS!$C$10:$F$10,0)+1,FALSE)</f>
        <v>0</v>
      </c>
      <c r="L117" t="str">
        <f>VLOOKUP($F117&amp;$G117,Composite!$A$5:$Q$865,L$3,FALSE)</f>
        <v>ResSpHtHPZ2</v>
      </c>
      <c r="M117" s="31">
        <f>VLOOKUP($F117&amp;$G117,Composite!$A$5:$Q$865,M$3,FALSE)*VLOOKUP($C117,[2]!ExistingSat,MATCH($A117,[2]SATS!$C$10:$F$10,0)+1,FALSE)</f>
        <v>10.849704463646631</v>
      </c>
      <c r="N117" s="31">
        <f>VLOOKUP($F117&amp;$G117,Composite!$A$5:$Q$865,N$3,FALSE)*VLOOKUP($C117,[2]!ExistingSat,MATCH($A117,[2]SATS!$C$10:$F$10,0)+1,FALSE)</f>
        <v>0</v>
      </c>
      <c r="O117">
        <f>VLOOKUP($F117&amp;$G117,Composite!$A$5:$Q$865,O$3,FALSE)</f>
        <v>0</v>
      </c>
      <c r="P117" s="31">
        <f>VLOOKUP($F117&amp;$G117,Composite!$A$5:$Q$865,P$3,FALSE)*VLOOKUP($C117,[2]!ExistingSat,MATCH($A117,[2]SATS!$C$10:$F$10,0)+1,FALSE)</f>
        <v>0</v>
      </c>
      <c r="Q117">
        <f>VLOOKUP($F117&amp;$G117,Composite!$A$5:$Q$865,Q$3,FALSE)</f>
        <v>0</v>
      </c>
      <c r="R117" s="31">
        <f>VLOOKUP($F117&amp;$G117,Composite!$A$5:$Q$865,R$3,FALSE)*VLOOKUP($C117,[2]!ExistingSat,MATCH($A117,[2]SATS!$C$10:$F$10,0)+1,FALSE)</f>
        <v>0</v>
      </c>
      <c r="S117">
        <f>VLOOKUP($F117&amp;$G117,Composite!$A$5:$Q$865,S$3,FALSE)</f>
        <v>0</v>
      </c>
      <c r="T117" s="31">
        <f>VLOOKUP($F117&amp;$G117,Composite!$A$5:$Q$865,T$3,FALSE)*VLOOKUP($C117,[2]!ExistingSat,MATCH($A117,[2]SATS!$C$10:$F$10,0)+1,FALSE)</f>
        <v>0</v>
      </c>
    </row>
    <row r="118" spans="1:20">
      <c r="A118" t="s">
        <v>25</v>
      </c>
      <c r="B118" t="s">
        <v>229</v>
      </c>
      <c r="C118" t="s">
        <v>26</v>
      </c>
      <c r="D118" t="s">
        <v>61</v>
      </c>
      <c r="E118" t="str">
        <f t="shared" si="1"/>
        <v>Heat PumpHZ2FLOOR R0 - R19</v>
      </c>
      <c r="F118" s="31" t="str">
        <f>Composite!B117</f>
        <v>Single Family Weatherization - Insulate Floor - R0 to R19 - Heating Zone 2 (Heat Pump)</v>
      </c>
      <c r="G118" t="s">
        <v>87</v>
      </c>
      <c r="H118" s="31">
        <f>VLOOKUP($F118&amp;$G118,Composite!$A$5:$Q$865,H$3,FALSE)*VLOOKUP($C118,[2]!ExistingSat,MATCH($A118,[2]SATS!$C$10:$F$10,0)+1,FALSE)</f>
        <v>375.96489763307193</v>
      </c>
      <c r="I118">
        <f>VLOOKUP($F118&amp;$G118,Composite!$A$5:$Q$865,I$3,FALSE)</f>
        <v>45</v>
      </c>
      <c r="J118" s="31">
        <f>VLOOKUP($F118&amp;$G118,Composite!$A$5:$Q$865,J$3,FALSE)*VLOOKUP($C118,[2]!ExistingSat,MATCH($A118,[2]SATS!$C$10:$F$10,0)+1,FALSE)</f>
        <v>1759.181492270189</v>
      </c>
      <c r="K118" s="31">
        <f>VLOOKUP($F118&amp;$G118,Composite!$A$5:$Q$865,K$3,FALSE)*VLOOKUP($C118,[2]!ExistingSat,MATCH($A118,[2]SATS!$C$10:$F$10,0)+1,FALSE)</f>
        <v>0</v>
      </c>
      <c r="L118" t="str">
        <f>VLOOKUP($F118&amp;$G118,Composite!$A$5:$Q$865,L$3,FALSE)</f>
        <v>ResSpHtHPZ2</v>
      </c>
      <c r="M118" s="31">
        <f>VLOOKUP($F118&amp;$G118,Composite!$A$5:$Q$865,M$3,FALSE)*VLOOKUP($C118,[2]!ExistingSat,MATCH($A118,[2]SATS!$C$10:$F$10,0)+1,FALSE)</f>
        <v>-0.94788219958181164</v>
      </c>
      <c r="N118" s="31">
        <f>VLOOKUP($F118&amp;$G118,Composite!$A$5:$Q$865,N$3,FALSE)*VLOOKUP($C118,[2]!ExistingSat,MATCH($A118,[2]SATS!$C$10:$F$10,0)+1,FALSE)</f>
        <v>0</v>
      </c>
      <c r="O118">
        <f>VLOOKUP($F118&amp;$G118,Composite!$A$5:$Q$865,O$3,FALSE)</f>
        <v>0</v>
      </c>
      <c r="P118" s="31">
        <f>VLOOKUP($F118&amp;$G118,Composite!$A$5:$Q$865,P$3,FALSE)*VLOOKUP($C118,[2]!ExistingSat,MATCH($A118,[2]SATS!$C$10:$F$10,0)+1,FALSE)</f>
        <v>0</v>
      </c>
      <c r="Q118">
        <f>VLOOKUP($F118&amp;$G118,Composite!$A$5:$Q$865,Q$3,FALSE)</f>
        <v>0</v>
      </c>
      <c r="R118" s="31">
        <f>VLOOKUP($F118&amp;$G118,Composite!$A$5:$Q$865,R$3,FALSE)*VLOOKUP($C118,[2]!ExistingSat,MATCH($A118,[2]SATS!$C$10:$F$10,0)+1,FALSE)</f>
        <v>0</v>
      </c>
      <c r="S118">
        <f>VLOOKUP($F118&amp;$G118,Composite!$A$5:$Q$865,S$3,FALSE)</f>
        <v>0</v>
      </c>
      <c r="T118" s="31">
        <f>VLOOKUP($F118&amp;$G118,Composite!$A$5:$Q$865,T$3,FALSE)*VLOOKUP($C118,[2]!ExistingSat,MATCH($A118,[2]SATS!$C$10:$F$10,0)+1,FALSE)</f>
        <v>0</v>
      </c>
    </row>
    <row r="119" spans="1:20">
      <c r="A119" t="s">
        <v>25</v>
      </c>
      <c r="B119" t="s">
        <v>229</v>
      </c>
      <c r="C119" t="s">
        <v>26</v>
      </c>
      <c r="D119" t="s">
        <v>61</v>
      </c>
      <c r="E119" t="str">
        <f t="shared" si="1"/>
        <v>Heat PumpHZ2FLOOR R0 - R25</v>
      </c>
      <c r="F119" s="31" t="str">
        <f>Composite!B118</f>
        <v>Single Family Weatherization - Insulate Floor - R0 to R25 - Heating Zone 2 (Heat Pump)</v>
      </c>
      <c r="G119" t="s">
        <v>89</v>
      </c>
      <c r="H119" s="31">
        <f>VLOOKUP($F119&amp;$G119,Composite!$A$5:$Q$865,H$3,FALSE)*VLOOKUP($C119,[2]!ExistingSat,MATCH($A119,[2]SATS!$C$10:$F$10,0)+1,FALSE)</f>
        <v>404.26168341010884</v>
      </c>
      <c r="I119">
        <f>VLOOKUP($F119&amp;$G119,Composite!$A$5:$Q$865,I$3,FALSE)</f>
        <v>45</v>
      </c>
      <c r="J119" s="31">
        <f>VLOOKUP($F119&amp;$G119,Composite!$A$5:$Q$865,J$3,FALSE)*VLOOKUP($C119,[2]!ExistingSat,MATCH($A119,[2]SATS!$C$10:$F$10,0)+1,FALSE)</f>
        <v>1826.548108429291</v>
      </c>
      <c r="K119" s="31">
        <f>VLOOKUP($F119&amp;$G119,Composite!$A$5:$Q$865,K$3,FALSE)*VLOOKUP($C119,[2]!ExistingSat,MATCH($A119,[2]SATS!$C$10:$F$10,0)+1,FALSE)</f>
        <v>0</v>
      </c>
      <c r="L119" t="str">
        <f>VLOOKUP($F119&amp;$G119,Composite!$A$5:$Q$865,L$3,FALSE)</f>
        <v>ResSpHtHPZ2</v>
      </c>
      <c r="M119" s="31">
        <f>VLOOKUP($F119&amp;$G119,Composite!$A$5:$Q$865,M$3,FALSE)*VLOOKUP($C119,[2]!ExistingSat,MATCH($A119,[2]SATS!$C$10:$F$10,0)+1,FALSE)</f>
        <v>-0.77627551486901791</v>
      </c>
      <c r="N119" s="31">
        <f>VLOOKUP($F119&amp;$G119,Composite!$A$5:$Q$865,N$3,FALSE)*VLOOKUP($C119,[2]!ExistingSat,MATCH($A119,[2]SATS!$C$10:$F$10,0)+1,FALSE)</f>
        <v>0</v>
      </c>
      <c r="O119">
        <f>VLOOKUP($F119&amp;$G119,Composite!$A$5:$Q$865,O$3,FALSE)</f>
        <v>0</v>
      </c>
      <c r="P119" s="31">
        <f>VLOOKUP($F119&amp;$G119,Composite!$A$5:$Q$865,P$3,FALSE)*VLOOKUP($C119,[2]!ExistingSat,MATCH($A119,[2]SATS!$C$10:$F$10,0)+1,FALSE)</f>
        <v>0</v>
      </c>
      <c r="Q119">
        <f>VLOOKUP($F119&amp;$G119,Composite!$A$5:$Q$865,Q$3,FALSE)</f>
        <v>0</v>
      </c>
      <c r="R119" s="31">
        <f>VLOOKUP($F119&amp;$G119,Composite!$A$5:$Q$865,R$3,FALSE)*VLOOKUP($C119,[2]!ExistingSat,MATCH($A119,[2]SATS!$C$10:$F$10,0)+1,FALSE)</f>
        <v>0</v>
      </c>
      <c r="S119">
        <f>VLOOKUP($F119&amp;$G119,Composite!$A$5:$Q$865,S$3,FALSE)</f>
        <v>0</v>
      </c>
      <c r="T119" s="31">
        <f>VLOOKUP($F119&amp;$G119,Composite!$A$5:$Q$865,T$3,FALSE)*VLOOKUP($C119,[2]!ExistingSat,MATCH($A119,[2]SATS!$C$10:$F$10,0)+1,FALSE)</f>
        <v>0</v>
      </c>
    </row>
    <row r="120" spans="1:20">
      <c r="A120" t="s">
        <v>25</v>
      </c>
      <c r="B120" t="s">
        <v>229</v>
      </c>
      <c r="C120" t="s">
        <v>26</v>
      </c>
      <c r="D120" t="s">
        <v>61</v>
      </c>
      <c r="E120" t="str">
        <f t="shared" si="1"/>
        <v>Heat PumpHZ2FLOOR R0 - R30</v>
      </c>
      <c r="F120" s="31" t="str">
        <f>Composite!B119</f>
        <v>Single Family Weatherization - Insulate Floor - R0 to R30 - Heating Zone 2 (Heat Pump)</v>
      </c>
      <c r="G120" t="s">
        <v>91</v>
      </c>
      <c r="H120" s="31">
        <f>VLOOKUP($F120&amp;$G120,Composite!$A$5:$Q$865,H$3,FALSE)*VLOOKUP($C120,[2]!ExistingSat,MATCH($A120,[2]SATS!$C$10:$F$10,0)+1,FALSE)</f>
        <v>422.0296680843353</v>
      </c>
      <c r="I120">
        <f>VLOOKUP($F120&amp;$G120,Composite!$A$5:$Q$865,I$3,FALSE)</f>
        <v>45</v>
      </c>
      <c r="J120" s="31">
        <f>VLOOKUP($F120&amp;$G120,Composite!$A$5:$Q$865,J$3,FALSE)*VLOOKUP($C120,[2]!ExistingSat,MATCH($A120,[2]SATS!$C$10:$F$10,0)+1,FALSE)</f>
        <v>1882.6869552285434</v>
      </c>
      <c r="K120" s="31">
        <f>VLOOKUP($F120&amp;$G120,Composite!$A$5:$Q$865,K$3,FALSE)*VLOOKUP($C120,[2]!ExistingSat,MATCH($A120,[2]SATS!$C$10:$F$10,0)+1,FALSE)</f>
        <v>0</v>
      </c>
      <c r="L120" t="str">
        <f>VLOOKUP($F120&amp;$G120,Composite!$A$5:$Q$865,L$3,FALSE)</f>
        <v>ResSpHtHPZ2</v>
      </c>
      <c r="M120" s="31">
        <f>VLOOKUP($F120&amp;$G120,Composite!$A$5:$Q$865,M$3,FALSE)*VLOOKUP($C120,[2]!ExistingSat,MATCH($A120,[2]SATS!$C$10:$F$10,0)+1,FALSE)</f>
        <v>-0.65960791578033018</v>
      </c>
      <c r="N120" s="31">
        <f>VLOOKUP($F120&amp;$G120,Composite!$A$5:$Q$865,N$3,FALSE)*VLOOKUP($C120,[2]!ExistingSat,MATCH($A120,[2]SATS!$C$10:$F$10,0)+1,FALSE)</f>
        <v>0</v>
      </c>
      <c r="O120">
        <f>VLOOKUP($F120&amp;$G120,Composite!$A$5:$Q$865,O$3,FALSE)</f>
        <v>0</v>
      </c>
      <c r="P120" s="31">
        <f>VLOOKUP($F120&amp;$G120,Composite!$A$5:$Q$865,P$3,FALSE)*VLOOKUP($C120,[2]!ExistingSat,MATCH($A120,[2]SATS!$C$10:$F$10,0)+1,FALSE)</f>
        <v>0</v>
      </c>
      <c r="Q120">
        <f>VLOOKUP($F120&amp;$G120,Composite!$A$5:$Q$865,Q$3,FALSE)</f>
        <v>0</v>
      </c>
      <c r="R120" s="31">
        <f>VLOOKUP($F120&amp;$G120,Composite!$A$5:$Q$865,R$3,FALSE)*VLOOKUP($C120,[2]!ExistingSat,MATCH($A120,[2]SATS!$C$10:$F$10,0)+1,FALSE)</f>
        <v>0</v>
      </c>
      <c r="S120">
        <f>VLOOKUP($F120&amp;$G120,Composite!$A$5:$Q$865,S$3,FALSE)</f>
        <v>0</v>
      </c>
      <c r="T120" s="31">
        <f>VLOOKUP($F120&amp;$G120,Composite!$A$5:$Q$865,T$3,FALSE)*VLOOKUP($C120,[2]!ExistingSat,MATCH($A120,[2]SATS!$C$10:$F$10,0)+1,FALSE)</f>
        <v>0</v>
      </c>
    </row>
    <row r="121" spans="1:20">
      <c r="A121" t="s">
        <v>25</v>
      </c>
      <c r="B121" t="s">
        <v>229</v>
      </c>
      <c r="C121" t="s">
        <v>27</v>
      </c>
      <c r="D121" t="s">
        <v>61</v>
      </c>
      <c r="E121" t="str">
        <f t="shared" ref="E121:E140" si="2">B121&amp;D121&amp;G121</f>
        <v>Heat PumpHZ2WINDOW CL30 Prime Window Replacement of Single Pane Base</v>
      </c>
      <c r="F121" s="31" t="str">
        <f>Composite!B120</f>
        <v>Windows - Single Pane to Class 30 - Heating Zone 2 (Heat Pump)</v>
      </c>
      <c r="G121" t="s">
        <v>93</v>
      </c>
      <c r="H121" s="31">
        <f>VLOOKUP($F121&amp;$G121,Composite!$A$5:$Q$865,H$3,FALSE)*VLOOKUP($C121,[2]!ExistingSat,MATCH($A121,[2]SATS!$C$10:$F$10,0)+1,FALSE)</f>
        <v>1457.7524651386311</v>
      </c>
      <c r="I121">
        <f>VLOOKUP($F121&amp;$G121,Composite!$A$5:$Q$865,I$3,FALSE)</f>
        <v>45</v>
      </c>
      <c r="J121" s="31">
        <f>VLOOKUP($F121&amp;$G121,Composite!$A$5:$Q$865,J$3,FALSE)*VLOOKUP($C121,[2]!ExistingSat,MATCH($A121,[2]SATS!$C$10:$F$10,0)+1,FALSE)</f>
        <v>3312.4380313472334</v>
      </c>
      <c r="K121" s="31">
        <f>VLOOKUP($F121&amp;$G121,Composite!$A$5:$Q$865,K$3,FALSE)*VLOOKUP($C121,[2]!ExistingSat,MATCH($A121,[2]SATS!$C$10:$F$10,0)+1,FALSE)</f>
        <v>0</v>
      </c>
      <c r="L121" t="str">
        <f>VLOOKUP($F121&amp;$G121,Composite!$A$5:$Q$865,L$3,FALSE)</f>
        <v>ResSpHtHPZ2</v>
      </c>
      <c r="M121" s="31">
        <f>VLOOKUP($F121&amp;$G121,Composite!$A$5:$Q$865,M$3,FALSE)*VLOOKUP($C121,[2]!ExistingSat,MATCH($A121,[2]SATS!$C$10:$F$10,0)+1,FALSE)</f>
        <v>11.36457769622829</v>
      </c>
      <c r="N121" s="31">
        <f>VLOOKUP($F121&amp;$G121,Composite!$A$5:$Q$865,N$3,FALSE)*VLOOKUP($C121,[2]!ExistingSat,MATCH($A121,[2]SATS!$C$10:$F$10,0)+1,FALSE)</f>
        <v>0</v>
      </c>
      <c r="O121">
        <f>VLOOKUP($F121&amp;$G121,Composite!$A$5:$Q$865,O$3,FALSE)</f>
        <v>0</v>
      </c>
      <c r="P121" s="31">
        <f>VLOOKUP($F121&amp;$G121,Composite!$A$5:$Q$865,P$3,FALSE)*VLOOKUP($C121,[2]!ExistingSat,MATCH($A121,[2]SATS!$C$10:$F$10,0)+1,FALSE)</f>
        <v>0</v>
      </c>
      <c r="Q121">
        <f>VLOOKUP($F121&amp;$G121,Composite!$A$5:$Q$865,Q$3,FALSE)</f>
        <v>0</v>
      </c>
      <c r="R121" s="31">
        <f>VLOOKUP($F121&amp;$G121,Composite!$A$5:$Q$865,R$3,FALSE)*VLOOKUP($C121,[2]!ExistingSat,MATCH($A121,[2]SATS!$C$10:$F$10,0)+1,FALSE)</f>
        <v>0</v>
      </c>
      <c r="S121">
        <f>VLOOKUP($F121&amp;$G121,Composite!$A$5:$Q$865,S$3,FALSE)</f>
        <v>0</v>
      </c>
      <c r="T121" s="31">
        <f>VLOOKUP($F121&amp;$G121,Composite!$A$5:$Q$865,T$3,FALSE)*VLOOKUP($C121,[2]!ExistingSat,MATCH($A121,[2]SATS!$C$10:$F$10,0)+1,FALSE)</f>
        <v>0</v>
      </c>
    </row>
    <row r="122" spans="1:20">
      <c r="A122" t="s">
        <v>25</v>
      </c>
      <c r="B122" t="s">
        <v>229</v>
      </c>
      <c r="C122" t="s">
        <v>27</v>
      </c>
      <c r="D122" t="s">
        <v>61</v>
      </c>
      <c r="E122" t="str">
        <f t="shared" si="2"/>
        <v>Heat PumpHZ2WINDOW CL30 Prime Window Replacement of Double Pane Base</v>
      </c>
      <c r="F122" s="31" t="str">
        <f>Composite!B121</f>
        <v>Windows - Double Pane to Class 30 - Heating Zone 2 (Heat Pump)</v>
      </c>
      <c r="G122" t="s">
        <v>95</v>
      </c>
      <c r="H122" s="31">
        <f>VLOOKUP($F122&amp;$G122,Composite!$A$5:$Q$865,H$3,FALSE)*VLOOKUP($C122,[2]!ExistingSat,MATCH($A122,[2]SATS!$C$10:$F$10,0)+1,FALSE)</f>
        <v>728.02794038683771</v>
      </c>
      <c r="I122">
        <f>VLOOKUP($F122&amp;$G122,Composite!$A$5:$Q$865,I$3,FALSE)</f>
        <v>45</v>
      </c>
      <c r="J122" s="31">
        <f>VLOOKUP($F122&amp;$G122,Composite!$A$5:$Q$865,J$3,FALSE)*VLOOKUP($C122,[2]!ExistingSat,MATCH($A122,[2]SATS!$C$10:$F$10,0)+1,FALSE)</f>
        <v>3312.4380313472334</v>
      </c>
      <c r="K122" s="31">
        <f>VLOOKUP($F122&amp;$G122,Composite!$A$5:$Q$865,K$3,FALSE)*VLOOKUP($C122,[2]!ExistingSat,MATCH($A122,[2]SATS!$C$10:$F$10,0)+1,FALSE)</f>
        <v>0</v>
      </c>
      <c r="L122" t="str">
        <f>VLOOKUP($F122&amp;$G122,Composite!$A$5:$Q$865,L$3,FALSE)</f>
        <v>ResSpHtHPZ2</v>
      </c>
      <c r="M122" s="31">
        <f>VLOOKUP($F122&amp;$G122,Composite!$A$5:$Q$865,M$3,FALSE)*VLOOKUP($C122,[2]!ExistingSat,MATCH($A122,[2]SATS!$C$10:$F$10,0)+1,FALSE)</f>
        <v>5.7602695989006163</v>
      </c>
      <c r="N122" s="31">
        <f>VLOOKUP($F122&amp;$G122,Composite!$A$5:$Q$865,N$3,FALSE)*VLOOKUP($C122,[2]!ExistingSat,MATCH($A122,[2]SATS!$C$10:$F$10,0)+1,FALSE)</f>
        <v>0</v>
      </c>
      <c r="O122">
        <f>VLOOKUP($F122&amp;$G122,Composite!$A$5:$Q$865,O$3,FALSE)</f>
        <v>0</v>
      </c>
      <c r="P122" s="31">
        <f>VLOOKUP($F122&amp;$G122,Composite!$A$5:$Q$865,P$3,FALSE)*VLOOKUP($C122,[2]!ExistingSat,MATCH($A122,[2]SATS!$C$10:$F$10,0)+1,FALSE)</f>
        <v>0</v>
      </c>
      <c r="Q122">
        <f>VLOOKUP($F122&amp;$G122,Composite!$A$5:$Q$865,Q$3,FALSE)</f>
        <v>0</v>
      </c>
      <c r="R122" s="31">
        <f>VLOOKUP($F122&amp;$G122,Composite!$A$5:$Q$865,R$3,FALSE)*VLOOKUP($C122,[2]!ExistingSat,MATCH($A122,[2]SATS!$C$10:$F$10,0)+1,FALSE)</f>
        <v>0</v>
      </c>
      <c r="S122">
        <f>VLOOKUP($F122&amp;$G122,Composite!$A$5:$Q$865,S$3,FALSE)</f>
        <v>0</v>
      </c>
      <c r="T122" s="31">
        <f>VLOOKUP($F122&amp;$G122,Composite!$A$5:$Q$865,T$3,FALSE)*VLOOKUP($C122,[2]!ExistingSat,MATCH($A122,[2]SATS!$C$10:$F$10,0)+1,FALSE)</f>
        <v>0</v>
      </c>
    </row>
    <row r="123" spans="1:20">
      <c r="A123" t="s">
        <v>25</v>
      </c>
      <c r="B123" t="s">
        <v>229</v>
      </c>
      <c r="C123" t="s">
        <v>27</v>
      </c>
      <c r="D123" t="s">
        <v>61</v>
      </c>
      <c r="E123" t="str">
        <f t="shared" si="2"/>
        <v>Heat PumpHZ2WINDOW CL22 Prime Window Replacement of Single Pane Base</v>
      </c>
      <c r="F123" s="31" t="str">
        <f>Composite!B122</f>
        <v>Windows - Single Pane to Class 22 - Heating Zone 2 (Heat Pump)</v>
      </c>
      <c r="G123" t="s">
        <v>99</v>
      </c>
      <c r="H123" s="31">
        <f>VLOOKUP($F123&amp;$G123,Composite!$A$5:$Q$865,H$3,FALSE)*VLOOKUP($C123,[2]!ExistingSat,MATCH($A123,[2]SATS!$C$10:$F$10,0)+1,FALSE)</f>
        <v>1593.5962606523935</v>
      </c>
      <c r="I123">
        <f>VLOOKUP($F123&amp;$G123,Composite!$A$5:$Q$865,I$3,FALSE)</f>
        <v>45</v>
      </c>
      <c r="J123" s="31">
        <f>VLOOKUP($F123&amp;$G123,Composite!$A$5:$Q$865,J$3,FALSE)*VLOOKUP($C123,[2]!ExistingSat,MATCH($A123,[2]SATS!$C$10:$F$10,0)+1,FALSE)</f>
        <v>3901.0698543939693</v>
      </c>
      <c r="K123" s="31">
        <f>VLOOKUP($F123&amp;$G123,Composite!$A$5:$Q$865,K$3,FALSE)*VLOOKUP($C123,[2]!ExistingSat,MATCH($A123,[2]SATS!$C$10:$F$10,0)+1,FALSE)</f>
        <v>0</v>
      </c>
      <c r="L123" t="str">
        <f>VLOOKUP($F123&amp;$G123,Composite!$A$5:$Q$865,L$3,FALSE)</f>
        <v>ResSpHtHPZ2</v>
      </c>
      <c r="M123" s="31">
        <f>VLOOKUP($F123&amp;$G123,Composite!$A$5:$Q$865,M$3,FALSE)*VLOOKUP($C123,[2]!ExistingSat,MATCH($A123,[2]SATS!$C$10:$F$10,0)+1,FALSE)</f>
        <v>12.680868247063128</v>
      </c>
      <c r="N123" s="31">
        <f>VLOOKUP($F123&amp;$G123,Composite!$A$5:$Q$865,N$3,FALSE)*VLOOKUP($C123,[2]!ExistingSat,MATCH($A123,[2]SATS!$C$10:$F$10,0)+1,FALSE)</f>
        <v>0</v>
      </c>
      <c r="O123">
        <f>VLOOKUP($F123&amp;$G123,Composite!$A$5:$Q$865,O$3,FALSE)</f>
        <v>0</v>
      </c>
      <c r="P123" s="31">
        <f>VLOOKUP($F123&amp;$G123,Composite!$A$5:$Q$865,P$3,FALSE)*VLOOKUP($C123,[2]!ExistingSat,MATCH($A123,[2]SATS!$C$10:$F$10,0)+1,FALSE)</f>
        <v>0</v>
      </c>
      <c r="Q123">
        <f>VLOOKUP($F123&amp;$G123,Composite!$A$5:$Q$865,Q$3,FALSE)</f>
        <v>0</v>
      </c>
      <c r="R123" s="31">
        <f>VLOOKUP($F123&amp;$G123,Composite!$A$5:$Q$865,R$3,FALSE)*VLOOKUP($C123,[2]!ExistingSat,MATCH($A123,[2]SATS!$C$10:$F$10,0)+1,FALSE)</f>
        <v>0</v>
      </c>
      <c r="S123">
        <f>VLOOKUP($F123&amp;$G123,Composite!$A$5:$Q$865,S$3,FALSE)</f>
        <v>0</v>
      </c>
      <c r="T123" s="31">
        <f>VLOOKUP($F123&amp;$G123,Composite!$A$5:$Q$865,T$3,FALSE)*VLOOKUP($C123,[2]!ExistingSat,MATCH($A123,[2]SATS!$C$10:$F$10,0)+1,FALSE)</f>
        <v>0</v>
      </c>
    </row>
    <row r="124" spans="1:20">
      <c r="A124" t="s">
        <v>25</v>
      </c>
      <c r="B124" t="s">
        <v>229</v>
      </c>
      <c r="C124" t="s">
        <v>27</v>
      </c>
      <c r="D124" t="s">
        <v>61</v>
      </c>
      <c r="E124" t="str">
        <f t="shared" si="2"/>
        <v>Heat PumpHZ2WINDOW CL22 Prime Window Replacement of Double Pane Base</v>
      </c>
      <c r="F124" s="31" t="str">
        <f>Composite!B123</f>
        <v>Windows - Double Pane to Class 22 - Heating Zone 2 (Heat Pump)</v>
      </c>
      <c r="G124" t="s">
        <v>101</v>
      </c>
      <c r="H124" s="31">
        <f>VLOOKUP($F124&amp;$G124,Composite!$A$5:$Q$865,H$3,FALSE)*VLOOKUP($C124,[2]!ExistingSat,MATCH($A124,[2]SATS!$C$10:$F$10,0)+1,FALSE)</f>
        <v>847.27537742464381</v>
      </c>
      <c r="I124">
        <f>VLOOKUP($F124&amp;$G124,Composite!$A$5:$Q$865,I$3,FALSE)</f>
        <v>45</v>
      </c>
      <c r="J124" s="31">
        <f>VLOOKUP($F124&amp;$G124,Composite!$A$5:$Q$865,J$3,FALSE)*VLOOKUP($C124,[2]!ExistingSat,MATCH($A124,[2]SATS!$C$10:$F$10,0)+1,FALSE)</f>
        <v>3901.0698543939693</v>
      </c>
      <c r="K124" s="31">
        <f>VLOOKUP($F124&amp;$G124,Composite!$A$5:$Q$865,K$3,FALSE)*VLOOKUP($C124,[2]!ExistingSat,MATCH($A124,[2]SATS!$C$10:$F$10,0)+1,FALSE)</f>
        <v>0</v>
      </c>
      <c r="L124" t="str">
        <f>VLOOKUP($F124&amp;$G124,Composite!$A$5:$Q$865,L$3,FALSE)</f>
        <v>ResSpHtHPZ2</v>
      </c>
      <c r="M124" s="31">
        <f>VLOOKUP($F124&amp;$G124,Composite!$A$5:$Q$865,M$3,FALSE)*VLOOKUP($C124,[2]!ExistingSat,MATCH($A124,[2]SATS!$C$10:$F$10,0)+1,FALSE)</f>
        <v>6.9144963727308344</v>
      </c>
      <c r="N124" s="31">
        <f>VLOOKUP($F124&amp;$G124,Composite!$A$5:$Q$865,N$3,FALSE)*VLOOKUP($C124,[2]!ExistingSat,MATCH($A124,[2]SATS!$C$10:$F$10,0)+1,FALSE)</f>
        <v>0</v>
      </c>
      <c r="O124">
        <f>VLOOKUP($F124&amp;$G124,Composite!$A$5:$Q$865,O$3,FALSE)</f>
        <v>0</v>
      </c>
      <c r="P124" s="31">
        <f>VLOOKUP($F124&amp;$G124,Composite!$A$5:$Q$865,P$3,FALSE)*VLOOKUP($C124,[2]!ExistingSat,MATCH($A124,[2]SATS!$C$10:$F$10,0)+1,FALSE)</f>
        <v>0</v>
      </c>
      <c r="Q124">
        <f>VLOOKUP($F124&amp;$G124,Composite!$A$5:$Q$865,Q$3,FALSE)</f>
        <v>0</v>
      </c>
      <c r="R124" s="31">
        <f>VLOOKUP($F124&amp;$G124,Composite!$A$5:$Q$865,R$3,FALSE)*VLOOKUP($C124,[2]!ExistingSat,MATCH($A124,[2]SATS!$C$10:$F$10,0)+1,FALSE)</f>
        <v>0</v>
      </c>
      <c r="S124">
        <f>VLOOKUP($F124&amp;$G124,Composite!$A$5:$Q$865,S$3,FALSE)</f>
        <v>0</v>
      </c>
      <c r="T124" s="31">
        <f>VLOOKUP($F124&amp;$G124,Composite!$A$5:$Q$865,T$3,FALSE)*VLOOKUP($C124,[2]!ExistingSat,MATCH($A124,[2]SATS!$C$10:$F$10,0)+1,FALSE)</f>
        <v>0</v>
      </c>
    </row>
    <row r="125" spans="1:20">
      <c r="A125" t="s">
        <v>25</v>
      </c>
      <c r="B125" t="s">
        <v>229</v>
      </c>
      <c r="C125" t="s">
        <v>66</v>
      </c>
      <c r="D125" t="s">
        <v>61</v>
      </c>
      <c r="E125" t="str">
        <f t="shared" si="2"/>
        <v>Heat PumpHZ2CFM50 Infiltration Reduction</v>
      </c>
      <c r="F125" s="31" t="str">
        <f>Composite!B124</f>
        <v>Infiltration Reduction - CFM50 reduction - Heating Zone 2 (Heat Pump)</v>
      </c>
      <c r="G125" s="305" t="s">
        <v>1362</v>
      </c>
      <c r="H125" s="31">
        <f>VLOOKUP($F125&amp;$G125,Composite!$A$5:$Q$865,H$3,FALSE)*VLOOKUP($C125,[2]!ExistingSat,MATCH($A125,[2]SATS!$C$10:$F$10,0)+1,FALSE)</f>
        <v>662.1557116565325</v>
      </c>
      <c r="I125">
        <f>VLOOKUP($F125&amp;$G125,Composite!$A$5:$Q$865,I$3,FALSE)</f>
        <v>15</v>
      </c>
      <c r="J125" s="31">
        <f>VLOOKUP($F125&amp;$G125,Composite!$A$5:$Q$865,J$3,FALSE)*VLOOKUP($C125,[2]!ExistingSat,MATCH($A125,[2]SATS!$C$10:$F$10,0)+1,FALSE)</f>
        <v>1325.3999218794588</v>
      </c>
      <c r="K125" s="31">
        <f>VLOOKUP($F125&amp;$G125,Composite!$A$5:$Q$865,K$3,FALSE)*VLOOKUP($C125,[2]!ExistingSat,MATCH($A125,[2]SATS!$C$10:$F$10,0)+1,FALSE)</f>
        <v>0</v>
      </c>
      <c r="L125" t="str">
        <f>VLOOKUP($F125&amp;$G125,Composite!$A$5:$Q$865,L$3,FALSE)</f>
        <v>ResSpHtHPZ2</v>
      </c>
      <c r="M125" s="31">
        <f>VLOOKUP($F125&amp;$G125,Composite!$A$5:$Q$865,M$3,FALSE)*VLOOKUP($C125,[2]!ExistingSat,MATCH($A125,[2]SATS!$C$10:$F$10,0)+1,FALSE)</f>
        <v>4.9350030381173386</v>
      </c>
      <c r="N125" s="31">
        <f>VLOOKUP($F125&amp;$G125,Composite!$A$5:$Q$865,N$3,FALSE)*VLOOKUP($C125,[2]!ExistingSat,MATCH($A125,[2]SATS!$C$10:$F$10,0)+1,FALSE)</f>
        <v>0</v>
      </c>
      <c r="O125">
        <f>VLOOKUP($F125&amp;$G125,Composite!$A$5:$Q$865,O$3,FALSE)</f>
        <v>0</v>
      </c>
      <c r="P125" s="31">
        <f>VLOOKUP($F125&amp;$G125,Composite!$A$5:$Q$865,P$3,FALSE)*VLOOKUP($C125,[2]!ExistingSat,MATCH($A125,[2]SATS!$C$10:$F$10,0)+1,FALSE)</f>
        <v>0</v>
      </c>
      <c r="Q125">
        <f>VLOOKUP($F125&amp;$G125,Composite!$A$5:$Q$865,Q$3,FALSE)</f>
        <v>0</v>
      </c>
      <c r="R125" s="31">
        <f>VLOOKUP($F125&amp;$G125,Composite!$A$5:$Q$865,R$3,FALSE)*VLOOKUP($C125,[2]!ExistingSat,MATCH($A125,[2]SATS!$C$10:$F$10,0)+1,FALSE)</f>
        <v>0</v>
      </c>
      <c r="S125">
        <f>VLOOKUP($F125&amp;$G125,Composite!$A$5:$Q$865,S$3,FALSE)</f>
        <v>0</v>
      </c>
      <c r="T125" s="31">
        <f>VLOOKUP($F125&amp;$G125,Composite!$A$5:$Q$865,T$3,FALSE)*VLOOKUP($C125,[2]!ExistingSat,MATCH($A125,[2]SATS!$C$10:$F$10,0)+1,FALSE)</f>
        <v>0</v>
      </c>
    </row>
    <row r="126" spans="1:20">
      <c r="A126" t="s">
        <v>25</v>
      </c>
      <c r="B126" t="s">
        <v>229</v>
      </c>
      <c r="C126" t="s">
        <v>28</v>
      </c>
      <c r="D126" t="s">
        <v>62</v>
      </c>
      <c r="E126" t="str">
        <f t="shared" si="2"/>
        <v>Heat PumpHZ3ATTIC R0 - R38</v>
      </c>
      <c r="F126" s="31" t="str">
        <f>Composite!B125</f>
        <v>Single Family Weatherization - Insulate Attic - R0 to R38 - Heating Zone 3 (Heat Pump)</v>
      </c>
      <c r="G126" t="s">
        <v>68</v>
      </c>
      <c r="H126" s="31">
        <f>VLOOKUP($F126&amp;$G126,Composite!$A$5:$Q$865,H$3,FALSE)*VLOOKUP($C126,[2]!ExistingSat,MATCH($A126,[2]SATS!$C$10:$F$10,0)+1,FALSE)</f>
        <v>3196.0980582859474</v>
      </c>
      <c r="I126">
        <f>VLOOKUP($F126&amp;$G126,Composite!$A$5:$Q$865,I$3,FALSE)</f>
        <v>45</v>
      </c>
      <c r="J126" s="31">
        <f>VLOOKUP($F126&amp;$G126,Composite!$A$5:$Q$865,J$3,FALSE)*VLOOKUP($C126,[2]!ExistingSat,MATCH($A126,[2]SATS!$C$10:$F$10,0)+1,FALSE)</f>
        <v>1403.6424108745796</v>
      </c>
      <c r="K126" s="31">
        <f>VLOOKUP($F126&amp;$G126,Composite!$A$5:$Q$865,K$3,FALSE)*VLOOKUP($C126,[2]!ExistingSat,MATCH($A126,[2]SATS!$C$10:$F$10,0)+1,FALSE)</f>
        <v>0</v>
      </c>
      <c r="L126" t="str">
        <f>VLOOKUP($F126&amp;$G126,Composite!$A$5:$Q$865,L$3,FALSE)</f>
        <v>ResSpHtHPZ3</v>
      </c>
      <c r="M126" s="31">
        <f>VLOOKUP($F126&amp;$G126,Composite!$A$5:$Q$865,M$3,FALSE)*VLOOKUP($C126,[2]!ExistingSat,MATCH($A126,[2]SATS!$C$10:$F$10,0)+1,FALSE)</f>
        <v>18.456398769899202</v>
      </c>
      <c r="N126" s="31">
        <f>VLOOKUP($F126&amp;$G126,Composite!$A$5:$Q$865,N$3,FALSE)*VLOOKUP($C126,[2]!ExistingSat,MATCH($A126,[2]SATS!$C$10:$F$10,0)+1,FALSE)</f>
        <v>0</v>
      </c>
      <c r="O126">
        <f>VLOOKUP($F126&amp;$G126,Composite!$A$5:$Q$865,O$3,FALSE)</f>
        <v>0</v>
      </c>
      <c r="P126" s="31">
        <f>VLOOKUP($F126&amp;$G126,Composite!$A$5:$Q$865,P$3,FALSE)*VLOOKUP($C126,[2]!ExistingSat,MATCH($A126,[2]SATS!$C$10:$F$10,0)+1,FALSE)</f>
        <v>0</v>
      </c>
      <c r="Q126">
        <f>VLOOKUP($F126&amp;$G126,Composite!$A$5:$Q$865,Q$3,FALSE)</f>
        <v>0</v>
      </c>
      <c r="R126" s="31">
        <f>VLOOKUP($F126&amp;$G126,Composite!$A$5:$Q$865,R$3,FALSE)*VLOOKUP($C126,[2]!ExistingSat,MATCH($A126,[2]SATS!$C$10:$F$10,0)+1,FALSE)</f>
        <v>0</v>
      </c>
      <c r="S126">
        <f>VLOOKUP($F126&amp;$G126,Composite!$A$5:$Q$865,S$3,FALSE)</f>
        <v>0</v>
      </c>
      <c r="T126" s="31">
        <f>VLOOKUP($F126&amp;$G126,Composite!$A$5:$Q$865,T$3,FALSE)*VLOOKUP($C126,[2]!ExistingSat,MATCH($A126,[2]SATS!$C$10:$F$10,0)+1,FALSE)</f>
        <v>0</v>
      </c>
    </row>
    <row r="127" spans="1:20">
      <c r="A127" t="s">
        <v>25</v>
      </c>
      <c r="B127" t="s">
        <v>229</v>
      </c>
      <c r="C127" t="s">
        <v>28</v>
      </c>
      <c r="D127" t="s">
        <v>62</v>
      </c>
      <c r="E127" t="str">
        <f t="shared" si="2"/>
        <v>Heat PumpHZ3ATTIC R0 - R49</v>
      </c>
      <c r="F127" s="31" t="str">
        <f>Composite!B126</f>
        <v>Single Family Weatherization - Insulate Attic - R0 to R49 - Heating Zone 3 (Heat Pump)</v>
      </c>
      <c r="G127" t="s">
        <v>71</v>
      </c>
      <c r="H127" s="31">
        <f>VLOOKUP($F127&amp;$G127,Composite!$A$5:$Q$865,H$3,FALSE)*VLOOKUP($C127,[2]!ExistingSat,MATCH($A127,[2]SATS!$C$10:$F$10,0)+1,FALSE)</f>
        <v>3238.9466947721467</v>
      </c>
      <c r="I127">
        <f>VLOOKUP($F127&amp;$G127,Composite!$A$5:$Q$865,I$3,FALSE)</f>
        <v>45</v>
      </c>
      <c r="J127" s="31">
        <f>VLOOKUP($F127&amp;$G127,Composite!$A$5:$Q$865,J$3,FALSE)*VLOOKUP($C127,[2]!ExistingSat,MATCH($A127,[2]SATS!$C$10:$F$10,0)+1,FALSE)</f>
        <v>1602.9315530239337</v>
      </c>
      <c r="K127" s="31">
        <f>VLOOKUP($F127&amp;$G127,Composite!$A$5:$Q$865,K$3,FALSE)*VLOOKUP($C127,[2]!ExistingSat,MATCH($A127,[2]SATS!$C$10:$F$10,0)+1,FALSE)</f>
        <v>0</v>
      </c>
      <c r="L127" t="str">
        <f>VLOOKUP($F127&amp;$G127,Composite!$A$5:$Q$865,L$3,FALSE)</f>
        <v>ResSpHtHPZ3</v>
      </c>
      <c r="M127" s="31">
        <f>VLOOKUP($F127&amp;$G127,Composite!$A$5:$Q$865,M$3,FALSE)*VLOOKUP($C127,[2]!ExistingSat,MATCH($A127,[2]SATS!$C$10:$F$10,0)+1,FALSE)</f>
        <v>18.716609900675653</v>
      </c>
      <c r="N127" s="31">
        <f>VLOOKUP($F127&amp;$G127,Composite!$A$5:$Q$865,N$3,FALSE)*VLOOKUP($C127,[2]!ExistingSat,MATCH($A127,[2]SATS!$C$10:$F$10,0)+1,FALSE)</f>
        <v>0</v>
      </c>
      <c r="O127">
        <f>VLOOKUP($F127&amp;$G127,Composite!$A$5:$Q$865,O$3,FALSE)</f>
        <v>0</v>
      </c>
      <c r="P127" s="31">
        <f>VLOOKUP($F127&amp;$G127,Composite!$A$5:$Q$865,P$3,FALSE)*VLOOKUP($C127,[2]!ExistingSat,MATCH($A127,[2]SATS!$C$10:$F$10,0)+1,FALSE)</f>
        <v>0</v>
      </c>
      <c r="Q127">
        <f>VLOOKUP($F127&amp;$G127,Composite!$A$5:$Q$865,Q$3,FALSE)</f>
        <v>0</v>
      </c>
      <c r="R127" s="31">
        <f>VLOOKUP($F127&amp;$G127,Composite!$A$5:$Q$865,R$3,FALSE)*VLOOKUP($C127,[2]!ExistingSat,MATCH($A127,[2]SATS!$C$10:$F$10,0)+1,FALSE)</f>
        <v>0</v>
      </c>
      <c r="S127">
        <f>VLOOKUP($F127&amp;$G127,Composite!$A$5:$Q$865,S$3,FALSE)</f>
        <v>0</v>
      </c>
      <c r="T127" s="31">
        <f>VLOOKUP($F127&amp;$G127,Composite!$A$5:$Q$865,T$3,FALSE)*VLOOKUP($C127,[2]!ExistingSat,MATCH($A127,[2]SATS!$C$10:$F$10,0)+1,FALSE)</f>
        <v>0</v>
      </c>
    </row>
    <row r="128" spans="1:20">
      <c r="A128" t="s">
        <v>25</v>
      </c>
      <c r="B128" t="s">
        <v>229</v>
      </c>
      <c r="C128" t="s">
        <v>28</v>
      </c>
      <c r="D128" t="s">
        <v>62</v>
      </c>
      <c r="E128" t="str">
        <f t="shared" si="2"/>
        <v>Heat PumpHZ3ATTIC R11 - R38</v>
      </c>
      <c r="F128" s="31" t="str">
        <f>Composite!B127</f>
        <v>Single Family Weatherization - Insulate Attic - R11 to R38 - Heating Zone 3 (Heat Pump)</v>
      </c>
      <c r="G128" t="s">
        <v>73</v>
      </c>
      <c r="H128" s="31">
        <f>VLOOKUP($F128&amp;$G128,Composite!$A$5:$Q$865,H$3,FALSE)*VLOOKUP($C128,[2]!ExistingSat,MATCH($A128,[2]SATS!$C$10:$F$10,0)+1,FALSE)</f>
        <v>451.30067970287354</v>
      </c>
      <c r="I128">
        <f>VLOOKUP($F128&amp;$G128,Composite!$A$5:$Q$865,I$3,FALSE)</f>
        <v>45</v>
      </c>
      <c r="J128" s="31">
        <f>VLOOKUP($F128&amp;$G128,Composite!$A$5:$Q$865,J$3,FALSE)*VLOOKUP($C128,[2]!ExistingSat,MATCH($A128,[2]SATS!$C$10:$F$10,0)+1,FALSE)</f>
        <v>1204.353268725225</v>
      </c>
      <c r="K128" s="31">
        <f>VLOOKUP($F128&amp;$G128,Composite!$A$5:$Q$865,K$3,FALSE)*VLOOKUP($C128,[2]!ExistingSat,MATCH($A128,[2]SATS!$C$10:$F$10,0)+1,FALSE)</f>
        <v>0</v>
      </c>
      <c r="L128" t="str">
        <f>VLOOKUP($F128&amp;$G128,Composite!$A$5:$Q$865,L$3,FALSE)</f>
        <v>ResSpHtHPZ3</v>
      </c>
      <c r="M128" s="31">
        <f>VLOOKUP($F128&amp;$G128,Composite!$A$5:$Q$865,M$3,FALSE)*VLOOKUP($C128,[2]!ExistingSat,MATCH($A128,[2]SATS!$C$10:$F$10,0)+1,FALSE)</f>
        <v>2.1444078075707225</v>
      </c>
      <c r="N128" s="31">
        <f>VLOOKUP($F128&amp;$G128,Composite!$A$5:$Q$865,N$3,FALSE)*VLOOKUP($C128,[2]!ExistingSat,MATCH($A128,[2]SATS!$C$10:$F$10,0)+1,FALSE)</f>
        <v>0</v>
      </c>
      <c r="O128">
        <f>VLOOKUP($F128&amp;$G128,Composite!$A$5:$Q$865,O$3,FALSE)</f>
        <v>0</v>
      </c>
      <c r="P128" s="31">
        <f>VLOOKUP($F128&amp;$G128,Composite!$A$5:$Q$865,P$3,FALSE)*VLOOKUP($C128,[2]!ExistingSat,MATCH($A128,[2]SATS!$C$10:$F$10,0)+1,FALSE)</f>
        <v>0</v>
      </c>
      <c r="Q128">
        <f>VLOOKUP($F128&amp;$G128,Composite!$A$5:$Q$865,Q$3,FALSE)</f>
        <v>0</v>
      </c>
      <c r="R128" s="31">
        <f>VLOOKUP($F128&amp;$G128,Composite!$A$5:$Q$865,R$3,FALSE)*VLOOKUP($C128,[2]!ExistingSat,MATCH($A128,[2]SATS!$C$10:$F$10,0)+1,FALSE)</f>
        <v>0</v>
      </c>
      <c r="S128">
        <f>VLOOKUP($F128&amp;$G128,Composite!$A$5:$Q$865,S$3,FALSE)</f>
        <v>0</v>
      </c>
      <c r="T128" s="31">
        <f>VLOOKUP($F128&amp;$G128,Composite!$A$5:$Q$865,T$3,FALSE)*VLOOKUP($C128,[2]!ExistingSat,MATCH($A128,[2]SATS!$C$10:$F$10,0)+1,FALSE)</f>
        <v>0</v>
      </c>
    </row>
    <row r="129" spans="1:20">
      <c r="A129" t="s">
        <v>25</v>
      </c>
      <c r="B129" t="s">
        <v>229</v>
      </c>
      <c r="C129" t="s">
        <v>28</v>
      </c>
      <c r="D129" t="s">
        <v>62</v>
      </c>
      <c r="E129" t="str">
        <f t="shared" si="2"/>
        <v>Heat PumpHZ3ATTIC R11 - R49</v>
      </c>
      <c r="F129" s="31" t="str">
        <f>Composite!B128</f>
        <v>Single Family Weatherization - Insulate Attic - R11 to R49 - Heating Zone 3 (Heat Pump)</v>
      </c>
      <c r="G129" t="s">
        <v>75</v>
      </c>
      <c r="H129" s="31">
        <f>VLOOKUP($F129&amp;$G129,Composite!$A$5:$Q$865,H$3,FALSE)*VLOOKUP($C129,[2]!ExistingSat,MATCH($A129,[2]SATS!$C$10:$F$10,0)+1,FALSE)</f>
        <v>489.12494172377234</v>
      </c>
      <c r="I129">
        <f>VLOOKUP($F129&amp;$G129,Composite!$A$5:$Q$865,I$3,FALSE)</f>
        <v>45</v>
      </c>
      <c r="J129" s="31">
        <f>VLOOKUP($F129&amp;$G129,Composite!$A$5:$Q$865,J$3,FALSE)*VLOOKUP($C129,[2]!ExistingSat,MATCH($A129,[2]SATS!$C$10:$F$10,0)+1,FALSE)</f>
        <v>1403.6424108745796</v>
      </c>
      <c r="K129" s="31">
        <f>VLOOKUP($F129&amp;$G129,Composite!$A$5:$Q$865,K$3,FALSE)*VLOOKUP($C129,[2]!ExistingSat,MATCH($A129,[2]SATS!$C$10:$F$10,0)+1,FALSE)</f>
        <v>0</v>
      </c>
      <c r="L129" t="str">
        <f>VLOOKUP($F129&amp;$G129,Composite!$A$5:$Q$865,L$3,FALSE)</f>
        <v>ResSpHtHPZ3</v>
      </c>
      <c r="M129" s="31">
        <f>VLOOKUP($F129&amp;$G129,Composite!$A$5:$Q$865,M$3,FALSE)*VLOOKUP($C129,[2]!ExistingSat,MATCH($A129,[2]SATS!$C$10:$F$10,0)+1,FALSE)</f>
        <v>2.3577919215324585</v>
      </c>
      <c r="N129" s="31">
        <f>VLOOKUP($F129&amp;$G129,Composite!$A$5:$Q$865,N$3,FALSE)*VLOOKUP($C129,[2]!ExistingSat,MATCH($A129,[2]SATS!$C$10:$F$10,0)+1,FALSE)</f>
        <v>0</v>
      </c>
      <c r="O129">
        <f>VLOOKUP($F129&amp;$G129,Composite!$A$5:$Q$865,O$3,FALSE)</f>
        <v>0</v>
      </c>
      <c r="P129" s="31">
        <f>VLOOKUP($F129&amp;$G129,Composite!$A$5:$Q$865,P$3,FALSE)*VLOOKUP($C129,[2]!ExistingSat,MATCH($A129,[2]SATS!$C$10:$F$10,0)+1,FALSE)</f>
        <v>0</v>
      </c>
      <c r="Q129">
        <f>VLOOKUP($F129&amp;$G129,Composite!$A$5:$Q$865,Q$3,FALSE)</f>
        <v>0</v>
      </c>
      <c r="R129" s="31">
        <f>VLOOKUP($F129&amp;$G129,Composite!$A$5:$Q$865,R$3,FALSE)*VLOOKUP($C129,[2]!ExistingSat,MATCH($A129,[2]SATS!$C$10:$F$10,0)+1,FALSE)</f>
        <v>0</v>
      </c>
      <c r="S129">
        <f>VLOOKUP($F129&amp;$G129,Composite!$A$5:$Q$865,S$3,FALSE)</f>
        <v>0</v>
      </c>
      <c r="T129" s="31">
        <f>VLOOKUP($F129&amp;$G129,Composite!$A$5:$Q$865,T$3,FALSE)*VLOOKUP($C129,[2]!ExistingSat,MATCH($A129,[2]SATS!$C$10:$F$10,0)+1,FALSE)</f>
        <v>0</v>
      </c>
    </row>
    <row r="130" spans="1:20">
      <c r="A130" t="s">
        <v>25</v>
      </c>
      <c r="B130" t="s">
        <v>229</v>
      </c>
      <c r="C130" t="s">
        <v>28</v>
      </c>
      <c r="D130" t="s">
        <v>62</v>
      </c>
      <c r="E130" t="str">
        <f t="shared" si="2"/>
        <v>Heat PumpHZ3ATTIC R19 - R38</v>
      </c>
      <c r="F130" s="31" t="str">
        <f>Composite!B129</f>
        <v>Single Family Weatherization - Insulate Attic - R19 to R38 - Heating Zone 3 (Heat Pump)</v>
      </c>
      <c r="G130" t="s">
        <v>77</v>
      </c>
      <c r="H130" s="31">
        <f>VLOOKUP($F130&amp;$G130,Composite!$A$5:$Q$865,H$3,FALSE)*VLOOKUP($C130,[2]!ExistingSat,MATCH($A130,[2]SATS!$C$10:$F$10,0)+1,FALSE)</f>
        <v>207.99954318694898</v>
      </c>
      <c r="I130">
        <f>VLOOKUP($F130&amp;$G130,Composite!$A$5:$Q$865,I$3,FALSE)</f>
        <v>45</v>
      </c>
      <c r="J130" s="31">
        <f>VLOOKUP($F130&amp;$G130,Composite!$A$5:$Q$865,J$3,FALSE)*VLOOKUP($C130,[2]!ExistingSat,MATCH($A130,[2]SATS!$C$10:$F$10,0)+1,FALSE)</f>
        <v>1059.4157107984217</v>
      </c>
      <c r="K130" s="31">
        <f>VLOOKUP($F130&amp;$G130,Composite!$A$5:$Q$865,K$3,FALSE)*VLOOKUP($C130,[2]!ExistingSat,MATCH($A130,[2]SATS!$C$10:$F$10,0)+1,FALSE)</f>
        <v>0</v>
      </c>
      <c r="L130" t="str">
        <f>VLOOKUP($F130&amp;$G130,Composite!$A$5:$Q$865,L$3,FALSE)</f>
        <v>ResSpHtHPZ3</v>
      </c>
      <c r="M130" s="31">
        <f>VLOOKUP($F130&amp;$G130,Composite!$A$5:$Q$865,M$3,FALSE)*VLOOKUP($C130,[2]!ExistingSat,MATCH($A130,[2]SATS!$C$10:$F$10,0)+1,FALSE)</f>
        <v>1.0375770613182376</v>
      </c>
      <c r="N130" s="31">
        <f>VLOOKUP($F130&amp;$G130,Composite!$A$5:$Q$865,N$3,FALSE)*VLOOKUP($C130,[2]!ExistingSat,MATCH($A130,[2]SATS!$C$10:$F$10,0)+1,FALSE)</f>
        <v>0</v>
      </c>
      <c r="O130">
        <f>VLOOKUP($F130&amp;$G130,Composite!$A$5:$Q$865,O$3,FALSE)</f>
        <v>0</v>
      </c>
      <c r="P130" s="31">
        <f>VLOOKUP($F130&amp;$G130,Composite!$A$5:$Q$865,P$3,FALSE)*VLOOKUP($C130,[2]!ExistingSat,MATCH($A130,[2]SATS!$C$10:$F$10,0)+1,FALSE)</f>
        <v>0</v>
      </c>
      <c r="Q130">
        <f>VLOOKUP($F130&amp;$G130,Composite!$A$5:$Q$865,Q$3,FALSE)</f>
        <v>0</v>
      </c>
      <c r="R130" s="31">
        <f>VLOOKUP($F130&amp;$G130,Composite!$A$5:$Q$865,R$3,FALSE)*VLOOKUP($C130,[2]!ExistingSat,MATCH($A130,[2]SATS!$C$10:$F$10,0)+1,FALSE)</f>
        <v>0</v>
      </c>
      <c r="S130">
        <f>VLOOKUP($F130&amp;$G130,Composite!$A$5:$Q$865,S$3,FALSE)</f>
        <v>0</v>
      </c>
      <c r="T130" s="31">
        <f>VLOOKUP($F130&amp;$G130,Composite!$A$5:$Q$865,T$3,FALSE)*VLOOKUP($C130,[2]!ExistingSat,MATCH($A130,[2]SATS!$C$10:$F$10,0)+1,FALSE)</f>
        <v>0</v>
      </c>
    </row>
    <row r="131" spans="1:20">
      <c r="A131" t="s">
        <v>25</v>
      </c>
      <c r="B131" t="s">
        <v>229</v>
      </c>
      <c r="C131" t="s">
        <v>28</v>
      </c>
      <c r="D131" t="s">
        <v>62</v>
      </c>
      <c r="E131" t="str">
        <f t="shared" si="2"/>
        <v>Heat PumpHZ3ATTIC R19 - R49</v>
      </c>
      <c r="F131" s="31" t="str">
        <f>Composite!B130</f>
        <v>Single Family Weatherization - Insulate Attic - R19 to R49 - Heating Zone 3 (Heat Pump)</v>
      </c>
      <c r="G131" t="s">
        <v>79</v>
      </c>
      <c r="H131" s="31">
        <f>VLOOKUP($F131&amp;$G131,Composite!$A$5:$Q$865,H$3,FALSE)*VLOOKUP($C131,[2]!ExistingSat,MATCH($A131,[2]SATS!$C$10:$F$10,0)+1,FALSE)</f>
        <v>250.40915383356577</v>
      </c>
      <c r="I131">
        <f>VLOOKUP($F131&amp;$G131,Composite!$A$5:$Q$865,I$3,FALSE)</f>
        <v>45</v>
      </c>
      <c r="J131" s="31">
        <f>VLOOKUP($F131&amp;$G131,Composite!$A$5:$Q$865,J$3,FALSE)*VLOOKUP($C131,[2]!ExistingSat,MATCH($A131,[2]SATS!$C$10:$F$10,0)+1,FALSE)</f>
        <v>1258.7048529477763</v>
      </c>
      <c r="K131" s="31">
        <f>VLOOKUP($F131&amp;$G131,Composite!$A$5:$Q$865,K$3,FALSE)*VLOOKUP($C131,[2]!ExistingSat,MATCH($A131,[2]SATS!$C$10:$F$10,0)+1,FALSE)</f>
        <v>0</v>
      </c>
      <c r="L131" t="str">
        <f>VLOOKUP($F131&amp;$G131,Composite!$A$5:$Q$865,L$3,FALSE)</f>
        <v>ResSpHtHPZ3</v>
      </c>
      <c r="M131" s="31">
        <f>VLOOKUP($F131&amp;$G131,Composite!$A$5:$Q$865,M$3,FALSE)*VLOOKUP($C131,[2]!ExistingSat,MATCH($A131,[2]SATS!$C$10:$F$10,0)+1,FALSE)</f>
        <v>1.2627728284011246</v>
      </c>
      <c r="N131" s="31">
        <f>VLOOKUP($F131&amp;$G131,Composite!$A$5:$Q$865,N$3,FALSE)*VLOOKUP($C131,[2]!ExistingSat,MATCH($A131,[2]SATS!$C$10:$F$10,0)+1,FALSE)</f>
        <v>0</v>
      </c>
      <c r="O131">
        <f>VLOOKUP($F131&amp;$G131,Composite!$A$5:$Q$865,O$3,FALSE)</f>
        <v>0</v>
      </c>
      <c r="P131" s="31">
        <f>VLOOKUP($F131&amp;$G131,Composite!$A$5:$Q$865,P$3,FALSE)*VLOOKUP($C131,[2]!ExistingSat,MATCH($A131,[2]SATS!$C$10:$F$10,0)+1,FALSE)</f>
        <v>0</v>
      </c>
      <c r="Q131">
        <f>VLOOKUP($F131&amp;$G131,Composite!$A$5:$Q$865,Q$3,FALSE)</f>
        <v>0</v>
      </c>
      <c r="R131" s="31">
        <f>VLOOKUP($F131&amp;$G131,Composite!$A$5:$Q$865,R$3,FALSE)*VLOOKUP($C131,[2]!ExistingSat,MATCH($A131,[2]SATS!$C$10:$F$10,0)+1,FALSE)</f>
        <v>0</v>
      </c>
      <c r="S131">
        <f>VLOOKUP($F131&amp;$G131,Composite!$A$5:$Q$865,S$3,FALSE)</f>
        <v>0</v>
      </c>
      <c r="T131" s="31">
        <f>VLOOKUP($F131&amp;$G131,Composite!$A$5:$Q$865,T$3,FALSE)*VLOOKUP($C131,[2]!ExistingSat,MATCH($A131,[2]SATS!$C$10:$F$10,0)+1,FALSE)</f>
        <v>0</v>
      </c>
    </row>
    <row r="132" spans="1:20">
      <c r="A132" t="s">
        <v>25</v>
      </c>
      <c r="B132" t="s">
        <v>229</v>
      </c>
      <c r="C132" t="s">
        <v>64</v>
      </c>
      <c r="D132" t="s">
        <v>62</v>
      </c>
      <c r="E132" t="str">
        <f t="shared" si="2"/>
        <v>Heat PumpHZ3WALL R0 - R11</v>
      </c>
      <c r="F132" s="31" t="str">
        <f>Composite!B131</f>
        <v>Single Family Weatherization - Insulate Wall - R0 to R11 - Heating Zone 3 (Heat Pump)</v>
      </c>
      <c r="G132" t="s">
        <v>85</v>
      </c>
      <c r="H132" s="31">
        <f>VLOOKUP($F132&amp;$G132,Composite!$A$5:$Q$865,H$3,FALSE)*VLOOKUP($C132,[2]!ExistingSat,MATCH($A132,[2]SATS!$C$10:$F$10,0)+1,FALSE)</f>
        <v>3387.6707528314419</v>
      </c>
      <c r="I132">
        <f>VLOOKUP($F132&amp;$G132,Composite!$A$5:$Q$865,I$3,FALSE)</f>
        <v>45</v>
      </c>
      <c r="J132" s="31">
        <f>VLOOKUP($F132&amp;$G132,Composite!$A$5:$Q$865,J$3,FALSE)*VLOOKUP($C132,[2]!ExistingSat,MATCH($A132,[2]SATS!$C$10:$F$10,0)+1,FALSE)</f>
        <v>2499.2782230652501</v>
      </c>
      <c r="K132" s="31">
        <f>VLOOKUP($F132&amp;$G132,Composite!$A$5:$Q$865,K$3,FALSE)*VLOOKUP($C132,[2]!ExistingSat,MATCH($A132,[2]SATS!$C$10:$F$10,0)+1,FALSE)</f>
        <v>0</v>
      </c>
      <c r="L132" t="str">
        <f>VLOOKUP($F132&amp;$G132,Composite!$A$5:$Q$865,L$3,FALSE)</f>
        <v>ResSpHtHPZ3</v>
      </c>
      <c r="M132" s="31">
        <f>VLOOKUP($F132&amp;$G132,Composite!$A$5:$Q$865,M$3,FALSE)*VLOOKUP($C132,[2]!ExistingSat,MATCH($A132,[2]SATS!$C$10:$F$10,0)+1,FALSE)</f>
        <v>14.841939797389598</v>
      </c>
      <c r="N132" s="31">
        <f>VLOOKUP($F132&amp;$G132,Composite!$A$5:$Q$865,N$3,FALSE)*VLOOKUP($C132,[2]!ExistingSat,MATCH($A132,[2]SATS!$C$10:$F$10,0)+1,FALSE)</f>
        <v>0</v>
      </c>
      <c r="O132">
        <f>VLOOKUP($F132&amp;$G132,Composite!$A$5:$Q$865,O$3,FALSE)</f>
        <v>0</v>
      </c>
      <c r="P132" s="31">
        <f>VLOOKUP($F132&amp;$G132,Composite!$A$5:$Q$865,P$3,FALSE)*VLOOKUP($C132,[2]!ExistingSat,MATCH($A132,[2]SATS!$C$10:$F$10,0)+1,FALSE)</f>
        <v>0</v>
      </c>
      <c r="Q132">
        <f>VLOOKUP($F132&amp;$G132,Composite!$A$5:$Q$865,Q$3,FALSE)</f>
        <v>0</v>
      </c>
      <c r="R132" s="31">
        <f>VLOOKUP($F132&amp;$G132,Composite!$A$5:$Q$865,R$3,FALSE)*VLOOKUP($C132,[2]!ExistingSat,MATCH($A132,[2]SATS!$C$10:$F$10,0)+1,FALSE)</f>
        <v>0</v>
      </c>
      <c r="S132">
        <f>VLOOKUP($F132&amp;$G132,Composite!$A$5:$Q$865,S$3,FALSE)</f>
        <v>0</v>
      </c>
      <c r="T132" s="31">
        <f>VLOOKUP($F132&amp;$G132,Composite!$A$5:$Q$865,T$3,FALSE)*VLOOKUP($C132,[2]!ExistingSat,MATCH($A132,[2]SATS!$C$10:$F$10,0)+1,FALSE)</f>
        <v>0</v>
      </c>
    </row>
    <row r="133" spans="1:20">
      <c r="A133" t="s">
        <v>25</v>
      </c>
      <c r="B133" t="s">
        <v>229</v>
      </c>
      <c r="C133" t="s">
        <v>26</v>
      </c>
      <c r="D133" t="s">
        <v>62</v>
      </c>
      <c r="E133" t="str">
        <f t="shared" si="2"/>
        <v>Heat PumpHZ3FLOOR R0 - R19</v>
      </c>
      <c r="F133" s="31" t="str">
        <f>Composite!B132</f>
        <v>Single Family Weatherization - Insulate Floor - R0 to R19 - Heating Zone 3 (Heat Pump)</v>
      </c>
      <c r="G133" t="s">
        <v>87</v>
      </c>
      <c r="H133" s="31">
        <f>VLOOKUP($F133&amp;$G133,Composite!$A$5:$Q$865,H$3,FALSE)*VLOOKUP($C133,[2]!ExistingSat,MATCH($A133,[2]SATS!$C$10:$F$10,0)+1,FALSE)</f>
        <v>592.12075209158945</v>
      </c>
      <c r="I133">
        <f>VLOOKUP($F133&amp;$G133,Composite!$A$5:$Q$865,I$3,FALSE)</f>
        <v>45</v>
      </c>
      <c r="J133" s="31">
        <f>VLOOKUP($F133&amp;$G133,Composite!$A$5:$Q$865,J$3,FALSE)*VLOOKUP($C133,[2]!ExistingSat,MATCH($A133,[2]SATS!$C$10:$F$10,0)+1,FALSE)</f>
        <v>1759.181492270189</v>
      </c>
      <c r="K133" s="31">
        <f>VLOOKUP($F133&amp;$G133,Composite!$A$5:$Q$865,K$3,FALSE)*VLOOKUP($C133,[2]!ExistingSat,MATCH($A133,[2]SATS!$C$10:$F$10,0)+1,FALSE)</f>
        <v>0</v>
      </c>
      <c r="L133" t="str">
        <f>VLOOKUP($F133&amp;$G133,Composite!$A$5:$Q$865,L$3,FALSE)</f>
        <v>ResSpHtHPZ3</v>
      </c>
      <c r="M133" s="31">
        <f>VLOOKUP($F133&amp;$G133,Composite!$A$5:$Q$865,M$3,FALSE)*VLOOKUP($C133,[2]!ExistingSat,MATCH($A133,[2]SATS!$C$10:$F$10,0)+1,FALSE)</f>
        <v>9.0286419243327712E-2</v>
      </c>
      <c r="N133" s="31">
        <f>VLOOKUP($F133&amp;$G133,Composite!$A$5:$Q$865,N$3,FALSE)*VLOOKUP($C133,[2]!ExistingSat,MATCH($A133,[2]SATS!$C$10:$F$10,0)+1,FALSE)</f>
        <v>0</v>
      </c>
      <c r="O133">
        <f>VLOOKUP($F133&amp;$G133,Composite!$A$5:$Q$865,O$3,FALSE)</f>
        <v>0</v>
      </c>
      <c r="P133" s="31">
        <f>VLOOKUP($F133&amp;$G133,Composite!$A$5:$Q$865,P$3,FALSE)*VLOOKUP($C133,[2]!ExistingSat,MATCH($A133,[2]SATS!$C$10:$F$10,0)+1,FALSE)</f>
        <v>0</v>
      </c>
      <c r="Q133">
        <f>VLOOKUP($F133&amp;$G133,Composite!$A$5:$Q$865,Q$3,FALSE)</f>
        <v>0</v>
      </c>
      <c r="R133" s="31">
        <f>VLOOKUP($F133&amp;$G133,Composite!$A$5:$Q$865,R$3,FALSE)*VLOOKUP($C133,[2]!ExistingSat,MATCH($A133,[2]SATS!$C$10:$F$10,0)+1,FALSE)</f>
        <v>0</v>
      </c>
      <c r="S133">
        <f>VLOOKUP($F133&amp;$G133,Composite!$A$5:$Q$865,S$3,FALSE)</f>
        <v>0</v>
      </c>
      <c r="T133" s="31">
        <f>VLOOKUP($F133&amp;$G133,Composite!$A$5:$Q$865,T$3,FALSE)*VLOOKUP($C133,[2]!ExistingSat,MATCH($A133,[2]SATS!$C$10:$F$10,0)+1,FALSE)</f>
        <v>0</v>
      </c>
    </row>
    <row r="134" spans="1:20">
      <c r="A134" t="s">
        <v>25</v>
      </c>
      <c r="B134" t="s">
        <v>229</v>
      </c>
      <c r="C134" t="s">
        <v>26</v>
      </c>
      <c r="D134" t="s">
        <v>62</v>
      </c>
      <c r="E134" t="str">
        <f t="shared" si="2"/>
        <v>Heat PumpHZ3FLOOR R0 - R25</v>
      </c>
      <c r="F134" s="31" t="str">
        <f>Composite!B133</f>
        <v>Single Family Weatherization - Insulate Floor - R0 to R25 - Heating Zone 3 (Heat Pump)</v>
      </c>
      <c r="G134" t="s">
        <v>89</v>
      </c>
      <c r="H134" s="31">
        <f>VLOOKUP($F134&amp;$G134,Composite!$A$5:$Q$865,H$3,FALSE)*VLOOKUP($C134,[2]!ExistingSat,MATCH($A134,[2]SATS!$C$10:$F$10,0)+1,FALSE)</f>
        <v>635.97747114259914</v>
      </c>
      <c r="I134">
        <f>VLOOKUP($F134&amp;$G134,Composite!$A$5:$Q$865,I$3,FALSE)</f>
        <v>45</v>
      </c>
      <c r="J134" s="31">
        <f>VLOOKUP($F134&amp;$G134,Composite!$A$5:$Q$865,J$3,FALSE)*VLOOKUP($C134,[2]!ExistingSat,MATCH($A134,[2]SATS!$C$10:$F$10,0)+1,FALSE)</f>
        <v>1826.548108429291</v>
      </c>
      <c r="K134" s="31">
        <f>VLOOKUP($F134&amp;$G134,Composite!$A$5:$Q$865,K$3,FALSE)*VLOOKUP($C134,[2]!ExistingSat,MATCH($A134,[2]SATS!$C$10:$F$10,0)+1,FALSE)</f>
        <v>0</v>
      </c>
      <c r="L134" t="str">
        <f>VLOOKUP($F134&amp;$G134,Composite!$A$5:$Q$865,L$3,FALSE)</f>
        <v>ResSpHtHPZ3</v>
      </c>
      <c r="M134" s="31">
        <f>VLOOKUP($F134&amp;$G134,Composite!$A$5:$Q$865,M$3,FALSE)*VLOOKUP($C134,[2]!ExistingSat,MATCH($A134,[2]SATS!$C$10:$F$10,0)+1,FALSE)</f>
        <v>0.27112949204785558</v>
      </c>
      <c r="N134" s="31">
        <f>VLOOKUP($F134&amp;$G134,Composite!$A$5:$Q$865,N$3,FALSE)*VLOOKUP($C134,[2]!ExistingSat,MATCH($A134,[2]SATS!$C$10:$F$10,0)+1,FALSE)</f>
        <v>0</v>
      </c>
      <c r="O134">
        <f>VLOOKUP($F134&amp;$G134,Composite!$A$5:$Q$865,O$3,FALSE)</f>
        <v>0</v>
      </c>
      <c r="P134" s="31">
        <f>VLOOKUP($F134&amp;$G134,Composite!$A$5:$Q$865,P$3,FALSE)*VLOOKUP($C134,[2]!ExistingSat,MATCH($A134,[2]SATS!$C$10:$F$10,0)+1,FALSE)</f>
        <v>0</v>
      </c>
      <c r="Q134">
        <f>VLOOKUP($F134&amp;$G134,Composite!$A$5:$Q$865,Q$3,FALSE)</f>
        <v>0</v>
      </c>
      <c r="R134" s="31">
        <f>VLOOKUP($F134&amp;$G134,Composite!$A$5:$Q$865,R$3,FALSE)*VLOOKUP($C134,[2]!ExistingSat,MATCH($A134,[2]SATS!$C$10:$F$10,0)+1,FALSE)</f>
        <v>0</v>
      </c>
      <c r="S134">
        <f>VLOOKUP($F134&amp;$G134,Composite!$A$5:$Q$865,S$3,FALSE)</f>
        <v>0</v>
      </c>
      <c r="T134" s="31">
        <f>VLOOKUP($F134&amp;$G134,Composite!$A$5:$Q$865,T$3,FALSE)*VLOOKUP($C134,[2]!ExistingSat,MATCH($A134,[2]SATS!$C$10:$F$10,0)+1,FALSE)</f>
        <v>0</v>
      </c>
    </row>
    <row r="135" spans="1:20">
      <c r="A135" t="s">
        <v>25</v>
      </c>
      <c r="B135" t="s">
        <v>229</v>
      </c>
      <c r="C135" t="s">
        <v>26</v>
      </c>
      <c r="D135" t="s">
        <v>62</v>
      </c>
      <c r="E135" t="str">
        <f t="shared" si="2"/>
        <v>Heat PumpHZ3FLOOR R0 - R30</v>
      </c>
      <c r="F135" s="31" t="str">
        <f>Composite!B134</f>
        <v>Single Family Weatherization - Insulate Floor - R0 to R30 - Heating Zone 3 (Heat Pump)</v>
      </c>
      <c r="G135" t="s">
        <v>91</v>
      </c>
      <c r="H135" s="31">
        <f>VLOOKUP($F135&amp;$G135,Composite!$A$5:$Q$865,H$3,FALSE)*VLOOKUP($C135,[2]!ExistingSat,MATCH($A135,[2]SATS!$C$10:$F$10,0)+1,FALSE)</f>
        <v>663.67327597854307</v>
      </c>
      <c r="I135">
        <f>VLOOKUP($F135&amp;$G135,Composite!$A$5:$Q$865,I$3,FALSE)</f>
        <v>45</v>
      </c>
      <c r="J135" s="31">
        <f>VLOOKUP($F135&amp;$G135,Composite!$A$5:$Q$865,J$3,FALSE)*VLOOKUP($C135,[2]!ExistingSat,MATCH($A135,[2]SATS!$C$10:$F$10,0)+1,FALSE)</f>
        <v>1882.6869552285434</v>
      </c>
      <c r="K135" s="31">
        <f>VLOOKUP($F135&amp;$G135,Composite!$A$5:$Q$865,K$3,FALSE)*VLOOKUP($C135,[2]!ExistingSat,MATCH($A135,[2]SATS!$C$10:$F$10,0)+1,FALSE)</f>
        <v>0</v>
      </c>
      <c r="L135" t="str">
        <f>VLOOKUP($F135&amp;$G135,Composite!$A$5:$Q$865,L$3,FALSE)</f>
        <v>ResSpHtHPZ3</v>
      </c>
      <c r="M135" s="31">
        <f>VLOOKUP($F135&amp;$G135,Composite!$A$5:$Q$865,M$3,FALSE)*VLOOKUP($C135,[2]!ExistingSat,MATCH($A135,[2]SATS!$C$10:$F$10,0)+1,FALSE)</f>
        <v>0.39147657109633716</v>
      </c>
      <c r="N135" s="31">
        <f>VLOOKUP($F135&amp;$G135,Composite!$A$5:$Q$865,N$3,FALSE)*VLOOKUP($C135,[2]!ExistingSat,MATCH($A135,[2]SATS!$C$10:$F$10,0)+1,FALSE)</f>
        <v>0</v>
      </c>
      <c r="O135">
        <f>VLOOKUP($F135&amp;$G135,Composite!$A$5:$Q$865,O$3,FALSE)</f>
        <v>0</v>
      </c>
      <c r="P135" s="31">
        <f>VLOOKUP($F135&amp;$G135,Composite!$A$5:$Q$865,P$3,FALSE)*VLOOKUP($C135,[2]!ExistingSat,MATCH($A135,[2]SATS!$C$10:$F$10,0)+1,FALSE)</f>
        <v>0</v>
      </c>
      <c r="Q135">
        <f>VLOOKUP($F135&amp;$G135,Composite!$A$5:$Q$865,Q$3,FALSE)</f>
        <v>0</v>
      </c>
      <c r="R135" s="31">
        <f>VLOOKUP($F135&amp;$G135,Composite!$A$5:$Q$865,R$3,FALSE)*VLOOKUP($C135,[2]!ExistingSat,MATCH($A135,[2]SATS!$C$10:$F$10,0)+1,FALSE)</f>
        <v>0</v>
      </c>
      <c r="S135">
        <f>VLOOKUP($F135&amp;$G135,Composite!$A$5:$Q$865,S$3,FALSE)</f>
        <v>0</v>
      </c>
      <c r="T135" s="31">
        <f>VLOOKUP($F135&amp;$G135,Composite!$A$5:$Q$865,T$3,FALSE)*VLOOKUP($C135,[2]!ExistingSat,MATCH($A135,[2]SATS!$C$10:$F$10,0)+1,FALSE)</f>
        <v>0</v>
      </c>
    </row>
    <row r="136" spans="1:20">
      <c r="A136" t="s">
        <v>25</v>
      </c>
      <c r="B136" t="s">
        <v>229</v>
      </c>
      <c r="C136" t="s">
        <v>27</v>
      </c>
      <c r="D136" t="s">
        <v>62</v>
      </c>
      <c r="E136" t="str">
        <f t="shared" si="2"/>
        <v>Heat PumpHZ3WINDOW CL30 Prime Window Replacement of Single Pane Base</v>
      </c>
      <c r="F136" s="31" t="str">
        <f>Composite!B135</f>
        <v>Windows - Single Pane to Class 30 - Heating Zone 3 (Heat Pump)</v>
      </c>
      <c r="G136" t="s">
        <v>93</v>
      </c>
      <c r="H136" s="31">
        <f>VLOOKUP($F136&amp;$G136,Composite!$A$5:$Q$865,H$3,FALSE)*VLOOKUP($C136,[2]!ExistingSat,MATCH($A136,[2]SATS!$C$10:$F$10,0)+1,FALSE)</f>
        <v>1836.1610652191998</v>
      </c>
      <c r="I136">
        <f>VLOOKUP($F136&amp;$G136,Composite!$A$5:$Q$865,I$3,FALSE)</f>
        <v>45</v>
      </c>
      <c r="J136" s="31">
        <f>VLOOKUP($F136&amp;$G136,Composite!$A$5:$Q$865,J$3,FALSE)*VLOOKUP($C136,[2]!ExistingSat,MATCH($A136,[2]SATS!$C$10:$F$10,0)+1,FALSE)</f>
        <v>3312.4380313472334</v>
      </c>
      <c r="K136" s="31">
        <f>VLOOKUP($F136&amp;$G136,Composite!$A$5:$Q$865,K$3,FALSE)*VLOOKUP($C136,[2]!ExistingSat,MATCH($A136,[2]SATS!$C$10:$F$10,0)+1,FALSE)</f>
        <v>0</v>
      </c>
      <c r="L136" t="str">
        <f>VLOOKUP($F136&amp;$G136,Composite!$A$5:$Q$865,L$3,FALSE)</f>
        <v>ResSpHtHPZ3</v>
      </c>
      <c r="M136" s="31">
        <f>VLOOKUP($F136&amp;$G136,Composite!$A$5:$Q$865,M$3,FALSE)*VLOOKUP($C136,[2]!ExistingSat,MATCH($A136,[2]SATS!$C$10:$F$10,0)+1,FALSE)</f>
        <v>11.778529287721225</v>
      </c>
      <c r="N136" s="31">
        <f>VLOOKUP($F136&amp;$G136,Composite!$A$5:$Q$865,N$3,FALSE)*VLOOKUP($C136,[2]!ExistingSat,MATCH($A136,[2]SATS!$C$10:$F$10,0)+1,FALSE)</f>
        <v>0</v>
      </c>
      <c r="O136">
        <f>VLOOKUP($F136&amp;$G136,Composite!$A$5:$Q$865,O$3,FALSE)</f>
        <v>0</v>
      </c>
      <c r="P136" s="31">
        <f>VLOOKUP($F136&amp;$G136,Composite!$A$5:$Q$865,P$3,FALSE)*VLOOKUP($C136,[2]!ExistingSat,MATCH($A136,[2]SATS!$C$10:$F$10,0)+1,FALSE)</f>
        <v>0</v>
      </c>
      <c r="Q136">
        <f>VLOOKUP($F136&amp;$G136,Composite!$A$5:$Q$865,Q$3,FALSE)</f>
        <v>0</v>
      </c>
      <c r="R136" s="31">
        <f>VLOOKUP($F136&amp;$G136,Composite!$A$5:$Q$865,R$3,FALSE)*VLOOKUP($C136,[2]!ExistingSat,MATCH($A136,[2]SATS!$C$10:$F$10,0)+1,FALSE)</f>
        <v>0</v>
      </c>
      <c r="S136">
        <f>VLOOKUP($F136&amp;$G136,Composite!$A$5:$Q$865,S$3,FALSE)</f>
        <v>0</v>
      </c>
      <c r="T136" s="31">
        <f>VLOOKUP($F136&amp;$G136,Composite!$A$5:$Q$865,T$3,FALSE)*VLOOKUP($C136,[2]!ExistingSat,MATCH($A136,[2]SATS!$C$10:$F$10,0)+1,FALSE)</f>
        <v>0</v>
      </c>
    </row>
    <row r="137" spans="1:20">
      <c r="A137" t="s">
        <v>25</v>
      </c>
      <c r="B137" t="s">
        <v>229</v>
      </c>
      <c r="C137" t="s">
        <v>27</v>
      </c>
      <c r="D137" t="s">
        <v>62</v>
      </c>
      <c r="E137" t="str">
        <f t="shared" si="2"/>
        <v>Heat PumpHZ3WINDOW CL30 Prime Window Replacement of Double Pane Base</v>
      </c>
      <c r="F137" s="31" t="str">
        <f>Composite!B136</f>
        <v>Windows - Double Pane to Class 30 - Heating Zone 3 (Heat Pump)</v>
      </c>
      <c r="G137" t="s">
        <v>95</v>
      </c>
      <c r="H137" s="31">
        <f>VLOOKUP($F137&amp;$G137,Composite!$A$5:$Q$865,H$3,FALSE)*VLOOKUP($C137,[2]!ExistingSat,MATCH($A137,[2]SATS!$C$10:$F$10,0)+1,FALSE)</f>
        <v>939.49285552135393</v>
      </c>
      <c r="I137">
        <f>VLOOKUP($F137&amp;$G137,Composite!$A$5:$Q$865,I$3,FALSE)</f>
        <v>45</v>
      </c>
      <c r="J137" s="31">
        <f>VLOOKUP($F137&amp;$G137,Composite!$A$5:$Q$865,J$3,FALSE)*VLOOKUP($C137,[2]!ExistingSat,MATCH($A137,[2]SATS!$C$10:$F$10,0)+1,FALSE)</f>
        <v>3312.4380313472334</v>
      </c>
      <c r="K137" s="31">
        <f>VLOOKUP($F137&amp;$G137,Composite!$A$5:$Q$865,K$3,FALSE)*VLOOKUP($C137,[2]!ExistingSat,MATCH($A137,[2]SATS!$C$10:$F$10,0)+1,FALSE)</f>
        <v>0</v>
      </c>
      <c r="L137" t="str">
        <f>VLOOKUP($F137&amp;$G137,Composite!$A$5:$Q$865,L$3,FALSE)</f>
        <v>ResSpHtHPZ3</v>
      </c>
      <c r="M137" s="31">
        <f>VLOOKUP($F137&amp;$G137,Composite!$A$5:$Q$865,M$3,FALSE)*VLOOKUP($C137,[2]!ExistingSat,MATCH($A137,[2]SATS!$C$10:$F$10,0)+1,FALSE)</f>
        <v>6.2252401751434565</v>
      </c>
      <c r="N137" s="31">
        <f>VLOOKUP($F137&amp;$G137,Composite!$A$5:$Q$865,N$3,FALSE)*VLOOKUP($C137,[2]!ExistingSat,MATCH($A137,[2]SATS!$C$10:$F$10,0)+1,FALSE)</f>
        <v>0</v>
      </c>
      <c r="O137">
        <f>VLOOKUP($F137&amp;$G137,Composite!$A$5:$Q$865,O$3,FALSE)</f>
        <v>0</v>
      </c>
      <c r="P137" s="31">
        <f>VLOOKUP($F137&amp;$G137,Composite!$A$5:$Q$865,P$3,FALSE)*VLOOKUP($C137,[2]!ExistingSat,MATCH($A137,[2]SATS!$C$10:$F$10,0)+1,FALSE)</f>
        <v>0</v>
      </c>
      <c r="Q137">
        <f>VLOOKUP($F137&amp;$G137,Composite!$A$5:$Q$865,Q$3,FALSE)</f>
        <v>0</v>
      </c>
      <c r="R137" s="31">
        <f>VLOOKUP($F137&amp;$G137,Composite!$A$5:$Q$865,R$3,FALSE)*VLOOKUP($C137,[2]!ExistingSat,MATCH($A137,[2]SATS!$C$10:$F$10,0)+1,FALSE)</f>
        <v>0</v>
      </c>
      <c r="S137">
        <f>VLOOKUP($F137&amp;$G137,Composite!$A$5:$Q$865,S$3,FALSE)</f>
        <v>0</v>
      </c>
      <c r="T137" s="31">
        <f>VLOOKUP($F137&amp;$G137,Composite!$A$5:$Q$865,T$3,FALSE)*VLOOKUP($C137,[2]!ExistingSat,MATCH($A137,[2]SATS!$C$10:$F$10,0)+1,FALSE)</f>
        <v>0</v>
      </c>
    </row>
    <row r="138" spans="1:20">
      <c r="A138" t="s">
        <v>25</v>
      </c>
      <c r="B138" t="s">
        <v>229</v>
      </c>
      <c r="C138" t="s">
        <v>27</v>
      </c>
      <c r="D138" t="s">
        <v>62</v>
      </c>
      <c r="E138" t="str">
        <f t="shared" si="2"/>
        <v>Heat PumpHZ3WINDOW CL22 Prime Window Replacement of Single Pane Base</v>
      </c>
      <c r="F138" s="31" t="str">
        <f>Composite!B137</f>
        <v>Windows - Single Pane to Class 22 - Heating Zone 3 (Heat Pump)</v>
      </c>
      <c r="G138" t="s">
        <v>99</v>
      </c>
      <c r="H138" s="31">
        <f>VLOOKUP($F138&amp;$G138,Composite!$A$5:$Q$865,H$3,FALSE)*VLOOKUP($C138,[2]!ExistingSat,MATCH($A138,[2]SATS!$C$10:$F$10,0)+1,FALSE)</f>
        <v>2011.4500393458336</v>
      </c>
      <c r="I138">
        <f>VLOOKUP($F138&amp;$G138,Composite!$A$5:$Q$865,I$3,FALSE)</f>
        <v>45</v>
      </c>
      <c r="J138" s="31">
        <f>VLOOKUP($F138&amp;$G138,Composite!$A$5:$Q$865,J$3,FALSE)*VLOOKUP($C138,[2]!ExistingSat,MATCH($A138,[2]SATS!$C$10:$F$10,0)+1,FALSE)</f>
        <v>3901.0698543939693</v>
      </c>
      <c r="K138" s="31">
        <f>VLOOKUP($F138&amp;$G138,Composite!$A$5:$Q$865,K$3,FALSE)*VLOOKUP($C138,[2]!ExistingSat,MATCH($A138,[2]SATS!$C$10:$F$10,0)+1,FALSE)</f>
        <v>0</v>
      </c>
      <c r="L138" t="str">
        <f>VLOOKUP($F138&amp;$G138,Composite!$A$5:$Q$865,L$3,FALSE)</f>
        <v>ResSpHtHPZ3</v>
      </c>
      <c r="M138" s="31">
        <f>VLOOKUP($F138&amp;$G138,Composite!$A$5:$Q$865,M$3,FALSE)*VLOOKUP($C138,[2]!ExistingSat,MATCH($A138,[2]SATS!$C$10:$F$10,0)+1,FALSE)</f>
        <v>13.207636388294992</v>
      </c>
      <c r="N138" s="31">
        <f>VLOOKUP($F138&amp;$G138,Composite!$A$5:$Q$865,N$3,FALSE)*VLOOKUP($C138,[2]!ExistingSat,MATCH($A138,[2]SATS!$C$10:$F$10,0)+1,FALSE)</f>
        <v>0</v>
      </c>
      <c r="O138">
        <f>VLOOKUP($F138&amp;$G138,Composite!$A$5:$Q$865,O$3,FALSE)</f>
        <v>0</v>
      </c>
      <c r="P138" s="31">
        <f>VLOOKUP($F138&amp;$G138,Composite!$A$5:$Q$865,P$3,FALSE)*VLOOKUP($C138,[2]!ExistingSat,MATCH($A138,[2]SATS!$C$10:$F$10,0)+1,FALSE)</f>
        <v>0</v>
      </c>
      <c r="Q138">
        <f>VLOOKUP($F138&amp;$G138,Composite!$A$5:$Q$865,Q$3,FALSE)</f>
        <v>0</v>
      </c>
      <c r="R138" s="31">
        <f>VLOOKUP($F138&amp;$G138,Composite!$A$5:$Q$865,R$3,FALSE)*VLOOKUP($C138,[2]!ExistingSat,MATCH($A138,[2]SATS!$C$10:$F$10,0)+1,FALSE)</f>
        <v>0</v>
      </c>
      <c r="S138">
        <f>VLOOKUP($F138&amp;$G138,Composite!$A$5:$Q$865,S$3,FALSE)</f>
        <v>0</v>
      </c>
      <c r="T138" s="31">
        <f>VLOOKUP($F138&amp;$G138,Composite!$A$5:$Q$865,T$3,FALSE)*VLOOKUP($C138,[2]!ExistingSat,MATCH($A138,[2]SATS!$C$10:$F$10,0)+1,FALSE)</f>
        <v>0</v>
      </c>
    </row>
    <row r="139" spans="1:20">
      <c r="A139" t="s">
        <v>25</v>
      </c>
      <c r="B139" t="s">
        <v>229</v>
      </c>
      <c r="C139" t="s">
        <v>27</v>
      </c>
      <c r="D139" t="s">
        <v>62</v>
      </c>
      <c r="E139" t="str">
        <f t="shared" si="2"/>
        <v>Heat PumpHZ3WINDOW CL22 Prime Window Replacement of Double Pane Base</v>
      </c>
      <c r="F139" s="31" t="str">
        <f>Composite!B138</f>
        <v>Windows - Double Pane to Class 22 - Heating Zone 3 (Heat Pump)</v>
      </c>
      <c r="G139" t="s">
        <v>101</v>
      </c>
      <c r="H139" s="31">
        <f>VLOOKUP($F139&amp;$G139,Composite!$A$5:$Q$865,H$3,FALSE)*VLOOKUP($C139,[2]!ExistingSat,MATCH($A139,[2]SATS!$C$10:$F$10,0)+1,FALSE)</f>
        <v>1091.6204438961804</v>
      </c>
      <c r="I139">
        <f>VLOOKUP($F139&amp;$G139,Composite!$A$5:$Q$865,I$3,FALSE)</f>
        <v>45</v>
      </c>
      <c r="J139" s="31">
        <f>VLOOKUP($F139&amp;$G139,Composite!$A$5:$Q$865,J$3,FALSE)*VLOOKUP($C139,[2]!ExistingSat,MATCH($A139,[2]SATS!$C$10:$F$10,0)+1,FALSE)</f>
        <v>3901.0698543939693</v>
      </c>
      <c r="K139" s="31">
        <f>VLOOKUP($F139&amp;$G139,Composite!$A$5:$Q$865,K$3,FALSE)*VLOOKUP($C139,[2]!ExistingSat,MATCH($A139,[2]SATS!$C$10:$F$10,0)+1,FALSE)</f>
        <v>0</v>
      </c>
      <c r="L139" t="str">
        <f>VLOOKUP($F139&amp;$G139,Composite!$A$5:$Q$865,L$3,FALSE)</f>
        <v>ResSpHtHPZ3</v>
      </c>
      <c r="M139" s="31">
        <f>VLOOKUP($F139&amp;$G139,Composite!$A$5:$Q$865,M$3,FALSE)*VLOOKUP($C139,[2]!ExistingSat,MATCH($A139,[2]SATS!$C$10:$F$10,0)+1,FALSE)</f>
        <v>7.4679776471461965</v>
      </c>
      <c r="N139" s="31">
        <f>VLOOKUP($F139&amp;$G139,Composite!$A$5:$Q$865,N$3,FALSE)*VLOOKUP($C139,[2]!ExistingSat,MATCH($A139,[2]SATS!$C$10:$F$10,0)+1,FALSE)</f>
        <v>0</v>
      </c>
      <c r="O139">
        <f>VLOOKUP($F139&amp;$G139,Composite!$A$5:$Q$865,O$3,FALSE)</f>
        <v>0</v>
      </c>
      <c r="P139" s="31">
        <f>VLOOKUP($F139&amp;$G139,Composite!$A$5:$Q$865,P$3,FALSE)*VLOOKUP($C139,[2]!ExistingSat,MATCH($A139,[2]SATS!$C$10:$F$10,0)+1,FALSE)</f>
        <v>0</v>
      </c>
      <c r="Q139">
        <f>VLOOKUP($F139&amp;$G139,Composite!$A$5:$Q$865,Q$3,FALSE)</f>
        <v>0</v>
      </c>
      <c r="R139" s="31">
        <f>VLOOKUP($F139&amp;$G139,Composite!$A$5:$Q$865,R$3,FALSE)*VLOOKUP($C139,[2]!ExistingSat,MATCH($A139,[2]SATS!$C$10:$F$10,0)+1,FALSE)</f>
        <v>0</v>
      </c>
      <c r="S139">
        <f>VLOOKUP($F139&amp;$G139,Composite!$A$5:$Q$865,S$3,FALSE)</f>
        <v>0</v>
      </c>
      <c r="T139" s="31">
        <f>VLOOKUP($F139&amp;$G139,Composite!$A$5:$Q$865,T$3,FALSE)*VLOOKUP($C139,[2]!ExistingSat,MATCH($A139,[2]SATS!$C$10:$F$10,0)+1,FALSE)</f>
        <v>0</v>
      </c>
    </row>
    <row r="140" spans="1:20">
      <c r="A140" t="s">
        <v>25</v>
      </c>
      <c r="B140" t="s">
        <v>229</v>
      </c>
      <c r="C140" t="s">
        <v>66</v>
      </c>
      <c r="D140" t="s">
        <v>62</v>
      </c>
      <c r="E140" t="str">
        <f t="shared" si="2"/>
        <v>Heat PumpHZ3CFM50 Infiltration Reduction</v>
      </c>
      <c r="F140" s="31" t="str">
        <f>Composite!B139</f>
        <v>Infiltration Reduction - CFM50 reduction - Heating Zone 3 (Heat Pump)</v>
      </c>
      <c r="G140" s="305" t="s">
        <v>1362</v>
      </c>
      <c r="H140" s="31">
        <f>VLOOKUP($F140&amp;$G140,Composite!$A$5:$Q$865,H$3,FALSE)*VLOOKUP($C140,[2]!ExistingSat,MATCH($A140,[2]SATS!$C$10:$F$10,0)+1,FALSE)</f>
        <v>746.59314795369164</v>
      </c>
      <c r="I140">
        <f>VLOOKUP($F140&amp;$G140,Composite!$A$5:$Q$865,I$3,FALSE)</f>
        <v>15</v>
      </c>
      <c r="J140" s="31">
        <f>VLOOKUP($F140&amp;$G140,Composite!$A$5:$Q$865,J$3,FALSE)*VLOOKUP($C140,[2]!ExistingSat,MATCH($A140,[2]SATS!$C$10:$F$10,0)+1,FALSE)</f>
        <v>1325.3999218794588</v>
      </c>
      <c r="K140" s="31">
        <f>VLOOKUP($F140&amp;$G140,Composite!$A$5:$Q$865,K$3,FALSE)*VLOOKUP($C140,[2]!ExistingSat,MATCH($A140,[2]SATS!$C$10:$F$10,0)+1,FALSE)</f>
        <v>0</v>
      </c>
      <c r="L140" t="str">
        <f>VLOOKUP($F140&amp;$G140,Composite!$A$5:$Q$865,L$3,FALSE)</f>
        <v>ResSpHtHPZ3</v>
      </c>
      <c r="M140" s="31">
        <f>VLOOKUP($F140&amp;$G140,Composite!$A$5:$Q$865,M$3,FALSE)*VLOOKUP($C140,[2]!ExistingSat,MATCH($A140,[2]SATS!$C$10:$F$10,0)+1,FALSE)</f>
        <v>4.6316004626708187</v>
      </c>
      <c r="N140" s="31">
        <f>VLOOKUP($F140&amp;$G140,Composite!$A$5:$Q$865,N$3,FALSE)*VLOOKUP($C140,[2]!ExistingSat,MATCH($A140,[2]SATS!$C$10:$F$10,0)+1,FALSE)</f>
        <v>0</v>
      </c>
      <c r="O140">
        <f>VLOOKUP($F140&amp;$G140,Composite!$A$5:$Q$865,O$3,FALSE)</f>
        <v>0</v>
      </c>
      <c r="P140" s="31">
        <f>VLOOKUP($F140&amp;$G140,Composite!$A$5:$Q$865,P$3,FALSE)*VLOOKUP($C140,[2]!ExistingSat,MATCH($A140,[2]SATS!$C$10:$F$10,0)+1,FALSE)</f>
        <v>0</v>
      </c>
      <c r="Q140">
        <f>VLOOKUP($F140&amp;$G140,Composite!$A$5:$Q$865,Q$3,FALSE)</f>
        <v>0</v>
      </c>
      <c r="R140" s="31">
        <f>VLOOKUP($F140&amp;$G140,Composite!$A$5:$Q$865,R$3,FALSE)*VLOOKUP($C140,[2]!ExistingSat,MATCH($A140,[2]SATS!$C$10:$F$10,0)+1,FALSE)</f>
        <v>0</v>
      </c>
      <c r="S140">
        <f>VLOOKUP($F140&amp;$G140,Composite!$A$5:$Q$865,S$3,FALSE)</f>
        <v>0</v>
      </c>
      <c r="T140" s="31">
        <f>VLOOKUP($F140&amp;$G140,Composite!$A$5:$Q$865,T$3,FALSE)*VLOOKUP($C140,[2]!ExistingSat,MATCH($A140,[2]SATS!$C$10:$F$10,0)+1,FALSE)</f>
        <v>0</v>
      </c>
    </row>
    <row r="141" spans="1:20">
      <c r="A141" t="s">
        <v>25</v>
      </c>
      <c r="B141" t="s">
        <v>227</v>
      </c>
      <c r="C141" t="s">
        <v>28</v>
      </c>
      <c r="D141" t="s">
        <v>60</v>
      </c>
      <c r="E141" t="str">
        <f t="shared" ref="E141:E187" si="3">B141&amp;D141&amp;G141</f>
        <v>Electric FAFHZ1ATTIC R0 - R38 (cooling savings)</v>
      </c>
      <c r="F141" s="31" t="str">
        <f>Composite!B140</f>
        <v>Single Family Weatherization - Insulate Attic - R0 to R38 - Heating Zone 1 (Electric FAF)</v>
      </c>
      <c r="G141" t="s">
        <v>208</v>
      </c>
      <c r="H141" s="31">
        <f>VLOOKUP($F141&amp;$G141,Composite!$A$5:$Q$865,H$3,FALSE)*VLOOKUP($C141,[2]!ExistingSat,MATCH($A141,[2]SATS!$C$10:$F$10,0)+1,FALSE)</f>
        <v>495.00306559732644</v>
      </c>
      <c r="I141">
        <f>VLOOKUP($F141&amp;$G141,Composite!$A$5:$Q$865,I$3,FALSE)</f>
        <v>45</v>
      </c>
      <c r="J141" s="31">
        <f>VLOOKUP($F141&amp;$G141,Composite!$A$5:$Q$865,J$3,FALSE)*VLOOKUP($C141,[2]!ExistingSat,MATCH($A141,[2]SATS!$C$10:$F$10,0)+1,FALSE)</f>
        <v>0</v>
      </c>
      <c r="K141" s="31">
        <f>VLOOKUP($F141&amp;$G141,Composite!$A$5:$Q$865,K$3,FALSE)*VLOOKUP($C141,[2]!ExistingSat,MATCH($A141,[2]SATS!$C$10:$F$10,0)+1,FALSE)</f>
        <v>0</v>
      </c>
      <c r="L141" t="str">
        <f>VLOOKUP($F141&amp;$G141,Composite!$A$5:$Q$865,L$3,FALSE)</f>
        <v>ResCACPNW</v>
      </c>
      <c r="M141" s="31">
        <f>VLOOKUP($F141&amp;$G141,Composite!$A$5:$Q$865,M$3,FALSE)*VLOOKUP($C141,[2]!ExistingSat,MATCH($A141,[2]SATS!$C$10:$F$10,0)+1,FALSE)</f>
        <v>0</v>
      </c>
      <c r="N141" s="31">
        <f>VLOOKUP($F141&amp;$G141,Composite!$A$5:$Q$865,N$3,FALSE)*VLOOKUP($C141,[2]!ExistingSat,MATCH($A141,[2]SATS!$C$10:$F$10,0)+1,FALSE)</f>
        <v>0</v>
      </c>
      <c r="O141">
        <f>VLOOKUP($F141&amp;$G141,Composite!$A$5:$Q$865,O$3,FALSE)</f>
        <v>0</v>
      </c>
      <c r="P141" s="31">
        <f>VLOOKUP($F141&amp;$G141,Composite!$A$5:$Q$865,P$3,FALSE)*VLOOKUP($C141,[2]!ExistingSat,MATCH($A141,[2]SATS!$C$10:$F$10,0)+1,FALSE)</f>
        <v>0</v>
      </c>
      <c r="Q141">
        <f>VLOOKUP($F141&amp;$G141,Composite!$A$5:$Q$865,Q$3,FALSE)</f>
        <v>0</v>
      </c>
      <c r="R141" s="31">
        <f>VLOOKUP($F141&amp;$G141,Composite!$A$5:$Q$865,R$3,FALSE)*VLOOKUP($C141,[2]!ExistingSat,MATCH($A141,[2]SATS!$C$10:$F$10,0)+1,FALSE)</f>
        <v>0</v>
      </c>
      <c r="S141">
        <f>VLOOKUP($F141&amp;$G141,Composite!$A$5:$Q$865,S$3,FALSE)</f>
        <v>0</v>
      </c>
      <c r="T141" s="31">
        <f>VLOOKUP($F141&amp;$G141,Composite!$A$5:$Q$865,T$3,FALSE)*VLOOKUP($C141,[2]!ExistingSat,MATCH($A141,[2]SATS!$C$10:$F$10,0)+1,FALSE)</f>
        <v>0</v>
      </c>
    </row>
    <row r="142" spans="1:20">
      <c r="A142" t="s">
        <v>25</v>
      </c>
      <c r="B142" t="s">
        <v>227</v>
      </c>
      <c r="C142" t="s">
        <v>28</v>
      </c>
      <c r="D142" t="s">
        <v>60</v>
      </c>
      <c r="E142" t="str">
        <f t="shared" si="3"/>
        <v>Electric FAFHZ1ATTIC R0 - R49 (cooling savings)</v>
      </c>
      <c r="F142" s="31" t="str">
        <f>Composite!B141</f>
        <v>Single Family Weatherization - Insulate Attic - R0 to R49 - Heating Zone 1 (Electric FAF)</v>
      </c>
      <c r="G142" t="s">
        <v>210</v>
      </c>
      <c r="H142" s="31">
        <f>VLOOKUP($F142&amp;$G142,Composite!$A$5:$Q$865,H$3,FALSE)*VLOOKUP($C142,[2]!ExistingSat,MATCH($A142,[2]SATS!$C$10:$F$10,0)+1,FALSE)</f>
        <v>500.38580085918051</v>
      </c>
      <c r="I142">
        <f>VLOOKUP($F142&amp;$G142,Composite!$A$5:$Q$865,I$3,FALSE)</f>
        <v>45</v>
      </c>
      <c r="J142" s="31">
        <f>VLOOKUP($F142&amp;$G142,Composite!$A$5:$Q$865,J$3,FALSE)*VLOOKUP($C142,[2]!ExistingSat,MATCH($A142,[2]SATS!$C$10:$F$10,0)+1,FALSE)</f>
        <v>0</v>
      </c>
      <c r="K142" s="31">
        <f>VLOOKUP($F142&amp;$G142,Composite!$A$5:$Q$865,K$3,FALSE)*VLOOKUP($C142,[2]!ExistingSat,MATCH($A142,[2]SATS!$C$10:$F$10,0)+1,FALSE)</f>
        <v>0</v>
      </c>
      <c r="L142" t="str">
        <f>VLOOKUP($F142&amp;$G142,Composite!$A$5:$Q$865,L$3,FALSE)</f>
        <v>ResCACPNW</v>
      </c>
      <c r="M142" s="31">
        <f>VLOOKUP($F142&amp;$G142,Composite!$A$5:$Q$865,M$3,FALSE)*VLOOKUP($C142,[2]!ExistingSat,MATCH($A142,[2]SATS!$C$10:$F$10,0)+1,FALSE)</f>
        <v>0</v>
      </c>
      <c r="N142" s="31">
        <f>VLOOKUP($F142&amp;$G142,Composite!$A$5:$Q$865,N$3,FALSE)*VLOOKUP($C142,[2]!ExistingSat,MATCH($A142,[2]SATS!$C$10:$F$10,0)+1,FALSE)</f>
        <v>0</v>
      </c>
      <c r="O142">
        <f>VLOOKUP($F142&amp;$G142,Composite!$A$5:$Q$865,O$3,FALSE)</f>
        <v>0</v>
      </c>
      <c r="P142" s="31">
        <f>VLOOKUP($F142&amp;$G142,Composite!$A$5:$Q$865,P$3,FALSE)*VLOOKUP($C142,[2]!ExistingSat,MATCH($A142,[2]SATS!$C$10:$F$10,0)+1,FALSE)</f>
        <v>0</v>
      </c>
      <c r="Q142">
        <f>VLOOKUP($F142&amp;$G142,Composite!$A$5:$Q$865,Q$3,FALSE)</f>
        <v>0</v>
      </c>
      <c r="R142" s="31">
        <f>VLOOKUP($F142&amp;$G142,Composite!$A$5:$Q$865,R$3,FALSE)*VLOOKUP($C142,[2]!ExistingSat,MATCH($A142,[2]SATS!$C$10:$F$10,0)+1,FALSE)</f>
        <v>0</v>
      </c>
      <c r="S142">
        <f>VLOOKUP($F142&amp;$G142,Composite!$A$5:$Q$865,S$3,FALSE)</f>
        <v>0</v>
      </c>
      <c r="T142" s="31">
        <f>VLOOKUP($F142&amp;$G142,Composite!$A$5:$Q$865,T$3,FALSE)*VLOOKUP($C142,[2]!ExistingSat,MATCH($A142,[2]SATS!$C$10:$F$10,0)+1,FALSE)</f>
        <v>0</v>
      </c>
    </row>
    <row r="143" spans="1:20">
      <c r="A143" t="s">
        <v>25</v>
      </c>
      <c r="B143" t="s">
        <v>227</v>
      </c>
      <c r="C143" t="s">
        <v>28</v>
      </c>
      <c r="D143" t="s">
        <v>60</v>
      </c>
      <c r="E143" t="str">
        <f t="shared" si="3"/>
        <v>Electric FAFHZ1ATTIC R11 - R38 (cooling savings)</v>
      </c>
      <c r="F143" s="31" t="str">
        <f>Composite!B142</f>
        <v>Single Family Weatherization - Insulate Attic - R11 to R38 - Heating Zone 1 (Electric FAF)</v>
      </c>
      <c r="G143" t="s">
        <v>211</v>
      </c>
      <c r="H143" s="31">
        <f>VLOOKUP($F143&amp;$G143,Composite!$A$5:$Q$865,H$3,FALSE)*VLOOKUP($C143,[2]!ExistingSat,MATCH($A143,[2]SATS!$C$10:$F$10,0)+1,FALSE)</f>
        <v>66.572538574250942</v>
      </c>
      <c r="I143">
        <f>VLOOKUP($F143&amp;$G143,Composite!$A$5:$Q$865,I$3,FALSE)</f>
        <v>45</v>
      </c>
      <c r="J143" s="31">
        <f>VLOOKUP($F143&amp;$G143,Composite!$A$5:$Q$865,J$3,FALSE)*VLOOKUP($C143,[2]!ExistingSat,MATCH($A143,[2]SATS!$C$10:$F$10,0)+1,FALSE)</f>
        <v>0</v>
      </c>
      <c r="K143" s="31">
        <f>VLOOKUP($F143&amp;$G143,Composite!$A$5:$Q$865,K$3,FALSE)*VLOOKUP($C143,[2]!ExistingSat,MATCH($A143,[2]SATS!$C$10:$F$10,0)+1,FALSE)</f>
        <v>0</v>
      </c>
      <c r="L143" t="str">
        <f>VLOOKUP($F143&amp;$G143,Composite!$A$5:$Q$865,L$3,FALSE)</f>
        <v>ResCACPNW</v>
      </c>
      <c r="M143" s="31">
        <f>VLOOKUP($F143&amp;$G143,Composite!$A$5:$Q$865,M$3,FALSE)*VLOOKUP($C143,[2]!ExistingSat,MATCH($A143,[2]SATS!$C$10:$F$10,0)+1,FALSE)</f>
        <v>0</v>
      </c>
      <c r="N143" s="31">
        <f>VLOOKUP($F143&amp;$G143,Composite!$A$5:$Q$865,N$3,FALSE)*VLOOKUP($C143,[2]!ExistingSat,MATCH($A143,[2]SATS!$C$10:$F$10,0)+1,FALSE)</f>
        <v>0</v>
      </c>
      <c r="O143">
        <f>VLOOKUP($F143&amp;$G143,Composite!$A$5:$Q$865,O$3,FALSE)</f>
        <v>0</v>
      </c>
      <c r="P143" s="31">
        <f>VLOOKUP($F143&amp;$G143,Composite!$A$5:$Q$865,P$3,FALSE)*VLOOKUP($C143,[2]!ExistingSat,MATCH($A143,[2]SATS!$C$10:$F$10,0)+1,FALSE)</f>
        <v>0</v>
      </c>
      <c r="Q143">
        <f>VLOOKUP($F143&amp;$G143,Composite!$A$5:$Q$865,Q$3,FALSE)</f>
        <v>0</v>
      </c>
      <c r="R143" s="31">
        <f>VLOOKUP($F143&amp;$G143,Composite!$A$5:$Q$865,R$3,FALSE)*VLOOKUP($C143,[2]!ExistingSat,MATCH($A143,[2]SATS!$C$10:$F$10,0)+1,FALSE)</f>
        <v>0</v>
      </c>
      <c r="S143">
        <f>VLOOKUP($F143&amp;$G143,Composite!$A$5:$Q$865,S$3,FALSE)</f>
        <v>0</v>
      </c>
      <c r="T143" s="31">
        <f>VLOOKUP($F143&amp;$G143,Composite!$A$5:$Q$865,T$3,FALSE)*VLOOKUP($C143,[2]!ExistingSat,MATCH($A143,[2]SATS!$C$10:$F$10,0)+1,FALSE)</f>
        <v>0</v>
      </c>
    </row>
    <row r="144" spans="1:20">
      <c r="A144" t="s">
        <v>25</v>
      </c>
      <c r="B144" t="s">
        <v>227</v>
      </c>
      <c r="C144" t="s">
        <v>28</v>
      </c>
      <c r="D144" t="s">
        <v>60</v>
      </c>
      <c r="E144" t="str">
        <f t="shared" si="3"/>
        <v>Electric FAFHZ1ATTIC R11 - R49 (cooling savings)</v>
      </c>
      <c r="F144" s="31" t="str">
        <f>Composite!B143</f>
        <v>Single Family Weatherization - Insulate Attic - R11 to R49 - Heating Zone 1 (Electric FAF)</v>
      </c>
      <c r="G144" t="s">
        <v>212</v>
      </c>
      <c r="H144" s="31">
        <f>VLOOKUP($F144&amp;$G144,Composite!$A$5:$Q$865,H$3,FALSE)*VLOOKUP($C144,[2]!ExistingSat,MATCH($A144,[2]SATS!$C$10:$F$10,0)+1,FALSE)</f>
        <v>71.955273836105093</v>
      </c>
      <c r="I144">
        <f>VLOOKUP($F144&amp;$G144,Composite!$A$5:$Q$865,I$3,FALSE)</f>
        <v>45</v>
      </c>
      <c r="J144" s="31">
        <f>VLOOKUP($F144&amp;$G144,Composite!$A$5:$Q$865,J$3,FALSE)*VLOOKUP($C144,[2]!ExistingSat,MATCH($A144,[2]SATS!$C$10:$F$10,0)+1,FALSE)</f>
        <v>0</v>
      </c>
      <c r="K144" s="31">
        <f>VLOOKUP($F144&amp;$G144,Composite!$A$5:$Q$865,K$3,FALSE)*VLOOKUP($C144,[2]!ExistingSat,MATCH($A144,[2]SATS!$C$10:$F$10,0)+1,FALSE)</f>
        <v>0</v>
      </c>
      <c r="L144" t="str">
        <f>VLOOKUP($F144&amp;$G144,Composite!$A$5:$Q$865,L$3,FALSE)</f>
        <v>ResCACPNW</v>
      </c>
      <c r="M144" s="31">
        <f>VLOOKUP($F144&amp;$G144,Composite!$A$5:$Q$865,M$3,FALSE)*VLOOKUP($C144,[2]!ExistingSat,MATCH($A144,[2]SATS!$C$10:$F$10,0)+1,FALSE)</f>
        <v>0</v>
      </c>
      <c r="N144" s="31">
        <f>VLOOKUP($F144&amp;$G144,Composite!$A$5:$Q$865,N$3,FALSE)*VLOOKUP($C144,[2]!ExistingSat,MATCH($A144,[2]SATS!$C$10:$F$10,0)+1,FALSE)</f>
        <v>0</v>
      </c>
      <c r="O144">
        <f>VLOOKUP($F144&amp;$G144,Composite!$A$5:$Q$865,O$3,FALSE)</f>
        <v>0</v>
      </c>
      <c r="P144" s="31">
        <f>VLOOKUP($F144&amp;$G144,Composite!$A$5:$Q$865,P$3,FALSE)*VLOOKUP($C144,[2]!ExistingSat,MATCH($A144,[2]SATS!$C$10:$F$10,0)+1,FALSE)</f>
        <v>0</v>
      </c>
      <c r="Q144">
        <f>VLOOKUP($F144&amp;$G144,Composite!$A$5:$Q$865,Q$3,FALSE)</f>
        <v>0</v>
      </c>
      <c r="R144" s="31">
        <f>VLOOKUP($F144&amp;$G144,Composite!$A$5:$Q$865,R$3,FALSE)*VLOOKUP($C144,[2]!ExistingSat,MATCH($A144,[2]SATS!$C$10:$F$10,0)+1,FALSE)</f>
        <v>0</v>
      </c>
      <c r="S144">
        <f>VLOOKUP($F144&amp;$G144,Composite!$A$5:$Q$865,S$3,FALSE)</f>
        <v>0</v>
      </c>
      <c r="T144" s="31">
        <f>VLOOKUP($F144&amp;$G144,Composite!$A$5:$Q$865,T$3,FALSE)*VLOOKUP($C144,[2]!ExistingSat,MATCH($A144,[2]SATS!$C$10:$F$10,0)+1,FALSE)</f>
        <v>0</v>
      </c>
    </row>
    <row r="145" spans="1:20">
      <c r="A145" t="s">
        <v>25</v>
      </c>
      <c r="B145" t="s">
        <v>227</v>
      </c>
      <c r="C145" t="s">
        <v>28</v>
      </c>
      <c r="D145" t="s">
        <v>60</v>
      </c>
      <c r="E145" t="str">
        <f t="shared" si="3"/>
        <v>Electric FAFHZ1ATTIC R19 - R38 (cooling savings)</v>
      </c>
      <c r="F145" s="31" t="str">
        <f>Composite!B144</f>
        <v>Single Family Weatherization - Insulate Attic - R19 to R38 - Heating Zone 1 (Electric FAF)</v>
      </c>
      <c r="G145" t="s">
        <v>213</v>
      </c>
      <c r="H145" s="31">
        <f>VLOOKUP($F145&amp;$G145,Composite!$A$5:$Q$865,H$3,FALSE)*VLOOKUP($C145,[2]!ExistingSat,MATCH($A145,[2]SATS!$C$10:$F$10,0)+1,FALSE)</f>
        <v>26.891445919865021</v>
      </c>
      <c r="I145">
        <f>VLOOKUP($F145&amp;$G145,Composite!$A$5:$Q$865,I$3,FALSE)</f>
        <v>45</v>
      </c>
      <c r="J145" s="31">
        <f>VLOOKUP($F145&amp;$G145,Composite!$A$5:$Q$865,J$3,FALSE)*VLOOKUP($C145,[2]!ExistingSat,MATCH($A145,[2]SATS!$C$10:$F$10,0)+1,FALSE)</f>
        <v>0</v>
      </c>
      <c r="K145" s="31">
        <f>VLOOKUP($F145&amp;$G145,Composite!$A$5:$Q$865,K$3,FALSE)*VLOOKUP($C145,[2]!ExistingSat,MATCH($A145,[2]SATS!$C$10:$F$10,0)+1,FALSE)</f>
        <v>0</v>
      </c>
      <c r="L145" t="str">
        <f>VLOOKUP($F145&amp;$G145,Composite!$A$5:$Q$865,L$3,FALSE)</f>
        <v>ResCACPNW</v>
      </c>
      <c r="M145" s="31">
        <f>VLOOKUP($F145&amp;$G145,Composite!$A$5:$Q$865,M$3,FALSE)*VLOOKUP($C145,[2]!ExistingSat,MATCH($A145,[2]SATS!$C$10:$F$10,0)+1,FALSE)</f>
        <v>0</v>
      </c>
      <c r="N145" s="31">
        <f>VLOOKUP($F145&amp;$G145,Composite!$A$5:$Q$865,N$3,FALSE)*VLOOKUP($C145,[2]!ExistingSat,MATCH($A145,[2]SATS!$C$10:$F$10,0)+1,FALSE)</f>
        <v>0</v>
      </c>
      <c r="O145">
        <f>VLOOKUP($F145&amp;$G145,Composite!$A$5:$Q$865,O$3,FALSE)</f>
        <v>0</v>
      </c>
      <c r="P145" s="31">
        <f>VLOOKUP($F145&amp;$G145,Composite!$A$5:$Q$865,P$3,FALSE)*VLOOKUP($C145,[2]!ExistingSat,MATCH($A145,[2]SATS!$C$10:$F$10,0)+1,FALSE)</f>
        <v>0</v>
      </c>
      <c r="Q145">
        <f>VLOOKUP($F145&amp;$G145,Composite!$A$5:$Q$865,Q$3,FALSE)</f>
        <v>0</v>
      </c>
      <c r="R145" s="31">
        <f>VLOOKUP($F145&amp;$G145,Composite!$A$5:$Q$865,R$3,FALSE)*VLOOKUP($C145,[2]!ExistingSat,MATCH($A145,[2]SATS!$C$10:$F$10,0)+1,FALSE)</f>
        <v>0</v>
      </c>
      <c r="S145">
        <f>VLOOKUP($F145&amp;$G145,Composite!$A$5:$Q$865,S$3,FALSE)</f>
        <v>0</v>
      </c>
      <c r="T145" s="31">
        <f>VLOOKUP($F145&amp;$G145,Composite!$A$5:$Q$865,T$3,FALSE)*VLOOKUP($C145,[2]!ExistingSat,MATCH($A145,[2]SATS!$C$10:$F$10,0)+1,FALSE)</f>
        <v>0</v>
      </c>
    </row>
    <row r="146" spans="1:20">
      <c r="A146" t="s">
        <v>25</v>
      </c>
      <c r="B146" t="s">
        <v>227</v>
      </c>
      <c r="C146" t="s">
        <v>28</v>
      </c>
      <c r="D146" t="s">
        <v>60</v>
      </c>
      <c r="E146" t="str">
        <f t="shared" si="3"/>
        <v>Electric FAFHZ1ATTIC R19 - R49 (cooling savings)</v>
      </c>
      <c r="F146" s="31" t="str">
        <f>Composite!B145</f>
        <v>Single Family Weatherization - Insulate Attic - R19 to R49 - Heating Zone 1 (Electric FAF)</v>
      </c>
      <c r="G146" t="s">
        <v>214</v>
      </c>
      <c r="H146" s="31">
        <f>VLOOKUP($F146&amp;$G146,Composite!$A$5:$Q$865,H$3,FALSE)*VLOOKUP($C146,[2]!ExistingSat,MATCH($A146,[2]SATS!$C$10:$F$10,0)+1,FALSE)</f>
        <v>32.274181181719179</v>
      </c>
      <c r="I146">
        <f>VLOOKUP($F146&amp;$G146,Composite!$A$5:$Q$865,I$3,FALSE)</f>
        <v>45</v>
      </c>
      <c r="J146" s="31">
        <f>VLOOKUP($F146&amp;$G146,Composite!$A$5:$Q$865,J$3,FALSE)*VLOOKUP($C146,[2]!ExistingSat,MATCH($A146,[2]SATS!$C$10:$F$10,0)+1,FALSE)</f>
        <v>0</v>
      </c>
      <c r="K146" s="31">
        <f>VLOOKUP($F146&amp;$G146,Composite!$A$5:$Q$865,K$3,FALSE)*VLOOKUP($C146,[2]!ExistingSat,MATCH($A146,[2]SATS!$C$10:$F$10,0)+1,FALSE)</f>
        <v>0</v>
      </c>
      <c r="L146" t="str">
        <f>VLOOKUP($F146&amp;$G146,Composite!$A$5:$Q$865,L$3,FALSE)</f>
        <v>ResCACPNW</v>
      </c>
      <c r="M146" s="31">
        <f>VLOOKUP($F146&amp;$G146,Composite!$A$5:$Q$865,M$3,FALSE)*VLOOKUP($C146,[2]!ExistingSat,MATCH($A146,[2]SATS!$C$10:$F$10,0)+1,FALSE)</f>
        <v>0</v>
      </c>
      <c r="N146" s="31">
        <f>VLOOKUP($F146&amp;$G146,Composite!$A$5:$Q$865,N$3,FALSE)*VLOOKUP($C146,[2]!ExistingSat,MATCH($A146,[2]SATS!$C$10:$F$10,0)+1,FALSE)</f>
        <v>0</v>
      </c>
      <c r="O146">
        <f>VLOOKUP($F146&amp;$G146,Composite!$A$5:$Q$865,O$3,FALSE)</f>
        <v>0</v>
      </c>
      <c r="P146" s="31">
        <f>VLOOKUP($F146&amp;$G146,Composite!$A$5:$Q$865,P$3,FALSE)*VLOOKUP($C146,[2]!ExistingSat,MATCH($A146,[2]SATS!$C$10:$F$10,0)+1,FALSE)</f>
        <v>0</v>
      </c>
      <c r="Q146">
        <f>VLOOKUP($F146&amp;$G146,Composite!$A$5:$Q$865,Q$3,FALSE)</f>
        <v>0</v>
      </c>
      <c r="R146" s="31">
        <f>VLOOKUP($F146&amp;$G146,Composite!$A$5:$Q$865,R$3,FALSE)*VLOOKUP($C146,[2]!ExistingSat,MATCH($A146,[2]SATS!$C$10:$F$10,0)+1,FALSE)</f>
        <v>0</v>
      </c>
      <c r="S146">
        <f>VLOOKUP($F146&amp;$G146,Composite!$A$5:$Q$865,S$3,FALSE)</f>
        <v>0</v>
      </c>
      <c r="T146" s="31">
        <f>VLOOKUP($F146&amp;$G146,Composite!$A$5:$Q$865,T$3,FALSE)*VLOOKUP($C146,[2]!ExistingSat,MATCH($A146,[2]SATS!$C$10:$F$10,0)+1,FALSE)</f>
        <v>0</v>
      </c>
    </row>
    <row r="147" spans="1:20">
      <c r="A147" t="s">
        <v>25</v>
      </c>
      <c r="B147" t="s">
        <v>227</v>
      </c>
      <c r="C147" t="s">
        <v>64</v>
      </c>
      <c r="D147" t="s">
        <v>60</v>
      </c>
      <c r="E147" t="str">
        <f t="shared" si="3"/>
        <v>Electric FAFHZ1WALL R0 - R11 (cooling savings)</v>
      </c>
      <c r="F147" s="31" t="str">
        <f>Composite!B146</f>
        <v>Single Family Weatherization - Insulate Wall - R0 to R11 - Heating Zone 1 (Electric FAF)</v>
      </c>
      <c r="G147" t="s">
        <v>217</v>
      </c>
      <c r="H147" s="31">
        <f>VLOOKUP($F147&amp;$G147,Composite!$A$5:$Q$865,H$3,FALSE)*VLOOKUP($C147,[2]!ExistingSat,MATCH($A147,[2]SATS!$C$10:$F$10,0)+1,FALSE)</f>
        <v>67.463132329614183</v>
      </c>
      <c r="I147">
        <f>VLOOKUP($F147&amp;$G147,Composite!$A$5:$Q$865,I$3,FALSE)</f>
        <v>45</v>
      </c>
      <c r="J147" s="31">
        <f>VLOOKUP($F147&amp;$G147,Composite!$A$5:$Q$865,J$3,FALSE)*VLOOKUP($C147,[2]!ExistingSat,MATCH($A147,[2]SATS!$C$10:$F$10,0)+1,FALSE)</f>
        <v>0</v>
      </c>
      <c r="K147" s="31">
        <f>VLOOKUP($F147&amp;$G147,Composite!$A$5:$Q$865,K$3,FALSE)*VLOOKUP($C147,[2]!ExistingSat,MATCH($A147,[2]SATS!$C$10:$F$10,0)+1,FALSE)</f>
        <v>0</v>
      </c>
      <c r="L147" t="str">
        <f>VLOOKUP($F147&amp;$G147,Composite!$A$5:$Q$865,L$3,FALSE)</f>
        <v>ResCACPNW</v>
      </c>
      <c r="M147" s="31">
        <f>VLOOKUP($F147&amp;$G147,Composite!$A$5:$Q$865,M$3,FALSE)*VLOOKUP($C147,[2]!ExistingSat,MATCH($A147,[2]SATS!$C$10:$F$10,0)+1,FALSE)</f>
        <v>0</v>
      </c>
      <c r="N147" s="31">
        <f>VLOOKUP($F147&amp;$G147,Composite!$A$5:$Q$865,N$3,FALSE)*VLOOKUP($C147,[2]!ExistingSat,MATCH($A147,[2]SATS!$C$10:$F$10,0)+1,FALSE)</f>
        <v>0</v>
      </c>
      <c r="O147">
        <f>VLOOKUP($F147&amp;$G147,Composite!$A$5:$Q$865,O$3,FALSE)</f>
        <v>0</v>
      </c>
      <c r="P147" s="31">
        <f>VLOOKUP($F147&amp;$G147,Composite!$A$5:$Q$865,P$3,FALSE)*VLOOKUP($C147,[2]!ExistingSat,MATCH($A147,[2]SATS!$C$10:$F$10,0)+1,FALSE)</f>
        <v>0</v>
      </c>
      <c r="Q147">
        <f>VLOOKUP($F147&amp;$G147,Composite!$A$5:$Q$865,Q$3,FALSE)</f>
        <v>0</v>
      </c>
      <c r="R147" s="31">
        <f>VLOOKUP($F147&amp;$G147,Composite!$A$5:$Q$865,R$3,FALSE)*VLOOKUP($C147,[2]!ExistingSat,MATCH($A147,[2]SATS!$C$10:$F$10,0)+1,FALSE)</f>
        <v>0</v>
      </c>
      <c r="S147">
        <f>VLOOKUP($F147&amp;$G147,Composite!$A$5:$Q$865,S$3,FALSE)</f>
        <v>0</v>
      </c>
      <c r="T147" s="31">
        <f>VLOOKUP($F147&amp;$G147,Composite!$A$5:$Q$865,T$3,FALSE)*VLOOKUP($C147,[2]!ExistingSat,MATCH($A147,[2]SATS!$C$10:$F$10,0)+1,FALSE)</f>
        <v>0</v>
      </c>
    </row>
    <row r="148" spans="1:20">
      <c r="A148" t="s">
        <v>25</v>
      </c>
      <c r="B148" t="s">
        <v>227</v>
      </c>
      <c r="C148" t="s">
        <v>26</v>
      </c>
      <c r="D148" t="s">
        <v>60</v>
      </c>
      <c r="E148" t="str">
        <f t="shared" si="3"/>
        <v>Electric FAFHZ1FLOOR R0 - R19 (cooling savings)</v>
      </c>
      <c r="F148" s="31" t="str">
        <f>Composite!B147</f>
        <v>Single Family Weatherization - Insulate Floor - R0 to R19 - Heating Zone 1 (Electric FAF)</v>
      </c>
      <c r="G148" t="s">
        <v>218</v>
      </c>
      <c r="H148" s="31">
        <f>VLOOKUP($F148&amp;$G148,Composite!$A$5:$Q$865,H$3,FALSE)*VLOOKUP($C148,[2]!ExistingSat,MATCH($A148,[2]SATS!$C$10:$F$10,0)+1,FALSE)</f>
        <v>-70.649347943427273</v>
      </c>
      <c r="I148">
        <f>VLOOKUP($F148&amp;$G148,Composite!$A$5:$Q$865,I$3,FALSE)</f>
        <v>45</v>
      </c>
      <c r="J148" s="31">
        <f>VLOOKUP($F148&amp;$G148,Composite!$A$5:$Q$865,J$3,FALSE)*VLOOKUP($C148,[2]!ExistingSat,MATCH($A148,[2]SATS!$C$10:$F$10,0)+1,FALSE)</f>
        <v>0</v>
      </c>
      <c r="K148" s="31">
        <f>VLOOKUP($F148&amp;$G148,Composite!$A$5:$Q$865,K$3,FALSE)*VLOOKUP($C148,[2]!ExistingSat,MATCH($A148,[2]SATS!$C$10:$F$10,0)+1,FALSE)</f>
        <v>0</v>
      </c>
      <c r="L148" t="str">
        <f>VLOOKUP($F148&amp;$G148,Composite!$A$5:$Q$865,L$3,FALSE)</f>
        <v>ResCACPNW</v>
      </c>
      <c r="M148" s="31">
        <f>VLOOKUP($F148&amp;$G148,Composite!$A$5:$Q$865,M$3,FALSE)*VLOOKUP($C148,[2]!ExistingSat,MATCH($A148,[2]SATS!$C$10:$F$10,0)+1,FALSE)</f>
        <v>0</v>
      </c>
      <c r="N148" s="31">
        <f>VLOOKUP($F148&amp;$G148,Composite!$A$5:$Q$865,N$3,FALSE)*VLOOKUP($C148,[2]!ExistingSat,MATCH($A148,[2]SATS!$C$10:$F$10,0)+1,FALSE)</f>
        <v>0</v>
      </c>
      <c r="O148">
        <f>VLOOKUP($F148&amp;$G148,Composite!$A$5:$Q$865,O$3,FALSE)</f>
        <v>0</v>
      </c>
      <c r="P148" s="31">
        <f>VLOOKUP($F148&amp;$G148,Composite!$A$5:$Q$865,P$3,FALSE)*VLOOKUP($C148,[2]!ExistingSat,MATCH($A148,[2]SATS!$C$10:$F$10,0)+1,FALSE)</f>
        <v>0</v>
      </c>
      <c r="Q148">
        <f>VLOOKUP($F148&amp;$G148,Composite!$A$5:$Q$865,Q$3,FALSE)</f>
        <v>0</v>
      </c>
      <c r="R148" s="31">
        <f>VLOOKUP($F148&amp;$G148,Composite!$A$5:$Q$865,R$3,FALSE)*VLOOKUP($C148,[2]!ExistingSat,MATCH($A148,[2]SATS!$C$10:$F$10,0)+1,FALSE)</f>
        <v>0</v>
      </c>
      <c r="S148">
        <f>VLOOKUP($F148&amp;$G148,Composite!$A$5:$Q$865,S$3,FALSE)</f>
        <v>0</v>
      </c>
      <c r="T148" s="31">
        <f>VLOOKUP($F148&amp;$G148,Composite!$A$5:$Q$865,T$3,FALSE)*VLOOKUP($C148,[2]!ExistingSat,MATCH($A148,[2]SATS!$C$10:$F$10,0)+1,FALSE)</f>
        <v>0</v>
      </c>
    </row>
    <row r="149" spans="1:20">
      <c r="A149" t="s">
        <v>25</v>
      </c>
      <c r="B149" t="s">
        <v>227</v>
      </c>
      <c r="C149" t="s">
        <v>26</v>
      </c>
      <c r="D149" t="s">
        <v>60</v>
      </c>
      <c r="E149" t="str">
        <f t="shared" si="3"/>
        <v>Electric FAFHZ1FLOOR R0 - R25 (cooling savings)</v>
      </c>
      <c r="F149" s="31" t="str">
        <f>Composite!B148</f>
        <v>Single Family Weatherization - Insulate Floor - R0 to R25 - Heating Zone 1 (Electric FAF)</v>
      </c>
      <c r="G149" t="s">
        <v>219</v>
      </c>
      <c r="H149" s="31">
        <f>VLOOKUP($F149&amp;$G149,Composite!$A$5:$Q$865,H$3,FALSE)*VLOOKUP($C149,[2]!ExistingSat,MATCH($A149,[2]SATS!$C$10:$F$10,0)+1,FALSE)</f>
        <v>-79.129621471964256</v>
      </c>
      <c r="I149">
        <f>VLOOKUP($F149&amp;$G149,Composite!$A$5:$Q$865,I$3,FALSE)</f>
        <v>45</v>
      </c>
      <c r="J149" s="31">
        <f>VLOOKUP($F149&amp;$G149,Composite!$A$5:$Q$865,J$3,FALSE)*VLOOKUP($C149,[2]!ExistingSat,MATCH($A149,[2]SATS!$C$10:$F$10,0)+1,FALSE)</f>
        <v>0</v>
      </c>
      <c r="K149" s="31">
        <f>VLOOKUP($F149&amp;$G149,Composite!$A$5:$Q$865,K$3,FALSE)*VLOOKUP($C149,[2]!ExistingSat,MATCH($A149,[2]SATS!$C$10:$F$10,0)+1,FALSE)</f>
        <v>0</v>
      </c>
      <c r="L149" t="str">
        <f>VLOOKUP($F149&amp;$G149,Composite!$A$5:$Q$865,L$3,FALSE)</f>
        <v>ResCACPNW</v>
      </c>
      <c r="M149" s="31">
        <f>VLOOKUP($F149&amp;$G149,Composite!$A$5:$Q$865,M$3,FALSE)*VLOOKUP($C149,[2]!ExistingSat,MATCH($A149,[2]SATS!$C$10:$F$10,0)+1,FALSE)</f>
        <v>0</v>
      </c>
      <c r="N149" s="31">
        <f>VLOOKUP($F149&amp;$G149,Composite!$A$5:$Q$865,N$3,FALSE)*VLOOKUP($C149,[2]!ExistingSat,MATCH($A149,[2]SATS!$C$10:$F$10,0)+1,FALSE)</f>
        <v>0</v>
      </c>
      <c r="O149">
        <f>VLOOKUP($F149&amp;$G149,Composite!$A$5:$Q$865,O$3,FALSE)</f>
        <v>0</v>
      </c>
      <c r="P149" s="31">
        <f>VLOOKUP($F149&amp;$G149,Composite!$A$5:$Q$865,P$3,FALSE)*VLOOKUP($C149,[2]!ExistingSat,MATCH($A149,[2]SATS!$C$10:$F$10,0)+1,FALSE)</f>
        <v>0</v>
      </c>
      <c r="Q149">
        <f>VLOOKUP($F149&amp;$G149,Composite!$A$5:$Q$865,Q$3,FALSE)</f>
        <v>0</v>
      </c>
      <c r="R149" s="31">
        <f>VLOOKUP($F149&amp;$G149,Composite!$A$5:$Q$865,R$3,FALSE)*VLOOKUP($C149,[2]!ExistingSat,MATCH($A149,[2]SATS!$C$10:$F$10,0)+1,FALSE)</f>
        <v>0</v>
      </c>
      <c r="S149">
        <f>VLOOKUP($F149&amp;$G149,Composite!$A$5:$Q$865,S$3,FALSE)</f>
        <v>0</v>
      </c>
      <c r="T149" s="31">
        <f>VLOOKUP($F149&amp;$G149,Composite!$A$5:$Q$865,T$3,FALSE)*VLOOKUP($C149,[2]!ExistingSat,MATCH($A149,[2]SATS!$C$10:$F$10,0)+1,FALSE)</f>
        <v>0</v>
      </c>
    </row>
    <row r="150" spans="1:20">
      <c r="A150" t="s">
        <v>25</v>
      </c>
      <c r="B150" t="s">
        <v>227</v>
      </c>
      <c r="C150" t="s">
        <v>26</v>
      </c>
      <c r="D150" t="s">
        <v>60</v>
      </c>
      <c r="E150" t="str">
        <f t="shared" si="3"/>
        <v>Electric FAFHZ1FLOOR R0 - R30 (cooling savings)</v>
      </c>
      <c r="F150" s="31" t="str">
        <f>Composite!B149</f>
        <v>Single Family Weatherization - Insulate Floor - R0 to R30 - Heating Zone 1 (Electric FAF)</v>
      </c>
      <c r="G150" t="s">
        <v>220</v>
      </c>
      <c r="H150" s="31">
        <f>VLOOKUP($F150&amp;$G150,Composite!$A$5:$Q$865,H$3,FALSE)*VLOOKUP($C150,[2]!ExistingSat,MATCH($A150,[2]SATS!$C$10:$F$10,0)+1,FALSE)</f>
        <v>-84.733836302364168</v>
      </c>
      <c r="I150">
        <f>VLOOKUP($F150&amp;$G150,Composite!$A$5:$Q$865,I$3,FALSE)</f>
        <v>45</v>
      </c>
      <c r="J150" s="31">
        <f>VLOOKUP($F150&amp;$G150,Composite!$A$5:$Q$865,J$3,FALSE)*VLOOKUP($C150,[2]!ExistingSat,MATCH($A150,[2]SATS!$C$10:$F$10,0)+1,FALSE)</f>
        <v>0</v>
      </c>
      <c r="K150" s="31">
        <f>VLOOKUP($F150&amp;$G150,Composite!$A$5:$Q$865,K$3,FALSE)*VLOOKUP($C150,[2]!ExistingSat,MATCH($A150,[2]SATS!$C$10:$F$10,0)+1,FALSE)</f>
        <v>0</v>
      </c>
      <c r="L150" t="str">
        <f>VLOOKUP($F150&amp;$G150,Composite!$A$5:$Q$865,L$3,FALSE)</f>
        <v>ResCACPNW</v>
      </c>
      <c r="M150" s="31">
        <f>VLOOKUP($F150&amp;$G150,Composite!$A$5:$Q$865,M$3,FALSE)*VLOOKUP($C150,[2]!ExistingSat,MATCH($A150,[2]SATS!$C$10:$F$10,0)+1,FALSE)</f>
        <v>0</v>
      </c>
      <c r="N150" s="31">
        <f>VLOOKUP($F150&amp;$G150,Composite!$A$5:$Q$865,N$3,FALSE)*VLOOKUP($C150,[2]!ExistingSat,MATCH($A150,[2]SATS!$C$10:$F$10,0)+1,FALSE)</f>
        <v>0</v>
      </c>
      <c r="O150">
        <f>VLOOKUP($F150&amp;$G150,Composite!$A$5:$Q$865,O$3,FALSE)</f>
        <v>0</v>
      </c>
      <c r="P150" s="31">
        <f>VLOOKUP($F150&amp;$G150,Composite!$A$5:$Q$865,P$3,FALSE)*VLOOKUP($C150,[2]!ExistingSat,MATCH($A150,[2]SATS!$C$10:$F$10,0)+1,FALSE)</f>
        <v>0</v>
      </c>
      <c r="Q150">
        <f>VLOOKUP($F150&amp;$G150,Composite!$A$5:$Q$865,Q$3,FALSE)</f>
        <v>0</v>
      </c>
      <c r="R150" s="31">
        <f>VLOOKUP($F150&amp;$G150,Composite!$A$5:$Q$865,R$3,FALSE)*VLOOKUP($C150,[2]!ExistingSat,MATCH($A150,[2]SATS!$C$10:$F$10,0)+1,FALSE)</f>
        <v>0</v>
      </c>
      <c r="S150">
        <f>VLOOKUP($F150&amp;$G150,Composite!$A$5:$Q$865,S$3,FALSE)</f>
        <v>0</v>
      </c>
      <c r="T150" s="31">
        <f>VLOOKUP($F150&amp;$G150,Composite!$A$5:$Q$865,T$3,FALSE)*VLOOKUP($C150,[2]!ExistingSat,MATCH($A150,[2]SATS!$C$10:$F$10,0)+1,FALSE)</f>
        <v>0</v>
      </c>
    </row>
    <row r="151" spans="1:20">
      <c r="A151" t="s">
        <v>25</v>
      </c>
      <c r="B151" t="s">
        <v>227</v>
      </c>
      <c r="C151" t="s">
        <v>27</v>
      </c>
      <c r="D151" t="s">
        <v>60</v>
      </c>
      <c r="E151" t="str">
        <f t="shared" si="3"/>
        <v>Electric FAFHZ1WINDOW CL30 Prime Window Replacement of Single Pane Base (cooling savings)</v>
      </c>
      <c r="F151" s="31" t="str">
        <f>Composite!B150</f>
        <v>Windows - Single Pane to Class 30 - Heating Zone 1 (Electric FAF)</v>
      </c>
      <c r="G151" t="s">
        <v>221</v>
      </c>
      <c r="H151" s="31">
        <f>VLOOKUP($F151&amp;$G151,Composite!$A$5:$Q$865,H$3,FALSE)*VLOOKUP($C151,[2]!ExistingSat,MATCH($A151,[2]SATS!$C$10:$F$10,0)+1,FALSE)</f>
        <v>143.61417577360444</v>
      </c>
      <c r="I151">
        <f>VLOOKUP($F151&amp;$G151,Composite!$A$5:$Q$865,I$3,FALSE)</f>
        <v>45</v>
      </c>
      <c r="J151" s="31">
        <f>VLOOKUP($F151&amp;$G151,Composite!$A$5:$Q$865,J$3,FALSE)*VLOOKUP($C151,[2]!ExistingSat,MATCH($A151,[2]SATS!$C$10:$F$10,0)+1,FALSE)</f>
        <v>0</v>
      </c>
      <c r="K151" s="31">
        <f>VLOOKUP($F151&amp;$G151,Composite!$A$5:$Q$865,K$3,FALSE)*VLOOKUP($C151,[2]!ExistingSat,MATCH($A151,[2]SATS!$C$10:$F$10,0)+1,FALSE)</f>
        <v>0</v>
      </c>
      <c r="L151" t="str">
        <f>VLOOKUP($F151&amp;$G151,Composite!$A$5:$Q$865,L$3,FALSE)</f>
        <v>ResCACPNW</v>
      </c>
      <c r="M151" s="31">
        <f>VLOOKUP($F151&amp;$G151,Composite!$A$5:$Q$865,M$3,FALSE)*VLOOKUP($C151,[2]!ExistingSat,MATCH($A151,[2]SATS!$C$10:$F$10,0)+1,FALSE)</f>
        <v>0</v>
      </c>
      <c r="N151" s="31">
        <f>VLOOKUP($F151&amp;$G151,Composite!$A$5:$Q$865,N$3,FALSE)*VLOOKUP($C151,[2]!ExistingSat,MATCH($A151,[2]SATS!$C$10:$F$10,0)+1,FALSE)</f>
        <v>0</v>
      </c>
      <c r="O151">
        <f>VLOOKUP($F151&amp;$G151,Composite!$A$5:$Q$865,O$3,FALSE)</f>
        <v>0</v>
      </c>
      <c r="P151" s="31">
        <f>VLOOKUP($F151&amp;$G151,Composite!$A$5:$Q$865,P$3,FALSE)*VLOOKUP($C151,[2]!ExistingSat,MATCH($A151,[2]SATS!$C$10:$F$10,0)+1,FALSE)</f>
        <v>0</v>
      </c>
      <c r="Q151">
        <f>VLOOKUP($F151&amp;$G151,Composite!$A$5:$Q$865,Q$3,FALSE)</f>
        <v>0</v>
      </c>
      <c r="R151" s="31">
        <f>VLOOKUP($F151&amp;$G151,Composite!$A$5:$Q$865,R$3,FALSE)*VLOOKUP($C151,[2]!ExistingSat,MATCH($A151,[2]SATS!$C$10:$F$10,0)+1,FALSE)</f>
        <v>0</v>
      </c>
      <c r="S151">
        <f>VLOOKUP($F151&amp;$G151,Composite!$A$5:$Q$865,S$3,FALSE)</f>
        <v>0</v>
      </c>
      <c r="T151" s="31">
        <f>VLOOKUP($F151&amp;$G151,Composite!$A$5:$Q$865,T$3,FALSE)*VLOOKUP($C151,[2]!ExistingSat,MATCH($A151,[2]SATS!$C$10:$F$10,0)+1,FALSE)</f>
        <v>0</v>
      </c>
    </row>
    <row r="152" spans="1:20">
      <c r="A152" t="s">
        <v>25</v>
      </c>
      <c r="B152" t="s">
        <v>227</v>
      </c>
      <c r="C152" t="s">
        <v>27</v>
      </c>
      <c r="D152" t="s">
        <v>60</v>
      </c>
      <c r="E152" t="str">
        <f t="shared" si="3"/>
        <v>Electric FAFHZ1WINDOW CL30 Prime Window Replacement of Double Pane Base (cooling savings)</v>
      </c>
      <c r="F152" s="31" t="str">
        <f>Composite!B151</f>
        <v>Windows - Double Pane to Class 30 - Heating Zone 1 (Electric FAF)</v>
      </c>
      <c r="G152" t="s">
        <v>222</v>
      </c>
      <c r="H152" s="31">
        <f>VLOOKUP($F152&amp;$G152,Composite!$A$5:$Q$865,H$3,FALSE)*VLOOKUP($C152,[2]!ExistingSat,MATCH($A152,[2]SATS!$C$10:$F$10,0)+1,FALSE)</f>
        <v>186.62042903367183</v>
      </c>
      <c r="I152">
        <f>VLOOKUP($F152&amp;$G152,Composite!$A$5:$Q$865,I$3,FALSE)</f>
        <v>45</v>
      </c>
      <c r="J152" s="31">
        <f>VLOOKUP($F152&amp;$G152,Composite!$A$5:$Q$865,J$3,FALSE)*VLOOKUP($C152,[2]!ExistingSat,MATCH($A152,[2]SATS!$C$10:$F$10,0)+1,FALSE)</f>
        <v>0</v>
      </c>
      <c r="K152" s="31">
        <f>VLOOKUP($F152&amp;$G152,Composite!$A$5:$Q$865,K$3,FALSE)*VLOOKUP($C152,[2]!ExistingSat,MATCH($A152,[2]SATS!$C$10:$F$10,0)+1,FALSE)</f>
        <v>0</v>
      </c>
      <c r="L152" t="str">
        <f>VLOOKUP($F152&amp;$G152,Composite!$A$5:$Q$865,L$3,FALSE)</f>
        <v>ResCACPNW</v>
      </c>
      <c r="M152" s="31">
        <f>VLOOKUP($F152&amp;$G152,Composite!$A$5:$Q$865,M$3,FALSE)*VLOOKUP($C152,[2]!ExistingSat,MATCH($A152,[2]SATS!$C$10:$F$10,0)+1,FALSE)</f>
        <v>0</v>
      </c>
      <c r="N152" s="31">
        <f>VLOOKUP($F152&amp;$G152,Composite!$A$5:$Q$865,N$3,FALSE)*VLOOKUP($C152,[2]!ExistingSat,MATCH($A152,[2]SATS!$C$10:$F$10,0)+1,FALSE)</f>
        <v>0</v>
      </c>
      <c r="O152">
        <f>VLOOKUP($F152&amp;$G152,Composite!$A$5:$Q$865,O$3,FALSE)</f>
        <v>0</v>
      </c>
      <c r="P152" s="31">
        <f>VLOOKUP($F152&amp;$G152,Composite!$A$5:$Q$865,P$3,FALSE)*VLOOKUP($C152,[2]!ExistingSat,MATCH($A152,[2]SATS!$C$10:$F$10,0)+1,FALSE)</f>
        <v>0</v>
      </c>
      <c r="Q152">
        <f>VLOOKUP($F152&amp;$G152,Composite!$A$5:$Q$865,Q$3,FALSE)</f>
        <v>0</v>
      </c>
      <c r="R152" s="31">
        <f>VLOOKUP($F152&amp;$G152,Composite!$A$5:$Q$865,R$3,FALSE)*VLOOKUP($C152,[2]!ExistingSat,MATCH($A152,[2]SATS!$C$10:$F$10,0)+1,FALSE)</f>
        <v>0</v>
      </c>
      <c r="S152">
        <f>VLOOKUP($F152&amp;$G152,Composite!$A$5:$Q$865,S$3,FALSE)</f>
        <v>0</v>
      </c>
      <c r="T152" s="31">
        <f>VLOOKUP($F152&amp;$G152,Composite!$A$5:$Q$865,T$3,FALSE)*VLOOKUP($C152,[2]!ExistingSat,MATCH($A152,[2]SATS!$C$10:$F$10,0)+1,FALSE)</f>
        <v>0</v>
      </c>
    </row>
    <row r="153" spans="1:20">
      <c r="A153" t="s">
        <v>25</v>
      </c>
      <c r="B153" t="s">
        <v>227</v>
      </c>
      <c r="C153" t="s">
        <v>27</v>
      </c>
      <c r="D153" t="s">
        <v>60</v>
      </c>
      <c r="E153" t="str">
        <f t="shared" si="3"/>
        <v>Electric FAFHZ1WINDOW CL22 Prime Window Replacement of Single Pane Base (cooling savings)</v>
      </c>
      <c r="F153" s="31" t="str">
        <f>Composite!B152</f>
        <v>Windows - Single Pane to Class 22 - Heating Zone 1 (Electric FAF)</v>
      </c>
      <c r="G153" t="s">
        <v>224</v>
      </c>
      <c r="H153" s="31">
        <f>VLOOKUP($F153&amp;$G153,Composite!$A$5:$Q$865,H$3,FALSE)*VLOOKUP($C153,[2]!ExistingSat,MATCH($A153,[2]SATS!$C$10:$F$10,0)+1,FALSE)</f>
        <v>154.17628726769235</v>
      </c>
      <c r="I153">
        <f>VLOOKUP($F153&amp;$G153,Composite!$A$5:$Q$865,I$3,FALSE)</f>
        <v>45</v>
      </c>
      <c r="J153" s="31">
        <f>VLOOKUP($F153&amp;$G153,Composite!$A$5:$Q$865,J$3,FALSE)*VLOOKUP($C153,[2]!ExistingSat,MATCH($A153,[2]SATS!$C$10:$F$10,0)+1,FALSE)</f>
        <v>0</v>
      </c>
      <c r="K153" s="31">
        <f>VLOOKUP($F153&amp;$G153,Composite!$A$5:$Q$865,K$3,FALSE)*VLOOKUP($C153,[2]!ExistingSat,MATCH($A153,[2]SATS!$C$10:$F$10,0)+1,FALSE)</f>
        <v>0</v>
      </c>
      <c r="L153" t="str">
        <f>VLOOKUP($F153&amp;$G153,Composite!$A$5:$Q$865,L$3,FALSE)</f>
        <v>ResCACPNW</v>
      </c>
      <c r="M153" s="31">
        <f>VLOOKUP($F153&amp;$G153,Composite!$A$5:$Q$865,M$3,FALSE)*VLOOKUP($C153,[2]!ExistingSat,MATCH($A153,[2]SATS!$C$10:$F$10,0)+1,FALSE)</f>
        <v>0</v>
      </c>
      <c r="N153" s="31">
        <f>VLOOKUP($F153&amp;$G153,Composite!$A$5:$Q$865,N$3,FALSE)*VLOOKUP($C153,[2]!ExistingSat,MATCH($A153,[2]SATS!$C$10:$F$10,0)+1,FALSE)</f>
        <v>0</v>
      </c>
      <c r="O153">
        <f>VLOOKUP($F153&amp;$G153,Composite!$A$5:$Q$865,O$3,FALSE)</f>
        <v>0</v>
      </c>
      <c r="P153" s="31">
        <f>VLOOKUP($F153&amp;$G153,Composite!$A$5:$Q$865,P$3,FALSE)*VLOOKUP($C153,[2]!ExistingSat,MATCH($A153,[2]SATS!$C$10:$F$10,0)+1,FALSE)</f>
        <v>0</v>
      </c>
      <c r="Q153">
        <f>VLOOKUP($F153&amp;$G153,Composite!$A$5:$Q$865,Q$3,FALSE)</f>
        <v>0</v>
      </c>
      <c r="R153" s="31">
        <f>VLOOKUP($F153&amp;$G153,Composite!$A$5:$Q$865,R$3,FALSE)*VLOOKUP($C153,[2]!ExistingSat,MATCH($A153,[2]SATS!$C$10:$F$10,0)+1,FALSE)</f>
        <v>0</v>
      </c>
      <c r="S153">
        <f>VLOOKUP($F153&amp;$G153,Composite!$A$5:$Q$865,S$3,FALSE)</f>
        <v>0</v>
      </c>
      <c r="T153" s="31">
        <f>VLOOKUP($F153&amp;$G153,Composite!$A$5:$Q$865,T$3,FALSE)*VLOOKUP($C153,[2]!ExistingSat,MATCH($A153,[2]SATS!$C$10:$F$10,0)+1,FALSE)</f>
        <v>0</v>
      </c>
    </row>
    <row r="154" spans="1:20">
      <c r="A154" t="s">
        <v>25</v>
      </c>
      <c r="B154" t="s">
        <v>227</v>
      </c>
      <c r="C154" t="s">
        <v>27</v>
      </c>
      <c r="D154" t="s">
        <v>60</v>
      </c>
      <c r="E154" t="str">
        <f t="shared" si="3"/>
        <v>Electric FAFHZ1WINDOW CL22 Prime Window Replacement of Double Pane Base (cooling savings)</v>
      </c>
      <c r="F154" s="31" t="str">
        <f>Composite!B153</f>
        <v>Windows - Double Pane to Class 22 - Heating Zone 1 (Electric FAF)</v>
      </c>
      <c r="G154" t="s">
        <v>225</v>
      </c>
      <c r="H154" s="31">
        <f>VLOOKUP($F154&amp;$G154,Composite!$A$5:$Q$865,H$3,FALSE)*VLOOKUP($C154,[2]!ExistingSat,MATCH($A154,[2]SATS!$C$10:$F$10,0)+1,FALSE)</f>
        <v>197.18254052775973</v>
      </c>
      <c r="I154">
        <f>VLOOKUP($F154&amp;$G154,Composite!$A$5:$Q$865,I$3,FALSE)</f>
        <v>45</v>
      </c>
      <c r="J154" s="31">
        <f>VLOOKUP($F154&amp;$G154,Composite!$A$5:$Q$865,J$3,FALSE)*VLOOKUP($C154,[2]!ExistingSat,MATCH($A154,[2]SATS!$C$10:$F$10,0)+1,FALSE)</f>
        <v>0</v>
      </c>
      <c r="K154" s="31">
        <f>VLOOKUP($F154&amp;$G154,Composite!$A$5:$Q$865,K$3,FALSE)*VLOOKUP($C154,[2]!ExistingSat,MATCH($A154,[2]SATS!$C$10:$F$10,0)+1,FALSE)</f>
        <v>0</v>
      </c>
      <c r="L154" t="str">
        <f>VLOOKUP($F154&amp;$G154,Composite!$A$5:$Q$865,L$3,FALSE)</f>
        <v>ResCACPNW</v>
      </c>
      <c r="M154" s="31">
        <f>VLOOKUP($F154&amp;$G154,Composite!$A$5:$Q$865,M$3,FALSE)*VLOOKUP($C154,[2]!ExistingSat,MATCH($A154,[2]SATS!$C$10:$F$10,0)+1,FALSE)</f>
        <v>0</v>
      </c>
      <c r="N154" s="31">
        <f>VLOOKUP($F154&amp;$G154,Composite!$A$5:$Q$865,N$3,FALSE)*VLOOKUP($C154,[2]!ExistingSat,MATCH($A154,[2]SATS!$C$10:$F$10,0)+1,FALSE)</f>
        <v>0</v>
      </c>
      <c r="O154">
        <f>VLOOKUP($F154&amp;$G154,Composite!$A$5:$Q$865,O$3,FALSE)</f>
        <v>0</v>
      </c>
      <c r="P154" s="31">
        <f>VLOOKUP($F154&amp;$G154,Composite!$A$5:$Q$865,P$3,FALSE)*VLOOKUP($C154,[2]!ExistingSat,MATCH($A154,[2]SATS!$C$10:$F$10,0)+1,FALSE)</f>
        <v>0</v>
      </c>
      <c r="Q154">
        <f>VLOOKUP($F154&amp;$G154,Composite!$A$5:$Q$865,Q$3,FALSE)</f>
        <v>0</v>
      </c>
      <c r="R154" s="31">
        <f>VLOOKUP($F154&amp;$G154,Composite!$A$5:$Q$865,R$3,FALSE)*VLOOKUP($C154,[2]!ExistingSat,MATCH($A154,[2]SATS!$C$10:$F$10,0)+1,FALSE)</f>
        <v>0</v>
      </c>
      <c r="S154">
        <f>VLOOKUP($F154&amp;$G154,Composite!$A$5:$Q$865,S$3,FALSE)</f>
        <v>0</v>
      </c>
      <c r="T154" s="31">
        <f>VLOOKUP($F154&amp;$G154,Composite!$A$5:$Q$865,T$3,FALSE)*VLOOKUP($C154,[2]!ExistingSat,MATCH($A154,[2]SATS!$C$10:$F$10,0)+1,FALSE)</f>
        <v>0</v>
      </c>
    </row>
    <row r="155" spans="1:20">
      <c r="A155" t="s">
        <v>25</v>
      </c>
      <c r="B155" t="s">
        <v>227</v>
      </c>
      <c r="C155" t="s">
        <v>66</v>
      </c>
      <c r="D155" t="s">
        <v>60</v>
      </c>
      <c r="E155" t="str">
        <f t="shared" si="3"/>
        <v>Electric FAFHZ1CFM50 Infiltration Reduction (cooling savings)</v>
      </c>
      <c r="F155" s="31" t="str">
        <f>Composite!B154</f>
        <v>Infiltration Reduction - CFM50 reduction - Heating Zone 1 (Electric FAF)</v>
      </c>
      <c r="G155" t="s">
        <v>890</v>
      </c>
      <c r="H155" s="31">
        <f>VLOOKUP($F155&amp;$G155,Composite!$A$5:$Q$865,H$3,FALSE)*VLOOKUP($C155,[2]!ExistingSat,MATCH($A155,[2]SATS!$C$10:$F$10,0)+1,FALSE)</f>
        <v>3.333142464416071</v>
      </c>
      <c r="I155">
        <f>VLOOKUP($F155&amp;$G155,Composite!$A$5:$Q$865,I$3,FALSE)</f>
        <v>15</v>
      </c>
      <c r="J155" s="31">
        <f>VLOOKUP($F155&amp;$G155,Composite!$A$5:$Q$865,J$3,FALSE)*VLOOKUP($C155,[2]!ExistingSat,MATCH($A155,[2]SATS!$C$10:$F$10,0)+1,FALSE)</f>
        <v>0</v>
      </c>
      <c r="K155" s="31">
        <f>VLOOKUP($F155&amp;$G155,Composite!$A$5:$Q$865,K$3,FALSE)*VLOOKUP($C155,[2]!ExistingSat,MATCH($A155,[2]SATS!$C$10:$F$10,0)+1,FALSE)</f>
        <v>0</v>
      </c>
      <c r="L155" t="str">
        <f>VLOOKUP($F155&amp;$G155,Composite!$A$5:$Q$865,L$3,FALSE)</f>
        <v>ResCACPNW</v>
      </c>
      <c r="M155" s="31">
        <f>VLOOKUP($F155&amp;$G155,Composite!$A$5:$Q$865,M$3,FALSE)*VLOOKUP($C155,[2]!ExistingSat,MATCH($A155,[2]SATS!$C$10:$F$10,0)+1,FALSE)</f>
        <v>0</v>
      </c>
      <c r="N155" s="31">
        <f>VLOOKUP($F155&amp;$G155,Composite!$A$5:$Q$865,N$3,FALSE)*VLOOKUP($C155,[2]!ExistingSat,MATCH($A155,[2]SATS!$C$10:$F$10,0)+1,FALSE)</f>
        <v>0</v>
      </c>
      <c r="O155">
        <f>VLOOKUP($F155&amp;$G155,Composite!$A$5:$Q$865,O$3,FALSE)</f>
        <v>0</v>
      </c>
      <c r="P155" s="31">
        <f>VLOOKUP($F155&amp;$G155,Composite!$A$5:$Q$865,P$3,FALSE)*VLOOKUP($C155,[2]!ExistingSat,MATCH($A155,[2]SATS!$C$10:$F$10,0)+1,FALSE)</f>
        <v>0</v>
      </c>
      <c r="Q155">
        <f>VLOOKUP($F155&amp;$G155,Composite!$A$5:$Q$865,Q$3,FALSE)</f>
        <v>0</v>
      </c>
      <c r="R155" s="31">
        <f>VLOOKUP($F155&amp;$G155,Composite!$A$5:$Q$865,R$3,FALSE)*VLOOKUP($C155,[2]!ExistingSat,MATCH($A155,[2]SATS!$C$10:$F$10,0)+1,FALSE)</f>
        <v>0</v>
      </c>
      <c r="S155">
        <f>VLOOKUP($F155&amp;$G155,Composite!$A$5:$Q$865,S$3,FALSE)</f>
        <v>0</v>
      </c>
      <c r="T155" s="31">
        <f>VLOOKUP($F155&amp;$G155,Composite!$A$5:$Q$865,T$3,FALSE)*VLOOKUP($C155,[2]!ExistingSat,MATCH($A155,[2]SATS!$C$10:$F$10,0)+1,FALSE)</f>
        <v>0</v>
      </c>
    </row>
    <row r="156" spans="1:20">
      <c r="A156" t="s">
        <v>25</v>
      </c>
      <c r="B156" t="s">
        <v>227</v>
      </c>
      <c r="C156" t="s">
        <v>28</v>
      </c>
      <c r="D156" t="s">
        <v>61</v>
      </c>
      <c r="E156" t="str">
        <f t="shared" si="3"/>
        <v>Electric FAFHZ2ATTIC R0 - R38 (cooling savings)</v>
      </c>
      <c r="F156" s="31" t="str">
        <f>Composite!B155</f>
        <v>Single Family Weatherization - Insulate Attic - R0 to R38 - Heating Zone 2 (Electric FAF)</v>
      </c>
      <c r="G156" t="s">
        <v>208</v>
      </c>
      <c r="H156" s="31">
        <f>VLOOKUP($F156&amp;$G156,Composite!$A$5:$Q$865,H$3,FALSE)*VLOOKUP($C156,[2]!ExistingSat,MATCH($A156,[2]SATS!$C$10:$F$10,0)+1,FALSE)</f>
        <v>605.23922177347492</v>
      </c>
      <c r="I156">
        <f>VLOOKUP($F156&amp;$G156,Composite!$A$5:$Q$865,I$3,FALSE)</f>
        <v>45</v>
      </c>
      <c r="J156" s="31">
        <f>VLOOKUP($F156&amp;$G156,Composite!$A$5:$Q$865,J$3,FALSE)*VLOOKUP($C156,[2]!ExistingSat,MATCH($A156,[2]SATS!$C$10:$F$10,0)+1,FALSE)</f>
        <v>0</v>
      </c>
      <c r="K156" s="31">
        <f>VLOOKUP($F156&amp;$G156,Composite!$A$5:$Q$865,K$3,FALSE)*VLOOKUP($C156,[2]!ExistingSat,MATCH($A156,[2]SATS!$C$10:$F$10,0)+1,FALSE)</f>
        <v>0</v>
      </c>
      <c r="L156" t="str">
        <f>VLOOKUP($F156&amp;$G156,Composite!$A$5:$Q$865,L$3,FALSE)</f>
        <v>ResCACPNW</v>
      </c>
      <c r="M156" s="31">
        <f>VLOOKUP($F156&amp;$G156,Composite!$A$5:$Q$865,M$3,FALSE)*VLOOKUP($C156,[2]!ExistingSat,MATCH($A156,[2]SATS!$C$10:$F$10,0)+1,FALSE)</f>
        <v>0</v>
      </c>
      <c r="N156" s="31">
        <f>VLOOKUP($F156&amp;$G156,Composite!$A$5:$Q$865,N$3,FALSE)*VLOOKUP($C156,[2]!ExistingSat,MATCH($A156,[2]SATS!$C$10:$F$10,0)+1,FALSE)</f>
        <v>0</v>
      </c>
      <c r="O156">
        <f>VLOOKUP($F156&amp;$G156,Composite!$A$5:$Q$865,O$3,FALSE)</f>
        <v>0</v>
      </c>
      <c r="P156" s="31">
        <f>VLOOKUP($F156&amp;$G156,Composite!$A$5:$Q$865,P$3,FALSE)*VLOOKUP($C156,[2]!ExistingSat,MATCH($A156,[2]SATS!$C$10:$F$10,0)+1,FALSE)</f>
        <v>0</v>
      </c>
      <c r="Q156">
        <f>VLOOKUP($F156&amp;$G156,Composite!$A$5:$Q$865,Q$3,FALSE)</f>
        <v>0</v>
      </c>
      <c r="R156" s="31">
        <f>VLOOKUP($F156&amp;$G156,Composite!$A$5:$Q$865,R$3,FALSE)*VLOOKUP($C156,[2]!ExistingSat,MATCH($A156,[2]SATS!$C$10:$F$10,0)+1,FALSE)</f>
        <v>0</v>
      </c>
      <c r="S156">
        <f>VLOOKUP($F156&amp;$G156,Composite!$A$5:$Q$865,S$3,FALSE)</f>
        <v>0</v>
      </c>
      <c r="T156" s="31">
        <f>VLOOKUP($F156&amp;$G156,Composite!$A$5:$Q$865,T$3,FALSE)*VLOOKUP($C156,[2]!ExistingSat,MATCH($A156,[2]SATS!$C$10:$F$10,0)+1,FALSE)</f>
        <v>0</v>
      </c>
    </row>
    <row r="157" spans="1:20">
      <c r="A157" t="s">
        <v>25</v>
      </c>
      <c r="B157" t="s">
        <v>227</v>
      </c>
      <c r="C157" t="s">
        <v>28</v>
      </c>
      <c r="D157" t="s">
        <v>61</v>
      </c>
      <c r="E157" t="str">
        <f t="shared" si="3"/>
        <v>Electric FAFHZ2ATTIC R0 - R49 (cooling savings)</v>
      </c>
      <c r="F157" s="31" t="str">
        <f>Composite!B156</f>
        <v>Single Family Weatherization - Insulate Attic - R0 to R49 - Heating Zone 2 (Electric FAF)</v>
      </c>
      <c r="G157" t="s">
        <v>210</v>
      </c>
      <c r="H157" s="31">
        <f>VLOOKUP($F157&amp;$G157,Composite!$A$5:$Q$865,H$3,FALSE)*VLOOKUP($C157,[2]!ExistingSat,MATCH($A157,[2]SATS!$C$10:$F$10,0)+1,FALSE)</f>
        <v>612.28716356637278</v>
      </c>
      <c r="I157">
        <f>VLOOKUP($F157&amp;$G157,Composite!$A$5:$Q$865,I$3,FALSE)</f>
        <v>45</v>
      </c>
      <c r="J157" s="31">
        <f>VLOOKUP($F157&amp;$G157,Composite!$A$5:$Q$865,J$3,FALSE)*VLOOKUP($C157,[2]!ExistingSat,MATCH($A157,[2]SATS!$C$10:$F$10,0)+1,FALSE)</f>
        <v>0</v>
      </c>
      <c r="K157" s="31">
        <f>VLOOKUP($F157&amp;$G157,Composite!$A$5:$Q$865,K$3,FALSE)*VLOOKUP($C157,[2]!ExistingSat,MATCH($A157,[2]SATS!$C$10:$F$10,0)+1,FALSE)</f>
        <v>0</v>
      </c>
      <c r="L157" t="str">
        <f>VLOOKUP($F157&amp;$G157,Composite!$A$5:$Q$865,L$3,FALSE)</f>
        <v>ResCACPNW</v>
      </c>
      <c r="M157" s="31">
        <f>VLOOKUP($F157&amp;$G157,Composite!$A$5:$Q$865,M$3,FALSE)*VLOOKUP($C157,[2]!ExistingSat,MATCH($A157,[2]SATS!$C$10:$F$10,0)+1,FALSE)</f>
        <v>0</v>
      </c>
      <c r="N157" s="31">
        <f>VLOOKUP($F157&amp;$G157,Composite!$A$5:$Q$865,N$3,FALSE)*VLOOKUP($C157,[2]!ExistingSat,MATCH($A157,[2]SATS!$C$10:$F$10,0)+1,FALSE)</f>
        <v>0</v>
      </c>
      <c r="O157">
        <f>VLOOKUP($F157&amp;$G157,Composite!$A$5:$Q$865,O$3,FALSE)</f>
        <v>0</v>
      </c>
      <c r="P157" s="31">
        <f>VLOOKUP($F157&amp;$G157,Composite!$A$5:$Q$865,P$3,FALSE)*VLOOKUP($C157,[2]!ExistingSat,MATCH($A157,[2]SATS!$C$10:$F$10,0)+1,FALSE)</f>
        <v>0</v>
      </c>
      <c r="Q157">
        <f>VLOOKUP($F157&amp;$G157,Composite!$A$5:$Q$865,Q$3,FALSE)</f>
        <v>0</v>
      </c>
      <c r="R157" s="31">
        <f>VLOOKUP($F157&amp;$G157,Composite!$A$5:$Q$865,R$3,FALSE)*VLOOKUP($C157,[2]!ExistingSat,MATCH($A157,[2]SATS!$C$10:$F$10,0)+1,FALSE)</f>
        <v>0</v>
      </c>
      <c r="S157">
        <f>VLOOKUP($F157&amp;$G157,Composite!$A$5:$Q$865,S$3,FALSE)</f>
        <v>0</v>
      </c>
      <c r="T157" s="31">
        <f>VLOOKUP($F157&amp;$G157,Composite!$A$5:$Q$865,T$3,FALSE)*VLOOKUP($C157,[2]!ExistingSat,MATCH($A157,[2]SATS!$C$10:$F$10,0)+1,FALSE)</f>
        <v>0</v>
      </c>
    </row>
    <row r="158" spans="1:20">
      <c r="A158" t="s">
        <v>25</v>
      </c>
      <c r="B158" t="s">
        <v>227</v>
      </c>
      <c r="C158" t="s">
        <v>28</v>
      </c>
      <c r="D158" t="s">
        <v>61</v>
      </c>
      <c r="E158" t="str">
        <f t="shared" si="3"/>
        <v>Electric FAFHZ2ATTIC R11 - R38 (cooling savings)</v>
      </c>
      <c r="F158" s="31" t="str">
        <f>Composite!B157</f>
        <v>Single Family Weatherization - Insulate Attic - R11 to R38 - Heating Zone 2 (Electric FAF)</v>
      </c>
      <c r="G158" t="s">
        <v>211</v>
      </c>
      <c r="H158" s="31">
        <f>VLOOKUP($F158&amp;$G158,Composite!$A$5:$Q$865,H$3,FALSE)*VLOOKUP($C158,[2]!ExistingSat,MATCH($A158,[2]SATS!$C$10:$F$10,0)+1,FALSE)</f>
        <v>85.968145630176394</v>
      </c>
      <c r="I158">
        <f>VLOOKUP($F158&amp;$G158,Composite!$A$5:$Q$865,I$3,FALSE)</f>
        <v>45</v>
      </c>
      <c r="J158" s="31">
        <f>VLOOKUP($F158&amp;$G158,Composite!$A$5:$Q$865,J$3,FALSE)*VLOOKUP($C158,[2]!ExistingSat,MATCH($A158,[2]SATS!$C$10:$F$10,0)+1,FALSE)</f>
        <v>0</v>
      </c>
      <c r="K158" s="31">
        <f>VLOOKUP($F158&amp;$G158,Composite!$A$5:$Q$865,K$3,FALSE)*VLOOKUP($C158,[2]!ExistingSat,MATCH($A158,[2]SATS!$C$10:$F$10,0)+1,FALSE)</f>
        <v>0</v>
      </c>
      <c r="L158" t="str">
        <f>VLOOKUP($F158&amp;$G158,Composite!$A$5:$Q$865,L$3,FALSE)</f>
        <v>ResCACPNW</v>
      </c>
      <c r="M158" s="31">
        <f>VLOOKUP($F158&amp;$G158,Composite!$A$5:$Q$865,M$3,FALSE)*VLOOKUP($C158,[2]!ExistingSat,MATCH($A158,[2]SATS!$C$10:$F$10,0)+1,FALSE)</f>
        <v>0</v>
      </c>
      <c r="N158" s="31">
        <f>VLOOKUP($F158&amp;$G158,Composite!$A$5:$Q$865,N$3,FALSE)*VLOOKUP($C158,[2]!ExistingSat,MATCH($A158,[2]SATS!$C$10:$F$10,0)+1,FALSE)</f>
        <v>0</v>
      </c>
      <c r="O158">
        <f>VLOOKUP($F158&amp;$G158,Composite!$A$5:$Q$865,O$3,FALSE)</f>
        <v>0</v>
      </c>
      <c r="P158" s="31">
        <f>VLOOKUP($F158&amp;$G158,Composite!$A$5:$Q$865,P$3,FALSE)*VLOOKUP($C158,[2]!ExistingSat,MATCH($A158,[2]SATS!$C$10:$F$10,0)+1,FALSE)</f>
        <v>0</v>
      </c>
      <c r="Q158">
        <f>VLOOKUP($F158&amp;$G158,Composite!$A$5:$Q$865,Q$3,FALSE)</f>
        <v>0</v>
      </c>
      <c r="R158" s="31">
        <f>VLOOKUP($F158&amp;$G158,Composite!$A$5:$Q$865,R$3,FALSE)*VLOOKUP($C158,[2]!ExistingSat,MATCH($A158,[2]SATS!$C$10:$F$10,0)+1,FALSE)</f>
        <v>0</v>
      </c>
      <c r="S158">
        <f>VLOOKUP($F158&amp;$G158,Composite!$A$5:$Q$865,S$3,FALSE)</f>
        <v>0</v>
      </c>
      <c r="T158" s="31">
        <f>VLOOKUP($F158&amp;$G158,Composite!$A$5:$Q$865,T$3,FALSE)*VLOOKUP($C158,[2]!ExistingSat,MATCH($A158,[2]SATS!$C$10:$F$10,0)+1,FALSE)</f>
        <v>0</v>
      </c>
    </row>
    <row r="159" spans="1:20">
      <c r="A159" t="s">
        <v>25</v>
      </c>
      <c r="B159" t="s">
        <v>227</v>
      </c>
      <c r="C159" t="s">
        <v>28</v>
      </c>
      <c r="D159" t="s">
        <v>61</v>
      </c>
      <c r="E159" t="str">
        <f t="shared" si="3"/>
        <v>Electric FAFHZ2ATTIC R11 - R49 (cooling savings)</v>
      </c>
      <c r="F159" s="31" t="str">
        <f>Composite!B158</f>
        <v>Single Family Weatherization - Insulate Attic - R11 to R49 - Heating Zone 2 (Electric FAF)</v>
      </c>
      <c r="G159" t="s">
        <v>212</v>
      </c>
      <c r="H159" s="31">
        <f>VLOOKUP($F159&amp;$G159,Composite!$A$5:$Q$865,H$3,FALSE)*VLOOKUP($C159,[2]!ExistingSat,MATCH($A159,[2]SATS!$C$10:$F$10,0)+1,FALSE)</f>
        <v>93.016087423074325</v>
      </c>
      <c r="I159">
        <f>VLOOKUP($F159&amp;$G159,Composite!$A$5:$Q$865,I$3,FALSE)</f>
        <v>45</v>
      </c>
      <c r="J159" s="31">
        <f>VLOOKUP($F159&amp;$G159,Composite!$A$5:$Q$865,J$3,FALSE)*VLOOKUP($C159,[2]!ExistingSat,MATCH($A159,[2]SATS!$C$10:$F$10,0)+1,FALSE)</f>
        <v>0</v>
      </c>
      <c r="K159" s="31">
        <f>VLOOKUP($F159&amp;$G159,Composite!$A$5:$Q$865,K$3,FALSE)*VLOOKUP($C159,[2]!ExistingSat,MATCH($A159,[2]SATS!$C$10:$F$10,0)+1,FALSE)</f>
        <v>0</v>
      </c>
      <c r="L159" t="str">
        <f>VLOOKUP($F159&amp;$G159,Composite!$A$5:$Q$865,L$3,FALSE)</f>
        <v>ResCACPNW</v>
      </c>
      <c r="M159" s="31">
        <f>VLOOKUP($F159&amp;$G159,Composite!$A$5:$Q$865,M$3,FALSE)*VLOOKUP($C159,[2]!ExistingSat,MATCH($A159,[2]SATS!$C$10:$F$10,0)+1,FALSE)</f>
        <v>0</v>
      </c>
      <c r="N159" s="31">
        <f>VLOOKUP($F159&amp;$G159,Composite!$A$5:$Q$865,N$3,FALSE)*VLOOKUP($C159,[2]!ExistingSat,MATCH($A159,[2]SATS!$C$10:$F$10,0)+1,FALSE)</f>
        <v>0</v>
      </c>
      <c r="O159">
        <f>VLOOKUP($F159&amp;$G159,Composite!$A$5:$Q$865,O$3,FALSE)</f>
        <v>0</v>
      </c>
      <c r="P159" s="31">
        <f>VLOOKUP($F159&amp;$G159,Composite!$A$5:$Q$865,P$3,FALSE)*VLOOKUP($C159,[2]!ExistingSat,MATCH($A159,[2]SATS!$C$10:$F$10,0)+1,FALSE)</f>
        <v>0</v>
      </c>
      <c r="Q159">
        <f>VLOOKUP($F159&amp;$G159,Composite!$A$5:$Q$865,Q$3,FALSE)</f>
        <v>0</v>
      </c>
      <c r="R159" s="31">
        <f>VLOOKUP($F159&amp;$G159,Composite!$A$5:$Q$865,R$3,FALSE)*VLOOKUP($C159,[2]!ExistingSat,MATCH($A159,[2]SATS!$C$10:$F$10,0)+1,FALSE)</f>
        <v>0</v>
      </c>
      <c r="S159">
        <f>VLOOKUP($F159&amp;$G159,Composite!$A$5:$Q$865,S$3,FALSE)</f>
        <v>0</v>
      </c>
      <c r="T159" s="31">
        <f>VLOOKUP($F159&amp;$G159,Composite!$A$5:$Q$865,T$3,FALSE)*VLOOKUP($C159,[2]!ExistingSat,MATCH($A159,[2]SATS!$C$10:$F$10,0)+1,FALSE)</f>
        <v>0</v>
      </c>
    </row>
    <row r="160" spans="1:20">
      <c r="A160" t="s">
        <v>25</v>
      </c>
      <c r="B160" t="s">
        <v>227</v>
      </c>
      <c r="C160" t="s">
        <v>28</v>
      </c>
      <c r="D160" t="s">
        <v>61</v>
      </c>
      <c r="E160" t="str">
        <f t="shared" si="3"/>
        <v>Electric FAFHZ2ATTIC R19 - R38 (cooling savings)</v>
      </c>
      <c r="F160" s="31" t="str">
        <f>Composite!B159</f>
        <v>Single Family Weatherization - Insulate Attic - R19 to R38 - Heating Zone 2 (Electric FAF)</v>
      </c>
      <c r="G160" t="s">
        <v>213</v>
      </c>
      <c r="H160" s="31">
        <f>VLOOKUP($F160&amp;$G160,Composite!$A$5:$Q$865,H$3,FALSE)*VLOOKUP($C160,[2]!ExistingSat,MATCH($A160,[2]SATS!$C$10:$F$10,0)+1,FALSE)</f>
        <v>34.965184238127343</v>
      </c>
      <c r="I160">
        <f>VLOOKUP($F160&amp;$G160,Composite!$A$5:$Q$865,I$3,FALSE)</f>
        <v>45</v>
      </c>
      <c r="J160" s="31">
        <f>VLOOKUP($F160&amp;$G160,Composite!$A$5:$Q$865,J$3,FALSE)*VLOOKUP($C160,[2]!ExistingSat,MATCH($A160,[2]SATS!$C$10:$F$10,0)+1,FALSE)</f>
        <v>0</v>
      </c>
      <c r="K160" s="31">
        <f>VLOOKUP($F160&amp;$G160,Composite!$A$5:$Q$865,K$3,FALSE)*VLOOKUP($C160,[2]!ExistingSat,MATCH($A160,[2]SATS!$C$10:$F$10,0)+1,FALSE)</f>
        <v>0</v>
      </c>
      <c r="L160" t="str">
        <f>VLOOKUP($F160&amp;$G160,Composite!$A$5:$Q$865,L$3,FALSE)</f>
        <v>ResCACPNW</v>
      </c>
      <c r="M160" s="31">
        <f>VLOOKUP($F160&amp;$G160,Composite!$A$5:$Q$865,M$3,FALSE)*VLOOKUP($C160,[2]!ExistingSat,MATCH($A160,[2]SATS!$C$10:$F$10,0)+1,FALSE)</f>
        <v>0</v>
      </c>
      <c r="N160" s="31">
        <f>VLOOKUP($F160&amp;$G160,Composite!$A$5:$Q$865,N$3,FALSE)*VLOOKUP($C160,[2]!ExistingSat,MATCH($A160,[2]SATS!$C$10:$F$10,0)+1,FALSE)</f>
        <v>0</v>
      </c>
      <c r="O160">
        <f>VLOOKUP($F160&amp;$G160,Composite!$A$5:$Q$865,O$3,FALSE)</f>
        <v>0</v>
      </c>
      <c r="P160" s="31">
        <f>VLOOKUP($F160&amp;$G160,Composite!$A$5:$Q$865,P$3,FALSE)*VLOOKUP($C160,[2]!ExistingSat,MATCH($A160,[2]SATS!$C$10:$F$10,0)+1,FALSE)</f>
        <v>0</v>
      </c>
      <c r="Q160">
        <f>VLOOKUP($F160&amp;$G160,Composite!$A$5:$Q$865,Q$3,FALSE)</f>
        <v>0</v>
      </c>
      <c r="R160" s="31">
        <f>VLOOKUP($F160&amp;$G160,Composite!$A$5:$Q$865,R$3,FALSE)*VLOOKUP($C160,[2]!ExistingSat,MATCH($A160,[2]SATS!$C$10:$F$10,0)+1,FALSE)</f>
        <v>0</v>
      </c>
      <c r="S160">
        <f>VLOOKUP($F160&amp;$G160,Composite!$A$5:$Q$865,S$3,FALSE)</f>
        <v>0</v>
      </c>
      <c r="T160" s="31">
        <f>VLOOKUP($F160&amp;$G160,Composite!$A$5:$Q$865,T$3,FALSE)*VLOOKUP($C160,[2]!ExistingSat,MATCH($A160,[2]SATS!$C$10:$F$10,0)+1,FALSE)</f>
        <v>0</v>
      </c>
    </row>
    <row r="161" spans="1:20">
      <c r="A161" t="s">
        <v>25</v>
      </c>
      <c r="B161" t="s">
        <v>227</v>
      </c>
      <c r="C161" t="s">
        <v>28</v>
      </c>
      <c r="D161" t="s">
        <v>61</v>
      </c>
      <c r="E161" t="str">
        <f t="shared" si="3"/>
        <v>Electric FAFHZ2ATTIC R19 - R49 (cooling savings)</v>
      </c>
      <c r="F161" s="31" t="str">
        <f>Composite!B160</f>
        <v>Single Family Weatherization - Insulate Attic - R19 to R49 - Heating Zone 2 (Electric FAF)</v>
      </c>
      <c r="G161" t="s">
        <v>214</v>
      </c>
      <c r="H161" s="31">
        <f>VLOOKUP($F161&amp;$G161,Composite!$A$5:$Q$865,H$3,FALSE)*VLOOKUP($C161,[2]!ExistingSat,MATCH($A161,[2]SATS!$C$10:$F$10,0)+1,FALSE)</f>
        <v>42.013126031025259</v>
      </c>
      <c r="I161">
        <f>VLOOKUP($F161&amp;$G161,Composite!$A$5:$Q$865,I$3,FALSE)</f>
        <v>45</v>
      </c>
      <c r="J161" s="31">
        <f>VLOOKUP($F161&amp;$G161,Composite!$A$5:$Q$865,J$3,FALSE)*VLOOKUP($C161,[2]!ExistingSat,MATCH($A161,[2]SATS!$C$10:$F$10,0)+1,FALSE)</f>
        <v>0</v>
      </c>
      <c r="K161" s="31">
        <f>VLOOKUP($F161&amp;$G161,Composite!$A$5:$Q$865,K$3,FALSE)*VLOOKUP($C161,[2]!ExistingSat,MATCH($A161,[2]SATS!$C$10:$F$10,0)+1,FALSE)</f>
        <v>0</v>
      </c>
      <c r="L161" t="str">
        <f>VLOOKUP($F161&amp;$G161,Composite!$A$5:$Q$865,L$3,FALSE)</f>
        <v>ResCACPNW</v>
      </c>
      <c r="M161" s="31">
        <f>VLOOKUP($F161&amp;$G161,Composite!$A$5:$Q$865,M$3,FALSE)*VLOOKUP($C161,[2]!ExistingSat,MATCH($A161,[2]SATS!$C$10:$F$10,0)+1,FALSE)</f>
        <v>0</v>
      </c>
      <c r="N161" s="31">
        <f>VLOOKUP($F161&amp;$G161,Composite!$A$5:$Q$865,N$3,FALSE)*VLOOKUP($C161,[2]!ExistingSat,MATCH($A161,[2]SATS!$C$10:$F$10,0)+1,FALSE)</f>
        <v>0</v>
      </c>
      <c r="O161">
        <f>VLOOKUP($F161&amp;$G161,Composite!$A$5:$Q$865,O$3,FALSE)</f>
        <v>0</v>
      </c>
      <c r="P161" s="31">
        <f>VLOOKUP($F161&amp;$G161,Composite!$A$5:$Q$865,P$3,FALSE)*VLOOKUP($C161,[2]!ExistingSat,MATCH($A161,[2]SATS!$C$10:$F$10,0)+1,FALSE)</f>
        <v>0</v>
      </c>
      <c r="Q161">
        <f>VLOOKUP($F161&amp;$G161,Composite!$A$5:$Q$865,Q$3,FALSE)</f>
        <v>0</v>
      </c>
      <c r="R161" s="31">
        <f>VLOOKUP($F161&amp;$G161,Composite!$A$5:$Q$865,R$3,FALSE)*VLOOKUP($C161,[2]!ExistingSat,MATCH($A161,[2]SATS!$C$10:$F$10,0)+1,FALSE)</f>
        <v>0</v>
      </c>
      <c r="S161">
        <f>VLOOKUP($F161&amp;$G161,Composite!$A$5:$Q$865,S$3,FALSE)</f>
        <v>0</v>
      </c>
      <c r="T161" s="31">
        <f>VLOOKUP($F161&amp;$G161,Composite!$A$5:$Q$865,T$3,FALSE)*VLOOKUP($C161,[2]!ExistingSat,MATCH($A161,[2]SATS!$C$10:$F$10,0)+1,FALSE)</f>
        <v>0</v>
      </c>
    </row>
    <row r="162" spans="1:20">
      <c r="A162" t="s">
        <v>25</v>
      </c>
      <c r="B162" t="s">
        <v>227</v>
      </c>
      <c r="C162" t="s">
        <v>64</v>
      </c>
      <c r="D162" t="s">
        <v>61</v>
      </c>
      <c r="E162" t="str">
        <f t="shared" si="3"/>
        <v>Electric FAFHZ2WALL R0 - R11 (cooling savings)</v>
      </c>
      <c r="F162" s="31" t="str">
        <f>Composite!B161</f>
        <v>Single Family Weatherization - Insulate Wall - R0 to R11 - Heating Zone 2 (Electric FAF)</v>
      </c>
      <c r="G162" t="s">
        <v>217</v>
      </c>
      <c r="H162" s="31">
        <f>VLOOKUP($F162&amp;$G162,Composite!$A$5:$Q$865,H$3,FALSE)*VLOOKUP($C162,[2]!ExistingSat,MATCH($A162,[2]SATS!$C$10:$F$10,0)+1,FALSE)</f>
        <v>97.596559640288419</v>
      </c>
      <c r="I162">
        <f>VLOOKUP($F162&amp;$G162,Composite!$A$5:$Q$865,I$3,FALSE)</f>
        <v>45</v>
      </c>
      <c r="J162" s="31">
        <f>VLOOKUP($F162&amp;$G162,Composite!$A$5:$Q$865,J$3,FALSE)*VLOOKUP($C162,[2]!ExistingSat,MATCH($A162,[2]SATS!$C$10:$F$10,0)+1,FALSE)</f>
        <v>0</v>
      </c>
      <c r="K162" s="31">
        <f>VLOOKUP($F162&amp;$G162,Composite!$A$5:$Q$865,K$3,FALSE)*VLOOKUP($C162,[2]!ExistingSat,MATCH($A162,[2]SATS!$C$10:$F$10,0)+1,FALSE)</f>
        <v>0</v>
      </c>
      <c r="L162" t="str">
        <f>VLOOKUP($F162&amp;$G162,Composite!$A$5:$Q$865,L$3,FALSE)</f>
        <v>ResCACPNW</v>
      </c>
      <c r="M162" s="31">
        <f>VLOOKUP($F162&amp;$G162,Composite!$A$5:$Q$865,M$3,FALSE)*VLOOKUP($C162,[2]!ExistingSat,MATCH($A162,[2]SATS!$C$10:$F$10,0)+1,FALSE)</f>
        <v>0</v>
      </c>
      <c r="N162" s="31">
        <f>VLOOKUP($F162&amp;$G162,Composite!$A$5:$Q$865,N$3,FALSE)*VLOOKUP($C162,[2]!ExistingSat,MATCH($A162,[2]SATS!$C$10:$F$10,0)+1,FALSE)</f>
        <v>0</v>
      </c>
      <c r="O162">
        <f>VLOOKUP($F162&amp;$G162,Composite!$A$5:$Q$865,O$3,FALSE)</f>
        <v>0</v>
      </c>
      <c r="P162" s="31">
        <f>VLOOKUP($F162&amp;$G162,Composite!$A$5:$Q$865,P$3,FALSE)*VLOOKUP($C162,[2]!ExistingSat,MATCH($A162,[2]SATS!$C$10:$F$10,0)+1,FALSE)</f>
        <v>0</v>
      </c>
      <c r="Q162">
        <f>VLOOKUP($F162&amp;$G162,Composite!$A$5:$Q$865,Q$3,FALSE)</f>
        <v>0</v>
      </c>
      <c r="R162" s="31">
        <f>VLOOKUP($F162&amp;$G162,Composite!$A$5:$Q$865,R$3,FALSE)*VLOOKUP($C162,[2]!ExistingSat,MATCH($A162,[2]SATS!$C$10:$F$10,0)+1,FALSE)</f>
        <v>0</v>
      </c>
      <c r="S162">
        <f>VLOOKUP($F162&amp;$G162,Composite!$A$5:$Q$865,S$3,FALSE)</f>
        <v>0</v>
      </c>
      <c r="T162" s="31">
        <f>VLOOKUP($F162&amp;$G162,Composite!$A$5:$Q$865,T$3,FALSE)*VLOOKUP($C162,[2]!ExistingSat,MATCH($A162,[2]SATS!$C$10:$F$10,0)+1,FALSE)</f>
        <v>0</v>
      </c>
    </row>
    <row r="163" spans="1:20">
      <c r="A163" t="s">
        <v>25</v>
      </c>
      <c r="B163" t="s">
        <v>227</v>
      </c>
      <c r="C163" t="s">
        <v>26</v>
      </c>
      <c r="D163" t="s">
        <v>61</v>
      </c>
      <c r="E163" t="str">
        <f t="shared" si="3"/>
        <v>Electric FAFHZ2FLOOR R0 - R19 (cooling savings)</v>
      </c>
      <c r="F163" s="31" t="str">
        <f>Composite!B162</f>
        <v>Single Family Weatherization - Insulate Floor - R0 to R19 - Heating Zone 2 (Electric FAF)</v>
      </c>
      <c r="G163" t="s">
        <v>218</v>
      </c>
      <c r="H163" s="31">
        <f>VLOOKUP($F163&amp;$G163,Composite!$A$5:$Q$865,H$3,FALSE)*VLOOKUP($C163,[2]!ExistingSat,MATCH($A163,[2]SATS!$C$10:$F$10,0)+1,FALSE)</f>
        <v>-90.719522936722356</v>
      </c>
      <c r="I163">
        <f>VLOOKUP($F163&amp;$G163,Composite!$A$5:$Q$865,I$3,FALSE)</f>
        <v>45</v>
      </c>
      <c r="J163" s="31">
        <f>VLOOKUP($F163&amp;$G163,Composite!$A$5:$Q$865,J$3,FALSE)*VLOOKUP($C163,[2]!ExistingSat,MATCH($A163,[2]SATS!$C$10:$F$10,0)+1,FALSE)</f>
        <v>0</v>
      </c>
      <c r="K163" s="31">
        <f>VLOOKUP($F163&amp;$G163,Composite!$A$5:$Q$865,K$3,FALSE)*VLOOKUP($C163,[2]!ExistingSat,MATCH($A163,[2]SATS!$C$10:$F$10,0)+1,FALSE)</f>
        <v>0</v>
      </c>
      <c r="L163" t="str">
        <f>VLOOKUP($F163&amp;$G163,Composite!$A$5:$Q$865,L$3,FALSE)</f>
        <v>ResCACPNW</v>
      </c>
      <c r="M163" s="31">
        <f>VLOOKUP($F163&amp;$G163,Composite!$A$5:$Q$865,M$3,FALSE)*VLOOKUP($C163,[2]!ExistingSat,MATCH($A163,[2]SATS!$C$10:$F$10,0)+1,FALSE)</f>
        <v>0</v>
      </c>
      <c r="N163" s="31">
        <f>VLOOKUP($F163&amp;$G163,Composite!$A$5:$Q$865,N$3,FALSE)*VLOOKUP($C163,[2]!ExistingSat,MATCH($A163,[2]SATS!$C$10:$F$10,0)+1,FALSE)</f>
        <v>0</v>
      </c>
      <c r="O163">
        <f>VLOOKUP($F163&amp;$G163,Composite!$A$5:$Q$865,O$3,FALSE)</f>
        <v>0</v>
      </c>
      <c r="P163" s="31">
        <f>VLOOKUP($F163&amp;$G163,Composite!$A$5:$Q$865,P$3,FALSE)*VLOOKUP($C163,[2]!ExistingSat,MATCH($A163,[2]SATS!$C$10:$F$10,0)+1,FALSE)</f>
        <v>0</v>
      </c>
      <c r="Q163">
        <f>VLOOKUP($F163&amp;$G163,Composite!$A$5:$Q$865,Q$3,FALSE)</f>
        <v>0</v>
      </c>
      <c r="R163" s="31">
        <f>VLOOKUP($F163&amp;$G163,Composite!$A$5:$Q$865,R$3,FALSE)*VLOOKUP($C163,[2]!ExistingSat,MATCH($A163,[2]SATS!$C$10:$F$10,0)+1,FALSE)</f>
        <v>0</v>
      </c>
      <c r="S163">
        <f>VLOOKUP($F163&amp;$G163,Composite!$A$5:$Q$865,S$3,FALSE)</f>
        <v>0</v>
      </c>
      <c r="T163" s="31">
        <f>VLOOKUP($F163&amp;$G163,Composite!$A$5:$Q$865,T$3,FALSE)*VLOOKUP($C163,[2]!ExistingSat,MATCH($A163,[2]SATS!$C$10:$F$10,0)+1,FALSE)</f>
        <v>0</v>
      </c>
    </row>
    <row r="164" spans="1:20">
      <c r="A164" t="s">
        <v>25</v>
      </c>
      <c r="B164" t="s">
        <v>227</v>
      </c>
      <c r="C164" t="s">
        <v>26</v>
      </c>
      <c r="D164" t="s">
        <v>61</v>
      </c>
      <c r="E164" t="str">
        <f t="shared" si="3"/>
        <v>Electric FAFHZ2FLOOR R0 - R25 (cooling savings)</v>
      </c>
      <c r="F164" s="31" t="str">
        <f>Composite!B163</f>
        <v>Single Family Weatherization - Insulate Floor - R0 to R25 - Heating Zone 2 (Electric FAF)</v>
      </c>
      <c r="G164" t="s">
        <v>219</v>
      </c>
      <c r="H164" s="31">
        <f>VLOOKUP($F164&amp;$G164,Composite!$A$5:$Q$865,H$3,FALSE)*VLOOKUP($C164,[2]!ExistingSat,MATCH($A164,[2]SATS!$C$10:$F$10,0)+1,FALSE)</f>
        <v>-100.72086449916755</v>
      </c>
      <c r="I164">
        <f>VLOOKUP($F164&amp;$G164,Composite!$A$5:$Q$865,I$3,FALSE)</f>
        <v>45</v>
      </c>
      <c r="J164" s="31">
        <f>VLOOKUP($F164&amp;$G164,Composite!$A$5:$Q$865,J$3,FALSE)*VLOOKUP($C164,[2]!ExistingSat,MATCH($A164,[2]SATS!$C$10:$F$10,0)+1,FALSE)</f>
        <v>0</v>
      </c>
      <c r="K164" s="31">
        <f>VLOOKUP($F164&amp;$G164,Composite!$A$5:$Q$865,K$3,FALSE)*VLOOKUP($C164,[2]!ExistingSat,MATCH($A164,[2]SATS!$C$10:$F$10,0)+1,FALSE)</f>
        <v>0</v>
      </c>
      <c r="L164" t="str">
        <f>VLOOKUP($F164&amp;$G164,Composite!$A$5:$Q$865,L$3,FALSE)</f>
        <v>ResCACPNW</v>
      </c>
      <c r="M164" s="31">
        <f>VLOOKUP($F164&amp;$G164,Composite!$A$5:$Q$865,M$3,FALSE)*VLOOKUP($C164,[2]!ExistingSat,MATCH($A164,[2]SATS!$C$10:$F$10,0)+1,FALSE)</f>
        <v>0</v>
      </c>
      <c r="N164" s="31">
        <f>VLOOKUP($F164&amp;$G164,Composite!$A$5:$Q$865,N$3,FALSE)*VLOOKUP($C164,[2]!ExistingSat,MATCH($A164,[2]SATS!$C$10:$F$10,0)+1,FALSE)</f>
        <v>0</v>
      </c>
      <c r="O164">
        <f>VLOOKUP($F164&amp;$G164,Composite!$A$5:$Q$865,O$3,FALSE)</f>
        <v>0</v>
      </c>
      <c r="P164" s="31">
        <f>VLOOKUP($F164&amp;$G164,Composite!$A$5:$Q$865,P$3,FALSE)*VLOOKUP($C164,[2]!ExistingSat,MATCH($A164,[2]SATS!$C$10:$F$10,0)+1,FALSE)</f>
        <v>0</v>
      </c>
      <c r="Q164">
        <f>VLOOKUP($F164&amp;$G164,Composite!$A$5:$Q$865,Q$3,FALSE)</f>
        <v>0</v>
      </c>
      <c r="R164" s="31">
        <f>VLOOKUP($F164&amp;$G164,Composite!$A$5:$Q$865,R$3,FALSE)*VLOOKUP($C164,[2]!ExistingSat,MATCH($A164,[2]SATS!$C$10:$F$10,0)+1,FALSE)</f>
        <v>0</v>
      </c>
      <c r="S164">
        <f>VLOOKUP($F164&amp;$G164,Composite!$A$5:$Q$865,S$3,FALSE)</f>
        <v>0</v>
      </c>
      <c r="T164" s="31">
        <f>VLOOKUP($F164&amp;$G164,Composite!$A$5:$Q$865,T$3,FALSE)*VLOOKUP($C164,[2]!ExistingSat,MATCH($A164,[2]SATS!$C$10:$F$10,0)+1,FALSE)</f>
        <v>0</v>
      </c>
    </row>
    <row r="165" spans="1:20">
      <c r="A165" t="s">
        <v>25</v>
      </c>
      <c r="B165" t="s">
        <v>227</v>
      </c>
      <c r="C165" t="s">
        <v>26</v>
      </c>
      <c r="D165" t="s">
        <v>61</v>
      </c>
      <c r="E165" t="str">
        <f t="shared" si="3"/>
        <v>Electric FAFHZ2FLOOR R0 - R30 (cooling savings)</v>
      </c>
      <c r="F165" s="31" t="str">
        <f>Composite!B164</f>
        <v>Single Family Weatherization - Insulate Floor - R0 to R30 - Heating Zone 2 (Electric FAF)</v>
      </c>
      <c r="G165" t="s">
        <v>220</v>
      </c>
      <c r="H165" s="31">
        <f>VLOOKUP($F165&amp;$G165,Composite!$A$5:$Q$865,H$3,FALSE)*VLOOKUP($C165,[2]!ExistingSat,MATCH($A165,[2]SATS!$C$10:$F$10,0)+1,FALSE)</f>
        <v>-107.24342967404763</v>
      </c>
      <c r="I165">
        <f>VLOOKUP($F165&amp;$G165,Composite!$A$5:$Q$865,I$3,FALSE)</f>
        <v>45</v>
      </c>
      <c r="J165" s="31">
        <f>VLOOKUP($F165&amp;$G165,Composite!$A$5:$Q$865,J$3,FALSE)*VLOOKUP($C165,[2]!ExistingSat,MATCH($A165,[2]SATS!$C$10:$F$10,0)+1,FALSE)</f>
        <v>0</v>
      </c>
      <c r="K165" s="31">
        <f>VLOOKUP($F165&amp;$G165,Composite!$A$5:$Q$865,K$3,FALSE)*VLOOKUP($C165,[2]!ExistingSat,MATCH($A165,[2]SATS!$C$10:$F$10,0)+1,FALSE)</f>
        <v>0</v>
      </c>
      <c r="L165" t="str">
        <f>VLOOKUP($F165&amp;$G165,Composite!$A$5:$Q$865,L$3,FALSE)</f>
        <v>ResCACPNW</v>
      </c>
      <c r="M165" s="31">
        <f>VLOOKUP($F165&amp;$G165,Composite!$A$5:$Q$865,M$3,FALSE)*VLOOKUP($C165,[2]!ExistingSat,MATCH($A165,[2]SATS!$C$10:$F$10,0)+1,FALSE)</f>
        <v>0</v>
      </c>
      <c r="N165" s="31">
        <f>VLOOKUP($F165&amp;$G165,Composite!$A$5:$Q$865,N$3,FALSE)*VLOOKUP($C165,[2]!ExistingSat,MATCH($A165,[2]SATS!$C$10:$F$10,0)+1,FALSE)</f>
        <v>0</v>
      </c>
      <c r="O165">
        <f>VLOOKUP($F165&amp;$G165,Composite!$A$5:$Q$865,O$3,FALSE)</f>
        <v>0</v>
      </c>
      <c r="P165" s="31">
        <f>VLOOKUP($F165&amp;$G165,Composite!$A$5:$Q$865,P$3,FALSE)*VLOOKUP($C165,[2]!ExistingSat,MATCH($A165,[2]SATS!$C$10:$F$10,0)+1,FALSE)</f>
        <v>0</v>
      </c>
      <c r="Q165">
        <f>VLOOKUP($F165&amp;$G165,Composite!$A$5:$Q$865,Q$3,FALSE)</f>
        <v>0</v>
      </c>
      <c r="R165" s="31">
        <f>VLOOKUP($F165&amp;$G165,Composite!$A$5:$Q$865,R$3,FALSE)*VLOOKUP($C165,[2]!ExistingSat,MATCH($A165,[2]SATS!$C$10:$F$10,0)+1,FALSE)</f>
        <v>0</v>
      </c>
      <c r="S165">
        <f>VLOOKUP($F165&amp;$G165,Composite!$A$5:$Q$865,S$3,FALSE)</f>
        <v>0</v>
      </c>
      <c r="T165" s="31">
        <f>VLOOKUP($F165&amp;$G165,Composite!$A$5:$Q$865,T$3,FALSE)*VLOOKUP($C165,[2]!ExistingSat,MATCH($A165,[2]SATS!$C$10:$F$10,0)+1,FALSE)</f>
        <v>0</v>
      </c>
    </row>
    <row r="166" spans="1:20">
      <c r="A166" t="s">
        <v>25</v>
      </c>
      <c r="B166" t="s">
        <v>227</v>
      </c>
      <c r="C166" t="s">
        <v>27</v>
      </c>
      <c r="D166" t="s">
        <v>61</v>
      </c>
      <c r="E166" t="str">
        <f t="shared" si="3"/>
        <v>Electric FAFHZ2WINDOW CL30 Prime Window Replacement of Single Pane Base (cooling savings)</v>
      </c>
      <c r="F166" s="31" t="str">
        <f>Composite!B165</f>
        <v>Windows - Single Pane to Class 30 - Heating Zone 2 (Electric FAF)</v>
      </c>
      <c r="G166" t="s">
        <v>221</v>
      </c>
      <c r="H166" s="31">
        <f>VLOOKUP($F166&amp;$G166,Composite!$A$5:$Q$865,H$3,FALSE)*VLOOKUP($C166,[2]!ExistingSat,MATCH($A166,[2]SATS!$C$10:$F$10,0)+1,FALSE)</f>
        <v>186.39560941488426</v>
      </c>
      <c r="I166">
        <f>VLOOKUP($F166&amp;$G166,Composite!$A$5:$Q$865,I$3,FALSE)</f>
        <v>45</v>
      </c>
      <c r="J166" s="31">
        <f>VLOOKUP($F166&amp;$G166,Composite!$A$5:$Q$865,J$3,FALSE)*VLOOKUP($C166,[2]!ExistingSat,MATCH($A166,[2]SATS!$C$10:$F$10,0)+1,FALSE)</f>
        <v>0</v>
      </c>
      <c r="K166" s="31">
        <f>VLOOKUP($F166&amp;$G166,Composite!$A$5:$Q$865,K$3,FALSE)*VLOOKUP($C166,[2]!ExistingSat,MATCH($A166,[2]SATS!$C$10:$F$10,0)+1,FALSE)</f>
        <v>0</v>
      </c>
      <c r="L166" t="str">
        <f>VLOOKUP($F166&amp;$G166,Composite!$A$5:$Q$865,L$3,FALSE)</f>
        <v>ResCACPNW</v>
      </c>
      <c r="M166" s="31">
        <f>VLOOKUP($F166&amp;$G166,Composite!$A$5:$Q$865,M$3,FALSE)*VLOOKUP($C166,[2]!ExistingSat,MATCH($A166,[2]SATS!$C$10:$F$10,0)+1,FALSE)</f>
        <v>0</v>
      </c>
      <c r="N166" s="31">
        <f>VLOOKUP($F166&amp;$G166,Composite!$A$5:$Q$865,N$3,FALSE)*VLOOKUP($C166,[2]!ExistingSat,MATCH($A166,[2]SATS!$C$10:$F$10,0)+1,FALSE)</f>
        <v>0</v>
      </c>
      <c r="O166">
        <f>VLOOKUP($F166&amp;$G166,Composite!$A$5:$Q$865,O$3,FALSE)</f>
        <v>0</v>
      </c>
      <c r="P166" s="31">
        <f>VLOOKUP($F166&amp;$G166,Composite!$A$5:$Q$865,P$3,FALSE)*VLOOKUP($C166,[2]!ExistingSat,MATCH($A166,[2]SATS!$C$10:$F$10,0)+1,FALSE)</f>
        <v>0</v>
      </c>
      <c r="Q166">
        <f>VLOOKUP($F166&amp;$G166,Composite!$A$5:$Q$865,Q$3,FALSE)</f>
        <v>0</v>
      </c>
      <c r="R166" s="31">
        <f>VLOOKUP($F166&amp;$G166,Composite!$A$5:$Q$865,R$3,FALSE)*VLOOKUP($C166,[2]!ExistingSat,MATCH($A166,[2]SATS!$C$10:$F$10,0)+1,FALSE)</f>
        <v>0</v>
      </c>
      <c r="S166">
        <f>VLOOKUP($F166&amp;$G166,Composite!$A$5:$Q$865,S$3,FALSE)</f>
        <v>0</v>
      </c>
      <c r="T166" s="31">
        <f>VLOOKUP($F166&amp;$G166,Composite!$A$5:$Q$865,T$3,FALSE)*VLOOKUP($C166,[2]!ExistingSat,MATCH($A166,[2]SATS!$C$10:$F$10,0)+1,FALSE)</f>
        <v>0</v>
      </c>
    </row>
    <row r="167" spans="1:20">
      <c r="A167" t="s">
        <v>25</v>
      </c>
      <c r="B167" t="s">
        <v>227</v>
      </c>
      <c r="C167" t="s">
        <v>27</v>
      </c>
      <c r="D167" t="s">
        <v>61</v>
      </c>
      <c r="E167" t="str">
        <f t="shared" si="3"/>
        <v>Electric FAFHZ2WINDOW CL30 Prime Window Replacement of Double Pane Base (cooling savings)</v>
      </c>
      <c r="F167" s="31" t="str">
        <f>Composite!B166</f>
        <v>Windows - Double Pane to Class 30 - Heating Zone 2 (Electric FAF)</v>
      </c>
      <c r="G167" t="s">
        <v>222</v>
      </c>
      <c r="H167" s="31">
        <f>VLOOKUP($F167&amp;$G167,Composite!$A$5:$Q$865,H$3,FALSE)*VLOOKUP($C167,[2]!ExistingSat,MATCH($A167,[2]SATS!$C$10:$F$10,0)+1,FALSE)</f>
        <v>234.20964638880815</v>
      </c>
      <c r="I167">
        <f>VLOOKUP($F167&amp;$G167,Composite!$A$5:$Q$865,I$3,FALSE)</f>
        <v>45</v>
      </c>
      <c r="J167" s="31">
        <f>VLOOKUP($F167&amp;$G167,Composite!$A$5:$Q$865,J$3,FALSE)*VLOOKUP($C167,[2]!ExistingSat,MATCH($A167,[2]SATS!$C$10:$F$10,0)+1,FALSE)</f>
        <v>0</v>
      </c>
      <c r="K167" s="31">
        <f>VLOOKUP($F167&amp;$G167,Composite!$A$5:$Q$865,K$3,FALSE)*VLOOKUP($C167,[2]!ExistingSat,MATCH($A167,[2]SATS!$C$10:$F$10,0)+1,FALSE)</f>
        <v>0</v>
      </c>
      <c r="L167" t="str">
        <f>VLOOKUP($F167&amp;$G167,Composite!$A$5:$Q$865,L$3,FALSE)</f>
        <v>ResCACPNW</v>
      </c>
      <c r="M167" s="31">
        <f>VLOOKUP($F167&amp;$G167,Composite!$A$5:$Q$865,M$3,FALSE)*VLOOKUP($C167,[2]!ExistingSat,MATCH($A167,[2]SATS!$C$10:$F$10,0)+1,FALSE)</f>
        <v>0</v>
      </c>
      <c r="N167" s="31">
        <f>VLOOKUP($F167&amp;$G167,Composite!$A$5:$Q$865,N$3,FALSE)*VLOOKUP($C167,[2]!ExistingSat,MATCH($A167,[2]SATS!$C$10:$F$10,0)+1,FALSE)</f>
        <v>0</v>
      </c>
      <c r="O167">
        <f>VLOOKUP($F167&amp;$G167,Composite!$A$5:$Q$865,O$3,FALSE)</f>
        <v>0</v>
      </c>
      <c r="P167" s="31">
        <f>VLOOKUP($F167&amp;$G167,Composite!$A$5:$Q$865,P$3,FALSE)*VLOOKUP($C167,[2]!ExistingSat,MATCH($A167,[2]SATS!$C$10:$F$10,0)+1,FALSE)</f>
        <v>0</v>
      </c>
      <c r="Q167">
        <f>VLOOKUP($F167&amp;$G167,Composite!$A$5:$Q$865,Q$3,FALSE)</f>
        <v>0</v>
      </c>
      <c r="R167" s="31">
        <f>VLOOKUP($F167&amp;$G167,Composite!$A$5:$Q$865,R$3,FALSE)*VLOOKUP($C167,[2]!ExistingSat,MATCH($A167,[2]SATS!$C$10:$F$10,0)+1,FALSE)</f>
        <v>0</v>
      </c>
      <c r="S167">
        <f>VLOOKUP($F167&amp;$G167,Composite!$A$5:$Q$865,S$3,FALSE)</f>
        <v>0</v>
      </c>
      <c r="T167" s="31">
        <f>VLOOKUP($F167&amp;$G167,Composite!$A$5:$Q$865,T$3,FALSE)*VLOOKUP($C167,[2]!ExistingSat,MATCH($A167,[2]SATS!$C$10:$F$10,0)+1,FALSE)</f>
        <v>0</v>
      </c>
    </row>
    <row r="168" spans="1:20">
      <c r="A168" t="s">
        <v>25</v>
      </c>
      <c r="B168" t="s">
        <v>227</v>
      </c>
      <c r="C168" t="s">
        <v>27</v>
      </c>
      <c r="D168" t="s">
        <v>61</v>
      </c>
      <c r="E168" t="str">
        <f t="shared" si="3"/>
        <v>Electric FAFHZ2WINDOW CL22 Prime Window Replacement of Single Pane Base (cooling savings)</v>
      </c>
      <c r="F168" s="31" t="str">
        <f>Composite!B167</f>
        <v>Windows - Single Pane to Class 22 - Heating Zone 2 (Electric FAF)</v>
      </c>
      <c r="G168" t="s">
        <v>224</v>
      </c>
      <c r="H168" s="31">
        <f>VLOOKUP($F168&amp;$G168,Composite!$A$5:$Q$865,H$3,FALSE)*VLOOKUP($C168,[2]!ExistingSat,MATCH($A168,[2]SATS!$C$10:$F$10,0)+1,FALSE)</f>
        <v>200.68943191978713</v>
      </c>
      <c r="I168">
        <f>VLOOKUP($F168&amp;$G168,Composite!$A$5:$Q$865,I$3,FALSE)</f>
        <v>45</v>
      </c>
      <c r="J168" s="31">
        <f>VLOOKUP($F168&amp;$G168,Composite!$A$5:$Q$865,J$3,FALSE)*VLOOKUP($C168,[2]!ExistingSat,MATCH($A168,[2]SATS!$C$10:$F$10,0)+1,FALSE)</f>
        <v>0</v>
      </c>
      <c r="K168" s="31">
        <f>VLOOKUP($F168&amp;$G168,Composite!$A$5:$Q$865,K$3,FALSE)*VLOOKUP($C168,[2]!ExistingSat,MATCH($A168,[2]SATS!$C$10:$F$10,0)+1,FALSE)</f>
        <v>0</v>
      </c>
      <c r="L168" t="str">
        <f>VLOOKUP($F168&amp;$G168,Composite!$A$5:$Q$865,L$3,FALSE)</f>
        <v>ResCACPNW</v>
      </c>
      <c r="M168" s="31">
        <f>VLOOKUP($F168&amp;$G168,Composite!$A$5:$Q$865,M$3,FALSE)*VLOOKUP($C168,[2]!ExistingSat,MATCH($A168,[2]SATS!$C$10:$F$10,0)+1,FALSE)</f>
        <v>0</v>
      </c>
      <c r="N168" s="31">
        <f>VLOOKUP($F168&amp;$G168,Composite!$A$5:$Q$865,N$3,FALSE)*VLOOKUP($C168,[2]!ExistingSat,MATCH($A168,[2]SATS!$C$10:$F$10,0)+1,FALSE)</f>
        <v>0</v>
      </c>
      <c r="O168">
        <f>VLOOKUP($F168&amp;$G168,Composite!$A$5:$Q$865,O$3,FALSE)</f>
        <v>0</v>
      </c>
      <c r="P168" s="31">
        <f>VLOOKUP($F168&amp;$G168,Composite!$A$5:$Q$865,P$3,FALSE)*VLOOKUP($C168,[2]!ExistingSat,MATCH($A168,[2]SATS!$C$10:$F$10,0)+1,FALSE)</f>
        <v>0</v>
      </c>
      <c r="Q168">
        <f>VLOOKUP($F168&amp;$G168,Composite!$A$5:$Q$865,Q$3,FALSE)</f>
        <v>0</v>
      </c>
      <c r="R168" s="31">
        <f>VLOOKUP($F168&amp;$G168,Composite!$A$5:$Q$865,R$3,FALSE)*VLOOKUP($C168,[2]!ExistingSat,MATCH($A168,[2]SATS!$C$10:$F$10,0)+1,FALSE)</f>
        <v>0</v>
      </c>
      <c r="S168">
        <f>VLOOKUP($F168&amp;$G168,Composite!$A$5:$Q$865,S$3,FALSE)</f>
        <v>0</v>
      </c>
      <c r="T168" s="31">
        <f>VLOOKUP($F168&amp;$G168,Composite!$A$5:$Q$865,T$3,FALSE)*VLOOKUP($C168,[2]!ExistingSat,MATCH($A168,[2]SATS!$C$10:$F$10,0)+1,FALSE)</f>
        <v>0</v>
      </c>
    </row>
    <row r="169" spans="1:20">
      <c r="A169" t="s">
        <v>25</v>
      </c>
      <c r="B169" t="s">
        <v>227</v>
      </c>
      <c r="C169" t="s">
        <v>27</v>
      </c>
      <c r="D169" t="s">
        <v>61</v>
      </c>
      <c r="E169" t="str">
        <f t="shared" si="3"/>
        <v>Electric FAFHZ2WINDOW CL22 Prime Window Replacement of Double Pane Base (cooling savings)</v>
      </c>
      <c r="F169" s="31" t="str">
        <f>Composite!B168</f>
        <v>Windows - Double Pane to Class 22 - Heating Zone 2 (Electric FAF)</v>
      </c>
      <c r="G169" t="s">
        <v>225</v>
      </c>
      <c r="H169" s="31">
        <f>VLOOKUP($F169&amp;$G169,Composite!$A$5:$Q$865,H$3,FALSE)*VLOOKUP($C169,[2]!ExistingSat,MATCH($A169,[2]SATS!$C$10:$F$10,0)+1,FALSE)</f>
        <v>248.50346889371102</v>
      </c>
      <c r="I169">
        <f>VLOOKUP($F169&amp;$G169,Composite!$A$5:$Q$865,I$3,FALSE)</f>
        <v>45</v>
      </c>
      <c r="J169" s="31">
        <f>VLOOKUP($F169&amp;$G169,Composite!$A$5:$Q$865,J$3,FALSE)*VLOOKUP($C169,[2]!ExistingSat,MATCH($A169,[2]SATS!$C$10:$F$10,0)+1,FALSE)</f>
        <v>0</v>
      </c>
      <c r="K169" s="31">
        <f>VLOOKUP($F169&amp;$G169,Composite!$A$5:$Q$865,K$3,FALSE)*VLOOKUP($C169,[2]!ExistingSat,MATCH($A169,[2]SATS!$C$10:$F$10,0)+1,FALSE)</f>
        <v>0</v>
      </c>
      <c r="L169" t="str">
        <f>VLOOKUP($F169&amp;$G169,Composite!$A$5:$Q$865,L$3,FALSE)</f>
        <v>ResCACPNW</v>
      </c>
      <c r="M169" s="31">
        <f>VLOOKUP($F169&amp;$G169,Composite!$A$5:$Q$865,M$3,FALSE)*VLOOKUP($C169,[2]!ExistingSat,MATCH($A169,[2]SATS!$C$10:$F$10,0)+1,FALSE)</f>
        <v>0</v>
      </c>
      <c r="N169" s="31">
        <f>VLOOKUP($F169&amp;$G169,Composite!$A$5:$Q$865,N$3,FALSE)*VLOOKUP($C169,[2]!ExistingSat,MATCH($A169,[2]SATS!$C$10:$F$10,0)+1,FALSE)</f>
        <v>0</v>
      </c>
      <c r="O169">
        <f>VLOOKUP($F169&amp;$G169,Composite!$A$5:$Q$865,O$3,FALSE)</f>
        <v>0</v>
      </c>
      <c r="P169" s="31">
        <f>VLOOKUP($F169&amp;$G169,Composite!$A$5:$Q$865,P$3,FALSE)*VLOOKUP($C169,[2]!ExistingSat,MATCH($A169,[2]SATS!$C$10:$F$10,0)+1,FALSE)</f>
        <v>0</v>
      </c>
      <c r="Q169">
        <f>VLOOKUP($F169&amp;$G169,Composite!$A$5:$Q$865,Q$3,FALSE)</f>
        <v>0</v>
      </c>
      <c r="R169" s="31">
        <f>VLOOKUP($F169&amp;$G169,Composite!$A$5:$Q$865,R$3,FALSE)*VLOOKUP($C169,[2]!ExistingSat,MATCH($A169,[2]SATS!$C$10:$F$10,0)+1,FALSE)</f>
        <v>0</v>
      </c>
      <c r="S169">
        <f>VLOOKUP($F169&amp;$G169,Composite!$A$5:$Q$865,S$3,FALSE)</f>
        <v>0</v>
      </c>
      <c r="T169" s="31">
        <f>VLOOKUP($F169&amp;$G169,Composite!$A$5:$Q$865,T$3,FALSE)*VLOOKUP($C169,[2]!ExistingSat,MATCH($A169,[2]SATS!$C$10:$F$10,0)+1,FALSE)</f>
        <v>0</v>
      </c>
    </row>
    <row r="170" spans="1:20">
      <c r="A170" t="s">
        <v>25</v>
      </c>
      <c r="B170" t="s">
        <v>227</v>
      </c>
      <c r="C170" t="s">
        <v>66</v>
      </c>
      <c r="D170" t="s">
        <v>61</v>
      </c>
      <c r="E170" t="str">
        <f t="shared" si="3"/>
        <v>Electric FAFHZ2CFM50 Infiltration Reduction (cooling savings)</v>
      </c>
      <c r="F170" s="31" t="str">
        <f>Composite!B169</f>
        <v>Infiltration Reduction - CFM50 reduction - Heating Zone 2 (Electric FAF)</v>
      </c>
      <c r="G170" t="s">
        <v>890</v>
      </c>
      <c r="H170" s="31">
        <f>VLOOKUP($F170&amp;$G170,Composite!$A$5:$Q$865,H$3,FALSE)*VLOOKUP($C170,[2]!ExistingSat,MATCH($A170,[2]SATS!$C$10:$F$10,0)+1,FALSE)</f>
        <v>12.117927354998452</v>
      </c>
      <c r="I170">
        <f>VLOOKUP($F170&amp;$G170,Composite!$A$5:$Q$865,I$3,FALSE)</f>
        <v>15</v>
      </c>
      <c r="J170" s="31">
        <f>VLOOKUP($F170&amp;$G170,Composite!$A$5:$Q$865,J$3,FALSE)*VLOOKUP($C170,[2]!ExistingSat,MATCH($A170,[2]SATS!$C$10:$F$10,0)+1,FALSE)</f>
        <v>0</v>
      </c>
      <c r="K170" s="31">
        <f>VLOOKUP($F170&amp;$G170,Composite!$A$5:$Q$865,K$3,FALSE)*VLOOKUP($C170,[2]!ExistingSat,MATCH($A170,[2]SATS!$C$10:$F$10,0)+1,FALSE)</f>
        <v>0</v>
      </c>
      <c r="L170" t="str">
        <f>VLOOKUP($F170&amp;$G170,Composite!$A$5:$Q$865,L$3,FALSE)</f>
        <v>ResCACPNW</v>
      </c>
      <c r="M170" s="31">
        <f>VLOOKUP($F170&amp;$G170,Composite!$A$5:$Q$865,M$3,FALSE)*VLOOKUP($C170,[2]!ExistingSat,MATCH($A170,[2]SATS!$C$10:$F$10,0)+1,FALSE)</f>
        <v>0</v>
      </c>
      <c r="N170" s="31">
        <f>VLOOKUP($F170&amp;$G170,Composite!$A$5:$Q$865,N$3,FALSE)*VLOOKUP($C170,[2]!ExistingSat,MATCH($A170,[2]SATS!$C$10:$F$10,0)+1,FALSE)</f>
        <v>0</v>
      </c>
      <c r="O170">
        <f>VLOOKUP($F170&amp;$G170,Composite!$A$5:$Q$865,O$3,FALSE)</f>
        <v>0</v>
      </c>
      <c r="P170" s="31">
        <f>VLOOKUP($F170&amp;$G170,Composite!$A$5:$Q$865,P$3,FALSE)*VLOOKUP($C170,[2]!ExistingSat,MATCH($A170,[2]SATS!$C$10:$F$10,0)+1,FALSE)</f>
        <v>0</v>
      </c>
      <c r="Q170">
        <f>VLOOKUP($F170&amp;$G170,Composite!$A$5:$Q$865,Q$3,FALSE)</f>
        <v>0</v>
      </c>
      <c r="R170" s="31">
        <f>VLOOKUP($F170&amp;$G170,Composite!$A$5:$Q$865,R$3,FALSE)*VLOOKUP($C170,[2]!ExistingSat,MATCH($A170,[2]SATS!$C$10:$F$10,0)+1,FALSE)</f>
        <v>0</v>
      </c>
      <c r="S170">
        <f>VLOOKUP($F170&amp;$G170,Composite!$A$5:$Q$865,S$3,FALSE)</f>
        <v>0</v>
      </c>
      <c r="T170" s="31">
        <f>VLOOKUP($F170&amp;$G170,Composite!$A$5:$Q$865,T$3,FALSE)*VLOOKUP($C170,[2]!ExistingSat,MATCH($A170,[2]SATS!$C$10:$F$10,0)+1,FALSE)</f>
        <v>0</v>
      </c>
    </row>
    <row r="171" spans="1:20">
      <c r="A171" t="s">
        <v>25</v>
      </c>
      <c r="B171" t="s">
        <v>227</v>
      </c>
      <c r="C171" t="s">
        <v>28</v>
      </c>
      <c r="D171" t="s">
        <v>62</v>
      </c>
      <c r="E171" t="str">
        <f t="shared" si="3"/>
        <v>Electric FAFHZ3ATTIC R0 - R38 (cooling savings)</v>
      </c>
      <c r="F171" s="31" t="str">
        <f>Composite!B170</f>
        <v>Single Family Weatherization - Insulate Attic - R0 to R38 - Heating Zone 3 (Electric FAF)</v>
      </c>
      <c r="G171" t="s">
        <v>208</v>
      </c>
      <c r="H171" s="31">
        <f>VLOOKUP($F171&amp;$G171,Composite!$A$5:$Q$865,H$3,FALSE)*VLOOKUP($C171,[2]!ExistingSat,MATCH($A171,[2]SATS!$C$10:$F$10,0)+1,FALSE)</f>
        <v>335.05339952218731</v>
      </c>
      <c r="I171">
        <f>VLOOKUP($F171&amp;$G171,Composite!$A$5:$Q$865,I$3,FALSE)</f>
        <v>45</v>
      </c>
      <c r="J171" s="31">
        <f>VLOOKUP($F171&amp;$G171,Composite!$A$5:$Q$865,J$3,FALSE)*VLOOKUP($C171,[2]!ExistingSat,MATCH($A171,[2]SATS!$C$10:$F$10,0)+1,FALSE)</f>
        <v>0</v>
      </c>
      <c r="K171" s="31">
        <f>VLOOKUP($F171&amp;$G171,Composite!$A$5:$Q$865,K$3,FALSE)*VLOOKUP($C171,[2]!ExistingSat,MATCH($A171,[2]SATS!$C$10:$F$10,0)+1,FALSE)</f>
        <v>0</v>
      </c>
      <c r="L171" t="str">
        <f>VLOOKUP($F171&amp;$G171,Composite!$A$5:$Q$865,L$3,FALSE)</f>
        <v>ResCACPNW</v>
      </c>
      <c r="M171" s="31">
        <f>VLOOKUP($F171&amp;$G171,Composite!$A$5:$Q$865,M$3,FALSE)*VLOOKUP($C171,[2]!ExistingSat,MATCH($A171,[2]SATS!$C$10:$F$10,0)+1,FALSE)</f>
        <v>0</v>
      </c>
      <c r="N171" s="31">
        <f>VLOOKUP($F171&amp;$G171,Composite!$A$5:$Q$865,N$3,FALSE)*VLOOKUP($C171,[2]!ExistingSat,MATCH($A171,[2]SATS!$C$10:$F$10,0)+1,FALSE)</f>
        <v>0</v>
      </c>
      <c r="O171">
        <f>VLOOKUP($F171&amp;$G171,Composite!$A$5:$Q$865,O$3,FALSE)</f>
        <v>0</v>
      </c>
      <c r="P171" s="31">
        <f>VLOOKUP($F171&amp;$G171,Composite!$A$5:$Q$865,P$3,FALSE)*VLOOKUP($C171,[2]!ExistingSat,MATCH($A171,[2]SATS!$C$10:$F$10,0)+1,FALSE)</f>
        <v>0</v>
      </c>
      <c r="Q171">
        <f>VLOOKUP($F171&amp;$G171,Composite!$A$5:$Q$865,Q$3,FALSE)</f>
        <v>0</v>
      </c>
      <c r="R171" s="31">
        <f>VLOOKUP($F171&amp;$G171,Composite!$A$5:$Q$865,R$3,FALSE)*VLOOKUP($C171,[2]!ExistingSat,MATCH($A171,[2]SATS!$C$10:$F$10,0)+1,FALSE)</f>
        <v>0</v>
      </c>
      <c r="S171">
        <f>VLOOKUP($F171&amp;$G171,Composite!$A$5:$Q$865,S$3,FALSE)</f>
        <v>0</v>
      </c>
      <c r="T171" s="31">
        <f>VLOOKUP($F171&amp;$G171,Composite!$A$5:$Q$865,T$3,FALSE)*VLOOKUP($C171,[2]!ExistingSat,MATCH($A171,[2]SATS!$C$10:$F$10,0)+1,FALSE)</f>
        <v>0</v>
      </c>
    </row>
    <row r="172" spans="1:20">
      <c r="A172" t="s">
        <v>25</v>
      </c>
      <c r="B172" t="s">
        <v>227</v>
      </c>
      <c r="C172" t="s">
        <v>28</v>
      </c>
      <c r="D172" t="s">
        <v>62</v>
      </c>
      <c r="E172" t="str">
        <f t="shared" si="3"/>
        <v>Electric FAFHZ3ATTIC R0 - R49 (cooling savings)</v>
      </c>
      <c r="F172" s="31" t="str">
        <f>Composite!B171</f>
        <v>Single Family Weatherization - Insulate Attic - R0 to R49 - Heating Zone 3 (Electric FAF)</v>
      </c>
      <c r="G172" t="s">
        <v>210</v>
      </c>
      <c r="H172" s="31">
        <f>VLOOKUP($F172&amp;$G172,Composite!$A$5:$Q$865,H$3,FALSE)*VLOOKUP($C172,[2]!ExistingSat,MATCH($A172,[2]SATS!$C$10:$F$10,0)+1,FALSE)</f>
        <v>338.00017745295781</v>
      </c>
      <c r="I172">
        <f>VLOOKUP($F172&amp;$G172,Composite!$A$5:$Q$865,I$3,FALSE)</f>
        <v>45</v>
      </c>
      <c r="J172" s="31">
        <f>VLOOKUP($F172&amp;$G172,Composite!$A$5:$Q$865,J$3,FALSE)*VLOOKUP($C172,[2]!ExistingSat,MATCH($A172,[2]SATS!$C$10:$F$10,0)+1,FALSE)</f>
        <v>0</v>
      </c>
      <c r="K172" s="31">
        <f>VLOOKUP($F172&amp;$G172,Composite!$A$5:$Q$865,K$3,FALSE)*VLOOKUP($C172,[2]!ExistingSat,MATCH($A172,[2]SATS!$C$10:$F$10,0)+1,FALSE)</f>
        <v>0</v>
      </c>
      <c r="L172" t="str">
        <f>VLOOKUP($F172&amp;$G172,Composite!$A$5:$Q$865,L$3,FALSE)</f>
        <v>ResCACPNW</v>
      </c>
      <c r="M172" s="31">
        <f>VLOOKUP($F172&amp;$G172,Composite!$A$5:$Q$865,M$3,FALSE)*VLOOKUP($C172,[2]!ExistingSat,MATCH($A172,[2]SATS!$C$10:$F$10,0)+1,FALSE)</f>
        <v>0</v>
      </c>
      <c r="N172" s="31">
        <f>VLOOKUP($F172&amp;$G172,Composite!$A$5:$Q$865,N$3,FALSE)*VLOOKUP($C172,[2]!ExistingSat,MATCH($A172,[2]SATS!$C$10:$F$10,0)+1,FALSE)</f>
        <v>0</v>
      </c>
      <c r="O172">
        <f>VLOOKUP($F172&amp;$G172,Composite!$A$5:$Q$865,O$3,FALSE)</f>
        <v>0</v>
      </c>
      <c r="P172" s="31">
        <f>VLOOKUP($F172&amp;$G172,Composite!$A$5:$Q$865,P$3,FALSE)*VLOOKUP($C172,[2]!ExistingSat,MATCH($A172,[2]SATS!$C$10:$F$10,0)+1,FALSE)</f>
        <v>0</v>
      </c>
      <c r="Q172">
        <f>VLOOKUP($F172&amp;$G172,Composite!$A$5:$Q$865,Q$3,FALSE)</f>
        <v>0</v>
      </c>
      <c r="R172" s="31">
        <f>VLOOKUP($F172&amp;$G172,Composite!$A$5:$Q$865,R$3,FALSE)*VLOOKUP($C172,[2]!ExistingSat,MATCH($A172,[2]SATS!$C$10:$F$10,0)+1,FALSE)</f>
        <v>0</v>
      </c>
      <c r="S172">
        <f>VLOOKUP($F172&amp;$G172,Composite!$A$5:$Q$865,S$3,FALSE)</f>
        <v>0</v>
      </c>
      <c r="T172" s="31">
        <f>VLOOKUP($F172&amp;$G172,Composite!$A$5:$Q$865,T$3,FALSE)*VLOOKUP($C172,[2]!ExistingSat,MATCH($A172,[2]SATS!$C$10:$F$10,0)+1,FALSE)</f>
        <v>0</v>
      </c>
    </row>
    <row r="173" spans="1:20">
      <c r="A173" t="s">
        <v>25</v>
      </c>
      <c r="B173" t="s">
        <v>227</v>
      </c>
      <c r="C173" t="s">
        <v>28</v>
      </c>
      <c r="D173" t="s">
        <v>62</v>
      </c>
      <c r="E173" t="str">
        <f t="shared" si="3"/>
        <v>Electric FAFHZ3ATTIC R11 - R38 (cooling savings)</v>
      </c>
      <c r="F173" s="31" t="str">
        <f>Composite!B172</f>
        <v>Single Family Weatherization - Insulate Attic - R11 to R38 - Heating Zone 3 (Electric FAF)</v>
      </c>
      <c r="G173" t="s">
        <v>211</v>
      </c>
      <c r="H173" s="31">
        <f>VLOOKUP($F173&amp;$G173,Composite!$A$5:$Q$865,H$3,FALSE)*VLOOKUP($C173,[2]!ExistingSat,MATCH($A173,[2]SATS!$C$10:$F$10,0)+1,FALSE)</f>
        <v>38.251658955115907</v>
      </c>
      <c r="I173">
        <f>VLOOKUP($F173&amp;$G173,Composite!$A$5:$Q$865,I$3,FALSE)</f>
        <v>45</v>
      </c>
      <c r="J173" s="31">
        <f>VLOOKUP($F173&amp;$G173,Composite!$A$5:$Q$865,J$3,FALSE)*VLOOKUP($C173,[2]!ExistingSat,MATCH($A173,[2]SATS!$C$10:$F$10,0)+1,FALSE)</f>
        <v>0</v>
      </c>
      <c r="K173" s="31">
        <f>VLOOKUP($F173&amp;$G173,Composite!$A$5:$Q$865,K$3,FALSE)*VLOOKUP($C173,[2]!ExistingSat,MATCH($A173,[2]SATS!$C$10:$F$10,0)+1,FALSE)</f>
        <v>0</v>
      </c>
      <c r="L173" t="str">
        <f>VLOOKUP($F173&amp;$G173,Composite!$A$5:$Q$865,L$3,FALSE)</f>
        <v>ResCACPNW</v>
      </c>
      <c r="M173" s="31">
        <f>VLOOKUP($F173&amp;$G173,Composite!$A$5:$Q$865,M$3,FALSE)*VLOOKUP($C173,[2]!ExistingSat,MATCH($A173,[2]SATS!$C$10:$F$10,0)+1,FALSE)</f>
        <v>0</v>
      </c>
      <c r="N173" s="31">
        <f>VLOOKUP($F173&amp;$G173,Composite!$A$5:$Q$865,N$3,FALSE)*VLOOKUP($C173,[2]!ExistingSat,MATCH($A173,[2]SATS!$C$10:$F$10,0)+1,FALSE)</f>
        <v>0</v>
      </c>
      <c r="O173">
        <f>VLOOKUP($F173&amp;$G173,Composite!$A$5:$Q$865,O$3,FALSE)</f>
        <v>0</v>
      </c>
      <c r="P173" s="31">
        <f>VLOOKUP($F173&amp;$G173,Composite!$A$5:$Q$865,P$3,FALSE)*VLOOKUP($C173,[2]!ExistingSat,MATCH($A173,[2]SATS!$C$10:$F$10,0)+1,FALSE)</f>
        <v>0</v>
      </c>
      <c r="Q173">
        <f>VLOOKUP($F173&amp;$G173,Composite!$A$5:$Q$865,Q$3,FALSE)</f>
        <v>0</v>
      </c>
      <c r="R173" s="31">
        <f>VLOOKUP($F173&amp;$G173,Composite!$A$5:$Q$865,R$3,FALSE)*VLOOKUP($C173,[2]!ExistingSat,MATCH($A173,[2]SATS!$C$10:$F$10,0)+1,FALSE)</f>
        <v>0</v>
      </c>
      <c r="S173">
        <f>VLOOKUP($F173&amp;$G173,Composite!$A$5:$Q$865,S$3,FALSE)</f>
        <v>0</v>
      </c>
      <c r="T173" s="31">
        <f>VLOOKUP($F173&amp;$G173,Composite!$A$5:$Q$865,T$3,FALSE)*VLOOKUP($C173,[2]!ExistingSat,MATCH($A173,[2]SATS!$C$10:$F$10,0)+1,FALSE)</f>
        <v>0</v>
      </c>
    </row>
    <row r="174" spans="1:20">
      <c r="A174" t="s">
        <v>25</v>
      </c>
      <c r="B174" t="s">
        <v>227</v>
      </c>
      <c r="C174" t="s">
        <v>28</v>
      </c>
      <c r="D174" t="s">
        <v>62</v>
      </c>
      <c r="E174" t="str">
        <f t="shared" si="3"/>
        <v>Electric FAFHZ3ATTIC R11 - R49 (cooling savings)</v>
      </c>
      <c r="F174" s="31" t="str">
        <f>Composite!B173</f>
        <v>Single Family Weatherization - Insulate Attic - R11 to R49 - Heating Zone 3 (Electric FAF)</v>
      </c>
      <c r="G174" t="s">
        <v>212</v>
      </c>
      <c r="H174" s="31">
        <f>VLOOKUP($F174&amp;$G174,Composite!$A$5:$Q$865,H$3,FALSE)*VLOOKUP($C174,[2]!ExistingSat,MATCH($A174,[2]SATS!$C$10:$F$10,0)+1,FALSE)</f>
        <v>41.198436885886437</v>
      </c>
      <c r="I174">
        <f>VLOOKUP($F174&amp;$G174,Composite!$A$5:$Q$865,I$3,FALSE)</f>
        <v>45</v>
      </c>
      <c r="J174" s="31">
        <f>VLOOKUP($F174&amp;$G174,Composite!$A$5:$Q$865,J$3,FALSE)*VLOOKUP($C174,[2]!ExistingSat,MATCH($A174,[2]SATS!$C$10:$F$10,0)+1,FALSE)</f>
        <v>0</v>
      </c>
      <c r="K174" s="31">
        <f>VLOOKUP($F174&amp;$G174,Composite!$A$5:$Q$865,K$3,FALSE)*VLOOKUP($C174,[2]!ExistingSat,MATCH($A174,[2]SATS!$C$10:$F$10,0)+1,FALSE)</f>
        <v>0</v>
      </c>
      <c r="L174" t="str">
        <f>VLOOKUP($F174&amp;$G174,Composite!$A$5:$Q$865,L$3,FALSE)</f>
        <v>ResCACPNW</v>
      </c>
      <c r="M174" s="31">
        <f>VLOOKUP($F174&amp;$G174,Composite!$A$5:$Q$865,M$3,FALSE)*VLOOKUP($C174,[2]!ExistingSat,MATCH($A174,[2]SATS!$C$10:$F$10,0)+1,FALSE)</f>
        <v>0</v>
      </c>
      <c r="N174" s="31">
        <f>VLOOKUP($F174&amp;$G174,Composite!$A$5:$Q$865,N$3,FALSE)*VLOOKUP($C174,[2]!ExistingSat,MATCH($A174,[2]SATS!$C$10:$F$10,0)+1,FALSE)</f>
        <v>0</v>
      </c>
      <c r="O174">
        <f>VLOOKUP($F174&amp;$G174,Composite!$A$5:$Q$865,O$3,FALSE)</f>
        <v>0</v>
      </c>
      <c r="P174" s="31">
        <f>VLOOKUP($F174&amp;$G174,Composite!$A$5:$Q$865,P$3,FALSE)*VLOOKUP($C174,[2]!ExistingSat,MATCH($A174,[2]SATS!$C$10:$F$10,0)+1,FALSE)</f>
        <v>0</v>
      </c>
      <c r="Q174">
        <f>VLOOKUP($F174&amp;$G174,Composite!$A$5:$Q$865,Q$3,FALSE)</f>
        <v>0</v>
      </c>
      <c r="R174" s="31">
        <f>VLOOKUP($F174&amp;$G174,Composite!$A$5:$Q$865,R$3,FALSE)*VLOOKUP($C174,[2]!ExistingSat,MATCH($A174,[2]SATS!$C$10:$F$10,0)+1,FALSE)</f>
        <v>0</v>
      </c>
      <c r="S174">
        <f>VLOOKUP($F174&amp;$G174,Composite!$A$5:$Q$865,S$3,FALSE)</f>
        <v>0</v>
      </c>
      <c r="T174" s="31">
        <f>VLOOKUP($F174&amp;$G174,Composite!$A$5:$Q$865,T$3,FALSE)*VLOOKUP($C174,[2]!ExistingSat,MATCH($A174,[2]SATS!$C$10:$F$10,0)+1,FALSE)</f>
        <v>0</v>
      </c>
    </row>
    <row r="175" spans="1:20">
      <c r="A175" t="s">
        <v>25</v>
      </c>
      <c r="B175" t="s">
        <v>227</v>
      </c>
      <c r="C175" t="s">
        <v>28</v>
      </c>
      <c r="D175" t="s">
        <v>62</v>
      </c>
      <c r="E175" t="str">
        <f t="shared" si="3"/>
        <v>Electric FAFHZ3ATTIC R19 - R38 (cooling savings)</v>
      </c>
      <c r="F175" s="31" t="str">
        <f>Composite!B174</f>
        <v>Single Family Weatherization - Insulate Attic - R19 to R38 - Heating Zone 3 (Electric FAF)</v>
      </c>
      <c r="G175" t="s">
        <v>213</v>
      </c>
      <c r="H175" s="31">
        <f>VLOOKUP($F175&amp;$G175,Composite!$A$5:$Q$865,H$3,FALSE)*VLOOKUP($C175,[2]!ExistingSat,MATCH($A175,[2]SATS!$C$10:$F$10,0)+1,FALSE)</f>
        <v>15.075466367287829</v>
      </c>
      <c r="I175">
        <f>VLOOKUP($F175&amp;$G175,Composite!$A$5:$Q$865,I$3,FALSE)</f>
        <v>45</v>
      </c>
      <c r="J175" s="31">
        <f>VLOOKUP($F175&amp;$G175,Composite!$A$5:$Q$865,J$3,FALSE)*VLOOKUP($C175,[2]!ExistingSat,MATCH($A175,[2]SATS!$C$10:$F$10,0)+1,FALSE)</f>
        <v>0</v>
      </c>
      <c r="K175" s="31">
        <f>VLOOKUP($F175&amp;$G175,Composite!$A$5:$Q$865,K$3,FALSE)*VLOOKUP($C175,[2]!ExistingSat,MATCH($A175,[2]SATS!$C$10:$F$10,0)+1,FALSE)</f>
        <v>0</v>
      </c>
      <c r="L175" t="str">
        <f>VLOOKUP($F175&amp;$G175,Composite!$A$5:$Q$865,L$3,FALSE)</f>
        <v>ResCACPNW</v>
      </c>
      <c r="M175" s="31">
        <f>VLOOKUP($F175&amp;$G175,Composite!$A$5:$Q$865,M$3,FALSE)*VLOOKUP($C175,[2]!ExistingSat,MATCH($A175,[2]SATS!$C$10:$F$10,0)+1,FALSE)</f>
        <v>0</v>
      </c>
      <c r="N175" s="31">
        <f>VLOOKUP($F175&amp;$G175,Composite!$A$5:$Q$865,N$3,FALSE)*VLOOKUP($C175,[2]!ExistingSat,MATCH($A175,[2]SATS!$C$10:$F$10,0)+1,FALSE)</f>
        <v>0</v>
      </c>
      <c r="O175">
        <f>VLOOKUP($F175&amp;$G175,Composite!$A$5:$Q$865,O$3,FALSE)</f>
        <v>0</v>
      </c>
      <c r="P175" s="31">
        <f>VLOOKUP($F175&amp;$G175,Composite!$A$5:$Q$865,P$3,FALSE)*VLOOKUP($C175,[2]!ExistingSat,MATCH($A175,[2]SATS!$C$10:$F$10,0)+1,FALSE)</f>
        <v>0</v>
      </c>
      <c r="Q175">
        <f>VLOOKUP($F175&amp;$G175,Composite!$A$5:$Q$865,Q$3,FALSE)</f>
        <v>0</v>
      </c>
      <c r="R175" s="31">
        <f>VLOOKUP($F175&amp;$G175,Composite!$A$5:$Q$865,R$3,FALSE)*VLOOKUP($C175,[2]!ExistingSat,MATCH($A175,[2]SATS!$C$10:$F$10,0)+1,FALSE)</f>
        <v>0</v>
      </c>
      <c r="S175">
        <f>VLOOKUP($F175&amp;$G175,Composite!$A$5:$Q$865,S$3,FALSE)</f>
        <v>0</v>
      </c>
      <c r="T175" s="31">
        <f>VLOOKUP($F175&amp;$G175,Composite!$A$5:$Q$865,T$3,FALSE)*VLOOKUP($C175,[2]!ExistingSat,MATCH($A175,[2]SATS!$C$10:$F$10,0)+1,FALSE)</f>
        <v>0</v>
      </c>
    </row>
    <row r="176" spans="1:20">
      <c r="A176" t="s">
        <v>25</v>
      </c>
      <c r="B176" t="s">
        <v>227</v>
      </c>
      <c r="C176" t="s">
        <v>28</v>
      </c>
      <c r="D176" t="s">
        <v>62</v>
      </c>
      <c r="E176" t="str">
        <f t="shared" si="3"/>
        <v>Electric FAFHZ3ATTIC R19 - R49 (cooling savings)</v>
      </c>
      <c r="F176" s="31" t="str">
        <f>Composite!B175</f>
        <v>Single Family Weatherization - Insulate Attic - R19 to R49 - Heating Zone 3 (Electric FAF)</v>
      </c>
      <c r="G176" t="s">
        <v>214</v>
      </c>
      <c r="H176" s="31">
        <f>VLOOKUP($F176&amp;$G176,Composite!$A$5:$Q$865,H$3,FALSE)*VLOOKUP($C176,[2]!ExistingSat,MATCH($A176,[2]SATS!$C$10:$F$10,0)+1,FALSE)</f>
        <v>18.022244298058354</v>
      </c>
      <c r="I176">
        <f>VLOOKUP($F176&amp;$G176,Composite!$A$5:$Q$865,I$3,FALSE)</f>
        <v>45</v>
      </c>
      <c r="J176" s="31">
        <f>VLOOKUP($F176&amp;$G176,Composite!$A$5:$Q$865,J$3,FALSE)*VLOOKUP($C176,[2]!ExistingSat,MATCH($A176,[2]SATS!$C$10:$F$10,0)+1,FALSE)</f>
        <v>0</v>
      </c>
      <c r="K176" s="31">
        <f>VLOOKUP($F176&amp;$G176,Composite!$A$5:$Q$865,K$3,FALSE)*VLOOKUP($C176,[2]!ExistingSat,MATCH($A176,[2]SATS!$C$10:$F$10,0)+1,FALSE)</f>
        <v>0</v>
      </c>
      <c r="L176" t="str">
        <f>VLOOKUP($F176&amp;$G176,Composite!$A$5:$Q$865,L$3,FALSE)</f>
        <v>ResCACPNW</v>
      </c>
      <c r="M176" s="31">
        <f>VLOOKUP($F176&amp;$G176,Composite!$A$5:$Q$865,M$3,FALSE)*VLOOKUP($C176,[2]!ExistingSat,MATCH($A176,[2]SATS!$C$10:$F$10,0)+1,FALSE)</f>
        <v>0</v>
      </c>
      <c r="N176" s="31">
        <f>VLOOKUP($F176&amp;$G176,Composite!$A$5:$Q$865,N$3,FALSE)*VLOOKUP($C176,[2]!ExistingSat,MATCH($A176,[2]SATS!$C$10:$F$10,0)+1,FALSE)</f>
        <v>0</v>
      </c>
      <c r="O176">
        <f>VLOOKUP($F176&amp;$G176,Composite!$A$5:$Q$865,O$3,FALSE)</f>
        <v>0</v>
      </c>
      <c r="P176" s="31">
        <f>VLOOKUP($F176&amp;$G176,Composite!$A$5:$Q$865,P$3,FALSE)*VLOOKUP($C176,[2]!ExistingSat,MATCH($A176,[2]SATS!$C$10:$F$10,0)+1,FALSE)</f>
        <v>0</v>
      </c>
      <c r="Q176">
        <f>VLOOKUP($F176&amp;$G176,Composite!$A$5:$Q$865,Q$3,FALSE)</f>
        <v>0</v>
      </c>
      <c r="R176" s="31">
        <f>VLOOKUP($F176&amp;$G176,Composite!$A$5:$Q$865,R$3,FALSE)*VLOOKUP($C176,[2]!ExistingSat,MATCH($A176,[2]SATS!$C$10:$F$10,0)+1,FALSE)</f>
        <v>0</v>
      </c>
      <c r="S176">
        <f>VLOOKUP($F176&amp;$G176,Composite!$A$5:$Q$865,S$3,FALSE)</f>
        <v>0</v>
      </c>
      <c r="T176" s="31">
        <f>VLOOKUP($F176&amp;$G176,Composite!$A$5:$Q$865,T$3,FALSE)*VLOOKUP($C176,[2]!ExistingSat,MATCH($A176,[2]SATS!$C$10:$F$10,0)+1,FALSE)</f>
        <v>0</v>
      </c>
    </row>
    <row r="177" spans="1:20">
      <c r="A177" t="s">
        <v>25</v>
      </c>
      <c r="B177" t="s">
        <v>227</v>
      </c>
      <c r="C177" t="s">
        <v>64</v>
      </c>
      <c r="D177" t="s">
        <v>62</v>
      </c>
      <c r="E177" t="str">
        <f t="shared" si="3"/>
        <v>Electric FAFHZ3WALL R0 - R11 (cooling savings)</v>
      </c>
      <c r="F177" s="31" t="str">
        <f>Composite!B176</f>
        <v>Single Family Weatherization - Insulate Wall - R0 to R11 - Heating Zone 3 (Electric FAF)</v>
      </c>
      <c r="G177" t="s">
        <v>217</v>
      </c>
      <c r="H177" s="31">
        <f>VLOOKUP($F177&amp;$G177,Composite!$A$5:$Q$865,H$3,FALSE)*VLOOKUP($C177,[2]!ExistingSat,MATCH($A177,[2]SATS!$C$10:$F$10,0)+1,FALSE)</f>
        <v>16.42835411035777</v>
      </c>
      <c r="I177">
        <f>VLOOKUP($F177&amp;$G177,Composite!$A$5:$Q$865,I$3,FALSE)</f>
        <v>45</v>
      </c>
      <c r="J177" s="31">
        <f>VLOOKUP($F177&amp;$G177,Composite!$A$5:$Q$865,J$3,FALSE)*VLOOKUP($C177,[2]!ExistingSat,MATCH($A177,[2]SATS!$C$10:$F$10,0)+1,FALSE)</f>
        <v>0</v>
      </c>
      <c r="K177" s="31">
        <f>VLOOKUP($F177&amp;$G177,Composite!$A$5:$Q$865,K$3,FALSE)*VLOOKUP($C177,[2]!ExistingSat,MATCH($A177,[2]SATS!$C$10:$F$10,0)+1,FALSE)</f>
        <v>0</v>
      </c>
      <c r="L177" t="str">
        <f>VLOOKUP($F177&amp;$G177,Composite!$A$5:$Q$865,L$3,FALSE)</f>
        <v>ResCACPNW</v>
      </c>
      <c r="M177" s="31">
        <f>VLOOKUP($F177&amp;$G177,Composite!$A$5:$Q$865,M$3,FALSE)*VLOOKUP($C177,[2]!ExistingSat,MATCH($A177,[2]SATS!$C$10:$F$10,0)+1,FALSE)</f>
        <v>0</v>
      </c>
      <c r="N177" s="31">
        <f>VLOOKUP($F177&amp;$G177,Composite!$A$5:$Q$865,N$3,FALSE)*VLOOKUP($C177,[2]!ExistingSat,MATCH($A177,[2]SATS!$C$10:$F$10,0)+1,FALSE)</f>
        <v>0</v>
      </c>
      <c r="O177">
        <f>VLOOKUP($F177&amp;$G177,Composite!$A$5:$Q$865,O$3,FALSE)</f>
        <v>0</v>
      </c>
      <c r="P177" s="31">
        <f>VLOOKUP($F177&amp;$G177,Composite!$A$5:$Q$865,P$3,FALSE)*VLOOKUP($C177,[2]!ExistingSat,MATCH($A177,[2]SATS!$C$10:$F$10,0)+1,FALSE)</f>
        <v>0</v>
      </c>
      <c r="Q177">
        <f>VLOOKUP($F177&amp;$G177,Composite!$A$5:$Q$865,Q$3,FALSE)</f>
        <v>0</v>
      </c>
      <c r="R177" s="31">
        <f>VLOOKUP($F177&amp;$G177,Composite!$A$5:$Q$865,R$3,FALSE)*VLOOKUP($C177,[2]!ExistingSat,MATCH($A177,[2]SATS!$C$10:$F$10,0)+1,FALSE)</f>
        <v>0</v>
      </c>
      <c r="S177">
        <f>VLOOKUP($F177&amp;$G177,Composite!$A$5:$Q$865,S$3,FALSE)</f>
        <v>0</v>
      </c>
      <c r="T177" s="31">
        <f>VLOOKUP($F177&amp;$G177,Composite!$A$5:$Q$865,T$3,FALSE)*VLOOKUP($C177,[2]!ExistingSat,MATCH($A177,[2]SATS!$C$10:$F$10,0)+1,FALSE)</f>
        <v>0</v>
      </c>
    </row>
    <row r="178" spans="1:20">
      <c r="A178" t="s">
        <v>25</v>
      </c>
      <c r="B178" t="s">
        <v>227</v>
      </c>
      <c r="C178" t="s">
        <v>26</v>
      </c>
      <c r="D178" t="s">
        <v>62</v>
      </c>
      <c r="E178" t="str">
        <f t="shared" si="3"/>
        <v>Electric FAFHZ3FLOOR R0 - R19 (cooling savings)</v>
      </c>
      <c r="F178" s="31" t="str">
        <f>Composite!B177</f>
        <v>Single Family Weatherization - Insulate Floor - R0 to R19 - Heating Zone 3 (Electric FAF)</v>
      </c>
      <c r="G178" t="s">
        <v>218</v>
      </c>
      <c r="H178" s="31">
        <f>VLOOKUP($F178&amp;$G178,Composite!$A$5:$Q$865,H$3,FALSE)*VLOOKUP($C178,[2]!ExistingSat,MATCH($A178,[2]SATS!$C$10:$F$10,0)+1,FALSE)</f>
        <v>-50.79469904207167</v>
      </c>
      <c r="I178">
        <f>VLOOKUP($F178&amp;$G178,Composite!$A$5:$Q$865,I$3,FALSE)</f>
        <v>45</v>
      </c>
      <c r="J178" s="31">
        <f>VLOOKUP($F178&amp;$G178,Composite!$A$5:$Q$865,J$3,FALSE)*VLOOKUP($C178,[2]!ExistingSat,MATCH($A178,[2]SATS!$C$10:$F$10,0)+1,FALSE)</f>
        <v>0</v>
      </c>
      <c r="K178" s="31">
        <f>VLOOKUP($F178&amp;$G178,Composite!$A$5:$Q$865,K$3,FALSE)*VLOOKUP($C178,[2]!ExistingSat,MATCH($A178,[2]SATS!$C$10:$F$10,0)+1,FALSE)</f>
        <v>0</v>
      </c>
      <c r="L178" t="str">
        <f>VLOOKUP($F178&amp;$G178,Composite!$A$5:$Q$865,L$3,FALSE)</f>
        <v>ResCACPNW</v>
      </c>
      <c r="M178" s="31">
        <f>VLOOKUP($F178&amp;$G178,Composite!$A$5:$Q$865,M$3,FALSE)*VLOOKUP($C178,[2]!ExistingSat,MATCH($A178,[2]SATS!$C$10:$F$10,0)+1,FALSE)</f>
        <v>0</v>
      </c>
      <c r="N178" s="31">
        <f>VLOOKUP($F178&amp;$G178,Composite!$A$5:$Q$865,N$3,FALSE)*VLOOKUP($C178,[2]!ExistingSat,MATCH($A178,[2]SATS!$C$10:$F$10,0)+1,FALSE)</f>
        <v>0</v>
      </c>
      <c r="O178">
        <f>VLOOKUP($F178&amp;$G178,Composite!$A$5:$Q$865,O$3,FALSE)</f>
        <v>0</v>
      </c>
      <c r="P178" s="31">
        <f>VLOOKUP($F178&amp;$G178,Composite!$A$5:$Q$865,P$3,FALSE)*VLOOKUP($C178,[2]!ExistingSat,MATCH($A178,[2]SATS!$C$10:$F$10,0)+1,FALSE)</f>
        <v>0</v>
      </c>
      <c r="Q178">
        <f>VLOOKUP($F178&amp;$G178,Composite!$A$5:$Q$865,Q$3,FALSE)</f>
        <v>0</v>
      </c>
      <c r="R178" s="31">
        <f>VLOOKUP($F178&amp;$G178,Composite!$A$5:$Q$865,R$3,FALSE)*VLOOKUP($C178,[2]!ExistingSat,MATCH($A178,[2]SATS!$C$10:$F$10,0)+1,FALSE)</f>
        <v>0</v>
      </c>
      <c r="S178">
        <f>VLOOKUP($F178&amp;$G178,Composite!$A$5:$Q$865,S$3,FALSE)</f>
        <v>0</v>
      </c>
      <c r="T178" s="31">
        <f>VLOOKUP($F178&amp;$G178,Composite!$A$5:$Q$865,T$3,FALSE)*VLOOKUP($C178,[2]!ExistingSat,MATCH($A178,[2]SATS!$C$10:$F$10,0)+1,FALSE)</f>
        <v>0</v>
      </c>
    </row>
    <row r="179" spans="1:20">
      <c r="A179" t="s">
        <v>25</v>
      </c>
      <c r="B179" t="s">
        <v>227</v>
      </c>
      <c r="C179" t="s">
        <v>26</v>
      </c>
      <c r="D179" t="s">
        <v>62</v>
      </c>
      <c r="E179" t="str">
        <f t="shared" si="3"/>
        <v>Electric FAFHZ3FLOOR R0 - R25 (cooling savings)</v>
      </c>
      <c r="F179" s="31" t="str">
        <f>Composite!B178</f>
        <v>Single Family Weatherization - Insulate Floor - R0 to R25 - Heating Zone 3 (Electric FAF)</v>
      </c>
      <c r="G179" t="s">
        <v>219</v>
      </c>
      <c r="H179" s="31">
        <f>VLOOKUP($F179&amp;$G179,Composite!$A$5:$Q$865,H$3,FALSE)*VLOOKUP($C179,[2]!ExistingSat,MATCH($A179,[2]SATS!$C$10:$F$10,0)+1,FALSE)</f>
        <v>-57.786840581211052</v>
      </c>
      <c r="I179">
        <f>VLOOKUP($F179&amp;$G179,Composite!$A$5:$Q$865,I$3,FALSE)</f>
        <v>45</v>
      </c>
      <c r="J179" s="31">
        <f>VLOOKUP($F179&amp;$G179,Composite!$A$5:$Q$865,J$3,FALSE)*VLOOKUP($C179,[2]!ExistingSat,MATCH($A179,[2]SATS!$C$10:$F$10,0)+1,FALSE)</f>
        <v>0</v>
      </c>
      <c r="K179" s="31">
        <f>VLOOKUP($F179&amp;$G179,Composite!$A$5:$Q$865,K$3,FALSE)*VLOOKUP($C179,[2]!ExistingSat,MATCH($A179,[2]SATS!$C$10:$F$10,0)+1,FALSE)</f>
        <v>0</v>
      </c>
      <c r="L179" t="str">
        <f>VLOOKUP($F179&amp;$G179,Composite!$A$5:$Q$865,L$3,FALSE)</f>
        <v>ResCACPNW</v>
      </c>
      <c r="M179" s="31">
        <f>VLOOKUP($F179&amp;$G179,Composite!$A$5:$Q$865,M$3,FALSE)*VLOOKUP($C179,[2]!ExistingSat,MATCH($A179,[2]SATS!$C$10:$F$10,0)+1,FALSE)</f>
        <v>0</v>
      </c>
      <c r="N179" s="31">
        <f>VLOOKUP($F179&amp;$G179,Composite!$A$5:$Q$865,N$3,FALSE)*VLOOKUP($C179,[2]!ExistingSat,MATCH($A179,[2]SATS!$C$10:$F$10,0)+1,FALSE)</f>
        <v>0</v>
      </c>
      <c r="O179">
        <f>VLOOKUP($F179&amp;$G179,Composite!$A$5:$Q$865,O$3,FALSE)</f>
        <v>0</v>
      </c>
      <c r="P179" s="31">
        <f>VLOOKUP($F179&amp;$G179,Composite!$A$5:$Q$865,P$3,FALSE)*VLOOKUP($C179,[2]!ExistingSat,MATCH($A179,[2]SATS!$C$10:$F$10,0)+1,FALSE)</f>
        <v>0</v>
      </c>
      <c r="Q179">
        <f>VLOOKUP($F179&amp;$G179,Composite!$A$5:$Q$865,Q$3,FALSE)</f>
        <v>0</v>
      </c>
      <c r="R179" s="31">
        <f>VLOOKUP($F179&amp;$G179,Composite!$A$5:$Q$865,R$3,FALSE)*VLOOKUP($C179,[2]!ExistingSat,MATCH($A179,[2]SATS!$C$10:$F$10,0)+1,FALSE)</f>
        <v>0</v>
      </c>
      <c r="S179">
        <f>VLOOKUP($F179&amp;$G179,Composite!$A$5:$Q$865,S$3,FALSE)</f>
        <v>0</v>
      </c>
      <c r="T179" s="31">
        <f>VLOOKUP($F179&amp;$G179,Composite!$A$5:$Q$865,T$3,FALSE)*VLOOKUP($C179,[2]!ExistingSat,MATCH($A179,[2]SATS!$C$10:$F$10,0)+1,FALSE)</f>
        <v>0</v>
      </c>
    </row>
    <row r="180" spans="1:20">
      <c r="A180" t="s">
        <v>25</v>
      </c>
      <c r="B180" t="s">
        <v>227</v>
      </c>
      <c r="C180" t="s">
        <v>26</v>
      </c>
      <c r="D180" t="s">
        <v>62</v>
      </c>
      <c r="E180" t="str">
        <f t="shared" si="3"/>
        <v>Electric FAFHZ3FLOOR R0 - R30 (cooling savings)</v>
      </c>
      <c r="F180" s="31" t="str">
        <f>Composite!B179</f>
        <v>Single Family Weatherization - Insulate Floor - R0 to R30 - Heating Zone 3 (Electric FAF)</v>
      </c>
      <c r="G180" t="s">
        <v>220</v>
      </c>
      <c r="H180" s="31">
        <f>VLOOKUP($F180&amp;$G180,Composite!$A$5:$Q$865,H$3,FALSE)*VLOOKUP($C180,[2]!ExistingSat,MATCH($A180,[2]SATS!$C$10:$F$10,0)+1,FALSE)</f>
        <v>-62.480846001066602</v>
      </c>
      <c r="I180">
        <f>VLOOKUP($F180&amp;$G180,Composite!$A$5:$Q$865,I$3,FALSE)</f>
        <v>45</v>
      </c>
      <c r="J180" s="31">
        <f>VLOOKUP($F180&amp;$G180,Composite!$A$5:$Q$865,J$3,FALSE)*VLOOKUP($C180,[2]!ExistingSat,MATCH($A180,[2]SATS!$C$10:$F$10,0)+1,FALSE)</f>
        <v>0</v>
      </c>
      <c r="K180" s="31">
        <f>VLOOKUP($F180&amp;$G180,Composite!$A$5:$Q$865,K$3,FALSE)*VLOOKUP($C180,[2]!ExistingSat,MATCH($A180,[2]SATS!$C$10:$F$10,0)+1,FALSE)</f>
        <v>0</v>
      </c>
      <c r="L180" t="str">
        <f>VLOOKUP($F180&amp;$G180,Composite!$A$5:$Q$865,L$3,FALSE)</f>
        <v>ResCACPNW</v>
      </c>
      <c r="M180" s="31">
        <f>VLOOKUP($F180&amp;$G180,Composite!$A$5:$Q$865,M$3,FALSE)*VLOOKUP($C180,[2]!ExistingSat,MATCH($A180,[2]SATS!$C$10:$F$10,0)+1,FALSE)</f>
        <v>0</v>
      </c>
      <c r="N180" s="31">
        <f>VLOOKUP($F180&amp;$G180,Composite!$A$5:$Q$865,N$3,FALSE)*VLOOKUP($C180,[2]!ExistingSat,MATCH($A180,[2]SATS!$C$10:$F$10,0)+1,FALSE)</f>
        <v>0</v>
      </c>
      <c r="O180">
        <f>VLOOKUP($F180&amp;$G180,Composite!$A$5:$Q$865,O$3,FALSE)</f>
        <v>0</v>
      </c>
      <c r="P180" s="31">
        <f>VLOOKUP($F180&amp;$G180,Composite!$A$5:$Q$865,P$3,FALSE)*VLOOKUP($C180,[2]!ExistingSat,MATCH($A180,[2]SATS!$C$10:$F$10,0)+1,FALSE)</f>
        <v>0</v>
      </c>
      <c r="Q180">
        <f>VLOOKUP($F180&amp;$G180,Composite!$A$5:$Q$865,Q$3,FALSE)</f>
        <v>0</v>
      </c>
      <c r="R180" s="31">
        <f>VLOOKUP($F180&amp;$G180,Composite!$A$5:$Q$865,R$3,FALSE)*VLOOKUP($C180,[2]!ExistingSat,MATCH($A180,[2]SATS!$C$10:$F$10,0)+1,FALSE)</f>
        <v>0</v>
      </c>
      <c r="S180">
        <f>VLOOKUP($F180&amp;$G180,Composite!$A$5:$Q$865,S$3,FALSE)</f>
        <v>0</v>
      </c>
      <c r="T180" s="31">
        <f>VLOOKUP($F180&amp;$G180,Composite!$A$5:$Q$865,T$3,FALSE)*VLOOKUP($C180,[2]!ExistingSat,MATCH($A180,[2]SATS!$C$10:$F$10,0)+1,FALSE)</f>
        <v>0</v>
      </c>
    </row>
    <row r="181" spans="1:20">
      <c r="A181" t="s">
        <v>25</v>
      </c>
      <c r="B181" t="s">
        <v>227</v>
      </c>
      <c r="C181" t="s">
        <v>27</v>
      </c>
      <c r="D181" t="s">
        <v>62</v>
      </c>
      <c r="E181" t="str">
        <f t="shared" si="3"/>
        <v>Electric FAFHZ3WINDOW CL30 Prime Window Replacement of Single Pane Base (cooling savings)</v>
      </c>
      <c r="F181" s="31" t="str">
        <f>Composite!B180</f>
        <v>Windows - Single Pane to Class 30 - Heating Zone 3 (Electric FAF)</v>
      </c>
      <c r="G181" t="s">
        <v>221</v>
      </c>
      <c r="H181" s="31">
        <f>VLOOKUP($F181&amp;$G181,Composite!$A$5:$Q$865,H$3,FALSE)*VLOOKUP($C181,[2]!ExistingSat,MATCH($A181,[2]SATS!$C$10:$F$10,0)+1,FALSE)</f>
        <v>81.698477318695993</v>
      </c>
      <c r="I181">
        <f>VLOOKUP($F181&amp;$G181,Composite!$A$5:$Q$865,I$3,FALSE)</f>
        <v>45</v>
      </c>
      <c r="J181" s="31">
        <f>VLOOKUP($F181&amp;$G181,Composite!$A$5:$Q$865,J$3,FALSE)*VLOOKUP($C181,[2]!ExistingSat,MATCH($A181,[2]SATS!$C$10:$F$10,0)+1,FALSE)</f>
        <v>0</v>
      </c>
      <c r="K181" s="31">
        <f>VLOOKUP($F181&amp;$G181,Composite!$A$5:$Q$865,K$3,FALSE)*VLOOKUP($C181,[2]!ExistingSat,MATCH($A181,[2]SATS!$C$10:$F$10,0)+1,FALSE)</f>
        <v>0</v>
      </c>
      <c r="L181" t="str">
        <f>VLOOKUP($F181&amp;$G181,Composite!$A$5:$Q$865,L$3,FALSE)</f>
        <v>ResCACPNW</v>
      </c>
      <c r="M181" s="31">
        <f>VLOOKUP($F181&amp;$G181,Composite!$A$5:$Q$865,M$3,FALSE)*VLOOKUP($C181,[2]!ExistingSat,MATCH($A181,[2]SATS!$C$10:$F$10,0)+1,FALSE)</f>
        <v>0</v>
      </c>
      <c r="N181" s="31">
        <f>VLOOKUP($F181&amp;$G181,Composite!$A$5:$Q$865,N$3,FALSE)*VLOOKUP($C181,[2]!ExistingSat,MATCH($A181,[2]SATS!$C$10:$F$10,0)+1,FALSE)</f>
        <v>0</v>
      </c>
      <c r="O181">
        <f>VLOOKUP($F181&amp;$G181,Composite!$A$5:$Q$865,O$3,FALSE)</f>
        <v>0</v>
      </c>
      <c r="P181" s="31">
        <f>VLOOKUP($F181&amp;$G181,Composite!$A$5:$Q$865,P$3,FALSE)*VLOOKUP($C181,[2]!ExistingSat,MATCH($A181,[2]SATS!$C$10:$F$10,0)+1,FALSE)</f>
        <v>0</v>
      </c>
      <c r="Q181">
        <f>VLOOKUP($F181&amp;$G181,Composite!$A$5:$Q$865,Q$3,FALSE)</f>
        <v>0</v>
      </c>
      <c r="R181" s="31">
        <f>VLOOKUP($F181&amp;$G181,Composite!$A$5:$Q$865,R$3,FALSE)*VLOOKUP($C181,[2]!ExistingSat,MATCH($A181,[2]SATS!$C$10:$F$10,0)+1,FALSE)</f>
        <v>0</v>
      </c>
      <c r="S181">
        <f>VLOOKUP($F181&amp;$G181,Composite!$A$5:$Q$865,S$3,FALSE)</f>
        <v>0</v>
      </c>
      <c r="T181" s="31">
        <f>VLOOKUP($F181&amp;$G181,Composite!$A$5:$Q$865,T$3,FALSE)*VLOOKUP($C181,[2]!ExistingSat,MATCH($A181,[2]SATS!$C$10:$F$10,0)+1,FALSE)</f>
        <v>0</v>
      </c>
    </row>
    <row r="182" spans="1:20">
      <c r="A182" t="s">
        <v>25</v>
      </c>
      <c r="B182" t="s">
        <v>227</v>
      </c>
      <c r="C182" t="s">
        <v>27</v>
      </c>
      <c r="D182" t="s">
        <v>62</v>
      </c>
      <c r="E182" t="str">
        <f t="shared" si="3"/>
        <v>Electric FAFHZ3WINDOW CL30 Prime Window Replacement of Double Pane Base (cooling savings)</v>
      </c>
      <c r="F182" s="31" t="str">
        <f>Composite!B181</f>
        <v>Windows - Double Pane to Class 30 - Heating Zone 3 (Electric FAF)</v>
      </c>
      <c r="G182" t="s">
        <v>222</v>
      </c>
      <c r="H182" s="31">
        <f>VLOOKUP($F182&amp;$G182,Composite!$A$5:$Q$865,H$3,FALSE)*VLOOKUP($C182,[2]!ExistingSat,MATCH($A182,[2]SATS!$C$10:$F$10,0)+1,FALSE)</f>
        <v>120.73934142357417</v>
      </c>
      <c r="I182">
        <f>VLOOKUP($F182&amp;$G182,Composite!$A$5:$Q$865,I$3,FALSE)</f>
        <v>45</v>
      </c>
      <c r="J182" s="31">
        <f>VLOOKUP($F182&amp;$G182,Composite!$A$5:$Q$865,J$3,FALSE)*VLOOKUP($C182,[2]!ExistingSat,MATCH($A182,[2]SATS!$C$10:$F$10,0)+1,FALSE)</f>
        <v>0</v>
      </c>
      <c r="K182" s="31">
        <f>VLOOKUP($F182&amp;$G182,Composite!$A$5:$Q$865,K$3,FALSE)*VLOOKUP($C182,[2]!ExistingSat,MATCH($A182,[2]SATS!$C$10:$F$10,0)+1,FALSE)</f>
        <v>0</v>
      </c>
      <c r="L182" t="str">
        <f>VLOOKUP($F182&amp;$G182,Composite!$A$5:$Q$865,L$3,FALSE)</f>
        <v>ResCACPNW</v>
      </c>
      <c r="M182" s="31">
        <f>VLOOKUP($F182&amp;$G182,Composite!$A$5:$Q$865,M$3,FALSE)*VLOOKUP($C182,[2]!ExistingSat,MATCH($A182,[2]SATS!$C$10:$F$10,0)+1,FALSE)</f>
        <v>0</v>
      </c>
      <c r="N182" s="31">
        <f>VLOOKUP($F182&amp;$G182,Composite!$A$5:$Q$865,N$3,FALSE)*VLOOKUP($C182,[2]!ExistingSat,MATCH($A182,[2]SATS!$C$10:$F$10,0)+1,FALSE)</f>
        <v>0</v>
      </c>
      <c r="O182">
        <f>VLOOKUP($F182&amp;$G182,Composite!$A$5:$Q$865,O$3,FALSE)</f>
        <v>0</v>
      </c>
      <c r="P182" s="31">
        <f>VLOOKUP($F182&amp;$G182,Composite!$A$5:$Q$865,P$3,FALSE)*VLOOKUP($C182,[2]!ExistingSat,MATCH($A182,[2]SATS!$C$10:$F$10,0)+1,FALSE)</f>
        <v>0</v>
      </c>
      <c r="Q182">
        <f>VLOOKUP($F182&amp;$G182,Composite!$A$5:$Q$865,Q$3,FALSE)</f>
        <v>0</v>
      </c>
      <c r="R182" s="31">
        <f>VLOOKUP($F182&amp;$G182,Composite!$A$5:$Q$865,R$3,FALSE)*VLOOKUP($C182,[2]!ExistingSat,MATCH($A182,[2]SATS!$C$10:$F$10,0)+1,FALSE)</f>
        <v>0</v>
      </c>
      <c r="S182">
        <f>VLOOKUP($F182&amp;$G182,Composite!$A$5:$Q$865,S$3,FALSE)</f>
        <v>0</v>
      </c>
      <c r="T182" s="31">
        <f>VLOOKUP($F182&amp;$G182,Composite!$A$5:$Q$865,T$3,FALSE)*VLOOKUP($C182,[2]!ExistingSat,MATCH($A182,[2]SATS!$C$10:$F$10,0)+1,FALSE)</f>
        <v>0</v>
      </c>
    </row>
    <row r="183" spans="1:20">
      <c r="A183" t="s">
        <v>25</v>
      </c>
      <c r="B183" t="s">
        <v>227</v>
      </c>
      <c r="C183" t="s">
        <v>27</v>
      </c>
      <c r="D183" t="s">
        <v>62</v>
      </c>
      <c r="E183" t="str">
        <f t="shared" si="3"/>
        <v>Electric FAFHZ3WINDOW CL22 Prime Window Replacement of Single Pane Base (cooling savings)</v>
      </c>
      <c r="F183" s="31" t="str">
        <f>Composite!B182</f>
        <v>Windows - Single Pane to Class 22 - Heating Zone 3 (Electric FAF)</v>
      </c>
      <c r="G183" t="s">
        <v>224</v>
      </c>
      <c r="H183" s="31">
        <f>VLOOKUP($F183&amp;$G183,Composite!$A$5:$Q$865,H$3,FALSE)*VLOOKUP($C183,[2]!ExistingSat,MATCH($A183,[2]SATS!$C$10:$F$10,0)+1,FALSE)</f>
        <v>86.802511814557391</v>
      </c>
      <c r="I183">
        <f>VLOOKUP($F183&amp;$G183,Composite!$A$5:$Q$865,I$3,FALSE)</f>
        <v>45</v>
      </c>
      <c r="J183" s="31">
        <f>VLOOKUP($F183&amp;$G183,Composite!$A$5:$Q$865,J$3,FALSE)*VLOOKUP($C183,[2]!ExistingSat,MATCH($A183,[2]SATS!$C$10:$F$10,0)+1,FALSE)</f>
        <v>0</v>
      </c>
      <c r="K183" s="31">
        <f>VLOOKUP($F183&amp;$G183,Composite!$A$5:$Q$865,K$3,FALSE)*VLOOKUP($C183,[2]!ExistingSat,MATCH($A183,[2]SATS!$C$10:$F$10,0)+1,FALSE)</f>
        <v>0</v>
      </c>
      <c r="L183" t="str">
        <f>VLOOKUP($F183&amp;$G183,Composite!$A$5:$Q$865,L$3,FALSE)</f>
        <v>ResCACPNW</v>
      </c>
      <c r="M183" s="31">
        <f>VLOOKUP($F183&amp;$G183,Composite!$A$5:$Q$865,M$3,FALSE)*VLOOKUP($C183,[2]!ExistingSat,MATCH($A183,[2]SATS!$C$10:$F$10,0)+1,FALSE)</f>
        <v>0</v>
      </c>
      <c r="N183" s="31">
        <f>VLOOKUP($F183&amp;$G183,Composite!$A$5:$Q$865,N$3,FALSE)*VLOOKUP($C183,[2]!ExistingSat,MATCH($A183,[2]SATS!$C$10:$F$10,0)+1,FALSE)</f>
        <v>0</v>
      </c>
      <c r="O183">
        <f>VLOOKUP($F183&amp;$G183,Composite!$A$5:$Q$865,O$3,FALSE)</f>
        <v>0</v>
      </c>
      <c r="P183" s="31">
        <f>VLOOKUP($F183&amp;$G183,Composite!$A$5:$Q$865,P$3,FALSE)*VLOOKUP($C183,[2]!ExistingSat,MATCH($A183,[2]SATS!$C$10:$F$10,0)+1,FALSE)</f>
        <v>0</v>
      </c>
      <c r="Q183">
        <f>VLOOKUP($F183&amp;$G183,Composite!$A$5:$Q$865,Q$3,FALSE)</f>
        <v>0</v>
      </c>
      <c r="R183" s="31">
        <f>VLOOKUP($F183&amp;$G183,Composite!$A$5:$Q$865,R$3,FALSE)*VLOOKUP($C183,[2]!ExistingSat,MATCH($A183,[2]SATS!$C$10:$F$10,0)+1,FALSE)</f>
        <v>0</v>
      </c>
      <c r="S183">
        <f>VLOOKUP($F183&amp;$G183,Composite!$A$5:$Q$865,S$3,FALSE)</f>
        <v>0</v>
      </c>
      <c r="T183" s="31">
        <f>VLOOKUP($F183&amp;$G183,Composite!$A$5:$Q$865,T$3,FALSE)*VLOOKUP($C183,[2]!ExistingSat,MATCH($A183,[2]SATS!$C$10:$F$10,0)+1,FALSE)</f>
        <v>0</v>
      </c>
    </row>
    <row r="184" spans="1:20">
      <c r="A184" t="s">
        <v>25</v>
      </c>
      <c r="B184" t="s">
        <v>227</v>
      </c>
      <c r="C184" t="s">
        <v>27</v>
      </c>
      <c r="D184" t="s">
        <v>62</v>
      </c>
      <c r="E184" t="str">
        <f t="shared" si="3"/>
        <v>Electric FAFHZ3WINDOW CL22 Prime Window Replacement of Double Pane Base (cooling savings)</v>
      </c>
      <c r="F184" s="31" t="str">
        <f>Composite!B183</f>
        <v>Windows - Double Pane to Class 22 - Heating Zone 3 (Electric FAF)</v>
      </c>
      <c r="G184" t="s">
        <v>225</v>
      </c>
      <c r="H184" s="31">
        <f>VLOOKUP($F184&amp;$G184,Composite!$A$5:$Q$865,H$3,FALSE)*VLOOKUP($C184,[2]!ExistingSat,MATCH($A184,[2]SATS!$C$10:$F$10,0)+1,FALSE)</f>
        <v>125.84337591943562</v>
      </c>
      <c r="I184">
        <f>VLOOKUP($F184&amp;$G184,Composite!$A$5:$Q$865,I$3,FALSE)</f>
        <v>45</v>
      </c>
      <c r="J184" s="31">
        <f>VLOOKUP($F184&amp;$G184,Composite!$A$5:$Q$865,J$3,FALSE)*VLOOKUP($C184,[2]!ExistingSat,MATCH($A184,[2]SATS!$C$10:$F$10,0)+1,FALSE)</f>
        <v>0</v>
      </c>
      <c r="K184" s="31">
        <f>VLOOKUP($F184&amp;$G184,Composite!$A$5:$Q$865,K$3,FALSE)*VLOOKUP($C184,[2]!ExistingSat,MATCH($A184,[2]SATS!$C$10:$F$10,0)+1,FALSE)</f>
        <v>0</v>
      </c>
      <c r="L184" t="str">
        <f>VLOOKUP($F184&amp;$G184,Composite!$A$5:$Q$865,L$3,FALSE)</f>
        <v>ResCACPNW</v>
      </c>
      <c r="M184" s="31">
        <f>VLOOKUP($F184&amp;$G184,Composite!$A$5:$Q$865,M$3,FALSE)*VLOOKUP($C184,[2]!ExistingSat,MATCH($A184,[2]SATS!$C$10:$F$10,0)+1,FALSE)</f>
        <v>0</v>
      </c>
      <c r="N184" s="31">
        <f>VLOOKUP($F184&amp;$G184,Composite!$A$5:$Q$865,N$3,FALSE)*VLOOKUP($C184,[2]!ExistingSat,MATCH($A184,[2]SATS!$C$10:$F$10,0)+1,FALSE)</f>
        <v>0</v>
      </c>
      <c r="O184">
        <f>VLOOKUP($F184&amp;$G184,Composite!$A$5:$Q$865,O$3,FALSE)</f>
        <v>0</v>
      </c>
      <c r="P184" s="31">
        <f>VLOOKUP($F184&amp;$G184,Composite!$A$5:$Q$865,P$3,FALSE)*VLOOKUP($C184,[2]!ExistingSat,MATCH($A184,[2]SATS!$C$10:$F$10,0)+1,FALSE)</f>
        <v>0</v>
      </c>
      <c r="Q184">
        <f>VLOOKUP($F184&amp;$G184,Composite!$A$5:$Q$865,Q$3,FALSE)</f>
        <v>0</v>
      </c>
      <c r="R184" s="31">
        <f>VLOOKUP($F184&amp;$G184,Composite!$A$5:$Q$865,R$3,FALSE)*VLOOKUP($C184,[2]!ExistingSat,MATCH($A184,[2]SATS!$C$10:$F$10,0)+1,FALSE)</f>
        <v>0</v>
      </c>
      <c r="S184">
        <f>VLOOKUP($F184&amp;$G184,Composite!$A$5:$Q$865,S$3,FALSE)</f>
        <v>0</v>
      </c>
      <c r="T184" s="31">
        <f>VLOOKUP($F184&amp;$G184,Composite!$A$5:$Q$865,T$3,FALSE)*VLOOKUP($C184,[2]!ExistingSat,MATCH($A184,[2]SATS!$C$10:$F$10,0)+1,FALSE)</f>
        <v>0</v>
      </c>
    </row>
    <row r="185" spans="1:20">
      <c r="A185" t="s">
        <v>25</v>
      </c>
      <c r="B185" t="s">
        <v>227</v>
      </c>
      <c r="C185" t="s">
        <v>66</v>
      </c>
      <c r="D185" t="s">
        <v>62</v>
      </c>
      <c r="E185" t="str">
        <f t="shared" si="3"/>
        <v>Electric FAFHZ3CFM50 Infiltration Reduction (cooling savings)</v>
      </c>
      <c r="F185" s="31" t="str">
        <f>Composite!B184</f>
        <v>Infiltration Reduction - CFM50 reduction - Heating Zone 3 (Electric FAF)</v>
      </c>
      <c r="G185" t="s">
        <v>890</v>
      </c>
      <c r="H185" s="31">
        <f>VLOOKUP($F185&amp;$G185,Composite!$A$5:$Q$865,H$3,FALSE)*VLOOKUP($C185,[2]!ExistingSat,MATCH($A185,[2]SATS!$C$10:$F$10,0)+1,FALSE)</f>
        <v>-13.376911188516404</v>
      </c>
      <c r="I185">
        <f>VLOOKUP($F185&amp;$G185,Composite!$A$5:$Q$865,I$3,FALSE)</f>
        <v>15</v>
      </c>
      <c r="J185" s="31">
        <f>VLOOKUP($F185&amp;$G185,Composite!$A$5:$Q$865,J$3,FALSE)*VLOOKUP($C185,[2]!ExistingSat,MATCH($A185,[2]SATS!$C$10:$F$10,0)+1,FALSE)</f>
        <v>0</v>
      </c>
      <c r="K185" s="31">
        <f>VLOOKUP($F185&amp;$G185,Composite!$A$5:$Q$865,K$3,FALSE)*VLOOKUP($C185,[2]!ExistingSat,MATCH($A185,[2]SATS!$C$10:$F$10,0)+1,FALSE)</f>
        <v>0</v>
      </c>
      <c r="L185" t="str">
        <f>VLOOKUP($F185&amp;$G185,Composite!$A$5:$Q$865,L$3,FALSE)</f>
        <v>ResCACPNW</v>
      </c>
      <c r="M185" s="31">
        <f>VLOOKUP($F185&amp;$G185,Composite!$A$5:$Q$865,M$3,FALSE)*VLOOKUP($C185,[2]!ExistingSat,MATCH($A185,[2]SATS!$C$10:$F$10,0)+1,FALSE)</f>
        <v>0</v>
      </c>
      <c r="N185" s="31">
        <f>VLOOKUP($F185&amp;$G185,Composite!$A$5:$Q$865,N$3,FALSE)*VLOOKUP($C185,[2]!ExistingSat,MATCH($A185,[2]SATS!$C$10:$F$10,0)+1,FALSE)</f>
        <v>0</v>
      </c>
      <c r="O185">
        <f>VLOOKUP($F185&amp;$G185,Composite!$A$5:$Q$865,O$3,FALSE)</f>
        <v>0</v>
      </c>
      <c r="P185" s="31">
        <f>VLOOKUP($F185&amp;$G185,Composite!$A$5:$Q$865,P$3,FALSE)*VLOOKUP($C185,[2]!ExistingSat,MATCH($A185,[2]SATS!$C$10:$F$10,0)+1,FALSE)</f>
        <v>0</v>
      </c>
      <c r="Q185">
        <f>VLOOKUP($F185&amp;$G185,Composite!$A$5:$Q$865,Q$3,FALSE)</f>
        <v>0</v>
      </c>
      <c r="R185" s="31">
        <f>VLOOKUP($F185&amp;$G185,Composite!$A$5:$Q$865,R$3,FALSE)*VLOOKUP($C185,[2]!ExistingSat,MATCH($A185,[2]SATS!$C$10:$F$10,0)+1,FALSE)</f>
        <v>0</v>
      </c>
      <c r="S185">
        <f>VLOOKUP($F185&amp;$G185,Composite!$A$5:$Q$865,S$3,FALSE)</f>
        <v>0</v>
      </c>
      <c r="T185" s="31">
        <f>VLOOKUP($F185&amp;$G185,Composite!$A$5:$Q$865,T$3,FALSE)*VLOOKUP($C185,[2]!ExistingSat,MATCH($A185,[2]SATS!$C$10:$F$10,0)+1,FALSE)</f>
        <v>0</v>
      </c>
    </row>
    <row r="186" spans="1:20">
      <c r="A186" t="s">
        <v>25</v>
      </c>
      <c r="B186" t="s">
        <v>1359</v>
      </c>
      <c r="C186" t="s">
        <v>28</v>
      </c>
      <c r="D186" t="s">
        <v>60</v>
      </c>
      <c r="E186" t="str">
        <f t="shared" si="3"/>
        <v>Zonal/DHPHZ1ATTIC R0 - R38 (cooling savings)</v>
      </c>
      <c r="F186" s="31" t="str">
        <f>Composite!B185</f>
        <v>Single Family Weatherization - Insulate Attic - R0 to R38 - Heating Zone 1 (Zonal or DHP)</v>
      </c>
      <c r="G186" t="s">
        <v>208</v>
      </c>
      <c r="H186" s="31">
        <f>VLOOKUP($F186&amp;$G186,Composite!$A$5:$Q$865,H$3,FALSE)*VLOOKUP($C186,[2]!ExistingSat,MATCH($A186,[2]SATS!$C$10:$F$10,0)+1,FALSE)</f>
        <v>317.39406881619561</v>
      </c>
      <c r="I186">
        <f>VLOOKUP($F186&amp;$G186,Composite!$A$5:$Q$865,I$3,FALSE)</f>
        <v>45</v>
      </c>
      <c r="J186" s="31">
        <f>VLOOKUP($F186&amp;$G186,Composite!$A$5:$Q$865,J$3,FALSE)*VLOOKUP($C186,[2]!ExistingSat,MATCH($A186,[2]SATS!$C$10:$F$10,0)+1,FALSE)</f>
        <v>0</v>
      </c>
      <c r="K186" s="31">
        <f>VLOOKUP($F186&amp;$G186,Composite!$A$5:$Q$865,K$3,FALSE)*VLOOKUP($C186,[2]!ExistingSat,MATCH($A186,[2]SATS!$C$10:$F$10,0)+1,FALSE)</f>
        <v>0</v>
      </c>
      <c r="L186" t="str">
        <f>VLOOKUP($F186&amp;$G186,Composite!$A$5:$Q$865,L$3,FALSE)</f>
        <v>ResCACPNW</v>
      </c>
      <c r="M186" s="31">
        <f>VLOOKUP($F186&amp;$G186,Composite!$A$5:$Q$865,M$3,FALSE)*VLOOKUP($C186,[2]!ExistingSat,MATCH($A186,[2]SATS!$C$10:$F$10,0)+1,FALSE)</f>
        <v>0</v>
      </c>
      <c r="N186" s="31">
        <f>VLOOKUP($F186&amp;$G186,Composite!$A$5:$Q$865,N$3,FALSE)*VLOOKUP($C186,[2]!ExistingSat,MATCH($A186,[2]SATS!$C$10:$F$10,0)+1,FALSE)</f>
        <v>0</v>
      </c>
      <c r="O186">
        <f>VLOOKUP($F186&amp;$G186,Composite!$A$5:$Q$865,O$3,FALSE)</f>
        <v>0</v>
      </c>
      <c r="P186" s="31">
        <f>VLOOKUP($F186&amp;$G186,Composite!$A$5:$Q$865,P$3,FALSE)*VLOOKUP($C186,[2]!ExistingSat,MATCH($A186,[2]SATS!$C$10:$F$10,0)+1,FALSE)</f>
        <v>0</v>
      </c>
      <c r="Q186">
        <f>VLOOKUP($F186&amp;$G186,Composite!$A$5:$Q$865,Q$3,FALSE)</f>
        <v>0</v>
      </c>
      <c r="R186" s="31">
        <f>VLOOKUP($F186&amp;$G186,Composite!$A$5:$Q$865,R$3,FALSE)*VLOOKUP($C186,[2]!ExistingSat,MATCH($A186,[2]SATS!$C$10:$F$10,0)+1,FALSE)</f>
        <v>0</v>
      </c>
      <c r="S186">
        <f>VLOOKUP($F186&amp;$G186,Composite!$A$5:$Q$865,S$3,FALSE)</f>
        <v>0</v>
      </c>
      <c r="T186" s="31">
        <f>VLOOKUP($F186&amp;$G186,Composite!$A$5:$Q$865,T$3,FALSE)*VLOOKUP($C186,[2]!ExistingSat,MATCH($A186,[2]SATS!$C$10:$F$10,0)+1,FALSE)</f>
        <v>0</v>
      </c>
    </row>
    <row r="187" spans="1:20">
      <c r="A187" t="s">
        <v>25</v>
      </c>
      <c r="B187" t="s">
        <v>1359</v>
      </c>
      <c r="C187" t="s">
        <v>28</v>
      </c>
      <c r="D187" t="s">
        <v>60</v>
      </c>
      <c r="E187" t="str">
        <f t="shared" si="3"/>
        <v>Zonal/DHPHZ1ATTIC R0 - R49 (cooling savings)</v>
      </c>
      <c r="F187" s="31" t="str">
        <f>Composite!B186</f>
        <v>Single Family Weatherization - Insulate Attic - R0 to R49 - Heating Zone 1 (Zonal or DHP)</v>
      </c>
      <c r="G187" t="s">
        <v>210</v>
      </c>
      <c r="H187" s="31">
        <f>VLOOKUP($F187&amp;$G187,Composite!$A$5:$Q$865,H$3,FALSE)*VLOOKUP($C187,[2]!ExistingSat,MATCH($A187,[2]SATS!$C$10:$F$10,0)+1,FALSE)</f>
        <v>321.16721592530212</v>
      </c>
      <c r="I187">
        <f>VLOOKUP($F187&amp;$G187,Composite!$A$5:$Q$865,I$3,FALSE)</f>
        <v>45</v>
      </c>
      <c r="J187" s="31">
        <f>VLOOKUP($F187&amp;$G187,Composite!$A$5:$Q$865,J$3,FALSE)*VLOOKUP($C187,[2]!ExistingSat,MATCH($A187,[2]SATS!$C$10:$F$10,0)+1,FALSE)</f>
        <v>0</v>
      </c>
      <c r="K187" s="31">
        <f>VLOOKUP($F187&amp;$G187,Composite!$A$5:$Q$865,K$3,FALSE)*VLOOKUP($C187,[2]!ExistingSat,MATCH($A187,[2]SATS!$C$10:$F$10,0)+1,FALSE)</f>
        <v>0</v>
      </c>
      <c r="L187" t="str">
        <f>VLOOKUP($F187&amp;$G187,Composite!$A$5:$Q$865,L$3,FALSE)</f>
        <v>ResCACPNW</v>
      </c>
      <c r="M187" s="31">
        <f>VLOOKUP($F187&amp;$G187,Composite!$A$5:$Q$865,M$3,FALSE)*VLOOKUP($C187,[2]!ExistingSat,MATCH($A187,[2]SATS!$C$10:$F$10,0)+1,FALSE)</f>
        <v>0</v>
      </c>
      <c r="N187" s="31">
        <f>VLOOKUP($F187&amp;$G187,Composite!$A$5:$Q$865,N$3,FALSE)*VLOOKUP($C187,[2]!ExistingSat,MATCH($A187,[2]SATS!$C$10:$F$10,0)+1,FALSE)</f>
        <v>0</v>
      </c>
      <c r="O187">
        <f>VLOOKUP($F187&amp;$G187,Composite!$A$5:$Q$865,O$3,FALSE)</f>
        <v>0</v>
      </c>
      <c r="P187" s="31">
        <f>VLOOKUP($F187&amp;$G187,Composite!$A$5:$Q$865,P$3,FALSE)*VLOOKUP($C187,[2]!ExistingSat,MATCH($A187,[2]SATS!$C$10:$F$10,0)+1,FALSE)</f>
        <v>0</v>
      </c>
      <c r="Q187">
        <f>VLOOKUP($F187&amp;$G187,Composite!$A$5:$Q$865,Q$3,FALSE)</f>
        <v>0</v>
      </c>
      <c r="R187" s="31">
        <f>VLOOKUP($F187&amp;$G187,Composite!$A$5:$Q$865,R$3,FALSE)*VLOOKUP($C187,[2]!ExistingSat,MATCH($A187,[2]SATS!$C$10:$F$10,0)+1,FALSE)</f>
        <v>0</v>
      </c>
      <c r="S187">
        <f>VLOOKUP($F187&amp;$G187,Composite!$A$5:$Q$865,S$3,FALSE)</f>
        <v>0</v>
      </c>
      <c r="T187" s="31">
        <f>VLOOKUP($F187&amp;$G187,Composite!$A$5:$Q$865,T$3,FALSE)*VLOOKUP($C187,[2]!ExistingSat,MATCH($A187,[2]SATS!$C$10:$F$10,0)+1,FALSE)</f>
        <v>0</v>
      </c>
    </row>
    <row r="188" spans="1:20">
      <c r="A188" t="s">
        <v>25</v>
      </c>
      <c r="B188" t="s">
        <v>1359</v>
      </c>
      <c r="C188" t="s">
        <v>28</v>
      </c>
      <c r="D188" t="s">
        <v>60</v>
      </c>
      <c r="E188" t="str">
        <f t="shared" ref="E188:E244" si="4">B188&amp;D188&amp;G188</f>
        <v>Zonal/DHPHZ1ATTIC R11 - R38 (cooling savings)</v>
      </c>
      <c r="F188" s="31" t="str">
        <f>Composite!B187</f>
        <v>Single Family Weatherization - Insulate Attic - R11 to R38 - Heating Zone 1 (Zonal or DHP)</v>
      </c>
      <c r="G188" t="s">
        <v>211</v>
      </c>
      <c r="H188" s="31">
        <f>VLOOKUP($F188&amp;$G188,Composite!$A$5:$Q$865,H$3,FALSE)*VLOOKUP($C188,[2]!ExistingSat,MATCH($A188,[2]SATS!$C$10:$F$10,0)+1,FALSE)</f>
        <v>45.830543711096261</v>
      </c>
      <c r="I188">
        <f>VLOOKUP($F188&amp;$G188,Composite!$A$5:$Q$865,I$3,FALSE)</f>
        <v>45</v>
      </c>
      <c r="J188" s="31">
        <f>VLOOKUP($F188&amp;$G188,Composite!$A$5:$Q$865,J$3,FALSE)*VLOOKUP($C188,[2]!ExistingSat,MATCH($A188,[2]SATS!$C$10:$F$10,0)+1,FALSE)</f>
        <v>0</v>
      </c>
      <c r="K188" s="31">
        <f>VLOOKUP($F188&amp;$G188,Composite!$A$5:$Q$865,K$3,FALSE)*VLOOKUP($C188,[2]!ExistingSat,MATCH($A188,[2]SATS!$C$10:$F$10,0)+1,FALSE)</f>
        <v>0</v>
      </c>
      <c r="L188" t="str">
        <f>VLOOKUP($F188&amp;$G188,Composite!$A$5:$Q$865,L$3,FALSE)</f>
        <v>ResCACPNW</v>
      </c>
      <c r="M188" s="31">
        <f>VLOOKUP($F188&amp;$G188,Composite!$A$5:$Q$865,M$3,FALSE)*VLOOKUP($C188,[2]!ExistingSat,MATCH($A188,[2]SATS!$C$10:$F$10,0)+1,FALSE)</f>
        <v>0</v>
      </c>
      <c r="N188" s="31">
        <f>VLOOKUP($F188&amp;$G188,Composite!$A$5:$Q$865,N$3,FALSE)*VLOOKUP($C188,[2]!ExistingSat,MATCH($A188,[2]SATS!$C$10:$F$10,0)+1,FALSE)</f>
        <v>0</v>
      </c>
      <c r="O188">
        <f>VLOOKUP($F188&amp;$G188,Composite!$A$5:$Q$865,O$3,FALSE)</f>
        <v>0</v>
      </c>
      <c r="P188" s="31">
        <f>VLOOKUP($F188&amp;$G188,Composite!$A$5:$Q$865,P$3,FALSE)*VLOOKUP($C188,[2]!ExistingSat,MATCH($A188,[2]SATS!$C$10:$F$10,0)+1,FALSE)</f>
        <v>0</v>
      </c>
      <c r="Q188">
        <f>VLOOKUP($F188&amp;$G188,Composite!$A$5:$Q$865,Q$3,FALSE)</f>
        <v>0</v>
      </c>
      <c r="R188" s="31">
        <f>VLOOKUP($F188&amp;$G188,Composite!$A$5:$Q$865,R$3,FALSE)*VLOOKUP($C188,[2]!ExistingSat,MATCH($A188,[2]SATS!$C$10:$F$10,0)+1,FALSE)</f>
        <v>0</v>
      </c>
      <c r="S188">
        <f>VLOOKUP($F188&amp;$G188,Composite!$A$5:$Q$865,S$3,FALSE)</f>
        <v>0</v>
      </c>
      <c r="T188" s="31">
        <f>VLOOKUP($F188&amp;$G188,Composite!$A$5:$Q$865,T$3,FALSE)*VLOOKUP($C188,[2]!ExistingSat,MATCH($A188,[2]SATS!$C$10:$F$10,0)+1,FALSE)</f>
        <v>0</v>
      </c>
    </row>
    <row r="189" spans="1:20">
      <c r="A189" t="s">
        <v>25</v>
      </c>
      <c r="B189" t="s">
        <v>1359</v>
      </c>
      <c r="C189" t="s">
        <v>28</v>
      </c>
      <c r="D189" t="s">
        <v>60</v>
      </c>
      <c r="E189" t="str">
        <f t="shared" si="4"/>
        <v>Zonal/DHPHZ1ATTIC R11 - R49 (cooling savings)</v>
      </c>
      <c r="F189" s="31" t="str">
        <f>Composite!B188</f>
        <v>Single Family Weatherization - Insulate Attic - R11 to R49 - Heating Zone 1 (Zonal or DHP)</v>
      </c>
      <c r="G189" t="s">
        <v>212</v>
      </c>
      <c r="H189" s="31">
        <f>VLOOKUP($F189&amp;$G189,Composite!$A$5:$Q$865,H$3,FALSE)*VLOOKUP($C189,[2]!ExistingSat,MATCH($A189,[2]SATS!$C$10:$F$10,0)+1,FALSE)</f>
        <v>49.603690820202814</v>
      </c>
      <c r="I189">
        <f>VLOOKUP($F189&amp;$G189,Composite!$A$5:$Q$865,I$3,FALSE)</f>
        <v>45</v>
      </c>
      <c r="J189" s="31">
        <f>VLOOKUP($F189&amp;$G189,Composite!$A$5:$Q$865,J$3,FALSE)*VLOOKUP($C189,[2]!ExistingSat,MATCH($A189,[2]SATS!$C$10:$F$10,0)+1,FALSE)</f>
        <v>0</v>
      </c>
      <c r="K189" s="31">
        <f>VLOOKUP($F189&amp;$G189,Composite!$A$5:$Q$865,K$3,FALSE)*VLOOKUP($C189,[2]!ExistingSat,MATCH($A189,[2]SATS!$C$10:$F$10,0)+1,FALSE)</f>
        <v>0</v>
      </c>
      <c r="L189" t="str">
        <f>VLOOKUP($F189&amp;$G189,Composite!$A$5:$Q$865,L$3,FALSE)</f>
        <v>ResCACPNW</v>
      </c>
      <c r="M189" s="31">
        <f>VLOOKUP($F189&amp;$G189,Composite!$A$5:$Q$865,M$3,FALSE)*VLOOKUP($C189,[2]!ExistingSat,MATCH($A189,[2]SATS!$C$10:$F$10,0)+1,FALSE)</f>
        <v>0</v>
      </c>
      <c r="N189" s="31">
        <f>VLOOKUP($F189&amp;$G189,Composite!$A$5:$Q$865,N$3,FALSE)*VLOOKUP($C189,[2]!ExistingSat,MATCH($A189,[2]SATS!$C$10:$F$10,0)+1,FALSE)</f>
        <v>0</v>
      </c>
      <c r="O189">
        <f>VLOOKUP($F189&amp;$G189,Composite!$A$5:$Q$865,O$3,FALSE)</f>
        <v>0</v>
      </c>
      <c r="P189" s="31">
        <f>VLOOKUP($F189&amp;$G189,Composite!$A$5:$Q$865,P$3,FALSE)*VLOOKUP($C189,[2]!ExistingSat,MATCH($A189,[2]SATS!$C$10:$F$10,0)+1,FALSE)</f>
        <v>0</v>
      </c>
      <c r="Q189">
        <f>VLOOKUP($F189&amp;$G189,Composite!$A$5:$Q$865,Q$3,FALSE)</f>
        <v>0</v>
      </c>
      <c r="R189" s="31">
        <f>VLOOKUP($F189&amp;$G189,Composite!$A$5:$Q$865,R$3,FALSE)*VLOOKUP($C189,[2]!ExistingSat,MATCH($A189,[2]SATS!$C$10:$F$10,0)+1,FALSE)</f>
        <v>0</v>
      </c>
      <c r="S189">
        <f>VLOOKUP($F189&amp;$G189,Composite!$A$5:$Q$865,S$3,FALSE)</f>
        <v>0</v>
      </c>
      <c r="T189" s="31">
        <f>VLOOKUP($F189&amp;$G189,Composite!$A$5:$Q$865,T$3,FALSE)*VLOOKUP($C189,[2]!ExistingSat,MATCH($A189,[2]SATS!$C$10:$F$10,0)+1,FALSE)</f>
        <v>0</v>
      </c>
    </row>
    <row r="190" spans="1:20">
      <c r="A190" t="s">
        <v>25</v>
      </c>
      <c r="B190" t="s">
        <v>1359</v>
      </c>
      <c r="C190" t="s">
        <v>28</v>
      </c>
      <c r="D190" t="s">
        <v>60</v>
      </c>
      <c r="E190" t="str">
        <f t="shared" si="4"/>
        <v>Zonal/DHPHZ1ATTIC R19 - R38 (cooling savings)</v>
      </c>
      <c r="F190" s="31" t="str">
        <f>Composite!B189</f>
        <v>Single Family Weatherization - Insulate Attic - R19 to R38 - Heating Zone 1 (Zonal or DHP)</v>
      </c>
      <c r="G190" t="s">
        <v>213</v>
      </c>
      <c r="H190" s="31">
        <f>VLOOKUP($F190&amp;$G190,Composite!$A$5:$Q$865,H$3,FALSE)*VLOOKUP($C190,[2]!ExistingSat,MATCH($A190,[2]SATS!$C$10:$F$10,0)+1,FALSE)</f>
        <v>18.687233388689346</v>
      </c>
      <c r="I190">
        <f>VLOOKUP($F190&amp;$G190,Composite!$A$5:$Q$865,I$3,FALSE)</f>
        <v>45</v>
      </c>
      <c r="J190" s="31">
        <f>VLOOKUP($F190&amp;$G190,Composite!$A$5:$Q$865,J$3,FALSE)*VLOOKUP($C190,[2]!ExistingSat,MATCH($A190,[2]SATS!$C$10:$F$10,0)+1,FALSE)</f>
        <v>0</v>
      </c>
      <c r="K190" s="31">
        <f>VLOOKUP($F190&amp;$G190,Composite!$A$5:$Q$865,K$3,FALSE)*VLOOKUP($C190,[2]!ExistingSat,MATCH($A190,[2]SATS!$C$10:$F$10,0)+1,FALSE)</f>
        <v>0</v>
      </c>
      <c r="L190" t="str">
        <f>VLOOKUP($F190&amp;$G190,Composite!$A$5:$Q$865,L$3,FALSE)</f>
        <v>ResCACPNW</v>
      </c>
      <c r="M190" s="31">
        <f>VLOOKUP($F190&amp;$G190,Composite!$A$5:$Q$865,M$3,FALSE)*VLOOKUP($C190,[2]!ExistingSat,MATCH($A190,[2]SATS!$C$10:$F$10,0)+1,FALSE)</f>
        <v>0</v>
      </c>
      <c r="N190" s="31">
        <f>VLOOKUP($F190&amp;$G190,Composite!$A$5:$Q$865,N$3,FALSE)*VLOOKUP($C190,[2]!ExistingSat,MATCH($A190,[2]SATS!$C$10:$F$10,0)+1,FALSE)</f>
        <v>0</v>
      </c>
      <c r="O190">
        <f>VLOOKUP($F190&amp;$G190,Composite!$A$5:$Q$865,O$3,FALSE)</f>
        <v>0</v>
      </c>
      <c r="P190" s="31">
        <f>VLOOKUP($F190&amp;$G190,Composite!$A$5:$Q$865,P$3,FALSE)*VLOOKUP($C190,[2]!ExistingSat,MATCH($A190,[2]SATS!$C$10:$F$10,0)+1,FALSE)</f>
        <v>0</v>
      </c>
      <c r="Q190">
        <f>VLOOKUP($F190&amp;$G190,Composite!$A$5:$Q$865,Q$3,FALSE)</f>
        <v>0</v>
      </c>
      <c r="R190" s="31">
        <f>VLOOKUP($F190&amp;$G190,Composite!$A$5:$Q$865,R$3,FALSE)*VLOOKUP($C190,[2]!ExistingSat,MATCH($A190,[2]SATS!$C$10:$F$10,0)+1,FALSE)</f>
        <v>0</v>
      </c>
      <c r="S190">
        <f>VLOOKUP($F190&amp;$G190,Composite!$A$5:$Q$865,S$3,FALSE)</f>
        <v>0</v>
      </c>
      <c r="T190" s="31">
        <f>VLOOKUP($F190&amp;$G190,Composite!$A$5:$Q$865,T$3,FALSE)*VLOOKUP($C190,[2]!ExistingSat,MATCH($A190,[2]SATS!$C$10:$F$10,0)+1,FALSE)</f>
        <v>0</v>
      </c>
    </row>
    <row r="191" spans="1:20">
      <c r="A191" t="s">
        <v>25</v>
      </c>
      <c r="B191" t="s">
        <v>1359</v>
      </c>
      <c r="C191" t="s">
        <v>28</v>
      </c>
      <c r="D191" t="s">
        <v>60</v>
      </c>
      <c r="E191" t="str">
        <f t="shared" si="4"/>
        <v>Zonal/DHPHZ1ATTIC R19 - R49 (cooling savings)</v>
      </c>
      <c r="F191" s="31" t="str">
        <f>Composite!B190</f>
        <v>Single Family Weatherization - Insulate Attic - R19 to R49 - Heating Zone 1 (Zonal or DHP)</v>
      </c>
      <c r="G191" t="s">
        <v>214</v>
      </c>
      <c r="H191" s="31">
        <f>VLOOKUP($F191&amp;$G191,Composite!$A$5:$Q$865,H$3,FALSE)*VLOOKUP($C191,[2]!ExistingSat,MATCH($A191,[2]SATS!$C$10:$F$10,0)+1,FALSE)</f>
        <v>22.460380497795899</v>
      </c>
      <c r="I191">
        <f>VLOOKUP($F191&amp;$G191,Composite!$A$5:$Q$865,I$3,FALSE)</f>
        <v>45</v>
      </c>
      <c r="J191" s="31">
        <f>VLOOKUP($F191&amp;$G191,Composite!$A$5:$Q$865,J$3,FALSE)*VLOOKUP($C191,[2]!ExistingSat,MATCH($A191,[2]SATS!$C$10:$F$10,0)+1,FALSE)</f>
        <v>0</v>
      </c>
      <c r="K191" s="31">
        <f>VLOOKUP($F191&amp;$G191,Composite!$A$5:$Q$865,K$3,FALSE)*VLOOKUP($C191,[2]!ExistingSat,MATCH($A191,[2]SATS!$C$10:$F$10,0)+1,FALSE)</f>
        <v>0</v>
      </c>
      <c r="L191" t="str">
        <f>VLOOKUP($F191&amp;$G191,Composite!$A$5:$Q$865,L$3,FALSE)</f>
        <v>ResCACPNW</v>
      </c>
      <c r="M191" s="31">
        <f>VLOOKUP($F191&amp;$G191,Composite!$A$5:$Q$865,M$3,FALSE)*VLOOKUP($C191,[2]!ExistingSat,MATCH($A191,[2]SATS!$C$10:$F$10,0)+1,FALSE)</f>
        <v>0</v>
      </c>
      <c r="N191" s="31">
        <f>VLOOKUP($F191&amp;$G191,Composite!$A$5:$Q$865,N$3,FALSE)*VLOOKUP($C191,[2]!ExistingSat,MATCH($A191,[2]SATS!$C$10:$F$10,0)+1,FALSE)</f>
        <v>0</v>
      </c>
      <c r="O191">
        <f>VLOOKUP($F191&amp;$G191,Composite!$A$5:$Q$865,O$3,FALSE)</f>
        <v>0</v>
      </c>
      <c r="P191" s="31">
        <f>VLOOKUP($F191&amp;$G191,Composite!$A$5:$Q$865,P$3,FALSE)*VLOOKUP($C191,[2]!ExistingSat,MATCH($A191,[2]SATS!$C$10:$F$10,0)+1,FALSE)</f>
        <v>0</v>
      </c>
      <c r="Q191">
        <f>VLOOKUP($F191&amp;$G191,Composite!$A$5:$Q$865,Q$3,FALSE)</f>
        <v>0</v>
      </c>
      <c r="R191" s="31">
        <f>VLOOKUP($F191&amp;$G191,Composite!$A$5:$Q$865,R$3,FALSE)*VLOOKUP($C191,[2]!ExistingSat,MATCH($A191,[2]SATS!$C$10:$F$10,0)+1,FALSE)</f>
        <v>0</v>
      </c>
      <c r="S191">
        <f>VLOOKUP($F191&amp;$G191,Composite!$A$5:$Q$865,S$3,FALSE)</f>
        <v>0</v>
      </c>
      <c r="T191" s="31">
        <f>VLOOKUP($F191&amp;$G191,Composite!$A$5:$Q$865,T$3,FALSE)*VLOOKUP($C191,[2]!ExistingSat,MATCH($A191,[2]SATS!$C$10:$F$10,0)+1,FALSE)</f>
        <v>0</v>
      </c>
    </row>
    <row r="192" spans="1:20">
      <c r="A192" t="s">
        <v>25</v>
      </c>
      <c r="B192" t="s">
        <v>1359</v>
      </c>
      <c r="C192" t="s">
        <v>64</v>
      </c>
      <c r="D192" t="s">
        <v>60</v>
      </c>
      <c r="E192" t="str">
        <f t="shared" si="4"/>
        <v>Zonal/DHPHZ1WALL R0 - R11 (cooling savings)</v>
      </c>
      <c r="F192" s="31" t="str">
        <f>Composite!B191</f>
        <v>Single Family Weatherization - Insulate Wall - R0 to R11 - Heating Zone 1 (Zonal or DHP)</v>
      </c>
      <c r="G192" t="s">
        <v>217</v>
      </c>
      <c r="H192" s="31">
        <f>VLOOKUP($F192&amp;$G192,Composite!$A$5:$Q$865,H$3,FALSE)*VLOOKUP($C192,[2]!ExistingSat,MATCH($A192,[2]SATS!$C$10:$F$10,0)+1,FALSE)</f>
        <v>57.003681395743257</v>
      </c>
      <c r="I192">
        <f>VLOOKUP($F192&amp;$G192,Composite!$A$5:$Q$865,I$3,FALSE)</f>
        <v>45</v>
      </c>
      <c r="J192" s="31">
        <f>VLOOKUP($F192&amp;$G192,Composite!$A$5:$Q$865,J$3,FALSE)*VLOOKUP($C192,[2]!ExistingSat,MATCH($A192,[2]SATS!$C$10:$F$10,0)+1,FALSE)</f>
        <v>0</v>
      </c>
      <c r="K192" s="31">
        <f>VLOOKUP($F192&amp;$G192,Composite!$A$5:$Q$865,K$3,FALSE)*VLOOKUP($C192,[2]!ExistingSat,MATCH($A192,[2]SATS!$C$10:$F$10,0)+1,FALSE)</f>
        <v>0</v>
      </c>
      <c r="L192" t="str">
        <f>VLOOKUP($F192&amp;$G192,Composite!$A$5:$Q$865,L$3,FALSE)</f>
        <v>ResCACPNW</v>
      </c>
      <c r="M192" s="31">
        <f>VLOOKUP($F192&amp;$G192,Composite!$A$5:$Q$865,M$3,FALSE)*VLOOKUP($C192,[2]!ExistingSat,MATCH($A192,[2]SATS!$C$10:$F$10,0)+1,FALSE)</f>
        <v>0</v>
      </c>
      <c r="N192" s="31">
        <f>VLOOKUP($F192&amp;$G192,Composite!$A$5:$Q$865,N$3,FALSE)*VLOOKUP($C192,[2]!ExistingSat,MATCH($A192,[2]SATS!$C$10:$F$10,0)+1,FALSE)</f>
        <v>0</v>
      </c>
      <c r="O192">
        <f>VLOOKUP($F192&amp;$G192,Composite!$A$5:$Q$865,O$3,FALSE)</f>
        <v>0</v>
      </c>
      <c r="P192" s="31">
        <f>VLOOKUP($F192&amp;$G192,Composite!$A$5:$Q$865,P$3,FALSE)*VLOOKUP($C192,[2]!ExistingSat,MATCH($A192,[2]SATS!$C$10:$F$10,0)+1,FALSE)</f>
        <v>0</v>
      </c>
      <c r="Q192">
        <f>VLOOKUP($F192&amp;$G192,Composite!$A$5:$Q$865,Q$3,FALSE)</f>
        <v>0</v>
      </c>
      <c r="R192" s="31">
        <f>VLOOKUP($F192&amp;$G192,Composite!$A$5:$Q$865,R$3,FALSE)*VLOOKUP($C192,[2]!ExistingSat,MATCH($A192,[2]SATS!$C$10:$F$10,0)+1,FALSE)</f>
        <v>0</v>
      </c>
      <c r="S192">
        <f>VLOOKUP($F192&amp;$G192,Composite!$A$5:$Q$865,S$3,FALSE)</f>
        <v>0</v>
      </c>
      <c r="T192" s="31">
        <f>VLOOKUP($F192&amp;$G192,Composite!$A$5:$Q$865,T$3,FALSE)*VLOOKUP($C192,[2]!ExistingSat,MATCH($A192,[2]SATS!$C$10:$F$10,0)+1,FALSE)</f>
        <v>0</v>
      </c>
    </row>
    <row r="193" spans="1:20">
      <c r="A193" t="s">
        <v>25</v>
      </c>
      <c r="B193" t="s">
        <v>1359</v>
      </c>
      <c r="C193" t="s">
        <v>26</v>
      </c>
      <c r="D193" t="s">
        <v>60</v>
      </c>
      <c r="E193" t="str">
        <f t="shared" si="4"/>
        <v>Zonal/DHPHZ1FLOOR R0 - R19 (cooling savings)</v>
      </c>
      <c r="F193" s="31" t="str">
        <f>Composite!B192</f>
        <v>Single Family Weatherization - Insulate Floor - R0 to R19 - Heating Zone 1 (Zonal or DHP)</v>
      </c>
      <c r="G193" t="s">
        <v>218</v>
      </c>
      <c r="H193" s="31">
        <f>VLOOKUP($F193&amp;$G193,Composite!$A$5:$Q$865,H$3,FALSE)*VLOOKUP($C193,[2]!ExistingSat,MATCH($A193,[2]SATS!$C$10:$F$10,0)+1,FALSE)</f>
        <v>-43.58135120812657</v>
      </c>
      <c r="I193">
        <f>VLOOKUP($F193&amp;$G193,Composite!$A$5:$Q$865,I$3,FALSE)</f>
        <v>45</v>
      </c>
      <c r="J193" s="31">
        <f>VLOOKUP($F193&amp;$G193,Composite!$A$5:$Q$865,J$3,FALSE)*VLOOKUP($C193,[2]!ExistingSat,MATCH($A193,[2]SATS!$C$10:$F$10,0)+1,FALSE)</f>
        <v>0</v>
      </c>
      <c r="K193" s="31">
        <f>VLOOKUP($F193&amp;$G193,Composite!$A$5:$Q$865,K$3,FALSE)*VLOOKUP($C193,[2]!ExistingSat,MATCH($A193,[2]SATS!$C$10:$F$10,0)+1,FALSE)</f>
        <v>0</v>
      </c>
      <c r="L193" t="str">
        <f>VLOOKUP($F193&amp;$G193,Composite!$A$5:$Q$865,L$3,FALSE)</f>
        <v>ResCACPNW</v>
      </c>
      <c r="M193" s="31">
        <f>VLOOKUP($F193&amp;$G193,Composite!$A$5:$Q$865,M$3,FALSE)*VLOOKUP($C193,[2]!ExistingSat,MATCH($A193,[2]SATS!$C$10:$F$10,0)+1,FALSE)</f>
        <v>0</v>
      </c>
      <c r="N193" s="31">
        <f>VLOOKUP($F193&amp;$G193,Composite!$A$5:$Q$865,N$3,FALSE)*VLOOKUP($C193,[2]!ExistingSat,MATCH($A193,[2]SATS!$C$10:$F$10,0)+1,FALSE)</f>
        <v>0</v>
      </c>
      <c r="O193">
        <f>VLOOKUP($F193&amp;$G193,Composite!$A$5:$Q$865,O$3,FALSE)</f>
        <v>0</v>
      </c>
      <c r="P193" s="31">
        <f>VLOOKUP($F193&amp;$G193,Composite!$A$5:$Q$865,P$3,FALSE)*VLOOKUP($C193,[2]!ExistingSat,MATCH($A193,[2]SATS!$C$10:$F$10,0)+1,FALSE)</f>
        <v>0</v>
      </c>
      <c r="Q193">
        <f>VLOOKUP($F193&amp;$G193,Composite!$A$5:$Q$865,Q$3,FALSE)</f>
        <v>0</v>
      </c>
      <c r="R193" s="31">
        <f>VLOOKUP($F193&amp;$G193,Composite!$A$5:$Q$865,R$3,FALSE)*VLOOKUP($C193,[2]!ExistingSat,MATCH($A193,[2]SATS!$C$10:$F$10,0)+1,FALSE)</f>
        <v>0</v>
      </c>
      <c r="S193">
        <f>VLOOKUP($F193&amp;$G193,Composite!$A$5:$Q$865,S$3,FALSE)</f>
        <v>0</v>
      </c>
      <c r="T193" s="31">
        <f>VLOOKUP($F193&amp;$G193,Composite!$A$5:$Q$865,T$3,FALSE)*VLOOKUP($C193,[2]!ExistingSat,MATCH($A193,[2]SATS!$C$10:$F$10,0)+1,FALSE)</f>
        <v>0</v>
      </c>
    </row>
    <row r="194" spans="1:20">
      <c r="A194" t="s">
        <v>25</v>
      </c>
      <c r="B194" t="s">
        <v>1359</v>
      </c>
      <c r="C194" t="s">
        <v>26</v>
      </c>
      <c r="D194" t="s">
        <v>60</v>
      </c>
      <c r="E194" t="str">
        <f t="shared" si="4"/>
        <v>Zonal/DHPHZ1FLOOR R0 - R25 (cooling savings)</v>
      </c>
      <c r="F194" s="31" t="str">
        <f>Composite!B193</f>
        <v>Single Family Weatherization - Insulate Floor - R0 to R25 - Heating Zone 1 (Zonal or DHP)</v>
      </c>
      <c r="G194" t="s">
        <v>219</v>
      </c>
      <c r="H194" s="31">
        <f>VLOOKUP($F194&amp;$G194,Composite!$A$5:$Q$865,H$3,FALSE)*VLOOKUP($C194,[2]!ExistingSat,MATCH($A194,[2]SATS!$C$10:$F$10,0)+1,FALSE)</f>
        <v>-48.41488948712766</v>
      </c>
      <c r="I194">
        <f>VLOOKUP($F194&amp;$G194,Composite!$A$5:$Q$865,I$3,FALSE)</f>
        <v>45</v>
      </c>
      <c r="J194" s="31">
        <f>VLOOKUP($F194&amp;$G194,Composite!$A$5:$Q$865,J$3,FALSE)*VLOOKUP($C194,[2]!ExistingSat,MATCH($A194,[2]SATS!$C$10:$F$10,0)+1,FALSE)</f>
        <v>0</v>
      </c>
      <c r="K194" s="31">
        <f>VLOOKUP($F194&amp;$G194,Composite!$A$5:$Q$865,K$3,FALSE)*VLOOKUP($C194,[2]!ExistingSat,MATCH($A194,[2]SATS!$C$10:$F$10,0)+1,FALSE)</f>
        <v>0</v>
      </c>
      <c r="L194" t="str">
        <f>VLOOKUP($F194&amp;$G194,Composite!$A$5:$Q$865,L$3,FALSE)</f>
        <v>ResCACPNW</v>
      </c>
      <c r="M194" s="31">
        <f>VLOOKUP($F194&amp;$G194,Composite!$A$5:$Q$865,M$3,FALSE)*VLOOKUP($C194,[2]!ExistingSat,MATCH($A194,[2]SATS!$C$10:$F$10,0)+1,FALSE)</f>
        <v>0</v>
      </c>
      <c r="N194" s="31">
        <f>VLOOKUP($F194&amp;$G194,Composite!$A$5:$Q$865,N$3,FALSE)*VLOOKUP($C194,[2]!ExistingSat,MATCH($A194,[2]SATS!$C$10:$F$10,0)+1,FALSE)</f>
        <v>0</v>
      </c>
      <c r="O194">
        <f>VLOOKUP($F194&amp;$G194,Composite!$A$5:$Q$865,O$3,FALSE)</f>
        <v>0</v>
      </c>
      <c r="P194" s="31">
        <f>VLOOKUP($F194&amp;$G194,Composite!$A$5:$Q$865,P$3,FALSE)*VLOOKUP($C194,[2]!ExistingSat,MATCH($A194,[2]SATS!$C$10:$F$10,0)+1,FALSE)</f>
        <v>0</v>
      </c>
      <c r="Q194">
        <f>VLOOKUP($F194&amp;$G194,Composite!$A$5:$Q$865,Q$3,FALSE)</f>
        <v>0</v>
      </c>
      <c r="R194" s="31">
        <f>VLOOKUP($F194&amp;$G194,Composite!$A$5:$Q$865,R$3,FALSE)*VLOOKUP($C194,[2]!ExistingSat,MATCH($A194,[2]SATS!$C$10:$F$10,0)+1,FALSE)</f>
        <v>0</v>
      </c>
      <c r="S194">
        <f>VLOOKUP($F194&amp;$G194,Composite!$A$5:$Q$865,S$3,FALSE)</f>
        <v>0</v>
      </c>
      <c r="T194" s="31">
        <f>VLOOKUP($F194&amp;$G194,Composite!$A$5:$Q$865,T$3,FALSE)*VLOOKUP($C194,[2]!ExistingSat,MATCH($A194,[2]SATS!$C$10:$F$10,0)+1,FALSE)</f>
        <v>0</v>
      </c>
    </row>
    <row r="195" spans="1:20">
      <c r="A195" t="s">
        <v>25</v>
      </c>
      <c r="B195" t="s">
        <v>1359</v>
      </c>
      <c r="C195" t="s">
        <v>26</v>
      </c>
      <c r="D195" t="s">
        <v>60</v>
      </c>
      <c r="E195" t="str">
        <f t="shared" si="4"/>
        <v>Zonal/DHPHZ1FLOOR R0 - R30 (cooling savings)</v>
      </c>
      <c r="F195" s="31" t="str">
        <f>Composite!B194</f>
        <v>Single Family Weatherization - Insulate Floor - R0 to R30 - Heating Zone 1 (Zonal or DHP)</v>
      </c>
      <c r="G195" t="s">
        <v>220</v>
      </c>
      <c r="H195" s="31">
        <f>VLOOKUP($F195&amp;$G195,Composite!$A$5:$Q$865,H$3,FALSE)*VLOOKUP($C195,[2]!ExistingSat,MATCH($A195,[2]SATS!$C$10:$F$10,0)+1,FALSE)</f>
        <v>-51.577388730510947</v>
      </c>
      <c r="I195">
        <f>VLOOKUP($F195&amp;$G195,Composite!$A$5:$Q$865,I$3,FALSE)</f>
        <v>45</v>
      </c>
      <c r="J195" s="31">
        <f>VLOOKUP($F195&amp;$G195,Composite!$A$5:$Q$865,J$3,FALSE)*VLOOKUP($C195,[2]!ExistingSat,MATCH($A195,[2]SATS!$C$10:$F$10,0)+1,FALSE)</f>
        <v>0</v>
      </c>
      <c r="K195" s="31">
        <f>VLOOKUP($F195&amp;$G195,Composite!$A$5:$Q$865,K$3,FALSE)*VLOOKUP($C195,[2]!ExistingSat,MATCH($A195,[2]SATS!$C$10:$F$10,0)+1,FALSE)</f>
        <v>0</v>
      </c>
      <c r="L195" t="str">
        <f>VLOOKUP($F195&amp;$G195,Composite!$A$5:$Q$865,L$3,FALSE)</f>
        <v>ResCACPNW</v>
      </c>
      <c r="M195" s="31">
        <f>VLOOKUP($F195&amp;$G195,Composite!$A$5:$Q$865,M$3,FALSE)*VLOOKUP($C195,[2]!ExistingSat,MATCH($A195,[2]SATS!$C$10:$F$10,0)+1,FALSE)</f>
        <v>0</v>
      </c>
      <c r="N195" s="31">
        <f>VLOOKUP($F195&amp;$G195,Composite!$A$5:$Q$865,N$3,FALSE)*VLOOKUP($C195,[2]!ExistingSat,MATCH($A195,[2]SATS!$C$10:$F$10,0)+1,FALSE)</f>
        <v>0</v>
      </c>
      <c r="O195">
        <f>VLOOKUP($F195&amp;$G195,Composite!$A$5:$Q$865,O$3,FALSE)</f>
        <v>0</v>
      </c>
      <c r="P195" s="31">
        <f>VLOOKUP($F195&amp;$G195,Composite!$A$5:$Q$865,P$3,FALSE)*VLOOKUP($C195,[2]!ExistingSat,MATCH($A195,[2]SATS!$C$10:$F$10,0)+1,FALSE)</f>
        <v>0</v>
      </c>
      <c r="Q195">
        <f>VLOOKUP($F195&amp;$G195,Composite!$A$5:$Q$865,Q$3,FALSE)</f>
        <v>0</v>
      </c>
      <c r="R195" s="31">
        <f>VLOOKUP($F195&amp;$G195,Composite!$A$5:$Q$865,R$3,FALSE)*VLOOKUP($C195,[2]!ExistingSat,MATCH($A195,[2]SATS!$C$10:$F$10,0)+1,FALSE)</f>
        <v>0</v>
      </c>
      <c r="S195">
        <f>VLOOKUP($F195&amp;$G195,Composite!$A$5:$Q$865,S$3,FALSE)</f>
        <v>0</v>
      </c>
      <c r="T195" s="31">
        <f>VLOOKUP($F195&amp;$G195,Composite!$A$5:$Q$865,T$3,FALSE)*VLOOKUP($C195,[2]!ExistingSat,MATCH($A195,[2]SATS!$C$10:$F$10,0)+1,FALSE)</f>
        <v>0</v>
      </c>
    </row>
    <row r="196" spans="1:20">
      <c r="A196" t="s">
        <v>25</v>
      </c>
      <c r="B196" t="s">
        <v>1359</v>
      </c>
      <c r="C196" t="s">
        <v>27</v>
      </c>
      <c r="D196" t="s">
        <v>60</v>
      </c>
      <c r="E196" t="str">
        <f t="shared" si="4"/>
        <v>Zonal/DHPHZ1WINDOW CL30 Prime Window Replacement of Single Pane Base (cooling savings)</v>
      </c>
      <c r="F196" s="31" t="str">
        <f>Composite!B195</f>
        <v>Windows - Single Pane to Class 30 - Heating Zone 1 (Zonal or DHP)</v>
      </c>
      <c r="G196" t="s">
        <v>221</v>
      </c>
      <c r="H196" s="31">
        <f>VLOOKUP($F196&amp;$G196,Composite!$A$5:$Q$865,H$3,FALSE)*VLOOKUP($C196,[2]!ExistingSat,MATCH($A196,[2]SATS!$C$10:$F$10,0)+1,FALSE)</f>
        <v>99.225863505372956</v>
      </c>
      <c r="I196">
        <f>VLOOKUP($F196&amp;$G196,Composite!$A$5:$Q$865,I$3,FALSE)</f>
        <v>45</v>
      </c>
      <c r="J196" s="31">
        <f>VLOOKUP($F196&amp;$G196,Composite!$A$5:$Q$865,J$3,FALSE)*VLOOKUP($C196,[2]!ExistingSat,MATCH($A196,[2]SATS!$C$10:$F$10,0)+1,FALSE)</f>
        <v>0</v>
      </c>
      <c r="K196" s="31">
        <f>VLOOKUP($F196&amp;$G196,Composite!$A$5:$Q$865,K$3,FALSE)*VLOOKUP($C196,[2]!ExistingSat,MATCH($A196,[2]SATS!$C$10:$F$10,0)+1,FALSE)</f>
        <v>0</v>
      </c>
      <c r="L196" t="str">
        <f>VLOOKUP($F196&amp;$G196,Composite!$A$5:$Q$865,L$3,FALSE)</f>
        <v>ResCACPNW</v>
      </c>
      <c r="M196" s="31">
        <f>VLOOKUP($F196&amp;$G196,Composite!$A$5:$Q$865,M$3,FALSE)*VLOOKUP($C196,[2]!ExistingSat,MATCH($A196,[2]SATS!$C$10:$F$10,0)+1,FALSE)</f>
        <v>0</v>
      </c>
      <c r="N196" s="31">
        <f>VLOOKUP($F196&amp;$G196,Composite!$A$5:$Q$865,N$3,FALSE)*VLOOKUP($C196,[2]!ExistingSat,MATCH($A196,[2]SATS!$C$10:$F$10,0)+1,FALSE)</f>
        <v>0</v>
      </c>
      <c r="O196">
        <f>VLOOKUP($F196&amp;$G196,Composite!$A$5:$Q$865,O$3,FALSE)</f>
        <v>0</v>
      </c>
      <c r="P196" s="31">
        <f>VLOOKUP($F196&amp;$G196,Composite!$A$5:$Q$865,P$3,FALSE)*VLOOKUP($C196,[2]!ExistingSat,MATCH($A196,[2]SATS!$C$10:$F$10,0)+1,FALSE)</f>
        <v>0</v>
      </c>
      <c r="Q196">
        <f>VLOOKUP($F196&amp;$G196,Composite!$A$5:$Q$865,Q$3,FALSE)</f>
        <v>0</v>
      </c>
      <c r="R196" s="31">
        <f>VLOOKUP($F196&amp;$G196,Composite!$A$5:$Q$865,R$3,FALSE)*VLOOKUP($C196,[2]!ExistingSat,MATCH($A196,[2]SATS!$C$10:$F$10,0)+1,FALSE)</f>
        <v>0</v>
      </c>
      <c r="S196">
        <f>VLOOKUP($F196&amp;$G196,Composite!$A$5:$Q$865,S$3,FALSE)</f>
        <v>0</v>
      </c>
      <c r="T196" s="31">
        <f>VLOOKUP($F196&amp;$G196,Composite!$A$5:$Q$865,T$3,FALSE)*VLOOKUP($C196,[2]!ExistingSat,MATCH($A196,[2]SATS!$C$10:$F$10,0)+1,FALSE)</f>
        <v>0</v>
      </c>
    </row>
    <row r="197" spans="1:20">
      <c r="A197" t="s">
        <v>25</v>
      </c>
      <c r="B197" t="s">
        <v>1359</v>
      </c>
      <c r="C197" t="s">
        <v>27</v>
      </c>
      <c r="D197" t="s">
        <v>60</v>
      </c>
      <c r="E197" t="str">
        <f t="shared" si="4"/>
        <v>Zonal/DHPHZ1WINDOW CL30 Prime Window Replacement of Double Pane Base (cooling savings)</v>
      </c>
      <c r="F197" s="31" t="str">
        <f>Composite!B196</f>
        <v>Windows - Double Pane to Class 30 - Heating Zone 1 (Zonal or DHP)</v>
      </c>
      <c r="G197" t="s">
        <v>222</v>
      </c>
      <c r="H197" s="31">
        <f>VLOOKUP($F197&amp;$G197,Composite!$A$5:$Q$865,H$3,FALSE)*VLOOKUP($C197,[2]!ExistingSat,MATCH($A197,[2]SATS!$C$10:$F$10,0)+1,FALSE)</f>
        <v>122.11186697401905</v>
      </c>
      <c r="I197">
        <f>VLOOKUP($F197&amp;$G197,Composite!$A$5:$Q$865,I$3,FALSE)</f>
        <v>45</v>
      </c>
      <c r="J197" s="31">
        <f>VLOOKUP($F197&amp;$G197,Composite!$A$5:$Q$865,J$3,FALSE)*VLOOKUP($C197,[2]!ExistingSat,MATCH($A197,[2]SATS!$C$10:$F$10,0)+1,FALSE)</f>
        <v>0</v>
      </c>
      <c r="K197" s="31">
        <f>VLOOKUP($F197&amp;$G197,Composite!$A$5:$Q$865,K$3,FALSE)*VLOOKUP($C197,[2]!ExistingSat,MATCH($A197,[2]SATS!$C$10:$F$10,0)+1,FALSE)</f>
        <v>0</v>
      </c>
      <c r="L197" t="str">
        <f>VLOOKUP($F197&amp;$G197,Composite!$A$5:$Q$865,L$3,FALSE)</f>
        <v>ResCACPNW</v>
      </c>
      <c r="M197" s="31">
        <f>VLOOKUP($F197&amp;$G197,Composite!$A$5:$Q$865,M$3,FALSE)*VLOOKUP($C197,[2]!ExistingSat,MATCH($A197,[2]SATS!$C$10:$F$10,0)+1,FALSE)</f>
        <v>0</v>
      </c>
      <c r="N197" s="31">
        <f>VLOOKUP($F197&amp;$G197,Composite!$A$5:$Q$865,N$3,FALSE)*VLOOKUP($C197,[2]!ExistingSat,MATCH($A197,[2]SATS!$C$10:$F$10,0)+1,FALSE)</f>
        <v>0</v>
      </c>
      <c r="O197">
        <f>VLOOKUP($F197&amp;$G197,Composite!$A$5:$Q$865,O$3,FALSE)</f>
        <v>0</v>
      </c>
      <c r="P197" s="31">
        <f>VLOOKUP($F197&amp;$G197,Composite!$A$5:$Q$865,P$3,FALSE)*VLOOKUP($C197,[2]!ExistingSat,MATCH($A197,[2]SATS!$C$10:$F$10,0)+1,FALSE)</f>
        <v>0</v>
      </c>
      <c r="Q197">
        <f>VLOOKUP($F197&amp;$G197,Composite!$A$5:$Q$865,Q$3,FALSE)</f>
        <v>0</v>
      </c>
      <c r="R197" s="31">
        <f>VLOOKUP($F197&amp;$G197,Composite!$A$5:$Q$865,R$3,FALSE)*VLOOKUP($C197,[2]!ExistingSat,MATCH($A197,[2]SATS!$C$10:$F$10,0)+1,FALSE)</f>
        <v>0</v>
      </c>
      <c r="S197">
        <f>VLOOKUP($F197&amp;$G197,Composite!$A$5:$Q$865,S$3,FALSE)</f>
        <v>0</v>
      </c>
      <c r="T197" s="31">
        <f>VLOOKUP($F197&amp;$G197,Composite!$A$5:$Q$865,T$3,FALSE)*VLOOKUP($C197,[2]!ExistingSat,MATCH($A197,[2]SATS!$C$10:$F$10,0)+1,FALSE)</f>
        <v>0</v>
      </c>
    </row>
    <row r="198" spans="1:20">
      <c r="A198" t="s">
        <v>25</v>
      </c>
      <c r="B198" t="s">
        <v>1359</v>
      </c>
      <c r="C198" t="s">
        <v>27</v>
      </c>
      <c r="D198" t="s">
        <v>60</v>
      </c>
      <c r="E198" t="str">
        <f t="shared" si="4"/>
        <v>Zonal/DHPHZ1WINDOW CL22 Prime Window Replacement of Single Pane Base (cooling savings)</v>
      </c>
      <c r="F198" s="31" t="str">
        <f>Composite!B197</f>
        <v>Windows - Single Pane to Class 22 - Heating Zone 1 (Zonal or DHP)</v>
      </c>
      <c r="G198" t="s">
        <v>224</v>
      </c>
      <c r="H198" s="31">
        <f>VLOOKUP($F198&amp;$G198,Composite!$A$5:$Q$865,H$3,FALSE)*VLOOKUP($C198,[2]!ExistingSat,MATCH($A198,[2]SATS!$C$10:$F$10,0)+1,FALSE)</f>
        <v>106.94229595059025</v>
      </c>
      <c r="I198">
        <f>VLOOKUP($F198&amp;$G198,Composite!$A$5:$Q$865,I$3,FALSE)</f>
        <v>45</v>
      </c>
      <c r="J198" s="31">
        <f>VLOOKUP($F198&amp;$G198,Composite!$A$5:$Q$865,J$3,FALSE)*VLOOKUP($C198,[2]!ExistingSat,MATCH($A198,[2]SATS!$C$10:$F$10,0)+1,FALSE)</f>
        <v>0</v>
      </c>
      <c r="K198" s="31">
        <f>VLOOKUP($F198&amp;$G198,Composite!$A$5:$Q$865,K$3,FALSE)*VLOOKUP($C198,[2]!ExistingSat,MATCH($A198,[2]SATS!$C$10:$F$10,0)+1,FALSE)</f>
        <v>0</v>
      </c>
      <c r="L198" t="str">
        <f>VLOOKUP($F198&amp;$G198,Composite!$A$5:$Q$865,L$3,FALSE)</f>
        <v>ResCACPNW</v>
      </c>
      <c r="M198" s="31">
        <f>VLOOKUP($F198&amp;$G198,Composite!$A$5:$Q$865,M$3,FALSE)*VLOOKUP($C198,[2]!ExistingSat,MATCH($A198,[2]SATS!$C$10:$F$10,0)+1,FALSE)</f>
        <v>0</v>
      </c>
      <c r="N198" s="31">
        <f>VLOOKUP($F198&amp;$G198,Composite!$A$5:$Q$865,N$3,FALSE)*VLOOKUP($C198,[2]!ExistingSat,MATCH($A198,[2]SATS!$C$10:$F$10,0)+1,FALSE)</f>
        <v>0</v>
      </c>
      <c r="O198">
        <f>VLOOKUP($F198&amp;$G198,Composite!$A$5:$Q$865,O$3,FALSE)</f>
        <v>0</v>
      </c>
      <c r="P198" s="31">
        <f>VLOOKUP($F198&amp;$G198,Composite!$A$5:$Q$865,P$3,FALSE)*VLOOKUP($C198,[2]!ExistingSat,MATCH($A198,[2]SATS!$C$10:$F$10,0)+1,FALSE)</f>
        <v>0</v>
      </c>
      <c r="Q198">
        <f>VLOOKUP($F198&amp;$G198,Composite!$A$5:$Q$865,Q$3,FALSE)</f>
        <v>0</v>
      </c>
      <c r="R198" s="31">
        <f>VLOOKUP($F198&amp;$G198,Composite!$A$5:$Q$865,R$3,FALSE)*VLOOKUP($C198,[2]!ExistingSat,MATCH($A198,[2]SATS!$C$10:$F$10,0)+1,FALSE)</f>
        <v>0</v>
      </c>
      <c r="S198">
        <f>VLOOKUP($F198&amp;$G198,Composite!$A$5:$Q$865,S$3,FALSE)</f>
        <v>0</v>
      </c>
      <c r="T198" s="31">
        <f>VLOOKUP($F198&amp;$G198,Composite!$A$5:$Q$865,T$3,FALSE)*VLOOKUP($C198,[2]!ExistingSat,MATCH($A198,[2]SATS!$C$10:$F$10,0)+1,FALSE)</f>
        <v>0</v>
      </c>
    </row>
    <row r="199" spans="1:20">
      <c r="A199" t="s">
        <v>25</v>
      </c>
      <c r="B199" t="s">
        <v>1359</v>
      </c>
      <c r="C199" t="s">
        <v>27</v>
      </c>
      <c r="D199" t="s">
        <v>60</v>
      </c>
      <c r="E199" t="str">
        <f t="shared" si="4"/>
        <v>Zonal/DHPHZ1WINDOW CL22 Prime Window Replacement of Double Pane Base (cooling savings)</v>
      </c>
      <c r="F199" s="31" t="str">
        <f>Composite!B198</f>
        <v>Windows - Double Pane to Class 22 - Heating Zone 1 (Zonal or DHP)</v>
      </c>
      <c r="G199" t="s">
        <v>225</v>
      </c>
      <c r="H199" s="31">
        <f>VLOOKUP($F199&amp;$G199,Composite!$A$5:$Q$865,H$3,FALSE)*VLOOKUP($C199,[2]!ExistingSat,MATCH($A199,[2]SATS!$C$10:$F$10,0)+1,FALSE)</f>
        <v>129.82829941923634</v>
      </c>
      <c r="I199">
        <f>VLOOKUP($F199&amp;$G199,Composite!$A$5:$Q$865,I$3,FALSE)</f>
        <v>45</v>
      </c>
      <c r="J199" s="31">
        <f>VLOOKUP($F199&amp;$G199,Composite!$A$5:$Q$865,J$3,FALSE)*VLOOKUP($C199,[2]!ExistingSat,MATCH($A199,[2]SATS!$C$10:$F$10,0)+1,FALSE)</f>
        <v>0</v>
      </c>
      <c r="K199" s="31">
        <f>VLOOKUP($F199&amp;$G199,Composite!$A$5:$Q$865,K$3,FALSE)*VLOOKUP($C199,[2]!ExistingSat,MATCH($A199,[2]SATS!$C$10:$F$10,0)+1,FALSE)</f>
        <v>0</v>
      </c>
      <c r="L199" t="str">
        <f>VLOOKUP($F199&amp;$G199,Composite!$A$5:$Q$865,L$3,FALSE)</f>
        <v>ResCACPNW</v>
      </c>
      <c r="M199" s="31">
        <f>VLOOKUP($F199&amp;$G199,Composite!$A$5:$Q$865,M$3,FALSE)*VLOOKUP($C199,[2]!ExistingSat,MATCH($A199,[2]SATS!$C$10:$F$10,0)+1,FALSE)</f>
        <v>0</v>
      </c>
      <c r="N199" s="31">
        <f>VLOOKUP($F199&amp;$G199,Composite!$A$5:$Q$865,N$3,FALSE)*VLOOKUP($C199,[2]!ExistingSat,MATCH($A199,[2]SATS!$C$10:$F$10,0)+1,FALSE)</f>
        <v>0</v>
      </c>
      <c r="O199">
        <f>VLOOKUP($F199&amp;$G199,Composite!$A$5:$Q$865,O$3,FALSE)</f>
        <v>0</v>
      </c>
      <c r="P199" s="31">
        <f>VLOOKUP($F199&amp;$G199,Composite!$A$5:$Q$865,P$3,FALSE)*VLOOKUP($C199,[2]!ExistingSat,MATCH($A199,[2]SATS!$C$10:$F$10,0)+1,FALSE)</f>
        <v>0</v>
      </c>
      <c r="Q199">
        <f>VLOOKUP($F199&amp;$G199,Composite!$A$5:$Q$865,Q$3,FALSE)</f>
        <v>0</v>
      </c>
      <c r="R199" s="31">
        <f>VLOOKUP($F199&amp;$G199,Composite!$A$5:$Q$865,R$3,FALSE)*VLOOKUP($C199,[2]!ExistingSat,MATCH($A199,[2]SATS!$C$10:$F$10,0)+1,FALSE)</f>
        <v>0</v>
      </c>
      <c r="S199">
        <f>VLOOKUP($F199&amp;$G199,Composite!$A$5:$Q$865,S$3,FALSE)</f>
        <v>0</v>
      </c>
      <c r="T199" s="31">
        <f>VLOOKUP($F199&amp;$G199,Composite!$A$5:$Q$865,T$3,FALSE)*VLOOKUP($C199,[2]!ExistingSat,MATCH($A199,[2]SATS!$C$10:$F$10,0)+1,FALSE)</f>
        <v>0</v>
      </c>
    </row>
    <row r="200" spans="1:20">
      <c r="A200" t="s">
        <v>25</v>
      </c>
      <c r="B200" t="s">
        <v>1359</v>
      </c>
      <c r="C200" t="s">
        <v>66</v>
      </c>
      <c r="D200" t="s">
        <v>60</v>
      </c>
      <c r="E200" t="str">
        <f t="shared" si="4"/>
        <v>Zonal/DHPHZ1CFM50 Infiltration Reduction (cooling savings)</v>
      </c>
      <c r="F200" s="31" t="str">
        <f>Composite!B199</f>
        <v>Infiltration Reduction - CFM50 reduction - Heating Zone 1 (Zonal or DHP)</v>
      </c>
      <c r="G200" t="s">
        <v>890</v>
      </c>
      <c r="H200" s="31">
        <f>VLOOKUP($F200&amp;$G200,Composite!$A$5:$Q$865,H$3,FALSE)*VLOOKUP($C200,[2]!ExistingSat,MATCH($A200,[2]SATS!$C$10:$F$10,0)+1,FALSE)</f>
        <v>9.4898834098999014</v>
      </c>
      <c r="I200">
        <f>VLOOKUP($F200&amp;$G200,Composite!$A$5:$Q$865,I$3,FALSE)</f>
        <v>15</v>
      </c>
      <c r="J200" s="31">
        <f>VLOOKUP($F200&amp;$G200,Composite!$A$5:$Q$865,J$3,FALSE)*VLOOKUP($C200,[2]!ExistingSat,MATCH($A200,[2]SATS!$C$10:$F$10,0)+1,FALSE)</f>
        <v>0</v>
      </c>
      <c r="K200" s="31">
        <f>VLOOKUP($F200&amp;$G200,Composite!$A$5:$Q$865,K$3,FALSE)*VLOOKUP($C200,[2]!ExistingSat,MATCH($A200,[2]SATS!$C$10:$F$10,0)+1,FALSE)</f>
        <v>0</v>
      </c>
      <c r="L200" t="str">
        <f>VLOOKUP($F200&amp;$G200,Composite!$A$5:$Q$865,L$3,FALSE)</f>
        <v>ResCACPNW</v>
      </c>
      <c r="M200" s="31">
        <f>VLOOKUP($F200&amp;$G200,Composite!$A$5:$Q$865,M$3,FALSE)*VLOOKUP($C200,[2]!ExistingSat,MATCH($A200,[2]SATS!$C$10:$F$10,0)+1,FALSE)</f>
        <v>0</v>
      </c>
      <c r="N200" s="31">
        <f>VLOOKUP($F200&amp;$G200,Composite!$A$5:$Q$865,N$3,FALSE)*VLOOKUP($C200,[2]!ExistingSat,MATCH($A200,[2]SATS!$C$10:$F$10,0)+1,FALSE)</f>
        <v>0</v>
      </c>
      <c r="O200">
        <f>VLOOKUP($F200&amp;$G200,Composite!$A$5:$Q$865,O$3,FALSE)</f>
        <v>0</v>
      </c>
      <c r="P200" s="31">
        <f>VLOOKUP($F200&amp;$G200,Composite!$A$5:$Q$865,P$3,FALSE)*VLOOKUP($C200,[2]!ExistingSat,MATCH($A200,[2]SATS!$C$10:$F$10,0)+1,FALSE)</f>
        <v>0</v>
      </c>
      <c r="Q200">
        <f>VLOOKUP($F200&amp;$G200,Composite!$A$5:$Q$865,Q$3,FALSE)</f>
        <v>0</v>
      </c>
      <c r="R200" s="31">
        <f>VLOOKUP($F200&amp;$G200,Composite!$A$5:$Q$865,R$3,FALSE)*VLOOKUP($C200,[2]!ExistingSat,MATCH($A200,[2]SATS!$C$10:$F$10,0)+1,FALSE)</f>
        <v>0</v>
      </c>
      <c r="S200">
        <f>VLOOKUP($F200&amp;$G200,Composite!$A$5:$Q$865,S$3,FALSE)</f>
        <v>0</v>
      </c>
      <c r="T200" s="31">
        <f>VLOOKUP($F200&amp;$G200,Composite!$A$5:$Q$865,T$3,FALSE)*VLOOKUP($C200,[2]!ExistingSat,MATCH($A200,[2]SATS!$C$10:$F$10,0)+1,FALSE)</f>
        <v>0</v>
      </c>
    </row>
    <row r="201" spans="1:20">
      <c r="A201" t="s">
        <v>25</v>
      </c>
      <c r="B201" t="s">
        <v>1359</v>
      </c>
      <c r="C201" t="s">
        <v>28</v>
      </c>
      <c r="D201" t="s">
        <v>61</v>
      </c>
      <c r="E201" t="str">
        <f t="shared" si="4"/>
        <v>Zonal/DHPHZ2ATTIC R0 - R38 (cooling savings)</v>
      </c>
      <c r="F201" s="31" t="str">
        <f>Composite!B200</f>
        <v>Single Family Weatherization - Insulate Attic - R0 to R38 - Heating Zone 2 (Zonal or DHP)</v>
      </c>
      <c r="G201" t="s">
        <v>208</v>
      </c>
      <c r="H201" s="31">
        <f>VLOOKUP($F201&amp;$G201,Composite!$A$5:$Q$865,H$3,FALSE)*VLOOKUP($C201,[2]!ExistingSat,MATCH($A201,[2]SATS!$C$10:$F$10,0)+1,FALSE)</f>
        <v>534.53266951656246</v>
      </c>
      <c r="I201">
        <f>VLOOKUP($F201&amp;$G201,Composite!$A$5:$Q$865,I$3,FALSE)</f>
        <v>45</v>
      </c>
      <c r="J201" s="31">
        <f>VLOOKUP($F201&amp;$G201,Composite!$A$5:$Q$865,J$3,FALSE)*VLOOKUP($C201,[2]!ExistingSat,MATCH($A201,[2]SATS!$C$10:$F$10,0)+1,FALSE)</f>
        <v>0</v>
      </c>
      <c r="K201" s="31">
        <f>VLOOKUP($F201&amp;$G201,Composite!$A$5:$Q$865,K$3,FALSE)*VLOOKUP($C201,[2]!ExistingSat,MATCH($A201,[2]SATS!$C$10:$F$10,0)+1,FALSE)</f>
        <v>0</v>
      </c>
      <c r="L201" t="str">
        <f>VLOOKUP($F201&amp;$G201,Composite!$A$5:$Q$865,L$3,FALSE)</f>
        <v>ResCACPNW</v>
      </c>
      <c r="M201" s="31">
        <f>VLOOKUP($F201&amp;$G201,Composite!$A$5:$Q$865,M$3,FALSE)*VLOOKUP($C201,[2]!ExistingSat,MATCH($A201,[2]SATS!$C$10:$F$10,0)+1,FALSE)</f>
        <v>0</v>
      </c>
      <c r="N201" s="31">
        <f>VLOOKUP($F201&amp;$G201,Composite!$A$5:$Q$865,N$3,FALSE)*VLOOKUP($C201,[2]!ExistingSat,MATCH($A201,[2]SATS!$C$10:$F$10,0)+1,FALSE)</f>
        <v>0</v>
      </c>
      <c r="O201">
        <f>VLOOKUP($F201&amp;$G201,Composite!$A$5:$Q$865,O$3,FALSE)</f>
        <v>0</v>
      </c>
      <c r="P201" s="31">
        <f>VLOOKUP($F201&amp;$G201,Composite!$A$5:$Q$865,P$3,FALSE)*VLOOKUP($C201,[2]!ExistingSat,MATCH($A201,[2]SATS!$C$10:$F$10,0)+1,FALSE)</f>
        <v>0</v>
      </c>
      <c r="Q201">
        <f>VLOOKUP($F201&amp;$G201,Composite!$A$5:$Q$865,Q$3,FALSE)</f>
        <v>0</v>
      </c>
      <c r="R201" s="31">
        <f>VLOOKUP($F201&amp;$G201,Composite!$A$5:$Q$865,R$3,FALSE)*VLOOKUP($C201,[2]!ExistingSat,MATCH($A201,[2]SATS!$C$10:$F$10,0)+1,FALSE)</f>
        <v>0</v>
      </c>
      <c r="S201">
        <f>VLOOKUP($F201&amp;$G201,Composite!$A$5:$Q$865,S$3,FALSE)</f>
        <v>0</v>
      </c>
      <c r="T201" s="31">
        <f>VLOOKUP($F201&amp;$G201,Composite!$A$5:$Q$865,T$3,FALSE)*VLOOKUP($C201,[2]!ExistingSat,MATCH($A201,[2]SATS!$C$10:$F$10,0)+1,FALSE)</f>
        <v>0</v>
      </c>
    </row>
    <row r="202" spans="1:20">
      <c r="A202" t="s">
        <v>25</v>
      </c>
      <c r="B202" t="s">
        <v>1359</v>
      </c>
      <c r="C202" t="s">
        <v>28</v>
      </c>
      <c r="D202" t="s">
        <v>61</v>
      </c>
      <c r="E202" t="str">
        <f t="shared" si="4"/>
        <v>Zonal/DHPHZ2ATTIC R0 - R49 (cooling savings)</v>
      </c>
      <c r="F202" s="31" t="str">
        <f>Composite!B201</f>
        <v>Single Family Weatherization - Insulate Attic - R0 to R49 - Heating Zone 2 (Zonal or DHP)</v>
      </c>
      <c r="G202" t="s">
        <v>210</v>
      </c>
      <c r="H202" s="31">
        <f>VLOOKUP($F202&amp;$G202,Composite!$A$5:$Q$865,H$3,FALSE)*VLOOKUP($C202,[2]!ExistingSat,MATCH($A202,[2]SATS!$C$10:$F$10,0)+1,FALSE)</f>
        <v>540.79026388878674</v>
      </c>
      <c r="I202">
        <f>VLOOKUP($F202&amp;$G202,Composite!$A$5:$Q$865,I$3,FALSE)</f>
        <v>45</v>
      </c>
      <c r="J202" s="31">
        <f>VLOOKUP($F202&amp;$G202,Composite!$A$5:$Q$865,J$3,FALSE)*VLOOKUP($C202,[2]!ExistingSat,MATCH($A202,[2]SATS!$C$10:$F$10,0)+1,FALSE)</f>
        <v>0</v>
      </c>
      <c r="K202" s="31">
        <f>VLOOKUP($F202&amp;$G202,Composite!$A$5:$Q$865,K$3,FALSE)*VLOOKUP($C202,[2]!ExistingSat,MATCH($A202,[2]SATS!$C$10:$F$10,0)+1,FALSE)</f>
        <v>0</v>
      </c>
      <c r="L202" t="str">
        <f>VLOOKUP($F202&amp;$G202,Composite!$A$5:$Q$865,L$3,FALSE)</f>
        <v>ResCACPNW</v>
      </c>
      <c r="M202" s="31">
        <f>VLOOKUP($F202&amp;$G202,Composite!$A$5:$Q$865,M$3,FALSE)*VLOOKUP($C202,[2]!ExistingSat,MATCH($A202,[2]SATS!$C$10:$F$10,0)+1,FALSE)</f>
        <v>0</v>
      </c>
      <c r="N202" s="31">
        <f>VLOOKUP($F202&amp;$G202,Composite!$A$5:$Q$865,N$3,FALSE)*VLOOKUP($C202,[2]!ExistingSat,MATCH($A202,[2]SATS!$C$10:$F$10,0)+1,FALSE)</f>
        <v>0</v>
      </c>
      <c r="O202">
        <f>VLOOKUP($F202&amp;$G202,Composite!$A$5:$Q$865,O$3,FALSE)</f>
        <v>0</v>
      </c>
      <c r="P202" s="31">
        <f>VLOOKUP($F202&amp;$G202,Composite!$A$5:$Q$865,P$3,FALSE)*VLOOKUP($C202,[2]!ExistingSat,MATCH($A202,[2]SATS!$C$10:$F$10,0)+1,FALSE)</f>
        <v>0</v>
      </c>
      <c r="Q202">
        <f>VLOOKUP($F202&amp;$G202,Composite!$A$5:$Q$865,Q$3,FALSE)</f>
        <v>0</v>
      </c>
      <c r="R202" s="31">
        <f>VLOOKUP($F202&amp;$G202,Composite!$A$5:$Q$865,R$3,FALSE)*VLOOKUP($C202,[2]!ExistingSat,MATCH($A202,[2]SATS!$C$10:$F$10,0)+1,FALSE)</f>
        <v>0</v>
      </c>
      <c r="S202">
        <f>VLOOKUP($F202&amp;$G202,Composite!$A$5:$Q$865,S$3,FALSE)</f>
        <v>0</v>
      </c>
      <c r="T202" s="31">
        <f>VLOOKUP($F202&amp;$G202,Composite!$A$5:$Q$865,T$3,FALSE)*VLOOKUP($C202,[2]!ExistingSat,MATCH($A202,[2]SATS!$C$10:$F$10,0)+1,FALSE)</f>
        <v>0</v>
      </c>
    </row>
    <row r="203" spans="1:20">
      <c r="A203" t="s">
        <v>25</v>
      </c>
      <c r="B203" t="s">
        <v>1359</v>
      </c>
      <c r="C203" t="s">
        <v>28</v>
      </c>
      <c r="D203" t="s">
        <v>61</v>
      </c>
      <c r="E203" t="str">
        <f t="shared" si="4"/>
        <v>Zonal/DHPHZ2ATTIC R11 - R38 (cooling savings)</v>
      </c>
      <c r="F203" s="31" t="str">
        <f>Composite!B202</f>
        <v>Single Family Weatherization - Insulate Attic - R11 to R38 - Heating Zone 2 (Zonal or DHP)</v>
      </c>
      <c r="G203" t="s">
        <v>211</v>
      </c>
      <c r="H203" s="31">
        <f>VLOOKUP($F203&amp;$G203,Composite!$A$5:$Q$865,H$3,FALSE)*VLOOKUP($C203,[2]!ExistingSat,MATCH($A203,[2]SATS!$C$10:$F$10,0)+1,FALSE)</f>
        <v>76.246977999921413</v>
      </c>
      <c r="I203">
        <f>VLOOKUP($F203&amp;$G203,Composite!$A$5:$Q$865,I$3,FALSE)</f>
        <v>45</v>
      </c>
      <c r="J203" s="31">
        <f>VLOOKUP($F203&amp;$G203,Composite!$A$5:$Q$865,J$3,FALSE)*VLOOKUP($C203,[2]!ExistingSat,MATCH($A203,[2]SATS!$C$10:$F$10,0)+1,FALSE)</f>
        <v>0</v>
      </c>
      <c r="K203" s="31">
        <f>VLOOKUP($F203&amp;$G203,Composite!$A$5:$Q$865,K$3,FALSE)*VLOOKUP($C203,[2]!ExistingSat,MATCH($A203,[2]SATS!$C$10:$F$10,0)+1,FALSE)</f>
        <v>0</v>
      </c>
      <c r="L203" t="str">
        <f>VLOOKUP($F203&amp;$G203,Composite!$A$5:$Q$865,L$3,FALSE)</f>
        <v>ResCACPNW</v>
      </c>
      <c r="M203" s="31">
        <f>VLOOKUP($F203&amp;$G203,Composite!$A$5:$Q$865,M$3,FALSE)*VLOOKUP($C203,[2]!ExistingSat,MATCH($A203,[2]SATS!$C$10:$F$10,0)+1,FALSE)</f>
        <v>0</v>
      </c>
      <c r="N203" s="31">
        <f>VLOOKUP($F203&amp;$G203,Composite!$A$5:$Q$865,N$3,FALSE)*VLOOKUP($C203,[2]!ExistingSat,MATCH($A203,[2]SATS!$C$10:$F$10,0)+1,FALSE)</f>
        <v>0</v>
      </c>
      <c r="O203">
        <f>VLOOKUP($F203&amp;$G203,Composite!$A$5:$Q$865,O$3,FALSE)</f>
        <v>0</v>
      </c>
      <c r="P203" s="31">
        <f>VLOOKUP($F203&amp;$G203,Composite!$A$5:$Q$865,P$3,FALSE)*VLOOKUP($C203,[2]!ExistingSat,MATCH($A203,[2]SATS!$C$10:$F$10,0)+1,FALSE)</f>
        <v>0</v>
      </c>
      <c r="Q203">
        <f>VLOOKUP($F203&amp;$G203,Composite!$A$5:$Q$865,Q$3,FALSE)</f>
        <v>0</v>
      </c>
      <c r="R203" s="31">
        <f>VLOOKUP($F203&amp;$G203,Composite!$A$5:$Q$865,R$3,FALSE)*VLOOKUP($C203,[2]!ExistingSat,MATCH($A203,[2]SATS!$C$10:$F$10,0)+1,FALSE)</f>
        <v>0</v>
      </c>
      <c r="S203">
        <f>VLOOKUP($F203&amp;$G203,Composite!$A$5:$Q$865,S$3,FALSE)</f>
        <v>0</v>
      </c>
      <c r="T203" s="31">
        <f>VLOOKUP($F203&amp;$G203,Composite!$A$5:$Q$865,T$3,FALSE)*VLOOKUP($C203,[2]!ExistingSat,MATCH($A203,[2]SATS!$C$10:$F$10,0)+1,FALSE)</f>
        <v>0</v>
      </c>
    </row>
    <row r="204" spans="1:20">
      <c r="A204" t="s">
        <v>25</v>
      </c>
      <c r="B204" t="s">
        <v>1359</v>
      </c>
      <c r="C204" t="s">
        <v>28</v>
      </c>
      <c r="D204" t="s">
        <v>61</v>
      </c>
      <c r="E204" t="str">
        <f t="shared" si="4"/>
        <v>Zonal/DHPHZ2ATTIC R11 - R49 (cooling savings)</v>
      </c>
      <c r="F204" s="31" t="str">
        <f>Composite!B203</f>
        <v>Single Family Weatherization - Insulate Attic - R11 to R49 - Heating Zone 2 (Zonal or DHP)</v>
      </c>
      <c r="G204" t="s">
        <v>212</v>
      </c>
      <c r="H204" s="31">
        <f>VLOOKUP($F204&amp;$G204,Composite!$A$5:$Q$865,H$3,FALSE)*VLOOKUP($C204,[2]!ExistingSat,MATCH($A204,[2]SATS!$C$10:$F$10,0)+1,FALSE)</f>
        <v>82.504572372145645</v>
      </c>
      <c r="I204">
        <f>VLOOKUP($F204&amp;$G204,Composite!$A$5:$Q$865,I$3,FALSE)</f>
        <v>45</v>
      </c>
      <c r="J204" s="31">
        <f>VLOOKUP($F204&amp;$G204,Composite!$A$5:$Q$865,J$3,FALSE)*VLOOKUP($C204,[2]!ExistingSat,MATCH($A204,[2]SATS!$C$10:$F$10,0)+1,FALSE)</f>
        <v>0</v>
      </c>
      <c r="K204" s="31">
        <f>VLOOKUP($F204&amp;$G204,Composite!$A$5:$Q$865,K$3,FALSE)*VLOOKUP($C204,[2]!ExistingSat,MATCH($A204,[2]SATS!$C$10:$F$10,0)+1,FALSE)</f>
        <v>0</v>
      </c>
      <c r="L204" t="str">
        <f>VLOOKUP($F204&amp;$G204,Composite!$A$5:$Q$865,L$3,FALSE)</f>
        <v>ResCACPNW</v>
      </c>
      <c r="M204" s="31">
        <f>VLOOKUP($F204&amp;$G204,Composite!$A$5:$Q$865,M$3,FALSE)*VLOOKUP($C204,[2]!ExistingSat,MATCH($A204,[2]SATS!$C$10:$F$10,0)+1,FALSE)</f>
        <v>0</v>
      </c>
      <c r="N204" s="31">
        <f>VLOOKUP($F204&amp;$G204,Composite!$A$5:$Q$865,N$3,FALSE)*VLOOKUP($C204,[2]!ExistingSat,MATCH($A204,[2]SATS!$C$10:$F$10,0)+1,FALSE)</f>
        <v>0</v>
      </c>
      <c r="O204">
        <f>VLOOKUP($F204&amp;$G204,Composite!$A$5:$Q$865,O$3,FALSE)</f>
        <v>0</v>
      </c>
      <c r="P204" s="31">
        <f>VLOOKUP($F204&amp;$G204,Composite!$A$5:$Q$865,P$3,FALSE)*VLOOKUP($C204,[2]!ExistingSat,MATCH($A204,[2]SATS!$C$10:$F$10,0)+1,FALSE)</f>
        <v>0</v>
      </c>
      <c r="Q204">
        <f>VLOOKUP($F204&amp;$G204,Composite!$A$5:$Q$865,Q$3,FALSE)</f>
        <v>0</v>
      </c>
      <c r="R204" s="31">
        <f>VLOOKUP($F204&amp;$G204,Composite!$A$5:$Q$865,R$3,FALSE)*VLOOKUP($C204,[2]!ExistingSat,MATCH($A204,[2]SATS!$C$10:$F$10,0)+1,FALSE)</f>
        <v>0</v>
      </c>
      <c r="S204">
        <f>VLOOKUP($F204&amp;$G204,Composite!$A$5:$Q$865,S$3,FALSE)</f>
        <v>0</v>
      </c>
      <c r="T204" s="31">
        <f>VLOOKUP($F204&amp;$G204,Composite!$A$5:$Q$865,T$3,FALSE)*VLOOKUP($C204,[2]!ExistingSat,MATCH($A204,[2]SATS!$C$10:$F$10,0)+1,FALSE)</f>
        <v>0</v>
      </c>
    </row>
    <row r="205" spans="1:20">
      <c r="A205" t="s">
        <v>25</v>
      </c>
      <c r="B205" t="s">
        <v>1359</v>
      </c>
      <c r="C205" t="s">
        <v>28</v>
      </c>
      <c r="D205" t="s">
        <v>61</v>
      </c>
      <c r="E205" t="str">
        <f t="shared" si="4"/>
        <v>Zonal/DHPHZ2ATTIC R19 - R38 (cooling savings)</v>
      </c>
      <c r="F205" s="31" t="str">
        <f>Composite!B204</f>
        <v>Single Family Weatherization - Insulate Attic - R19 to R38 - Heating Zone 2 (Zonal or DHP)</v>
      </c>
      <c r="G205" t="s">
        <v>213</v>
      </c>
      <c r="H205" s="31">
        <f>VLOOKUP($F205&amp;$G205,Composite!$A$5:$Q$865,H$3,FALSE)*VLOOKUP($C205,[2]!ExistingSat,MATCH($A205,[2]SATS!$C$10:$F$10,0)+1,FALSE)</f>
        <v>31.029266825943985</v>
      </c>
      <c r="I205">
        <f>VLOOKUP($F205&amp;$G205,Composite!$A$5:$Q$865,I$3,FALSE)</f>
        <v>45</v>
      </c>
      <c r="J205" s="31">
        <f>VLOOKUP($F205&amp;$G205,Composite!$A$5:$Q$865,J$3,FALSE)*VLOOKUP($C205,[2]!ExistingSat,MATCH($A205,[2]SATS!$C$10:$F$10,0)+1,FALSE)</f>
        <v>0</v>
      </c>
      <c r="K205" s="31">
        <f>VLOOKUP($F205&amp;$G205,Composite!$A$5:$Q$865,K$3,FALSE)*VLOOKUP($C205,[2]!ExistingSat,MATCH($A205,[2]SATS!$C$10:$F$10,0)+1,FALSE)</f>
        <v>0</v>
      </c>
      <c r="L205" t="str">
        <f>VLOOKUP($F205&amp;$G205,Composite!$A$5:$Q$865,L$3,FALSE)</f>
        <v>ResCACPNW</v>
      </c>
      <c r="M205" s="31">
        <f>VLOOKUP($F205&amp;$G205,Composite!$A$5:$Q$865,M$3,FALSE)*VLOOKUP($C205,[2]!ExistingSat,MATCH($A205,[2]SATS!$C$10:$F$10,0)+1,FALSE)</f>
        <v>0</v>
      </c>
      <c r="N205" s="31">
        <f>VLOOKUP($F205&amp;$G205,Composite!$A$5:$Q$865,N$3,FALSE)*VLOOKUP($C205,[2]!ExistingSat,MATCH($A205,[2]SATS!$C$10:$F$10,0)+1,FALSE)</f>
        <v>0</v>
      </c>
      <c r="O205">
        <f>VLOOKUP($F205&amp;$G205,Composite!$A$5:$Q$865,O$3,FALSE)</f>
        <v>0</v>
      </c>
      <c r="P205" s="31">
        <f>VLOOKUP($F205&amp;$G205,Composite!$A$5:$Q$865,P$3,FALSE)*VLOOKUP($C205,[2]!ExistingSat,MATCH($A205,[2]SATS!$C$10:$F$10,0)+1,FALSE)</f>
        <v>0</v>
      </c>
      <c r="Q205">
        <f>VLOOKUP($F205&amp;$G205,Composite!$A$5:$Q$865,Q$3,FALSE)</f>
        <v>0</v>
      </c>
      <c r="R205" s="31">
        <f>VLOOKUP($F205&amp;$G205,Composite!$A$5:$Q$865,R$3,FALSE)*VLOOKUP($C205,[2]!ExistingSat,MATCH($A205,[2]SATS!$C$10:$F$10,0)+1,FALSE)</f>
        <v>0</v>
      </c>
      <c r="S205">
        <f>VLOOKUP($F205&amp;$G205,Composite!$A$5:$Q$865,S$3,FALSE)</f>
        <v>0</v>
      </c>
      <c r="T205" s="31">
        <f>VLOOKUP($F205&amp;$G205,Composite!$A$5:$Q$865,T$3,FALSE)*VLOOKUP($C205,[2]!ExistingSat,MATCH($A205,[2]SATS!$C$10:$F$10,0)+1,FALSE)</f>
        <v>0</v>
      </c>
    </row>
    <row r="206" spans="1:20">
      <c r="A206" t="s">
        <v>25</v>
      </c>
      <c r="B206" t="s">
        <v>1359</v>
      </c>
      <c r="C206" t="s">
        <v>28</v>
      </c>
      <c r="D206" t="s">
        <v>61</v>
      </c>
      <c r="E206" t="str">
        <f t="shared" si="4"/>
        <v>Zonal/DHPHZ2ATTIC R19 - R49 (cooling savings)</v>
      </c>
      <c r="F206" s="31" t="str">
        <f>Composite!B205</f>
        <v>Single Family Weatherization - Insulate Attic - R19 to R49 - Heating Zone 2 (Zonal or DHP)</v>
      </c>
      <c r="G206" t="s">
        <v>214</v>
      </c>
      <c r="H206" s="31">
        <f>VLOOKUP($F206&amp;$G206,Composite!$A$5:$Q$865,H$3,FALSE)*VLOOKUP($C206,[2]!ExistingSat,MATCH($A206,[2]SATS!$C$10:$F$10,0)+1,FALSE)</f>
        <v>37.286861198168225</v>
      </c>
      <c r="I206">
        <f>VLOOKUP($F206&amp;$G206,Composite!$A$5:$Q$865,I$3,FALSE)</f>
        <v>45</v>
      </c>
      <c r="J206" s="31">
        <f>VLOOKUP($F206&amp;$G206,Composite!$A$5:$Q$865,J$3,FALSE)*VLOOKUP($C206,[2]!ExistingSat,MATCH($A206,[2]SATS!$C$10:$F$10,0)+1,FALSE)</f>
        <v>0</v>
      </c>
      <c r="K206" s="31">
        <f>VLOOKUP($F206&amp;$G206,Composite!$A$5:$Q$865,K$3,FALSE)*VLOOKUP($C206,[2]!ExistingSat,MATCH($A206,[2]SATS!$C$10:$F$10,0)+1,FALSE)</f>
        <v>0</v>
      </c>
      <c r="L206" t="str">
        <f>VLOOKUP($F206&amp;$G206,Composite!$A$5:$Q$865,L$3,FALSE)</f>
        <v>ResCACPNW</v>
      </c>
      <c r="M206" s="31">
        <f>VLOOKUP($F206&amp;$G206,Composite!$A$5:$Q$865,M$3,FALSE)*VLOOKUP($C206,[2]!ExistingSat,MATCH($A206,[2]SATS!$C$10:$F$10,0)+1,FALSE)</f>
        <v>0</v>
      </c>
      <c r="N206" s="31">
        <f>VLOOKUP($F206&amp;$G206,Composite!$A$5:$Q$865,N$3,FALSE)*VLOOKUP($C206,[2]!ExistingSat,MATCH($A206,[2]SATS!$C$10:$F$10,0)+1,FALSE)</f>
        <v>0</v>
      </c>
      <c r="O206">
        <f>VLOOKUP($F206&amp;$G206,Composite!$A$5:$Q$865,O$3,FALSE)</f>
        <v>0</v>
      </c>
      <c r="P206" s="31">
        <f>VLOOKUP($F206&amp;$G206,Composite!$A$5:$Q$865,P$3,FALSE)*VLOOKUP($C206,[2]!ExistingSat,MATCH($A206,[2]SATS!$C$10:$F$10,0)+1,FALSE)</f>
        <v>0</v>
      </c>
      <c r="Q206">
        <f>VLOOKUP($F206&amp;$G206,Composite!$A$5:$Q$865,Q$3,FALSE)</f>
        <v>0</v>
      </c>
      <c r="R206" s="31">
        <f>VLOOKUP($F206&amp;$G206,Composite!$A$5:$Q$865,R$3,FALSE)*VLOOKUP($C206,[2]!ExistingSat,MATCH($A206,[2]SATS!$C$10:$F$10,0)+1,FALSE)</f>
        <v>0</v>
      </c>
      <c r="S206">
        <f>VLOOKUP($F206&amp;$G206,Composite!$A$5:$Q$865,S$3,FALSE)</f>
        <v>0</v>
      </c>
      <c r="T206" s="31">
        <f>VLOOKUP($F206&amp;$G206,Composite!$A$5:$Q$865,T$3,FALSE)*VLOOKUP($C206,[2]!ExistingSat,MATCH($A206,[2]SATS!$C$10:$F$10,0)+1,FALSE)</f>
        <v>0</v>
      </c>
    </row>
    <row r="207" spans="1:20">
      <c r="A207" t="s">
        <v>25</v>
      </c>
      <c r="B207" t="s">
        <v>1359</v>
      </c>
      <c r="C207" t="s">
        <v>64</v>
      </c>
      <c r="D207" t="s">
        <v>61</v>
      </c>
      <c r="E207" t="str">
        <f t="shared" si="4"/>
        <v>Zonal/DHPHZ2WALL R0 - R11 (cooling savings)</v>
      </c>
      <c r="F207" s="31" t="str">
        <f>Composite!B206</f>
        <v>Single Family Weatherization - Insulate Wall - R0 to R11 - Heating Zone 2 (Zonal or DHP)</v>
      </c>
      <c r="G207" t="s">
        <v>217</v>
      </c>
      <c r="H207" s="31">
        <f>VLOOKUP($F207&amp;$G207,Composite!$A$5:$Q$865,H$3,FALSE)*VLOOKUP($C207,[2]!ExistingSat,MATCH($A207,[2]SATS!$C$10:$F$10,0)+1,FALSE)</f>
        <v>87.922389475203616</v>
      </c>
      <c r="I207">
        <f>VLOOKUP($F207&amp;$G207,Composite!$A$5:$Q$865,I$3,FALSE)</f>
        <v>45</v>
      </c>
      <c r="J207" s="31">
        <f>VLOOKUP($F207&amp;$G207,Composite!$A$5:$Q$865,J$3,FALSE)*VLOOKUP($C207,[2]!ExistingSat,MATCH($A207,[2]SATS!$C$10:$F$10,0)+1,FALSE)</f>
        <v>0</v>
      </c>
      <c r="K207" s="31">
        <f>VLOOKUP($F207&amp;$G207,Composite!$A$5:$Q$865,K$3,FALSE)*VLOOKUP($C207,[2]!ExistingSat,MATCH($A207,[2]SATS!$C$10:$F$10,0)+1,FALSE)</f>
        <v>0</v>
      </c>
      <c r="L207" t="str">
        <f>VLOOKUP($F207&amp;$G207,Composite!$A$5:$Q$865,L$3,FALSE)</f>
        <v>ResCACPNW</v>
      </c>
      <c r="M207" s="31">
        <f>VLOOKUP($F207&amp;$G207,Composite!$A$5:$Q$865,M$3,FALSE)*VLOOKUP($C207,[2]!ExistingSat,MATCH($A207,[2]SATS!$C$10:$F$10,0)+1,FALSE)</f>
        <v>0</v>
      </c>
      <c r="N207" s="31">
        <f>VLOOKUP($F207&amp;$G207,Composite!$A$5:$Q$865,N$3,FALSE)*VLOOKUP($C207,[2]!ExistingSat,MATCH($A207,[2]SATS!$C$10:$F$10,0)+1,FALSE)</f>
        <v>0</v>
      </c>
      <c r="O207">
        <f>VLOOKUP($F207&amp;$G207,Composite!$A$5:$Q$865,O$3,FALSE)</f>
        <v>0</v>
      </c>
      <c r="P207" s="31">
        <f>VLOOKUP($F207&amp;$G207,Composite!$A$5:$Q$865,P$3,FALSE)*VLOOKUP($C207,[2]!ExistingSat,MATCH($A207,[2]SATS!$C$10:$F$10,0)+1,FALSE)</f>
        <v>0</v>
      </c>
      <c r="Q207">
        <f>VLOOKUP($F207&amp;$G207,Composite!$A$5:$Q$865,Q$3,FALSE)</f>
        <v>0</v>
      </c>
      <c r="R207" s="31">
        <f>VLOOKUP($F207&amp;$G207,Composite!$A$5:$Q$865,R$3,FALSE)*VLOOKUP($C207,[2]!ExistingSat,MATCH($A207,[2]SATS!$C$10:$F$10,0)+1,FALSE)</f>
        <v>0</v>
      </c>
      <c r="S207">
        <f>VLOOKUP($F207&amp;$G207,Composite!$A$5:$Q$865,S$3,FALSE)</f>
        <v>0</v>
      </c>
      <c r="T207" s="31">
        <f>VLOOKUP($F207&amp;$G207,Composite!$A$5:$Q$865,T$3,FALSE)*VLOOKUP($C207,[2]!ExistingSat,MATCH($A207,[2]SATS!$C$10:$F$10,0)+1,FALSE)</f>
        <v>0</v>
      </c>
    </row>
    <row r="208" spans="1:20">
      <c r="A208" t="s">
        <v>25</v>
      </c>
      <c r="B208" t="s">
        <v>1359</v>
      </c>
      <c r="C208" t="s">
        <v>26</v>
      </c>
      <c r="D208" t="s">
        <v>61</v>
      </c>
      <c r="E208" t="str">
        <f t="shared" si="4"/>
        <v>Zonal/DHPHZ2FLOOR R0 - R19 (cooling savings)</v>
      </c>
      <c r="F208" s="31" t="str">
        <f>Composite!B207</f>
        <v>Single Family Weatherization - Insulate Floor - R0 to R19 - Heating Zone 2 (Zonal or DHP)</v>
      </c>
      <c r="G208" t="s">
        <v>218</v>
      </c>
      <c r="H208" s="31">
        <f>VLOOKUP($F208&amp;$G208,Composite!$A$5:$Q$865,H$3,FALSE)*VLOOKUP($C208,[2]!ExistingSat,MATCH($A208,[2]SATS!$C$10:$F$10,0)+1,FALSE)</f>
        <v>-79.496327895200125</v>
      </c>
      <c r="I208">
        <f>VLOOKUP($F208&amp;$G208,Composite!$A$5:$Q$865,I$3,FALSE)</f>
        <v>45</v>
      </c>
      <c r="J208" s="31">
        <f>VLOOKUP($F208&amp;$G208,Composite!$A$5:$Q$865,J$3,FALSE)*VLOOKUP($C208,[2]!ExistingSat,MATCH($A208,[2]SATS!$C$10:$F$10,0)+1,FALSE)</f>
        <v>0</v>
      </c>
      <c r="K208" s="31">
        <f>VLOOKUP($F208&amp;$G208,Composite!$A$5:$Q$865,K$3,FALSE)*VLOOKUP($C208,[2]!ExistingSat,MATCH($A208,[2]SATS!$C$10:$F$10,0)+1,FALSE)</f>
        <v>0</v>
      </c>
      <c r="L208" t="str">
        <f>VLOOKUP($F208&amp;$G208,Composite!$A$5:$Q$865,L$3,FALSE)</f>
        <v>ResCACPNW</v>
      </c>
      <c r="M208" s="31">
        <f>VLOOKUP($F208&amp;$G208,Composite!$A$5:$Q$865,M$3,FALSE)*VLOOKUP($C208,[2]!ExistingSat,MATCH($A208,[2]SATS!$C$10:$F$10,0)+1,FALSE)</f>
        <v>0</v>
      </c>
      <c r="N208" s="31">
        <f>VLOOKUP($F208&amp;$G208,Composite!$A$5:$Q$865,N$3,FALSE)*VLOOKUP($C208,[2]!ExistingSat,MATCH($A208,[2]SATS!$C$10:$F$10,0)+1,FALSE)</f>
        <v>0</v>
      </c>
      <c r="O208">
        <f>VLOOKUP($F208&amp;$G208,Composite!$A$5:$Q$865,O$3,FALSE)</f>
        <v>0</v>
      </c>
      <c r="P208" s="31">
        <f>VLOOKUP($F208&amp;$G208,Composite!$A$5:$Q$865,P$3,FALSE)*VLOOKUP($C208,[2]!ExistingSat,MATCH($A208,[2]SATS!$C$10:$F$10,0)+1,FALSE)</f>
        <v>0</v>
      </c>
      <c r="Q208">
        <f>VLOOKUP($F208&amp;$G208,Composite!$A$5:$Q$865,Q$3,FALSE)</f>
        <v>0</v>
      </c>
      <c r="R208" s="31">
        <f>VLOOKUP($F208&amp;$G208,Composite!$A$5:$Q$865,R$3,FALSE)*VLOOKUP($C208,[2]!ExistingSat,MATCH($A208,[2]SATS!$C$10:$F$10,0)+1,FALSE)</f>
        <v>0</v>
      </c>
      <c r="S208">
        <f>VLOOKUP($F208&amp;$G208,Composite!$A$5:$Q$865,S$3,FALSE)</f>
        <v>0</v>
      </c>
      <c r="T208" s="31">
        <f>VLOOKUP($F208&amp;$G208,Composite!$A$5:$Q$865,T$3,FALSE)*VLOOKUP($C208,[2]!ExistingSat,MATCH($A208,[2]SATS!$C$10:$F$10,0)+1,FALSE)</f>
        <v>0</v>
      </c>
    </row>
    <row r="209" spans="1:20">
      <c r="A209" t="s">
        <v>25</v>
      </c>
      <c r="B209" t="s">
        <v>1359</v>
      </c>
      <c r="C209" t="s">
        <v>26</v>
      </c>
      <c r="D209" t="s">
        <v>61</v>
      </c>
      <c r="E209" t="str">
        <f t="shared" si="4"/>
        <v>Zonal/DHPHZ2FLOOR R0 - R25 (cooling savings)</v>
      </c>
      <c r="F209" s="31" t="str">
        <f>Composite!B208</f>
        <v>Single Family Weatherization - Insulate Floor - R0 to R25 - Heating Zone 2 (Zonal or DHP)</v>
      </c>
      <c r="G209" t="s">
        <v>219</v>
      </c>
      <c r="H209" s="31">
        <f>VLOOKUP($F209&amp;$G209,Composite!$A$5:$Q$865,H$3,FALSE)*VLOOKUP($C209,[2]!ExistingSat,MATCH($A209,[2]SATS!$C$10:$F$10,0)+1,FALSE)</f>
        <v>-88.233901926725053</v>
      </c>
      <c r="I209">
        <f>VLOOKUP($F209&amp;$G209,Composite!$A$5:$Q$865,I$3,FALSE)</f>
        <v>45</v>
      </c>
      <c r="J209" s="31">
        <f>VLOOKUP($F209&amp;$G209,Composite!$A$5:$Q$865,J$3,FALSE)*VLOOKUP($C209,[2]!ExistingSat,MATCH($A209,[2]SATS!$C$10:$F$10,0)+1,FALSE)</f>
        <v>0</v>
      </c>
      <c r="K209" s="31">
        <f>VLOOKUP($F209&amp;$G209,Composite!$A$5:$Q$865,K$3,FALSE)*VLOOKUP($C209,[2]!ExistingSat,MATCH($A209,[2]SATS!$C$10:$F$10,0)+1,FALSE)</f>
        <v>0</v>
      </c>
      <c r="L209" t="str">
        <f>VLOOKUP($F209&amp;$G209,Composite!$A$5:$Q$865,L$3,FALSE)</f>
        <v>ResCACPNW</v>
      </c>
      <c r="M209" s="31">
        <f>VLOOKUP($F209&amp;$G209,Composite!$A$5:$Q$865,M$3,FALSE)*VLOOKUP($C209,[2]!ExistingSat,MATCH($A209,[2]SATS!$C$10:$F$10,0)+1,FALSE)</f>
        <v>0</v>
      </c>
      <c r="N209" s="31">
        <f>VLOOKUP($F209&amp;$G209,Composite!$A$5:$Q$865,N$3,FALSE)*VLOOKUP($C209,[2]!ExistingSat,MATCH($A209,[2]SATS!$C$10:$F$10,0)+1,FALSE)</f>
        <v>0</v>
      </c>
      <c r="O209">
        <f>VLOOKUP($F209&amp;$G209,Composite!$A$5:$Q$865,O$3,FALSE)</f>
        <v>0</v>
      </c>
      <c r="P209" s="31">
        <f>VLOOKUP($F209&amp;$G209,Composite!$A$5:$Q$865,P$3,FALSE)*VLOOKUP($C209,[2]!ExistingSat,MATCH($A209,[2]SATS!$C$10:$F$10,0)+1,FALSE)</f>
        <v>0</v>
      </c>
      <c r="Q209">
        <f>VLOOKUP($F209&amp;$G209,Composite!$A$5:$Q$865,Q$3,FALSE)</f>
        <v>0</v>
      </c>
      <c r="R209" s="31">
        <f>VLOOKUP($F209&amp;$G209,Composite!$A$5:$Q$865,R$3,FALSE)*VLOOKUP($C209,[2]!ExistingSat,MATCH($A209,[2]SATS!$C$10:$F$10,0)+1,FALSE)</f>
        <v>0</v>
      </c>
      <c r="S209">
        <f>VLOOKUP($F209&amp;$G209,Composite!$A$5:$Q$865,S$3,FALSE)</f>
        <v>0</v>
      </c>
      <c r="T209" s="31">
        <f>VLOOKUP($F209&amp;$G209,Composite!$A$5:$Q$865,T$3,FALSE)*VLOOKUP($C209,[2]!ExistingSat,MATCH($A209,[2]SATS!$C$10:$F$10,0)+1,FALSE)</f>
        <v>0</v>
      </c>
    </row>
    <row r="210" spans="1:20">
      <c r="A210" t="s">
        <v>25</v>
      </c>
      <c r="B210" t="s">
        <v>1359</v>
      </c>
      <c r="C210" t="s">
        <v>26</v>
      </c>
      <c r="D210" t="s">
        <v>61</v>
      </c>
      <c r="E210" t="str">
        <f t="shared" si="4"/>
        <v>Zonal/DHPHZ2FLOOR R0 - R30 (cooling savings)</v>
      </c>
      <c r="F210" s="31" t="str">
        <f>Composite!B209</f>
        <v>Single Family Weatherization - Insulate Floor - R0 to R30 - Heating Zone 2 (Zonal or DHP)</v>
      </c>
      <c r="G210" t="s">
        <v>220</v>
      </c>
      <c r="H210" s="31">
        <f>VLOOKUP($F210&amp;$G210,Composite!$A$5:$Q$865,H$3,FALSE)*VLOOKUP($C210,[2]!ExistingSat,MATCH($A210,[2]SATS!$C$10:$F$10,0)+1,FALSE)</f>
        <v>-93.930870039427646</v>
      </c>
      <c r="I210">
        <f>VLOOKUP($F210&amp;$G210,Composite!$A$5:$Q$865,I$3,FALSE)</f>
        <v>45</v>
      </c>
      <c r="J210" s="31">
        <f>VLOOKUP($F210&amp;$G210,Composite!$A$5:$Q$865,J$3,FALSE)*VLOOKUP($C210,[2]!ExistingSat,MATCH($A210,[2]SATS!$C$10:$F$10,0)+1,FALSE)</f>
        <v>0</v>
      </c>
      <c r="K210" s="31">
        <f>VLOOKUP($F210&amp;$G210,Composite!$A$5:$Q$865,K$3,FALSE)*VLOOKUP($C210,[2]!ExistingSat,MATCH($A210,[2]SATS!$C$10:$F$10,0)+1,FALSE)</f>
        <v>0</v>
      </c>
      <c r="L210" t="str">
        <f>VLOOKUP($F210&amp;$G210,Composite!$A$5:$Q$865,L$3,FALSE)</f>
        <v>ResCACPNW</v>
      </c>
      <c r="M210" s="31">
        <f>VLOOKUP($F210&amp;$G210,Composite!$A$5:$Q$865,M$3,FALSE)*VLOOKUP($C210,[2]!ExistingSat,MATCH($A210,[2]SATS!$C$10:$F$10,0)+1,FALSE)</f>
        <v>0</v>
      </c>
      <c r="N210" s="31">
        <f>VLOOKUP($F210&amp;$G210,Composite!$A$5:$Q$865,N$3,FALSE)*VLOOKUP($C210,[2]!ExistingSat,MATCH($A210,[2]SATS!$C$10:$F$10,0)+1,FALSE)</f>
        <v>0</v>
      </c>
      <c r="O210">
        <f>VLOOKUP($F210&amp;$G210,Composite!$A$5:$Q$865,O$3,FALSE)</f>
        <v>0</v>
      </c>
      <c r="P210" s="31">
        <f>VLOOKUP($F210&amp;$G210,Composite!$A$5:$Q$865,P$3,FALSE)*VLOOKUP($C210,[2]!ExistingSat,MATCH($A210,[2]SATS!$C$10:$F$10,0)+1,FALSE)</f>
        <v>0</v>
      </c>
      <c r="Q210">
        <f>VLOOKUP($F210&amp;$G210,Composite!$A$5:$Q$865,Q$3,FALSE)</f>
        <v>0</v>
      </c>
      <c r="R210" s="31">
        <f>VLOOKUP($F210&amp;$G210,Composite!$A$5:$Q$865,R$3,FALSE)*VLOOKUP($C210,[2]!ExistingSat,MATCH($A210,[2]SATS!$C$10:$F$10,0)+1,FALSE)</f>
        <v>0</v>
      </c>
      <c r="S210">
        <f>VLOOKUP($F210&amp;$G210,Composite!$A$5:$Q$865,S$3,FALSE)</f>
        <v>0</v>
      </c>
      <c r="T210" s="31">
        <f>VLOOKUP($F210&amp;$G210,Composite!$A$5:$Q$865,T$3,FALSE)*VLOOKUP($C210,[2]!ExistingSat,MATCH($A210,[2]SATS!$C$10:$F$10,0)+1,FALSE)</f>
        <v>0</v>
      </c>
    </row>
    <row r="211" spans="1:20">
      <c r="A211" t="s">
        <v>25</v>
      </c>
      <c r="B211" t="s">
        <v>1359</v>
      </c>
      <c r="C211" t="s">
        <v>27</v>
      </c>
      <c r="D211" t="s">
        <v>61</v>
      </c>
      <c r="E211" t="str">
        <f t="shared" si="4"/>
        <v>Zonal/DHPHZ2WINDOW CL30 Prime Window Replacement of Single Pane Base (cooling savings)</v>
      </c>
      <c r="F211" s="31" t="str">
        <f>Composite!B210</f>
        <v>Windows - Single Pane to Class 30 - Heating Zone 2 (Zonal or DHP)</v>
      </c>
      <c r="G211" t="s">
        <v>221</v>
      </c>
      <c r="H211" s="31">
        <f>VLOOKUP($F211&amp;$G211,Composite!$A$5:$Q$865,H$3,FALSE)*VLOOKUP($C211,[2]!ExistingSat,MATCH($A211,[2]SATS!$C$10:$F$10,0)+1,FALSE)</f>
        <v>165.32370121123071</v>
      </c>
      <c r="I211">
        <f>VLOOKUP($F211&amp;$G211,Composite!$A$5:$Q$865,I$3,FALSE)</f>
        <v>45</v>
      </c>
      <c r="J211" s="31">
        <f>VLOOKUP($F211&amp;$G211,Composite!$A$5:$Q$865,J$3,FALSE)*VLOOKUP($C211,[2]!ExistingSat,MATCH($A211,[2]SATS!$C$10:$F$10,0)+1,FALSE)</f>
        <v>0</v>
      </c>
      <c r="K211" s="31">
        <f>VLOOKUP($F211&amp;$G211,Composite!$A$5:$Q$865,K$3,FALSE)*VLOOKUP($C211,[2]!ExistingSat,MATCH($A211,[2]SATS!$C$10:$F$10,0)+1,FALSE)</f>
        <v>0</v>
      </c>
      <c r="L211" t="str">
        <f>VLOOKUP($F211&amp;$G211,Composite!$A$5:$Q$865,L$3,FALSE)</f>
        <v>ResCACPNW</v>
      </c>
      <c r="M211" s="31">
        <f>VLOOKUP($F211&amp;$G211,Composite!$A$5:$Q$865,M$3,FALSE)*VLOOKUP($C211,[2]!ExistingSat,MATCH($A211,[2]SATS!$C$10:$F$10,0)+1,FALSE)</f>
        <v>0</v>
      </c>
      <c r="N211" s="31">
        <f>VLOOKUP($F211&amp;$G211,Composite!$A$5:$Q$865,N$3,FALSE)*VLOOKUP($C211,[2]!ExistingSat,MATCH($A211,[2]SATS!$C$10:$F$10,0)+1,FALSE)</f>
        <v>0</v>
      </c>
      <c r="O211">
        <f>VLOOKUP($F211&amp;$G211,Composite!$A$5:$Q$865,O$3,FALSE)</f>
        <v>0</v>
      </c>
      <c r="P211" s="31">
        <f>VLOOKUP($F211&amp;$G211,Composite!$A$5:$Q$865,P$3,FALSE)*VLOOKUP($C211,[2]!ExistingSat,MATCH($A211,[2]SATS!$C$10:$F$10,0)+1,FALSE)</f>
        <v>0</v>
      </c>
      <c r="Q211">
        <f>VLOOKUP($F211&amp;$G211,Composite!$A$5:$Q$865,Q$3,FALSE)</f>
        <v>0</v>
      </c>
      <c r="R211" s="31">
        <f>VLOOKUP($F211&amp;$G211,Composite!$A$5:$Q$865,R$3,FALSE)*VLOOKUP($C211,[2]!ExistingSat,MATCH($A211,[2]SATS!$C$10:$F$10,0)+1,FALSE)</f>
        <v>0</v>
      </c>
      <c r="S211">
        <f>VLOOKUP($F211&amp;$G211,Composite!$A$5:$Q$865,S$3,FALSE)</f>
        <v>0</v>
      </c>
      <c r="T211" s="31">
        <f>VLOOKUP($F211&amp;$G211,Composite!$A$5:$Q$865,T$3,FALSE)*VLOOKUP($C211,[2]!ExistingSat,MATCH($A211,[2]SATS!$C$10:$F$10,0)+1,FALSE)</f>
        <v>0</v>
      </c>
    </row>
    <row r="212" spans="1:20">
      <c r="A212" t="s">
        <v>25</v>
      </c>
      <c r="B212" t="s">
        <v>1359</v>
      </c>
      <c r="C212" t="s">
        <v>27</v>
      </c>
      <c r="D212" t="s">
        <v>61</v>
      </c>
      <c r="E212" t="str">
        <f t="shared" si="4"/>
        <v>Zonal/DHPHZ2WINDOW CL30 Prime Window Replacement of Double Pane Base (cooling savings)</v>
      </c>
      <c r="F212" s="31" t="str">
        <f>Composite!B211</f>
        <v>Windows - Double Pane to Class 30 - Heating Zone 2 (Zonal or DHP)</v>
      </c>
      <c r="G212" t="s">
        <v>222</v>
      </c>
      <c r="H212" s="31">
        <f>VLOOKUP($F212&amp;$G212,Composite!$A$5:$Q$865,H$3,FALSE)*VLOOKUP($C212,[2]!ExistingSat,MATCH($A212,[2]SATS!$C$10:$F$10,0)+1,FALSE)</f>
        <v>206.9373299136721</v>
      </c>
      <c r="I212">
        <f>VLOOKUP($F212&amp;$G212,Composite!$A$5:$Q$865,I$3,FALSE)</f>
        <v>45</v>
      </c>
      <c r="J212" s="31">
        <f>VLOOKUP($F212&amp;$G212,Composite!$A$5:$Q$865,J$3,FALSE)*VLOOKUP($C212,[2]!ExistingSat,MATCH($A212,[2]SATS!$C$10:$F$10,0)+1,FALSE)</f>
        <v>0</v>
      </c>
      <c r="K212" s="31">
        <f>VLOOKUP($F212&amp;$G212,Composite!$A$5:$Q$865,K$3,FALSE)*VLOOKUP($C212,[2]!ExistingSat,MATCH($A212,[2]SATS!$C$10:$F$10,0)+1,FALSE)</f>
        <v>0</v>
      </c>
      <c r="L212" t="str">
        <f>VLOOKUP($F212&amp;$G212,Composite!$A$5:$Q$865,L$3,FALSE)</f>
        <v>ResCACPNW</v>
      </c>
      <c r="M212" s="31">
        <f>VLOOKUP($F212&amp;$G212,Composite!$A$5:$Q$865,M$3,FALSE)*VLOOKUP($C212,[2]!ExistingSat,MATCH($A212,[2]SATS!$C$10:$F$10,0)+1,FALSE)</f>
        <v>0</v>
      </c>
      <c r="N212" s="31">
        <f>VLOOKUP($F212&amp;$G212,Composite!$A$5:$Q$865,N$3,FALSE)*VLOOKUP($C212,[2]!ExistingSat,MATCH($A212,[2]SATS!$C$10:$F$10,0)+1,FALSE)</f>
        <v>0</v>
      </c>
      <c r="O212">
        <f>VLOOKUP($F212&amp;$G212,Composite!$A$5:$Q$865,O$3,FALSE)</f>
        <v>0</v>
      </c>
      <c r="P212" s="31">
        <f>VLOOKUP($F212&amp;$G212,Composite!$A$5:$Q$865,P$3,FALSE)*VLOOKUP($C212,[2]!ExistingSat,MATCH($A212,[2]SATS!$C$10:$F$10,0)+1,FALSE)</f>
        <v>0</v>
      </c>
      <c r="Q212">
        <f>VLOOKUP($F212&amp;$G212,Composite!$A$5:$Q$865,Q$3,FALSE)</f>
        <v>0</v>
      </c>
      <c r="R212" s="31">
        <f>VLOOKUP($F212&amp;$G212,Composite!$A$5:$Q$865,R$3,FALSE)*VLOOKUP($C212,[2]!ExistingSat,MATCH($A212,[2]SATS!$C$10:$F$10,0)+1,FALSE)</f>
        <v>0</v>
      </c>
      <c r="S212">
        <f>VLOOKUP($F212&amp;$G212,Composite!$A$5:$Q$865,S$3,FALSE)</f>
        <v>0</v>
      </c>
      <c r="T212" s="31">
        <f>VLOOKUP($F212&amp;$G212,Composite!$A$5:$Q$865,T$3,FALSE)*VLOOKUP($C212,[2]!ExistingSat,MATCH($A212,[2]SATS!$C$10:$F$10,0)+1,FALSE)</f>
        <v>0</v>
      </c>
    </row>
    <row r="213" spans="1:20">
      <c r="A213" t="s">
        <v>25</v>
      </c>
      <c r="B213" t="s">
        <v>1359</v>
      </c>
      <c r="C213" t="s">
        <v>27</v>
      </c>
      <c r="D213" t="s">
        <v>61</v>
      </c>
      <c r="E213" t="str">
        <f t="shared" si="4"/>
        <v>Zonal/DHPHZ2WINDOW CL22 Prime Window Replacement of Single Pane Base (cooling savings)</v>
      </c>
      <c r="F213" s="31" t="str">
        <f>Composite!B212</f>
        <v>Windows - Single Pane to Class 22 - Heating Zone 2 (Zonal or DHP)</v>
      </c>
      <c r="G213" t="s">
        <v>224</v>
      </c>
      <c r="H213" s="31">
        <f>VLOOKUP($F213&amp;$G213,Composite!$A$5:$Q$865,H$3,FALSE)*VLOOKUP($C213,[2]!ExistingSat,MATCH($A213,[2]SATS!$C$10:$F$10,0)+1,FALSE)</f>
        <v>178.04383411537233</v>
      </c>
      <c r="I213">
        <f>VLOOKUP($F213&amp;$G213,Composite!$A$5:$Q$865,I$3,FALSE)</f>
        <v>45</v>
      </c>
      <c r="J213" s="31">
        <f>VLOOKUP($F213&amp;$G213,Composite!$A$5:$Q$865,J$3,FALSE)*VLOOKUP($C213,[2]!ExistingSat,MATCH($A213,[2]SATS!$C$10:$F$10,0)+1,FALSE)</f>
        <v>0</v>
      </c>
      <c r="K213" s="31">
        <f>VLOOKUP($F213&amp;$G213,Composite!$A$5:$Q$865,K$3,FALSE)*VLOOKUP($C213,[2]!ExistingSat,MATCH($A213,[2]SATS!$C$10:$F$10,0)+1,FALSE)</f>
        <v>0</v>
      </c>
      <c r="L213" t="str">
        <f>VLOOKUP($F213&amp;$G213,Composite!$A$5:$Q$865,L$3,FALSE)</f>
        <v>ResCACPNW</v>
      </c>
      <c r="M213" s="31">
        <f>VLOOKUP($F213&amp;$G213,Composite!$A$5:$Q$865,M$3,FALSE)*VLOOKUP($C213,[2]!ExistingSat,MATCH($A213,[2]SATS!$C$10:$F$10,0)+1,FALSE)</f>
        <v>0</v>
      </c>
      <c r="N213" s="31">
        <f>VLOOKUP($F213&amp;$G213,Composite!$A$5:$Q$865,N$3,FALSE)*VLOOKUP($C213,[2]!ExistingSat,MATCH($A213,[2]SATS!$C$10:$F$10,0)+1,FALSE)</f>
        <v>0</v>
      </c>
      <c r="O213">
        <f>VLOOKUP($F213&amp;$G213,Composite!$A$5:$Q$865,O$3,FALSE)</f>
        <v>0</v>
      </c>
      <c r="P213" s="31">
        <f>VLOOKUP($F213&amp;$G213,Composite!$A$5:$Q$865,P$3,FALSE)*VLOOKUP($C213,[2]!ExistingSat,MATCH($A213,[2]SATS!$C$10:$F$10,0)+1,FALSE)</f>
        <v>0</v>
      </c>
      <c r="Q213">
        <f>VLOOKUP($F213&amp;$G213,Composite!$A$5:$Q$865,Q$3,FALSE)</f>
        <v>0</v>
      </c>
      <c r="R213" s="31">
        <f>VLOOKUP($F213&amp;$G213,Composite!$A$5:$Q$865,R$3,FALSE)*VLOOKUP($C213,[2]!ExistingSat,MATCH($A213,[2]SATS!$C$10:$F$10,0)+1,FALSE)</f>
        <v>0</v>
      </c>
      <c r="S213">
        <f>VLOOKUP($F213&amp;$G213,Composite!$A$5:$Q$865,S$3,FALSE)</f>
        <v>0</v>
      </c>
      <c r="T213" s="31">
        <f>VLOOKUP($F213&amp;$G213,Composite!$A$5:$Q$865,T$3,FALSE)*VLOOKUP($C213,[2]!ExistingSat,MATCH($A213,[2]SATS!$C$10:$F$10,0)+1,FALSE)</f>
        <v>0</v>
      </c>
    </row>
    <row r="214" spans="1:20">
      <c r="A214" t="s">
        <v>25</v>
      </c>
      <c r="B214" t="s">
        <v>1359</v>
      </c>
      <c r="C214" t="s">
        <v>27</v>
      </c>
      <c r="D214" t="s">
        <v>61</v>
      </c>
      <c r="E214" t="str">
        <f t="shared" si="4"/>
        <v>Zonal/DHPHZ2WINDOW CL22 Prime Window Replacement of Double Pane Base (cooling savings)</v>
      </c>
      <c r="F214" s="31" t="str">
        <f>Composite!B213</f>
        <v>Windows - Double Pane to Class 22 - Heating Zone 2 (Zonal or DHP)</v>
      </c>
      <c r="G214" t="s">
        <v>225</v>
      </c>
      <c r="H214" s="31">
        <f>VLOOKUP($F214&amp;$G214,Composite!$A$5:$Q$865,H$3,FALSE)*VLOOKUP($C214,[2]!ExistingSat,MATCH($A214,[2]SATS!$C$10:$F$10,0)+1,FALSE)</f>
        <v>219.65746281781367</v>
      </c>
      <c r="I214">
        <f>VLOOKUP($F214&amp;$G214,Composite!$A$5:$Q$865,I$3,FALSE)</f>
        <v>45</v>
      </c>
      <c r="J214" s="31">
        <f>VLOOKUP($F214&amp;$G214,Composite!$A$5:$Q$865,J$3,FALSE)*VLOOKUP($C214,[2]!ExistingSat,MATCH($A214,[2]SATS!$C$10:$F$10,0)+1,FALSE)</f>
        <v>0</v>
      </c>
      <c r="K214" s="31">
        <f>VLOOKUP($F214&amp;$G214,Composite!$A$5:$Q$865,K$3,FALSE)*VLOOKUP($C214,[2]!ExistingSat,MATCH($A214,[2]SATS!$C$10:$F$10,0)+1,FALSE)</f>
        <v>0</v>
      </c>
      <c r="L214" t="str">
        <f>VLOOKUP($F214&amp;$G214,Composite!$A$5:$Q$865,L$3,FALSE)</f>
        <v>ResCACPNW</v>
      </c>
      <c r="M214" s="31">
        <f>VLOOKUP($F214&amp;$G214,Composite!$A$5:$Q$865,M$3,FALSE)*VLOOKUP($C214,[2]!ExistingSat,MATCH($A214,[2]SATS!$C$10:$F$10,0)+1,FALSE)</f>
        <v>0</v>
      </c>
      <c r="N214" s="31">
        <f>VLOOKUP($F214&amp;$G214,Composite!$A$5:$Q$865,N$3,FALSE)*VLOOKUP($C214,[2]!ExistingSat,MATCH($A214,[2]SATS!$C$10:$F$10,0)+1,FALSE)</f>
        <v>0</v>
      </c>
      <c r="O214">
        <f>VLOOKUP($F214&amp;$G214,Composite!$A$5:$Q$865,O$3,FALSE)</f>
        <v>0</v>
      </c>
      <c r="P214" s="31">
        <f>VLOOKUP($F214&amp;$G214,Composite!$A$5:$Q$865,P$3,FALSE)*VLOOKUP($C214,[2]!ExistingSat,MATCH($A214,[2]SATS!$C$10:$F$10,0)+1,FALSE)</f>
        <v>0</v>
      </c>
      <c r="Q214">
        <f>VLOOKUP($F214&amp;$G214,Composite!$A$5:$Q$865,Q$3,FALSE)</f>
        <v>0</v>
      </c>
      <c r="R214" s="31">
        <f>VLOOKUP($F214&amp;$G214,Composite!$A$5:$Q$865,R$3,FALSE)*VLOOKUP($C214,[2]!ExistingSat,MATCH($A214,[2]SATS!$C$10:$F$10,0)+1,FALSE)</f>
        <v>0</v>
      </c>
      <c r="S214">
        <f>VLOOKUP($F214&amp;$G214,Composite!$A$5:$Q$865,S$3,FALSE)</f>
        <v>0</v>
      </c>
      <c r="T214" s="31">
        <f>VLOOKUP($F214&amp;$G214,Composite!$A$5:$Q$865,T$3,FALSE)*VLOOKUP($C214,[2]!ExistingSat,MATCH($A214,[2]SATS!$C$10:$F$10,0)+1,FALSE)</f>
        <v>0</v>
      </c>
    </row>
    <row r="215" spans="1:20">
      <c r="A215" t="s">
        <v>25</v>
      </c>
      <c r="B215" t="s">
        <v>1359</v>
      </c>
      <c r="C215" t="s">
        <v>66</v>
      </c>
      <c r="D215" t="s">
        <v>61</v>
      </c>
      <c r="E215" t="str">
        <f t="shared" si="4"/>
        <v>Zonal/DHPHZ2CFM50 Infiltration Reduction (cooling savings)</v>
      </c>
      <c r="F215" s="31" t="str">
        <f>Composite!B214</f>
        <v>Infiltration Reduction - CFM50 reduction - Heating Zone 2 (Zonal or DHP)</v>
      </c>
      <c r="G215" t="s">
        <v>890</v>
      </c>
      <c r="H215" s="31">
        <f>VLOOKUP($F215&amp;$G215,Composite!$A$5:$Q$865,H$3,FALSE)*VLOOKUP($C215,[2]!ExistingSat,MATCH($A215,[2]SATS!$C$10:$F$10,0)+1,FALSE)</f>
        <v>11.628810562867329</v>
      </c>
      <c r="I215">
        <f>VLOOKUP($F215&amp;$G215,Composite!$A$5:$Q$865,I$3,FALSE)</f>
        <v>15</v>
      </c>
      <c r="J215" s="31">
        <f>VLOOKUP($F215&amp;$G215,Composite!$A$5:$Q$865,J$3,FALSE)*VLOOKUP($C215,[2]!ExistingSat,MATCH($A215,[2]SATS!$C$10:$F$10,0)+1,FALSE)</f>
        <v>0</v>
      </c>
      <c r="K215" s="31">
        <f>VLOOKUP($F215&amp;$G215,Composite!$A$5:$Q$865,K$3,FALSE)*VLOOKUP($C215,[2]!ExistingSat,MATCH($A215,[2]SATS!$C$10:$F$10,0)+1,FALSE)</f>
        <v>0</v>
      </c>
      <c r="L215" t="str">
        <f>VLOOKUP($F215&amp;$G215,Composite!$A$5:$Q$865,L$3,FALSE)</f>
        <v>ResCACPNW</v>
      </c>
      <c r="M215" s="31">
        <f>VLOOKUP($F215&amp;$G215,Composite!$A$5:$Q$865,M$3,FALSE)*VLOOKUP($C215,[2]!ExistingSat,MATCH($A215,[2]SATS!$C$10:$F$10,0)+1,FALSE)</f>
        <v>0</v>
      </c>
      <c r="N215" s="31">
        <f>VLOOKUP($F215&amp;$G215,Composite!$A$5:$Q$865,N$3,FALSE)*VLOOKUP($C215,[2]!ExistingSat,MATCH($A215,[2]SATS!$C$10:$F$10,0)+1,FALSE)</f>
        <v>0</v>
      </c>
      <c r="O215">
        <f>VLOOKUP($F215&amp;$G215,Composite!$A$5:$Q$865,O$3,FALSE)</f>
        <v>0</v>
      </c>
      <c r="P215" s="31">
        <f>VLOOKUP($F215&amp;$G215,Composite!$A$5:$Q$865,P$3,FALSE)*VLOOKUP($C215,[2]!ExistingSat,MATCH($A215,[2]SATS!$C$10:$F$10,0)+1,FALSE)</f>
        <v>0</v>
      </c>
      <c r="Q215">
        <f>VLOOKUP($F215&amp;$G215,Composite!$A$5:$Q$865,Q$3,FALSE)</f>
        <v>0</v>
      </c>
      <c r="R215" s="31">
        <f>VLOOKUP($F215&amp;$G215,Composite!$A$5:$Q$865,R$3,FALSE)*VLOOKUP($C215,[2]!ExistingSat,MATCH($A215,[2]SATS!$C$10:$F$10,0)+1,FALSE)</f>
        <v>0</v>
      </c>
      <c r="S215">
        <f>VLOOKUP($F215&amp;$G215,Composite!$A$5:$Q$865,S$3,FALSE)</f>
        <v>0</v>
      </c>
      <c r="T215" s="31">
        <f>VLOOKUP($F215&amp;$G215,Composite!$A$5:$Q$865,T$3,FALSE)*VLOOKUP($C215,[2]!ExistingSat,MATCH($A215,[2]SATS!$C$10:$F$10,0)+1,FALSE)</f>
        <v>0</v>
      </c>
    </row>
    <row r="216" spans="1:20">
      <c r="A216" t="s">
        <v>25</v>
      </c>
      <c r="B216" t="s">
        <v>1359</v>
      </c>
      <c r="C216" t="s">
        <v>28</v>
      </c>
      <c r="D216" t="s">
        <v>62</v>
      </c>
      <c r="E216" t="str">
        <f t="shared" si="4"/>
        <v>Zonal/DHPHZ3ATTIC R0 - R38 (cooling savings)</v>
      </c>
      <c r="F216" s="31" t="str">
        <f>Composite!B215</f>
        <v>Single Family Weatherization - Insulate Attic - R0 to R38 - Heating Zone 3 (Zonal or DHP)</v>
      </c>
      <c r="G216" t="s">
        <v>208</v>
      </c>
      <c r="H216" s="31">
        <f>VLOOKUP($F216&amp;$G216,Composite!$A$5:$Q$865,H$3,FALSE)*VLOOKUP($C216,[2]!ExistingSat,MATCH($A216,[2]SATS!$C$10:$F$10,0)+1,FALSE)</f>
        <v>53.488372892101509</v>
      </c>
      <c r="I216">
        <f>VLOOKUP($F216&amp;$G216,Composite!$A$5:$Q$865,I$3,FALSE)</f>
        <v>45</v>
      </c>
      <c r="J216" s="31">
        <f>VLOOKUP($F216&amp;$G216,Composite!$A$5:$Q$865,J$3,FALSE)*VLOOKUP($C216,[2]!ExistingSat,MATCH($A216,[2]SATS!$C$10:$F$10,0)+1,FALSE)</f>
        <v>0</v>
      </c>
      <c r="K216" s="31">
        <f>VLOOKUP($F216&amp;$G216,Composite!$A$5:$Q$865,K$3,FALSE)*VLOOKUP($C216,[2]!ExistingSat,MATCH($A216,[2]SATS!$C$10:$F$10,0)+1,FALSE)</f>
        <v>0</v>
      </c>
      <c r="L216" t="str">
        <f>VLOOKUP($F216&amp;$G216,Composite!$A$5:$Q$865,L$3,FALSE)</f>
        <v>ResCACPNW</v>
      </c>
      <c r="M216" s="31">
        <f>VLOOKUP($F216&amp;$G216,Composite!$A$5:$Q$865,M$3,FALSE)*VLOOKUP($C216,[2]!ExistingSat,MATCH($A216,[2]SATS!$C$10:$F$10,0)+1,FALSE)</f>
        <v>0</v>
      </c>
      <c r="N216" s="31">
        <f>VLOOKUP($F216&amp;$G216,Composite!$A$5:$Q$865,N$3,FALSE)*VLOOKUP($C216,[2]!ExistingSat,MATCH($A216,[2]SATS!$C$10:$F$10,0)+1,FALSE)</f>
        <v>0</v>
      </c>
      <c r="O216">
        <f>VLOOKUP($F216&amp;$G216,Composite!$A$5:$Q$865,O$3,FALSE)</f>
        <v>0</v>
      </c>
      <c r="P216" s="31">
        <f>VLOOKUP($F216&amp;$G216,Composite!$A$5:$Q$865,P$3,FALSE)*VLOOKUP($C216,[2]!ExistingSat,MATCH($A216,[2]SATS!$C$10:$F$10,0)+1,FALSE)</f>
        <v>0</v>
      </c>
      <c r="Q216">
        <f>VLOOKUP($F216&amp;$G216,Composite!$A$5:$Q$865,Q$3,FALSE)</f>
        <v>0</v>
      </c>
      <c r="R216" s="31">
        <f>VLOOKUP($F216&amp;$G216,Composite!$A$5:$Q$865,R$3,FALSE)*VLOOKUP($C216,[2]!ExistingSat,MATCH($A216,[2]SATS!$C$10:$F$10,0)+1,FALSE)</f>
        <v>0</v>
      </c>
      <c r="S216">
        <f>VLOOKUP($F216&amp;$G216,Composite!$A$5:$Q$865,S$3,FALSE)</f>
        <v>0</v>
      </c>
      <c r="T216" s="31">
        <f>VLOOKUP($F216&amp;$G216,Composite!$A$5:$Q$865,T$3,FALSE)*VLOOKUP($C216,[2]!ExistingSat,MATCH($A216,[2]SATS!$C$10:$F$10,0)+1,FALSE)</f>
        <v>0</v>
      </c>
    </row>
    <row r="217" spans="1:20">
      <c r="A217" t="s">
        <v>25</v>
      </c>
      <c r="B217" t="s">
        <v>1359</v>
      </c>
      <c r="C217" t="s">
        <v>28</v>
      </c>
      <c r="D217" t="s">
        <v>62</v>
      </c>
      <c r="E217" t="str">
        <f t="shared" si="4"/>
        <v>Zonal/DHPHZ3ATTIC R0 - R49 (cooling savings)</v>
      </c>
      <c r="F217" s="31" t="str">
        <f>Composite!B216</f>
        <v>Single Family Weatherization - Insulate Attic - R0 to R49 - Heating Zone 3 (Zonal or DHP)</v>
      </c>
      <c r="G217" t="s">
        <v>210</v>
      </c>
      <c r="H217" s="31">
        <f>VLOOKUP($F217&amp;$G217,Composite!$A$5:$Q$865,H$3,FALSE)*VLOOKUP($C217,[2]!ExistingSat,MATCH($A217,[2]SATS!$C$10:$F$10,0)+1,FALSE)</f>
        <v>53.958800462799331</v>
      </c>
      <c r="I217">
        <f>VLOOKUP($F217&amp;$G217,Composite!$A$5:$Q$865,I$3,FALSE)</f>
        <v>45</v>
      </c>
      <c r="J217" s="31">
        <f>VLOOKUP($F217&amp;$G217,Composite!$A$5:$Q$865,J$3,FALSE)*VLOOKUP($C217,[2]!ExistingSat,MATCH($A217,[2]SATS!$C$10:$F$10,0)+1,FALSE)</f>
        <v>0</v>
      </c>
      <c r="K217" s="31">
        <f>VLOOKUP($F217&amp;$G217,Composite!$A$5:$Q$865,K$3,FALSE)*VLOOKUP($C217,[2]!ExistingSat,MATCH($A217,[2]SATS!$C$10:$F$10,0)+1,FALSE)</f>
        <v>0</v>
      </c>
      <c r="L217" t="str">
        <f>VLOOKUP($F217&amp;$G217,Composite!$A$5:$Q$865,L$3,FALSE)</f>
        <v>ResCACPNW</v>
      </c>
      <c r="M217" s="31">
        <f>VLOOKUP($F217&amp;$G217,Composite!$A$5:$Q$865,M$3,FALSE)*VLOOKUP($C217,[2]!ExistingSat,MATCH($A217,[2]SATS!$C$10:$F$10,0)+1,FALSE)</f>
        <v>0</v>
      </c>
      <c r="N217" s="31">
        <f>VLOOKUP($F217&amp;$G217,Composite!$A$5:$Q$865,N$3,FALSE)*VLOOKUP($C217,[2]!ExistingSat,MATCH($A217,[2]SATS!$C$10:$F$10,0)+1,FALSE)</f>
        <v>0</v>
      </c>
      <c r="O217">
        <f>VLOOKUP($F217&amp;$G217,Composite!$A$5:$Q$865,O$3,FALSE)</f>
        <v>0</v>
      </c>
      <c r="P217" s="31">
        <f>VLOOKUP($F217&amp;$G217,Composite!$A$5:$Q$865,P$3,FALSE)*VLOOKUP($C217,[2]!ExistingSat,MATCH($A217,[2]SATS!$C$10:$F$10,0)+1,FALSE)</f>
        <v>0</v>
      </c>
      <c r="Q217">
        <f>VLOOKUP($F217&amp;$G217,Composite!$A$5:$Q$865,Q$3,FALSE)</f>
        <v>0</v>
      </c>
      <c r="R217" s="31">
        <f>VLOOKUP($F217&amp;$G217,Composite!$A$5:$Q$865,R$3,FALSE)*VLOOKUP($C217,[2]!ExistingSat,MATCH($A217,[2]SATS!$C$10:$F$10,0)+1,FALSE)</f>
        <v>0</v>
      </c>
      <c r="S217">
        <f>VLOOKUP($F217&amp;$G217,Composite!$A$5:$Q$865,S$3,FALSE)</f>
        <v>0</v>
      </c>
      <c r="T217" s="31">
        <f>VLOOKUP($F217&amp;$G217,Composite!$A$5:$Q$865,T$3,FALSE)*VLOOKUP($C217,[2]!ExistingSat,MATCH($A217,[2]SATS!$C$10:$F$10,0)+1,FALSE)</f>
        <v>0</v>
      </c>
    </row>
    <row r="218" spans="1:20">
      <c r="A218" t="s">
        <v>25</v>
      </c>
      <c r="B218" t="s">
        <v>1359</v>
      </c>
      <c r="C218" t="s">
        <v>28</v>
      </c>
      <c r="D218" t="s">
        <v>62</v>
      </c>
      <c r="E218" t="str">
        <f t="shared" si="4"/>
        <v>Zonal/DHPHZ3ATTIC R11 - R38 (cooling savings)</v>
      </c>
      <c r="F218" s="31" t="str">
        <f>Composite!B217</f>
        <v>Single Family Weatherization - Insulate Attic - R11 to R38 - Heating Zone 3 (Zonal or DHP)</v>
      </c>
      <c r="G218" t="s">
        <v>211</v>
      </c>
      <c r="H218" s="31">
        <f>VLOOKUP($F218&amp;$G218,Composite!$A$5:$Q$865,H$3,FALSE)*VLOOKUP($C218,[2]!ExistingSat,MATCH($A218,[2]SATS!$C$10:$F$10,0)+1,FALSE)</f>
        <v>6.1065460038624266</v>
      </c>
      <c r="I218">
        <f>VLOOKUP($F218&amp;$G218,Composite!$A$5:$Q$865,I$3,FALSE)</f>
        <v>45</v>
      </c>
      <c r="J218" s="31">
        <f>VLOOKUP($F218&amp;$G218,Composite!$A$5:$Q$865,J$3,FALSE)*VLOOKUP($C218,[2]!ExistingSat,MATCH($A218,[2]SATS!$C$10:$F$10,0)+1,FALSE)</f>
        <v>0</v>
      </c>
      <c r="K218" s="31">
        <f>VLOOKUP($F218&amp;$G218,Composite!$A$5:$Q$865,K$3,FALSE)*VLOOKUP($C218,[2]!ExistingSat,MATCH($A218,[2]SATS!$C$10:$F$10,0)+1,FALSE)</f>
        <v>0</v>
      </c>
      <c r="L218" t="str">
        <f>VLOOKUP($F218&amp;$G218,Composite!$A$5:$Q$865,L$3,FALSE)</f>
        <v>ResCACPNW</v>
      </c>
      <c r="M218" s="31">
        <f>VLOOKUP($F218&amp;$G218,Composite!$A$5:$Q$865,M$3,FALSE)*VLOOKUP($C218,[2]!ExistingSat,MATCH($A218,[2]SATS!$C$10:$F$10,0)+1,FALSE)</f>
        <v>0</v>
      </c>
      <c r="N218" s="31">
        <f>VLOOKUP($F218&amp;$G218,Composite!$A$5:$Q$865,N$3,FALSE)*VLOOKUP($C218,[2]!ExistingSat,MATCH($A218,[2]SATS!$C$10:$F$10,0)+1,FALSE)</f>
        <v>0</v>
      </c>
      <c r="O218">
        <f>VLOOKUP($F218&amp;$G218,Composite!$A$5:$Q$865,O$3,FALSE)</f>
        <v>0</v>
      </c>
      <c r="P218" s="31">
        <f>VLOOKUP($F218&amp;$G218,Composite!$A$5:$Q$865,P$3,FALSE)*VLOOKUP($C218,[2]!ExistingSat,MATCH($A218,[2]SATS!$C$10:$F$10,0)+1,FALSE)</f>
        <v>0</v>
      </c>
      <c r="Q218">
        <f>VLOOKUP($F218&amp;$G218,Composite!$A$5:$Q$865,Q$3,FALSE)</f>
        <v>0</v>
      </c>
      <c r="R218" s="31">
        <f>VLOOKUP($F218&amp;$G218,Composite!$A$5:$Q$865,R$3,FALSE)*VLOOKUP($C218,[2]!ExistingSat,MATCH($A218,[2]SATS!$C$10:$F$10,0)+1,FALSE)</f>
        <v>0</v>
      </c>
      <c r="S218">
        <f>VLOOKUP($F218&amp;$G218,Composite!$A$5:$Q$865,S$3,FALSE)</f>
        <v>0</v>
      </c>
      <c r="T218" s="31">
        <f>VLOOKUP($F218&amp;$G218,Composite!$A$5:$Q$865,T$3,FALSE)*VLOOKUP($C218,[2]!ExistingSat,MATCH($A218,[2]SATS!$C$10:$F$10,0)+1,FALSE)</f>
        <v>0</v>
      </c>
    </row>
    <row r="219" spans="1:20">
      <c r="A219" t="s">
        <v>25</v>
      </c>
      <c r="B219" t="s">
        <v>1359</v>
      </c>
      <c r="C219" t="s">
        <v>28</v>
      </c>
      <c r="D219" t="s">
        <v>62</v>
      </c>
      <c r="E219" t="str">
        <f t="shared" si="4"/>
        <v>Zonal/DHPHZ3ATTIC R11 - R49 (cooling savings)</v>
      </c>
      <c r="F219" s="31" t="str">
        <f>Composite!B218</f>
        <v>Single Family Weatherization - Insulate Attic - R11 to R49 - Heating Zone 3 (Zonal or DHP)</v>
      </c>
      <c r="G219" t="s">
        <v>212</v>
      </c>
      <c r="H219" s="31">
        <f>VLOOKUP($F219&amp;$G219,Composite!$A$5:$Q$865,H$3,FALSE)*VLOOKUP($C219,[2]!ExistingSat,MATCH($A219,[2]SATS!$C$10:$F$10,0)+1,FALSE)</f>
        <v>6.576973574560248</v>
      </c>
      <c r="I219">
        <f>VLOOKUP($F219&amp;$G219,Composite!$A$5:$Q$865,I$3,FALSE)</f>
        <v>45</v>
      </c>
      <c r="J219" s="31">
        <f>VLOOKUP($F219&amp;$G219,Composite!$A$5:$Q$865,J$3,FALSE)*VLOOKUP($C219,[2]!ExistingSat,MATCH($A219,[2]SATS!$C$10:$F$10,0)+1,FALSE)</f>
        <v>0</v>
      </c>
      <c r="K219" s="31">
        <f>VLOOKUP($F219&amp;$G219,Composite!$A$5:$Q$865,K$3,FALSE)*VLOOKUP($C219,[2]!ExistingSat,MATCH($A219,[2]SATS!$C$10:$F$10,0)+1,FALSE)</f>
        <v>0</v>
      </c>
      <c r="L219" t="str">
        <f>VLOOKUP($F219&amp;$G219,Composite!$A$5:$Q$865,L$3,FALSE)</f>
        <v>ResCACPNW</v>
      </c>
      <c r="M219" s="31">
        <f>VLOOKUP($F219&amp;$G219,Composite!$A$5:$Q$865,M$3,FALSE)*VLOOKUP($C219,[2]!ExistingSat,MATCH($A219,[2]SATS!$C$10:$F$10,0)+1,FALSE)</f>
        <v>0</v>
      </c>
      <c r="N219" s="31">
        <f>VLOOKUP($F219&amp;$G219,Composite!$A$5:$Q$865,N$3,FALSE)*VLOOKUP($C219,[2]!ExistingSat,MATCH($A219,[2]SATS!$C$10:$F$10,0)+1,FALSE)</f>
        <v>0</v>
      </c>
      <c r="O219">
        <f>VLOOKUP($F219&amp;$G219,Composite!$A$5:$Q$865,O$3,FALSE)</f>
        <v>0</v>
      </c>
      <c r="P219" s="31">
        <f>VLOOKUP($F219&amp;$G219,Composite!$A$5:$Q$865,P$3,FALSE)*VLOOKUP($C219,[2]!ExistingSat,MATCH($A219,[2]SATS!$C$10:$F$10,0)+1,FALSE)</f>
        <v>0</v>
      </c>
      <c r="Q219">
        <f>VLOOKUP($F219&amp;$G219,Composite!$A$5:$Q$865,Q$3,FALSE)</f>
        <v>0</v>
      </c>
      <c r="R219" s="31">
        <f>VLOOKUP($F219&amp;$G219,Composite!$A$5:$Q$865,R$3,FALSE)*VLOOKUP($C219,[2]!ExistingSat,MATCH($A219,[2]SATS!$C$10:$F$10,0)+1,FALSE)</f>
        <v>0</v>
      </c>
      <c r="S219">
        <f>VLOOKUP($F219&amp;$G219,Composite!$A$5:$Q$865,S$3,FALSE)</f>
        <v>0</v>
      </c>
      <c r="T219" s="31">
        <f>VLOOKUP($F219&amp;$G219,Composite!$A$5:$Q$865,T$3,FALSE)*VLOOKUP($C219,[2]!ExistingSat,MATCH($A219,[2]SATS!$C$10:$F$10,0)+1,FALSE)</f>
        <v>0</v>
      </c>
    </row>
    <row r="220" spans="1:20">
      <c r="A220" t="s">
        <v>25</v>
      </c>
      <c r="B220" t="s">
        <v>1359</v>
      </c>
      <c r="C220" t="s">
        <v>28</v>
      </c>
      <c r="D220" t="s">
        <v>62</v>
      </c>
      <c r="E220" t="str">
        <f t="shared" si="4"/>
        <v>Zonal/DHPHZ3ATTIC R19 - R38 (cooling savings)</v>
      </c>
      <c r="F220" s="31" t="str">
        <f>Composite!B219</f>
        <v>Single Family Weatherization - Insulate Attic - R19 to R38 - Heating Zone 3 (Zonal or DHP)</v>
      </c>
      <c r="G220" t="s">
        <v>213</v>
      </c>
      <c r="H220" s="31">
        <f>VLOOKUP($F220&amp;$G220,Composite!$A$5:$Q$865,H$3,FALSE)*VLOOKUP($C220,[2]!ExistingSat,MATCH($A220,[2]SATS!$C$10:$F$10,0)+1,FALSE)</f>
        <v>2.4066676169403527</v>
      </c>
      <c r="I220">
        <f>VLOOKUP($F220&amp;$G220,Composite!$A$5:$Q$865,I$3,FALSE)</f>
        <v>45</v>
      </c>
      <c r="J220" s="31">
        <f>VLOOKUP($F220&amp;$G220,Composite!$A$5:$Q$865,J$3,FALSE)*VLOOKUP($C220,[2]!ExistingSat,MATCH($A220,[2]SATS!$C$10:$F$10,0)+1,FALSE)</f>
        <v>0</v>
      </c>
      <c r="K220" s="31">
        <f>VLOOKUP($F220&amp;$G220,Composite!$A$5:$Q$865,K$3,FALSE)*VLOOKUP($C220,[2]!ExistingSat,MATCH($A220,[2]SATS!$C$10:$F$10,0)+1,FALSE)</f>
        <v>0</v>
      </c>
      <c r="L220" t="str">
        <f>VLOOKUP($F220&amp;$G220,Composite!$A$5:$Q$865,L$3,FALSE)</f>
        <v>ResCACPNW</v>
      </c>
      <c r="M220" s="31">
        <f>VLOOKUP($F220&amp;$G220,Composite!$A$5:$Q$865,M$3,FALSE)*VLOOKUP($C220,[2]!ExistingSat,MATCH($A220,[2]SATS!$C$10:$F$10,0)+1,FALSE)</f>
        <v>0</v>
      </c>
      <c r="N220" s="31">
        <f>VLOOKUP($F220&amp;$G220,Composite!$A$5:$Q$865,N$3,FALSE)*VLOOKUP($C220,[2]!ExistingSat,MATCH($A220,[2]SATS!$C$10:$F$10,0)+1,FALSE)</f>
        <v>0</v>
      </c>
      <c r="O220">
        <f>VLOOKUP($F220&amp;$G220,Composite!$A$5:$Q$865,O$3,FALSE)</f>
        <v>0</v>
      </c>
      <c r="P220" s="31">
        <f>VLOOKUP($F220&amp;$G220,Composite!$A$5:$Q$865,P$3,FALSE)*VLOOKUP($C220,[2]!ExistingSat,MATCH($A220,[2]SATS!$C$10:$F$10,0)+1,FALSE)</f>
        <v>0</v>
      </c>
      <c r="Q220">
        <f>VLOOKUP($F220&amp;$G220,Composite!$A$5:$Q$865,Q$3,FALSE)</f>
        <v>0</v>
      </c>
      <c r="R220" s="31">
        <f>VLOOKUP($F220&amp;$G220,Composite!$A$5:$Q$865,R$3,FALSE)*VLOOKUP($C220,[2]!ExistingSat,MATCH($A220,[2]SATS!$C$10:$F$10,0)+1,FALSE)</f>
        <v>0</v>
      </c>
      <c r="S220">
        <f>VLOOKUP($F220&amp;$G220,Composite!$A$5:$Q$865,S$3,FALSE)</f>
        <v>0</v>
      </c>
      <c r="T220" s="31">
        <f>VLOOKUP($F220&amp;$G220,Composite!$A$5:$Q$865,T$3,FALSE)*VLOOKUP($C220,[2]!ExistingSat,MATCH($A220,[2]SATS!$C$10:$F$10,0)+1,FALSE)</f>
        <v>0</v>
      </c>
    </row>
    <row r="221" spans="1:20">
      <c r="A221" t="s">
        <v>25</v>
      </c>
      <c r="B221" t="s">
        <v>1359</v>
      </c>
      <c r="C221" t="s">
        <v>28</v>
      </c>
      <c r="D221" t="s">
        <v>62</v>
      </c>
      <c r="E221" t="str">
        <f t="shared" si="4"/>
        <v>Zonal/DHPHZ3ATTIC R19 - R49 (cooling savings)</v>
      </c>
      <c r="F221" s="31" t="str">
        <f>Composite!B220</f>
        <v>Single Family Weatherization - Insulate Attic - R19 to R49 - Heating Zone 3 (Zonal or DHP)</v>
      </c>
      <c r="G221" t="s">
        <v>214</v>
      </c>
      <c r="H221" s="31">
        <f>VLOOKUP($F221&amp;$G221,Composite!$A$5:$Q$865,H$3,FALSE)*VLOOKUP($C221,[2]!ExistingSat,MATCH($A221,[2]SATS!$C$10:$F$10,0)+1,FALSE)</f>
        <v>2.8770951876381741</v>
      </c>
      <c r="I221">
        <f>VLOOKUP($F221&amp;$G221,Composite!$A$5:$Q$865,I$3,FALSE)</f>
        <v>45</v>
      </c>
      <c r="J221" s="31">
        <f>VLOOKUP($F221&amp;$G221,Composite!$A$5:$Q$865,J$3,FALSE)*VLOOKUP($C221,[2]!ExistingSat,MATCH($A221,[2]SATS!$C$10:$F$10,0)+1,FALSE)</f>
        <v>0</v>
      </c>
      <c r="K221" s="31">
        <f>VLOOKUP($F221&amp;$G221,Composite!$A$5:$Q$865,K$3,FALSE)*VLOOKUP($C221,[2]!ExistingSat,MATCH($A221,[2]SATS!$C$10:$F$10,0)+1,FALSE)</f>
        <v>0</v>
      </c>
      <c r="L221" t="str">
        <f>VLOOKUP($F221&amp;$G221,Composite!$A$5:$Q$865,L$3,FALSE)</f>
        <v>ResCACPNW</v>
      </c>
      <c r="M221" s="31">
        <f>VLOOKUP($F221&amp;$G221,Composite!$A$5:$Q$865,M$3,FALSE)*VLOOKUP($C221,[2]!ExistingSat,MATCH($A221,[2]SATS!$C$10:$F$10,0)+1,FALSE)</f>
        <v>0</v>
      </c>
      <c r="N221" s="31">
        <f>VLOOKUP($F221&amp;$G221,Composite!$A$5:$Q$865,N$3,FALSE)*VLOOKUP($C221,[2]!ExistingSat,MATCH($A221,[2]SATS!$C$10:$F$10,0)+1,FALSE)</f>
        <v>0</v>
      </c>
      <c r="O221">
        <f>VLOOKUP($F221&amp;$G221,Composite!$A$5:$Q$865,O$3,FALSE)</f>
        <v>0</v>
      </c>
      <c r="P221" s="31">
        <f>VLOOKUP($F221&amp;$G221,Composite!$A$5:$Q$865,P$3,FALSE)*VLOOKUP($C221,[2]!ExistingSat,MATCH($A221,[2]SATS!$C$10:$F$10,0)+1,FALSE)</f>
        <v>0</v>
      </c>
      <c r="Q221">
        <f>VLOOKUP($F221&amp;$G221,Composite!$A$5:$Q$865,Q$3,FALSE)</f>
        <v>0</v>
      </c>
      <c r="R221" s="31">
        <f>VLOOKUP($F221&amp;$G221,Composite!$A$5:$Q$865,R$3,FALSE)*VLOOKUP($C221,[2]!ExistingSat,MATCH($A221,[2]SATS!$C$10:$F$10,0)+1,FALSE)</f>
        <v>0</v>
      </c>
      <c r="S221">
        <f>VLOOKUP($F221&amp;$G221,Composite!$A$5:$Q$865,S$3,FALSE)</f>
        <v>0</v>
      </c>
      <c r="T221" s="31">
        <f>VLOOKUP($F221&amp;$G221,Composite!$A$5:$Q$865,T$3,FALSE)*VLOOKUP($C221,[2]!ExistingSat,MATCH($A221,[2]SATS!$C$10:$F$10,0)+1,FALSE)</f>
        <v>0</v>
      </c>
    </row>
    <row r="222" spans="1:20">
      <c r="A222" t="s">
        <v>25</v>
      </c>
      <c r="B222" t="s">
        <v>1359</v>
      </c>
      <c r="C222" t="s">
        <v>64</v>
      </c>
      <c r="D222" t="s">
        <v>62</v>
      </c>
      <c r="E222" t="str">
        <f t="shared" si="4"/>
        <v>Zonal/DHPHZ3WALL R0 - R11 (cooling savings)</v>
      </c>
      <c r="F222" s="31" t="str">
        <f>Composite!B221</f>
        <v>Single Family Weatherization - Insulate Wall - R0 to R11 - Heating Zone 3 (Zonal or DHP)</v>
      </c>
      <c r="G222" t="s">
        <v>217</v>
      </c>
      <c r="H222" s="31">
        <f>VLOOKUP($F222&amp;$G222,Composite!$A$5:$Q$865,H$3,FALSE)*VLOOKUP($C222,[2]!ExistingSat,MATCH($A222,[2]SATS!$C$10:$F$10,0)+1,FALSE)</f>
        <v>2.6226444259674366</v>
      </c>
      <c r="I222">
        <f>VLOOKUP($F222&amp;$G222,Composite!$A$5:$Q$865,I$3,FALSE)</f>
        <v>45</v>
      </c>
      <c r="J222" s="31">
        <f>VLOOKUP($F222&amp;$G222,Composite!$A$5:$Q$865,J$3,FALSE)*VLOOKUP($C222,[2]!ExistingSat,MATCH($A222,[2]SATS!$C$10:$F$10,0)+1,FALSE)</f>
        <v>0</v>
      </c>
      <c r="K222" s="31">
        <f>VLOOKUP($F222&amp;$G222,Composite!$A$5:$Q$865,K$3,FALSE)*VLOOKUP($C222,[2]!ExistingSat,MATCH($A222,[2]SATS!$C$10:$F$10,0)+1,FALSE)</f>
        <v>0</v>
      </c>
      <c r="L222" t="str">
        <f>VLOOKUP($F222&amp;$G222,Composite!$A$5:$Q$865,L$3,FALSE)</f>
        <v>ResCACPNW</v>
      </c>
      <c r="M222" s="31">
        <f>VLOOKUP($F222&amp;$G222,Composite!$A$5:$Q$865,M$3,FALSE)*VLOOKUP($C222,[2]!ExistingSat,MATCH($A222,[2]SATS!$C$10:$F$10,0)+1,FALSE)</f>
        <v>0</v>
      </c>
      <c r="N222" s="31">
        <f>VLOOKUP($F222&amp;$G222,Composite!$A$5:$Q$865,N$3,FALSE)*VLOOKUP($C222,[2]!ExistingSat,MATCH($A222,[2]SATS!$C$10:$F$10,0)+1,FALSE)</f>
        <v>0</v>
      </c>
      <c r="O222">
        <f>VLOOKUP($F222&amp;$G222,Composite!$A$5:$Q$865,O$3,FALSE)</f>
        <v>0</v>
      </c>
      <c r="P222" s="31">
        <f>VLOOKUP($F222&amp;$G222,Composite!$A$5:$Q$865,P$3,FALSE)*VLOOKUP($C222,[2]!ExistingSat,MATCH($A222,[2]SATS!$C$10:$F$10,0)+1,FALSE)</f>
        <v>0</v>
      </c>
      <c r="Q222">
        <f>VLOOKUP($F222&amp;$G222,Composite!$A$5:$Q$865,Q$3,FALSE)</f>
        <v>0</v>
      </c>
      <c r="R222" s="31">
        <f>VLOOKUP($F222&amp;$G222,Composite!$A$5:$Q$865,R$3,FALSE)*VLOOKUP($C222,[2]!ExistingSat,MATCH($A222,[2]SATS!$C$10:$F$10,0)+1,FALSE)</f>
        <v>0</v>
      </c>
      <c r="S222">
        <f>VLOOKUP($F222&amp;$G222,Composite!$A$5:$Q$865,S$3,FALSE)</f>
        <v>0</v>
      </c>
      <c r="T222" s="31">
        <f>VLOOKUP($F222&amp;$G222,Composite!$A$5:$Q$865,T$3,FALSE)*VLOOKUP($C222,[2]!ExistingSat,MATCH($A222,[2]SATS!$C$10:$F$10,0)+1,FALSE)</f>
        <v>0</v>
      </c>
    </row>
    <row r="223" spans="1:20">
      <c r="A223" t="s">
        <v>25</v>
      </c>
      <c r="B223" t="s">
        <v>1359</v>
      </c>
      <c r="C223" t="s">
        <v>26</v>
      </c>
      <c r="D223" t="s">
        <v>62</v>
      </c>
      <c r="E223" t="str">
        <f t="shared" si="4"/>
        <v>Zonal/DHPHZ3FLOOR R0 - R19 (cooling savings)</v>
      </c>
      <c r="F223" s="31" t="str">
        <f>Composite!B222</f>
        <v>Single Family Weatherization - Insulate Floor - R0 to R19 - Heating Zone 3 (Zonal or DHP)</v>
      </c>
      <c r="G223" t="s">
        <v>218</v>
      </c>
      <c r="H223" s="31">
        <f>VLOOKUP($F223&amp;$G223,Composite!$A$5:$Q$865,H$3,FALSE)*VLOOKUP($C223,[2]!ExistingSat,MATCH($A223,[2]SATS!$C$10:$F$10,0)+1,FALSE)</f>
        <v>-8.1089337018485779</v>
      </c>
      <c r="I223">
        <f>VLOOKUP($F223&amp;$G223,Composite!$A$5:$Q$865,I$3,FALSE)</f>
        <v>45</v>
      </c>
      <c r="J223" s="31">
        <f>VLOOKUP($F223&amp;$G223,Composite!$A$5:$Q$865,J$3,FALSE)*VLOOKUP($C223,[2]!ExistingSat,MATCH($A223,[2]SATS!$C$10:$F$10,0)+1,FALSE)</f>
        <v>0</v>
      </c>
      <c r="K223" s="31">
        <f>VLOOKUP($F223&amp;$G223,Composite!$A$5:$Q$865,K$3,FALSE)*VLOOKUP($C223,[2]!ExistingSat,MATCH($A223,[2]SATS!$C$10:$F$10,0)+1,FALSE)</f>
        <v>0</v>
      </c>
      <c r="L223" t="str">
        <f>VLOOKUP($F223&amp;$G223,Composite!$A$5:$Q$865,L$3,FALSE)</f>
        <v>ResCACPNW</v>
      </c>
      <c r="M223" s="31">
        <f>VLOOKUP($F223&amp;$G223,Composite!$A$5:$Q$865,M$3,FALSE)*VLOOKUP($C223,[2]!ExistingSat,MATCH($A223,[2]SATS!$C$10:$F$10,0)+1,FALSE)</f>
        <v>0</v>
      </c>
      <c r="N223" s="31">
        <f>VLOOKUP($F223&amp;$G223,Composite!$A$5:$Q$865,N$3,FALSE)*VLOOKUP($C223,[2]!ExistingSat,MATCH($A223,[2]SATS!$C$10:$F$10,0)+1,FALSE)</f>
        <v>0</v>
      </c>
      <c r="O223">
        <f>VLOOKUP($F223&amp;$G223,Composite!$A$5:$Q$865,O$3,FALSE)</f>
        <v>0</v>
      </c>
      <c r="P223" s="31">
        <f>VLOOKUP($F223&amp;$G223,Composite!$A$5:$Q$865,P$3,FALSE)*VLOOKUP($C223,[2]!ExistingSat,MATCH($A223,[2]SATS!$C$10:$F$10,0)+1,FALSE)</f>
        <v>0</v>
      </c>
      <c r="Q223">
        <f>VLOOKUP($F223&amp;$G223,Composite!$A$5:$Q$865,Q$3,FALSE)</f>
        <v>0</v>
      </c>
      <c r="R223" s="31">
        <f>VLOOKUP($F223&amp;$G223,Composite!$A$5:$Q$865,R$3,FALSE)*VLOOKUP($C223,[2]!ExistingSat,MATCH($A223,[2]SATS!$C$10:$F$10,0)+1,FALSE)</f>
        <v>0</v>
      </c>
      <c r="S223">
        <f>VLOOKUP($F223&amp;$G223,Composite!$A$5:$Q$865,S$3,FALSE)</f>
        <v>0</v>
      </c>
      <c r="T223" s="31">
        <f>VLOOKUP($F223&amp;$G223,Composite!$A$5:$Q$865,T$3,FALSE)*VLOOKUP($C223,[2]!ExistingSat,MATCH($A223,[2]SATS!$C$10:$F$10,0)+1,FALSE)</f>
        <v>0</v>
      </c>
    </row>
    <row r="224" spans="1:20">
      <c r="A224" t="s">
        <v>25</v>
      </c>
      <c r="B224" t="s">
        <v>1359</v>
      </c>
      <c r="C224" t="s">
        <v>26</v>
      </c>
      <c r="D224" t="s">
        <v>62</v>
      </c>
      <c r="E224" t="str">
        <f t="shared" si="4"/>
        <v>Zonal/DHPHZ3FLOOR R0 - R25 (cooling savings)</v>
      </c>
      <c r="F224" s="31" t="str">
        <f>Composite!B223</f>
        <v>Single Family Weatherization - Insulate Floor - R0 to R25 - Heating Zone 3 (Zonal or DHP)</v>
      </c>
      <c r="G224" t="s">
        <v>219</v>
      </c>
      <c r="H224" s="31">
        <f>VLOOKUP($F224&amp;$G224,Composite!$A$5:$Q$865,H$3,FALSE)*VLOOKUP($C224,[2]!ExistingSat,MATCH($A224,[2]SATS!$C$10:$F$10,0)+1,FALSE)</f>
        <v>-9.2251685303660356</v>
      </c>
      <c r="I224">
        <f>VLOOKUP($F224&amp;$G224,Composite!$A$5:$Q$865,I$3,FALSE)</f>
        <v>45</v>
      </c>
      <c r="J224" s="31">
        <f>VLOOKUP($F224&amp;$G224,Composite!$A$5:$Q$865,J$3,FALSE)*VLOOKUP($C224,[2]!ExistingSat,MATCH($A224,[2]SATS!$C$10:$F$10,0)+1,FALSE)</f>
        <v>0</v>
      </c>
      <c r="K224" s="31">
        <f>VLOOKUP($F224&amp;$G224,Composite!$A$5:$Q$865,K$3,FALSE)*VLOOKUP($C224,[2]!ExistingSat,MATCH($A224,[2]SATS!$C$10:$F$10,0)+1,FALSE)</f>
        <v>0</v>
      </c>
      <c r="L224" t="str">
        <f>VLOOKUP($F224&amp;$G224,Composite!$A$5:$Q$865,L$3,FALSE)</f>
        <v>ResCACPNW</v>
      </c>
      <c r="M224" s="31">
        <f>VLOOKUP($F224&amp;$G224,Composite!$A$5:$Q$865,M$3,FALSE)*VLOOKUP($C224,[2]!ExistingSat,MATCH($A224,[2]SATS!$C$10:$F$10,0)+1,FALSE)</f>
        <v>0</v>
      </c>
      <c r="N224" s="31">
        <f>VLOOKUP($F224&amp;$G224,Composite!$A$5:$Q$865,N$3,FALSE)*VLOOKUP($C224,[2]!ExistingSat,MATCH($A224,[2]SATS!$C$10:$F$10,0)+1,FALSE)</f>
        <v>0</v>
      </c>
      <c r="O224">
        <f>VLOOKUP($F224&amp;$G224,Composite!$A$5:$Q$865,O$3,FALSE)</f>
        <v>0</v>
      </c>
      <c r="P224" s="31">
        <f>VLOOKUP($F224&amp;$G224,Composite!$A$5:$Q$865,P$3,FALSE)*VLOOKUP($C224,[2]!ExistingSat,MATCH($A224,[2]SATS!$C$10:$F$10,0)+1,FALSE)</f>
        <v>0</v>
      </c>
      <c r="Q224">
        <f>VLOOKUP($F224&amp;$G224,Composite!$A$5:$Q$865,Q$3,FALSE)</f>
        <v>0</v>
      </c>
      <c r="R224" s="31">
        <f>VLOOKUP($F224&amp;$G224,Composite!$A$5:$Q$865,R$3,FALSE)*VLOOKUP($C224,[2]!ExistingSat,MATCH($A224,[2]SATS!$C$10:$F$10,0)+1,FALSE)</f>
        <v>0</v>
      </c>
      <c r="S224">
        <f>VLOOKUP($F224&amp;$G224,Composite!$A$5:$Q$865,S$3,FALSE)</f>
        <v>0</v>
      </c>
      <c r="T224" s="31">
        <f>VLOOKUP($F224&amp;$G224,Composite!$A$5:$Q$865,T$3,FALSE)*VLOOKUP($C224,[2]!ExistingSat,MATCH($A224,[2]SATS!$C$10:$F$10,0)+1,FALSE)</f>
        <v>0</v>
      </c>
    </row>
    <row r="225" spans="1:20">
      <c r="A225" t="s">
        <v>25</v>
      </c>
      <c r="B225" t="s">
        <v>1359</v>
      </c>
      <c r="C225" t="s">
        <v>26</v>
      </c>
      <c r="D225" t="s">
        <v>62</v>
      </c>
      <c r="E225" t="str">
        <f t="shared" si="4"/>
        <v>Zonal/DHPHZ3FLOOR R0 - R30 (cooling savings)</v>
      </c>
      <c r="F225" s="31" t="str">
        <f>Composite!B224</f>
        <v>Single Family Weatherization - Insulate Floor - R0 to R30 - Heating Zone 3 (Zonal or DHP)</v>
      </c>
      <c r="G225" t="s">
        <v>220</v>
      </c>
      <c r="H225" s="31">
        <f>VLOOKUP($F225&amp;$G225,Composite!$A$5:$Q$865,H$3,FALSE)*VLOOKUP($C225,[2]!ExistingSat,MATCH($A225,[2]SATS!$C$10:$F$10,0)+1,FALSE)</f>
        <v>-9.9745258346429999</v>
      </c>
      <c r="I225">
        <f>VLOOKUP($F225&amp;$G225,Composite!$A$5:$Q$865,I$3,FALSE)</f>
        <v>45</v>
      </c>
      <c r="J225" s="31">
        <f>VLOOKUP($F225&amp;$G225,Composite!$A$5:$Q$865,J$3,FALSE)*VLOOKUP($C225,[2]!ExistingSat,MATCH($A225,[2]SATS!$C$10:$F$10,0)+1,FALSE)</f>
        <v>0</v>
      </c>
      <c r="K225" s="31">
        <f>VLOOKUP($F225&amp;$G225,Composite!$A$5:$Q$865,K$3,FALSE)*VLOOKUP($C225,[2]!ExistingSat,MATCH($A225,[2]SATS!$C$10:$F$10,0)+1,FALSE)</f>
        <v>0</v>
      </c>
      <c r="L225" t="str">
        <f>VLOOKUP($F225&amp;$G225,Composite!$A$5:$Q$865,L$3,FALSE)</f>
        <v>ResCACPNW</v>
      </c>
      <c r="M225" s="31">
        <f>VLOOKUP($F225&amp;$G225,Composite!$A$5:$Q$865,M$3,FALSE)*VLOOKUP($C225,[2]!ExistingSat,MATCH($A225,[2]SATS!$C$10:$F$10,0)+1,FALSE)</f>
        <v>0</v>
      </c>
      <c r="N225" s="31">
        <f>VLOOKUP($F225&amp;$G225,Composite!$A$5:$Q$865,N$3,FALSE)*VLOOKUP($C225,[2]!ExistingSat,MATCH($A225,[2]SATS!$C$10:$F$10,0)+1,FALSE)</f>
        <v>0</v>
      </c>
      <c r="O225">
        <f>VLOOKUP($F225&amp;$G225,Composite!$A$5:$Q$865,O$3,FALSE)</f>
        <v>0</v>
      </c>
      <c r="P225" s="31">
        <f>VLOOKUP($F225&amp;$G225,Composite!$A$5:$Q$865,P$3,FALSE)*VLOOKUP($C225,[2]!ExistingSat,MATCH($A225,[2]SATS!$C$10:$F$10,0)+1,FALSE)</f>
        <v>0</v>
      </c>
      <c r="Q225">
        <f>VLOOKUP($F225&amp;$G225,Composite!$A$5:$Q$865,Q$3,FALSE)</f>
        <v>0</v>
      </c>
      <c r="R225" s="31">
        <f>VLOOKUP($F225&amp;$G225,Composite!$A$5:$Q$865,R$3,FALSE)*VLOOKUP($C225,[2]!ExistingSat,MATCH($A225,[2]SATS!$C$10:$F$10,0)+1,FALSE)</f>
        <v>0</v>
      </c>
      <c r="S225">
        <f>VLOOKUP($F225&amp;$G225,Composite!$A$5:$Q$865,S$3,FALSE)</f>
        <v>0</v>
      </c>
      <c r="T225" s="31">
        <f>VLOOKUP($F225&amp;$G225,Composite!$A$5:$Q$865,T$3,FALSE)*VLOOKUP($C225,[2]!ExistingSat,MATCH($A225,[2]SATS!$C$10:$F$10,0)+1,FALSE)</f>
        <v>0</v>
      </c>
    </row>
    <row r="226" spans="1:20">
      <c r="A226" t="s">
        <v>25</v>
      </c>
      <c r="B226" t="s">
        <v>1359</v>
      </c>
      <c r="C226" t="s">
        <v>27</v>
      </c>
      <c r="D226" t="s">
        <v>62</v>
      </c>
      <c r="E226" t="str">
        <f t="shared" si="4"/>
        <v>Zonal/DHPHZ3WINDOW CL30 Prime Window Replacement of Single Pane Base (cooling savings)</v>
      </c>
      <c r="F226" s="31" t="str">
        <f>Composite!B225</f>
        <v>Windows - Single Pane to Class 30 - Heating Zone 3 (Zonal or DHP)</v>
      </c>
      <c r="G226" t="s">
        <v>221</v>
      </c>
      <c r="H226" s="31">
        <f>VLOOKUP($F226&amp;$G226,Composite!$A$5:$Q$865,H$3,FALSE)*VLOOKUP($C226,[2]!ExistingSat,MATCH($A226,[2]SATS!$C$10:$F$10,0)+1,FALSE)</f>
        <v>13.042454205124194</v>
      </c>
      <c r="I226">
        <f>VLOOKUP($F226&amp;$G226,Composite!$A$5:$Q$865,I$3,FALSE)</f>
        <v>45</v>
      </c>
      <c r="J226" s="31">
        <f>VLOOKUP($F226&amp;$G226,Composite!$A$5:$Q$865,J$3,FALSE)*VLOOKUP($C226,[2]!ExistingSat,MATCH($A226,[2]SATS!$C$10:$F$10,0)+1,FALSE)</f>
        <v>0</v>
      </c>
      <c r="K226" s="31">
        <f>VLOOKUP($F226&amp;$G226,Composite!$A$5:$Q$865,K$3,FALSE)*VLOOKUP($C226,[2]!ExistingSat,MATCH($A226,[2]SATS!$C$10:$F$10,0)+1,FALSE)</f>
        <v>0</v>
      </c>
      <c r="L226" t="str">
        <f>VLOOKUP($F226&amp;$G226,Composite!$A$5:$Q$865,L$3,FALSE)</f>
        <v>ResCACPNW</v>
      </c>
      <c r="M226" s="31">
        <f>VLOOKUP($F226&amp;$G226,Composite!$A$5:$Q$865,M$3,FALSE)*VLOOKUP($C226,[2]!ExistingSat,MATCH($A226,[2]SATS!$C$10:$F$10,0)+1,FALSE)</f>
        <v>0</v>
      </c>
      <c r="N226" s="31">
        <f>VLOOKUP($F226&amp;$G226,Composite!$A$5:$Q$865,N$3,FALSE)*VLOOKUP($C226,[2]!ExistingSat,MATCH($A226,[2]SATS!$C$10:$F$10,0)+1,FALSE)</f>
        <v>0</v>
      </c>
      <c r="O226">
        <f>VLOOKUP($F226&amp;$G226,Composite!$A$5:$Q$865,O$3,FALSE)</f>
        <v>0</v>
      </c>
      <c r="P226" s="31">
        <f>VLOOKUP($F226&amp;$G226,Composite!$A$5:$Q$865,P$3,FALSE)*VLOOKUP($C226,[2]!ExistingSat,MATCH($A226,[2]SATS!$C$10:$F$10,0)+1,FALSE)</f>
        <v>0</v>
      </c>
      <c r="Q226">
        <f>VLOOKUP($F226&amp;$G226,Composite!$A$5:$Q$865,Q$3,FALSE)</f>
        <v>0</v>
      </c>
      <c r="R226" s="31">
        <f>VLOOKUP($F226&amp;$G226,Composite!$A$5:$Q$865,R$3,FALSE)*VLOOKUP($C226,[2]!ExistingSat,MATCH($A226,[2]SATS!$C$10:$F$10,0)+1,FALSE)</f>
        <v>0</v>
      </c>
      <c r="S226">
        <f>VLOOKUP($F226&amp;$G226,Composite!$A$5:$Q$865,S$3,FALSE)</f>
        <v>0</v>
      </c>
      <c r="T226" s="31">
        <f>VLOOKUP($F226&amp;$G226,Composite!$A$5:$Q$865,T$3,FALSE)*VLOOKUP($C226,[2]!ExistingSat,MATCH($A226,[2]SATS!$C$10:$F$10,0)+1,FALSE)</f>
        <v>0</v>
      </c>
    </row>
    <row r="227" spans="1:20">
      <c r="A227" t="s">
        <v>25</v>
      </c>
      <c r="B227" t="s">
        <v>1359</v>
      </c>
      <c r="C227" t="s">
        <v>27</v>
      </c>
      <c r="D227" t="s">
        <v>62</v>
      </c>
      <c r="E227" t="str">
        <f t="shared" si="4"/>
        <v>Zonal/DHPHZ3WINDOW CL30 Prime Window Replacement of Double Pane Base (cooling savings)</v>
      </c>
      <c r="F227" s="31" t="str">
        <f>Composite!B226</f>
        <v>Windows - Double Pane to Class 30 - Heating Zone 3 (Zonal or DHP)</v>
      </c>
      <c r="G227" t="s">
        <v>222</v>
      </c>
      <c r="H227" s="31">
        <f>VLOOKUP($F227&amp;$G227,Composite!$A$5:$Q$865,H$3,FALSE)*VLOOKUP($C227,[2]!ExistingSat,MATCH($A227,[2]SATS!$C$10:$F$10,0)+1,FALSE)</f>
        <v>19.274989974794256</v>
      </c>
      <c r="I227">
        <f>VLOOKUP($F227&amp;$G227,Composite!$A$5:$Q$865,I$3,FALSE)</f>
        <v>45</v>
      </c>
      <c r="J227" s="31">
        <f>VLOOKUP($F227&amp;$G227,Composite!$A$5:$Q$865,J$3,FALSE)*VLOOKUP($C227,[2]!ExistingSat,MATCH($A227,[2]SATS!$C$10:$F$10,0)+1,FALSE)</f>
        <v>0</v>
      </c>
      <c r="K227" s="31">
        <f>VLOOKUP($F227&amp;$G227,Composite!$A$5:$Q$865,K$3,FALSE)*VLOOKUP($C227,[2]!ExistingSat,MATCH($A227,[2]SATS!$C$10:$F$10,0)+1,FALSE)</f>
        <v>0</v>
      </c>
      <c r="L227" t="str">
        <f>VLOOKUP($F227&amp;$G227,Composite!$A$5:$Q$865,L$3,FALSE)</f>
        <v>ResCACPNW</v>
      </c>
      <c r="M227" s="31">
        <f>VLOOKUP($F227&amp;$G227,Composite!$A$5:$Q$865,M$3,FALSE)*VLOOKUP($C227,[2]!ExistingSat,MATCH($A227,[2]SATS!$C$10:$F$10,0)+1,FALSE)</f>
        <v>0</v>
      </c>
      <c r="N227" s="31">
        <f>VLOOKUP($F227&amp;$G227,Composite!$A$5:$Q$865,N$3,FALSE)*VLOOKUP($C227,[2]!ExistingSat,MATCH($A227,[2]SATS!$C$10:$F$10,0)+1,FALSE)</f>
        <v>0</v>
      </c>
      <c r="O227">
        <f>VLOOKUP($F227&amp;$G227,Composite!$A$5:$Q$865,O$3,FALSE)</f>
        <v>0</v>
      </c>
      <c r="P227" s="31">
        <f>VLOOKUP($F227&amp;$G227,Composite!$A$5:$Q$865,P$3,FALSE)*VLOOKUP($C227,[2]!ExistingSat,MATCH($A227,[2]SATS!$C$10:$F$10,0)+1,FALSE)</f>
        <v>0</v>
      </c>
      <c r="Q227">
        <f>VLOOKUP($F227&amp;$G227,Composite!$A$5:$Q$865,Q$3,FALSE)</f>
        <v>0</v>
      </c>
      <c r="R227" s="31">
        <f>VLOOKUP($F227&amp;$G227,Composite!$A$5:$Q$865,R$3,FALSE)*VLOOKUP($C227,[2]!ExistingSat,MATCH($A227,[2]SATS!$C$10:$F$10,0)+1,FALSE)</f>
        <v>0</v>
      </c>
      <c r="S227">
        <f>VLOOKUP($F227&amp;$G227,Composite!$A$5:$Q$865,S$3,FALSE)</f>
        <v>0</v>
      </c>
      <c r="T227" s="31">
        <f>VLOOKUP($F227&amp;$G227,Composite!$A$5:$Q$865,T$3,FALSE)*VLOOKUP($C227,[2]!ExistingSat,MATCH($A227,[2]SATS!$C$10:$F$10,0)+1,FALSE)</f>
        <v>0</v>
      </c>
    </row>
    <row r="228" spans="1:20">
      <c r="A228" t="s">
        <v>25</v>
      </c>
      <c r="B228" t="s">
        <v>1359</v>
      </c>
      <c r="C228" t="s">
        <v>27</v>
      </c>
      <c r="D228" t="s">
        <v>62</v>
      </c>
      <c r="E228" t="str">
        <f t="shared" si="4"/>
        <v>Zonal/DHPHZ3WINDOW CL22 Prime Window Replacement of Single Pane Base (cooling savings)</v>
      </c>
      <c r="F228" s="31" t="str">
        <f>Composite!B227</f>
        <v>Windows - Single Pane to Class 22 - Heating Zone 3 (Zonal or DHP)</v>
      </c>
      <c r="G228" t="s">
        <v>224</v>
      </c>
      <c r="H228" s="31">
        <f>VLOOKUP($F228&amp;$G228,Composite!$A$5:$Q$865,H$3,FALSE)*VLOOKUP($C228,[2]!ExistingSat,MATCH($A228,[2]SATS!$C$10:$F$10,0)+1,FALSE)</f>
        <v>13.857269099580162</v>
      </c>
      <c r="I228">
        <f>VLOOKUP($F228&amp;$G228,Composite!$A$5:$Q$865,I$3,FALSE)</f>
        <v>45</v>
      </c>
      <c r="J228" s="31">
        <f>VLOOKUP($F228&amp;$G228,Composite!$A$5:$Q$865,J$3,FALSE)*VLOOKUP($C228,[2]!ExistingSat,MATCH($A228,[2]SATS!$C$10:$F$10,0)+1,FALSE)</f>
        <v>0</v>
      </c>
      <c r="K228" s="31">
        <f>VLOOKUP($F228&amp;$G228,Composite!$A$5:$Q$865,K$3,FALSE)*VLOOKUP($C228,[2]!ExistingSat,MATCH($A228,[2]SATS!$C$10:$F$10,0)+1,FALSE)</f>
        <v>0</v>
      </c>
      <c r="L228" t="str">
        <f>VLOOKUP($F228&amp;$G228,Composite!$A$5:$Q$865,L$3,FALSE)</f>
        <v>ResCACPNW</v>
      </c>
      <c r="M228" s="31">
        <f>VLOOKUP($F228&amp;$G228,Composite!$A$5:$Q$865,M$3,FALSE)*VLOOKUP($C228,[2]!ExistingSat,MATCH($A228,[2]SATS!$C$10:$F$10,0)+1,FALSE)</f>
        <v>0</v>
      </c>
      <c r="N228" s="31">
        <f>VLOOKUP($F228&amp;$G228,Composite!$A$5:$Q$865,N$3,FALSE)*VLOOKUP($C228,[2]!ExistingSat,MATCH($A228,[2]SATS!$C$10:$F$10,0)+1,FALSE)</f>
        <v>0</v>
      </c>
      <c r="O228">
        <f>VLOOKUP($F228&amp;$G228,Composite!$A$5:$Q$865,O$3,FALSE)</f>
        <v>0</v>
      </c>
      <c r="P228" s="31">
        <f>VLOOKUP($F228&amp;$G228,Composite!$A$5:$Q$865,P$3,FALSE)*VLOOKUP($C228,[2]!ExistingSat,MATCH($A228,[2]SATS!$C$10:$F$10,0)+1,FALSE)</f>
        <v>0</v>
      </c>
      <c r="Q228">
        <f>VLOOKUP($F228&amp;$G228,Composite!$A$5:$Q$865,Q$3,FALSE)</f>
        <v>0</v>
      </c>
      <c r="R228" s="31">
        <f>VLOOKUP($F228&amp;$G228,Composite!$A$5:$Q$865,R$3,FALSE)*VLOOKUP($C228,[2]!ExistingSat,MATCH($A228,[2]SATS!$C$10:$F$10,0)+1,FALSE)</f>
        <v>0</v>
      </c>
      <c r="S228">
        <f>VLOOKUP($F228&amp;$G228,Composite!$A$5:$Q$865,S$3,FALSE)</f>
        <v>0</v>
      </c>
      <c r="T228" s="31">
        <f>VLOOKUP($F228&amp;$G228,Composite!$A$5:$Q$865,T$3,FALSE)*VLOOKUP($C228,[2]!ExistingSat,MATCH($A228,[2]SATS!$C$10:$F$10,0)+1,FALSE)</f>
        <v>0</v>
      </c>
    </row>
    <row r="229" spans="1:20">
      <c r="A229" t="s">
        <v>25</v>
      </c>
      <c r="B229" t="s">
        <v>1359</v>
      </c>
      <c r="C229" t="s">
        <v>27</v>
      </c>
      <c r="D229" t="s">
        <v>62</v>
      </c>
      <c r="E229" t="str">
        <f t="shared" si="4"/>
        <v>Zonal/DHPHZ3WINDOW CL22 Prime Window Replacement of Double Pane Base (cooling savings)</v>
      </c>
      <c r="F229" s="31" t="str">
        <f>Composite!B228</f>
        <v>Windows - Double Pane to Class 22 - Heating Zone 3 (Zonal or DHP)</v>
      </c>
      <c r="G229" t="s">
        <v>225</v>
      </c>
      <c r="H229" s="31">
        <f>VLOOKUP($F229&amp;$G229,Composite!$A$5:$Q$865,H$3,FALSE)*VLOOKUP($C229,[2]!ExistingSat,MATCH($A229,[2]SATS!$C$10:$F$10,0)+1,FALSE)</f>
        <v>20.089804869250226</v>
      </c>
      <c r="I229">
        <f>VLOOKUP($F229&amp;$G229,Composite!$A$5:$Q$865,I$3,FALSE)</f>
        <v>45</v>
      </c>
      <c r="J229" s="31">
        <f>VLOOKUP($F229&amp;$G229,Composite!$A$5:$Q$865,J$3,FALSE)*VLOOKUP($C229,[2]!ExistingSat,MATCH($A229,[2]SATS!$C$10:$F$10,0)+1,FALSE)</f>
        <v>0</v>
      </c>
      <c r="K229" s="31">
        <f>VLOOKUP($F229&amp;$G229,Composite!$A$5:$Q$865,K$3,FALSE)*VLOOKUP($C229,[2]!ExistingSat,MATCH($A229,[2]SATS!$C$10:$F$10,0)+1,FALSE)</f>
        <v>0</v>
      </c>
      <c r="L229" t="str">
        <f>VLOOKUP($F229&amp;$G229,Composite!$A$5:$Q$865,L$3,FALSE)</f>
        <v>ResCACPNW</v>
      </c>
      <c r="M229" s="31">
        <f>VLOOKUP($F229&amp;$G229,Composite!$A$5:$Q$865,M$3,FALSE)*VLOOKUP($C229,[2]!ExistingSat,MATCH($A229,[2]SATS!$C$10:$F$10,0)+1,FALSE)</f>
        <v>0</v>
      </c>
      <c r="N229" s="31">
        <f>VLOOKUP($F229&amp;$G229,Composite!$A$5:$Q$865,N$3,FALSE)*VLOOKUP($C229,[2]!ExistingSat,MATCH($A229,[2]SATS!$C$10:$F$10,0)+1,FALSE)</f>
        <v>0</v>
      </c>
      <c r="O229">
        <f>VLOOKUP($F229&amp;$G229,Composite!$A$5:$Q$865,O$3,FALSE)</f>
        <v>0</v>
      </c>
      <c r="P229" s="31">
        <f>VLOOKUP($F229&amp;$G229,Composite!$A$5:$Q$865,P$3,FALSE)*VLOOKUP($C229,[2]!ExistingSat,MATCH($A229,[2]SATS!$C$10:$F$10,0)+1,FALSE)</f>
        <v>0</v>
      </c>
      <c r="Q229">
        <f>VLOOKUP($F229&amp;$G229,Composite!$A$5:$Q$865,Q$3,FALSE)</f>
        <v>0</v>
      </c>
      <c r="R229" s="31">
        <f>VLOOKUP($F229&amp;$G229,Composite!$A$5:$Q$865,R$3,FALSE)*VLOOKUP($C229,[2]!ExistingSat,MATCH($A229,[2]SATS!$C$10:$F$10,0)+1,FALSE)</f>
        <v>0</v>
      </c>
      <c r="S229">
        <f>VLOOKUP($F229&amp;$G229,Composite!$A$5:$Q$865,S$3,FALSE)</f>
        <v>0</v>
      </c>
      <c r="T229" s="31">
        <f>VLOOKUP($F229&amp;$G229,Composite!$A$5:$Q$865,T$3,FALSE)*VLOOKUP($C229,[2]!ExistingSat,MATCH($A229,[2]SATS!$C$10:$F$10,0)+1,FALSE)</f>
        <v>0</v>
      </c>
    </row>
    <row r="230" spans="1:20">
      <c r="A230" t="s">
        <v>25</v>
      </c>
      <c r="B230" t="s">
        <v>1359</v>
      </c>
      <c r="C230" t="s">
        <v>66</v>
      </c>
      <c r="D230" t="s">
        <v>62</v>
      </c>
      <c r="E230" t="str">
        <f t="shared" si="4"/>
        <v>Zonal/DHPHZ3CFM50 Infiltration Reduction (cooling savings)</v>
      </c>
      <c r="F230" s="31" t="str">
        <f>Composite!B229</f>
        <v>Infiltration Reduction - CFM50 reduction - Heating Zone 3 (Zonal or DHP)</v>
      </c>
      <c r="G230" t="s">
        <v>890</v>
      </c>
      <c r="H230" s="31">
        <f>VLOOKUP($F230&amp;$G230,Composite!$A$5:$Q$865,H$3,FALSE)*VLOOKUP($C230,[2]!ExistingSat,MATCH($A230,[2]SATS!$C$10:$F$10,0)+1,FALSE)</f>
        <v>-2.1355079960873793</v>
      </c>
      <c r="I230">
        <f>VLOOKUP($F230&amp;$G230,Composite!$A$5:$Q$865,I$3,FALSE)</f>
        <v>15</v>
      </c>
      <c r="J230" s="31">
        <f>VLOOKUP($F230&amp;$G230,Composite!$A$5:$Q$865,J$3,FALSE)*VLOOKUP($C230,[2]!ExistingSat,MATCH($A230,[2]SATS!$C$10:$F$10,0)+1,FALSE)</f>
        <v>0</v>
      </c>
      <c r="K230" s="31">
        <f>VLOOKUP($F230&amp;$G230,Composite!$A$5:$Q$865,K$3,FALSE)*VLOOKUP($C230,[2]!ExistingSat,MATCH($A230,[2]SATS!$C$10:$F$10,0)+1,FALSE)</f>
        <v>0</v>
      </c>
      <c r="L230" t="str">
        <f>VLOOKUP($F230&amp;$G230,Composite!$A$5:$Q$865,L$3,FALSE)</f>
        <v>ResCACPNW</v>
      </c>
      <c r="M230" s="31">
        <f>VLOOKUP($F230&amp;$G230,Composite!$A$5:$Q$865,M$3,FALSE)*VLOOKUP($C230,[2]!ExistingSat,MATCH($A230,[2]SATS!$C$10:$F$10,0)+1,FALSE)</f>
        <v>0</v>
      </c>
      <c r="N230" s="31">
        <f>VLOOKUP($F230&amp;$G230,Composite!$A$5:$Q$865,N$3,FALSE)*VLOOKUP($C230,[2]!ExistingSat,MATCH($A230,[2]SATS!$C$10:$F$10,0)+1,FALSE)</f>
        <v>0</v>
      </c>
      <c r="O230">
        <f>VLOOKUP($F230&amp;$G230,Composite!$A$5:$Q$865,O$3,FALSE)</f>
        <v>0</v>
      </c>
      <c r="P230" s="31">
        <f>VLOOKUP($F230&amp;$G230,Composite!$A$5:$Q$865,P$3,FALSE)*VLOOKUP($C230,[2]!ExistingSat,MATCH($A230,[2]SATS!$C$10:$F$10,0)+1,FALSE)</f>
        <v>0</v>
      </c>
      <c r="Q230">
        <f>VLOOKUP($F230&amp;$G230,Composite!$A$5:$Q$865,Q$3,FALSE)</f>
        <v>0</v>
      </c>
      <c r="R230" s="31">
        <f>VLOOKUP($F230&amp;$G230,Composite!$A$5:$Q$865,R$3,FALSE)*VLOOKUP($C230,[2]!ExistingSat,MATCH($A230,[2]SATS!$C$10:$F$10,0)+1,FALSE)</f>
        <v>0</v>
      </c>
      <c r="S230">
        <f>VLOOKUP($F230&amp;$G230,Composite!$A$5:$Q$865,S$3,FALSE)</f>
        <v>0</v>
      </c>
      <c r="T230" s="31">
        <f>VLOOKUP($F230&amp;$G230,Composite!$A$5:$Q$865,T$3,FALSE)*VLOOKUP($C230,[2]!ExistingSat,MATCH($A230,[2]SATS!$C$10:$F$10,0)+1,FALSE)</f>
        <v>0</v>
      </c>
    </row>
    <row r="231" spans="1:20">
      <c r="A231" t="s">
        <v>25</v>
      </c>
      <c r="B231" t="s">
        <v>229</v>
      </c>
      <c r="C231" t="s">
        <v>28</v>
      </c>
      <c r="D231" t="s">
        <v>60</v>
      </c>
      <c r="E231" t="str">
        <f t="shared" si="4"/>
        <v>Heat PumpHZ1ATTIC R0 - R38 (cooling savings)</v>
      </c>
      <c r="F231" s="31" t="str">
        <f>Composite!B230</f>
        <v>Single Family Weatherization - Insulate Attic - R0 to R38 - Heating Zone 1 (Heat Pump)</v>
      </c>
      <c r="G231" t="s">
        <v>208</v>
      </c>
      <c r="H231" s="31">
        <f>VLOOKUP($F231&amp;$G231,Composite!$A$5:$Q$865,H$3,FALSE)*VLOOKUP($C231,[2]!ExistingSat,MATCH($A231,[2]SATS!$C$10:$F$10,0)+1,FALSE)</f>
        <v>159.26590784096229</v>
      </c>
      <c r="I231">
        <f>VLOOKUP($F231&amp;$G231,Composite!$A$5:$Q$865,I$3,FALSE)</f>
        <v>45</v>
      </c>
      <c r="J231" s="31">
        <f>VLOOKUP($F231&amp;$G231,Composite!$A$5:$Q$865,J$3,FALSE)*VLOOKUP($C231,[2]!ExistingSat,MATCH($A231,[2]SATS!$C$10:$F$10,0)+1,FALSE)</f>
        <v>0</v>
      </c>
      <c r="K231" s="31">
        <f>VLOOKUP($F231&amp;$G231,Composite!$A$5:$Q$865,K$3,FALSE)*VLOOKUP($C231,[2]!ExistingSat,MATCH($A231,[2]SATS!$C$10:$F$10,0)+1,FALSE)</f>
        <v>0</v>
      </c>
      <c r="L231" t="str">
        <f>VLOOKUP($F231&amp;$G231,Composite!$A$5:$Q$865,L$3,FALSE)</f>
        <v>ResCACPNW</v>
      </c>
      <c r="M231" s="31">
        <f>VLOOKUP($F231&amp;$G231,Composite!$A$5:$Q$865,M$3,FALSE)*VLOOKUP($C231,[2]!ExistingSat,MATCH($A231,[2]SATS!$C$10:$F$10,0)+1,FALSE)</f>
        <v>0</v>
      </c>
      <c r="N231" s="31">
        <f>VLOOKUP($F231&amp;$G231,Composite!$A$5:$Q$865,N$3,FALSE)*VLOOKUP($C231,[2]!ExistingSat,MATCH($A231,[2]SATS!$C$10:$F$10,0)+1,FALSE)</f>
        <v>0</v>
      </c>
      <c r="O231">
        <f>VLOOKUP($F231&amp;$G231,Composite!$A$5:$Q$865,O$3,FALSE)</f>
        <v>0</v>
      </c>
      <c r="P231" s="31">
        <f>VLOOKUP($F231&amp;$G231,Composite!$A$5:$Q$865,P$3,FALSE)*VLOOKUP($C231,[2]!ExistingSat,MATCH($A231,[2]SATS!$C$10:$F$10,0)+1,FALSE)</f>
        <v>0</v>
      </c>
      <c r="Q231">
        <f>VLOOKUP($F231&amp;$G231,Composite!$A$5:$Q$865,Q$3,FALSE)</f>
        <v>0</v>
      </c>
      <c r="R231" s="31">
        <f>VLOOKUP($F231&amp;$G231,Composite!$A$5:$Q$865,R$3,FALSE)*VLOOKUP($C231,[2]!ExistingSat,MATCH($A231,[2]SATS!$C$10:$F$10,0)+1,FALSE)</f>
        <v>0</v>
      </c>
      <c r="S231">
        <f>VLOOKUP($F231&amp;$G231,Composite!$A$5:$Q$865,S$3,FALSE)</f>
        <v>0</v>
      </c>
      <c r="T231" s="31">
        <f>VLOOKUP($F231&amp;$G231,Composite!$A$5:$Q$865,T$3,FALSE)*VLOOKUP($C231,[2]!ExistingSat,MATCH($A231,[2]SATS!$C$10:$F$10,0)+1,FALSE)</f>
        <v>0</v>
      </c>
    </row>
    <row r="232" spans="1:20">
      <c r="A232" t="s">
        <v>25</v>
      </c>
      <c r="B232" t="s">
        <v>229</v>
      </c>
      <c r="C232" t="s">
        <v>28</v>
      </c>
      <c r="D232" t="s">
        <v>60</v>
      </c>
      <c r="E232" t="str">
        <f t="shared" si="4"/>
        <v>Heat PumpHZ1ATTIC R0 - R49 (cooling savings)</v>
      </c>
      <c r="F232" s="31" t="str">
        <f>Composite!B231</f>
        <v>Single Family Weatherization - Insulate Attic - R0 to R49 - Heating Zone 1 (Heat Pump)</v>
      </c>
      <c r="G232" t="s">
        <v>210</v>
      </c>
      <c r="H232" s="31">
        <f>VLOOKUP($F232&amp;$G232,Composite!$A$5:$Q$865,H$3,FALSE)*VLOOKUP($C232,[2]!ExistingSat,MATCH($A232,[2]SATS!$C$10:$F$10,0)+1,FALSE)</f>
        <v>161.17458864254158</v>
      </c>
      <c r="I232">
        <f>VLOOKUP($F232&amp;$G232,Composite!$A$5:$Q$865,I$3,FALSE)</f>
        <v>45</v>
      </c>
      <c r="J232" s="31">
        <f>VLOOKUP($F232&amp;$G232,Composite!$A$5:$Q$865,J$3,FALSE)*VLOOKUP($C232,[2]!ExistingSat,MATCH($A232,[2]SATS!$C$10:$F$10,0)+1,FALSE)</f>
        <v>0</v>
      </c>
      <c r="K232" s="31">
        <f>VLOOKUP($F232&amp;$G232,Composite!$A$5:$Q$865,K$3,FALSE)*VLOOKUP($C232,[2]!ExistingSat,MATCH($A232,[2]SATS!$C$10:$F$10,0)+1,FALSE)</f>
        <v>0</v>
      </c>
      <c r="L232" t="str">
        <f>VLOOKUP($F232&amp;$G232,Composite!$A$5:$Q$865,L$3,FALSE)</f>
        <v>ResCACPNW</v>
      </c>
      <c r="M232" s="31">
        <f>VLOOKUP($F232&amp;$G232,Composite!$A$5:$Q$865,M$3,FALSE)*VLOOKUP($C232,[2]!ExistingSat,MATCH($A232,[2]SATS!$C$10:$F$10,0)+1,FALSE)</f>
        <v>0</v>
      </c>
      <c r="N232" s="31">
        <f>VLOOKUP($F232&amp;$G232,Composite!$A$5:$Q$865,N$3,FALSE)*VLOOKUP($C232,[2]!ExistingSat,MATCH($A232,[2]SATS!$C$10:$F$10,0)+1,FALSE)</f>
        <v>0</v>
      </c>
      <c r="O232">
        <f>VLOOKUP($F232&amp;$G232,Composite!$A$5:$Q$865,O$3,FALSE)</f>
        <v>0</v>
      </c>
      <c r="P232" s="31">
        <f>VLOOKUP($F232&amp;$G232,Composite!$A$5:$Q$865,P$3,FALSE)*VLOOKUP($C232,[2]!ExistingSat,MATCH($A232,[2]SATS!$C$10:$F$10,0)+1,FALSE)</f>
        <v>0</v>
      </c>
      <c r="Q232">
        <f>VLOOKUP($F232&amp;$G232,Composite!$A$5:$Q$865,Q$3,FALSE)</f>
        <v>0</v>
      </c>
      <c r="R232" s="31">
        <f>VLOOKUP($F232&amp;$G232,Composite!$A$5:$Q$865,R$3,FALSE)*VLOOKUP($C232,[2]!ExistingSat,MATCH($A232,[2]SATS!$C$10:$F$10,0)+1,FALSE)</f>
        <v>0</v>
      </c>
      <c r="S232">
        <f>VLOOKUP($F232&amp;$G232,Composite!$A$5:$Q$865,S$3,FALSE)</f>
        <v>0</v>
      </c>
      <c r="T232" s="31">
        <f>VLOOKUP($F232&amp;$G232,Composite!$A$5:$Q$865,T$3,FALSE)*VLOOKUP($C232,[2]!ExistingSat,MATCH($A232,[2]SATS!$C$10:$F$10,0)+1,FALSE)</f>
        <v>0</v>
      </c>
    </row>
    <row r="233" spans="1:20">
      <c r="A233" t="s">
        <v>25</v>
      </c>
      <c r="B233" t="s">
        <v>229</v>
      </c>
      <c r="C233" t="s">
        <v>28</v>
      </c>
      <c r="D233" t="s">
        <v>60</v>
      </c>
      <c r="E233" t="str">
        <f t="shared" si="4"/>
        <v>Heat PumpHZ1ATTIC R11 - R38 (cooling savings)</v>
      </c>
      <c r="F233" s="31" t="str">
        <f>Composite!B232</f>
        <v>Single Family Weatherization - Insulate Attic - R11 to R38 - Heating Zone 1 (Heat Pump)</v>
      </c>
      <c r="G233" t="s">
        <v>211</v>
      </c>
      <c r="H233" s="31">
        <f>VLOOKUP($F233&amp;$G233,Composite!$A$5:$Q$865,H$3,FALSE)*VLOOKUP($C233,[2]!ExistingSat,MATCH($A233,[2]SATS!$C$10:$F$10,0)+1,FALSE)</f>
        <v>23.146712395616969</v>
      </c>
      <c r="I233">
        <f>VLOOKUP($F233&amp;$G233,Composite!$A$5:$Q$865,I$3,FALSE)</f>
        <v>45</v>
      </c>
      <c r="J233" s="31">
        <f>VLOOKUP($F233&amp;$G233,Composite!$A$5:$Q$865,J$3,FALSE)*VLOOKUP($C233,[2]!ExistingSat,MATCH($A233,[2]SATS!$C$10:$F$10,0)+1,FALSE)</f>
        <v>0</v>
      </c>
      <c r="K233" s="31">
        <f>VLOOKUP($F233&amp;$G233,Composite!$A$5:$Q$865,K$3,FALSE)*VLOOKUP($C233,[2]!ExistingSat,MATCH($A233,[2]SATS!$C$10:$F$10,0)+1,FALSE)</f>
        <v>0</v>
      </c>
      <c r="L233" t="str">
        <f>VLOOKUP($F233&amp;$G233,Composite!$A$5:$Q$865,L$3,FALSE)</f>
        <v>ResCACPNW</v>
      </c>
      <c r="M233" s="31">
        <f>VLOOKUP($F233&amp;$G233,Composite!$A$5:$Q$865,M$3,FALSE)*VLOOKUP($C233,[2]!ExistingSat,MATCH($A233,[2]SATS!$C$10:$F$10,0)+1,FALSE)</f>
        <v>0</v>
      </c>
      <c r="N233" s="31">
        <f>VLOOKUP($F233&amp;$G233,Composite!$A$5:$Q$865,N$3,FALSE)*VLOOKUP($C233,[2]!ExistingSat,MATCH($A233,[2]SATS!$C$10:$F$10,0)+1,FALSE)</f>
        <v>0</v>
      </c>
      <c r="O233">
        <f>VLOOKUP($F233&amp;$G233,Composite!$A$5:$Q$865,O$3,FALSE)</f>
        <v>0</v>
      </c>
      <c r="P233" s="31">
        <f>VLOOKUP($F233&amp;$G233,Composite!$A$5:$Q$865,P$3,FALSE)*VLOOKUP($C233,[2]!ExistingSat,MATCH($A233,[2]SATS!$C$10:$F$10,0)+1,FALSE)</f>
        <v>0</v>
      </c>
      <c r="Q233">
        <f>VLOOKUP($F233&amp;$G233,Composite!$A$5:$Q$865,Q$3,FALSE)</f>
        <v>0</v>
      </c>
      <c r="R233" s="31">
        <f>VLOOKUP($F233&amp;$G233,Composite!$A$5:$Q$865,R$3,FALSE)*VLOOKUP($C233,[2]!ExistingSat,MATCH($A233,[2]SATS!$C$10:$F$10,0)+1,FALSE)</f>
        <v>0</v>
      </c>
      <c r="S233">
        <f>VLOOKUP($F233&amp;$G233,Composite!$A$5:$Q$865,S$3,FALSE)</f>
        <v>0</v>
      </c>
      <c r="T233" s="31">
        <f>VLOOKUP($F233&amp;$G233,Composite!$A$5:$Q$865,T$3,FALSE)*VLOOKUP($C233,[2]!ExistingSat,MATCH($A233,[2]SATS!$C$10:$F$10,0)+1,FALSE)</f>
        <v>0</v>
      </c>
    </row>
    <row r="234" spans="1:20">
      <c r="A234" t="s">
        <v>25</v>
      </c>
      <c r="B234" t="s">
        <v>229</v>
      </c>
      <c r="C234" t="s">
        <v>28</v>
      </c>
      <c r="D234" t="s">
        <v>60</v>
      </c>
      <c r="E234" t="str">
        <f t="shared" si="4"/>
        <v>Heat PumpHZ1ATTIC R11 - R49 (cooling savings)</v>
      </c>
      <c r="F234" s="31" t="str">
        <f>Composite!B233</f>
        <v>Single Family Weatherization - Insulate Attic - R11 to R49 - Heating Zone 1 (Heat Pump)</v>
      </c>
      <c r="G234" t="s">
        <v>212</v>
      </c>
      <c r="H234" s="31">
        <f>VLOOKUP($F234&amp;$G234,Composite!$A$5:$Q$865,H$3,FALSE)*VLOOKUP($C234,[2]!ExistingSat,MATCH($A234,[2]SATS!$C$10:$F$10,0)+1,FALSE)</f>
        <v>25.055393197196256</v>
      </c>
      <c r="I234">
        <f>VLOOKUP($F234&amp;$G234,Composite!$A$5:$Q$865,I$3,FALSE)</f>
        <v>45</v>
      </c>
      <c r="J234" s="31">
        <f>VLOOKUP($F234&amp;$G234,Composite!$A$5:$Q$865,J$3,FALSE)*VLOOKUP($C234,[2]!ExistingSat,MATCH($A234,[2]SATS!$C$10:$F$10,0)+1,FALSE)</f>
        <v>0</v>
      </c>
      <c r="K234" s="31">
        <f>VLOOKUP($F234&amp;$G234,Composite!$A$5:$Q$865,K$3,FALSE)*VLOOKUP($C234,[2]!ExistingSat,MATCH($A234,[2]SATS!$C$10:$F$10,0)+1,FALSE)</f>
        <v>0</v>
      </c>
      <c r="L234" t="str">
        <f>VLOOKUP($F234&amp;$G234,Composite!$A$5:$Q$865,L$3,FALSE)</f>
        <v>ResCACPNW</v>
      </c>
      <c r="M234" s="31">
        <f>VLOOKUP($F234&amp;$G234,Composite!$A$5:$Q$865,M$3,FALSE)*VLOOKUP($C234,[2]!ExistingSat,MATCH($A234,[2]SATS!$C$10:$F$10,0)+1,FALSE)</f>
        <v>0</v>
      </c>
      <c r="N234" s="31">
        <f>VLOOKUP($F234&amp;$G234,Composite!$A$5:$Q$865,N$3,FALSE)*VLOOKUP($C234,[2]!ExistingSat,MATCH($A234,[2]SATS!$C$10:$F$10,0)+1,FALSE)</f>
        <v>0</v>
      </c>
      <c r="O234">
        <f>VLOOKUP($F234&amp;$G234,Composite!$A$5:$Q$865,O$3,FALSE)</f>
        <v>0</v>
      </c>
      <c r="P234" s="31">
        <f>VLOOKUP($F234&amp;$G234,Composite!$A$5:$Q$865,P$3,FALSE)*VLOOKUP($C234,[2]!ExistingSat,MATCH($A234,[2]SATS!$C$10:$F$10,0)+1,FALSE)</f>
        <v>0</v>
      </c>
      <c r="Q234">
        <f>VLOOKUP($F234&amp;$G234,Composite!$A$5:$Q$865,Q$3,FALSE)</f>
        <v>0</v>
      </c>
      <c r="R234" s="31">
        <f>VLOOKUP($F234&amp;$G234,Composite!$A$5:$Q$865,R$3,FALSE)*VLOOKUP($C234,[2]!ExistingSat,MATCH($A234,[2]SATS!$C$10:$F$10,0)+1,FALSE)</f>
        <v>0</v>
      </c>
      <c r="S234">
        <f>VLOOKUP($F234&amp;$G234,Composite!$A$5:$Q$865,S$3,FALSE)</f>
        <v>0</v>
      </c>
      <c r="T234" s="31">
        <f>VLOOKUP($F234&amp;$G234,Composite!$A$5:$Q$865,T$3,FALSE)*VLOOKUP($C234,[2]!ExistingSat,MATCH($A234,[2]SATS!$C$10:$F$10,0)+1,FALSE)</f>
        <v>0</v>
      </c>
    </row>
    <row r="235" spans="1:20">
      <c r="A235" t="s">
        <v>25</v>
      </c>
      <c r="B235" t="s">
        <v>229</v>
      </c>
      <c r="C235" t="s">
        <v>28</v>
      </c>
      <c r="D235" t="s">
        <v>60</v>
      </c>
      <c r="E235" t="str">
        <f t="shared" si="4"/>
        <v>Heat PumpHZ1ATTIC R19 - R38 (cooling savings)</v>
      </c>
      <c r="F235" s="31" t="str">
        <f>Composite!B234</f>
        <v>Single Family Weatherization - Insulate Attic - R19 to R38 - Heating Zone 1 (Heat Pump)</v>
      </c>
      <c r="G235" t="s">
        <v>213</v>
      </c>
      <c r="H235" s="31">
        <f>VLOOKUP($F235&amp;$G235,Composite!$A$5:$Q$865,H$3,FALSE)*VLOOKUP($C235,[2]!ExistingSat,MATCH($A235,[2]SATS!$C$10:$F$10,0)+1,FALSE)</f>
        <v>9.446546015199031</v>
      </c>
      <c r="I235">
        <f>VLOOKUP($F235&amp;$G235,Composite!$A$5:$Q$865,I$3,FALSE)</f>
        <v>45</v>
      </c>
      <c r="J235" s="31">
        <f>VLOOKUP($F235&amp;$G235,Composite!$A$5:$Q$865,J$3,FALSE)*VLOOKUP($C235,[2]!ExistingSat,MATCH($A235,[2]SATS!$C$10:$F$10,0)+1,FALSE)</f>
        <v>0</v>
      </c>
      <c r="K235" s="31">
        <f>VLOOKUP($F235&amp;$G235,Composite!$A$5:$Q$865,K$3,FALSE)*VLOOKUP($C235,[2]!ExistingSat,MATCH($A235,[2]SATS!$C$10:$F$10,0)+1,FALSE)</f>
        <v>0</v>
      </c>
      <c r="L235" t="str">
        <f>VLOOKUP($F235&amp;$G235,Composite!$A$5:$Q$865,L$3,FALSE)</f>
        <v>ResCACPNW</v>
      </c>
      <c r="M235" s="31">
        <f>VLOOKUP($F235&amp;$G235,Composite!$A$5:$Q$865,M$3,FALSE)*VLOOKUP($C235,[2]!ExistingSat,MATCH($A235,[2]SATS!$C$10:$F$10,0)+1,FALSE)</f>
        <v>0</v>
      </c>
      <c r="N235" s="31">
        <f>VLOOKUP($F235&amp;$G235,Composite!$A$5:$Q$865,N$3,FALSE)*VLOOKUP($C235,[2]!ExistingSat,MATCH($A235,[2]SATS!$C$10:$F$10,0)+1,FALSE)</f>
        <v>0</v>
      </c>
      <c r="O235">
        <f>VLOOKUP($F235&amp;$G235,Composite!$A$5:$Q$865,O$3,FALSE)</f>
        <v>0</v>
      </c>
      <c r="P235" s="31">
        <f>VLOOKUP($F235&amp;$G235,Composite!$A$5:$Q$865,P$3,FALSE)*VLOOKUP($C235,[2]!ExistingSat,MATCH($A235,[2]SATS!$C$10:$F$10,0)+1,FALSE)</f>
        <v>0</v>
      </c>
      <c r="Q235">
        <f>VLOOKUP($F235&amp;$G235,Composite!$A$5:$Q$865,Q$3,FALSE)</f>
        <v>0</v>
      </c>
      <c r="R235" s="31">
        <f>VLOOKUP($F235&amp;$G235,Composite!$A$5:$Q$865,R$3,FALSE)*VLOOKUP($C235,[2]!ExistingSat,MATCH($A235,[2]SATS!$C$10:$F$10,0)+1,FALSE)</f>
        <v>0</v>
      </c>
      <c r="S235">
        <f>VLOOKUP($F235&amp;$G235,Composite!$A$5:$Q$865,S$3,FALSE)</f>
        <v>0</v>
      </c>
      <c r="T235" s="31">
        <f>VLOOKUP($F235&amp;$G235,Composite!$A$5:$Q$865,T$3,FALSE)*VLOOKUP($C235,[2]!ExistingSat,MATCH($A235,[2]SATS!$C$10:$F$10,0)+1,FALSE)</f>
        <v>0</v>
      </c>
    </row>
    <row r="236" spans="1:20">
      <c r="A236" t="s">
        <v>25</v>
      </c>
      <c r="B236" t="s">
        <v>229</v>
      </c>
      <c r="C236" t="s">
        <v>28</v>
      </c>
      <c r="D236" t="s">
        <v>60</v>
      </c>
      <c r="E236" t="str">
        <f t="shared" si="4"/>
        <v>Heat PumpHZ1ATTIC R19 - R49 (cooling savings)</v>
      </c>
      <c r="F236" s="31" t="str">
        <f>Composite!B235</f>
        <v>Single Family Weatherization - Insulate Attic - R19 to R49 - Heating Zone 1 (Heat Pump)</v>
      </c>
      <c r="G236" t="s">
        <v>214</v>
      </c>
      <c r="H236" s="31">
        <f>VLOOKUP($F236&amp;$G236,Composite!$A$5:$Q$865,H$3,FALSE)*VLOOKUP($C236,[2]!ExistingSat,MATCH($A236,[2]SATS!$C$10:$F$10,0)+1,FALSE)</f>
        <v>11.355226816778323</v>
      </c>
      <c r="I236">
        <f>VLOOKUP($F236&amp;$G236,Composite!$A$5:$Q$865,I$3,FALSE)</f>
        <v>45</v>
      </c>
      <c r="J236" s="31">
        <f>VLOOKUP($F236&amp;$G236,Composite!$A$5:$Q$865,J$3,FALSE)*VLOOKUP($C236,[2]!ExistingSat,MATCH($A236,[2]SATS!$C$10:$F$10,0)+1,FALSE)</f>
        <v>0</v>
      </c>
      <c r="K236" s="31">
        <f>VLOOKUP($F236&amp;$G236,Composite!$A$5:$Q$865,K$3,FALSE)*VLOOKUP($C236,[2]!ExistingSat,MATCH($A236,[2]SATS!$C$10:$F$10,0)+1,FALSE)</f>
        <v>0</v>
      </c>
      <c r="L236" t="str">
        <f>VLOOKUP($F236&amp;$G236,Composite!$A$5:$Q$865,L$3,FALSE)</f>
        <v>ResCACPNW</v>
      </c>
      <c r="M236" s="31">
        <f>VLOOKUP($F236&amp;$G236,Composite!$A$5:$Q$865,M$3,FALSE)*VLOOKUP($C236,[2]!ExistingSat,MATCH($A236,[2]SATS!$C$10:$F$10,0)+1,FALSE)</f>
        <v>0</v>
      </c>
      <c r="N236" s="31">
        <f>VLOOKUP($F236&amp;$G236,Composite!$A$5:$Q$865,N$3,FALSE)*VLOOKUP($C236,[2]!ExistingSat,MATCH($A236,[2]SATS!$C$10:$F$10,0)+1,FALSE)</f>
        <v>0</v>
      </c>
      <c r="O236">
        <f>VLOOKUP($F236&amp;$G236,Composite!$A$5:$Q$865,O$3,FALSE)</f>
        <v>0</v>
      </c>
      <c r="P236" s="31">
        <f>VLOOKUP($F236&amp;$G236,Composite!$A$5:$Q$865,P$3,FALSE)*VLOOKUP($C236,[2]!ExistingSat,MATCH($A236,[2]SATS!$C$10:$F$10,0)+1,FALSE)</f>
        <v>0</v>
      </c>
      <c r="Q236">
        <f>VLOOKUP($F236&amp;$G236,Composite!$A$5:$Q$865,Q$3,FALSE)</f>
        <v>0</v>
      </c>
      <c r="R236" s="31">
        <f>VLOOKUP($F236&amp;$G236,Composite!$A$5:$Q$865,R$3,FALSE)*VLOOKUP($C236,[2]!ExistingSat,MATCH($A236,[2]SATS!$C$10:$F$10,0)+1,FALSE)</f>
        <v>0</v>
      </c>
      <c r="S236">
        <f>VLOOKUP($F236&amp;$G236,Composite!$A$5:$Q$865,S$3,FALSE)</f>
        <v>0</v>
      </c>
      <c r="T236" s="31">
        <f>VLOOKUP($F236&amp;$G236,Composite!$A$5:$Q$865,T$3,FALSE)*VLOOKUP($C236,[2]!ExistingSat,MATCH($A236,[2]SATS!$C$10:$F$10,0)+1,FALSE)</f>
        <v>0</v>
      </c>
    </row>
    <row r="237" spans="1:20">
      <c r="A237" t="s">
        <v>25</v>
      </c>
      <c r="B237" t="s">
        <v>229</v>
      </c>
      <c r="C237" t="s">
        <v>64</v>
      </c>
      <c r="D237" t="s">
        <v>60</v>
      </c>
      <c r="E237" t="str">
        <f t="shared" si="4"/>
        <v>Heat PumpHZ1WALL R0 - R11 (cooling savings)</v>
      </c>
      <c r="F237" s="31" t="str">
        <f>Composite!B236</f>
        <v>Single Family Weatherization - Insulate Wall - R0 to R11 - Heating Zone 1 (Heat Pump)</v>
      </c>
      <c r="G237" t="s">
        <v>217</v>
      </c>
      <c r="H237" s="31">
        <f>VLOOKUP($F237&amp;$G237,Composite!$A$5:$Q$865,H$3,FALSE)*VLOOKUP($C237,[2]!ExistingSat,MATCH($A237,[2]SATS!$C$10:$F$10,0)+1,FALSE)</f>
        <v>29.545076426798737</v>
      </c>
      <c r="I237">
        <f>VLOOKUP($F237&amp;$G237,Composite!$A$5:$Q$865,I$3,FALSE)</f>
        <v>45</v>
      </c>
      <c r="J237" s="31">
        <f>VLOOKUP($F237&amp;$G237,Composite!$A$5:$Q$865,J$3,FALSE)*VLOOKUP($C237,[2]!ExistingSat,MATCH($A237,[2]SATS!$C$10:$F$10,0)+1,FALSE)</f>
        <v>0</v>
      </c>
      <c r="K237" s="31">
        <f>VLOOKUP($F237&amp;$G237,Composite!$A$5:$Q$865,K$3,FALSE)*VLOOKUP($C237,[2]!ExistingSat,MATCH($A237,[2]SATS!$C$10:$F$10,0)+1,FALSE)</f>
        <v>0</v>
      </c>
      <c r="L237" t="str">
        <f>VLOOKUP($F237&amp;$G237,Composite!$A$5:$Q$865,L$3,FALSE)</f>
        <v>ResCACPNW</v>
      </c>
      <c r="M237" s="31">
        <f>VLOOKUP($F237&amp;$G237,Composite!$A$5:$Q$865,M$3,FALSE)*VLOOKUP($C237,[2]!ExistingSat,MATCH($A237,[2]SATS!$C$10:$F$10,0)+1,FALSE)</f>
        <v>0</v>
      </c>
      <c r="N237" s="31">
        <f>VLOOKUP($F237&amp;$G237,Composite!$A$5:$Q$865,N$3,FALSE)*VLOOKUP($C237,[2]!ExistingSat,MATCH($A237,[2]SATS!$C$10:$F$10,0)+1,FALSE)</f>
        <v>0</v>
      </c>
      <c r="O237">
        <f>VLOOKUP($F237&amp;$G237,Composite!$A$5:$Q$865,O$3,FALSE)</f>
        <v>0</v>
      </c>
      <c r="P237" s="31">
        <f>VLOOKUP($F237&amp;$G237,Composite!$A$5:$Q$865,P$3,FALSE)*VLOOKUP($C237,[2]!ExistingSat,MATCH($A237,[2]SATS!$C$10:$F$10,0)+1,FALSE)</f>
        <v>0</v>
      </c>
      <c r="Q237">
        <f>VLOOKUP($F237&amp;$G237,Composite!$A$5:$Q$865,Q$3,FALSE)</f>
        <v>0</v>
      </c>
      <c r="R237" s="31">
        <f>VLOOKUP($F237&amp;$G237,Composite!$A$5:$Q$865,R$3,FALSE)*VLOOKUP($C237,[2]!ExistingSat,MATCH($A237,[2]SATS!$C$10:$F$10,0)+1,FALSE)</f>
        <v>0</v>
      </c>
      <c r="S237">
        <f>VLOOKUP($F237&amp;$G237,Composite!$A$5:$Q$865,S$3,FALSE)</f>
        <v>0</v>
      </c>
      <c r="T237" s="31">
        <f>VLOOKUP($F237&amp;$G237,Composite!$A$5:$Q$865,T$3,FALSE)*VLOOKUP($C237,[2]!ExistingSat,MATCH($A237,[2]SATS!$C$10:$F$10,0)+1,FALSE)</f>
        <v>0</v>
      </c>
    </row>
    <row r="238" spans="1:20">
      <c r="A238" t="s">
        <v>25</v>
      </c>
      <c r="B238" t="s">
        <v>229</v>
      </c>
      <c r="C238" t="s">
        <v>26</v>
      </c>
      <c r="D238" t="s">
        <v>60</v>
      </c>
      <c r="E238" t="str">
        <f t="shared" si="4"/>
        <v>Heat PumpHZ1FLOOR R0 - R19 (cooling savings)</v>
      </c>
      <c r="F238" s="31" t="str">
        <f>Composite!B237</f>
        <v>Single Family Weatherization - Insulate Floor - R0 to R19 - Heating Zone 1 (Heat Pump)</v>
      </c>
      <c r="G238" t="s">
        <v>218</v>
      </c>
      <c r="H238" s="31">
        <f>VLOOKUP($F238&amp;$G238,Composite!$A$5:$Q$865,H$3,FALSE)*VLOOKUP($C238,[2]!ExistingSat,MATCH($A238,[2]SATS!$C$10:$F$10,0)+1,FALSE)</f>
        <v>-21.382371536719816</v>
      </c>
      <c r="I238">
        <f>VLOOKUP($F238&amp;$G238,Composite!$A$5:$Q$865,I$3,FALSE)</f>
        <v>45</v>
      </c>
      <c r="J238" s="31">
        <f>VLOOKUP($F238&amp;$G238,Composite!$A$5:$Q$865,J$3,FALSE)*VLOOKUP($C238,[2]!ExistingSat,MATCH($A238,[2]SATS!$C$10:$F$10,0)+1,FALSE)</f>
        <v>0</v>
      </c>
      <c r="K238" s="31">
        <f>VLOOKUP($F238&amp;$G238,Composite!$A$5:$Q$865,K$3,FALSE)*VLOOKUP($C238,[2]!ExistingSat,MATCH($A238,[2]SATS!$C$10:$F$10,0)+1,FALSE)</f>
        <v>0</v>
      </c>
      <c r="L238" t="str">
        <f>VLOOKUP($F238&amp;$G238,Composite!$A$5:$Q$865,L$3,FALSE)</f>
        <v>ResCACPNW</v>
      </c>
      <c r="M238" s="31">
        <f>VLOOKUP($F238&amp;$G238,Composite!$A$5:$Q$865,M$3,FALSE)*VLOOKUP($C238,[2]!ExistingSat,MATCH($A238,[2]SATS!$C$10:$F$10,0)+1,FALSE)</f>
        <v>0</v>
      </c>
      <c r="N238" s="31">
        <f>VLOOKUP($F238&amp;$G238,Composite!$A$5:$Q$865,N$3,FALSE)*VLOOKUP($C238,[2]!ExistingSat,MATCH($A238,[2]SATS!$C$10:$F$10,0)+1,FALSE)</f>
        <v>0</v>
      </c>
      <c r="O238">
        <f>VLOOKUP($F238&amp;$G238,Composite!$A$5:$Q$865,O$3,FALSE)</f>
        <v>0</v>
      </c>
      <c r="P238" s="31">
        <f>VLOOKUP($F238&amp;$G238,Composite!$A$5:$Q$865,P$3,FALSE)*VLOOKUP($C238,[2]!ExistingSat,MATCH($A238,[2]SATS!$C$10:$F$10,0)+1,FALSE)</f>
        <v>0</v>
      </c>
      <c r="Q238">
        <f>VLOOKUP($F238&amp;$G238,Composite!$A$5:$Q$865,Q$3,FALSE)</f>
        <v>0</v>
      </c>
      <c r="R238" s="31">
        <f>VLOOKUP($F238&amp;$G238,Composite!$A$5:$Q$865,R$3,FALSE)*VLOOKUP($C238,[2]!ExistingSat,MATCH($A238,[2]SATS!$C$10:$F$10,0)+1,FALSE)</f>
        <v>0</v>
      </c>
      <c r="S238">
        <f>VLOOKUP($F238&amp;$G238,Composite!$A$5:$Q$865,S$3,FALSE)</f>
        <v>0</v>
      </c>
      <c r="T238" s="31">
        <f>VLOOKUP($F238&amp;$G238,Composite!$A$5:$Q$865,T$3,FALSE)*VLOOKUP($C238,[2]!ExistingSat,MATCH($A238,[2]SATS!$C$10:$F$10,0)+1,FALSE)</f>
        <v>0</v>
      </c>
    </row>
    <row r="239" spans="1:20">
      <c r="A239" t="s">
        <v>25</v>
      </c>
      <c r="B239" t="s">
        <v>229</v>
      </c>
      <c r="C239" t="s">
        <v>26</v>
      </c>
      <c r="D239" t="s">
        <v>60</v>
      </c>
      <c r="E239" t="str">
        <f t="shared" si="4"/>
        <v>Heat PumpHZ1FLOOR R0 - R25 (cooling savings)</v>
      </c>
      <c r="F239" s="31" t="str">
        <f>Composite!B238</f>
        <v>Single Family Weatherization - Insulate Floor - R0 to R25 - Heating Zone 1 (Heat Pump)</v>
      </c>
      <c r="G239" t="s">
        <v>219</v>
      </c>
      <c r="H239" s="31">
        <f>VLOOKUP($F239&amp;$G239,Composite!$A$5:$Q$865,H$3,FALSE)*VLOOKUP($C239,[2]!ExistingSat,MATCH($A239,[2]SATS!$C$10:$F$10,0)+1,FALSE)</f>
        <v>-23.748901325496568</v>
      </c>
      <c r="I239">
        <f>VLOOKUP($F239&amp;$G239,Composite!$A$5:$Q$865,I$3,FALSE)</f>
        <v>45</v>
      </c>
      <c r="J239" s="31">
        <f>VLOOKUP($F239&amp;$G239,Composite!$A$5:$Q$865,J$3,FALSE)*VLOOKUP($C239,[2]!ExistingSat,MATCH($A239,[2]SATS!$C$10:$F$10,0)+1,FALSE)</f>
        <v>0</v>
      </c>
      <c r="K239" s="31">
        <f>VLOOKUP($F239&amp;$G239,Composite!$A$5:$Q$865,K$3,FALSE)*VLOOKUP($C239,[2]!ExistingSat,MATCH($A239,[2]SATS!$C$10:$F$10,0)+1,FALSE)</f>
        <v>0</v>
      </c>
      <c r="L239" t="str">
        <f>VLOOKUP($F239&amp;$G239,Composite!$A$5:$Q$865,L$3,FALSE)</f>
        <v>ResCACPNW</v>
      </c>
      <c r="M239" s="31">
        <f>VLOOKUP($F239&amp;$G239,Composite!$A$5:$Q$865,M$3,FALSE)*VLOOKUP($C239,[2]!ExistingSat,MATCH($A239,[2]SATS!$C$10:$F$10,0)+1,FALSE)</f>
        <v>0</v>
      </c>
      <c r="N239" s="31">
        <f>VLOOKUP($F239&amp;$G239,Composite!$A$5:$Q$865,N$3,FALSE)*VLOOKUP($C239,[2]!ExistingSat,MATCH($A239,[2]SATS!$C$10:$F$10,0)+1,FALSE)</f>
        <v>0</v>
      </c>
      <c r="O239">
        <f>VLOOKUP($F239&amp;$G239,Composite!$A$5:$Q$865,O$3,FALSE)</f>
        <v>0</v>
      </c>
      <c r="P239" s="31">
        <f>VLOOKUP($F239&amp;$G239,Composite!$A$5:$Q$865,P$3,FALSE)*VLOOKUP($C239,[2]!ExistingSat,MATCH($A239,[2]SATS!$C$10:$F$10,0)+1,FALSE)</f>
        <v>0</v>
      </c>
      <c r="Q239">
        <f>VLOOKUP($F239&amp;$G239,Composite!$A$5:$Q$865,Q$3,FALSE)</f>
        <v>0</v>
      </c>
      <c r="R239" s="31">
        <f>VLOOKUP($F239&amp;$G239,Composite!$A$5:$Q$865,R$3,FALSE)*VLOOKUP($C239,[2]!ExistingSat,MATCH($A239,[2]SATS!$C$10:$F$10,0)+1,FALSE)</f>
        <v>0</v>
      </c>
      <c r="S239">
        <f>VLOOKUP($F239&amp;$G239,Composite!$A$5:$Q$865,S$3,FALSE)</f>
        <v>0</v>
      </c>
      <c r="T239" s="31">
        <f>VLOOKUP($F239&amp;$G239,Composite!$A$5:$Q$865,T$3,FALSE)*VLOOKUP($C239,[2]!ExistingSat,MATCH($A239,[2]SATS!$C$10:$F$10,0)+1,FALSE)</f>
        <v>0</v>
      </c>
    </row>
    <row r="240" spans="1:20">
      <c r="A240" t="s">
        <v>25</v>
      </c>
      <c r="B240" t="s">
        <v>229</v>
      </c>
      <c r="C240" t="s">
        <v>26</v>
      </c>
      <c r="D240" t="s">
        <v>60</v>
      </c>
      <c r="E240" t="str">
        <f t="shared" si="4"/>
        <v>Heat PumpHZ1FLOOR R0 - R30 (cooling savings)</v>
      </c>
      <c r="F240" s="31" t="str">
        <f>Composite!B239</f>
        <v>Single Family Weatherization - Insulate Floor - R0 to R30 - Heating Zone 1 (Heat Pump)</v>
      </c>
      <c r="G240" t="s">
        <v>220</v>
      </c>
      <c r="H240" s="31">
        <f>VLOOKUP($F240&amp;$G240,Composite!$A$5:$Q$865,H$3,FALSE)*VLOOKUP($C240,[2]!ExistingSat,MATCH($A240,[2]SATS!$C$10:$F$10,0)+1,FALSE)</f>
        <v>-25.29779560788668</v>
      </c>
      <c r="I240">
        <f>VLOOKUP($F240&amp;$G240,Composite!$A$5:$Q$865,I$3,FALSE)</f>
        <v>45</v>
      </c>
      <c r="J240" s="31">
        <f>VLOOKUP($F240&amp;$G240,Composite!$A$5:$Q$865,J$3,FALSE)*VLOOKUP($C240,[2]!ExistingSat,MATCH($A240,[2]SATS!$C$10:$F$10,0)+1,FALSE)</f>
        <v>0</v>
      </c>
      <c r="K240" s="31">
        <f>VLOOKUP($F240&amp;$G240,Composite!$A$5:$Q$865,K$3,FALSE)*VLOOKUP($C240,[2]!ExistingSat,MATCH($A240,[2]SATS!$C$10:$F$10,0)+1,FALSE)</f>
        <v>0</v>
      </c>
      <c r="L240" t="str">
        <f>VLOOKUP($F240&amp;$G240,Composite!$A$5:$Q$865,L$3,FALSE)</f>
        <v>ResCACPNW</v>
      </c>
      <c r="M240" s="31">
        <f>VLOOKUP($F240&amp;$G240,Composite!$A$5:$Q$865,M$3,FALSE)*VLOOKUP($C240,[2]!ExistingSat,MATCH($A240,[2]SATS!$C$10:$F$10,0)+1,FALSE)</f>
        <v>0</v>
      </c>
      <c r="N240" s="31">
        <f>VLOOKUP($F240&amp;$G240,Composite!$A$5:$Q$865,N$3,FALSE)*VLOOKUP($C240,[2]!ExistingSat,MATCH($A240,[2]SATS!$C$10:$F$10,0)+1,FALSE)</f>
        <v>0</v>
      </c>
      <c r="O240">
        <f>VLOOKUP($F240&amp;$G240,Composite!$A$5:$Q$865,O$3,FALSE)</f>
        <v>0</v>
      </c>
      <c r="P240" s="31">
        <f>VLOOKUP($F240&amp;$G240,Composite!$A$5:$Q$865,P$3,FALSE)*VLOOKUP($C240,[2]!ExistingSat,MATCH($A240,[2]SATS!$C$10:$F$10,0)+1,FALSE)</f>
        <v>0</v>
      </c>
      <c r="Q240">
        <f>VLOOKUP($F240&amp;$G240,Composite!$A$5:$Q$865,Q$3,FALSE)</f>
        <v>0</v>
      </c>
      <c r="R240" s="31">
        <f>VLOOKUP($F240&amp;$G240,Composite!$A$5:$Q$865,R$3,FALSE)*VLOOKUP($C240,[2]!ExistingSat,MATCH($A240,[2]SATS!$C$10:$F$10,0)+1,FALSE)</f>
        <v>0</v>
      </c>
      <c r="S240">
        <f>VLOOKUP($F240&amp;$G240,Composite!$A$5:$Q$865,S$3,FALSE)</f>
        <v>0</v>
      </c>
      <c r="T240" s="31">
        <f>VLOOKUP($F240&amp;$G240,Composite!$A$5:$Q$865,T$3,FALSE)*VLOOKUP($C240,[2]!ExistingSat,MATCH($A240,[2]SATS!$C$10:$F$10,0)+1,FALSE)</f>
        <v>0</v>
      </c>
    </row>
    <row r="241" spans="1:20">
      <c r="A241" t="s">
        <v>25</v>
      </c>
      <c r="B241" t="s">
        <v>229</v>
      </c>
      <c r="C241" t="s">
        <v>27</v>
      </c>
      <c r="D241" t="s">
        <v>60</v>
      </c>
      <c r="E241" t="str">
        <f t="shared" si="4"/>
        <v>Heat PumpHZ1WINDOW CL30 Prime Window Replacement of Single Pane Base (cooling savings)</v>
      </c>
      <c r="F241" s="31" t="str">
        <f>Composite!B240</f>
        <v>Windows - Single Pane to Class 30 - Heating Zone 1 (Heat Pump)</v>
      </c>
      <c r="G241" t="s">
        <v>221</v>
      </c>
      <c r="H241" s="31">
        <f>VLOOKUP($F241&amp;$G241,Composite!$A$5:$Q$865,H$3,FALSE)*VLOOKUP($C241,[2]!ExistingSat,MATCH($A241,[2]SATS!$C$10:$F$10,0)+1,FALSE)</f>
        <v>50.104920489259243</v>
      </c>
      <c r="I241">
        <f>VLOOKUP($F241&amp;$G241,Composite!$A$5:$Q$865,I$3,FALSE)</f>
        <v>45</v>
      </c>
      <c r="J241" s="31">
        <f>VLOOKUP($F241&amp;$G241,Composite!$A$5:$Q$865,J$3,FALSE)*VLOOKUP($C241,[2]!ExistingSat,MATCH($A241,[2]SATS!$C$10:$F$10,0)+1,FALSE)</f>
        <v>0</v>
      </c>
      <c r="K241" s="31">
        <f>VLOOKUP($F241&amp;$G241,Composite!$A$5:$Q$865,K$3,FALSE)*VLOOKUP($C241,[2]!ExistingSat,MATCH($A241,[2]SATS!$C$10:$F$10,0)+1,FALSE)</f>
        <v>0</v>
      </c>
      <c r="L241" t="str">
        <f>VLOOKUP($F241&amp;$G241,Composite!$A$5:$Q$865,L$3,FALSE)</f>
        <v>ResCACPNW</v>
      </c>
      <c r="M241" s="31">
        <f>VLOOKUP($F241&amp;$G241,Composite!$A$5:$Q$865,M$3,FALSE)*VLOOKUP($C241,[2]!ExistingSat,MATCH($A241,[2]SATS!$C$10:$F$10,0)+1,FALSE)</f>
        <v>0</v>
      </c>
      <c r="N241" s="31">
        <f>VLOOKUP($F241&amp;$G241,Composite!$A$5:$Q$865,N$3,FALSE)*VLOOKUP($C241,[2]!ExistingSat,MATCH($A241,[2]SATS!$C$10:$F$10,0)+1,FALSE)</f>
        <v>0</v>
      </c>
      <c r="O241">
        <f>VLOOKUP($F241&amp;$G241,Composite!$A$5:$Q$865,O$3,FALSE)</f>
        <v>0</v>
      </c>
      <c r="P241" s="31">
        <f>VLOOKUP($F241&amp;$G241,Composite!$A$5:$Q$865,P$3,FALSE)*VLOOKUP($C241,[2]!ExistingSat,MATCH($A241,[2]SATS!$C$10:$F$10,0)+1,FALSE)</f>
        <v>0</v>
      </c>
      <c r="Q241">
        <f>VLOOKUP($F241&amp;$G241,Composite!$A$5:$Q$865,Q$3,FALSE)</f>
        <v>0</v>
      </c>
      <c r="R241" s="31">
        <f>VLOOKUP($F241&amp;$G241,Composite!$A$5:$Q$865,R$3,FALSE)*VLOOKUP($C241,[2]!ExistingSat,MATCH($A241,[2]SATS!$C$10:$F$10,0)+1,FALSE)</f>
        <v>0</v>
      </c>
      <c r="S241">
        <f>VLOOKUP($F241&amp;$G241,Composite!$A$5:$Q$865,S$3,FALSE)</f>
        <v>0</v>
      </c>
      <c r="T241" s="31">
        <f>VLOOKUP($F241&amp;$G241,Composite!$A$5:$Q$865,T$3,FALSE)*VLOOKUP($C241,[2]!ExistingSat,MATCH($A241,[2]SATS!$C$10:$F$10,0)+1,FALSE)</f>
        <v>0</v>
      </c>
    </row>
    <row r="242" spans="1:20">
      <c r="A242" t="s">
        <v>25</v>
      </c>
      <c r="B242" t="s">
        <v>229</v>
      </c>
      <c r="C242" t="s">
        <v>27</v>
      </c>
      <c r="D242" t="s">
        <v>60</v>
      </c>
      <c r="E242" t="str">
        <f t="shared" si="4"/>
        <v>Heat PumpHZ1WINDOW CL30 Prime Window Replacement of Double Pane Base (cooling savings)</v>
      </c>
      <c r="F242" s="31" t="str">
        <f>Composite!B241</f>
        <v>Windows - Double Pane to Class 30 - Heating Zone 1 (Heat Pump)</v>
      </c>
      <c r="G242" t="s">
        <v>222</v>
      </c>
      <c r="H242" s="31">
        <f>VLOOKUP($F242&amp;$G242,Composite!$A$5:$Q$865,H$3,FALSE)*VLOOKUP($C242,[2]!ExistingSat,MATCH($A242,[2]SATS!$C$10:$F$10,0)+1,FALSE)</f>
        <v>61.245120736732098</v>
      </c>
      <c r="I242">
        <f>VLOOKUP($F242&amp;$G242,Composite!$A$5:$Q$865,I$3,FALSE)</f>
        <v>45</v>
      </c>
      <c r="J242" s="31">
        <f>VLOOKUP($F242&amp;$G242,Composite!$A$5:$Q$865,J$3,FALSE)*VLOOKUP($C242,[2]!ExistingSat,MATCH($A242,[2]SATS!$C$10:$F$10,0)+1,FALSE)</f>
        <v>0</v>
      </c>
      <c r="K242" s="31">
        <f>VLOOKUP($F242&amp;$G242,Composite!$A$5:$Q$865,K$3,FALSE)*VLOOKUP($C242,[2]!ExistingSat,MATCH($A242,[2]SATS!$C$10:$F$10,0)+1,FALSE)</f>
        <v>0</v>
      </c>
      <c r="L242" t="str">
        <f>VLOOKUP($F242&amp;$G242,Composite!$A$5:$Q$865,L$3,FALSE)</f>
        <v>ResCACPNW</v>
      </c>
      <c r="M242" s="31">
        <f>VLOOKUP($F242&amp;$G242,Composite!$A$5:$Q$865,M$3,FALSE)*VLOOKUP($C242,[2]!ExistingSat,MATCH($A242,[2]SATS!$C$10:$F$10,0)+1,FALSE)</f>
        <v>0</v>
      </c>
      <c r="N242" s="31">
        <f>VLOOKUP($F242&amp;$G242,Composite!$A$5:$Q$865,N$3,FALSE)*VLOOKUP($C242,[2]!ExistingSat,MATCH($A242,[2]SATS!$C$10:$F$10,0)+1,FALSE)</f>
        <v>0</v>
      </c>
      <c r="O242">
        <f>VLOOKUP($F242&amp;$G242,Composite!$A$5:$Q$865,O$3,FALSE)</f>
        <v>0</v>
      </c>
      <c r="P242" s="31">
        <f>VLOOKUP($F242&amp;$G242,Composite!$A$5:$Q$865,P$3,FALSE)*VLOOKUP($C242,[2]!ExistingSat,MATCH($A242,[2]SATS!$C$10:$F$10,0)+1,FALSE)</f>
        <v>0</v>
      </c>
      <c r="Q242">
        <f>VLOOKUP($F242&amp;$G242,Composite!$A$5:$Q$865,Q$3,FALSE)</f>
        <v>0</v>
      </c>
      <c r="R242" s="31">
        <f>VLOOKUP($F242&amp;$G242,Composite!$A$5:$Q$865,R$3,FALSE)*VLOOKUP($C242,[2]!ExistingSat,MATCH($A242,[2]SATS!$C$10:$F$10,0)+1,FALSE)</f>
        <v>0</v>
      </c>
      <c r="S242">
        <f>VLOOKUP($F242&amp;$G242,Composite!$A$5:$Q$865,S$3,FALSE)</f>
        <v>0</v>
      </c>
      <c r="T242" s="31">
        <f>VLOOKUP($F242&amp;$G242,Composite!$A$5:$Q$865,T$3,FALSE)*VLOOKUP($C242,[2]!ExistingSat,MATCH($A242,[2]SATS!$C$10:$F$10,0)+1,FALSE)</f>
        <v>0</v>
      </c>
    </row>
    <row r="243" spans="1:20">
      <c r="A243" t="s">
        <v>25</v>
      </c>
      <c r="B243" t="s">
        <v>229</v>
      </c>
      <c r="C243" t="s">
        <v>27</v>
      </c>
      <c r="D243" t="s">
        <v>60</v>
      </c>
      <c r="E243" t="str">
        <f t="shared" si="4"/>
        <v>Heat PumpHZ1WINDOW CL22 Prime Window Replacement of Single Pane Base (cooling savings)</v>
      </c>
      <c r="F243" s="31" t="str">
        <f>Composite!B242</f>
        <v>Windows - Single Pane to Class 22 - Heating Zone 1 (Heat Pump)</v>
      </c>
      <c r="G243" t="s">
        <v>224</v>
      </c>
      <c r="H243" s="31">
        <f>VLOOKUP($F243&amp;$G243,Composite!$A$5:$Q$865,H$3,FALSE)*VLOOKUP($C243,[2]!ExistingSat,MATCH($A243,[2]SATS!$C$10:$F$10,0)+1,FALSE)</f>
        <v>54.021344143177963</v>
      </c>
      <c r="I243">
        <f>VLOOKUP($F243&amp;$G243,Composite!$A$5:$Q$865,I$3,FALSE)</f>
        <v>45</v>
      </c>
      <c r="J243" s="31">
        <f>VLOOKUP($F243&amp;$G243,Composite!$A$5:$Q$865,J$3,FALSE)*VLOOKUP($C243,[2]!ExistingSat,MATCH($A243,[2]SATS!$C$10:$F$10,0)+1,FALSE)</f>
        <v>0</v>
      </c>
      <c r="K243" s="31">
        <f>VLOOKUP($F243&amp;$G243,Composite!$A$5:$Q$865,K$3,FALSE)*VLOOKUP($C243,[2]!ExistingSat,MATCH($A243,[2]SATS!$C$10:$F$10,0)+1,FALSE)</f>
        <v>0</v>
      </c>
      <c r="L243" t="str">
        <f>VLOOKUP($F243&amp;$G243,Composite!$A$5:$Q$865,L$3,FALSE)</f>
        <v>ResCACPNW</v>
      </c>
      <c r="M243" s="31">
        <f>VLOOKUP($F243&amp;$G243,Composite!$A$5:$Q$865,M$3,FALSE)*VLOOKUP($C243,[2]!ExistingSat,MATCH($A243,[2]SATS!$C$10:$F$10,0)+1,FALSE)</f>
        <v>0</v>
      </c>
      <c r="N243" s="31">
        <f>VLOOKUP($F243&amp;$G243,Composite!$A$5:$Q$865,N$3,FALSE)*VLOOKUP($C243,[2]!ExistingSat,MATCH($A243,[2]SATS!$C$10:$F$10,0)+1,FALSE)</f>
        <v>0</v>
      </c>
      <c r="O243">
        <f>VLOOKUP($F243&amp;$G243,Composite!$A$5:$Q$865,O$3,FALSE)</f>
        <v>0</v>
      </c>
      <c r="P243" s="31">
        <f>VLOOKUP($F243&amp;$G243,Composite!$A$5:$Q$865,P$3,FALSE)*VLOOKUP($C243,[2]!ExistingSat,MATCH($A243,[2]SATS!$C$10:$F$10,0)+1,FALSE)</f>
        <v>0</v>
      </c>
      <c r="Q243">
        <f>VLOOKUP($F243&amp;$G243,Composite!$A$5:$Q$865,Q$3,FALSE)</f>
        <v>0</v>
      </c>
      <c r="R243" s="31">
        <f>VLOOKUP($F243&amp;$G243,Composite!$A$5:$Q$865,R$3,FALSE)*VLOOKUP($C243,[2]!ExistingSat,MATCH($A243,[2]SATS!$C$10:$F$10,0)+1,FALSE)</f>
        <v>0</v>
      </c>
      <c r="S243">
        <f>VLOOKUP($F243&amp;$G243,Composite!$A$5:$Q$865,S$3,FALSE)</f>
        <v>0</v>
      </c>
      <c r="T243" s="31">
        <f>VLOOKUP($F243&amp;$G243,Composite!$A$5:$Q$865,T$3,FALSE)*VLOOKUP($C243,[2]!ExistingSat,MATCH($A243,[2]SATS!$C$10:$F$10,0)+1,FALSE)</f>
        <v>0</v>
      </c>
    </row>
    <row r="244" spans="1:20">
      <c r="A244" t="s">
        <v>25</v>
      </c>
      <c r="B244" t="s">
        <v>229</v>
      </c>
      <c r="C244" t="s">
        <v>27</v>
      </c>
      <c r="D244" t="s">
        <v>60</v>
      </c>
      <c r="E244" t="str">
        <f t="shared" si="4"/>
        <v>Heat PumpHZ1WINDOW CL22 Prime Window Replacement of Double Pane Base (cooling savings)</v>
      </c>
      <c r="F244" s="31" t="str">
        <f>Composite!B243</f>
        <v>Windows - Double Pane to Class 22 - Heating Zone 1 (Heat Pump)</v>
      </c>
      <c r="G244" t="s">
        <v>225</v>
      </c>
      <c r="H244" s="31">
        <f>VLOOKUP($F244&amp;$G244,Composite!$A$5:$Q$865,H$3,FALSE)*VLOOKUP($C244,[2]!ExistingSat,MATCH($A244,[2]SATS!$C$10:$F$10,0)+1,FALSE)</f>
        <v>65.161544390650832</v>
      </c>
      <c r="I244">
        <f>VLOOKUP($F244&amp;$G244,Composite!$A$5:$Q$865,I$3,FALSE)</f>
        <v>45</v>
      </c>
      <c r="J244" s="31">
        <f>VLOOKUP($F244&amp;$G244,Composite!$A$5:$Q$865,J$3,FALSE)*VLOOKUP($C244,[2]!ExistingSat,MATCH($A244,[2]SATS!$C$10:$F$10,0)+1,FALSE)</f>
        <v>0</v>
      </c>
      <c r="K244" s="31">
        <f>VLOOKUP($F244&amp;$G244,Composite!$A$5:$Q$865,K$3,FALSE)*VLOOKUP($C244,[2]!ExistingSat,MATCH($A244,[2]SATS!$C$10:$F$10,0)+1,FALSE)</f>
        <v>0</v>
      </c>
      <c r="L244" t="str">
        <f>VLOOKUP($F244&amp;$G244,Composite!$A$5:$Q$865,L$3,FALSE)</f>
        <v>ResCACPNW</v>
      </c>
      <c r="M244" s="31">
        <f>VLOOKUP($F244&amp;$G244,Composite!$A$5:$Q$865,M$3,FALSE)*VLOOKUP($C244,[2]!ExistingSat,MATCH($A244,[2]SATS!$C$10:$F$10,0)+1,FALSE)</f>
        <v>0</v>
      </c>
      <c r="N244" s="31">
        <f>VLOOKUP($F244&amp;$G244,Composite!$A$5:$Q$865,N$3,FALSE)*VLOOKUP($C244,[2]!ExistingSat,MATCH($A244,[2]SATS!$C$10:$F$10,0)+1,FALSE)</f>
        <v>0</v>
      </c>
      <c r="O244">
        <f>VLOOKUP($F244&amp;$G244,Composite!$A$5:$Q$865,O$3,FALSE)</f>
        <v>0</v>
      </c>
      <c r="P244" s="31">
        <f>VLOOKUP($F244&amp;$G244,Composite!$A$5:$Q$865,P$3,FALSE)*VLOOKUP($C244,[2]!ExistingSat,MATCH($A244,[2]SATS!$C$10:$F$10,0)+1,FALSE)</f>
        <v>0</v>
      </c>
      <c r="Q244">
        <f>VLOOKUP($F244&amp;$G244,Composite!$A$5:$Q$865,Q$3,FALSE)</f>
        <v>0</v>
      </c>
      <c r="R244" s="31">
        <f>VLOOKUP($F244&amp;$G244,Composite!$A$5:$Q$865,R$3,FALSE)*VLOOKUP($C244,[2]!ExistingSat,MATCH($A244,[2]SATS!$C$10:$F$10,0)+1,FALSE)</f>
        <v>0</v>
      </c>
      <c r="S244">
        <f>VLOOKUP($F244&amp;$G244,Composite!$A$5:$Q$865,S$3,FALSE)</f>
        <v>0</v>
      </c>
      <c r="T244" s="31">
        <f>VLOOKUP($F244&amp;$G244,Composite!$A$5:$Q$865,T$3,FALSE)*VLOOKUP($C244,[2]!ExistingSat,MATCH($A244,[2]SATS!$C$10:$F$10,0)+1,FALSE)</f>
        <v>0</v>
      </c>
    </row>
    <row r="245" spans="1:20">
      <c r="A245" t="s">
        <v>25</v>
      </c>
      <c r="B245" t="s">
        <v>229</v>
      </c>
      <c r="C245" t="s">
        <v>66</v>
      </c>
      <c r="D245" t="s">
        <v>60</v>
      </c>
      <c r="E245" t="str">
        <f t="shared" ref="E245:E275" si="5">B245&amp;D245&amp;G245</f>
        <v>Heat PumpHZ1CFM50 Infiltration Reduction (cooling savings)</v>
      </c>
      <c r="F245" s="31" t="str">
        <f>Composite!B244</f>
        <v>Infiltration Reduction - CFM50 reduction - Heating Zone 1 (Heat Pump)</v>
      </c>
      <c r="G245" t="s">
        <v>890</v>
      </c>
      <c r="H245" s="31">
        <f>VLOOKUP($F245&amp;$G245,Composite!$A$5:$Q$865,H$3,FALSE)*VLOOKUP($C245,[2]!ExistingSat,MATCH($A245,[2]SATS!$C$10:$F$10,0)+1,FALSE)</f>
        <v>5.267623700304938</v>
      </c>
      <c r="I245">
        <f>VLOOKUP($F245&amp;$G245,Composite!$A$5:$Q$865,I$3,FALSE)</f>
        <v>15</v>
      </c>
      <c r="J245" s="31">
        <f>VLOOKUP($F245&amp;$G245,Composite!$A$5:$Q$865,J$3,FALSE)*VLOOKUP($C245,[2]!ExistingSat,MATCH($A245,[2]SATS!$C$10:$F$10,0)+1,FALSE)</f>
        <v>0</v>
      </c>
      <c r="K245" s="31">
        <f>VLOOKUP($F245&amp;$G245,Composite!$A$5:$Q$865,K$3,FALSE)*VLOOKUP($C245,[2]!ExistingSat,MATCH($A245,[2]SATS!$C$10:$F$10,0)+1,FALSE)</f>
        <v>0</v>
      </c>
      <c r="L245" t="str">
        <f>VLOOKUP($F245&amp;$G245,Composite!$A$5:$Q$865,L$3,FALSE)</f>
        <v>ResCACPNW</v>
      </c>
      <c r="M245" s="31">
        <f>VLOOKUP($F245&amp;$G245,Composite!$A$5:$Q$865,M$3,FALSE)*VLOOKUP($C245,[2]!ExistingSat,MATCH($A245,[2]SATS!$C$10:$F$10,0)+1,FALSE)</f>
        <v>0</v>
      </c>
      <c r="N245" s="31">
        <f>VLOOKUP($F245&amp;$G245,Composite!$A$5:$Q$865,N$3,FALSE)*VLOOKUP($C245,[2]!ExistingSat,MATCH($A245,[2]SATS!$C$10:$F$10,0)+1,FALSE)</f>
        <v>0</v>
      </c>
      <c r="O245">
        <f>VLOOKUP($F245&amp;$G245,Composite!$A$5:$Q$865,O$3,FALSE)</f>
        <v>0</v>
      </c>
      <c r="P245" s="31">
        <f>VLOOKUP($F245&amp;$G245,Composite!$A$5:$Q$865,P$3,FALSE)*VLOOKUP($C245,[2]!ExistingSat,MATCH($A245,[2]SATS!$C$10:$F$10,0)+1,FALSE)</f>
        <v>0</v>
      </c>
      <c r="Q245">
        <f>VLOOKUP($F245&amp;$G245,Composite!$A$5:$Q$865,Q$3,FALSE)</f>
        <v>0</v>
      </c>
      <c r="R245" s="31">
        <f>VLOOKUP($F245&amp;$G245,Composite!$A$5:$Q$865,R$3,FALSE)*VLOOKUP($C245,[2]!ExistingSat,MATCH($A245,[2]SATS!$C$10:$F$10,0)+1,FALSE)</f>
        <v>0</v>
      </c>
      <c r="S245">
        <f>VLOOKUP($F245&amp;$G245,Composite!$A$5:$Q$865,S$3,FALSE)</f>
        <v>0</v>
      </c>
      <c r="T245" s="31">
        <f>VLOOKUP($F245&amp;$G245,Composite!$A$5:$Q$865,T$3,FALSE)*VLOOKUP($C245,[2]!ExistingSat,MATCH($A245,[2]SATS!$C$10:$F$10,0)+1,FALSE)</f>
        <v>0</v>
      </c>
    </row>
    <row r="246" spans="1:20">
      <c r="A246" t="s">
        <v>25</v>
      </c>
      <c r="B246" t="s">
        <v>229</v>
      </c>
      <c r="C246" t="s">
        <v>28</v>
      </c>
      <c r="D246" t="s">
        <v>61</v>
      </c>
      <c r="E246" t="str">
        <f t="shared" si="5"/>
        <v>Heat PumpHZ2ATTIC R0 - R38 (cooling savings)</v>
      </c>
      <c r="F246" s="31" t="str">
        <f>Composite!B245</f>
        <v>Single Family Weatherization - Insulate Attic - R0 to R38 - Heating Zone 2 (Heat Pump)</v>
      </c>
      <c r="G246" t="s">
        <v>208</v>
      </c>
      <c r="H246" s="31">
        <f>VLOOKUP($F246&amp;$G246,Composite!$A$5:$Q$865,H$3,FALSE)*VLOOKUP($C246,[2]!ExistingSat,MATCH($A246,[2]SATS!$C$10:$F$10,0)+1,FALSE)</f>
        <v>229.21684784899278</v>
      </c>
      <c r="I246">
        <f>VLOOKUP($F246&amp;$G246,Composite!$A$5:$Q$865,I$3,FALSE)</f>
        <v>45</v>
      </c>
      <c r="J246" s="31">
        <f>VLOOKUP($F246&amp;$G246,Composite!$A$5:$Q$865,J$3,FALSE)*VLOOKUP($C246,[2]!ExistingSat,MATCH($A246,[2]SATS!$C$10:$F$10,0)+1,FALSE)</f>
        <v>0</v>
      </c>
      <c r="K246" s="31">
        <f>VLOOKUP($F246&amp;$G246,Composite!$A$5:$Q$865,K$3,FALSE)*VLOOKUP($C246,[2]!ExistingSat,MATCH($A246,[2]SATS!$C$10:$F$10,0)+1,FALSE)</f>
        <v>0</v>
      </c>
      <c r="L246" t="str">
        <f>VLOOKUP($F246&amp;$G246,Composite!$A$5:$Q$865,L$3,FALSE)</f>
        <v>ResCACPNW</v>
      </c>
      <c r="M246" s="31">
        <f>VLOOKUP($F246&amp;$G246,Composite!$A$5:$Q$865,M$3,FALSE)*VLOOKUP($C246,[2]!ExistingSat,MATCH($A246,[2]SATS!$C$10:$F$10,0)+1,FALSE)</f>
        <v>0</v>
      </c>
      <c r="N246" s="31">
        <f>VLOOKUP($F246&amp;$G246,Composite!$A$5:$Q$865,N$3,FALSE)*VLOOKUP($C246,[2]!ExistingSat,MATCH($A246,[2]SATS!$C$10:$F$10,0)+1,FALSE)</f>
        <v>0</v>
      </c>
      <c r="O246">
        <f>VLOOKUP($F246&amp;$G246,Composite!$A$5:$Q$865,O$3,FALSE)</f>
        <v>0</v>
      </c>
      <c r="P246" s="31">
        <f>VLOOKUP($F246&amp;$G246,Composite!$A$5:$Q$865,P$3,FALSE)*VLOOKUP($C246,[2]!ExistingSat,MATCH($A246,[2]SATS!$C$10:$F$10,0)+1,FALSE)</f>
        <v>0</v>
      </c>
      <c r="Q246">
        <f>VLOOKUP($F246&amp;$G246,Composite!$A$5:$Q$865,Q$3,FALSE)</f>
        <v>0</v>
      </c>
      <c r="R246" s="31">
        <f>VLOOKUP($F246&amp;$G246,Composite!$A$5:$Q$865,R$3,FALSE)*VLOOKUP($C246,[2]!ExistingSat,MATCH($A246,[2]SATS!$C$10:$F$10,0)+1,FALSE)</f>
        <v>0</v>
      </c>
      <c r="S246">
        <f>VLOOKUP($F246&amp;$G246,Composite!$A$5:$Q$865,S$3,FALSE)</f>
        <v>0</v>
      </c>
      <c r="T246" s="31">
        <f>VLOOKUP($F246&amp;$G246,Composite!$A$5:$Q$865,T$3,FALSE)*VLOOKUP($C246,[2]!ExistingSat,MATCH($A246,[2]SATS!$C$10:$F$10,0)+1,FALSE)</f>
        <v>0</v>
      </c>
    </row>
    <row r="247" spans="1:20">
      <c r="A247" t="s">
        <v>25</v>
      </c>
      <c r="B247" t="s">
        <v>229</v>
      </c>
      <c r="C247" t="s">
        <v>28</v>
      </c>
      <c r="D247" t="s">
        <v>61</v>
      </c>
      <c r="E247" t="str">
        <f t="shared" si="5"/>
        <v>Heat PumpHZ2ATTIC R0 - R49 (cooling savings)</v>
      </c>
      <c r="F247" s="31" t="str">
        <f>Composite!B246</f>
        <v>Single Family Weatherization - Insulate Attic - R0 to R49 - Heating Zone 2 (Heat Pump)</v>
      </c>
      <c r="G247" t="s">
        <v>210</v>
      </c>
      <c r="H247" s="31">
        <f>VLOOKUP($F247&amp;$G247,Composite!$A$5:$Q$865,H$3,FALSE)*VLOOKUP($C247,[2]!ExistingSat,MATCH($A247,[2]SATS!$C$10:$F$10,0)+1,FALSE)</f>
        <v>231.93114376731344</v>
      </c>
      <c r="I247">
        <f>VLOOKUP($F247&amp;$G247,Composite!$A$5:$Q$865,I$3,FALSE)</f>
        <v>45</v>
      </c>
      <c r="J247" s="31">
        <f>VLOOKUP($F247&amp;$G247,Composite!$A$5:$Q$865,J$3,FALSE)*VLOOKUP($C247,[2]!ExistingSat,MATCH($A247,[2]SATS!$C$10:$F$10,0)+1,FALSE)</f>
        <v>0</v>
      </c>
      <c r="K247" s="31">
        <f>VLOOKUP($F247&amp;$G247,Composite!$A$5:$Q$865,K$3,FALSE)*VLOOKUP($C247,[2]!ExistingSat,MATCH($A247,[2]SATS!$C$10:$F$10,0)+1,FALSE)</f>
        <v>0</v>
      </c>
      <c r="L247" t="str">
        <f>VLOOKUP($F247&amp;$G247,Composite!$A$5:$Q$865,L$3,FALSE)</f>
        <v>ResCACPNW</v>
      </c>
      <c r="M247" s="31">
        <f>VLOOKUP($F247&amp;$G247,Composite!$A$5:$Q$865,M$3,FALSE)*VLOOKUP($C247,[2]!ExistingSat,MATCH($A247,[2]SATS!$C$10:$F$10,0)+1,FALSE)</f>
        <v>0</v>
      </c>
      <c r="N247" s="31">
        <f>VLOOKUP($F247&amp;$G247,Composite!$A$5:$Q$865,N$3,FALSE)*VLOOKUP($C247,[2]!ExistingSat,MATCH($A247,[2]SATS!$C$10:$F$10,0)+1,FALSE)</f>
        <v>0</v>
      </c>
      <c r="O247">
        <f>VLOOKUP($F247&amp;$G247,Composite!$A$5:$Q$865,O$3,FALSE)</f>
        <v>0</v>
      </c>
      <c r="P247" s="31">
        <f>VLOOKUP($F247&amp;$G247,Composite!$A$5:$Q$865,P$3,FALSE)*VLOOKUP($C247,[2]!ExistingSat,MATCH($A247,[2]SATS!$C$10:$F$10,0)+1,FALSE)</f>
        <v>0</v>
      </c>
      <c r="Q247">
        <f>VLOOKUP($F247&amp;$G247,Composite!$A$5:$Q$865,Q$3,FALSE)</f>
        <v>0</v>
      </c>
      <c r="R247" s="31">
        <f>VLOOKUP($F247&amp;$G247,Composite!$A$5:$Q$865,R$3,FALSE)*VLOOKUP($C247,[2]!ExistingSat,MATCH($A247,[2]SATS!$C$10:$F$10,0)+1,FALSE)</f>
        <v>0</v>
      </c>
      <c r="S247">
        <f>VLOOKUP($F247&amp;$G247,Composite!$A$5:$Q$865,S$3,FALSE)</f>
        <v>0</v>
      </c>
      <c r="T247" s="31">
        <f>VLOOKUP($F247&amp;$G247,Composite!$A$5:$Q$865,T$3,FALSE)*VLOOKUP($C247,[2]!ExistingSat,MATCH($A247,[2]SATS!$C$10:$F$10,0)+1,FALSE)</f>
        <v>0</v>
      </c>
    </row>
    <row r="248" spans="1:20">
      <c r="A248" t="s">
        <v>25</v>
      </c>
      <c r="B248" t="s">
        <v>229</v>
      </c>
      <c r="C248" t="s">
        <v>28</v>
      </c>
      <c r="D248" t="s">
        <v>61</v>
      </c>
      <c r="E248" t="str">
        <f t="shared" si="5"/>
        <v>Heat PumpHZ2ATTIC R11 - R38 (cooling savings)</v>
      </c>
      <c r="F248" s="31" t="str">
        <f>Composite!B247</f>
        <v>Single Family Weatherization - Insulate Attic - R11 to R38 - Heating Zone 2 (Heat Pump)</v>
      </c>
      <c r="G248" t="s">
        <v>211</v>
      </c>
      <c r="H248" s="31">
        <f>VLOOKUP($F248&amp;$G248,Composite!$A$5:$Q$865,H$3,FALSE)*VLOOKUP($C248,[2]!ExistingSat,MATCH($A248,[2]SATS!$C$10:$F$10,0)+1,FALSE)</f>
        <v>32.997267465755243</v>
      </c>
      <c r="I248">
        <f>VLOOKUP($F248&amp;$G248,Composite!$A$5:$Q$865,I$3,FALSE)</f>
        <v>45</v>
      </c>
      <c r="J248" s="31">
        <f>VLOOKUP($F248&amp;$G248,Composite!$A$5:$Q$865,J$3,FALSE)*VLOOKUP($C248,[2]!ExistingSat,MATCH($A248,[2]SATS!$C$10:$F$10,0)+1,FALSE)</f>
        <v>0</v>
      </c>
      <c r="K248" s="31">
        <f>VLOOKUP($F248&amp;$G248,Composite!$A$5:$Q$865,K$3,FALSE)*VLOOKUP($C248,[2]!ExistingSat,MATCH($A248,[2]SATS!$C$10:$F$10,0)+1,FALSE)</f>
        <v>0</v>
      </c>
      <c r="L248" t="str">
        <f>VLOOKUP($F248&amp;$G248,Composite!$A$5:$Q$865,L$3,FALSE)</f>
        <v>ResCACPNW</v>
      </c>
      <c r="M248" s="31">
        <f>VLOOKUP($F248&amp;$G248,Composite!$A$5:$Q$865,M$3,FALSE)*VLOOKUP($C248,[2]!ExistingSat,MATCH($A248,[2]SATS!$C$10:$F$10,0)+1,FALSE)</f>
        <v>0</v>
      </c>
      <c r="N248" s="31">
        <f>VLOOKUP($F248&amp;$G248,Composite!$A$5:$Q$865,N$3,FALSE)*VLOOKUP($C248,[2]!ExistingSat,MATCH($A248,[2]SATS!$C$10:$F$10,0)+1,FALSE)</f>
        <v>0</v>
      </c>
      <c r="O248">
        <f>VLOOKUP($F248&amp;$G248,Composite!$A$5:$Q$865,O$3,FALSE)</f>
        <v>0</v>
      </c>
      <c r="P248" s="31">
        <f>VLOOKUP($F248&amp;$G248,Composite!$A$5:$Q$865,P$3,FALSE)*VLOOKUP($C248,[2]!ExistingSat,MATCH($A248,[2]SATS!$C$10:$F$10,0)+1,FALSE)</f>
        <v>0</v>
      </c>
      <c r="Q248">
        <f>VLOOKUP($F248&amp;$G248,Composite!$A$5:$Q$865,Q$3,FALSE)</f>
        <v>0</v>
      </c>
      <c r="R248" s="31">
        <f>VLOOKUP($F248&amp;$G248,Composite!$A$5:$Q$865,R$3,FALSE)*VLOOKUP($C248,[2]!ExistingSat,MATCH($A248,[2]SATS!$C$10:$F$10,0)+1,FALSE)</f>
        <v>0</v>
      </c>
      <c r="S248">
        <f>VLOOKUP($F248&amp;$G248,Composite!$A$5:$Q$865,S$3,FALSE)</f>
        <v>0</v>
      </c>
      <c r="T248" s="31">
        <f>VLOOKUP($F248&amp;$G248,Composite!$A$5:$Q$865,T$3,FALSE)*VLOOKUP($C248,[2]!ExistingSat,MATCH($A248,[2]SATS!$C$10:$F$10,0)+1,FALSE)</f>
        <v>0</v>
      </c>
    </row>
    <row r="249" spans="1:20">
      <c r="A249" t="s">
        <v>25</v>
      </c>
      <c r="B249" t="s">
        <v>229</v>
      </c>
      <c r="C249" t="s">
        <v>28</v>
      </c>
      <c r="D249" t="s">
        <v>61</v>
      </c>
      <c r="E249" t="str">
        <f t="shared" si="5"/>
        <v>Heat PumpHZ2ATTIC R11 - R49 (cooling savings)</v>
      </c>
      <c r="F249" s="31" t="str">
        <f>Composite!B248</f>
        <v>Single Family Weatherization - Insulate Attic - R11 to R49 - Heating Zone 2 (Heat Pump)</v>
      </c>
      <c r="G249" t="s">
        <v>212</v>
      </c>
      <c r="H249" s="31">
        <f>VLOOKUP($F249&amp;$G249,Composite!$A$5:$Q$865,H$3,FALSE)*VLOOKUP($C249,[2]!ExistingSat,MATCH($A249,[2]SATS!$C$10:$F$10,0)+1,FALSE)</f>
        <v>35.711563384075873</v>
      </c>
      <c r="I249">
        <f>VLOOKUP($F249&amp;$G249,Composite!$A$5:$Q$865,I$3,FALSE)</f>
        <v>45</v>
      </c>
      <c r="J249" s="31">
        <f>VLOOKUP($F249&amp;$G249,Composite!$A$5:$Q$865,J$3,FALSE)*VLOOKUP($C249,[2]!ExistingSat,MATCH($A249,[2]SATS!$C$10:$F$10,0)+1,FALSE)</f>
        <v>0</v>
      </c>
      <c r="K249" s="31">
        <f>VLOOKUP($F249&amp;$G249,Composite!$A$5:$Q$865,K$3,FALSE)*VLOOKUP($C249,[2]!ExistingSat,MATCH($A249,[2]SATS!$C$10:$F$10,0)+1,FALSE)</f>
        <v>0</v>
      </c>
      <c r="L249" t="str">
        <f>VLOOKUP($F249&amp;$G249,Composite!$A$5:$Q$865,L$3,FALSE)</f>
        <v>ResCACPNW</v>
      </c>
      <c r="M249" s="31">
        <f>VLOOKUP($F249&amp;$G249,Composite!$A$5:$Q$865,M$3,FALSE)*VLOOKUP($C249,[2]!ExistingSat,MATCH($A249,[2]SATS!$C$10:$F$10,0)+1,FALSE)</f>
        <v>0</v>
      </c>
      <c r="N249" s="31">
        <f>VLOOKUP($F249&amp;$G249,Composite!$A$5:$Q$865,N$3,FALSE)*VLOOKUP($C249,[2]!ExistingSat,MATCH($A249,[2]SATS!$C$10:$F$10,0)+1,FALSE)</f>
        <v>0</v>
      </c>
      <c r="O249">
        <f>VLOOKUP($F249&amp;$G249,Composite!$A$5:$Q$865,O$3,FALSE)</f>
        <v>0</v>
      </c>
      <c r="P249" s="31">
        <f>VLOOKUP($F249&amp;$G249,Composite!$A$5:$Q$865,P$3,FALSE)*VLOOKUP($C249,[2]!ExistingSat,MATCH($A249,[2]SATS!$C$10:$F$10,0)+1,FALSE)</f>
        <v>0</v>
      </c>
      <c r="Q249">
        <f>VLOOKUP($F249&amp;$G249,Composite!$A$5:$Q$865,Q$3,FALSE)</f>
        <v>0</v>
      </c>
      <c r="R249" s="31">
        <f>VLOOKUP($F249&amp;$G249,Composite!$A$5:$Q$865,R$3,FALSE)*VLOOKUP($C249,[2]!ExistingSat,MATCH($A249,[2]SATS!$C$10:$F$10,0)+1,FALSE)</f>
        <v>0</v>
      </c>
      <c r="S249">
        <f>VLOOKUP($F249&amp;$G249,Composite!$A$5:$Q$865,S$3,FALSE)</f>
        <v>0</v>
      </c>
      <c r="T249" s="31">
        <f>VLOOKUP($F249&amp;$G249,Composite!$A$5:$Q$865,T$3,FALSE)*VLOOKUP($C249,[2]!ExistingSat,MATCH($A249,[2]SATS!$C$10:$F$10,0)+1,FALSE)</f>
        <v>0</v>
      </c>
    </row>
    <row r="250" spans="1:20">
      <c r="A250" t="s">
        <v>25</v>
      </c>
      <c r="B250" t="s">
        <v>229</v>
      </c>
      <c r="C250" t="s">
        <v>28</v>
      </c>
      <c r="D250" t="s">
        <v>61</v>
      </c>
      <c r="E250" t="str">
        <f t="shared" si="5"/>
        <v>Heat PumpHZ2ATTIC R19 - R38 (cooling savings)</v>
      </c>
      <c r="F250" s="31" t="str">
        <f>Composite!B249</f>
        <v>Single Family Weatherization - Insulate Attic - R19 to R38 - Heating Zone 2 (Heat Pump)</v>
      </c>
      <c r="G250" t="s">
        <v>213</v>
      </c>
      <c r="H250" s="31">
        <f>VLOOKUP($F250&amp;$G250,Composite!$A$5:$Q$865,H$3,FALSE)*VLOOKUP($C250,[2]!ExistingSat,MATCH($A250,[2]SATS!$C$10:$F$10,0)+1,FALSE)</f>
        <v>13.445610946114758</v>
      </c>
      <c r="I250">
        <f>VLOOKUP($F250&amp;$G250,Composite!$A$5:$Q$865,I$3,FALSE)</f>
        <v>45</v>
      </c>
      <c r="J250" s="31">
        <f>VLOOKUP($F250&amp;$G250,Composite!$A$5:$Q$865,J$3,FALSE)*VLOOKUP($C250,[2]!ExistingSat,MATCH($A250,[2]SATS!$C$10:$F$10,0)+1,FALSE)</f>
        <v>0</v>
      </c>
      <c r="K250" s="31">
        <f>VLOOKUP($F250&amp;$G250,Composite!$A$5:$Q$865,K$3,FALSE)*VLOOKUP($C250,[2]!ExistingSat,MATCH($A250,[2]SATS!$C$10:$F$10,0)+1,FALSE)</f>
        <v>0</v>
      </c>
      <c r="L250" t="str">
        <f>VLOOKUP($F250&amp;$G250,Composite!$A$5:$Q$865,L$3,FALSE)</f>
        <v>ResCACPNW</v>
      </c>
      <c r="M250" s="31">
        <f>VLOOKUP($F250&amp;$G250,Composite!$A$5:$Q$865,M$3,FALSE)*VLOOKUP($C250,[2]!ExistingSat,MATCH($A250,[2]SATS!$C$10:$F$10,0)+1,FALSE)</f>
        <v>0</v>
      </c>
      <c r="N250" s="31">
        <f>VLOOKUP($F250&amp;$G250,Composite!$A$5:$Q$865,N$3,FALSE)*VLOOKUP($C250,[2]!ExistingSat,MATCH($A250,[2]SATS!$C$10:$F$10,0)+1,FALSE)</f>
        <v>0</v>
      </c>
      <c r="O250">
        <f>VLOOKUP($F250&amp;$G250,Composite!$A$5:$Q$865,O$3,FALSE)</f>
        <v>0</v>
      </c>
      <c r="P250" s="31">
        <f>VLOOKUP($F250&amp;$G250,Composite!$A$5:$Q$865,P$3,FALSE)*VLOOKUP($C250,[2]!ExistingSat,MATCH($A250,[2]SATS!$C$10:$F$10,0)+1,FALSE)</f>
        <v>0</v>
      </c>
      <c r="Q250">
        <f>VLOOKUP($F250&amp;$G250,Composite!$A$5:$Q$865,Q$3,FALSE)</f>
        <v>0</v>
      </c>
      <c r="R250" s="31">
        <f>VLOOKUP($F250&amp;$G250,Composite!$A$5:$Q$865,R$3,FALSE)*VLOOKUP($C250,[2]!ExistingSat,MATCH($A250,[2]SATS!$C$10:$F$10,0)+1,FALSE)</f>
        <v>0</v>
      </c>
      <c r="S250">
        <f>VLOOKUP($F250&amp;$G250,Composite!$A$5:$Q$865,S$3,FALSE)</f>
        <v>0</v>
      </c>
      <c r="T250" s="31">
        <f>VLOOKUP($F250&amp;$G250,Composite!$A$5:$Q$865,T$3,FALSE)*VLOOKUP($C250,[2]!ExistingSat,MATCH($A250,[2]SATS!$C$10:$F$10,0)+1,FALSE)</f>
        <v>0</v>
      </c>
    </row>
    <row r="251" spans="1:20">
      <c r="A251" t="s">
        <v>25</v>
      </c>
      <c r="B251" t="s">
        <v>229</v>
      </c>
      <c r="C251" t="s">
        <v>28</v>
      </c>
      <c r="D251" t="s">
        <v>61</v>
      </c>
      <c r="E251" t="str">
        <f t="shared" si="5"/>
        <v>Heat PumpHZ2ATTIC R19 - R49 (cooling savings)</v>
      </c>
      <c r="F251" s="31" t="str">
        <f>Composite!B250</f>
        <v>Single Family Weatherization - Insulate Attic - R19 to R49 - Heating Zone 2 (Heat Pump)</v>
      </c>
      <c r="G251" t="s">
        <v>214</v>
      </c>
      <c r="H251" s="31">
        <f>VLOOKUP($F251&amp;$G251,Composite!$A$5:$Q$865,H$3,FALSE)*VLOOKUP($C251,[2]!ExistingSat,MATCH($A251,[2]SATS!$C$10:$F$10,0)+1,FALSE)</f>
        <v>16.159906864435388</v>
      </c>
      <c r="I251">
        <f>VLOOKUP($F251&amp;$G251,Composite!$A$5:$Q$865,I$3,FALSE)</f>
        <v>45</v>
      </c>
      <c r="J251" s="31">
        <f>VLOOKUP($F251&amp;$G251,Composite!$A$5:$Q$865,J$3,FALSE)*VLOOKUP($C251,[2]!ExistingSat,MATCH($A251,[2]SATS!$C$10:$F$10,0)+1,FALSE)</f>
        <v>0</v>
      </c>
      <c r="K251" s="31">
        <f>VLOOKUP($F251&amp;$G251,Composite!$A$5:$Q$865,K$3,FALSE)*VLOOKUP($C251,[2]!ExistingSat,MATCH($A251,[2]SATS!$C$10:$F$10,0)+1,FALSE)</f>
        <v>0</v>
      </c>
      <c r="L251" t="str">
        <f>VLOOKUP($F251&amp;$G251,Composite!$A$5:$Q$865,L$3,FALSE)</f>
        <v>ResCACPNW</v>
      </c>
      <c r="M251" s="31">
        <f>VLOOKUP($F251&amp;$G251,Composite!$A$5:$Q$865,M$3,FALSE)*VLOOKUP($C251,[2]!ExistingSat,MATCH($A251,[2]SATS!$C$10:$F$10,0)+1,FALSE)</f>
        <v>0</v>
      </c>
      <c r="N251" s="31">
        <f>VLOOKUP($F251&amp;$G251,Composite!$A$5:$Q$865,N$3,FALSE)*VLOOKUP($C251,[2]!ExistingSat,MATCH($A251,[2]SATS!$C$10:$F$10,0)+1,FALSE)</f>
        <v>0</v>
      </c>
      <c r="O251">
        <f>VLOOKUP($F251&amp;$G251,Composite!$A$5:$Q$865,O$3,FALSE)</f>
        <v>0</v>
      </c>
      <c r="P251" s="31">
        <f>VLOOKUP($F251&amp;$G251,Composite!$A$5:$Q$865,P$3,FALSE)*VLOOKUP($C251,[2]!ExistingSat,MATCH($A251,[2]SATS!$C$10:$F$10,0)+1,FALSE)</f>
        <v>0</v>
      </c>
      <c r="Q251">
        <f>VLOOKUP($F251&amp;$G251,Composite!$A$5:$Q$865,Q$3,FALSE)</f>
        <v>0</v>
      </c>
      <c r="R251" s="31">
        <f>VLOOKUP($F251&amp;$G251,Composite!$A$5:$Q$865,R$3,FALSE)*VLOOKUP($C251,[2]!ExistingSat,MATCH($A251,[2]SATS!$C$10:$F$10,0)+1,FALSE)</f>
        <v>0</v>
      </c>
      <c r="S251">
        <f>VLOOKUP($F251&amp;$G251,Composite!$A$5:$Q$865,S$3,FALSE)</f>
        <v>0</v>
      </c>
      <c r="T251" s="31">
        <f>VLOOKUP($F251&amp;$G251,Composite!$A$5:$Q$865,T$3,FALSE)*VLOOKUP($C251,[2]!ExistingSat,MATCH($A251,[2]SATS!$C$10:$F$10,0)+1,FALSE)</f>
        <v>0</v>
      </c>
    </row>
    <row r="252" spans="1:20">
      <c r="A252" t="s">
        <v>25</v>
      </c>
      <c r="B252" t="s">
        <v>229</v>
      </c>
      <c r="C252" t="s">
        <v>64</v>
      </c>
      <c r="D252" t="s">
        <v>61</v>
      </c>
      <c r="E252" t="str">
        <f t="shared" si="5"/>
        <v>Heat PumpHZ2WALL R0 - R11 (cooling savings)</v>
      </c>
      <c r="F252" s="31" t="str">
        <f>Composite!B251</f>
        <v>Single Family Weatherization - Insulate Wall - R0 to R11 - Heating Zone 2 (Heat Pump)</v>
      </c>
      <c r="G252" t="s">
        <v>217</v>
      </c>
      <c r="H252" s="31">
        <f>VLOOKUP($F252&amp;$G252,Composite!$A$5:$Q$865,H$3,FALSE)*VLOOKUP($C252,[2]!ExistingSat,MATCH($A252,[2]SATS!$C$10:$F$10,0)+1,FALSE)</f>
        <v>39.472835582712186</v>
      </c>
      <c r="I252">
        <f>VLOOKUP($F252&amp;$G252,Composite!$A$5:$Q$865,I$3,FALSE)</f>
        <v>45</v>
      </c>
      <c r="J252" s="31">
        <f>VLOOKUP($F252&amp;$G252,Composite!$A$5:$Q$865,J$3,FALSE)*VLOOKUP($C252,[2]!ExistingSat,MATCH($A252,[2]SATS!$C$10:$F$10,0)+1,FALSE)</f>
        <v>0</v>
      </c>
      <c r="K252" s="31">
        <f>VLOOKUP($F252&amp;$G252,Composite!$A$5:$Q$865,K$3,FALSE)*VLOOKUP($C252,[2]!ExistingSat,MATCH($A252,[2]SATS!$C$10:$F$10,0)+1,FALSE)</f>
        <v>0</v>
      </c>
      <c r="L252" t="str">
        <f>VLOOKUP($F252&amp;$G252,Composite!$A$5:$Q$865,L$3,FALSE)</f>
        <v>ResCACPNW</v>
      </c>
      <c r="M252" s="31">
        <f>VLOOKUP($F252&amp;$G252,Composite!$A$5:$Q$865,M$3,FALSE)*VLOOKUP($C252,[2]!ExistingSat,MATCH($A252,[2]SATS!$C$10:$F$10,0)+1,FALSE)</f>
        <v>0</v>
      </c>
      <c r="N252" s="31">
        <f>VLOOKUP($F252&amp;$G252,Composite!$A$5:$Q$865,N$3,FALSE)*VLOOKUP($C252,[2]!ExistingSat,MATCH($A252,[2]SATS!$C$10:$F$10,0)+1,FALSE)</f>
        <v>0</v>
      </c>
      <c r="O252">
        <f>VLOOKUP($F252&amp;$G252,Composite!$A$5:$Q$865,O$3,FALSE)</f>
        <v>0</v>
      </c>
      <c r="P252" s="31">
        <f>VLOOKUP($F252&amp;$G252,Composite!$A$5:$Q$865,P$3,FALSE)*VLOOKUP($C252,[2]!ExistingSat,MATCH($A252,[2]SATS!$C$10:$F$10,0)+1,FALSE)</f>
        <v>0</v>
      </c>
      <c r="Q252">
        <f>VLOOKUP($F252&amp;$G252,Composite!$A$5:$Q$865,Q$3,FALSE)</f>
        <v>0</v>
      </c>
      <c r="R252" s="31">
        <f>VLOOKUP($F252&amp;$G252,Composite!$A$5:$Q$865,R$3,FALSE)*VLOOKUP($C252,[2]!ExistingSat,MATCH($A252,[2]SATS!$C$10:$F$10,0)+1,FALSE)</f>
        <v>0</v>
      </c>
      <c r="S252">
        <f>VLOOKUP($F252&amp;$G252,Composite!$A$5:$Q$865,S$3,FALSE)</f>
        <v>0</v>
      </c>
      <c r="T252" s="31">
        <f>VLOOKUP($F252&amp;$G252,Composite!$A$5:$Q$865,T$3,FALSE)*VLOOKUP($C252,[2]!ExistingSat,MATCH($A252,[2]SATS!$C$10:$F$10,0)+1,FALSE)</f>
        <v>0</v>
      </c>
    </row>
    <row r="253" spans="1:20">
      <c r="A253" t="s">
        <v>25</v>
      </c>
      <c r="B253" t="s">
        <v>229</v>
      </c>
      <c r="C253" t="s">
        <v>26</v>
      </c>
      <c r="D253" t="s">
        <v>61</v>
      </c>
      <c r="E253" t="str">
        <f t="shared" si="5"/>
        <v>Heat PumpHZ2FLOOR R0 - R19 (cooling savings)</v>
      </c>
      <c r="F253" s="31" t="str">
        <f>Composite!B252</f>
        <v>Single Family Weatherization - Insulate Floor - R0 to R19 - Heating Zone 2 (Heat Pump)</v>
      </c>
      <c r="G253" t="s">
        <v>218</v>
      </c>
      <c r="H253" s="31">
        <f>VLOOKUP($F253&amp;$G253,Composite!$A$5:$Q$865,H$3,FALSE)*VLOOKUP($C253,[2]!ExistingSat,MATCH($A253,[2]SATS!$C$10:$F$10,0)+1,FALSE)</f>
        <v>-33.288510741483073</v>
      </c>
      <c r="I253">
        <f>VLOOKUP($F253&amp;$G253,Composite!$A$5:$Q$865,I$3,FALSE)</f>
        <v>45</v>
      </c>
      <c r="J253" s="31">
        <f>VLOOKUP($F253&amp;$G253,Composite!$A$5:$Q$865,J$3,FALSE)*VLOOKUP($C253,[2]!ExistingSat,MATCH($A253,[2]SATS!$C$10:$F$10,0)+1,FALSE)</f>
        <v>0</v>
      </c>
      <c r="K253" s="31">
        <f>VLOOKUP($F253&amp;$G253,Composite!$A$5:$Q$865,K$3,FALSE)*VLOOKUP($C253,[2]!ExistingSat,MATCH($A253,[2]SATS!$C$10:$F$10,0)+1,FALSE)</f>
        <v>0</v>
      </c>
      <c r="L253" t="str">
        <f>VLOOKUP($F253&amp;$G253,Composite!$A$5:$Q$865,L$3,FALSE)</f>
        <v>ResCACPNW</v>
      </c>
      <c r="M253" s="31">
        <f>VLOOKUP($F253&amp;$G253,Composite!$A$5:$Q$865,M$3,FALSE)*VLOOKUP($C253,[2]!ExistingSat,MATCH($A253,[2]SATS!$C$10:$F$10,0)+1,FALSE)</f>
        <v>0</v>
      </c>
      <c r="N253" s="31">
        <f>VLOOKUP($F253&amp;$G253,Composite!$A$5:$Q$865,N$3,FALSE)*VLOOKUP($C253,[2]!ExistingSat,MATCH($A253,[2]SATS!$C$10:$F$10,0)+1,FALSE)</f>
        <v>0</v>
      </c>
      <c r="O253">
        <f>VLOOKUP($F253&amp;$G253,Composite!$A$5:$Q$865,O$3,FALSE)</f>
        <v>0</v>
      </c>
      <c r="P253" s="31">
        <f>VLOOKUP($F253&amp;$G253,Composite!$A$5:$Q$865,P$3,FALSE)*VLOOKUP($C253,[2]!ExistingSat,MATCH($A253,[2]SATS!$C$10:$F$10,0)+1,FALSE)</f>
        <v>0</v>
      </c>
      <c r="Q253">
        <f>VLOOKUP($F253&amp;$G253,Composite!$A$5:$Q$865,Q$3,FALSE)</f>
        <v>0</v>
      </c>
      <c r="R253" s="31">
        <f>VLOOKUP($F253&amp;$G253,Composite!$A$5:$Q$865,R$3,FALSE)*VLOOKUP($C253,[2]!ExistingSat,MATCH($A253,[2]SATS!$C$10:$F$10,0)+1,FALSE)</f>
        <v>0</v>
      </c>
      <c r="S253">
        <f>VLOOKUP($F253&amp;$G253,Composite!$A$5:$Q$865,S$3,FALSE)</f>
        <v>0</v>
      </c>
      <c r="T253" s="31">
        <f>VLOOKUP($F253&amp;$G253,Composite!$A$5:$Q$865,T$3,FALSE)*VLOOKUP($C253,[2]!ExistingSat,MATCH($A253,[2]SATS!$C$10:$F$10,0)+1,FALSE)</f>
        <v>0</v>
      </c>
    </row>
    <row r="254" spans="1:20">
      <c r="A254" t="s">
        <v>25</v>
      </c>
      <c r="B254" t="s">
        <v>229</v>
      </c>
      <c r="C254" t="s">
        <v>26</v>
      </c>
      <c r="D254" t="s">
        <v>61</v>
      </c>
      <c r="E254" t="str">
        <f t="shared" si="5"/>
        <v>Heat PumpHZ2FLOOR R0 - R25 (cooling savings)</v>
      </c>
      <c r="F254" s="31" t="str">
        <f>Composite!B253</f>
        <v>Single Family Weatherization - Insulate Floor - R0 to R25 - Heating Zone 2 (Heat Pump)</v>
      </c>
      <c r="G254" t="s">
        <v>219</v>
      </c>
      <c r="H254" s="31">
        <f>VLOOKUP($F254&amp;$G254,Composite!$A$5:$Q$865,H$3,FALSE)*VLOOKUP($C254,[2]!ExistingSat,MATCH($A254,[2]SATS!$C$10:$F$10,0)+1,FALSE)</f>
        <v>-36.92996582854569</v>
      </c>
      <c r="I254">
        <f>VLOOKUP($F254&amp;$G254,Composite!$A$5:$Q$865,I$3,FALSE)</f>
        <v>45</v>
      </c>
      <c r="J254" s="31">
        <f>VLOOKUP($F254&amp;$G254,Composite!$A$5:$Q$865,J$3,FALSE)*VLOOKUP($C254,[2]!ExistingSat,MATCH($A254,[2]SATS!$C$10:$F$10,0)+1,FALSE)</f>
        <v>0</v>
      </c>
      <c r="K254" s="31">
        <f>VLOOKUP($F254&amp;$G254,Composite!$A$5:$Q$865,K$3,FALSE)*VLOOKUP($C254,[2]!ExistingSat,MATCH($A254,[2]SATS!$C$10:$F$10,0)+1,FALSE)</f>
        <v>0</v>
      </c>
      <c r="L254" t="str">
        <f>VLOOKUP($F254&amp;$G254,Composite!$A$5:$Q$865,L$3,FALSE)</f>
        <v>ResCACPNW</v>
      </c>
      <c r="M254" s="31">
        <f>VLOOKUP($F254&amp;$G254,Composite!$A$5:$Q$865,M$3,FALSE)*VLOOKUP($C254,[2]!ExistingSat,MATCH($A254,[2]SATS!$C$10:$F$10,0)+1,FALSE)</f>
        <v>0</v>
      </c>
      <c r="N254" s="31">
        <f>VLOOKUP($F254&amp;$G254,Composite!$A$5:$Q$865,N$3,FALSE)*VLOOKUP($C254,[2]!ExistingSat,MATCH($A254,[2]SATS!$C$10:$F$10,0)+1,FALSE)</f>
        <v>0</v>
      </c>
      <c r="O254">
        <f>VLOOKUP($F254&amp;$G254,Composite!$A$5:$Q$865,O$3,FALSE)</f>
        <v>0</v>
      </c>
      <c r="P254" s="31">
        <f>VLOOKUP($F254&amp;$G254,Composite!$A$5:$Q$865,P$3,FALSE)*VLOOKUP($C254,[2]!ExistingSat,MATCH($A254,[2]SATS!$C$10:$F$10,0)+1,FALSE)</f>
        <v>0</v>
      </c>
      <c r="Q254">
        <f>VLOOKUP($F254&amp;$G254,Composite!$A$5:$Q$865,Q$3,FALSE)</f>
        <v>0</v>
      </c>
      <c r="R254" s="31">
        <f>VLOOKUP($F254&amp;$G254,Composite!$A$5:$Q$865,R$3,FALSE)*VLOOKUP($C254,[2]!ExistingSat,MATCH($A254,[2]SATS!$C$10:$F$10,0)+1,FALSE)</f>
        <v>0</v>
      </c>
      <c r="S254">
        <f>VLOOKUP($F254&amp;$G254,Composite!$A$5:$Q$865,S$3,FALSE)</f>
        <v>0</v>
      </c>
      <c r="T254" s="31">
        <f>VLOOKUP($F254&amp;$G254,Composite!$A$5:$Q$865,T$3,FALSE)*VLOOKUP($C254,[2]!ExistingSat,MATCH($A254,[2]SATS!$C$10:$F$10,0)+1,FALSE)</f>
        <v>0</v>
      </c>
    </row>
    <row r="255" spans="1:20">
      <c r="A255" t="s">
        <v>25</v>
      </c>
      <c r="B255" t="s">
        <v>229</v>
      </c>
      <c r="C255" t="s">
        <v>26</v>
      </c>
      <c r="D255" t="s">
        <v>61</v>
      </c>
      <c r="E255" t="str">
        <f t="shared" si="5"/>
        <v>Heat PumpHZ2FLOOR R0 - R30 (cooling savings)</v>
      </c>
      <c r="F255" s="31" t="str">
        <f>Composite!B254</f>
        <v>Single Family Weatherization - Insulate Floor - R0 to R30 - Heating Zone 2 (Heat Pump)</v>
      </c>
      <c r="G255" t="s">
        <v>220</v>
      </c>
      <c r="H255" s="31">
        <f>VLOOKUP($F255&amp;$G255,Composite!$A$5:$Q$865,H$3,FALSE)*VLOOKUP($C255,[2]!ExistingSat,MATCH($A255,[2]SATS!$C$10:$F$10,0)+1,FALSE)</f>
        <v>-39.304037313888983</v>
      </c>
      <c r="I255">
        <f>VLOOKUP($F255&amp;$G255,Composite!$A$5:$Q$865,I$3,FALSE)</f>
        <v>45</v>
      </c>
      <c r="J255" s="31">
        <f>VLOOKUP($F255&amp;$G255,Composite!$A$5:$Q$865,J$3,FALSE)*VLOOKUP($C255,[2]!ExistingSat,MATCH($A255,[2]SATS!$C$10:$F$10,0)+1,FALSE)</f>
        <v>0</v>
      </c>
      <c r="K255" s="31">
        <f>VLOOKUP($F255&amp;$G255,Composite!$A$5:$Q$865,K$3,FALSE)*VLOOKUP($C255,[2]!ExistingSat,MATCH($A255,[2]SATS!$C$10:$F$10,0)+1,FALSE)</f>
        <v>0</v>
      </c>
      <c r="L255" t="str">
        <f>VLOOKUP($F255&amp;$G255,Composite!$A$5:$Q$865,L$3,FALSE)</f>
        <v>ResCACPNW</v>
      </c>
      <c r="M255" s="31">
        <f>VLOOKUP($F255&amp;$G255,Composite!$A$5:$Q$865,M$3,FALSE)*VLOOKUP($C255,[2]!ExistingSat,MATCH($A255,[2]SATS!$C$10:$F$10,0)+1,FALSE)</f>
        <v>0</v>
      </c>
      <c r="N255" s="31">
        <f>VLOOKUP($F255&amp;$G255,Composite!$A$5:$Q$865,N$3,FALSE)*VLOOKUP($C255,[2]!ExistingSat,MATCH($A255,[2]SATS!$C$10:$F$10,0)+1,FALSE)</f>
        <v>0</v>
      </c>
      <c r="O255">
        <f>VLOOKUP($F255&amp;$G255,Composite!$A$5:$Q$865,O$3,FALSE)</f>
        <v>0</v>
      </c>
      <c r="P255" s="31">
        <f>VLOOKUP($F255&amp;$G255,Composite!$A$5:$Q$865,P$3,FALSE)*VLOOKUP($C255,[2]!ExistingSat,MATCH($A255,[2]SATS!$C$10:$F$10,0)+1,FALSE)</f>
        <v>0</v>
      </c>
      <c r="Q255">
        <f>VLOOKUP($F255&amp;$G255,Composite!$A$5:$Q$865,Q$3,FALSE)</f>
        <v>0</v>
      </c>
      <c r="R255" s="31">
        <f>VLOOKUP($F255&amp;$G255,Composite!$A$5:$Q$865,R$3,FALSE)*VLOOKUP($C255,[2]!ExistingSat,MATCH($A255,[2]SATS!$C$10:$F$10,0)+1,FALSE)</f>
        <v>0</v>
      </c>
      <c r="S255">
        <f>VLOOKUP($F255&amp;$G255,Composite!$A$5:$Q$865,S$3,FALSE)</f>
        <v>0</v>
      </c>
      <c r="T255" s="31">
        <f>VLOOKUP($F255&amp;$G255,Composite!$A$5:$Q$865,T$3,FALSE)*VLOOKUP($C255,[2]!ExistingSat,MATCH($A255,[2]SATS!$C$10:$F$10,0)+1,FALSE)</f>
        <v>0</v>
      </c>
    </row>
    <row r="256" spans="1:20">
      <c r="A256" t="s">
        <v>25</v>
      </c>
      <c r="B256" t="s">
        <v>229</v>
      </c>
      <c r="C256" t="s">
        <v>27</v>
      </c>
      <c r="D256" t="s">
        <v>61</v>
      </c>
      <c r="E256" t="str">
        <f t="shared" si="5"/>
        <v>Heat PumpHZ2WINDOW CL30 Prime Window Replacement of Single Pane Base (cooling savings)</v>
      </c>
      <c r="F256" s="31" t="str">
        <f>Composite!B255</f>
        <v>Windows - Single Pane to Class 30 - Heating Zone 2 (Heat Pump)</v>
      </c>
      <c r="G256" t="s">
        <v>221</v>
      </c>
      <c r="H256" s="31">
        <f>VLOOKUP($F256&amp;$G256,Composite!$A$5:$Q$865,H$3,FALSE)*VLOOKUP($C256,[2]!ExistingSat,MATCH($A256,[2]SATS!$C$10:$F$10,0)+1,FALSE)</f>
        <v>71.538635215455969</v>
      </c>
      <c r="I256">
        <f>VLOOKUP($F256&amp;$G256,Composite!$A$5:$Q$865,I$3,FALSE)</f>
        <v>45</v>
      </c>
      <c r="J256" s="31">
        <f>VLOOKUP($F256&amp;$G256,Composite!$A$5:$Q$865,J$3,FALSE)*VLOOKUP($C256,[2]!ExistingSat,MATCH($A256,[2]SATS!$C$10:$F$10,0)+1,FALSE)</f>
        <v>0</v>
      </c>
      <c r="K256" s="31">
        <f>VLOOKUP($F256&amp;$G256,Composite!$A$5:$Q$865,K$3,FALSE)*VLOOKUP($C256,[2]!ExistingSat,MATCH($A256,[2]SATS!$C$10:$F$10,0)+1,FALSE)</f>
        <v>0</v>
      </c>
      <c r="L256" t="str">
        <f>VLOOKUP($F256&amp;$G256,Composite!$A$5:$Q$865,L$3,FALSE)</f>
        <v>ResCACPNW</v>
      </c>
      <c r="M256" s="31">
        <f>VLOOKUP($F256&amp;$G256,Composite!$A$5:$Q$865,M$3,FALSE)*VLOOKUP($C256,[2]!ExistingSat,MATCH($A256,[2]SATS!$C$10:$F$10,0)+1,FALSE)</f>
        <v>0</v>
      </c>
      <c r="N256" s="31">
        <f>VLOOKUP($F256&amp;$G256,Composite!$A$5:$Q$865,N$3,FALSE)*VLOOKUP($C256,[2]!ExistingSat,MATCH($A256,[2]SATS!$C$10:$F$10,0)+1,FALSE)</f>
        <v>0</v>
      </c>
      <c r="O256">
        <f>VLOOKUP($F256&amp;$G256,Composite!$A$5:$Q$865,O$3,FALSE)</f>
        <v>0</v>
      </c>
      <c r="P256" s="31">
        <f>VLOOKUP($F256&amp;$G256,Composite!$A$5:$Q$865,P$3,FALSE)*VLOOKUP($C256,[2]!ExistingSat,MATCH($A256,[2]SATS!$C$10:$F$10,0)+1,FALSE)</f>
        <v>0</v>
      </c>
      <c r="Q256">
        <f>VLOOKUP($F256&amp;$G256,Composite!$A$5:$Q$865,Q$3,FALSE)</f>
        <v>0</v>
      </c>
      <c r="R256" s="31">
        <f>VLOOKUP($F256&amp;$G256,Composite!$A$5:$Q$865,R$3,FALSE)*VLOOKUP($C256,[2]!ExistingSat,MATCH($A256,[2]SATS!$C$10:$F$10,0)+1,FALSE)</f>
        <v>0</v>
      </c>
      <c r="S256">
        <f>VLOOKUP($F256&amp;$G256,Composite!$A$5:$Q$865,S$3,FALSE)</f>
        <v>0</v>
      </c>
      <c r="T256" s="31">
        <f>VLOOKUP($F256&amp;$G256,Composite!$A$5:$Q$865,T$3,FALSE)*VLOOKUP($C256,[2]!ExistingSat,MATCH($A256,[2]SATS!$C$10:$F$10,0)+1,FALSE)</f>
        <v>0</v>
      </c>
    </row>
    <row r="257" spans="1:20">
      <c r="A257" t="s">
        <v>25</v>
      </c>
      <c r="B257" t="s">
        <v>229</v>
      </c>
      <c r="C257" t="s">
        <v>27</v>
      </c>
      <c r="D257" t="s">
        <v>61</v>
      </c>
      <c r="E257" t="str">
        <f t="shared" si="5"/>
        <v>Heat PumpHZ2WINDOW CL30 Prime Window Replacement of Double Pane Base (cooling savings)</v>
      </c>
      <c r="F257" s="31" t="str">
        <f>Composite!B256</f>
        <v>Windows - Double Pane to Class 30 - Heating Zone 2 (Heat Pump)</v>
      </c>
      <c r="G257" t="s">
        <v>222</v>
      </c>
      <c r="H257" s="31">
        <f>VLOOKUP($F257&amp;$G257,Composite!$A$5:$Q$865,H$3,FALSE)*VLOOKUP($C257,[2]!ExistingSat,MATCH($A257,[2]SATS!$C$10:$F$10,0)+1,FALSE)</f>
        <v>88.743584619428063</v>
      </c>
      <c r="I257">
        <f>VLOOKUP($F257&amp;$G257,Composite!$A$5:$Q$865,I$3,FALSE)</f>
        <v>45</v>
      </c>
      <c r="J257" s="31">
        <f>VLOOKUP($F257&amp;$G257,Composite!$A$5:$Q$865,J$3,FALSE)*VLOOKUP($C257,[2]!ExistingSat,MATCH($A257,[2]SATS!$C$10:$F$10,0)+1,FALSE)</f>
        <v>0</v>
      </c>
      <c r="K257" s="31">
        <f>VLOOKUP($F257&amp;$G257,Composite!$A$5:$Q$865,K$3,FALSE)*VLOOKUP($C257,[2]!ExistingSat,MATCH($A257,[2]SATS!$C$10:$F$10,0)+1,FALSE)</f>
        <v>0</v>
      </c>
      <c r="L257" t="str">
        <f>VLOOKUP($F257&amp;$G257,Composite!$A$5:$Q$865,L$3,FALSE)</f>
        <v>ResCACPNW</v>
      </c>
      <c r="M257" s="31">
        <f>VLOOKUP($F257&amp;$G257,Composite!$A$5:$Q$865,M$3,FALSE)*VLOOKUP($C257,[2]!ExistingSat,MATCH($A257,[2]SATS!$C$10:$F$10,0)+1,FALSE)</f>
        <v>0</v>
      </c>
      <c r="N257" s="31">
        <f>VLOOKUP($F257&amp;$G257,Composite!$A$5:$Q$865,N$3,FALSE)*VLOOKUP($C257,[2]!ExistingSat,MATCH($A257,[2]SATS!$C$10:$F$10,0)+1,FALSE)</f>
        <v>0</v>
      </c>
      <c r="O257">
        <f>VLOOKUP($F257&amp;$G257,Composite!$A$5:$Q$865,O$3,FALSE)</f>
        <v>0</v>
      </c>
      <c r="P257" s="31">
        <f>VLOOKUP($F257&amp;$G257,Composite!$A$5:$Q$865,P$3,FALSE)*VLOOKUP($C257,[2]!ExistingSat,MATCH($A257,[2]SATS!$C$10:$F$10,0)+1,FALSE)</f>
        <v>0</v>
      </c>
      <c r="Q257">
        <f>VLOOKUP($F257&amp;$G257,Composite!$A$5:$Q$865,Q$3,FALSE)</f>
        <v>0</v>
      </c>
      <c r="R257" s="31">
        <f>VLOOKUP($F257&amp;$G257,Composite!$A$5:$Q$865,R$3,FALSE)*VLOOKUP($C257,[2]!ExistingSat,MATCH($A257,[2]SATS!$C$10:$F$10,0)+1,FALSE)</f>
        <v>0</v>
      </c>
      <c r="S257">
        <f>VLOOKUP($F257&amp;$G257,Composite!$A$5:$Q$865,S$3,FALSE)</f>
        <v>0</v>
      </c>
      <c r="T257" s="31">
        <f>VLOOKUP($F257&amp;$G257,Composite!$A$5:$Q$865,T$3,FALSE)*VLOOKUP($C257,[2]!ExistingSat,MATCH($A257,[2]SATS!$C$10:$F$10,0)+1,FALSE)</f>
        <v>0</v>
      </c>
    </row>
    <row r="258" spans="1:20">
      <c r="A258" t="s">
        <v>25</v>
      </c>
      <c r="B258" t="s">
        <v>229</v>
      </c>
      <c r="C258" t="s">
        <v>27</v>
      </c>
      <c r="D258" t="s">
        <v>61</v>
      </c>
      <c r="E258" t="str">
        <f t="shared" si="5"/>
        <v>Heat PumpHZ2WINDOW CL22 Prime Window Replacement of Single Pane Base (cooling savings)</v>
      </c>
      <c r="F258" s="31" t="str">
        <f>Composite!B257</f>
        <v>Windows - Single Pane to Class 22 - Heating Zone 2 (Heat Pump)</v>
      </c>
      <c r="G258" t="s">
        <v>224</v>
      </c>
      <c r="H258" s="31">
        <f>VLOOKUP($F258&amp;$G258,Composite!$A$5:$Q$865,H$3,FALSE)*VLOOKUP($C258,[2]!ExistingSat,MATCH($A258,[2]SATS!$C$10:$F$10,0)+1,FALSE)</f>
        <v>77.08298882366482</v>
      </c>
      <c r="I258">
        <f>VLOOKUP($F258&amp;$G258,Composite!$A$5:$Q$865,I$3,FALSE)</f>
        <v>45</v>
      </c>
      <c r="J258" s="31">
        <f>VLOOKUP($F258&amp;$G258,Composite!$A$5:$Q$865,J$3,FALSE)*VLOOKUP($C258,[2]!ExistingSat,MATCH($A258,[2]SATS!$C$10:$F$10,0)+1,FALSE)</f>
        <v>0</v>
      </c>
      <c r="K258" s="31">
        <f>VLOOKUP($F258&amp;$G258,Composite!$A$5:$Q$865,K$3,FALSE)*VLOOKUP($C258,[2]!ExistingSat,MATCH($A258,[2]SATS!$C$10:$F$10,0)+1,FALSE)</f>
        <v>0</v>
      </c>
      <c r="L258" t="str">
        <f>VLOOKUP($F258&amp;$G258,Composite!$A$5:$Q$865,L$3,FALSE)</f>
        <v>ResCACPNW</v>
      </c>
      <c r="M258" s="31">
        <f>VLOOKUP($F258&amp;$G258,Composite!$A$5:$Q$865,M$3,FALSE)*VLOOKUP($C258,[2]!ExistingSat,MATCH($A258,[2]SATS!$C$10:$F$10,0)+1,FALSE)</f>
        <v>0</v>
      </c>
      <c r="N258" s="31">
        <f>VLOOKUP($F258&amp;$G258,Composite!$A$5:$Q$865,N$3,FALSE)*VLOOKUP($C258,[2]!ExistingSat,MATCH($A258,[2]SATS!$C$10:$F$10,0)+1,FALSE)</f>
        <v>0</v>
      </c>
      <c r="O258">
        <f>VLOOKUP($F258&amp;$G258,Composite!$A$5:$Q$865,O$3,FALSE)</f>
        <v>0</v>
      </c>
      <c r="P258" s="31">
        <f>VLOOKUP($F258&amp;$G258,Composite!$A$5:$Q$865,P$3,FALSE)*VLOOKUP($C258,[2]!ExistingSat,MATCH($A258,[2]SATS!$C$10:$F$10,0)+1,FALSE)</f>
        <v>0</v>
      </c>
      <c r="Q258">
        <f>VLOOKUP($F258&amp;$G258,Composite!$A$5:$Q$865,Q$3,FALSE)</f>
        <v>0</v>
      </c>
      <c r="R258" s="31">
        <f>VLOOKUP($F258&amp;$G258,Composite!$A$5:$Q$865,R$3,FALSE)*VLOOKUP($C258,[2]!ExistingSat,MATCH($A258,[2]SATS!$C$10:$F$10,0)+1,FALSE)</f>
        <v>0</v>
      </c>
      <c r="S258">
        <f>VLOOKUP($F258&amp;$G258,Composite!$A$5:$Q$865,S$3,FALSE)</f>
        <v>0</v>
      </c>
      <c r="T258" s="31">
        <f>VLOOKUP($F258&amp;$G258,Composite!$A$5:$Q$865,T$3,FALSE)*VLOOKUP($C258,[2]!ExistingSat,MATCH($A258,[2]SATS!$C$10:$F$10,0)+1,FALSE)</f>
        <v>0</v>
      </c>
    </row>
    <row r="259" spans="1:20">
      <c r="A259" t="s">
        <v>25</v>
      </c>
      <c r="B259" t="s">
        <v>229</v>
      </c>
      <c r="C259" t="s">
        <v>27</v>
      </c>
      <c r="D259" t="s">
        <v>61</v>
      </c>
      <c r="E259" t="str">
        <f t="shared" si="5"/>
        <v>Heat PumpHZ2WINDOW CL22 Prime Window Replacement of Double Pane Base (cooling savings)</v>
      </c>
      <c r="F259" s="31" t="str">
        <f>Composite!B258</f>
        <v>Windows - Double Pane to Class 22 - Heating Zone 2 (Heat Pump)</v>
      </c>
      <c r="G259" t="s">
        <v>225</v>
      </c>
      <c r="H259" s="31">
        <f>VLOOKUP($F259&amp;$G259,Composite!$A$5:$Q$865,H$3,FALSE)*VLOOKUP($C259,[2]!ExistingSat,MATCH($A259,[2]SATS!$C$10:$F$10,0)+1,FALSE)</f>
        <v>94.2879382276369</v>
      </c>
      <c r="I259">
        <f>VLOOKUP($F259&amp;$G259,Composite!$A$5:$Q$865,I$3,FALSE)</f>
        <v>45</v>
      </c>
      <c r="J259" s="31">
        <f>VLOOKUP($F259&amp;$G259,Composite!$A$5:$Q$865,J$3,FALSE)*VLOOKUP($C259,[2]!ExistingSat,MATCH($A259,[2]SATS!$C$10:$F$10,0)+1,FALSE)</f>
        <v>0</v>
      </c>
      <c r="K259" s="31">
        <f>VLOOKUP($F259&amp;$G259,Composite!$A$5:$Q$865,K$3,FALSE)*VLOOKUP($C259,[2]!ExistingSat,MATCH($A259,[2]SATS!$C$10:$F$10,0)+1,FALSE)</f>
        <v>0</v>
      </c>
      <c r="L259" t="str">
        <f>VLOOKUP($F259&amp;$G259,Composite!$A$5:$Q$865,L$3,FALSE)</f>
        <v>ResCACPNW</v>
      </c>
      <c r="M259" s="31">
        <f>VLOOKUP($F259&amp;$G259,Composite!$A$5:$Q$865,M$3,FALSE)*VLOOKUP($C259,[2]!ExistingSat,MATCH($A259,[2]SATS!$C$10:$F$10,0)+1,FALSE)</f>
        <v>0</v>
      </c>
      <c r="N259" s="31">
        <f>VLOOKUP($F259&amp;$G259,Composite!$A$5:$Q$865,N$3,FALSE)*VLOOKUP($C259,[2]!ExistingSat,MATCH($A259,[2]SATS!$C$10:$F$10,0)+1,FALSE)</f>
        <v>0</v>
      </c>
      <c r="O259">
        <f>VLOOKUP($F259&amp;$G259,Composite!$A$5:$Q$865,O$3,FALSE)</f>
        <v>0</v>
      </c>
      <c r="P259" s="31">
        <f>VLOOKUP($F259&amp;$G259,Composite!$A$5:$Q$865,P$3,FALSE)*VLOOKUP($C259,[2]!ExistingSat,MATCH($A259,[2]SATS!$C$10:$F$10,0)+1,FALSE)</f>
        <v>0</v>
      </c>
      <c r="Q259">
        <f>VLOOKUP($F259&amp;$G259,Composite!$A$5:$Q$865,Q$3,FALSE)</f>
        <v>0</v>
      </c>
      <c r="R259" s="31">
        <f>VLOOKUP($F259&amp;$G259,Composite!$A$5:$Q$865,R$3,FALSE)*VLOOKUP($C259,[2]!ExistingSat,MATCH($A259,[2]SATS!$C$10:$F$10,0)+1,FALSE)</f>
        <v>0</v>
      </c>
      <c r="S259">
        <f>VLOOKUP($F259&amp;$G259,Composite!$A$5:$Q$865,S$3,FALSE)</f>
        <v>0</v>
      </c>
      <c r="T259" s="31">
        <f>VLOOKUP($F259&amp;$G259,Composite!$A$5:$Q$865,T$3,FALSE)*VLOOKUP($C259,[2]!ExistingSat,MATCH($A259,[2]SATS!$C$10:$F$10,0)+1,FALSE)</f>
        <v>0</v>
      </c>
    </row>
    <row r="260" spans="1:20">
      <c r="A260" t="s">
        <v>25</v>
      </c>
      <c r="B260" t="s">
        <v>229</v>
      </c>
      <c r="C260" t="s">
        <v>66</v>
      </c>
      <c r="D260" t="s">
        <v>61</v>
      </c>
      <c r="E260" t="str">
        <f t="shared" si="5"/>
        <v>Heat PumpHZ2CFM50 Infiltration Reduction (cooling savings)</v>
      </c>
      <c r="F260" s="31" t="str">
        <f>Composite!B259</f>
        <v>Infiltration Reduction - CFM50 reduction - Heating Zone 2 (Heat Pump)</v>
      </c>
      <c r="G260" t="s">
        <v>890</v>
      </c>
      <c r="H260" s="31">
        <f>VLOOKUP($F260&amp;$G260,Composite!$A$5:$Q$865,H$3,FALSE)*VLOOKUP($C260,[2]!ExistingSat,MATCH($A260,[2]SATS!$C$10:$F$10,0)+1,FALSE)</f>
        <v>5.9371141703035599</v>
      </c>
      <c r="I260">
        <f>VLOOKUP($F260&amp;$G260,Composite!$A$5:$Q$865,I$3,FALSE)</f>
        <v>15</v>
      </c>
      <c r="J260" s="31">
        <f>VLOOKUP($F260&amp;$G260,Composite!$A$5:$Q$865,J$3,FALSE)*VLOOKUP($C260,[2]!ExistingSat,MATCH($A260,[2]SATS!$C$10:$F$10,0)+1,FALSE)</f>
        <v>0</v>
      </c>
      <c r="K260" s="31">
        <f>VLOOKUP($F260&amp;$G260,Composite!$A$5:$Q$865,K$3,FALSE)*VLOOKUP($C260,[2]!ExistingSat,MATCH($A260,[2]SATS!$C$10:$F$10,0)+1,FALSE)</f>
        <v>0</v>
      </c>
      <c r="L260" t="str">
        <f>VLOOKUP($F260&amp;$G260,Composite!$A$5:$Q$865,L$3,FALSE)</f>
        <v>ResCACPNW</v>
      </c>
      <c r="M260" s="31">
        <f>VLOOKUP($F260&amp;$G260,Composite!$A$5:$Q$865,M$3,FALSE)*VLOOKUP($C260,[2]!ExistingSat,MATCH($A260,[2]SATS!$C$10:$F$10,0)+1,FALSE)</f>
        <v>0</v>
      </c>
      <c r="N260" s="31">
        <f>VLOOKUP($F260&amp;$G260,Composite!$A$5:$Q$865,N$3,FALSE)*VLOOKUP($C260,[2]!ExistingSat,MATCH($A260,[2]SATS!$C$10:$F$10,0)+1,FALSE)</f>
        <v>0</v>
      </c>
      <c r="O260">
        <f>VLOOKUP($F260&amp;$G260,Composite!$A$5:$Q$865,O$3,FALSE)</f>
        <v>0</v>
      </c>
      <c r="P260" s="31">
        <f>VLOOKUP($F260&amp;$G260,Composite!$A$5:$Q$865,P$3,FALSE)*VLOOKUP($C260,[2]!ExistingSat,MATCH($A260,[2]SATS!$C$10:$F$10,0)+1,FALSE)</f>
        <v>0</v>
      </c>
      <c r="Q260">
        <f>VLOOKUP($F260&amp;$G260,Composite!$A$5:$Q$865,Q$3,FALSE)</f>
        <v>0</v>
      </c>
      <c r="R260" s="31">
        <f>VLOOKUP($F260&amp;$G260,Composite!$A$5:$Q$865,R$3,FALSE)*VLOOKUP($C260,[2]!ExistingSat,MATCH($A260,[2]SATS!$C$10:$F$10,0)+1,FALSE)</f>
        <v>0</v>
      </c>
      <c r="S260">
        <f>VLOOKUP($F260&amp;$G260,Composite!$A$5:$Q$865,S$3,FALSE)</f>
        <v>0</v>
      </c>
      <c r="T260" s="31">
        <f>VLOOKUP($F260&amp;$G260,Composite!$A$5:$Q$865,T$3,FALSE)*VLOOKUP($C260,[2]!ExistingSat,MATCH($A260,[2]SATS!$C$10:$F$10,0)+1,FALSE)</f>
        <v>0</v>
      </c>
    </row>
    <row r="261" spans="1:20">
      <c r="A261" t="s">
        <v>25</v>
      </c>
      <c r="B261" t="s">
        <v>229</v>
      </c>
      <c r="C261" t="s">
        <v>28</v>
      </c>
      <c r="D261" t="s">
        <v>62</v>
      </c>
      <c r="E261" t="str">
        <f t="shared" si="5"/>
        <v>Heat PumpHZ3ATTIC R0 - R38 (cooling savings)</v>
      </c>
      <c r="F261" s="31" t="str">
        <f>Composite!B260</f>
        <v>Single Family Weatherization - Insulate Attic - R0 to R38 - Heating Zone 3 (Heat Pump)</v>
      </c>
      <c r="G261" t="s">
        <v>208</v>
      </c>
      <c r="H261" s="31">
        <f>VLOOKUP($F261&amp;$G261,Composite!$A$5:$Q$865,H$3,FALSE)*VLOOKUP($C261,[2]!ExistingSat,MATCH($A261,[2]SATS!$C$10:$F$10,0)+1,FALSE)</f>
        <v>29.103596913656908</v>
      </c>
      <c r="I261">
        <f>VLOOKUP($F261&amp;$G261,Composite!$A$5:$Q$865,I$3,FALSE)</f>
        <v>45</v>
      </c>
      <c r="J261" s="31">
        <f>VLOOKUP($F261&amp;$G261,Composite!$A$5:$Q$865,J$3,FALSE)*VLOOKUP($C261,[2]!ExistingSat,MATCH($A261,[2]SATS!$C$10:$F$10,0)+1,FALSE)</f>
        <v>0</v>
      </c>
      <c r="K261" s="31">
        <f>VLOOKUP($F261&amp;$G261,Composite!$A$5:$Q$865,K$3,FALSE)*VLOOKUP($C261,[2]!ExistingSat,MATCH($A261,[2]SATS!$C$10:$F$10,0)+1,FALSE)</f>
        <v>0</v>
      </c>
      <c r="L261" t="str">
        <f>VLOOKUP($F261&amp;$G261,Composite!$A$5:$Q$865,L$3,FALSE)</f>
        <v>ResCACPNW</v>
      </c>
      <c r="M261" s="31">
        <f>VLOOKUP($F261&amp;$G261,Composite!$A$5:$Q$865,M$3,FALSE)*VLOOKUP($C261,[2]!ExistingSat,MATCH($A261,[2]SATS!$C$10:$F$10,0)+1,FALSE)</f>
        <v>0</v>
      </c>
      <c r="N261" s="31">
        <f>VLOOKUP($F261&amp;$G261,Composite!$A$5:$Q$865,N$3,FALSE)*VLOOKUP($C261,[2]!ExistingSat,MATCH($A261,[2]SATS!$C$10:$F$10,0)+1,FALSE)</f>
        <v>0</v>
      </c>
      <c r="O261">
        <f>VLOOKUP($F261&amp;$G261,Composite!$A$5:$Q$865,O$3,FALSE)</f>
        <v>0</v>
      </c>
      <c r="P261" s="31">
        <f>VLOOKUP($F261&amp;$G261,Composite!$A$5:$Q$865,P$3,FALSE)*VLOOKUP($C261,[2]!ExistingSat,MATCH($A261,[2]SATS!$C$10:$F$10,0)+1,FALSE)</f>
        <v>0</v>
      </c>
      <c r="Q261">
        <f>VLOOKUP($F261&amp;$G261,Composite!$A$5:$Q$865,Q$3,FALSE)</f>
        <v>0</v>
      </c>
      <c r="R261" s="31">
        <f>VLOOKUP($F261&amp;$G261,Composite!$A$5:$Q$865,R$3,FALSE)*VLOOKUP($C261,[2]!ExistingSat,MATCH($A261,[2]SATS!$C$10:$F$10,0)+1,FALSE)</f>
        <v>0</v>
      </c>
      <c r="S261">
        <f>VLOOKUP($F261&amp;$G261,Composite!$A$5:$Q$865,S$3,FALSE)</f>
        <v>0</v>
      </c>
      <c r="T261" s="31">
        <f>VLOOKUP($F261&amp;$G261,Composite!$A$5:$Q$865,T$3,FALSE)*VLOOKUP($C261,[2]!ExistingSat,MATCH($A261,[2]SATS!$C$10:$F$10,0)+1,FALSE)</f>
        <v>0</v>
      </c>
    </row>
    <row r="262" spans="1:20">
      <c r="A262" t="s">
        <v>25</v>
      </c>
      <c r="B262" t="s">
        <v>229</v>
      </c>
      <c r="C262" t="s">
        <v>28</v>
      </c>
      <c r="D262" t="s">
        <v>62</v>
      </c>
      <c r="E262" t="str">
        <f t="shared" si="5"/>
        <v>Heat PumpHZ3ATTIC R0 - R49 (cooling savings)</v>
      </c>
      <c r="F262" s="31" t="str">
        <f>Composite!B261</f>
        <v>Single Family Weatherization - Insulate Attic - R0 to R49 - Heating Zone 3 (Heat Pump)</v>
      </c>
      <c r="G262" t="s">
        <v>210</v>
      </c>
      <c r="H262" s="31">
        <f>VLOOKUP($F262&amp;$G262,Composite!$A$5:$Q$865,H$3,FALSE)*VLOOKUP($C262,[2]!ExistingSat,MATCH($A262,[2]SATS!$C$10:$F$10,0)+1,FALSE)</f>
        <v>29.359561596341845</v>
      </c>
      <c r="I262">
        <f>VLOOKUP($F262&amp;$G262,Composite!$A$5:$Q$865,I$3,FALSE)</f>
        <v>45</v>
      </c>
      <c r="J262" s="31">
        <f>VLOOKUP($F262&amp;$G262,Composite!$A$5:$Q$865,J$3,FALSE)*VLOOKUP($C262,[2]!ExistingSat,MATCH($A262,[2]SATS!$C$10:$F$10,0)+1,FALSE)</f>
        <v>0</v>
      </c>
      <c r="K262" s="31">
        <f>VLOOKUP($F262&amp;$G262,Composite!$A$5:$Q$865,K$3,FALSE)*VLOOKUP($C262,[2]!ExistingSat,MATCH($A262,[2]SATS!$C$10:$F$10,0)+1,FALSE)</f>
        <v>0</v>
      </c>
      <c r="L262" t="str">
        <f>VLOOKUP($F262&amp;$G262,Composite!$A$5:$Q$865,L$3,FALSE)</f>
        <v>ResCACPNW</v>
      </c>
      <c r="M262" s="31">
        <f>VLOOKUP($F262&amp;$G262,Composite!$A$5:$Q$865,M$3,FALSE)*VLOOKUP($C262,[2]!ExistingSat,MATCH($A262,[2]SATS!$C$10:$F$10,0)+1,FALSE)</f>
        <v>0</v>
      </c>
      <c r="N262" s="31">
        <f>VLOOKUP($F262&amp;$G262,Composite!$A$5:$Q$865,N$3,FALSE)*VLOOKUP($C262,[2]!ExistingSat,MATCH($A262,[2]SATS!$C$10:$F$10,0)+1,FALSE)</f>
        <v>0</v>
      </c>
      <c r="O262">
        <f>VLOOKUP($F262&amp;$G262,Composite!$A$5:$Q$865,O$3,FALSE)</f>
        <v>0</v>
      </c>
      <c r="P262" s="31">
        <f>VLOOKUP($F262&amp;$G262,Composite!$A$5:$Q$865,P$3,FALSE)*VLOOKUP($C262,[2]!ExistingSat,MATCH($A262,[2]SATS!$C$10:$F$10,0)+1,FALSE)</f>
        <v>0</v>
      </c>
      <c r="Q262">
        <f>VLOOKUP($F262&amp;$G262,Composite!$A$5:$Q$865,Q$3,FALSE)</f>
        <v>0</v>
      </c>
      <c r="R262" s="31">
        <f>VLOOKUP($F262&amp;$G262,Composite!$A$5:$Q$865,R$3,FALSE)*VLOOKUP($C262,[2]!ExistingSat,MATCH($A262,[2]SATS!$C$10:$F$10,0)+1,FALSE)</f>
        <v>0</v>
      </c>
      <c r="S262">
        <f>VLOOKUP($F262&amp;$G262,Composite!$A$5:$Q$865,S$3,FALSE)</f>
        <v>0</v>
      </c>
      <c r="T262" s="31">
        <f>VLOOKUP($F262&amp;$G262,Composite!$A$5:$Q$865,T$3,FALSE)*VLOOKUP($C262,[2]!ExistingSat,MATCH($A262,[2]SATS!$C$10:$F$10,0)+1,FALSE)</f>
        <v>0</v>
      </c>
    </row>
    <row r="263" spans="1:20">
      <c r="A263" t="s">
        <v>25</v>
      </c>
      <c r="B263" t="s">
        <v>229</v>
      </c>
      <c r="C263" t="s">
        <v>28</v>
      </c>
      <c r="D263" t="s">
        <v>62</v>
      </c>
      <c r="E263" t="str">
        <f t="shared" si="5"/>
        <v>Heat PumpHZ3ATTIC R11 - R38 (cooling savings)</v>
      </c>
      <c r="F263" s="31" t="str">
        <f>Composite!B262</f>
        <v>Single Family Weatherization - Insulate Attic - R11 to R38 - Heating Zone 3 (Heat Pump)</v>
      </c>
      <c r="G263" t="s">
        <v>211</v>
      </c>
      <c r="H263" s="31">
        <f>VLOOKUP($F263&amp;$G263,Composite!$A$5:$Q$865,H$3,FALSE)*VLOOKUP($C263,[2]!ExistingSat,MATCH($A263,[2]SATS!$C$10:$F$10,0)+1,FALSE)</f>
        <v>3.3226371232047378</v>
      </c>
      <c r="I263">
        <f>VLOOKUP($F263&amp;$G263,Composite!$A$5:$Q$865,I$3,FALSE)</f>
        <v>45</v>
      </c>
      <c r="J263" s="31">
        <f>VLOOKUP($F263&amp;$G263,Composite!$A$5:$Q$865,J$3,FALSE)*VLOOKUP($C263,[2]!ExistingSat,MATCH($A263,[2]SATS!$C$10:$F$10,0)+1,FALSE)</f>
        <v>0</v>
      </c>
      <c r="K263" s="31">
        <f>VLOOKUP($F263&amp;$G263,Composite!$A$5:$Q$865,K$3,FALSE)*VLOOKUP($C263,[2]!ExistingSat,MATCH($A263,[2]SATS!$C$10:$F$10,0)+1,FALSE)</f>
        <v>0</v>
      </c>
      <c r="L263" t="str">
        <f>VLOOKUP($F263&amp;$G263,Composite!$A$5:$Q$865,L$3,FALSE)</f>
        <v>ResCACPNW</v>
      </c>
      <c r="M263" s="31">
        <f>VLOOKUP($F263&amp;$G263,Composite!$A$5:$Q$865,M$3,FALSE)*VLOOKUP($C263,[2]!ExistingSat,MATCH($A263,[2]SATS!$C$10:$F$10,0)+1,FALSE)</f>
        <v>0</v>
      </c>
      <c r="N263" s="31">
        <f>VLOOKUP($F263&amp;$G263,Composite!$A$5:$Q$865,N$3,FALSE)*VLOOKUP($C263,[2]!ExistingSat,MATCH($A263,[2]SATS!$C$10:$F$10,0)+1,FALSE)</f>
        <v>0</v>
      </c>
      <c r="O263">
        <f>VLOOKUP($F263&amp;$G263,Composite!$A$5:$Q$865,O$3,FALSE)</f>
        <v>0</v>
      </c>
      <c r="P263" s="31">
        <f>VLOOKUP($F263&amp;$G263,Composite!$A$5:$Q$865,P$3,FALSE)*VLOOKUP($C263,[2]!ExistingSat,MATCH($A263,[2]SATS!$C$10:$F$10,0)+1,FALSE)</f>
        <v>0</v>
      </c>
      <c r="Q263">
        <f>VLOOKUP($F263&amp;$G263,Composite!$A$5:$Q$865,Q$3,FALSE)</f>
        <v>0</v>
      </c>
      <c r="R263" s="31">
        <f>VLOOKUP($F263&amp;$G263,Composite!$A$5:$Q$865,R$3,FALSE)*VLOOKUP($C263,[2]!ExistingSat,MATCH($A263,[2]SATS!$C$10:$F$10,0)+1,FALSE)</f>
        <v>0</v>
      </c>
      <c r="S263">
        <f>VLOOKUP($F263&amp;$G263,Composite!$A$5:$Q$865,S$3,FALSE)</f>
        <v>0</v>
      </c>
      <c r="T263" s="31">
        <f>VLOOKUP($F263&amp;$G263,Composite!$A$5:$Q$865,T$3,FALSE)*VLOOKUP($C263,[2]!ExistingSat,MATCH($A263,[2]SATS!$C$10:$F$10,0)+1,FALSE)</f>
        <v>0</v>
      </c>
    </row>
    <row r="264" spans="1:20">
      <c r="A264" t="s">
        <v>25</v>
      </c>
      <c r="B264" t="s">
        <v>229</v>
      </c>
      <c r="C264" t="s">
        <v>28</v>
      </c>
      <c r="D264" t="s">
        <v>62</v>
      </c>
      <c r="E264" t="str">
        <f t="shared" si="5"/>
        <v>Heat PumpHZ3ATTIC R11 - R49 (cooling savings)</v>
      </c>
      <c r="F264" s="31" t="str">
        <f>Composite!B263</f>
        <v>Single Family Weatherization - Insulate Attic - R11 to R49 - Heating Zone 3 (Heat Pump)</v>
      </c>
      <c r="G264" t="s">
        <v>212</v>
      </c>
      <c r="H264" s="31">
        <f>VLOOKUP($F264&amp;$G264,Composite!$A$5:$Q$865,H$3,FALSE)*VLOOKUP($C264,[2]!ExistingSat,MATCH($A264,[2]SATS!$C$10:$F$10,0)+1,FALSE)</f>
        <v>3.5786018058896727</v>
      </c>
      <c r="I264">
        <f>VLOOKUP($F264&amp;$G264,Composite!$A$5:$Q$865,I$3,FALSE)</f>
        <v>45</v>
      </c>
      <c r="J264" s="31">
        <f>VLOOKUP($F264&amp;$G264,Composite!$A$5:$Q$865,J$3,FALSE)*VLOOKUP($C264,[2]!ExistingSat,MATCH($A264,[2]SATS!$C$10:$F$10,0)+1,FALSE)</f>
        <v>0</v>
      </c>
      <c r="K264" s="31">
        <f>VLOOKUP($F264&amp;$G264,Composite!$A$5:$Q$865,K$3,FALSE)*VLOOKUP($C264,[2]!ExistingSat,MATCH($A264,[2]SATS!$C$10:$F$10,0)+1,FALSE)</f>
        <v>0</v>
      </c>
      <c r="L264" t="str">
        <f>VLOOKUP($F264&amp;$G264,Composite!$A$5:$Q$865,L$3,FALSE)</f>
        <v>ResCACPNW</v>
      </c>
      <c r="M264" s="31">
        <f>VLOOKUP($F264&amp;$G264,Composite!$A$5:$Q$865,M$3,FALSE)*VLOOKUP($C264,[2]!ExistingSat,MATCH($A264,[2]SATS!$C$10:$F$10,0)+1,FALSE)</f>
        <v>0</v>
      </c>
      <c r="N264" s="31">
        <f>VLOOKUP($F264&amp;$G264,Composite!$A$5:$Q$865,N$3,FALSE)*VLOOKUP($C264,[2]!ExistingSat,MATCH($A264,[2]SATS!$C$10:$F$10,0)+1,FALSE)</f>
        <v>0</v>
      </c>
      <c r="O264">
        <f>VLOOKUP($F264&amp;$G264,Composite!$A$5:$Q$865,O$3,FALSE)</f>
        <v>0</v>
      </c>
      <c r="P264" s="31">
        <f>VLOOKUP($F264&amp;$G264,Composite!$A$5:$Q$865,P$3,FALSE)*VLOOKUP($C264,[2]!ExistingSat,MATCH($A264,[2]SATS!$C$10:$F$10,0)+1,FALSE)</f>
        <v>0</v>
      </c>
      <c r="Q264">
        <f>VLOOKUP($F264&amp;$G264,Composite!$A$5:$Q$865,Q$3,FALSE)</f>
        <v>0</v>
      </c>
      <c r="R264" s="31">
        <f>VLOOKUP($F264&amp;$G264,Composite!$A$5:$Q$865,R$3,FALSE)*VLOOKUP($C264,[2]!ExistingSat,MATCH($A264,[2]SATS!$C$10:$F$10,0)+1,FALSE)</f>
        <v>0</v>
      </c>
      <c r="S264">
        <f>VLOOKUP($F264&amp;$G264,Composite!$A$5:$Q$865,S$3,FALSE)</f>
        <v>0</v>
      </c>
      <c r="T264" s="31">
        <f>VLOOKUP($F264&amp;$G264,Composite!$A$5:$Q$865,T$3,FALSE)*VLOOKUP($C264,[2]!ExistingSat,MATCH($A264,[2]SATS!$C$10:$F$10,0)+1,FALSE)</f>
        <v>0</v>
      </c>
    </row>
    <row r="265" spans="1:20">
      <c r="A265" t="s">
        <v>25</v>
      </c>
      <c r="B265" t="s">
        <v>229</v>
      </c>
      <c r="C265" t="s">
        <v>28</v>
      </c>
      <c r="D265" t="s">
        <v>62</v>
      </c>
      <c r="E265" t="str">
        <f t="shared" si="5"/>
        <v>Heat PumpHZ3ATTIC R19 - R38 (cooling savings)</v>
      </c>
      <c r="F265" s="31" t="str">
        <f>Composite!B264</f>
        <v>Single Family Weatherization - Insulate Attic - R19 to R38 - Heating Zone 3 (Heat Pump)</v>
      </c>
      <c r="G265" t="s">
        <v>213</v>
      </c>
      <c r="H265" s="31">
        <f>VLOOKUP($F265&amp;$G265,Composite!$A$5:$Q$865,H$3,FALSE)*VLOOKUP($C265,[2]!ExistingSat,MATCH($A265,[2]SATS!$C$10:$F$10,0)+1,FALSE)</f>
        <v>1.3094936421019137</v>
      </c>
      <c r="I265">
        <f>VLOOKUP($F265&amp;$G265,Composite!$A$5:$Q$865,I$3,FALSE)</f>
        <v>45</v>
      </c>
      <c r="J265" s="31">
        <f>VLOOKUP($F265&amp;$G265,Composite!$A$5:$Q$865,J$3,FALSE)*VLOOKUP($C265,[2]!ExistingSat,MATCH($A265,[2]SATS!$C$10:$F$10,0)+1,FALSE)</f>
        <v>0</v>
      </c>
      <c r="K265" s="31">
        <f>VLOOKUP($F265&amp;$G265,Composite!$A$5:$Q$865,K$3,FALSE)*VLOOKUP($C265,[2]!ExistingSat,MATCH($A265,[2]SATS!$C$10:$F$10,0)+1,FALSE)</f>
        <v>0</v>
      </c>
      <c r="L265" t="str">
        <f>VLOOKUP($F265&amp;$G265,Composite!$A$5:$Q$865,L$3,FALSE)</f>
        <v>ResCACPNW</v>
      </c>
      <c r="M265" s="31">
        <f>VLOOKUP($F265&amp;$G265,Composite!$A$5:$Q$865,M$3,FALSE)*VLOOKUP($C265,[2]!ExistingSat,MATCH($A265,[2]SATS!$C$10:$F$10,0)+1,FALSE)</f>
        <v>0</v>
      </c>
      <c r="N265" s="31">
        <f>VLOOKUP($F265&amp;$G265,Composite!$A$5:$Q$865,N$3,FALSE)*VLOOKUP($C265,[2]!ExistingSat,MATCH($A265,[2]SATS!$C$10:$F$10,0)+1,FALSE)</f>
        <v>0</v>
      </c>
      <c r="O265">
        <f>VLOOKUP($F265&amp;$G265,Composite!$A$5:$Q$865,O$3,FALSE)</f>
        <v>0</v>
      </c>
      <c r="P265" s="31">
        <f>VLOOKUP($F265&amp;$G265,Composite!$A$5:$Q$865,P$3,FALSE)*VLOOKUP($C265,[2]!ExistingSat,MATCH($A265,[2]SATS!$C$10:$F$10,0)+1,FALSE)</f>
        <v>0</v>
      </c>
      <c r="Q265">
        <f>VLOOKUP($F265&amp;$G265,Composite!$A$5:$Q$865,Q$3,FALSE)</f>
        <v>0</v>
      </c>
      <c r="R265" s="31">
        <f>VLOOKUP($F265&amp;$G265,Composite!$A$5:$Q$865,R$3,FALSE)*VLOOKUP($C265,[2]!ExistingSat,MATCH($A265,[2]SATS!$C$10:$F$10,0)+1,FALSE)</f>
        <v>0</v>
      </c>
      <c r="S265">
        <f>VLOOKUP($F265&amp;$G265,Composite!$A$5:$Q$865,S$3,FALSE)</f>
        <v>0</v>
      </c>
      <c r="T265" s="31">
        <f>VLOOKUP($F265&amp;$G265,Composite!$A$5:$Q$865,T$3,FALSE)*VLOOKUP($C265,[2]!ExistingSat,MATCH($A265,[2]SATS!$C$10:$F$10,0)+1,FALSE)</f>
        <v>0</v>
      </c>
    </row>
    <row r="266" spans="1:20">
      <c r="A266" t="s">
        <v>25</v>
      </c>
      <c r="B266" t="s">
        <v>229</v>
      </c>
      <c r="C266" t="s">
        <v>28</v>
      </c>
      <c r="D266" t="s">
        <v>62</v>
      </c>
      <c r="E266" t="str">
        <f t="shared" si="5"/>
        <v>Heat PumpHZ3ATTIC R19 - R49 (cooling savings)</v>
      </c>
      <c r="F266" s="31" t="str">
        <f>Composite!B265</f>
        <v>Single Family Weatherization - Insulate Attic - R19 to R49 - Heating Zone 3 (Heat Pump)</v>
      </c>
      <c r="G266" t="s">
        <v>214</v>
      </c>
      <c r="H266" s="31">
        <f>VLOOKUP($F266&amp;$G266,Composite!$A$5:$Q$865,H$3,FALSE)*VLOOKUP($C266,[2]!ExistingSat,MATCH($A266,[2]SATS!$C$10:$F$10,0)+1,FALSE)</f>
        <v>1.5654583247868483</v>
      </c>
      <c r="I266">
        <f>VLOOKUP($F266&amp;$G266,Composite!$A$5:$Q$865,I$3,FALSE)</f>
        <v>45</v>
      </c>
      <c r="J266" s="31">
        <f>VLOOKUP($F266&amp;$G266,Composite!$A$5:$Q$865,J$3,FALSE)*VLOOKUP($C266,[2]!ExistingSat,MATCH($A266,[2]SATS!$C$10:$F$10,0)+1,FALSE)</f>
        <v>0</v>
      </c>
      <c r="K266" s="31">
        <f>VLOOKUP($F266&amp;$G266,Composite!$A$5:$Q$865,K$3,FALSE)*VLOOKUP($C266,[2]!ExistingSat,MATCH($A266,[2]SATS!$C$10:$F$10,0)+1,FALSE)</f>
        <v>0</v>
      </c>
      <c r="L266" t="str">
        <f>VLOOKUP($F266&amp;$G266,Composite!$A$5:$Q$865,L$3,FALSE)</f>
        <v>ResCACPNW</v>
      </c>
      <c r="M266" s="31">
        <f>VLOOKUP($F266&amp;$G266,Composite!$A$5:$Q$865,M$3,FALSE)*VLOOKUP($C266,[2]!ExistingSat,MATCH($A266,[2]SATS!$C$10:$F$10,0)+1,FALSE)</f>
        <v>0</v>
      </c>
      <c r="N266" s="31">
        <f>VLOOKUP($F266&amp;$G266,Composite!$A$5:$Q$865,N$3,FALSE)*VLOOKUP($C266,[2]!ExistingSat,MATCH($A266,[2]SATS!$C$10:$F$10,0)+1,FALSE)</f>
        <v>0</v>
      </c>
      <c r="O266">
        <f>VLOOKUP($F266&amp;$G266,Composite!$A$5:$Q$865,O$3,FALSE)</f>
        <v>0</v>
      </c>
      <c r="P266" s="31">
        <f>VLOOKUP($F266&amp;$G266,Composite!$A$5:$Q$865,P$3,FALSE)*VLOOKUP($C266,[2]!ExistingSat,MATCH($A266,[2]SATS!$C$10:$F$10,0)+1,FALSE)</f>
        <v>0</v>
      </c>
      <c r="Q266">
        <f>VLOOKUP($F266&amp;$G266,Composite!$A$5:$Q$865,Q$3,FALSE)</f>
        <v>0</v>
      </c>
      <c r="R266" s="31">
        <f>VLOOKUP($F266&amp;$G266,Composite!$A$5:$Q$865,R$3,FALSE)*VLOOKUP($C266,[2]!ExistingSat,MATCH($A266,[2]SATS!$C$10:$F$10,0)+1,FALSE)</f>
        <v>0</v>
      </c>
      <c r="S266">
        <f>VLOOKUP($F266&amp;$G266,Composite!$A$5:$Q$865,S$3,FALSE)</f>
        <v>0</v>
      </c>
      <c r="T266" s="31">
        <f>VLOOKUP($F266&amp;$G266,Composite!$A$5:$Q$865,T$3,FALSE)*VLOOKUP($C266,[2]!ExistingSat,MATCH($A266,[2]SATS!$C$10:$F$10,0)+1,FALSE)</f>
        <v>0</v>
      </c>
    </row>
    <row r="267" spans="1:20">
      <c r="A267" t="s">
        <v>25</v>
      </c>
      <c r="B267" t="s">
        <v>229</v>
      </c>
      <c r="C267" t="s">
        <v>64</v>
      </c>
      <c r="D267" t="s">
        <v>62</v>
      </c>
      <c r="E267" t="str">
        <f t="shared" si="5"/>
        <v>Heat PumpHZ3WALL R0 - R11 (cooling savings)</v>
      </c>
      <c r="F267" s="31" t="str">
        <f>Composite!B266</f>
        <v>Single Family Weatherization - Insulate Wall - R0 to R11 - Heating Zone 3 (Heat Pump)</v>
      </c>
      <c r="G267" t="s">
        <v>217</v>
      </c>
      <c r="H267" s="31">
        <f>VLOOKUP($F267&amp;$G267,Composite!$A$5:$Q$865,H$3,FALSE)*VLOOKUP($C267,[2]!ExistingSat,MATCH($A267,[2]SATS!$C$10:$F$10,0)+1,FALSE)</f>
        <v>1.4270089384692537</v>
      </c>
      <c r="I267">
        <f>VLOOKUP($F267&amp;$G267,Composite!$A$5:$Q$865,I$3,FALSE)</f>
        <v>45</v>
      </c>
      <c r="J267" s="31">
        <f>VLOOKUP($F267&amp;$G267,Composite!$A$5:$Q$865,J$3,FALSE)*VLOOKUP($C267,[2]!ExistingSat,MATCH($A267,[2]SATS!$C$10:$F$10,0)+1,FALSE)</f>
        <v>0</v>
      </c>
      <c r="K267" s="31">
        <f>VLOOKUP($F267&amp;$G267,Composite!$A$5:$Q$865,K$3,FALSE)*VLOOKUP($C267,[2]!ExistingSat,MATCH($A267,[2]SATS!$C$10:$F$10,0)+1,FALSE)</f>
        <v>0</v>
      </c>
      <c r="L267" t="str">
        <f>VLOOKUP($F267&amp;$G267,Composite!$A$5:$Q$865,L$3,FALSE)</f>
        <v>ResCACPNW</v>
      </c>
      <c r="M267" s="31">
        <f>VLOOKUP($F267&amp;$G267,Composite!$A$5:$Q$865,M$3,FALSE)*VLOOKUP($C267,[2]!ExistingSat,MATCH($A267,[2]SATS!$C$10:$F$10,0)+1,FALSE)</f>
        <v>0</v>
      </c>
      <c r="N267" s="31">
        <f>VLOOKUP($F267&amp;$G267,Composite!$A$5:$Q$865,N$3,FALSE)*VLOOKUP($C267,[2]!ExistingSat,MATCH($A267,[2]SATS!$C$10:$F$10,0)+1,FALSE)</f>
        <v>0</v>
      </c>
      <c r="O267">
        <f>VLOOKUP($F267&amp;$G267,Composite!$A$5:$Q$865,O$3,FALSE)</f>
        <v>0</v>
      </c>
      <c r="P267" s="31">
        <f>VLOOKUP($F267&amp;$G267,Composite!$A$5:$Q$865,P$3,FALSE)*VLOOKUP($C267,[2]!ExistingSat,MATCH($A267,[2]SATS!$C$10:$F$10,0)+1,FALSE)</f>
        <v>0</v>
      </c>
      <c r="Q267">
        <f>VLOOKUP($F267&amp;$G267,Composite!$A$5:$Q$865,Q$3,FALSE)</f>
        <v>0</v>
      </c>
      <c r="R267" s="31">
        <f>VLOOKUP($F267&amp;$G267,Composite!$A$5:$Q$865,R$3,FALSE)*VLOOKUP($C267,[2]!ExistingSat,MATCH($A267,[2]SATS!$C$10:$F$10,0)+1,FALSE)</f>
        <v>0</v>
      </c>
      <c r="S267">
        <f>VLOOKUP($F267&amp;$G267,Composite!$A$5:$Q$865,S$3,FALSE)</f>
        <v>0</v>
      </c>
      <c r="T267" s="31">
        <f>VLOOKUP($F267&amp;$G267,Composite!$A$5:$Q$865,T$3,FALSE)*VLOOKUP($C267,[2]!ExistingSat,MATCH($A267,[2]SATS!$C$10:$F$10,0)+1,FALSE)</f>
        <v>0</v>
      </c>
    </row>
    <row r="268" spans="1:20">
      <c r="A268" t="s">
        <v>25</v>
      </c>
      <c r="B268" t="s">
        <v>229</v>
      </c>
      <c r="C268" t="s">
        <v>26</v>
      </c>
      <c r="D268" t="s">
        <v>62</v>
      </c>
      <c r="E268" t="str">
        <f t="shared" si="5"/>
        <v>Heat PumpHZ3FLOOR R0 - R19 (cooling savings)</v>
      </c>
      <c r="F268" s="31" t="str">
        <f>Composite!B267</f>
        <v>Single Family Weatherization - Insulate Floor - R0 to R19 - Heating Zone 3 (Heat Pump)</v>
      </c>
      <c r="G268" t="s">
        <v>218</v>
      </c>
      <c r="H268" s="31">
        <f>VLOOKUP($F268&amp;$G268,Composite!$A$5:$Q$865,H$3,FALSE)*VLOOKUP($C268,[2]!ExistingSat,MATCH($A268,[2]SATS!$C$10:$F$10,0)+1,FALSE)</f>
        <v>-4.4121577288251776</v>
      </c>
      <c r="I268">
        <f>VLOOKUP($F268&amp;$G268,Composite!$A$5:$Q$865,I$3,FALSE)</f>
        <v>45</v>
      </c>
      <c r="J268" s="31">
        <f>VLOOKUP($F268&amp;$G268,Composite!$A$5:$Q$865,J$3,FALSE)*VLOOKUP($C268,[2]!ExistingSat,MATCH($A268,[2]SATS!$C$10:$F$10,0)+1,FALSE)</f>
        <v>0</v>
      </c>
      <c r="K268" s="31">
        <f>VLOOKUP($F268&amp;$G268,Composite!$A$5:$Q$865,K$3,FALSE)*VLOOKUP($C268,[2]!ExistingSat,MATCH($A268,[2]SATS!$C$10:$F$10,0)+1,FALSE)</f>
        <v>0</v>
      </c>
      <c r="L268" t="str">
        <f>VLOOKUP($F268&amp;$G268,Composite!$A$5:$Q$865,L$3,FALSE)</f>
        <v>ResCACPNW</v>
      </c>
      <c r="M268" s="31">
        <f>VLOOKUP($F268&amp;$G268,Composite!$A$5:$Q$865,M$3,FALSE)*VLOOKUP($C268,[2]!ExistingSat,MATCH($A268,[2]SATS!$C$10:$F$10,0)+1,FALSE)</f>
        <v>0</v>
      </c>
      <c r="N268" s="31">
        <f>VLOOKUP($F268&amp;$G268,Composite!$A$5:$Q$865,N$3,FALSE)*VLOOKUP($C268,[2]!ExistingSat,MATCH($A268,[2]SATS!$C$10:$F$10,0)+1,FALSE)</f>
        <v>0</v>
      </c>
      <c r="O268">
        <f>VLOOKUP($F268&amp;$G268,Composite!$A$5:$Q$865,O$3,FALSE)</f>
        <v>0</v>
      </c>
      <c r="P268" s="31">
        <f>VLOOKUP($F268&amp;$G268,Composite!$A$5:$Q$865,P$3,FALSE)*VLOOKUP($C268,[2]!ExistingSat,MATCH($A268,[2]SATS!$C$10:$F$10,0)+1,FALSE)</f>
        <v>0</v>
      </c>
      <c r="Q268">
        <f>VLOOKUP($F268&amp;$G268,Composite!$A$5:$Q$865,Q$3,FALSE)</f>
        <v>0</v>
      </c>
      <c r="R268" s="31">
        <f>VLOOKUP($F268&amp;$G268,Composite!$A$5:$Q$865,R$3,FALSE)*VLOOKUP($C268,[2]!ExistingSat,MATCH($A268,[2]SATS!$C$10:$F$10,0)+1,FALSE)</f>
        <v>0</v>
      </c>
      <c r="S268">
        <f>VLOOKUP($F268&amp;$G268,Composite!$A$5:$Q$865,S$3,FALSE)</f>
        <v>0</v>
      </c>
      <c r="T268" s="31">
        <f>VLOOKUP($F268&amp;$G268,Composite!$A$5:$Q$865,T$3,FALSE)*VLOOKUP($C268,[2]!ExistingSat,MATCH($A268,[2]SATS!$C$10:$F$10,0)+1,FALSE)</f>
        <v>0</v>
      </c>
    </row>
    <row r="269" spans="1:20">
      <c r="A269" t="s">
        <v>25</v>
      </c>
      <c r="B269" t="s">
        <v>229</v>
      </c>
      <c r="C269" t="s">
        <v>26</v>
      </c>
      <c r="D269" t="s">
        <v>62</v>
      </c>
      <c r="E269" t="str">
        <f t="shared" si="5"/>
        <v>Heat PumpHZ3FLOOR R0 - R25 (cooling savings)</v>
      </c>
      <c r="F269" s="31" t="str">
        <f>Composite!B268</f>
        <v>Single Family Weatherization - Insulate Floor - R0 to R25 - Heating Zone 3 (Heat Pump)</v>
      </c>
      <c r="G269" t="s">
        <v>219</v>
      </c>
      <c r="H269" s="31">
        <f>VLOOKUP($F269&amp;$G269,Composite!$A$5:$Q$865,H$3,FALSE)*VLOOKUP($C269,[2]!ExistingSat,MATCH($A269,[2]SATS!$C$10:$F$10,0)+1,FALSE)</f>
        <v>-5.0195130614633516</v>
      </c>
      <c r="I269">
        <f>VLOOKUP($F269&amp;$G269,Composite!$A$5:$Q$865,I$3,FALSE)</f>
        <v>45</v>
      </c>
      <c r="J269" s="31">
        <f>VLOOKUP($F269&amp;$G269,Composite!$A$5:$Q$865,J$3,FALSE)*VLOOKUP($C269,[2]!ExistingSat,MATCH($A269,[2]SATS!$C$10:$F$10,0)+1,FALSE)</f>
        <v>0</v>
      </c>
      <c r="K269" s="31">
        <f>VLOOKUP($F269&amp;$G269,Composite!$A$5:$Q$865,K$3,FALSE)*VLOOKUP($C269,[2]!ExistingSat,MATCH($A269,[2]SATS!$C$10:$F$10,0)+1,FALSE)</f>
        <v>0</v>
      </c>
      <c r="L269" t="str">
        <f>VLOOKUP($F269&amp;$G269,Composite!$A$5:$Q$865,L$3,FALSE)</f>
        <v>ResCACPNW</v>
      </c>
      <c r="M269" s="31">
        <f>VLOOKUP($F269&amp;$G269,Composite!$A$5:$Q$865,M$3,FALSE)*VLOOKUP($C269,[2]!ExistingSat,MATCH($A269,[2]SATS!$C$10:$F$10,0)+1,FALSE)</f>
        <v>0</v>
      </c>
      <c r="N269" s="31">
        <f>VLOOKUP($F269&amp;$G269,Composite!$A$5:$Q$865,N$3,FALSE)*VLOOKUP($C269,[2]!ExistingSat,MATCH($A269,[2]SATS!$C$10:$F$10,0)+1,FALSE)</f>
        <v>0</v>
      </c>
      <c r="O269">
        <f>VLOOKUP($F269&amp;$G269,Composite!$A$5:$Q$865,O$3,FALSE)</f>
        <v>0</v>
      </c>
      <c r="P269" s="31">
        <f>VLOOKUP($F269&amp;$G269,Composite!$A$5:$Q$865,P$3,FALSE)*VLOOKUP($C269,[2]!ExistingSat,MATCH($A269,[2]SATS!$C$10:$F$10,0)+1,FALSE)</f>
        <v>0</v>
      </c>
      <c r="Q269">
        <f>VLOOKUP($F269&amp;$G269,Composite!$A$5:$Q$865,Q$3,FALSE)</f>
        <v>0</v>
      </c>
      <c r="R269" s="31">
        <f>VLOOKUP($F269&amp;$G269,Composite!$A$5:$Q$865,R$3,FALSE)*VLOOKUP($C269,[2]!ExistingSat,MATCH($A269,[2]SATS!$C$10:$F$10,0)+1,FALSE)</f>
        <v>0</v>
      </c>
      <c r="S269">
        <f>VLOOKUP($F269&amp;$G269,Composite!$A$5:$Q$865,S$3,FALSE)</f>
        <v>0</v>
      </c>
      <c r="T269" s="31">
        <f>VLOOKUP($F269&amp;$G269,Composite!$A$5:$Q$865,T$3,FALSE)*VLOOKUP($C269,[2]!ExistingSat,MATCH($A269,[2]SATS!$C$10:$F$10,0)+1,FALSE)</f>
        <v>0</v>
      </c>
    </row>
    <row r="270" spans="1:20">
      <c r="A270" t="s">
        <v>25</v>
      </c>
      <c r="B270" t="s">
        <v>229</v>
      </c>
      <c r="C270" t="s">
        <v>26</v>
      </c>
      <c r="D270" t="s">
        <v>62</v>
      </c>
      <c r="E270" t="str">
        <f t="shared" si="5"/>
        <v>Heat PumpHZ3FLOOR R0 - R30 (cooling savings)</v>
      </c>
      <c r="F270" s="31" t="str">
        <f>Composite!B269</f>
        <v>Single Family Weatherization - Insulate Floor - R0 to R30 - Heating Zone 3 (Heat Pump)</v>
      </c>
      <c r="G270" t="s">
        <v>220</v>
      </c>
      <c r="H270" s="31">
        <f>VLOOKUP($F270&amp;$G270,Composite!$A$5:$Q$865,H$3,FALSE)*VLOOKUP($C270,[2]!ExistingSat,MATCH($A270,[2]SATS!$C$10:$F$10,0)+1,FALSE)</f>
        <v>-5.4272464014169737</v>
      </c>
      <c r="I270">
        <f>VLOOKUP($F270&amp;$G270,Composite!$A$5:$Q$865,I$3,FALSE)</f>
        <v>45</v>
      </c>
      <c r="J270" s="31">
        <f>VLOOKUP($F270&amp;$G270,Composite!$A$5:$Q$865,J$3,FALSE)*VLOOKUP($C270,[2]!ExistingSat,MATCH($A270,[2]SATS!$C$10:$F$10,0)+1,FALSE)</f>
        <v>0</v>
      </c>
      <c r="K270" s="31">
        <f>VLOOKUP($F270&amp;$G270,Composite!$A$5:$Q$865,K$3,FALSE)*VLOOKUP($C270,[2]!ExistingSat,MATCH($A270,[2]SATS!$C$10:$F$10,0)+1,FALSE)</f>
        <v>0</v>
      </c>
      <c r="L270" t="str">
        <f>VLOOKUP($F270&amp;$G270,Composite!$A$5:$Q$865,L$3,FALSE)</f>
        <v>ResCACPNW</v>
      </c>
      <c r="M270" s="31">
        <f>VLOOKUP($F270&amp;$G270,Composite!$A$5:$Q$865,M$3,FALSE)*VLOOKUP($C270,[2]!ExistingSat,MATCH($A270,[2]SATS!$C$10:$F$10,0)+1,FALSE)</f>
        <v>0</v>
      </c>
      <c r="N270" s="31">
        <f>VLOOKUP($F270&amp;$G270,Composite!$A$5:$Q$865,N$3,FALSE)*VLOOKUP($C270,[2]!ExistingSat,MATCH($A270,[2]SATS!$C$10:$F$10,0)+1,FALSE)</f>
        <v>0</v>
      </c>
      <c r="O270">
        <f>VLOOKUP($F270&amp;$G270,Composite!$A$5:$Q$865,O$3,FALSE)</f>
        <v>0</v>
      </c>
      <c r="P270" s="31">
        <f>VLOOKUP($F270&amp;$G270,Composite!$A$5:$Q$865,P$3,FALSE)*VLOOKUP($C270,[2]!ExistingSat,MATCH($A270,[2]SATS!$C$10:$F$10,0)+1,FALSE)</f>
        <v>0</v>
      </c>
      <c r="Q270">
        <f>VLOOKUP($F270&amp;$G270,Composite!$A$5:$Q$865,Q$3,FALSE)</f>
        <v>0</v>
      </c>
      <c r="R270" s="31">
        <f>VLOOKUP($F270&amp;$G270,Composite!$A$5:$Q$865,R$3,FALSE)*VLOOKUP($C270,[2]!ExistingSat,MATCH($A270,[2]SATS!$C$10:$F$10,0)+1,FALSE)</f>
        <v>0</v>
      </c>
      <c r="S270">
        <f>VLOOKUP($F270&amp;$G270,Composite!$A$5:$Q$865,S$3,FALSE)</f>
        <v>0</v>
      </c>
      <c r="T270" s="31">
        <f>VLOOKUP($F270&amp;$G270,Composite!$A$5:$Q$865,T$3,FALSE)*VLOOKUP($C270,[2]!ExistingSat,MATCH($A270,[2]SATS!$C$10:$F$10,0)+1,FALSE)</f>
        <v>0</v>
      </c>
    </row>
    <row r="271" spans="1:20">
      <c r="A271" t="s">
        <v>25</v>
      </c>
      <c r="B271" t="s">
        <v>229</v>
      </c>
      <c r="C271" t="s">
        <v>27</v>
      </c>
      <c r="D271" t="s">
        <v>62</v>
      </c>
      <c r="E271" t="str">
        <f t="shared" si="5"/>
        <v>Heat PumpHZ3WINDOW CL30 Prime Window Replacement of Single Pane Base (cooling savings)</v>
      </c>
      <c r="F271" s="31" t="str">
        <f>Composite!B270</f>
        <v>Windows - Single Pane to Class 30 - Heating Zone 3 (Heat Pump)</v>
      </c>
      <c r="G271" t="s">
        <v>221</v>
      </c>
      <c r="H271" s="31">
        <f>VLOOKUP($F271&amp;$G271,Composite!$A$5:$Q$865,H$3,FALSE)*VLOOKUP($C271,[2]!ExistingSat,MATCH($A271,[2]SATS!$C$10:$F$10,0)+1,FALSE)</f>
        <v>7.0965391061057312</v>
      </c>
      <c r="I271">
        <f>VLOOKUP($F271&amp;$G271,Composite!$A$5:$Q$865,I$3,FALSE)</f>
        <v>45</v>
      </c>
      <c r="J271" s="31">
        <f>VLOOKUP($F271&amp;$G271,Composite!$A$5:$Q$865,J$3,FALSE)*VLOOKUP($C271,[2]!ExistingSat,MATCH($A271,[2]SATS!$C$10:$F$10,0)+1,FALSE)</f>
        <v>0</v>
      </c>
      <c r="K271" s="31">
        <f>VLOOKUP($F271&amp;$G271,Composite!$A$5:$Q$865,K$3,FALSE)*VLOOKUP($C271,[2]!ExistingSat,MATCH($A271,[2]SATS!$C$10:$F$10,0)+1,FALSE)</f>
        <v>0</v>
      </c>
      <c r="L271" t="str">
        <f>VLOOKUP($F271&amp;$G271,Composite!$A$5:$Q$865,L$3,FALSE)</f>
        <v>ResCACPNW</v>
      </c>
      <c r="M271" s="31">
        <f>VLOOKUP($F271&amp;$G271,Composite!$A$5:$Q$865,M$3,FALSE)*VLOOKUP($C271,[2]!ExistingSat,MATCH($A271,[2]SATS!$C$10:$F$10,0)+1,FALSE)</f>
        <v>0</v>
      </c>
      <c r="N271" s="31">
        <f>VLOOKUP($F271&amp;$G271,Composite!$A$5:$Q$865,N$3,FALSE)*VLOOKUP($C271,[2]!ExistingSat,MATCH($A271,[2]SATS!$C$10:$F$10,0)+1,FALSE)</f>
        <v>0</v>
      </c>
      <c r="O271">
        <f>VLOOKUP($F271&amp;$G271,Composite!$A$5:$Q$865,O$3,FALSE)</f>
        <v>0</v>
      </c>
      <c r="P271" s="31">
        <f>VLOOKUP($F271&amp;$G271,Composite!$A$5:$Q$865,P$3,FALSE)*VLOOKUP($C271,[2]!ExistingSat,MATCH($A271,[2]SATS!$C$10:$F$10,0)+1,FALSE)</f>
        <v>0</v>
      </c>
      <c r="Q271">
        <f>VLOOKUP($F271&amp;$G271,Composite!$A$5:$Q$865,Q$3,FALSE)</f>
        <v>0</v>
      </c>
      <c r="R271" s="31">
        <f>VLOOKUP($F271&amp;$G271,Composite!$A$5:$Q$865,R$3,FALSE)*VLOOKUP($C271,[2]!ExistingSat,MATCH($A271,[2]SATS!$C$10:$F$10,0)+1,FALSE)</f>
        <v>0</v>
      </c>
      <c r="S271">
        <f>VLOOKUP($F271&amp;$G271,Composite!$A$5:$Q$865,S$3,FALSE)</f>
        <v>0</v>
      </c>
      <c r="T271" s="31">
        <f>VLOOKUP($F271&amp;$G271,Composite!$A$5:$Q$865,T$3,FALSE)*VLOOKUP($C271,[2]!ExistingSat,MATCH($A271,[2]SATS!$C$10:$F$10,0)+1,FALSE)</f>
        <v>0</v>
      </c>
    </row>
    <row r="272" spans="1:20">
      <c r="A272" t="s">
        <v>25</v>
      </c>
      <c r="B272" t="s">
        <v>229</v>
      </c>
      <c r="C272" t="s">
        <v>27</v>
      </c>
      <c r="D272" t="s">
        <v>62</v>
      </c>
      <c r="E272" t="str">
        <f t="shared" si="5"/>
        <v>Heat PumpHZ3WINDOW CL30 Prime Window Replacement of Double Pane Base (cooling savings)</v>
      </c>
      <c r="F272" s="31" t="str">
        <f>Composite!B271</f>
        <v>Windows - Double Pane to Class 30 - Heating Zone 3 (Heat Pump)</v>
      </c>
      <c r="G272" t="s">
        <v>222</v>
      </c>
      <c r="H272" s="31">
        <f>VLOOKUP($F272&amp;$G272,Composite!$A$5:$Q$865,H$3,FALSE)*VLOOKUP($C272,[2]!ExistingSat,MATCH($A272,[2]SATS!$C$10:$F$10,0)+1,FALSE)</f>
        <v>10.487728611090862</v>
      </c>
      <c r="I272">
        <f>VLOOKUP($F272&amp;$G272,Composite!$A$5:$Q$865,I$3,FALSE)</f>
        <v>45</v>
      </c>
      <c r="J272" s="31">
        <f>VLOOKUP($F272&amp;$G272,Composite!$A$5:$Q$865,J$3,FALSE)*VLOOKUP($C272,[2]!ExistingSat,MATCH($A272,[2]SATS!$C$10:$F$10,0)+1,FALSE)</f>
        <v>0</v>
      </c>
      <c r="K272" s="31">
        <f>VLOOKUP($F272&amp;$G272,Composite!$A$5:$Q$865,K$3,FALSE)*VLOOKUP($C272,[2]!ExistingSat,MATCH($A272,[2]SATS!$C$10:$F$10,0)+1,FALSE)</f>
        <v>0</v>
      </c>
      <c r="L272" t="str">
        <f>VLOOKUP($F272&amp;$G272,Composite!$A$5:$Q$865,L$3,FALSE)</f>
        <v>ResCACPNW</v>
      </c>
      <c r="M272" s="31">
        <f>VLOOKUP($F272&amp;$G272,Composite!$A$5:$Q$865,M$3,FALSE)*VLOOKUP($C272,[2]!ExistingSat,MATCH($A272,[2]SATS!$C$10:$F$10,0)+1,FALSE)</f>
        <v>0</v>
      </c>
      <c r="N272" s="31">
        <f>VLOOKUP($F272&amp;$G272,Composite!$A$5:$Q$865,N$3,FALSE)*VLOOKUP($C272,[2]!ExistingSat,MATCH($A272,[2]SATS!$C$10:$F$10,0)+1,FALSE)</f>
        <v>0</v>
      </c>
      <c r="O272">
        <f>VLOOKUP($F272&amp;$G272,Composite!$A$5:$Q$865,O$3,FALSE)</f>
        <v>0</v>
      </c>
      <c r="P272" s="31">
        <f>VLOOKUP($F272&amp;$G272,Composite!$A$5:$Q$865,P$3,FALSE)*VLOOKUP($C272,[2]!ExistingSat,MATCH($A272,[2]SATS!$C$10:$F$10,0)+1,FALSE)</f>
        <v>0</v>
      </c>
      <c r="Q272">
        <f>VLOOKUP($F272&amp;$G272,Composite!$A$5:$Q$865,Q$3,FALSE)</f>
        <v>0</v>
      </c>
      <c r="R272" s="31">
        <f>VLOOKUP($F272&amp;$G272,Composite!$A$5:$Q$865,R$3,FALSE)*VLOOKUP($C272,[2]!ExistingSat,MATCH($A272,[2]SATS!$C$10:$F$10,0)+1,FALSE)</f>
        <v>0</v>
      </c>
      <c r="S272">
        <f>VLOOKUP($F272&amp;$G272,Composite!$A$5:$Q$865,S$3,FALSE)</f>
        <v>0</v>
      </c>
      <c r="T272" s="31">
        <f>VLOOKUP($F272&amp;$G272,Composite!$A$5:$Q$865,T$3,FALSE)*VLOOKUP($C272,[2]!ExistingSat,MATCH($A272,[2]SATS!$C$10:$F$10,0)+1,FALSE)</f>
        <v>0</v>
      </c>
    </row>
    <row r="273" spans="1:21">
      <c r="A273" t="s">
        <v>25</v>
      </c>
      <c r="B273" t="s">
        <v>229</v>
      </c>
      <c r="C273" t="s">
        <v>27</v>
      </c>
      <c r="D273" t="s">
        <v>62</v>
      </c>
      <c r="E273" t="str">
        <f t="shared" si="5"/>
        <v>Heat PumpHZ3WINDOW CL22 Prime Window Replacement of Single Pane Base (cooling savings)</v>
      </c>
      <c r="F273" s="31" t="str">
        <f>Composite!B272</f>
        <v>Windows - Single Pane to Class 22 - Heating Zone 3 (Heat Pump)</v>
      </c>
      <c r="G273" t="s">
        <v>224</v>
      </c>
      <c r="H273" s="31">
        <f>VLOOKUP($F273&amp;$G273,Composite!$A$5:$Q$865,H$3,FALSE)*VLOOKUP($C273,[2]!ExistingSat,MATCH($A273,[2]SATS!$C$10:$F$10,0)+1,FALSE)</f>
        <v>7.5398886223702686</v>
      </c>
      <c r="I273">
        <f>VLOOKUP($F273&amp;$G273,Composite!$A$5:$Q$865,I$3,FALSE)</f>
        <v>45</v>
      </c>
      <c r="J273" s="31">
        <f>VLOOKUP($F273&amp;$G273,Composite!$A$5:$Q$865,J$3,FALSE)*VLOOKUP($C273,[2]!ExistingSat,MATCH($A273,[2]SATS!$C$10:$F$10,0)+1,FALSE)</f>
        <v>0</v>
      </c>
      <c r="K273" s="31">
        <f>VLOOKUP($F273&amp;$G273,Composite!$A$5:$Q$865,K$3,FALSE)*VLOOKUP($C273,[2]!ExistingSat,MATCH($A273,[2]SATS!$C$10:$F$10,0)+1,FALSE)</f>
        <v>0</v>
      </c>
      <c r="L273" t="str">
        <f>VLOOKUP($F273&amp;$G273,Composite!$A$5:$Q$865,L$3,FALSE)</f>
        <v>ResCACPNW</v>
      </c>
      <c r="M273" s="31">
        <f>VLOOKUP($F273&amp;$G273,Composite!$A$5:$Q$865,M$3,FALSE)*VLOOKUP($C273,[2]!ExistingSat,MATCH($A273,[2]SATS!$C$10:$F$10,0)+1,FALSE)</f>
        <v>0</v>
      </c>
      <c r="N273" s="31">
        <f>VLOOKUP($F273&amp;$G273,Composite!$A$5:$Q$865,N$3,FALSE)*VLOOKUP($C273,[2]!ExistingSat,MATCH($A273,[2]SATS!$C$10:$F$10,0)+1,FALSE)</f>
        <v>0</v>
      </c>
      <c r="O273">
        <f>VLOOKUP($F273&amp;$G273,Composite!$A$5:$Q$865,O$3,FALSE)</f>
        <v>0</v>
      </c>
      <c r="P273" s="31">
        <f>VLOOKUP($F273&amp;$G273,Composite!$A$5:$Q$865,P$3,FALSE)*VLOOKUP($C273,[2]!ExistingSat,MATCH($A273,[2]SATS!$C$10:$F$10,0)+1,FALSE)</f>
        <v>0</v>
      </c>
      <c r="Q273">
        <f>VLOOKUP($F273&amp;$G273,Composite!$A$5:$Q$865,Q$3,FALSE)</f>
        <v>0</v>
      </c>
      <c r="R273" s="31">
        <f>VLOOKUP($F273&amp;$G273,Composite!$A$5:$Q$865,R$3,FALSE)*VLOOKUP($C273,[2]!ExistingSat,MATCH($A273,[2]SATS!$C$10:$F$10,0)+1,FALSE)</f>
        <v>0</v>
      </c>
      <c r="S273">
        <f>VLOOKUP($F273&amp;$G273,Composite!$A$5:$Q$865,S$3,FALSE)</f>
        <v>0</v>
      </c>
      <c r="T273" s="31">
        <f>VLOOKUP($F273&amp;$G273,Composite!$A$5:$Q$865,T$3,FALSE)*VLOOKUP($C273,[2]!ExistingSat,MATCH($A273,[2]SATS!$C$10:$F$10,0)+1,FALSE)</f>
        <v>0</v>
      </c>
    </row>
    <row r="274" spans="1:21">
      <c r="A274" t="s">
        <v>25</v>
      </c>
      <c r="B274" t="s">
        <v>229</v>
      </c>
      <c r="C274" t="s">
        <v>27</v>
      </c>
      <c r="D274" t="s">
        <v>62</v>
      </c>
      <c r="E274" t="str">
        <f t="shared" si="5"/>
        <v>Heat PumpHZ3WINDOW CL22 Prime Window Replacement of Double Pane Base (cooling savings)</v>
      </c>
      <c r="F274" s="31" t="str">
        <f>Composite!B273</f>
        <v>Windows - Double Pane to Class 22 - Heating Zone 3 (Heat Pump)</v>
      </c>
      <c r="G274" t="s">
        <v>225</v>
      </c>
      <c r="H274" s="31">
        <f>VLOOKUP($F274&amp;$G274,Composite!$A$5:$Q$865,H$3,FALSE)*VLOOKUP($C274,[2]!ExistingSat,MATCH($A274,[2]SATS!$C$10:$F$10,0)+1,FALSE)</f>
        <v>10.931078127355402</v>
      </c>
      <c r="I274">
        <f>VLOOKUP($F274&amp;$G274,Composite!$A$5:$Q$865,I$3,FALSE)</f>
        <v>45</v>
      </c>
      <c r="J274" s="31">
        <f>VLOOKUP($F274&amp;$G274,Composite!$A$5:$Q$865,J$3,FALSE)*VLOOKUP($C274,[2]!ExistingSat,MATCH($A274,[2]SATS!$C$10:$F$10,0)+1,FALSE)</f>
        <v>0</v>
      </c>
      <c r="K274" s="31">
        <f>VLOOKUP($F274&amp;$G274,Composite!$A$5:$Q$865,K$3,FALSE)*VLOOKUP($C274,[2]!ExistingSat,MATCH($A274,[2]SATS!$C$10:$F$10,0)+1,FALSE)</f>
        <v>0</v>
      </c>
      <c r="L274" t="str">
        <f>VLOOKUP($F274&amp;$G274,Composite!$A$5:$Q$865,L$3,FALSE)</f>
        <v>ResCACPNW</v>
      </c>
      <c r="M274" s="31">
        <f>VLOOKUP($F274&amp;$G274,Composite!$A$5:$Q$865,M$3,FALSE)*VLOOKUP($C274,[2]!ExistingSat,MATCH($A274,[2]SATS!$C$10:$F$10,0)+1,FALSE)</f>
        <v>0</v>
      </c>
      <c r="N274" s="31">
        <f>VLOOKUP($F274&amp;$G274,Composite!$A$5:$Q$865,N$3,FALSE)*VLOOKUP($C274,[2]!ExistingSat,MATCH($A274,[2]SATS!$C$10:$F$10,0)+1,FALSE)</f>
        <v>0</v>
      </c>
      <c r="O274">
        <f>VLOOKUP($F274&amp;$G274,Composite!$A$5:$Q$865,O$3,FALSE)</f>
        <v>0</v>
      </c>
      <c r="P274" s="31">
        <f>VLOOKUP($F274&amp;$G274,Composite!$A$5:$Q$865,P$3,FALSE)*VLOOKUP($C274,[2]!ExistingSat,MATCH($A274,[2]SATS!$C$10:$F$10,0)+1,FALSE)</f>
        <v>0</v>
      </c>
      <c r="Q274">
        <f>VLOOKUP($F274&amp;$G274,Composite!$A$5:$Q$865,Q$3,FALSE)</f>
        <v>0</v>
      </c>
      <c r="R274" s="31">
        <f>VLOOKUP($F274&amp;$G274,Composite!$A$5:$Q$865,R$3,FALSE)*VLOOKUP($C274,[2]!ExistingSat,MATCH($A274,[2]SATS!$C$10:$F$10,0)+1,FALSE)</f>
        <v>0</v>
      </c>
      <c r="S274">
        <f>VLOOKUP($F274&amp;$G274,Composite!$A$5:$Q$865,S$3,FALSE)</f>
        <v>0</v>
      </c>
      <c r="T274" s="31">
        <f>VLOOKUP($F274&amp;$G274,Composite!$A$5:$Q$865,T$3,FALSE)*VLOOKUP($C274,[2]!ExistingSat,MATCH($A274,[2]SATS!$C$10:$F$10,0)+1,FALSE)</f>
        <v>0</v>
      </c>
    </row>
    <row r="275" spans="1:21">
      <c r="A275" t="s">
        <v>25</v>
      </c>
      <c r="B275" t="s">
        <v>229</v>
      </c>
      <c r="C275" t="s">
        <v>66</v>
      </c>
      <c r="D275" t="s">
        <v>62</v>
      </c>
      <c r="E275" t="str">
        <f t="shared" si="5"/>
        <v>Heat PumpHZ3CFM50 Infiltration Reduction (cooling savings)</v>
      </c>
      <c r="F275" s="31" t="str">
        <f>Composite!B274</f>
        <v>Infiltration Reduction - CFM50 reduction - Heating Zone 3 (Heat Pump)</v>
      </c>
      <c r="G275" t="s">
        <v>890</v>
      </c>
      <c r="H275" s="31">
        <f>VLOOKUP($F275&amp;$G275,Composite!$A$5:$Q$865,H$3,FALSE)*VLOOKUP($C275,[2]!ExistingSat,MATCH($A275,[2]SATS!$C$10:$F$10,0)+1,FALSE)</f>
        <v>-1.1619527864381152</v>
      </c>
      <c r="I275">
        <f>VLOOKUP($F275&amp;$G275,Composite!$A$5:$Q$865,I$3,FALSE)</f>
        <v>15</v>
      </c>
      <c r="J275" s="31">
        <f>VLOOKUP($F275&amp;$G275,Composite!$A$5:$Q$865,J$3,FALSE)*VLOOKUP($C275,[2]!ExistingSat,MATCH($A275,[2]SATS!$C$10:$F$10,0)+1,FALSE)</f>
        <v>0</v>
      </c>
      <c r="K275" s="31">
        <f>VLOOKUP($F275&amp;$G275,Composite!$A$5:$Q$865,K$3,FALSE)*VLOOKUP($C275,[2]!ExistingSat,MATCH($A275,[2]SATS!$C$10:$F$10,0)+1,FALSE)</f>
        <v>0</v>
      </c>
      <c r="L275" t="str">
        <f>VLOOKUP($F275&amp;$G275,Composite!$A$5:$Q$865,L$3,FALSE)</f>
        <v>ResCACPNW</v>
      </c>
      <c r="M275" s="31">
        <f>VLOOKUP($F275&amp;$G275,Composite!$A$5:$Q$865,M$3,FALSE)*VLOOKUP($C275,[2]!ExistingSat,MATCH($A275,[2]SATS!$C$10:$F$10,0)+1,FALSE)</f>
        <v>0</v>
      </c>
      <c r="N275" s="31">
        <f>VLOOKUP($F275&amp;$G275,Composite!$A$5:$Q$865,N$3,FALSE)*VLOOKUP($C275,[2]!ExistingSat,MATCH($A275,[2]SATS!$C$10:$F$10,0)+1,FALSE)</f>
        <v>0</v>
      </c>
      <c r="O275">
        <f>VLOOKUP($F275&amp;$G275,Composite!$A$5:$Q$865,O$3,FALSE)</f>
        <v>0</v>
      </c>
      <c r="P275" s="31">
        <f>VLOOKUP($F275&amp;$G275,Composite!$A$5:$Q$865,P$3,FALSE)*VLOOKUP($C275,[2]!ExistingSat,MATCH($A275,[2]SATS!$C$10:$F$10,0)+1,FALSE)</f>
        <v>0</v>
      </c>
      <c r="Q275">
        <f>VLOOKUP($F275&amp;$G275,Composite!$A$5:$Q$865,Q$3,FALSE)</f>
        <v>0</v>
      </c>
      <c r="R275" s="31">
        <f>VLOOKUP($F275&amp;$G275,Composite!$A$5:$Q$865,R$3,FALSE)*VLOOKUP($C275,[2]!ExistingSat,MATCH($A275,[2]SATS!$C$10:$F$10,0)+1,FALSE)</f>
        <v>0</v>
      </c>
      <c r="S275">
        <f>VLOOKUP($F275&amp;$G275,Composite!$A$5:$Q$865,S$3,FALSE)</f>
        <v>0</v>
      </c>
      <c r="T275" s="31">
        <f>VLOOKUP($F275&amp;$G275,Composite!$A$5:$Q$865,T$3,FALSE)*VLOOKUP($C275,[2]!ExistingSat,MATCH($A275,[2]SATS!$C$10:$F$10,0)+1,FALSE)</f>
        <v>0</v>
      </c>
    </row>
    <row r="278" spans="1:21">
      <c r="A278" t="s">
        <v>832</v>
      </c>
    </row>
    <row r="279" spans="1:21">
      <c r="H279">
        <v>4</v>
      </c>
      <c r="I279">
        <v>5</v>
      </c>
      <c r="J279">
        <v>6</v>
      </c>
      <c r="K279">
        <v>7</v>
      </c>
      <c r="L279">
        <v>8</v>
      </c>
      <c r="M279">
        <v>9</v>
      </c>
      <c r="N279">
        <v>10</v>
      </c>
      <c r="O279">
        <v>11</v>
      </c>
      <c r="P279">
        <v>12</v>
      </c>
      <c r="Q279">
        <v>13</v>
      </c>
      <c r="R279">
        <v>14</v>
      </c>
      <c r="S279">
        <v>15</v>
      </c>
      <c r="T279">
        <v>16</v>
      </c>
      <c r="U279">
        <v>17</v>
      </c>
    </row>
    <row r="280" spans="1:21">
      <c r="F280" s="12" t="s">
        <v>2</v>
      </c>
      <c r="G280" s="13"/>
      <c r="H280" s="13"/>
      <c r="I280" s="13"/>
      <c r="J280" s="13"/>
      <c r="K280" s="13"/>
      <c r="L280" s="14"/>
      <c r="M280" s="28"/>
      <c r="N280" s="401" t="s">
        <v>3</v>
      </c>
      <c r="O280" s="402"/>
      <c r="P280" s="402"/>
      <c r="Q280" s="402"/>
      <c r="R280" s="402"/>
      <c r="S280" s="403"/>
      <c r="T280" s="404" t="s">
        <v>4</v>
      </c>
      <c r="U280" s="405"/>
    </row>
    <row r="281" spans="1:21" ht="25.5">
      <c r="F281" s="29" t="s">
        <v>5</v>
      </c>
      <c r="G281" s="29" t="s">
        <v>6</v>
      </c>
      <c r="H281" s="29" t="s">
        <v>7</v>
      </c>
      <c r="I281" s="29" t="s">
        <v>8</v>
      </c>
      <c r="J281" s="29" t="s">
        <v>9</v>
      </c>
      <c r="K281" s="29" t="s">
        <v>10</v>
      </c>
      <c r="L281" s="29" t="s">
        <v>11</v>
      </c>
      <c r="M281" s="29" t="s">
        <v>12</v>
      </c>
      <c r="N281" s="29" t="s">
        <v>13</v>
      </c>
      <c r="O281" s="29" t="s">
        <v>14</v>
      </c>
      <c r="P281" s="29" t="s">
        <v>15</v>
      </c>
      <c r="Q281" s="29" t="s">
        <v>16</v>
      </c>
      <c r="R281" s="29" t="s">
        <v>17</v>
      </c>
      <c r="S281" s="29" t="s">
        <v>18</v>
      </c>
      <c r="T281" s="30" t="s">
        <v>19</v>
      </c>
      <c r="U281" s="29" t="s">
        <v>11</v>
      </c>
    </row>
    <row r="282" spans="1:21">
      <c r="A282" t="s">
        <v>227</v>
      </c>
      <c r="B282" t="s">
        <v>227</v>
      </c>
      <c r="C282" t="s">
        <v>60</v>
      </c>
      <c r="D282" t="s">
        <v>61</v>
      </c>
      <c r="E282" t="s">
        <v>62</v>
      </c>
      <c r="F282" s="55" t="str">
        <f>CONCATENATE(G282,"_",A282)</f>
        <v>ATTIC R0 - R38_Electric FAF</v>
      </c>
      <c r="G282" t="s">
        <v>68</v>
      </c>
      <c r="H282" s="31">
        <f>VLOOKUP($B282&amp;$C$282&amp;$G282,$E$6:$U$275,H$279,FALSE)*VLOOKUP($A282,Weighting!$D$26:$G$30,MATCH(Segmented!$C$282,Weighting!$E$26:$H$26,0)+1,FALSE)+VLOOKUP($B282&amp;$D$282&amp;$G282,$E$6:$U$275,H$279,FALSE)*VLOOKUP($A282,Weighting!$D$26:$G$30,MATCH(Segmented!$D$282,Weighting!$E$26:$H$26,0)+1,FALSE)+VLOOKUP($B282&amp;$E$282&amp;$G282,$E$6:$U$275,H$279,FALSE)*VLOOKUP($A282,Weighting!$D$26:$G$30,MATCH(Segmented!$E$282,Weighting!$E$26:$H$26,0)+1,FALSE)</f>
        <v>1632.7147021344419</v>
      </c>
      <c r="I282">
        <f t="shared" ref="I282:I313" si="6">I6</f>
        <v>45</v>
      </c>
      <c r="J282" s="31">
        <f>VLOOKUP($B282&amp;$C$282&amp;$G282,$E$6:$U$275,J$279,FALSE)*VLOOKUP($A282,Weighting!$D$26:$G$30,MATCH(Segmented!$C$282,Weighting!$E$26:$H$26,0)+1,FALSE)+VLOOKUP($B282&amp;$D$282&amp;$G282,$E$6:$U$275,J$279,FALSE)*VLOOKUP($A282,Weighting!$D$26:$G$30,MATCH(Segmented!$D$282,Weighting!$E$26:$H$26,0)+1,FALSE)+VLOOKUP($B282&amp;$E$282&amp;$G282,$E$6:$U$275,J$279,FALSE)*VLOOKUP($A282,Weighting!$D$26:$G$30,MATCH(Segmented!$E$282,Weighting!$E$26:$H$26,0)+1,FALSE)</f>
        <v>588.47688837074031</v>
      </c>
      <c r="K282" s="31">
        <f>VLOOKUP($B282&amp;$C$282&amp;$G282,$E$6:$U$275,K$279,FALSE)*VLOOKUP($A282,Weighting!$D$26:$G$30,MATCH(Segmented!$C$282,Weighting!$E$26:$H$26,0)+1,FALSE)+VLOOKUP($B282&amp;$D$282&amp;$G282,$E$6:$U$275,K$279,FALSE)*VLOOKUP($A282,Weighting!$D$26:$G$30,MATCH(Segmented!$D$282,Weighting!$E$26:$H$26,0)+1,FALSE)+VLOOKUP($B282&amp;$E$282&amp;$G282,$E$6:$U$275,K$279,FALSE)*VLOOKUP($A282,Weighting!$D$26:$G$30,MATCH(Segmented!$E$282,Weighting!$E$26:$H$26,0)+1,FALSE)</f>
        <v>0</v>
      </c>
      <c r="L282" t="str">
        <f t="shared" ref="L282:L313" si="7">L6</f>
        <v>ResSpHtFAFZ1</v>
      </c>
      <c r="M282" s="31">
        <f>VLOOKUP($B282&amp;$C$282&amp;$G282,$E$6:$U$275,M$279,FALSE)*VLOOKUP($A282,Weighting!$D$26:$G$30,MATCH(Segmented!$C$282,Weighting!$E$26:$H$26,0)+1,FALSE)+VLOOKUP($B282&amp;$D$282&amp;$G282,$E$6:$U$275,M$279,FALSE)*VLOOKUP($A282,Weighting!$D$26:$G$30,MATCH(Segmented!$D$282,Weighting!$E$26:$H$26,0)+1,FALSE)+VLOOKUP($B282&amp;$E$282&amp;$G282,$E$6:$U$275,M$279,FALSE)*VLOOKUP($A282,Weighting!$D$26:$G$30,MATCH(Segmented!$E$282,Weighting!$E$26:$H$26,0)+1,FALSE)</f>
        <v>6.0037012759703945</v>
      </c>
      <c r="N282" s="31">
        <f>VLOOKUP($B282&amp;$C$282&amp;$G282,$E$6:$U$275,N$279,FALSE)*VLOOKUP($A282,Weighting!$D$26:$G$30,MATCH(Segmented!$C$282,Weighting!$E$26:$H$26,0)+1,FALSE)+VLOOKUP($B282&amp;$D$282&amp;$G282,$E$6:$U$275,N$279,FALSE)*VLOOKUP($A282,Weighting!$D$26:$G$30,MATCH(Segmented!$D$282,Weighting!$E$26:$H$26,0)+1,FALSE)+VLOOKUP($B282&amp;$E$282&amp;$G282,$E$6:$U$275,N$279,FALSE)*VLOOKUP($A282,Weighting!$D$26:$G$30,MATCH(Segmented!$E$282,Weighting!$E$26:$H$26,0)+1,FALSE)</f>
        <v>0</v>
      </c>
      <c r="O282">
        <f t="shared" ref="O282:O313" si="8">O6</f>
        <v>0</v>
      </c>
      <c r="P282" s="31">
        <f>VLOOKUP($B282&amp;$C$282&amp;$G282,$E$6:$U$275,P$279,FALSE)*VLOOKUP($A282,Weighting!$D$26:$G$30,MATCH(Segmented!$C$282,Weighting!$E$26:$H$26,0)+1,FALSE)+VLOOKUP($B282&amp;$D$282&amp;$G282,$E$6:$U$275,P$279,FALSE)*VLOOKUP($A282,Weighting!$D$26:$G$30,MATCH(Segmented!$D$282,Weighting!$E$26:$H$26,0)+1,FALSE)+VLOOKUP($B282&amp;$E$282&amp;$G282,$E$6:$U$275,P$279,FALSE)*VLOOKUP($A282,Weighting!$D$26:$G$30,MATCH(Segmented!$E$282,Weighting!$E$26:$H$26,0)+1,FALSE)</f>
        <v>0</v>
      </c>
      <c r="Q282">
        <f t="shared" ref="Q282:Q313" si="9">Q6</f>
        <v>0</v>
      </c>
      <c r="R282" s="31">
        <f>VLOOKUP($B282&amp;$C$282&amp;$G282,$E$6:$U$275,R$279,FALSE)*VLOOKUP($A282,Weighting!$D$26:$G$30,MATCH(Segmented!$C$282,Weighting!$E$26:$H$26,0)+1,FALSE)+VLOOKUP($B282&amp;$D$282&amp;$G282,$E$6:$U$275,R$279,FALSE)*VLOOKUP($A282,Weighting!$D$26:$G$30,MATCH(Segmented!$D$282,Weighting!$E$26:$H$26,0)+1,FALSE)+VLOOKUP($B282&amp;$E$282&amp;$G282,$E$6:$U$275,R$279,FALSE)*VLOOKUP($A282,Weighting!$D$26:$G$30,MATCH(Segmented!$E$282,Weighting!$E$26:$H$26,0)+1,FALSE)</f>
        <v>0</v>
      </c>
      <c r="S282">
        <f t="shared" ref="S282:S313" si="10">S6</f>
        <v>0</v>
      </c>
      <c r="T282" s="31">
        <f>VLOOKUP($B282&amp;$C$282&amp;$G282,$E$6:$U$275,T$279,FALSE)*VLOOKUP($A282,Weighting!$D$26:$G$30,MATCH(Segmented!$C$282,Weighting!$E$26:$H$26,0)+1,FALSE)+VLOOKUP($B282&amp;$D$282&amp;$G282,$E$6:$U$275,T$279,FALSE)*VLOOKUP($A282,Weighting!$D$26:$G$30,MATCH(Segmented!$D$282,Weighting!$E$26:$H$26,0)+1,FALSE)+VLOOKUP($B282&amp;$E$282&amp;$G282,$E$6:$U$275,T$279,FALSE)*VLOOKUP($A282,Weighting!$D$26:$G$30,MATCH(Segmented!$E$282,Weighting!$E$26:$H$26,0)+1,FALSE)</f>
        <v>0</v>
      </c>
    </row>
    <row r="283" spans="1:21">
      <c r="A283" t="s">
        <v>227</v>
      </c>
      <c r="B283" t="s">
        <v>227</v>
      </c>
      <c r="F283" s="55" t="str">
        <f t="shared" ref="F283:F339" si="11">CONCATENATE(G283,"_",A283)</f>
        <v>ATTIC R0 - R49_Electric FAF</v>
      </c>
      <c r="G283" t="s">
        <v>71</v>
      </c>
      <c r="H283" s="31">
        <f>VLOOKUP($B283&amp;$C$282&amp;$G283,$E$6:$U$275,H$279,FALSE)*VLOOKUP($A283,Weighting!$D$26:$G$30,MATCH(Segmented!$C$282,Weighting!$E$26:$H$26,0)+1,FALSE)+VLOOKUP($B283&amp;$D$282&amp;$G283,$E$6:$U$275,H$279,FALSE)*VLOOKUP($A283,Weighting!$D$26:$G$30,MATCH(Segmented!$D$282,Weighting!$E$26:$H$26,0)+1,FALSE)+VLOOKUP($B283&amp;$E$282&amp;$G283,$E$6:$U$275,H$279,FALSE)*VLOOKUP($A283,Weighting!$D$26:$G$30,MATCH(Segmented!$E$282,Weighting!$E$26:$H$26,0)+1,FALSE)</f>
        <v>1656.5056434593455</v>
      </c>
      <c r="I283">
        <f t="shared" si="6"/>
        <v>45</v>
      </c>
      <c r="J283" s="31">
        <f>VLOOKUP($B283&amp;$C$282&amp;$G283,$E$6:$U$275,J$279,FALSE)*VLOOKUP($A283,Weighting!$D$26:$G$30,MATCH(Segmented!$C$282,Weighting!$E$26:$H$26,0)+1,FALSE)+VLOOKUP($B283&amp;$D$282&amp;$G283,$E$6:$U$275,J$279,FALSE)*VLOOKUP($A283,Weighting!$D$26:$G$30,MATCH(Segmented!$D$282,Weighting!$E$26:$H$26,0)+1,FALSE)+VLOOKUP($B283&amp;$E$282&amp;$G283,$E$6:$U$275,J$279,FALSE)*VLOOKUP($A283,Weighting!$D$26:$G$30,MATCH(Segmented!$E$282,Weighting!$E$26:$H$26,0)+1,FALSE)</f>
        <v>672.02883390154909</v>
      </c>
      <c r="K283" s="31">
        <f>VLOOKUP($B283&amp;$C$282&amp;$G283,$E$6:$U$275,K$279,FALSE)*VLOOKUP($A283,Weighting!$D$26:$G$30,MATCH(Segmented!$C$282,Weighting!$E$26:$H$26,0)+1,FALSE)+VLOOKUP($B283&amp;$D$282&amp;$G283,$E$6:$U$275,K$279,FALSE)*VLOOKUP($A283,Weighting!$D$26:$G$30,MATCH(Segmented!$D$282,Weighting!$E$26:$H$26,0)+1,FALSE)+VLOOKUP($B283&amp;$E$282&amp;$G283,$E$6:$U$275,K$279,FALSE)*VLOOKUP($A283,Weighting!$D$26:$G$30,MATCH(Segmented!$E$282,Weighting!$E$26:$H$26,0)+1,FALSE)</f>
        <v>0</v>
      </c>
      <c r="L283" t="str">
        <f t="shared" si="7"/>
        <v>ResSpHtFAFZ1</v>
      </c>
      <c r="M283" s="31">
        <f>VLOOKUP($B283&amp;$C$282&amp;$G283,$E$6:$U$275,M$279,FALSE)*VLOOKUP($A283,Weighting!$D$26:$G$30,MATCH(Segmented!$C$282,Weighting!$E$26:$H$26,0)+1,FALSE)+VLOOKUP($B283&amp;$D$282&amp;$G283,$E$6:$U$275,M$279,FALSE)*VLOOKUP($A283,Weighting!$D$26:$G$30,MATCH(Segmented!$D$282,Weighting!$E$26:$H$26,0)+1,FALSE)+VLOOKUP($B283&amp;$E$282&amp;$G283,$E$6:$U$275,M$279,FALSE)*VLOOKUP($A283,Weighting!$D$26:$G$30,MATCH(Segmented!$E$282,Weighting!$E$26:$H$26,0)+1,FALSE)</f>
        <v>6.2023482598491819</v>
      </c>
      <c r="N283" s="31">
        <f>VLOOKUP($B283&amp;$C$282&amp;$G283,$E$6:$U$275,N$279,FALSE)*VLOOKUP($A283,Weighting!$D$26:$G$30,MATCH(Segmented!$C$282,Weighting!$E$26:$H$26,0)+1,FALSE)+VLOOKUP($B283&amp;$D$282&amp;$G283,$E$6:$U$275,N$279,FALSE)*VLOOKUP($A283,Weighting!$D$26:$G$30,MATCH(Segmented!$D$282,Weighting!$E$26:$H$26,0)+1,FALSE)+VLOOKUP($B283&amp;$E$282&amp;$G283,$E$6:$U$275,N$279,FALSE)*VLOOKUP($A283,Weighting!$D$26:$G$30,MATCH(Segmented!$E$282,Weighting!$E$26:$H$26,0)+1,FALSE)</f>
        <v>0</v>
      </c>
      <c r="O283">
        <f t="shared" si="8"/>
        <v>0</v>
      </c>
      <c r="P283" s="31">
        <f>VLOOKUP($B283&amp;$C$282&amp;$G283,$E$6:$U$275,P$279,FALSE)*VLOOKUP($A283,Weighting!$D$26:$G$30,MATCH(Segmented!$C$282,Weighting!$E$26:$H$26,0)+1,FALSE)+VLOOKUP($B283&amp;$D$282&amp;$G283,$E$6:$U$275,P$279,FALSE)*VLOOKUP($A283,Weighting!$D$26:$G$30,MATCH(Segmented!$D$282,Weighting!$E$26:$H$26,0)+1,FALSE)+VLOOKUP($B283&amp;$E$282&amp;$G283,$E$6:$U$275,P$279,FALSE)*VLOOKUP($A283,Weighting!$D$26:$G$30,MATCH(Segmented!$E$282,Weighting!$E$26:$H$26,0)+1,FALSE)</f>
        <v>0</v>
      </c>
      <c r="Q283">
        <f t="shared" si="9"/>
        <v>0</v>
      </c>
      <c r="R283" s="31">
        <f>VLOOKUP($B283&amp;$C$282&amp;$G283,$E$6:$U$275,R$279,FALSE)*VLOOKUP($A283,Weighting!$D$26:$G$30,MATCH(Segmented!$C$282,Weighting!$E$26:$H$26,0)+1,FALSE)+VLOOKUP($B283&amp;$D$282&amp;$G283,$E$6:$U$275,R$279,FALSE)*VLOOKUP($A283,Weighting!$D$26:$G$30,MATCH(Segmented!$D$282,Weighting!$E$26:$H$26,0)+1,FALSE)+VLOOKUP($B283&amp;$E$282&amp;$G283,$E$6:$U$275,R$279,FALSE)*VLOOKUP($A283,Weighting!$D$26:$G$30,MATCH(Segmented!$E$282,Weighting!$E$26:$H$26,0)+1,FALSE)</f>
        <v>0</v>
      </c>
      <c r="S283">
        <f t="shared" si="10"/>
        <v>0</v>
      </c>
      <c r="T283" s="31">
        <f>VLOOKUP($B283&amp;$C$282&amp;$G283,$E$6:$U$275,T$279,FALSE)*VLOOKUP($A283,Weighting!$D$26:$G$30,MATCH(Segmented!$C$282,Weighting!$E$26:$H$26,0)+1,FALSE)+VLOOKUP($B283&amp;$D$282&amp;$G283,$E$6:$U$275,T$279,FALSE)*VLOOKUP($A283,Weighting!$D$26:$G$30,MATCH(Segmented!$D$282,Weighting!$E$26:$H$26,0)+1,FALSE)+VLOOKUP($B283&amp;$E$282&amp;$G283,$E$6:$U$275,T$279,FALSE)*VLOOKUP($A283,Weighting!$D$26:$G$30,MATCH(Segmented!$E$282,Weighting!$E$26:$H$26,0)+1,FALSE)</f>
        <v>0</v>
      </c>
    </row>
    <row r="284" spans="1:21">
      <c r="A284" t="s">
        <v>227</v>
      </c>
      <c r="B284" t="s">
        <v>227</v>
      </c>
      <c r="F284" s="55" t="str">
        <f t="shared" si="11"/>
        <v>ATTIC R11 - R38_Electric FAF</v>
      </c>
      <c r="G284" t="s">
        <v>73</v>
      </c>
      <c r="H284" s="31">
        <f>VLOOKUP($B284&amp;$C$282&amp;$G284,$E$6:$U$275,H$279,FALSE)*VLOOKUP($A284,Weighting!$D$26:$G$30,MATCH(Segmented!$C$282,Weighting!$E$26:$H$26,0)+1,FALSE)+VLOOKUP($B284&amp;$D$282&amp;$G284,$E$6:$U$275,H$279,FALSE)*VLOOKUP($A284,Weighting!$D$26:$G$30,MATCH(Segmented!$D$282,Weighting!$E$26:$H$26,0)+1,FALSE)+VLOOKUP($B284&amp;$E$282&amp;$G284,$E$6:$U$275,H$279,FALSE)*VLOOKUP($A284,Weighting!$D$26:$G$30,MATCH(Segmented!$E$282,Weighting!$E$26:$H$26,0)+1,FALSE)</f>
        <v>390.83459031313708</v>
      </c>
      <c r="I284">
        <f t="shared" si="6"/>
        <v>45</v>
      </c>
      <c r="J284" s="31">
        <f>VLOOKUP($B284&amp;$C$282&amp;$G284,$E$6:$U$275,J$279,FALSE)*VLOOKUP($A284,Weighting!$D$26:$G$30,MATCH(Segmented!$C$282,Weighting!$E$26:$H$26,0)+1,FALSE)+VLOOKUP($B284&amp;$D$282&amp;$G284,$E$6:$U$275,J$279,FALSE)*VLOOKUP($A284,Weighting!$D$26:$G$30,MATCH(Segmented!$D$282,Weighting!$E$26:$H$26,0)+1,FALSE)+VLOOKUP($B284&amp;$E$282&amp;$G284,$E$6:$U$275,J$279,FALSE)*VLOOKUP($A284,Weighting!$D$26:$G$30,MATCH(Segmented!$E$282,Weighting!$E$26:$H$26,0)+1,FALSE)</f>
        <v>504.9249428399313</v>
      </c>
      <c r="K284" s="31">
        <f>VLOOKUP($B284&amp;$C$282&amp;$G284,$E$6:$U$275,K$279,FALSE)*VLOOKUP($A284,Weighting!$D$26:$G$30,MATCH(Segmented!$C$282,Weighting!$E$26:$H$26,0)+1,FALSE)+VLOOKUP($B284&amp;$D$282&amp;$G284,$E$6:$U$275,K$279,FALSE)*VLOOKUP($A284,Weighting!$D$26:$G$30,MATCH(Segmented!$D$282,Weighting!$E$26:$H$26,0)+1,FALSE)+VLOOKUP($B284&amp;$E$282&amp;$G284,$E$6:$U$275,K$279,FALSE)*VLOOKUP($A284,Weighting!$D$26:$G$30,MATCH(Segmented!$E$282,Weighting!$E$26:$H$26,0)+1,FALSE)</f>
        <v>0</v>
      </c>
      <c r="L284" t="str">
        <f t="shared" si="7"/>
        <v>ResSpHtFAFZ1</v>
      </c>
      <c r="M284" s="31">
        <f>VLOOKUP($B284&amp;$C$282&amp;$G284,$E$6:$U$275,M$279,FALSE)*VLOOKUP($A284,Weighting!$D$26:$G$30,MATCH(Segmented!$C$282,Weighting!$E$26:$H$26,0)+1,FALSE)+VLOOKUP($B284&amp;$D$282&amp;$G284,$E$6:$U$275,M$279,FALSE)*VLOOKUP($A284,Weighting!$D$26:$G$30,MATCH(Segmented!$D$282,Weighting!$E$26:$H$26,0)+1,FALSE)+VLOOKUP($B284&amp;$E$282&amp;$G284,$E$6:$U$275,M$279,FALSE)*VLOOKUP($A284,Weighting!$D$26:$G$30,MATCH(Segmented!$E$282,Weighting!$E$26:$H$26,0)+1,FALSE)</f>
        <v>3.0147892969312537</v>
      </c>
      <c r="N284" s="31">
        <f>VLOOKUP($B284&amp;$C$282&amp;$G284,$E$6:$U$275,N$279,FALSE)*VLOOKUP($A284,Weighting!$D$26:$G$30,MATCH(Segmented!$C$282,Weighting!$E$26:$H$26,0)+1,FALSE)+VLOOKUP($B284&amp;$D$282&amp;$G284,$E$6:$U$275,N$279,FALSE)*VLOOKUP($A284,Weighting!$D$26:$G$30,MATCH(Segmented!$D$282,Weighting!$E$26:$H$26,0)+1,FALSE)+VLOOKUP($B284&amp;$E$282&amp;$G284,$E$6:$U$275,N$279,FALSE)*VLOOKUP($A284,Weighting!$D$26:$G$30,MATCH(Segmented!$E$282,Weighting!$E$26:$H$26,0)+1,FALSE)</f>
        <v>0</v>
      </c>
      <c r="O284">
        <f t="shared" si="8"/>
        <v>0</v>
      </c>
      <c r="P284" s="31">
        <f>VLOOKUP($B284&amp;$C$282&amp;$G284,$E$6:$U$275,P$279,FALSE)*VLOOKUP($A284,Weighting!$D$26:$G$30,MATCH(Segmented!$C$282,Weighting!$E$26:$H$26,0)+1,FALSE)+VLOOKUP($B284&amp;$D$282&amp;$G284,$E$6:$U$275,P$279,FALSE)*VLOOKUP($A284,Weighting!$D$26:$G$30,MATCH(Segmented!$D$282,Weighting!$E$26:$H$26,0)+1,FALSE)+VLOOKUP($B284&amp;$E$282&amp;$G284,$E$6:$U$275,P$279,FALSE)*VLOOKUP($A284,Weighting!$D$26:$G$30,MATCH(Segmented!$E$282,Weighting!$E$26:$H$26,0)+1,FALSE)</f>
        <v>0</v>
      </c>
      <c r="Q284">
        <f t="shared" si="9"/>
        <v>0</v>
      </c>
      <c r="R284" s="31">
        <f>VLOOKUP($B284&amp;$C$282&amp;$G284,$E$6:$U$275,R$279,FALSE)*VLOOKUP($A284,Weighting!$D$26:$G$30,MATCH(Segmented!$C$282,Weighting!$E$26:$H$26,0)+1,FALSE)+VLOOKUP($B284&amp;$D$282&amp;$G284,$E$6:$U$275,R$279,FALSE)*VLOOKUP($A284,Weighting!$D$26:$G$30,MATCH(Segmented!$D$282,Weighting!$E$26:$H$26,0)+1,FALSE)+VLOOKUP($B284&amp;$E$282&amp;$G284,$E$6:$U$275,R$279,FALSE)*VLOOKUP($A284,Weighting!$D$26:$G$30,MATCH(Segmented!$E$282,Weighting!$E$26:$H$26,0)+1,FALSE)</f>
        <v>0</v>
      </c>
      <c r="S284">
        <f t="shared" si="10"/>
        <v>0</v>
      </c>
      <c r="T284" s="31">
        <f>VLOOKUP($B284&amp;$C$282&amp;$G284,$E$6:$U$275,T$279,FALSE)*VLOOKUP($A284,Weighting!$D$26:$G$30,MATCH(Segmented!$C$282,Weighting!$E$26:$H$26,0)+1,FALSE)+VLOOKUP($B284&amp;$D$282&amp;$G284,$E$6:$U$275,T$279,FALSE)*VLOOKUP($A284,Weighting!$D$26:$G$30,MATCH(Segmented!$D$282,Weighting!$E$26:$H$26,0)+1,FALSE)+VLOOKUP($B284&amp;$E$282&amp;$G284,$E$6:$U$275,T$279,FALSE)*VLOOKUP($A284,Weighting!$D$26:$G$30,MATCH(Segmented!$E$282,Weighting!$E$26:$H$26,0)+1,FALSE)</f>
        <v>0</v>
      </c>
    </row>
    <row r="285" spans="1:21">
      <c r="A285" t="s">
        <v>227</v>
      </c>
      <c r="B285" t="s">
        <v>227</v>
      </c>
      <c r="F285" s="55" t="str">
        <f t="shared" si="11"/>
        <v>ATTIC R11 - R49_Electric FAF</v>
      </c>
      <c r="G285" t="s">
        <v>75</v>
      </c>
      <c r="H285" s="31">
        <f>VLOOKUP($B285&amp;$C$282&amp;$G285,$E$6:$U$275,H$279,FALSE)*VLOOKUP($A285,Weighting!$D$26:$G$30,MATCH(Segmented!$C$282,Weighting!$E$26:$H$26,0)+1,FALSE)+VLOOKUP($B285&amp;$D$282&amp;$G285,$E$6:$U$275,H$279,FALSE)*VLOOKUP($A285,Weighting!$D$26:$G$30,MATCH(Segmented!$D$282,Weighting!$E$26:$H$26,0)+1,FALSE)+VLOOKUP($B285&amp;$E$282&amp;$G285,$E$6:$U$275,H$279,FALSE)*VLOOKUP($A285,Weighting!$D$26:$G$30,MATCH(Segmented!$E$282,Weighting!$E$26:$H$26,0)+1,FALSE)</f>
        <v>424.26288239708038</v>
      </c>
      <c r="I285">
        <f t="shared" si="6"/>
        <v>45</v>
      </c>
      <c r="J285" s="31">
        <f>VLOOKUP($B285&amp;$C$282&amp;$G285,$E$6:$U$275,J$279,FALSE)*VLOOKUP($A285,Weighting!$D$26:$G$30,MATCH(Segmented!$C$282,Weighting!$E$26:$H$26,0)+1,FALSE)+VLOOKUP($B285&amp;$D$282&amp;$G285,$E$6:$U$275,J$279,FALSE)*VLOOKUP($A285,Weighting!$D$26:$G$30,MATCH(Segmented!$D$282,Weighting!$E$26:$H$26,0)+1,FALSE)+VLOOKUP($B285&amp;$E$282&amp;$G285,$E$6:$U$275,J$279,FALSE)*VLOOKUP($A285,Weighting!$D$26:$G$30,MATCH(Segmented!$E$282,Weighting!$E$26:$H$26,0)+1,FALSE)</f>
        <v>588.47688837074031</v>
      </c>
      <c r="K285" s="31">
        <f>VLOOKUP($B285&amp;$C$282&amp;$G285,$E$6:$U$275,K$279,FALSE)*VLOOKUP($A285,Weighting!$D$26:$G$30,MATCH(Segmented!$C$282,Weighting!$E$26:$H$26,0)+1,FALSE)+VLOOKUP($B285&amp;$D$282&amp;$G285,$E$6:$U$275,K$279,FALSE)*VLOOKUP($A285,Weighting!$D$26:$G$30,MATCH(Segmented!$D$282,Weighting!$E$26:$H$26,0)+1,FALSE)+VLOOKUP($B285&amp;$E$282&amp;$G285,$E$6:$U$275,K$279,FALSE)*VLOOKUP($A285,Weighting!$D$26:$G$30,MATCH(Segmented!$E$282,Weighting!$E$26:$H$26,0)+1,FALSE)</f>
        <v>0</v>
      </c>
      <c r="L285" t="str">
        <f t="shared" si="7"/>
        <v>ResSpHtFAFZ1</v>
      </c>
      <c r="M285" s="31">
        <f>VLOOKUP($B285&amp;$C$282&amp;$G285,$E$6:$U$275,M$279,FALSE)*VLOOKUP($A285,Weighting!$D$26:$G$30,MATCH(Segmented!$C$282,Weighting!$E$26:$H$26,0)+1,FALSE)+VLOOKUP($B285&amp;$D$282&amp;$G285,$E$6:$U$275,M$279,FALSE)*VLOOKUP($A285,Weighting!$D$26:$G$30,MATCH(Segmented!$D$282,Weighting!$E$26:$H$26,0)+1,FALSE)+VLOOKUP($B285&amp;$E$282&amp;$G285,$E$6:$U$275,M$279,FALSE)*VLOOKUP($A285,Weighting!$D$26:$G$30,MATCH(Segmented!$E$282,Weighting!$E$26:$H$26,0)+1,FALSE)</f>
        <v>3.3047901873017453</v>
      </c>
      <c r="N285" s="31">
        <f>VLOOKUP($B285&amp;$C$282&amp;$G285,$E$6:$U$275,N$279,FALSE)*VLOOKUP($A285,Weighting!$D$26:$G$30,MATCH(Segmented!$C$282,Weighting!$E$26:$H$26,0)+1,FALSE)+VLOOKUP($B285&amp;$D$282&amp;$G285,$E$6:$U$275,N$279,FALSE)*VLOOKUP($A285,Weighting!$D$26:$G$30,MATCH(Segmented!$D$282,Weighting!$E$26:$H$26,0)+1,FALSE)+VLOOKUP($B285&amp;$E$282&amp;$G285,$E$6:$U$275,N$279,FALSE)*VLOOKUP($A285,Weighting!$D$26:$G$30,MATCH(Segmented!$E$282,Weighting!$E$26:$H$26,0)+1,FALSE)</f>
        <v>0</v>
      </c>
      <c r="O285">
        <f t="shared" si="8"/>
        <v>0</v>
      </c>
      <c r="P285" s="31">
        <f>VLOOKUP($B285&amp;$C$282&amp;$G285,$E$6:$U$275,P$279,FALSE)*VLOOKUP($A285,Weighting!$D$26:$G$30,MATCH(Segmented!$C$282,Weighting!$E$26:$H$26,0)+1,FALSE)+VLOOKUP($B285&amp;$D$282&amp;$G285,$E$6:$U$275,P$279,FALSE)*VLOOKUP($A285,Weighting!$D$26:$G$30,MATCH(Segmented!$D$282,Weighting!$E$26:$H$26,0)+1,FALSE)+VLOOKUP($B285&amp;$E$282&amp;$G285,$E$6:$U$275,P$279,FALSE)*VLOOKUP($A285,Weighting!$D$26:$G$30,MATCH(Segmented!$E$282,Weighting!$E$26:$H$26,0)+1,FALSE)</f>
        <v>0</v>
      </c>
      <c r="Q285">
        <f t="shared" si="9"/>
        <v>0</v>
      </c>
      <c r="R285" s="31">
        <f>VLOOKUP($B285&amp;$C$282&amp;$G285,$E$6:$U$275,R$279,FALSE)*VLOOKUP($A285,Weighting!$D$26:$G$30,MATCH(Segmented!$C$282,Weighting!$E$26:$H$26,0)+1,FALSE)+VLOOKUP($B285&amp;$D$282&amp;$G285,$E$6:$U$275,R$279,FALSE)*VLOOKUP($A285,Weighting!$D$26:$G$30,MATCH(Segmented!$D$282,Weighting!$E$26:$H$26,0)+1,FALSE)+VLOOKUP($B285&amp;$E$282&amp;$G285,$E$6:$U$275,R$279,FALSE)*VLOOKUP($A285,Weighting!$D$26:$G$30,MATCH(Segmented!$E$282,Weighting!$E$26:$H$26,0)+1,FALSE)</f>
        <v>0</v>
      </c>
      <c r="S285">
        <f t="shared" si="10"/>
        <v>0</v>
      </c>
      <c r="T285" s="31">
        <f>VLOOKUP($B285&amp;$C$282&amp;$G285,$E$6:$U$275,T$279,FALSE)*VLOOKUP($A285,Weighting!$D$26:$G$30,MATCH(Segmented!$C$282,Weighting!$E$26:$H$26,0)+1,FALSE)+VLOOKUP($B285&amp;$D$282&amp;$G285,$E$6:$U$275,T$279,FALSE)*VLOOKUP($A285,Weighting!$D$26:$G$30,MATCH(Segmented!$D$282,Weighting!$E$26:$H$26,0)+1,FALSE)+VLOOKUP($B285&amp;$E$282&amp;$G285,$E$6:$U$275,T$279,FALSE)*VLOOKUP($A285,Weighting!$D$26:$G$30,MATCH(Segmented!$E$282,Weighting!$E$26:$H$26,0)+1,FALSE)</f>
        <v>0</v>
      </c>
    </row>
    <row r="286" spans="1:21">
      <c r="A286" t="s">
        <v>227</v>
      </c>
      <c r="B286" t="s">
        <v>227</v>
      </c>
      <c r="F286" s="55" t="str">
        <f t="shared" si="11"/>
        <v>ATTIC R19 - R38_Electric FAF</v>
      </c>
      <c r="G286" t="s">
        <v>77</v>
      </c>
      <c r="H286" s="31">
        <f>VLOOKUP($B286&amp;$C$282&amp;$G286,$E$6:$U$275,H$279,FALSE)*VLOOKUP($A286,Weighting!$D$26:$G$30,MATCH(Segmented!$C$282,Weighting!$E$26:$H$26,0)+1,FALSE)+VLOOKUP($B286&amp;$D$282&amp;$G286,$E$6:$U$275,H$279,FALSE)*VLOOKUP($A286,Weighting!$D$26:$G$30,MATCH(Segmented!$D$282,Weighting!$E$26:$H$26,0)+1,FALSE)+VLOOKUP($B286&amp;$E$282&amp;$G286,$E$6:$U$275,H$279,FALSE)*VLOOKUP($A286,Weighting!$D$26:$G$30,MATCH(Segmented!$E$282,Weighting!$E$26:$H$26,0)+1,FALSE)</f>
        <v>160.69089451791402</v>
      </c>
      <c r="I286">
        <f t="shared" si="6"/>
        <v>45</v>
      </c>
      <c r="J286" s="31">
        <f>VLOOKUP($B286&amp;$C$282&amp;$G286,$E$6:$U$275,J$279,FALSE)*VLOOKUP($A286,Weighting!$D$26:$G$30,MATCH(Segmented!$C$282,Weighting!$E$26:$H$26,0)+1,FALSE)+VLOOKUP($B286&amp;$D$282&amp;$G286,$E$6:$U$275,J$279,FALSE)*VLOOKUP($A286,Weighting!$D$26:$G$30,MATCH(Segmented!$D$282,Weighting!$E$26:$H$26,0)+1,FALSE)+VLOOKUP($B286&amp;$E$282&amp;$G286,$E$6:$U$275,J$279,FALSE)*VLOOKUP($A286,Weighting!$D$26:$G$30,MATCH(Segmented!$E$282,Weighting!$E$26:$H$26,0)+1,FALSE)</f>
        <v>444.15989154479752</v>
      </c>
      <c r="K286" s="31">
        <f>VLOOKUP($B286&amp;$C$282&amp;$G286,$E$6:$U$275,K$279,FALSE)*VLOOKUP($A286,Weighting!$D$26:$G$30,MATCH(Segmented!$C$282,Weighting!$E$26:$H$26,0)+1,FALSE)+VLOOKUP($B286&amp;$D$282&amp;$G286,$E$6:$U$275,K$279,FALSE)*VLOOKUP($A286,Weighting!$D$26:$G$30,MATCH(Segmented!$D$282,Weighting!$E$26:$H$26,0)+1,FALSE)+VLOOKUP($B286&amp;$E$282&amp;$G286,$E$6:$U$275,K$279,FALSE)*VLOOKUP($A286,Weighting!$D$26:$G$30,MATCH(Segmented!$E$282,Weighting!$E$26:$H$26,0)+1,FALSE)</f>
        <v>0</v>
      </c>
      <c r="L286" t="str">
        <f t="shared" si="7"/>
        <v>ResSpHtFAFZ1</v>
      </c>
      <c r="M286" s="31">
        <f>VLOOKUP($B286&amp;$C$282&amp;$G286,$E$6:$U$275,M$279,FALSE)*VLOOKUP($A286,Weighting!$D$26:$G$30,MATCH(Segmented!$C$282,Weighting!$E$26:$H$26,0)+1,FALSE)+VLOOKUP($B286&amp;$D$282&amp;$G286,$E$6:$U$275,M$279,FALSE)*VLOOKUP($A286,Weighting!$D$26:$G$30,MATCH(Segmented!$D$282,Weighting!$E$26:$H$26,0)+1,FALSE)+VLOOKUP($B286&amp;$E$282&amp;$G286,$E$6:$U$275,M$279,FALSE)*VLOOKUP($A286,Weighting!$D$26:$G$30,MATCH(Segmented!$E$282,Weighting!$E$26:$H$26,0)+1,FALSE)</f>
        <v>1.333138402024034</v>
      </c>
      <c r="N286" s="31">
        <f>VLOOKUP($B286&amp;$C$282&amp;$G286,$E$6:$U$275,N$279,FALSE)*VLOOKUP($A286,Weighting!$D$26:$G$30,MATCH(Segmented!$C$282,Weighting!$E$26:$H$26,0)+1,FALSE)+VLOOKUP($B286&amp;$D$282&amp;$G286,$E$6:$U$275,N$279,FALSE)*VLOOKUP($A286,Weighting!$D$26:$G$30,MATCH(Segmented!$D$282,Weighting!$E$26:$H$26,0)+1,FALSE)+VLOOKUP($B286&amp;$E$282&amp;$G286,$E$6:$U$275,N$279,FALSE)*VLOOKUP($A286,Weighting!$D$26:$G$30,MATCH(Segmented!$E$282,Weighting!$E$26:$H$26,0)+1,FALSE)</f>
        <v>0</v>
      </c>
      <c r="O286">
        <f t="shared" si="8"/>
        <v>0</v>
      </c>
      <c r="P286" s="31">
        <f>VLOOKUP($B286&amp;$C$282&amp;$G286,$E$6:$U$275,P$279,FALSE)*VLOOKUP($A286,Weighting!$D$26:$G$30,MATCH(Segmented!$C$282,Weighting!$E$26:$H$26,0)+1,FALSE)+VLOOKUP($B286&amp;$D$282&amp;$G286,$E$6:$U$275,P$279,FALSE)*VLOOKUP($A286,Weighting!$D$26:$G$30,MATCH(Segmented!$D$282,Weighting!$E$26:$H$26,0)+1,FALSE)+VLOOKUP($B286&amp;$E$282&amp;$G286,$E$6:$U$275,P$279,FALSE)*VLOOKUP($A286,Weighting!$D$26:$G$30,MATCH(Segmented!$E$282,Weighting!$E$26:$H$26,0)+1,FALSE)</f>
        <v>0</v>
      </c>
      <c r="Q286">
        <f t="shared" si="9"/>
        <v>0</v>
      </c>
      <c r="R286" s="31">
        <f>VLOOKUP($B286&amp;$C$282&amp;$G286,$E$6:$U$275,R$279,FALSE)*VLOOKUP($A286,Weighting!$D$26:$G$30,MATCH(Segmented!$C$282,Weighting!$E$26:$H$26,0)+1,FALSE)+VLOOKUP($B286&amp;$D$282&amp;$G286,$E$6:$U$275,R$279,FALSE)*VLOOKUP($A286,Weighting!$D$26:$G$30,MATCH(Segmented!$D$282,Weighting!$E$26:$H$26,0)+1,FALSE)+VLOOKUP($B286&amp;$E$282&amp;$G286,$E$6:$U$275,R$279,FALSE)*VLOOKUP($A286,Weighting!$D$26:$G$30,MATCH(Segmented!$E$282,Weighting!$E$26:$H$26,0)+1,FALSE)</f>
        <v>0</v>
      </c>
      <c r="S286">
        <f t="shared" si="10"/>
        <v>0</v>
      </c>
      <c r="T286" s="31">
        <f>VLOOKUP($B286&amp;$C$282&amp;$G286,$E$6:$U$275,T$279,FALSE)*VLOOKUP($A286,Weighting!$D$26:$G$30,MATCH(Segmented!$C$282,Weighting!$E$26:$H$26,0)+1,FALSE)+VLOOKUP($B286&amp;$D$282&amp;$G286,$E$6:$U$275,T$279,FALSE)*VLOOKUP($A286,Weighting!$D$26:$G$30,MATCH(Segmented!$D$282,Weighting!$E$26:$H$26,0)+1,FALSE)+VLOOKUP($B286&amp;$E$282&amp;$G286,$E$6:$U$275,T$279,FALSE)*VLOOKUP($A286,Weighting!$D$26:$G$30,MATCH(Segmented!$E$282,Weighting!$E$26:$H$26,0)+1,FALSE)</f>
        <v>0</v>
      </c>
    </row>
    <row r="287" spans="1:21">
      <c r="A287" t="s">
        <v>227</v>
      </c>
      <c r="B287" t="s">
        <v>227</v>
      </c>
      <c r="F287" s="55" t="str">
        <f t="shared" si="11"/>
        <v>ATTIC R19 - R49_Electric FAF</v>
      </c>
      <c r="G287" t="s">
        <v>79</v>
      </c>
      <c r="H287" s="31">
        <f>VLOOKUP($B287&amp;$C$282&amp;$G287,$E$6:$U$275,H$279,FALSE)*VLOOKUP($A287,Weighting!$D$26:$G$30,MATCH(Segmented!$C$282,Weighting!$E$26:$H$26,0)+1,FALSE)+VLOOKUP($B287&amp;$D$282&amp;$G287,$E$6:$U$275,H$279,FALSE)*VLOOKUP($A287,Weighting!$D$26:$G$30,MATCH(Segmented!$D$282,Weighting!$E$26:$H$26,0)+1,FALSE)+VLOOKUP($B287&amp;$E$282&amp;$G287,$E$6:$U$275,H$279,FALSE)*VLOOKUP($A287,Weighting!$D$26:$G$30,MATCH(Segmented!$E$282,Weighting!$E$26:$H$26,0)+1,FALSE)</f>
        <v>193.77973703235281</v>
      </c>
      <c r="I287">
        <f t="shared" si="6"/>
        <v>45</v>
      </c>
      <c r="J287" s="31">
        <f>VLOOKUP($B287&amp;$C$282&amp;$G287,$E$6:$U$275,J$279,FALSE)*VLOOKUP($A287,Weighting!$D$26:$G$30,MATCH(Segmented!$C$282,Weighting!$E$26:$H$26,0)+1,FALSE)+VLOOKUP($B287&amp;$D$282&amp;$G287,$E$6:$U$275,J$279,FALSE)*VLOOKUP($A287,Weighting!$D$26:$G$30,MATCH(Segmented!$D$282,Weighting!$E$26:$H$26,0)+1,FALSE)+VLOOKUP($B287&amp;$E$282&amp;$G287,$E$6:$U$275,J$279,FALSE)*VLOOKUP($A287,Weighting!$D$26:$G$30,MATCH(Segmented!$E$282,Weighting!$E$26:$H$26,0)+1,FALSE)</f>
        <v>527.71183707560658</v>
      </c>
      <c r="K287" s="31">
        <f>VLOOKUP($B287&amp;$C$282&amp;$G287,$E$6:$U$275,K$279,FALSE)*VLOOKUP($A287,Weighting!$D$26:$G$30,MATCH(Segmented!$C$282,Weighting!$E$26:$H$26,0)+1,FALSE)+VLOOKUP($B287&amp;$D$282&amp;$G287,$E$6:$U$275,K$279,FALSE)*VLOOKUP($A287,Weighting!$D$26:$G$30,MATCH(Segmented!$D$282,Weighting!$E$26:$H$26,0)+1,FALSE)+VLOOKUP($B287&amp;$E$282&amp;$G287,$E$6:$U$275,K$279,FALSE)*VLOOKUP($A287,Weighting!$D$26:$G$30,MATCH(Segmented!$E$282,Weighting!$E$26:$H$26,0)+1,FALSE)</f>
        <v>0</v>
      </c>
      <c r="L287" t="str">
        <f t="shared" si="7"/>
        <v>ResSpHtFAFZ1</v>
      </c>
      <c r="M287" s="31">
        <f>VLOOKUP($B287&amp;$C$282&amp;$G287,$E$6:$U$275,M$279,FALSE)*VLOOKUP($A287,Weighting!$D$26:$G$30,MATCH(Segmented!$C$282,Weighting!$E$26:$H$26,0)+1,FALSE)+VLOOKUP($B287&amp;$D$282&amp;$G287,$E$6:$U$275,M$279,FALSE)*VLOOKUP($A287,Weighting!$D$26:$G$30,MATCH(Segmented!$D$282,Weighting!$E$26:$H$26,0)+1,FALSE)+VLOOKUP($B287&amp;$E$282&amp;$G287,$E$6:$U$275,M$279,FALSE)*VLOOKUP($A287,Weighting!$D$26:$G$30,MATCH(Segmented!$E$282,Weighting!$E$26:$H$26,0)+1,FALSE)</f>
        <v>1.6226956304349578</v>
      </c>
      <c r="N287" s="31">
        <f>VLOOKUP($B287&amp;$C$282&amp;$G287,$E$6:$U$275,N$279,FALSE)*VLOOKUP($A287,Weighting!$D$26:$G$30,MATCH(Segmented!$C$282,Weighting!$E$26:$H$26,0)+1,FALSE)+VLOOKUP($B287&amp;$D$282&amp;$G287,$E$6:$U$275,N$279,FALSE)*VLOOKUP($A287,Weighting!$D$26:$G$30,MATCH(Segmented!$D$282,Weighting!$E$26:$H$26,0)+1,FALSE)+VLOOKUP($B287&amp;$E$282&amp;$G287,$E$6:$U$275,N$279,FALSE)*VLOOKUP($A287,Weighting!$D$26:$G$30,MATCH(Segmented!$E$282,Weighting!$E$26:$H$26,0)+1,FALSE)</f>
        <v>0</v>
      </c>
      <c r="O287">
        <f t="shared" si="8"/>
        <v>0</v>
      </c>
      <c r="P287" s="31">
        <f>VLOOKUP($B287&amp;$C$282&amp;$G287,$E$6:$U$275,P$279,FALSE)*VLOOKUP($A287,Weighting!$D$26:$G$30,MATCH(Segmented!$C$282,Weighting!$E$26:$H$26,0)+1,FALSE)+VLOOKUP($B287&amp;$D$282&amp;$G287,$E$6:$U$275,P$279,FALSE)*VLOOKUP($A287,Weighting!$D$26:$G$30,MATCH(Segmented!$D$282,Weighting!$E$26:$H$26,0)+1,FALSE)+VLOOKUP($B287&amp;$E$282&amp;$G287,$E$6:$U$275,P$279,FALSE)*VLOOKUP($A287,Weighting!$D$26:$G$30,MATCH(Segmented!$E$282,Weighting!$E$26:$H$26,0)+1,FALSE)</f>
        <v>0</v>
      </c>
      <c r="Q287">
        <f t="shared" si="9"/>
        <v>0</v>
      </c>
      <c r="R287" s="31">
        <f>VLOOKUP($B287&amp;$C$282&amp;$G287,$E$6:$U$275,R$279,FALSE)*VLOOKUP($A287,Weighting!$D$26:$G$30,MATCH(Segmented!$C$282,Weighting!$E$26:$H$26,0)+1,FALSE)+VLOOKUP($B287&amp;$D$282&amp;$G287,$E$6:$U$275,R$279,FALSE)*VLOOKUP($A287,Weighting!$D$26:$G$30,MATCH(Segmented!$D$282,Weighting!$E$26:$H$26,0)+1,FALSE)+VLOOKUP($B287&amp;$E$282&amp;$G287,$E$6:$U$275,R$279,FALSE)*VLOOKUP($A287,Weighting!$D$26:$G$30,MATCH(Segmented!$E$282,Weighting!$E$26:$H$26,0)+1,FALSE)</f>
        <v>0</v>
      </c>
      <c r="S287">
        <f t="shared" si="10"/>
        <v>0</v>
      </c>
      <c r="T287" s="31">
        <f>VLOOKUP($B287&amp;$C$282&amp;$G287,$E$6:$U$275,T$279,FALSE)*VLOOKUP($A287,Weighting!$D$26:$G$30,MATCH(Segmented!$C$282,Weighting!$E$26:$H$26,0)+1,FALSE)+VLOOKUP($B287&amp;$D$282&amp;$G287,$E$6:$U$275,T$279,FALSE)*VLOOKUP($A287,Weighting!$D$26:$G$30,MATCH(Segmented!$D$282,Weighting!$E$26:$H$26,0)+1,FALSE)+VLOOKUP($B287&amp;$E$282&amp;$G287,$E$6:$U$275,T$279,FALSE)*VLOOKUP($A287,Weighting!$D$26:$G$30,MATCH(Segmented!$E$282,Weighting!$E$26:$H$26,0)+1,FALSE)</f>
        <v>0</v>
      </c>
    </row>
    <row r="288" spans="1:21">
      <c r="A288" t="s">
        <v>227</v>
      </c>
      <c r="B288" t="s">
        <v>227</v>
      </c>
      <c r="F288" s="55" t="str">
        <f t="shared" si="11"/>
        <v>WALL R0 - R11_Electric FAF</v>
      </c>
      <c r="G288" t="s">
        <v>85</v>
      </c>
      <c r="H288" s="31">
        <f>VLOOKUP($B288&amp;$C$282&amp;$G288,$E$6:$U$275,H$279,FALSE)*VLOOKUP($A288,Weighting!$D$26:$G$30,MATCH(Segmented!$C$282,Weighting!$E$26:$H$26,0)+1,FALSE)+VLOOKUP($B288&amp;$D$282&amp;$G288,$E$6:$U$275,H$279,FALSE)*VLOOKUP($A288,Weighting!$D$26:$G$30,MATCH(Segmented!$D$282,Weighting!$E$26:$H$26,0)+1,FALSE)+VLOOKUP($B288&amp;$E$282&amp;$G288,$E$6:$U$275,H$279,FALSE)*VLOOKUP($A288,Weighting!$D$26:$G$30,MATCH(Segmented!$E$282,Weighting!$E$26:$H$26,0)+1,FALSE)</f>
        <v>2013.5135880827527</v>
      </c>
      <c r="I288">
        <f t="shared" si="6"/>
        <v>45</v>
      </c>
      <c r="J288" s="31">
        <f>VLOOKUP($B288&amp;$C$282&amp;$G288,$E$6:$U$275,J$279,FALSE)*VLOOKUP($A288,Weighting!$D$26:$G$30,MATCH(Segmented!$C$282,Weighting!$E$26:$H$26,0)+1,FALSE)+VLOOKUP($B288&amp;$D$282&amp;$G288,$E$6:$U$275,J$279,FALSE)*VLOOKUP($A288,Weighting!$D$26:$G$30,MATCH(Segmented!$D$282,Weighting!$E$26:$H$26,0)+1,FALSE)+VLOOKUP($B288&amp;$E$282&amp;$G288,$E$6:$U$275,J$279,FALSE)*VLOOKUP($A288,Weighting!$D$26:$G$30,MATCH(Segmented!$E$282,Weighting!$E$26:$H$26,0)+1,FALSE)</f>
        <v>1047.8220524597768</v>
      </c>
      <c r="K288" s="31">
        <f>VLOOKUP($B288&amp;$C$282&amp;$G288,$E$6:$U$275,K$279,FALSE)*VLOOKUP($A288,Weighting!$D$26:$G$30,MATCH(Segmented!$C$282,Weighting!$E$26:$H$26,0)+1,FALSE)+VLOOKUP($B288&amp;$D$282&amp;$G288,$E$6:$U$275,K$279,FALSE)*VLOOKUP($A288,Weighting!$D$26:$G$30,MATCH(Segmented!$D$282,Weighting!$E$26:$H$26,0)+1,FALSE)+VLOOKUP($B288&amp;$E$282&amp;$G288,$E$6:$U$275,K$279,FALSE)*VLOOKUP($A288,Weighting!$D$26:$G$30,MATCH(Segmented!$E$282,Weighting!$E$26:$H$26,0)+1,FALSE)</f>
        <v>0</v>
      </c>
      <c r="L288" t="str">
        <f t="shared" si="7"/>
        <v>ResSpHtFAFZ1</v>
      </c>
      <c r="M288" s="31">
        <f>VLOOKUP($B288&amp;$C$282&amp;$G288,$E$6:$U$275,M$279,FALSE)*VLOOKUP($A288,Weighting!$D$26:$G$30,MATCH(Segmented!$C$282,Weighting!$E$26:$H$26,0)+1,FALSE)+VLOOKUP($B288&amp;$D$282&amp;$G288,$E$6:$U$275,M$279,FALSE)*VLOOKUP($A288,Weighting!$D$26:$G$30,MATCH(Segmented!$D$282,Weighting!$E$26:$H$26,0)+1,FALSE)+VLOOKUP($B288&amp;$E$282&amp;$G288,$E$6:$U$275,M$279,FALSE)*VLOOKUP($A288,Weighting!$D$26:$G$30,MATCH(Segmented!$E$282,Weighting!$E$26:$H$26,0)+1,FALSE)</f>
        <v>11.156895942259389</v>
      </c>
      <c r="N288" s="31">
        <f>VLOOKUP($B288&amp;$C$282&amp;$G288,$E$6:$U$275,N$279,FALSE)*VLOOKUP($A288,Weighting!$D$26:$G$30,MATCH(Segmented!$C$282,Weighting!$E$26:$H$26,0)+1,FALSE)+VLOOKUP($B288&amp;$D$282&amp;$G288,$E$6:$U$275,N$279,FALSE)*VLOOKUP($A288,Weighting!$D$26:$G$30,MATCH(Segmented!$D$282,Weighting!$E$26:$H$26,0)+1,FALSE)+VLOOKUP($B288&amp;$E$282&amp;$G288,$E$6:$U$275,N$279,FALSE)*VLOOKUP($A288,Weighting!$D$26:$G$30,MATCH(Segmented!$E$282,Weighting!$E$26:$H$26,0)+1,FALSE)</f>
        <v>0</v>
      </c>
      <c r="O288">
        <f t="shared" si="8"/>
        <v>0</v>
      </c>
      <c r="P288" s="31">
        <f>VLOOKUP($B288&amp;$C$282&amp;$G288,$E$6:$U$275,P$279,FALSE)*VLOOKUP($A288,Weighting!$D$26:$G$30,MATCH(Segmented!$C$282,Weighting!$E$26:$H$26,0)+1,FALSE)+VLOOKUP($B288&amp;$D$282&amp;$G288,$E$6:$U$275,P$279,FALSE)*VLOOKUP($A288,Weighting!$D$26:$G$30,MATCH(Segmented!$D$282,Weighting!$E$26:$H$26,0)+1,FALSE)+VLOOKUP($B288&amp;$E$282&amp;$G288,$E$6:$U$275,P$279,FALSE)*VLOOKUP($A288,Weighting!$D$26:$G$30,MATCH(Segmented!$E$282,Weighting!$E$26:$H$26,0)+1,FALSE)</f>
        <v>0</v>
      </c>
      <c r="Q288">
        <f t="shared" si="9"/>
        <v>0</v>
      </c>
      <c r="R288" s="31">
        <f>VLOOKUP($B288&amp;$C$282&amp;$G288,$E$6:$U$275,R$279,FALSE)*VLOOKUP($A288,Weighting!$D$26:$G$30,MATCH(Segmented!$C$282,Weighting!$E$26:$H$26,0)+1,FALSE)+VLOOKUP($B288&amp;$D$282&amp;$G288,$E$6:$U$275,R$279,FALSE)*VLOOKUP($A288,Weighting!$D$26:$G$30,MATCH(Segmented!$D$282,Weighting!$E$26:$H$26,0)+1,FALSE)+VLOOKUP($B288&amp;$E$282&amp;$G288,$E$6:$U$275,R$279,FALSE)*VLOOKUP($A288,Weighting!$D$26:$G$30,MATCH(Segmented!$E$282,Weighting!$E$26:$H$26,0)+1,FALSE)</f>
        <v>0</v>
      </c>
      <c r="S288">
        <f t="shared" si="10"/>
        <v>0</v>
      </c>
      <c r="T288" s="31">
        <f>VLOOKUP($B288&amp;$C$282&amp;$G288,$E$6:$U$275,T$279,FALSE)*VLOOKUP($A288,Weighting!$D$26:$G$30,MATCH(Segmented!$C$282,Weighting!$E$26:$H$26,0)+1,FALSE)+VLOOKUP($B288&amp;$D$282&amp;$G288,$E$6:$U$275,T$279,FALSE)*VLOOKUP($A288,Weighting!$D$26:$G$30,MATCH(Segmented!$D$282,Weighting!$E$26:$H$26,0)+1,FALSE)+VLOOKUP($B288&amp;$E$282&amp;$G288,$E$6:$U$275,T$279,FALSE)*VLOOKUP($A288,Weighting!$D$26:$G$30,MATCH(Segmented!$E$282,Weighting!$E$26:$H$26,0)+1,FALSE)</f>
        <v>0</v>
      </c>
    </row>
    <row r="289" spans="1:20">
      <c r="A289" t="s">
        <v>227</v>
      </c>
      <c r="B289" t="s">
        <v>227</v>
      </c>
      <c r="F289" s="55" t="str">
        <f t="shared" si="11"/>
        <v>FLOOR R0 - R19_Electric FAF</v>
      </c>
      <c r="G289" t="s">
        <v>87</v>
      </c>
      <c r="H289" s="31">
        <f>VLOOKUP($B289&amp;$C$282&amp;$G289,$E$6:$U$275,H$279,FALSE)*VLOOKUP($A289,Weighting!$D$26:$G$30,MATCH(Segmented!$C$282,Weighting!$E$26:$H$26,0)+1,FALSE)+VLOOKUP($B289&amp;$D$282&amp;$G289,$E$6:$U$275,H$279,FALSE)*VLOOKUP($A289,Weighting!$D$26:$G$30,MATCH(Segmented!$D$282,Weighting!$E$26:$H$26,0)+1,FALSE)+VLOOKUP($B289&amp;$E$282&amp;$G289,$E$6:$U$275,H$279,FALSE)*VLOOKUP($A289,Weighting!$D$26:$G$30,MATCH(Segmented!$E$282,Weighting!$E$26:$H$26,0)+1,FALSE)</f>
        <v>676.12956578272906</v>
      </c>
      <c r="I289">
        <f t="shared" si="6"/>
        <v>45</v>
      </c>
      <c r="J289" s="31">
        <f>VLOOKUP($B289&amp;$C$282&amp;$G289,$E$6:$U$275,J$279,FALSE)*VLOOKUP($A289,Weighting!$D$26:$G$30,MATCH(Segmented!$C$282,Weighting!$E$26:$H$26,0)+1,FALSE)+VLOOKUP($B289&amp;$D$282&amp;$G289,$E$6:$U$275,J$279,FALSE)*VLOOKUP($A289,Weighting!$D$26:$G$30,MATCH(Segmented!$D$282,Weighting!$E$26:$H$26,0)+1,FALSE)+VLOOKUP($B289&amp;$E$282&amp;$G289,$E$6:$U$275,J$279,FALSE)*VLOOKUP($A289,Weighting!$D$26:$G$30,MATCH(Segmented!$E$282,Weighting!$E$26:$H$26,0)+1,FALSE)</f>
        <v>737.53659951434634</v>
      </c>
      <c r="K289" s="31">
        <f>VLOOKUP($B289&amp;$C$282&amp;$G289,$E$6:$U$275,K$279,FALSE)*VLOOKUP($A289,Weighting!$D$26:$G$30,MATCH(Segmented!$C$282,Weighting!$E$26:$H$26,0)+1,FALSE)+VLOOKUP($B289&amp;$D$282&amp;$G289,$E$6:$U$275,K$279,FALSE)*VLOOKUP($A289,Weighting!$D$26:$G$30,MATCH(Segmented!$D$282,Weighting!$E$26:$H$26,0)+1,FALSE)+VLOOKUP($B289&amp;$E$282&amp;$G289,$E$6:$U$275,K$279,FALSE)*VLOOKUP($A289,Weighting!$D$26:$G$30,MATCH(Segmented!$E$282,Weighting!$E$26:$H$26,0)+1,FALSE)</f>
        <v>0</v>
      </c>
      <c r="L289" t="str">
        <f t="shared" si="7"/>
        <v>ResSpHtFAFZ1</v>
      </c>
      <c r="M289" s="31">
        <f>VLOOKUP($B289&amp;$C$282&amp;$G289,$E$6:$U$275,M$279,FALSE)*VLOOKUP($A289,Weighting!$D$26:$G$30,MATCH(Segmented!$C$282,Weighting!$E$26:$H$26,0)+1,FALSE)+VLOOKUP($B289&amp;$D$282&amp;$G289,$E$6:$U$275,M$279,FALSE)*VLOOKUP($A289,Weighting!$D$26:$G$30,MATCH(Segmented!$D$282,Weighting!$E$26:$H$26,0)+1,FALSE)+VLOOKUP($B289&amp;$E$282&amp;$G289,$E$6:$U$275,M$279,FALSE)*VLOOKUP($A289,Weighting!$D$26:$G$30,MATCH(Segmented!$E$282,Weighting!$E$26:$H$26,0)+1,FALSE)</f>
        <v>2.5061869873364602</v>
      </c>
      <c r="N289" s="31">
        <f>VLOOKUP($B289&amp;$C$282&amp;$G289,$E$6:$U$275,N$279,FALSE)*VLOOKUP($A289,Weighting!$D$26:$G$30,MATCH(Segmented!$C$282,Weighting!$E$26:$H$26,0)+1,FALSE)+VLOOKUP($B289&amp;$D$282&amp;$G289,$E$6:$U$275,N$279,FALSE)*VLOOKUP($A289,Weighting!$D$26:$G$30,MATCH(Segmented!$D$282,Weighting!$E$26:$H$26,0)+1,FALSE)+VLOOKUP($B289&amp;$E$282&amp;$G289,$E$6:$U$275,N$279,FALSE)*VLOOKUP($A289,Weighting!$D$26:$G$30,MATCH(Segmented!$E$282,Weighting!$E$26:$H$26,0)+1,FALSE)</f>
        <v>0</v>
      </c>
      <c r="O289">
        <f t="shared" si="8"/>
        <v>0</v>
      </c>
      <c r="P289" s="31">
        <f>VLOOKUP($B289&amp;$C$282&amp;$G289,$E$6:$U$275,P$279,FALSE)*VLOOKUP($A289,Weighting!$D$26:$G$30,MATCH(Segmented!$C$282,Weighting!$E$26:$H$26,0)+1,FALSE)+VLOOKUP($B289&amp;$D$282&amp;$G289,$E$6:$U$275,P$279,FALSE)*VLOOKUP($A289,Weighting!$D$26:$G$30,MATCH(Segmented!$D$282,Weighting!$E$26:$H$26,0)+1,FALSE)+VLOOKUP($B289&amp;$E$282&amp;$G289,$E$6:$U$275,P$279,FALSE)*VLOOKUP($A289,Weighting!$D$26:$G$30,MATCH(Segmented!$E$282,Weighting!$E$26:$H$26,0)+1,FALSE)</f>
        <v>0</v>
      </c>
      <c r="Q289">
        <f t="shared" si="9"/>
        <v>0</v>
      </c>
      <c r="R289" s="31">
        <f>VLOOKUP($B289&amp;$C$282&amp;$G289,$E$6:$U$275,R$279,FALSE)*VLOOKUP($A289,Weighting!$D$26:$G$30,MATCH(Segmented!$C$282,Weighting!$E$26:$H$26,0)+1,FALSE)+VLOOKUP($B289&amp;$D$282&amp;$G289,$E$6:$U$275,R$279,FALSE)*VLOOKUP($A289,Weighting!$D$26:$G$30,MATCH(Segmented!$D$282,Weighting!$E$26:$H$26,0)+1,FALSE)+VLOOKUP($B289&amp;$E$282&amp;$G289,$E$6:$U$275,R$279,FALSE)*VLOOKUP($A289,Weighting!$D$26:$G$30,MATCH(Segmented!$E$282,Weighting!$E$26:$H$26,0)+1,FALSE)</f>
        <v>0</v>
      </c>
      <c r="S289">
        <f t="shared" si="10"/>
        <v>0</v>
      </c>
      <c r="T289" s="31">
        <f>VLOOKUP($B289&amp;$C$282&amp;$G289,$E$6:$U$275,T$279,FALSE)*VLOOKUP($A289,Weighting!$D$26:$G$30,MATCH(Segmented!$C$282,Weighting!$E$26:$H$26,0)+1,FALSE)+VLOOKUP($B289&amp;$D$282&amp;$G289,$E$6:$U$275,T$279,FALSE)*VLOOKUP($A289,Weighting!$D$26:$G$30,MATCH(Segmented!$D$282,Weighting!$E$26:$H$26,0)+1,FALSE)+VLOOKUP($B289&amp;$E$282&amp;$G289,$E$6:$U$275,T$279,FALSE)*VLOOKUP($A289,Weighting!$D$26:$G$30,MATCH(Segmented!$E$282,Weighting!$E$26:$H$26,0)+1,FALSE)</f>
        <v>0</v>
      </c>
    </row>
    <row r="290" spans="1:20">
      <c r="A290" t="s">
        <v>227</v>
      </c>
      <c r="B290" t="s">
        <v>227</v>
      </c>
      <c r="F290" s="55" t="str">
        <f t="shared" si="11"/>
        <v>FLOOR R0 - R25_Electric FAF</v>
      </c>
      <c r="G290" t="s">
        <v>89</v>
      </c>
      <c r="H290" s="31">
        <f>VLOOKUP($B290&amp;$C$282&amp;$G290,$E$6:$U$275,H$279,FALSE)*VLOOKUP($A290,Weighting!$D$26:$G$30,MATCH(Segmented!$C$282,Weighting!$E$26:$H$26,0)+1,FALSE)+VLOOKUP($B290&amp;$D$282&amp;$G290,$E$6:$U$275,H$279,FALSE)*VLOOKUP($A290,Weighting!$D$26:$G$30,MATCH(Segmented!$D$282,Weighting!$E$26:$H$26,0)+1,FALSE)+VLOOKUP($B290&amp;$E$282&amp;$G290,$E$6:$U$275,H$279,FALSE)*VLOOKUP($A290,Weighting!$D$26:$G$30,MATCH(Segmented!$E$282,Weighting!$E$26:$H$26,0)+1,FALSE)</f>
        <v>726.90500378438799</v>
      </c>
      <c r="I290">
        <f t="shared" si="6"/>
        <v>45</v>
      </c>
      <c r="J290" s="31">
        <f>VLOOKUP($B290&amp;$C$282&amp;$G290,$E$6:$U$275,J$279,FALSE)*VLOOKUP($A290,Weighting!$D$26:$G$30,MATCH(Segmented!$C$282,Weighting!$E$26:$H$26,0)+1,FALSE)+VLOOKUP($B290&amp;$D$282&amp;$G290,$E$6:$U$275,J$279,FALSE)*VLOOKUP($A290,Weighting!$D$26:$G$30,MATCH(Segmented!$D$282,Weighting!$E$26:$H$26,0)+1,FALSE)+VLOOKUP($B290&amp;$E$282&amp;$G290,$E$6:$U$275,J$279,FALSE)*VLOOKUP($A290,Weighting!$D$26:$G$30,MATCH(Segmented!$E$282,Weighting!$E$26:$H$26,0)+1,FALSE)</f>
        <v>765.78004410553206</v>
      </c>
      <c r="K290" s="31">
        <f>VLOOKUP($B290&amp;$C$282&amp;$G290,$E$6:$U$275,K$279,FALSE)*VLOOKUP($A290,Weighting!$D$26:$G$30,MATCH(Segmented!$C$282,Weighting!$E$26:$H$26,0)+1,FALSE)+VLOOKUP($B290&amp;$D$282&amp;$G290,$E$6:$U$275,K$279,FALSE)*VLOOKUP($A290,Weighting!$D$26:$G$30,MATCH(Segmented!$D$282,Weighting!$E$26:$H$26,0)+1,FALSE)+VLOOKUP($B290&amp;$E$282&amp;$G290,$E$6:$U$275,K$279,FALSE)*VLOOKUP($A290,Weighting!$D$26:$G$30,MATCH(Segmented!$E$282,Weighting!$E$26:$H$26,0)+1,FALSE)</f>
        <v>0</v>
      </c>
      <c r="L290" t="str">
        <f t="shared" si="7"/>
        <v>ResSpHtFAFZ1</v>
      </c>
      <c r="M290" s="31">
        <f>VLOOKUP($B290&amp;$C$282&amp;$G290,$E$6:$U$275,M$279,FALSE)*VLOOKUP($A290,Weighting!$D$26:$G$30,MATCH(Segmented!$C$282,Weighting!$E$26:$H$26,0)+1,FALSE)+VLOOKUP($B290&amp;$D$282&amp;$G290,$E$6:$U$275,M$279,FALSE)*VLOOKUP($A290,Weighting!$D$26:$G$30,MATCH(Segmented!$D$282,Weighting!$E$26:$H$26,0)+1,FALSE)+VLOOKUP($B290&amp;$E$282&amp;$G290,$E$6:$U$275,M$279,FALSE)*VLOOKUP($A290,Weighting!$D$26:$G$30,MATCH(Segmented!$E$282,Weighting!$E$26:$H$26,0)+1,FALSE)</f>
        <v>2.9621758785233308</v>
      </c>
      <c r="N290" s="31">
        <f>VLOOKUP($B290&amp;$C$282&amp;$G290,$E$6:$U$275,N$279,FALSE)*VLOOKUP($A290,Weighting!$D$26:$G$30,MATCH(Segmented!$C$282,Weighting!$E$26:$H$26,0)+1,FALSE)+VLOOKUP($B290&amp;$D$282&amp;$G290,$E$6:$U$275,N$279,FALSE)*VLOOKUP($A290,Weighting!$D$26:$G$30,MATCH(Segmented!$D$282,Weighting!$E$26:$H$26,0)+1,FALSE)+VLOOKUP($B290&amp;$E$282&amp;$G290,$E$6:$U$275,N$279,FALSE)*VLOOKUP($A290,Weighting!$D$26:$G$30,MATCH(Segmented!$E$282,Weighting!$E$26:$H$26,0)+1,FALSE)</f>
        <v>0</v>
      </c>
      <c r="O290">
        <f t="shared" si="8"/>
        <v>0</v>
      </c>
      <c r="P290" s="31">
        <f>VLOOKUP($B290&amp;$C$282&amp;$G290,$E$6:$U$275,P$279,FALSE)*VLOOKUP($A290,Weighting!$D$26:$G$30,MATCH(Segmented!$C$282,Weighting!$E$26:$H$26,0)+1,FALSE)+VLOOKUP($B290&amp;$D$282&amp;$G290,$E$6:$U$275,P$279,FALSE)*VLOOKUP($A290,Weighting!$D$26:$G$30,MATCH(Segmented!$D$282,Weighting!$E$26:$H$26,0)+1,FALSE)+VLOOKUP($B290&amp;$E$282&amp;$G290,$E$6:$U$275,P$279,FALSE)*VLOOKUP($A290,Weighting!$D$26:$G$30,MATCH(Segmented!$E$282,Weighting!$E$26:$H$26,0)+1,FALSE)</f>
        <v>0</v>
      </c>
      <c r="Q290">
        <f t="shared" si="9"/>
        <v>0</v>
      </c>
      <c r="R290" s="31">
        <f>VLOOKUP($B290&amp;$C$282&amp;$G290,$E$6:$U$275,R$279,FALSE)*VLOOKUP($A290,Weighting!$D$26:$G$30,MATCH(Segmented!$C$282,Weighting!$E$26:$H$26,0)+1,FALSE)+VLOOKUP($B290&amp;$D$282&amp;$G290,$E$6:$U$275,R$279,FALSE)*VLOOKUP($A290,Weighting!$D$26:$G$30,MATCH(Segmented!$D$282,Weighting!$E$26:$H$26,0)+1,FALSE)+VLOOKUP($B290&amp;$E$282&amp;$G290,$E$6:$U$275,R$279,FALSE)*VLOOKUP($A290,Weighting!$D$26:$G$30,MATCH(Segmented!$E$282,Weighting!$E$26:$H$26,0)+1,FALSE)</f>
        <v>0</v>
      </c>
      <c r="S290">
        <f t="shared" si="10"/>
        <v>0</v>
      </c>
      <c r="T290" s="31">
        <f>VLOOKUP($B290&amp;$C$282&amp;$G290,$E$6:$U$275,T$279,FALSE)*VLOOKUP($A290,Weighting!$D$26:$G$30,MATCH(Segmented!$C$282,Weighting!$E$26:$H$26,0)+1,FALSE)+VLOOKUP($B290&amp;$D$282&amp;$G290,$E$6:$U$275,T$279,FALSE)*VLOOKUP($A290,Weighting!$D$26:$G$30,MATCH(Segmented!$D$282,Weighting!$E$26:$H$26,0)+1,FALSE)+VLOOKUP($B290&amp;$E$282&amp;$G290,$E$6:$U$275,T$279,FALSE)*VLOOKUP($A290,Weighting!$D$26:$G$30,MATCH(Segmented!$E$282,Weighting!$E$26:$H$26,0)+1,FALSE)</f>
        <v>0</v>
      </c>
    </row>
    <row r="291" spans="1:20">
      <c r="A291" t="s">
        <v>227</v>
      </c>
      <c r="B291" t="s">
        <v>227</v>
      </c>
      <c r="F291" s="55" t="str">
        <f t="shared" si="11"/>
        <v>FLOOR R0 - R30_Electric FAF</v>
      </c>
      <c r="G291" t="s">
        <v>91</v>
      </c>
      <c r="H291" s="31">
        <f>VLOOKUP($B291&amp;$C$282&amp;$G291,$E$6:$U$275,H$279,FALSE)*VLOOKUP($A291,Weighting!$D$26:$G$30,MATCH(Segmented!$C$282,Weighting!$E$26:$H$26,0)+1,FALSE)+VLOOKUP($B291&amp;$D$282&amp;$G291,$E$6:$U$275,H$279,FALSE)*VLOOKUP($A291,Weighting!$D$26:$G$30,MATCH(Segmented!$D$282,Weighting!$E$26:$H$26,0)+1,FALSE)+VLOOKUP($B291&amp;$E$282&amp;$G291,$E$6:$U$275,H$279,FALSE)*VLOOKUP($A291,Weighting!$D$26:$G$30,MATCH(Segmented!$E$282,Weighting!$E$26:$H$26,0)+1,FALSE)</f>
        <v>758.75035016521383</v>
      </c>
      <c r="I291">
        <f t="shared" si="6"/>
        <v>45</v>
      </c>
      <c r="J291" s="31">
        <f>VLOOKUP($B291&amp;$C$282&amp;$G291,$E$6:$U$275,J$279,FALSE)*VLOOKUP($A291,Weighting!$D$26:$G$30,MATCH(Segmented!$C$282,Weighting!$E$26:$H$26,0)+1,FALSE)+VLOOKUP($B291&amp;$D$282&amp;$G291,$E$6:$U$275,J$279,FALSE)*VLOOKUP($A291,Weighting!$D$26:$G$30,MATCH(Segmented!$D$282,Weighting!$E$26:$H$26,0)+1,FALSE)+VLOOKUP($B291&amp;$E$282&amp;$G291,$E$6:$U$275,J$279,FALSE)*VLOOKUP($A291,Weighting!$D$26:$G$30,MATCH(Segmented!$E$282,Weighting!$E$26:$H$26,0)+1,FALSE)</f>
        <v>789.31624793152037</v>
      </c>
      <c r="K291" s="31">
        <f>VLOOKUP($B291&amp;$C$282&amp;$G291,$E$6:$U$275,K$279,FALSE)*VLOOKUP($A291,Weighting!$D$26:$G$30,MATCH(Segmented!$C$282,Weighting!$E$26:$H$26,0)+1,FALSE)+VLOOKUP($B291&amp;$D$282&amp;$G291,$E$6:$U$275,K$279,FALSE)*VLOOKUP($A291,Weighting!$D$26:$G$30,MATCH(Segmented!$D$282,Weighting!$E$26:$H$26,0)+1,FALSE)+VLOOKUP($B291&amp;$E$282&amp;$G291,$E$6:$U$275,K$279,FALSE)*VLOOKUP($A291,Weighting!$D$26:$G$30,MATCH(Segmented!$E$282,Weighting!$E$26:$H$26,0)+1,FALSE)</f>
        <v>0</v>
      </c>
      <c r="L291" t="str">
        <f t="shared" si="7"/>
        <v>ResSpHtFAFZ1</v>
      </c>
      <c r="M291" s="31">
        <f>VLOOKUP($B291&amp;$C$282&amp;$G291,$E$6:$U$275,M$279,FALSE)*VLOOKUP($A291,Weighting!$D$26:$G$30,MATCH(Segmented!$C$282,Weighting!$E$26:$H$26,0)+1,FALSE)+VLOOKUP($B291&amp;$D$282&amp;$G291,$E$6:$U$275,M$279,FALSE)*VLOOKUP($A291,Weighting!$D$26:$G$30,MATCH(Segmented!$D$282,Weighting!$E$26:$H$26,0)+1,FALSE)+VLOOKUP($B291&amp;$E$282&amp;$G291,$E$6:$U$275,M$279,FALSE)*VLOOKUP($A291,Weighting!$D$26:$G$30,MATCH(Segmented!$E$282,Weighting!$E$26:$H$26,0)+1,FALSE)</f>
        <v>3.2625817680088827</v>
      </c>
      <c r="N291" s="31">
        <f>VLOOKUP($B291&amp;$C$282&amp;$G291,$E$6:$U$275,N$279,FALSE)*VLOOKUP($A291,Weighting!$D$26:$G$30,MATCH(Segmented!$C$282,Weighting!$E$26:$H$26,0)+1,FALSE)+VLOOKUP($B291&amp;$D$282&amp;$G291,$E$6:$U$275,N$279,FALSE)*VLOOKUP($A291,Weighting!$D$26:$G$30,MATCH(Segmented!$D$282,Weighting!$E$26:$H$26,0)+1,FALSE)+VLOOKUP($B291&amp;$E$282&amp;$G291,$E$6:$U$275,N$279,FALSE)*VLOOKUP($A291,Weighting!$D$26:$G$30,MATCH(Segmented!$E$282,Weighting!$E$26:$H$26,0)+1,FALSE)</f>
        <v>0</v>
      </c>
      <c r="O291">
        <f t="shared" si="8"/>
        <v>0</v>
      </c>
      <c r="P291" s="31">
        <f>VLOOKUP($B291&amp;$C$282&amp;$G291,$E$6:$U$275,P$279,FALSE)*VLOOKUP($A291,Weighting!$D$26:$G$30,MATCH(Segmented!$C$282,Weighting!$E$26:$H$26,0)+1,FALSE)+VLOOKUP($B291&amp;$D$282&amp;$G291,$E$6:$U$275,P$279,FALSE)*VLOOKUP($A291,Weighting!$D$26:$G$30,MATCH(Segmented!$D$282,Weighting!$E$26:$H$26,0)+1,FALSE)+VLOOKUP($B291&amp;$E$282&amp;$G291,$E$6:$U$275,P$279,FALSE)*VLOOKUP($A291,Weighting!$D$26:$G$30,MATCH(Segmented!$E$282,Weighting!$E$26:$H$26,0)+1,FALSE)</f>
        <v>0</v>
      </c>
      <c r="Q291">
        <f t="shared" si="9"/>
        <v>0</v>
      </c>
      <c r="R291" s="31">
        <f>VLOOKUP($B291&amp;$C$282&amp;$G291,$E$6:$U$275,R$279,FALSE)*VLOOKUP($A291,Weighting!$D$26:$G$30,MATCH(Segmented!$C$282,Weighting!$E$26:$H$26,0)+1,FALSE)+VLOOKUP($B291&amp;$D$282&amp;$G291,$E$6:$U$275,R$279,FALSE)*VLOOKUP($A291,Weighting!$D$26:$G$30,MATCH(Segmented!$D$282,Weighting!$E$26:$H$26,0)+1,FALSE)+VLOOKUP($B291&amp;$E$282&amp;$G291,$E$6:$U$275,R$279,FALSE)*VLOOKUP($A291,Weighting!$D$26:$G$30,MATCH(Segmented!$E$282,Weighting!$E$26:$H$26,0)+1,FALSE)</f>
        <v>0</v>
      </c>
      <c r="S291">
        <f t="shared" si="10"/>
        <v>0</v>
      </c>
      <c r="T291" s="31">
        <f>VLOOKUP($B291&amp;$C$282&amp;$G291,$E$6:$U$275,T$279,FALSE)*VLOOKUP($A291,Weighting!$D$26:$G$30,MATCH(Segmented!$C$282,Weighting!$E$26:$H$26,0)+1,FALSE)+VLOOKUP($B291&amp;$D$282&amp;$G291,$E$6:$U$275,T$279,FALSE)*VLOOKUP($A291,Weighting!$D$26:$G$30,MATCH(Segmented!$D$282,Weighting!$E$26:$H$26,0)+1,FALSE)+VLOOKUP($B291&amp;$E$282&amp;$G291,$E$6:$U$275,T$279,FALSE)*VLOOKUP($A291,Weighting!$D$26:$G$30,MATCH(Segmented!$E$282,Weighting!$E$26:$H$26,0)+1,FALSE)</f>
        <v>0</v>
      </c>
    </row>
    <row r="292" spans="1:20">
      <c r="A292" t="s">
        <v>227</v>
      </c>
      <c r="B292" t="s">
        <v>227</v>
      </c>
      <c r="F292" s="55" t="str">
        <f t="shared" si="11"/>
        <v>WINDOW CL30 Prime Window Replacement of Single Pane Base_Electric FAF</v>
      </c>
      <c r="G292" t="s">
        <v>93</v>
      </c>
      <c r="H292" s="31">
        <f>VLOOKUP($B292&amp;$C$282&amp;$G292,$E$6:$U$275,H$279,FALSE)*VLOOKUP($A292,Weighting!$D$26:$G$30,MATCH(Segmented!$C$282,Weighting!$E$26:$H$26,0)+1,FALSE)+VLOOKUP($B292&amp;$D$282&amp;$G292,$E$6:$U$275,H$279,FALSE)*VLOOKUP($A292,Weighting!$D$26:$G$30,MATCH(Segmented!$D$282,Weighting!$E$26:$H$26,0)+1,FALSE)+VLOOKUP($B292&amp;$E$282&amp;$G292,$E$6:$U$275,H$279,FALSE)*VLOOKUP($A292,Weighting!$D$26:$G$30,MATCH(Segmented!$E$282,Weighting!$E$26:$H$26,0)+1,FALSE)</f>
        <v>1283.8865724711759</v>
      </c>
      <c r="I292">
        <f t="shared" si="6"/>
        <v>45</v>
      </c>
      <c r="J292" s="31">
        <f>VLOOKUP($B292&amp;$C$282&amp;$G292,$E$6:$U$275,J$279,FALSE)*VLOOKUP($A292,Weighting!$D$26:$G$30,MATCH(Segmented!$C$282,Weighting!$E$26:$H$26,0)+1,FALSE)+VLOOKUP($B292&amp;$D$282&amp;$G292,$E$6:$U$275,J$279,FALSE)*VLOOKUP($A292,Weighting!$D$26:$G$30,MATCH(Segmented!$D$282,Weighting!$E$26:$H$26,0)+1,FALSE)+VLOOKUP($B292&amp;$E$282&amp;$G292,$E$6:$U$275,J$279,FALSE)*VLOOKUP($A292,Weighting!$D$26:$G$30,MATCH(Segmented!$E$282,Weighting!$E$26:$H$26,0)+1,FALSE)</f>
        <v>1388.7391906273035</v>
      </c>
      <c r="K292" s="31">
        <f>VLOOKUP($B292&amp;$C$282&amp;$G292,$E$6:$U$275,K$279,FALSE)*VLOOKUP($A292,Weighting!$D$26:$G$30,MATCH(Segmented!$C$282,Weighting!$E$26:$H$26,0)+1,FALSE)+VLOOKUP($B292&amp;$D$282&amp;$G292,$E$6:$U$275,K$279,FALSE)*VLOOKUP($A292,Weighting!$D$26:$G$30,MATCH(Segmented!$D$282,Weighting!$E$26:$H$26,0)+1,FALSE)+VLOOKUP($B292&amp;$E$282&amp;$G292,$E$6:$U$275,K$279,FALSE)*VLOOKUP($A292,Weighting!$D$26:$G$30,MATCH(Segmented!$E$282,Weighting!$E$26:$H$26,0)+1,FALSE)</f>
        <v>0</v>
      </c>
      <c r="L292" t="str">
        <f t="shared" si="7"/>
        <v>ResSpHtFAFZ1</v>
      </c>
      <c r="M292" s="31">
        <f>VLOOKUP($B292&amp;$C$282&amp;$G292,$E$6:$U$275,M$279,FALSE)*VLOOKUP($A292,Weighting!$D$26:$G$30,MATCH(Segmented!$C$282,Weighting!$E$26:$H$26,0)+1,FALSE)+VLOOKUP($B292&amp;$D$282&amp;$G292,$E$6:$U$275,M$279,FALSE)*VLOOKUP($A292,Weighting!$D$26:$G$30,MATCH(Segmented!$D$282,Weighting!$E$26:$H$26,0)+1,FALSE)+VLOOKUP($B292&amp;$E$282&amp;$G292,$E$6:$U$275,M$279,FALSE)*VLOOKUP($A292,Weighting!$D$26:$G$30,MATCH(Segmented!$E$282,Weighting!$E$26:$H$26,0)+1,FALSE)</f>
        <v>11.429869249961627</v>
      </c>
      <c r="N292" s="31">
        <f>VLOOKUP($B292&amp;$C$282&amp;$G292,$E$6:$U$275,N$279,FALSE)*VLOOKUP($A292,Weighting!$D$26:$G$30,MATCH(Segmented!$C$282,Weighting!$E$26:$H$26,0)+1,FALSE)+VLOOKUP($B292&amp;$D$282&amp;$G292,$E$6:$U$275,N$279,FALSE)*VLOOKUP($A292,Weighting!$D$26:$G$30,MATCH(Segmented!$D$282,Weighting!$E$26:$H$26,0)+1,FALSE)+VLOOKUP($B292&amp;$E$282&amp;$G292,$E$6:$U$275,N$279,FALSE)*VLOOKUP($A292,Weighting!$D$26:$G$30,MATCH(Segmented!$E$282,Weighting!$E$26:$H$26,0)+1,FALSE)</f>
        <v>0</v>
      </c>
      <c r="O292">
        <f t="shared" si="8"/>
        <v>0</v>
      </c>
      <c r="P292" s="31">
        <f>VLOOKUP($B292&amp;$C$282&amp;$G292,$E$6:$U$275,P$279,FALSE)*VLOOKUP($A292,Weighting!$D$26:$G$30,MATCH(Segmented!$C$282,Weighting!$E$26:$H$26,0)+1,FALSE)+VLOOKUP($B292&amp;$D$282&amp;$G292,$E$6:$U$275,P$279,FALSE)*VLOOKUP($A292,Weighting!$D$26:$G$30,MATCH(Segmented!$D$282,Weighting!$E$26:$H$26,0)+1,FALSE)+VLOOKUP($B292&amp;$E$282&amp;$G292,$E$6:$U$275,P$279,FALSE)*VLOOKUP($A292,Weighting!$D$26:$G$30,MATCH(Segmented!$E$282,Weighting!$E$26:$H$26,0)+1,FALSE)</f>
        <v>0</v>
      </c>
      <c r="Q292">
        <f t="shared" si="9"/>
        <v>0</v>
      </c>
      <c r="R292" s="31">
        <f>VLOOKUP($B292&amp;$C$282&amp;$G292,$E$6:$U$275,R$279,FALSE)*VLOOKUP($A292,Weighting!$D$26:$G$30,MATCH(Segmented!$C$282,Weighting!$E$26:$H$26,0)+1,FALSE)+VLOOKUP($B292&amp;$D$282&amp;$G292,$E$6:$U$275,R$279,FALSE)*VLOOKUP($A292,Weighting!$D$26:$G$30,MATCH(Segmented!$D$282,Weighting!$E$26:$H$26,0)+1,FALSE)+VLOOKUP($B292&amp;$E$282&amp;$G292,$E$6:$U$275,R$279,FALSE)*VLOOKUP($A292,Weighting!$D$26:$G$30,MATCH(Segmented!$E$282,Weighting!$E$26:$H$26,0)+1,FALSE)</f>
        <v>0</v>
      </c>
      <c r="S292">
        <f t="shared" si="10"/>
        <v>0</v>
      </c>
      <c r="T292" s="31">
        <f>VLOOKUP($B292&amp;$C$282&amp;$G292,$E$6:$U$275,T$279,FALSE)*VLOOKUP($A292,Weighting!$D$26:$G$30,MATCH(Segmented!$C$282,Weighting!$E$26:$H$26,0)+1,FALSE)+VLOOKUP($B292&amp;$D$282&amp;$G292,$E$6:$U$275,T$279,FALSE)*VLOOKUP($A292,Weighting!$D$26:$G$30,MATCH(Segmented!$D$282,Weighting!$E$26:$H$26,0)+1,FALSE)+VLOOKUP($B292&amp;$E$282&amp;$G292,$E$6:$U$275,T$279,FALSE)*VLOOKUP($A292,Weighting!$D$26:$G$30,MATCH(Segmented!$E$282,Weighting!$E$26:$H$26,0)+1,FALSE)</f>
        <v>0</v>
      </c>
    </row>
    <row r="293" spans="1:20">
      <c r="A293" t="s">
        <v>227</v>
      </c>
      <c r="B293" t="s">
        <v>227</v>
      </c>
      <c r="F293" s="55" t="str">
        <f t="shared" si="11"/>
        <v>WINDOW CL30 Prime Window Replacement of Double Pane Base_Electric FAF</v>
      </c>
      <c r="G293" t="s">
        <v>95</v>
      </c>
      <c r="H293" s="31">
        <f>VLOOKUP($B293&amp;$C$282&amp;$G293,$E$6:$U$275,H$279,FALSE)*VLOOKUP($A293,Weighting!$D$26:$G$30,MATCH(Segmented!$C$282,Weighting!$E$26:$H$26,0)+1,FALSE)+VLOOKUP($B293&amp;$D$282&amp;$G293,$E$6:$U$275,H$279,FALSE)*VLOOKUP($A293,Weighting!$D$26:$G$30,MATCH(Segmented!$D$282,Weighting!$E$26:$H$26,0)+1,FALSE)+VLOOKUP($B293&amp;$E$282&amp;$G293,$E$6:$U$275,H$279,FALSE)*VLOOKUP($A293,Weighting!$D$26:$G$30,MATCH(Segmented!$E$282,Weighting!$E$26:$H$26,0)+1,FALSE)</f>
        <v>467.15615060917264</v>
      </c>
      <c r="I293">
        <f t="shared" si="6"/>
        <v>45</v>
      </c>
      <c r="J293" s="31">
        <f>VLOOKUP($B293&amp;$C$282&amp;$G293,$E$6:$U$275,J$279,FALSE)*VLOOKUP($A293,Weighting!$D$26:$G$30,MATCH(Segmented!$C$282,Weighting!$E$26:$H$26,0)+1,FALSE)+VLOOKUP($B293&amp;$D$282&amp;$G293,$E$6:$U$275,J$279,FALSE)*VLOOKUP($A293,Weighting!$D$26:$G$30,MATCH(Segmented!$D$282,Weighting!$E$26:$H$26,0)+1,FALSE)+VLOOKUP($B293&amp;$E$282&amp;$G293,$E$6:$U$275,J$279,FALSE)*VLOOKUP($A293,Weighting!$D$26:$G$30,MATCH(Segmented!$E$282,Weighting!$E$26:$H$26,0)+1,FALSE)</f>
        <v>1388.7391906273035</v>
      </c>
      <c r="K293" s="31">
        <f>VLOOKUP($B293&amp;$C$282&amp;$G293,$E$6:$U$275,K$279,FALSE)*VLOOKUP($A293,Weighting!$D$26:$G$30,MATCH(Segmented!$C$282,Weighting!$E$26:$H$26,0)+1,FALSE)+VLOOKUP($B293&amp;$D$282&amp;$G293,$E$6:$U$275,K$279,FALSE)*VLOOKUP($A293,Weighting!$D$26:$G$30,MATCH(Segmented!$D$282,Weighting!$E$26:$H$26,0)+1,FALSE)+VLOOKUP($B293&amp;$E$282&amp;$G293,$E$6:$U$275,K$279,FALSE)*VLOOKUP($A293,Weighting!$D$26:$G$30,MATCH(Segmented!$E$282,Weighting!$E$26:$H$26,0)+1,FALSE)</f>
        <v>0</v>
      </c>
      <c r="L293" t="str">
        <f t="shared" si="7"/>
        <v>ResSpHtFAFZ1</v>
      </c>
      <c r="M293" s="31">
        <f>VLOOKUP($B293&amp;$C$282&amp;$G293,$E$6:$U$275,M$279,FALSE)*VLOOKUP($A293,Weighting!$D$26:$G$30,MATCH(Segmented!$C$282,Weighting!$E$26:$H$26,0)+1,FALSE)+VLOOKUP($B293&amp;$D$282&amp;$G293,$E$6:$U$275,M$279,FALSE)*VLOOKUP($A293,Weighting!$D$26:$G$30,MATCH(Segmented!$D$282,Weighting!$E$26:$H$26,0)+1,FALSE)+VLOOKUP($B293&amp;$E$282&amp;$G293,$E$6:$U$275,M$279,FALSE)*VLOOKUP($A293,Weighting!$D$26:$G$30,MATCH(Segmented!$E$282,Weighting!$E$26:$H$26,0)+1,FALSE)</f>
        <v>3.8475952594034228</v>
      </c>
      <c r="N293" s="31">
        <f>VLOOKUP($B293&amp;$C$282&amp;$G293,$E$6:$U$275,N$279,FALSE)*VLOOKUP($A293,Weighting!$D$26:$G$30,MATCH(Segmented!$C$282,Weighting!$E$26:$H$26,0)+1,FALSE)+VLOOKUP($B293&amp;$D$282&amp;$G293,$E$6:$U$275,N$279,FALSE)*VLOOKUP($A293,Weighting!$D$26:$G$30,MATCH(Segmented!$D$282,Weighting!$E$26:$H$26,0)+1,FALSE)+VLOOKUP($B293&amp;$E$282&amp;$G293,$E$6:$U$275,N$279,FALSE)*VLOOKUP($A293,Weighting!$D$26:$G$30,MATCH(Segmented!$E$282,Weighting!$E$26:$H$26,0)+1,FALSE)</f>
        <v>0</v>
      </c>
      <c r="O293">
        <f t="shared" si="8"/>
        <v>0</v>
      </c>
      <c r="P293" s="31">
        <f>VLOOKUP($B293&amp;$C$282&amp;$G293,$E$6:$U$275,P$279,FALSE)*VLOOKUP($A293,Weighting!$D$26:$G$30,MATCH(Segmented!$C$282,Weighting!$E$26:$H$26,0)+1,FALSE)+VLOOKUP($B293&amp;$D$282&amp;$G293,$E$6:$U$275,P$279,FALSE)*VLOOKUP($A293,Weighting!$D$26:$G$30,MATCH(Segmented!$D$282,Weighting!$E$26:$H$26,0)+1,FALSE)+VLOOKUP($B293&amp;$E$282&amp;$G293,$E$6:$U$275,P$279,FALSE)*VLOOKUP($A293,Weighting!$D$26:$G$30,MATCH(Segmented!$E$282,Weighting!$E$26:$H$26,0)+1,FALSE)</f>
        <v>0</v>
      </c>
      <c r="Q293">
        <f t="shared" si="9"/>
        <v>0</v>
      </c>
      <c r="R293" s="31">
        <f>VLOOKUP($B293&amp;$C$282&amp;$G293,$E$6:$U$275,R$279,FALSE)*VLOOKUP($A293,Weighting!$D$26:$G$30,MATCH(Segmented!$C$282,Weighting!$E$26:$H$26,0)+1,FALSE)+VLOOKUP($B293&amp;$D$282&amp;$G293,$E$6:$U$275,R$279,FALSE)*VLOOKUP($A293,Weighting!$D$26:$G$30,MATCH(Segmented!$D$282,Weighting!$E$26:$H$26,0)+1,FALSE)+VLOOKUP($B293&amp;$E$282&amp;$G293,$E$6:$U$275,R$279,FALSE)*VLOOKUP($A293,Weighting!$D$26:$G$30,MATCH(Segmented!$E$282,Weighting!$E$26:$H$26,0)+1,FALSE)</f>
        <v>0</v>
      </c>
      <c r="S293">
        <f t="shared" si="10"/>
        <v>0</v>
      </c>
      <c r="T293" s="31">
        <f>VLOOKUP($B293&amp;$C$282&amp;$G293,$E$6:$U$275,T$279,FALSE)*VLOOKUP($A293,Weighting!$D$26:$G$30,MATCH(Segmented!$C$282,Weighting!$E$26:$H$26,0)+1,FALSE)+VLOOKUP($B293&amp;$D$282&amp;$G293,$E$6:$U$275,T$279,FALSE)*VLOOKUP($A293,Weighting!$D$26:$G$30,MATCH(Segmented!$D$282,Weighting!$E$26:$H$26,0)+1,FALSE)+VLOOKUP($B293&amp;$E$282&amp;$G293,$E$6:$U$275,T$279,FALSE)*VLOOKUP($A293,Weighting!$D$26:$G$30,MATCH(Segmented!$E$282,Weighting!$E$26:$H$26,0)+1,FALSE)</f>
        <v>0</v>
      </c>
    </row>
    <row r="294" spans="1:20">
      <c r="A294" t="s">
        <v>227</v>
      </c>
      <c r="B294" t="s">
        <v>227</v>
      </c>
      <c r="F294" s="55" t="str">
        <f t="shared" si="11"/>
        <v>WINDOW CL22 Prime Window Replacement of Single Pane Base_Electric FAF</v>
      </c>
      <c r="G294" t="s">
        <v>99</v>
      </c>
      <c r="H294" s="31">
        <f>VLOOKUP($B294&amp;$C$282&amp;$G294,$E$6:$U$275,H$279,FALSE)*VLOOKUP($A294,Weighting!$D$26:$G$30,MATCH(Segmented!$C$282,Weighting!$E$26:$H$26,0)+1,FALSE)+VLOOKUP($B294&amp;$D$282&amp;$G294,$E$6:$U$275,H$279,FALSE)*VLOOKUP($A294,Weighting!$D$26:$G$30,MATCH(Segmented!$D$282,Weighting!$E$26:$H$26,0)+1,FALSE)+VLOOKUP($B294&amp;$E$282&amp;$G294,$E$6:$U$275,H$279,FALSE)*VLOOKUP($A294,Weighting!$D$26:$G$30,MATCH(Segmented!$E$282,Weighting!$E$26:$H$26,0)+1,FALSE)</f>
        <v>1401.058988837091</v>
      </c>
      <c r="I294">
        <f t="shared" si="6"/>
        <v>45</v>
      </c>
      <c r="J294" s="31">
        <f>VLOOKUP($B294&amp;$C$282&amp;$G294,$E$6:$U$275,J$279,FALSE)*VLOOKUP($A294,Weighting!$D$26:$G$30,MATCH(Segmented!$C$282,Weighting!$E$26:$H$26,0)+1,FALSE)+VLOOKUP($B294&amp;$D$282&amp;$G294,$E$6:$U$275,J$279,FALSE)*VLOOKUP($A294,Weighting!$D$26:$G$30,MATCH(Segmented!$D$282,Weighting!$E$26:$H$26,0)+1,FALSE)+VLOOKUP($B294&amp;$E$282&amp;$G294,$E$6:$U$275,J$279,FALSE)*VLOOKUP($A294,Weighting!$D$26:$G$30,MATCH(Segmented!$E$282,Weighting!$E$26:$H$26,0)+1,FALSE)</f>
        <v>1635.52300175959</v>
      </c>
      <c r="K294" s="31">
        <f>VLOOKUP($B294&amp;$C$282&amp;$G294,$E$6:$U$275,K$279,FALSE)*VLOOKUP($A294,Weighting!$D$26:$G$30,MATCH(Segmented!$C$282,Weighting!$E$26:$H$26,0)+1,FALSE)+VLOOKUP($B294&amp;$D$282&amp;$G294,$E$6:$U$275,K$279,FALSE)*VLOOKUP($A294,Weighting!$D$26:$G$30,MATCH(Segmented!$D$282,Weighting!$E$26:$H$26,0)+1,FALSE)+VLOOKUP($B294&amp;$E$282&amp;$G294,$E$6:$U$275,K$279,FALSE)*VLOOKUP($A294,Weighting!$D$26:$G$30,MATCH(Segmented!$E$282,Weighting!$E$26:$H$26,0)+1,FALSE)</f>
        <v>0</v>
      </c>
      <c r="L294" t="str">
        <f t="shared" si="7"/>
        <v>ResSpHtFAFZ1</v>
      </c>
      <c r="M294" s="31">
        <f>VLOOKUP($B294&amp;$C$282&amp;$G294,$E$6:$U$275,M$279,FALSE)*VLOOKUP($A294,Weighting!$D$26:$G$30,MATCH(Segmented!$C$282,Weighting!$E$26:$H$26,0)+1,FALSE)+VLOOKUP($B294&amp;$D$282&amp;$G294,$E$6:$U$275,M$279,FALSE)*VLOOKUP($A294,Weighting!$D$26:$G$30,MATCH(Segmented!$D$282,Weighting!$E$26:$H$26,0)+1,FALSE)+VLOOKUP($B294&amp;$E$282&amp;$G294,$E$6:$U$275,M$279,FALSE)*VLOOKUP($A294,Weighting!$D$26:$G$30,MATCH(Segmented!$E$282,Weighting!$E$26:$H$26,0)+1,FALSE)</f>
        <v>12.739633986201129</v>
      </c>
      <c r="N294" s="31">
        <f>VLOOKUP($B294&amp;$C$282&amp;$G294,$E$6:$U$275,N$279,FALSE)*VLOOKUP($A294,Weighting!$D$26:$G$30,MATCH(Segmented!$C$282,Weighting!$E$26:$H$26,0)+1,FALSE)+VLOOKUP($B294&amp;$D$282&amp;$G294,$E$6:$U$275,N$279,FALSE)*VLOOKUP($A294,Weighting!$D$26:$G$30,MATCH(Segmented!$D$282,Weighting!$E$26:$H$26,0)+1,FALSE)+VLOOKUP($B294&amp;$E$282&amp;$G294,$E$6:$U$275,N$279,FALSE)*VLOOKUP($A294,Weighting!$D$26:$G$30,MATCH(Segmented!$E$282,Weighting!$E$26:$H$26,0)+1,FALSE)</f>
        <v>0</v>
      </c>
      <c r="O294">
        <f t="shared" si="8"/>
        <v>0</v>
      </c>
      <c r="P294" s="31">
        <f>VLOOKUP($B294&amp;$C$282&amp;$G294,$E$6:$U$275,P$279,FALSE)*VLOOKUP($A294,Weighting!$D$26:$G$30,MATCH(Segmented!$C$282,Weighting!$E$26:$H$26,0)+1,FALSE)+VLOOKUP($B294&amp;$D$282&amp;$G294,$E$6:$U$275,P$279,FALSE)*VLOOKUP($A294,Weighting!$D$26:$G$30,MATCH(Segmented!$D$282,Weighting!$E$26:$H$26,0)+1,FALSE)+VLOOKUP($B294&amp;$E$282&amp;$G294,$E$6:$U$275,P$279,FALSE)*VLOOKUP($A294,Weighting!$D$26:$G$30,MATCH(Segmented!$E$282,Weighting!$E$26:$H$26,0)+1,FALSE)</f>
        <v>0</v>
      </c>
      <c r="Q294">
        <f t="shared" si="9"/>
        <v>0</v>
      </c>
      <c r="R294" s="31">
        <f>VLOOKUP($B294&amp;$C$282&amp;$G294,$E$6:$U$275,R$279,FALSE)*VLOOKUP($A294,Weighting!$D$26:$G$30,MATCH(Segmented!$C$282,Weighting!$E$26:$H$26,0)+1,FALSE)+VLOOKUP($B294&amp;$D$282&amp;$G294,$E$6:$U$275,R$279,FALSE)*VLOOKUP($A294,Weighting!$D$26:$G$30,MATCH(Segmented!$D$282,Weighting!$E$26:$H$26,0)+1,FALSE)+VLOOKUP($B294&amp;$E$282&amp;$G294,$E$6:$U$275,R$279,FALSE)*VLOOKUP($A294,Weighting!$D$26:$G$30,MATCH(Segmented!$E$282,Weighting!$E$26:$H$26,0)+1,FALSE)</f>
        <v>0</v>
      </c>
      <c r="S294">
        <f t="shared" si="10"/>
        <v>0</v>
      </c>
      <c r="T294" s="31">
        <f>VLOOKUP($B294&amp;$C$282&amp;$G294,$E$6:$U$275,T$279,FALSE)*VLOOKUP($A294,Weighting!$D$26:$G$30,MATCH(Segmented!$C$282,Weighting!$E$26:$H$26,0)+1,FALSE)+VLOOKUP($B294&amp;$D$282&amp;$G294,$E$6:$U$275,T$279,FALSE)*VLOOKUP($A294,Weighting!$D$26:$G$30,MATCH(Segmented!$D$282,Weighting!$E$26:$H$26,0)+1,FALSE)+VLOOKUP($B294&amp;$E$282&amp;$G294,$E$6:$U$275,T$279,FALSE)*VLOOKUP($A294,Weighting!$D$26:$G$30,MATCH(Segmented!$E$282,Weighting!$E$26:$H$26,0)+1,FALSE)</f>
        <v>0</v>
      </c>
    </row>
    <row r="295" spans="1:20">
      <c r="A295" t="s">
        <v>227</v>
      </c>
      <c r="B295" t="s">
        <v>227</v>
      </c>
      <c r="F295" s="55" t="str">
        <f t="shared" si="11"/>
        <v>WINDOW CL22 Prime Window Replacement of Double Pane Base_Electric FAF</v>
      </c>
      <c r="G295" t="s">
        <v>101</v>
      </c>
      <c r="H295" s="31">
        <f>VLOOKUP($B295&amp;$C$282&amp;$G295,$E$6:$U$275,H$279,FALSE)*VLOOKUP($A295,Weighting!$D$26:$G$30,MATCH(Segmented!$C$282,Weighting!$E$26:$H$26,0)+1,FALSE)+VLOOKUP($B295&amp;$D$282&amp;$G295,$E$6:$U$275,H$279,FALSE)*VLOOKUP($A295,Weighting!$D$26:$G$30,MATCH(Segmented!$D$282,Weighting!$E$26:$H$26,0)+1,FALSE)+VLOOKUP($B295&amp;$E$282&amp;$G295,$E$6:$U$275,H$279,FALSE)*VLOOKUP($A295,Weighting!$D$26:$G$30,MATCH(Segmented!$E$282,Weighting!$E$26:$H$26,0)+1,FALSE)</f>
        <v>547.172908804023</v>
      </c>
      <c r="I295">
        <f t="shared" si="6"/>
        <v>45</v>
      </c>
      <c r="J295" s="31">
        <f>VLOOKUP($B295&amp;$C$282&amp;$G295,$E$6:$U$275,J$279,FALSE)*VLOOKUP($A295,Weighting!$D$26:$G$30,MATCH(Segmented!$C$282,Weighting!$E$26:$H$26,0)+1,FALSE)+VLOOKUP($B295&amp;$D$282&amp;$G295,$E$6:$U$275,J$279,FALSE)*VLOOKUP($A295,Weighting!$D$26:$G$30,MATCH(Segmented!$D$282,Weighting!$E$26:$H$26,0)+1,FALSE)+VLOOKUP($B295&amp;$E$282&amp;$G295,$E$6:$U$275,J$279,FALSE)*VLOOKUP($A295,Weighting!$D$26:$G$30,MATCH(Segmented!$E$282,Weighting!$E$26:$H$26,0)+1,FALSE)</f>
        <v>1635.52300175959</v>
      </c>
      <c r="K295" s="31">
        <f>VLOOKUP($B295&amp;$C$282&amp;$G295,$E$6:$U$275,K$279,FALSE)*VLOOKUP($A295,Weighting!$D$26:$G$30,MATCH(Segmented!$C$282,Weighting!$E$26:$H$26,0)+1,FALSE)+VLOOKUP($B295&amp;$D$282&amp;$G295,$E$6:$U$275,K$279,FALSE)*VLOOKUP($A295,Weighting!$D$26:$G$30,MATCH(Segmented!$D$282,Weighting!$E$26:$H$26,0)+1,FALSE)+VLOOKUP($B295&amp;$E$282&amp;$G295,$E$6:$U$275,K$279,FALSE)*VLOOKUP($A295,Weighting!$D$26:$G$30,MATCH(Segmented!$E$282,Weighting!$E$26:$H$26,0)+1,FALSE)</f>
        <v>0</v>
      </c>
      <c r="L295" t="str">
        <f t="shared" si="7"/>
        <v>ResSpHtFAFZ1</v>
      </c>
      <c r="M295" s="31">
        <f>VLOOKUP($B295&amp;$C$282&amp;$G295,$E$6:$U$275,M$279,FALSE)*VLOOKUP($A295,Weighting!$D$26:$G$30,MATCH(Segmented!$C$282,Weighting!$E$26:$H$26,0)+1,FALSE)+VLOOKUP($B295&amp;$D$282&amp;$G295,$E$6:$U$275,M$279,FALSE)*VLOOKUP($A295,Weighting!$D$26:$G$30,MATCH(Segmented!$D$282,Weighting!$E$26:$H$26,0)+1,FALSE)+VLOOKUP($B295&amp;$E$282&amp;$G295,$E$6:$U$275,M$279,FALSE)*VLOOKUP($A295,Weighting!$D$26:$G$30,MATCH(Segmented!$E$282,Weighting!$E$26:$H$26,0)+1,FALSE)</f>
        <v>4.6614718990242254</v>
      </c>
      <c r="N295" s="31">
        <f>VLOOKUP($B295&amp;$C$282&amp;$G295,$E$6:$U$275,N$279,FALSE)*VLOOKUP($A295,Weighting!$D$26:$G$30,MATCH(Segmented!$C$282,Weighting!$E$26:$H$26,0)+1,FALSE)+VLOOKUP($B295&amp;$D$282&amp;$G295,$E$6:$U$275,N$279,FALSE)*VLOOKUP($A295,Weighting!$D$26:$G$30,MATCH(Segmented!$D$282,Weighting!$E$26:$H$26,0)+1,FALSE)+VLOOKUP($B295&amp;$E$282&amp;$G295,$E$6:$U$275,N$279,FALSE)*VLOOKUP($A295,Weighting!$D$26:$G$30,MATCH(Segmented!$E$282,Weighting!$E$26:$H$26,0)+1,FALSE)</f>
        <v>0</v>
      </c>
      <c r="O295">
        <f t="shared" si="8"/>
        <v>0</v>
      </c>
      <c r="P295" s="31">
        <f>VLOOKUP($B295&amp;$C$282&amp;$G295,$E$6:$U$275,P$279,FALSE)*VLOOKUP($A295,Weighting!$D$26:$G$30,MATCH(Segmented!$C$282,Weighting!$E$26:$H$26,0)+1,FALSE)+VLOOKUP($B295&amp;$D$282&amp;$G295,$E$6:$U$275,P$279,FALSE)*VLOOKUP($A295,Weighting!$D$26:$G$30,MATCH(Segmented!$D$282,Weighting!$E$26:$H$26,0)+1,FALSE)+VLOOKUP($B295&amp;$E$282&amp;$G295,$E$6:$U$275,P$279,FALSE)*VLOOKUP($A295,Weighting!$D$26:$G$30,MATCH(Segmented!$E$282,Weighting!$E$26:$H$26,0)+1,FALSE)</f>
        <v>0</v>
      </c>
      <c r="Q295">
        <f t="shared" si="9"/>
        <v>0</v>
      </c>
      <c r="R295" s="31">
        <f>VLOOKUP($B295&amp;$C$282&amp;$G295,$E$6:$U$275,R$279,FALSE)*VLOOKUP($A295,Weighting!$D$26:$G$30,MATCH(Segmented!$C$282,Weighting!$E$26:$H$26,0)+1,FALSE)+VLOOKUP($B295&amp;$D$282&amp;$G295,$E$6:$U$275,R$279,FALSE)*VLOOKUP($A295,Weighting!$D$26:$G$30,MATCH(Segmented!$D$282,Weighting!$E$26:$H$26,0)+1,FALSE)+VLOOKUP($B295&amp;$E$282&amp;$G295,$E$6:$U$275,R$279,FALSE)*VLOOKUP($A295,Weighting!$D$26:$G$30,MATCH(Segmented!$E$282,Weighting!$E$26:$H$26,0)+1,FALSE)</f>
        <v>0</v>
      </c>
      <c r="S295">
        <f t="shared" si="10"/>
        <v>0</v>
      </c>
      <c r="T295" s="31">
        <f>VLOOKUP($B295&amp;$C$282&amp;$G295,$E$6:$U$275,T$279,FALSE)*VLOOKUP($A295,Weighting!$D$26:$G$30,MATCH(Segmented!$C$282,Weighting!$E$26:$H$26,0)+1,FALSE)+VLOOKUP($B295&amp;$D$282&amp;$G295,$E$6:$U$275,T$279,FALSE)*VLOOKUP($A295,Weighting!$D$26:$G$30,MATCH(Segmented!$D$282,Weighting!$E$26:$H$26,0)+1,FALSE)+VLOOKUP($B295&amp;$E$282&amp;$G295,$E$6:$U$275,T$279,FALSE)*VLOOKUP($A295,Weighting!$D$26:$G$30,MATCH(Segmented!$E$282,Weighting!$E$26:$H$26,0)+1,FALSE)</f>
        <v>0</v>
      </c>
    </row>
    <row r="296" spans="1:20">
      <c r="A296" t="s">
        <v>227</v>
      </c>
      <c r="B296" t="s">
        <v>227</v>
      </c>
      <c r="F296" s="55" t="str">
        <f t="shared" si="11"/>
        <v>CFM50 Infiltration Reduction_Electric FAF</v>
      </c>
      <c r="G296" s="305" t="s">
        <v>1362</v>
      </c>
      <c r="H296" s="31">
        <f>VLOOKUP($B296&amp;$C$282&amp;$G296,$E$6:$U$275,H$279,FALSE)*VLOOKUP($A296,Weighting!$D$26:$G$30,MATCH(Segmented!$C$282,Weighting!$E$26:$H$26,0)+1,FALSE)+VLOOKUP($B296&amp;$D$282&amp;$G296,$E$6:$U$275,H$279,FALSE)*VLOOKUP($A296,Weighting!$D$26:$G$30,MATCH(Segmented!$D$282,Weighting!$E$26:$H$26,0)+1,FALSE)+VLOOKUP($B296&amp;$E$282&amp;$G296,$E$6:$U$275,H$279,FALSE)*VLOOKUP($A296,Weighting!$D$26:$G$30,MATCH(Segmented!$E$282,Weighting!$E$26:$H$26,0)+1,FALSE)</f>
        <v>500.15900572500374</v>
      </c>
      <c r="I296">
        <f t="shared" si="6"/>
        <v>15</v>
      </c>
      <c r="J296" s="31">
        <f>VLOOKUP($B296&amp;$C$282&amp;$G296,$E$6:$U$275,J$279,FALSE)*VLOOKUP($A296,Weighting!$D$26:$G$30,MATCH(Segmented!$C$282,Weighting!$E$26:$H$26,0)+1,FALSE)+VLOOKUP($B296&amp;$D$282&amp;$G296,$E$6:$U$275,J$279,FALSE)*VLOOKUP($A296,Weighting!$D$26:$G$30,MATCH(Segmented!$D$282,Weighting!$E$26:$H$26,0)+1,FALSE)+VLOOKUP($B296&amp;$E$282&amp;$G296,$E$6:$U$275,J$279,FALSE)*VLOOKUP($A296,Weighting!$D$26:$G$30,MATCH(Segmented!$E$282,Weighting!$E$26:$H$26,0)+1,FALSE)</f>
        <v>555.67373558374129</v>
      </c>
      <c r="K296" s="31">
        <f>VLOOKUP($B296&amp;$C$282&amp;$G296,$E$6:$U$275,K$279,FALSE)*VLOOKUP($A296,Weighting!$D$26:$G$30,MATCH(Segmented!$C$282,Weighting!$E$26:$H$26,0)+1,FALSE)+VLOOKUP($B296&amp;$D$282&amp;$G296,$E$6:$U$275,K$279,FALSE)*VLOOKUP($A296,Weighting!$D$26:$G$30,MATCH(Segmented!$D$282,Weighting!$E$26:$H$26,0)+1,FALSE)+VLOOKUP($B296&amp;$E$282&amp;$G296,$E$6:$U$275,K$279,FALSE)*VLOOKUP($A296,Weighting!$D$26:$G$30,MATCH(Segmented!$E$282,Weighting!$E$26:$H$26,0)+1,FALSE)</f>
        <v>0</v>
      </c>
      <c r="L296" t="str">
        <f t="shared" si="7"/>
        <v>ResSpHtFAFZ1</v>
      </c>
      <c r="M296" s="31">
        <f>VLOOKUP($B296&amp;$C$282&amp;$G296,$E$6:$U$275,M$279,FALSE)*VLOOKUP($A296,Weighting!$D$26:$G$30,MATCH(Segmented!$C$282,Weighting!$E$26:$H$26,0)+1,FALSE)+VLOOKUP($B296&amp;$D$282&amp;$G296,$E$6:$U$275,M$279,FALSE)*VLOOKUP($A296,Weighting!$D$26:$G$30,MATCH(Segmented!$D$282,Weighting!$E$26:$H$26,0)+1,FALSE)+VLOOKUP($B296&amp;$E$282&amp;$G296,$E$6:$U$275,M$279,FALSE)*VLOOKUP($A296,Weighting!$D$26:$G$30,MATCH(Segmented!$E$282,Weighting!$E$26:$H$26,0)+1,FALSE)</f>
        <v>4.5518096199345557</v>
      </c>
      <c r="N296" s="31">
        <f>VLOOKUP($B296&amp;$C$282&amp;$G296,$E$6:$U$275,N$279,FALSE)*VLOOKUP($A296,Weighting!$D$26:$G$30,MATCH(Segmented!$C$282,Weighting!$E$26:$H$26,0)+1,FALSE)+VLOOKUP($B296&amp;$D$282&amp;$G296,$E$6:$U$275,N$279,FALSE)*VLOOKUP($A296,Weighting!$D$26:$G$30,MATCH(Segmented!$D$282,Weighting!$E$26:$H$26,0)+1,FALSE)+VLOOKUP($B296&amp;$E$282&amp;$G296,$E$6:$U$275,N$279,FALSE)*VLOOKUP($A296,Weighting!$D$26:$G$30,MATCH(Segmented!$E$282,Weighting!$E$26:$H$26,0)+1,FALSE)</f>
        <v>0</v>
      </c>
      <c r="O296">
        <f t="shared" si="8"/>
        <v>0</v>
      </c>
      <c r="P296" s="31">
        <f>VLOOKUP($B296&amp;$C$282&amp;$G296,$E$6:$U$275,P$279,FALSE)*VLOOKUP($A296,Weighting!$D$26:$G$30,MATCH(Segmented!$C$282,Weighting!$E$26:$H$26,0)+1,FALSE)+VLOOKUP($B296&amp;$D$282&amp;$G296,$E$6:$U$275,P$279,FALSE)*VLOOKUP($A296,Weighting!$D$26:$G$30,MATCH(Segmented!$D$282,Weighting!$E$26:$H$26,0)+1,FALSE)+VLOOKUP($B296&amp;$E$282&amp;$G296,$E$6:$U$275,P$279,FALSE)*VLOOKUP($A296,Weighting!$D$26:$G$30,MATCH(Segmented!$E$282,Weighting!$E$26:$H$26,0)+1,FALSE)</f>
        <v>0</v>
      </c>
      <c r="Q296">
        <f t="shared" si="9"/>
        <v>0</v>
      </c>
      <c r="R296" s="31">
        <f>VLOOKUP($B296&amp;$C$282&amp;$G296,$E$6:$U$275,R$279,FALSE)*VLOOKUP($A296,Weighting!$D$26:$G$30,MATCH(Segmented!$C$282,Weighting!$E$26:$H$26,0)+1,FALSE)+VLOOKUP($B296&amp;$D$282&amp;$G296,$E$6:$U$275,R$279,FALSE)*VLOOKUP($A296,Weighting!$D$26:$G$30,MATCH(Segmented!$D$282,Weighting!$E$26:$H$26,0)+1,FALSE)+VLOOKUP($B296&amp;$E$282&amp;$G296,$E$6:$U$275,R$279,FALSE)*VLOOKUP($A296,Weighting!$D$26:$G$30,MATCH(Segmented!$E$282,Weighting!$E$26:$H$26,0)+1,FALSE)</f>
        <v>0</v>
      </c>
      <c r="S296">
        <f t="shared" si="10"/>
        <v>0</v>
      </c>
      <c r="T296" s="31">
        <f>VLOOKUP($B296&amp;$C$282&amp;$G296,$E$6:$U$275,T$279,FALSE)*VLOOKUP($A296,Weighting!$D$26:$G$30,MATCH(Segmented!$C$282,Weighting!$E$26:$H$26,0)+1,FALSE)+VLOOKUP($B296&amp;$D$282&amp;$G296,$E$6:$U$275,T$279,FALSE)*VLOOKUP($A296,Weighting!$D$26:$G$30,MATCH(Segmented!$D$282,Weighting!$E$26:$H$26,0)+1,FALSE)+VLOOKUP($B296&amp;$E$282&amp;$G296,$E$6:$U$275,T$279,FALSE)*VLOOKUP($A296,Weighting!$D$26:$G$30,MATCH(Segmented!$E$282,Weighting!$E$26:$H$26,0)+1,FALSE)</f>
        <v>0</v>
      </c>
    </row>
    <row r="297" spans="1:20">
      <c r="A297" t="s">
        <v>228</v>
      </c>
      <c r="B297" t="s">
        <v>1359</v>
      </c>
      <c r="F297" s="55" t="str">
        <f t="shared" si="11"/>
        <v>ATTIC R0 - R38_Electric Zonal</v>
      </c>
      <c r="G297" s="53" t="s">
        <v>68</v>
      </c>
      <c r="H297" s="31">
        <f>VLOOKUP($B297&amp;$C$282&amp;$G297,$E$6:$U$275,H$279,FALSE)*VLOOKUP($A297,Weighting!$D$26:$G$30,MATCH(Segmented!$C$282,Weighting!$E$26:$H$26,0)+1,FALSE)+VLOOKUP($B297&amp;$D$282&amp;$G297,$E$6:$U$275,H$279,FALSE)*VLOOKUP($A297,Weighting!$D$26:$G$30,MATCH(Segmented!$D$282,Weighting!$E$26:$H$26,0)+1,FALSE)+VLOOKUP($B297&amp;$E$282&amp;$G297,$E$6:$U$275,H$279,FALSE)*VLOOKUP($A297,Weighting!$D$26:$G$30,MATCH(Segmented!$E$282,Weighting!$E$26:$H$26,0)+1,FALSE)</f>
        <v>1222.3337993624796</v>
      </c>
      <c r="I297">
        <f t="shared" si="6"/>
        <v>45</v>
      </c>
      <c r="J297" s="31">
        <f>VLOOKUP($B297&amp;$C$282&amp;$G297,$E$6:$U$275,J$279,FALSE)*VLOOKUP($A297,Weighting!$D$26:$G$30,MATCH(Segmented!$C$282,Weighting!$E$26:$H$26,0)+1,FALSE)+VLOOKUP($B297&amp;$D$282&amp;$G297,$E$6:$U$275,J$279,FALSE)*VLOOKUP($A297,Weighting!$D$26:$G$30,MATCH(Segmented!$D$282,Weighting!$E$26:$H$26,0)+1,FALSE)+VLOOKUP($B297&amp;$E$282&amp;$G297,$E$6:$U$275,J$279,FALSE)*VLOOKUP($A297,Weighting!$D$26:$G$30,MATCH(Segmented!$E$282,Weighting!$E$26:$H$26,0)+1,FALSE)</f>
        <v>580.85648064073723</v>
      </c>
      <c r="K297" s="31">
        <f>VLOOKUP($B297&amp;$C$282&amp;$G297,$E$6:$U$275,K$279,FALSE)*VLOOKUP($A297,Weighting!$D$26:$G$30,MATCH(Segmented!$C$282,Weighting!$E$26:$H$26,0)+1,FALSE)+VLOOKUP($B297&amp;$D$282&amp;$G297,$E$6:$U$275,K$279,FALSE)*VLOOKUP($A297,Weighting!$D$26:$G$30,MATCH(Segmented!$D$282,Weighting!$E$26:$H$26,0)+1,FALSE)+VLOOKUP($B297&amp;$E$282&amp;$G297,$E$6:$U$275,K$279,FALSE)*VLOOKUP($A297,Weighting!$D$26:$G$30,MATCH(Segmented!$E$282,Weighting!$E$26:$H$26,0)+1,FALSE)</f>
        <v>0</v>
      </c>
      <c r="L297" t="str">
        <f t="shared" si="7"/>
        <v>ResSpHtFAFZ2</v>
      </c>
      <c r="M297" s="31">
        <f>VLOOKUP($B297&amp;$C$282&amp;$G297,$E$6:$U$275,M$279,FALSE)*VLOOKUP($A297,Weighting!$D$26:$G$30,MATCH(Segmented!$C$282,Weighting!$E$26:$H$26,0)+1,FALSE)+VLOOKUP($B297&amp;$D$282&amp;$G297,$E$6:$U$275,M$279,FALSE)*VLOOKUP($A297,Weighting!$D$26:$G$30,MATCH(Segmented!$D$282,Weighting!$E$26:$H$26,0)+1,FALSE)+VLOOKUP($B297&amp;$E$282&amp;$G297,$E$6:$U$275,M$279,FALSE)*VLOOKUP($A297,Weighting!$D$26:$G$30,MATCH(Segmented!$E$282,Weighting!$E$26:$H$26,0)+1,FALSE)</f>
        <v>4.2084590120498966</v>
      </c>
      <c r="N297" s="31">
        <f>VLOOKUP($B297&amp;$C$282&amp;$G297,$E$6:$U$275,N$279,FALSE)*VLOOKUP($A297,Weighting!$D$26:$G$30,MATCH(Segmented!$C$282,Weighting!$E$26:$H$26,0)+1,FALSE)+VLOOKUP($B297&amp;$D$282&amp;$G297,$E$6:$U$275,N$279,FALSE)*VLOOKUP($A297,Weighting!$D$26:$G$30,MATCH(Segmented!$D$282,Weighting!$E$26:$H$26,0)+1,FALSE)+VLOOKUP($B297&amp;$E$282&amp;$G297,$E$6:$U$275,N$279,FALSE)*VLOOKUP($A297,Weighting!$D$26:$G$30,MATCH(Segmented!$E$282,Weighting!$E$26:$H$26,0)+1,FALSE)</f>
        <v>0</v>
      </c>
      <c r="O297">
        <f t="shared" si="8"/>
        <v>0</v>
      </c>
      <c r="P297" s="31">
        <f>VLOOKUP($B297&amp;$C$282&amp;$G297,$E$6:$U$275,P$279,FALSE)*VLOOKUP($A297,Weighting!$D$26:$G$30,MATCH(Segmented!$C$282,Weighting!$E$26:$H$26,0)+1,FALSE)+VLOOKUP($B297&amp;$D$282&amp;$G297,$E$6:$U$275,P$279,FALSE)*VLOOKUP($A297,Weighting!$D$26:$G$30,MATCH(Segmented!$D$282,Weighting!$E$26:$H$26,0)+1,FALSE)+VLOOKUP($B297&amp;$E$282&amp;$G297,$E$6:$U$275,P$279,FALSE)*VLOOKUP($A297,Weighting!$D$26:$G$30,MATCH(Segmented!$E$282,Weighting!$E$26:$H$26,0)+1,FALSE)</f>
        <v>0</v>
      </c>
      <c r="Q297">
        <f t="shared" si="9"/>
        <v>0</v>
      </c>
      <c r="R297" s="31">
        <f>VLOOKUP($B297&amp;$C$282&amp;$G297,$E$6:$U$275,R$279,FALSE)*VLOOKUP($A297,Weighting!$D$26:$G$30,MATCH(Segmented!$C$282,Weighting!$E$26:$H$26,0)+1,FALSE)+VLOOKUP($B297&amp;$D$282&amp;$G297,$E$6:$U$275,R$279,FALSE)*VLOOKUP($A297,Weighting!$D$26:$G$30,MATCH(Segmented!$D$282,Weighting!$E$26:$H$26,0)+1,FALSE)+VLOOKUP($B297&amp;$E$282&amp;$G297,$E$6:$U$275,R$279,FALSE)*VLOOKUP($A297,Weighting!$D$26:$G$30,MATCH(Segmented!$E$282,Weighting!$E$26:$H$26,0)+1,FALSE)</f>
        <v>0</v>
      </c>
      <c r="S297">
        <f t="shared" si="10"/>
        <v>0</v>
      </c>
      <c r="T297" s="31">
        <f>VLOOKUP($B297&amp;$C$282&amp;$G297,$E$6:$U$275,T$279,FALSE)*VLOOKUP($A297,Weighting!$D$26:$G$30,MATCH(Segmented!$C$282,Weighting!$E$26:$H$26,0)+1,FALSE)+VLOOKUP($B297&amp;$D$282&amp;$G297,$E$6:$U$275,T$279,FALSE)*VLOOKUP($A297,Weighting!$D$26:$G$30,MATCH(Segmented!$D$282,Weighting!$E$26:$H$26,0)+1,FALSE)+VLOOKUP($B297&amp;$E$282&amp;$G297,$E$6:$U$275,T$279,FALSE)*VLOOKUP($A297,Weighting!$D$26:$G$30,MATCH(Segmented!$E$282,Weighting!$E$26:$H$26,0)+1,FALSE)</f>
        <v>0</v>
      </c>
    </row>
    <row r="298" spans="1:20">
      <c r="A298" t="s">
        <v>228</v>
      </c>
      <c r="B298" t="s">
        <v>1359</v>
      </c>
      <c r="F298" s="55" t="str">
        <f t="shared" si="11"/>
        <v>ATTIC R0 - R49_Electric Zonal</v>
      </c>
      <c r="G298" s="53" t="s">
        <v>71</v>
      </c>
      <c r="H298" s="31">
        <f>VLOOKUP($B298&amp;$C$282&amp;$G298,$E$6:$U$275,H$279,FALSE)*VLOOKUP($A298,Weighting!$D$26:$G$30,MATCH(Segmented!$C$282,Weighting!$E$26:$H$26,0)+1,FALSE)+VLOOKUP($B298&amp;$D$282&amp;$G298,$E$6:$U$275,H$279,FALSE)*VLOOKUP($A298,Weighting!$D$26:$G$30,MATCH(Segmented!$D$282,Weighting!$E$26:$H$26,0)+1,FALSE)+VLOOKUP($B298&amp;$E$282&amp;$G298,$E$6:$U$275,H$279,FALSE)*VLOOKUP($A298,Weighting!$D$26:$G$30,MATCH(Segmented!$E$282,Weighting!$E$26:$H$26,0)+1,FALSE)</f>
        <v>1239.8590754179866</v>
      </c>
      <c r="I298">
        <f t="shared" si="6"/>
        <v>45</v>
      </c>
      <c r="J298" s="31">
        <f>VLOOKUP($B298&amp;$C$282&amp;$G298,$E$6:$U$275,J$279,FALSE)*VLOOKUP($A298,Weighting!$D$26:$G$30,MATCH(Segmented!$C$282,Weighting!$E$26:$H$26,0)+1,FALSE)+VLOOKUP($B298&amp;$D$282&amp;$G298,$E$6:$U$275,J$279,FALSE)*VLOOKUP($A298,Weighting!$D$26:$G$30,MATCH(Segmented!$D$282,Weighting!$E$26:$H$26,0)+1,FALSE)+VLOOKUP($B298&amp;$E$282&amp;$G298,$E$6:$U$275,J$279,FALSE)*VLOOKUP($A298,Weighting!$D$26:$G$30,MATCH(Segmented!$E$282,Weighting!$E$26:$H$26,0)+1,FALSE)</f>
        <v>663.32648072192512</v>
      </c>
      <c r="K298" s="31">
        <f>VLOOKUP($B298&amp;$C$282&amp;$G298,$E$6:$U$275,K$279,FALSE)*VLOOKUP($A298,Weighting!$D$26:$G$30,MATCH(Segmented!$C$282,Weighting!$E$26:$H$26,0)+1,FALSE)+VLOOKUP($B298&amp;$D$282&amp;$G298,$E$6:$U$275,K$279,FALSE)*VLOOKUP($A298,Weighting!$D$26:$G$30,MATCH(Segmented!$D$282,Weighting!$E$26:$H$26,0)+1,FALSE)+VLOOKUP($B298&amp;$E$282&amp;$G298,$E$6:$U$275,K$279,FALSE)*VLOOKUP($A298,Weighting!$D$26:$G$30,MATCH(Segmented!$E$282,Weighting!$E$26:$H$26,0)+1,FALSE)</f>
        <v>0</v>
      </c>
      <c r="L298" t="str">
        <f t="shared" si="7"/>
        <v>ResSpHtFAFZ2</v>
      </c>
      <c r="M298" s="31">
        <f>VLOOKUP($B298&amp;$C$282&amp;$G298,$E$6:$U$275,M$279,FALSE)*VLOOKUP($A298,Weighting!$D$26:$G$30,MATCH(Segmented!$C$282,Weighting!$E$26:$H$26,0)+1,FALSE)+VLOOKUP($B298&amp;$D$282&amp;$G298,$E$6:$U$275,M$279,FALSE)*VLOOKUP($A298,Weighting!$D$26:$G$30,MATCH(Segmented!$D$282,Weighting!$E$26:$H$26,0)+1,FALSE)+VLOOKUP($B298&amp;$E$282&amp;$G298,$E$6:$U$275,M$279,FALSE)*VLOOKUP($A298,Weighting!$D$26:$G$30,MATCH(Segmented!$E$282,Weighting!$E$26:$H$26,0)+1,FALSE)</f>
        <v>4.3492668621162434</v>
      </c>
      <c r="N298" s="31">
        <f>VLOOKUP($B298&amp;$C$282&amp;$G298,$E$6:$U$275,N$279,FALSE)*VLOOKUP($A298,Weighting!$D$26:$G$30,MATCH(Segmented!$C$282,Weighting!$E$26:$H$26,0)+1,FALSE)+VLOOKUP($B298&amp;$D$282&amp;$G298,$E$6:$U$275,N$279,FALSE)*VLOOKUP($A298,Weighting!$D$26:$G$30,MATCH(Segmented!$D$282,Weighting!$E$26:$H$26,0)+1,FALSE)+VLOOKUP($B298&amp;$E$282&amp;$G298,$E$6:$U$275,N$279,FALSE)*VLOOKUP($A298,Weighting!$D$26:$G$30,MATCH(Segmented!$E$282,Weighting!$E$26:$H$26,0)+1,FALSE)</f>
        <v>0</v>
      </c>
      <c r="O298">
        <f t="shared" si="8"/>
        <v>0</v>
      </c>
      <c r="P298" s="31">
        <f>VLOOKUP($B298&amp;$C$282&amp;$G298,$E$6:$U$275,P$279,FALSE)*VLOOKUP($A298,Weighting!$D$26:$G$30,MATCH(Segmented!$C$282,Weighting!$E$26:$H$26,0)+1,FALSE)+VLOOKUP($B298&amp;$D$282&amp;$G298,$E$6:$U$275,P$279,FALSE)*VLOOKUP($A298,Weighting!$D$26:$G$30,MATCH(Segmented!$D$282,Weighting!$E$26:$H$26,0)+1,FALSE)+VLOOKUP($B298&amp;$E$282&amp;$G298,$E$6:$U$275,P$279,FALSE)*VLOOKUP($A298,Weighting!$D$26:$G$30,MATCH(Segmented!$E$282,Weighting!$E$26:$H$26,0)+1,FALSE)</f>
        <v>0</v>
      </c>
      <c r="Q298">
        <f t="shared" si="9"/>
        <v>0</v>
      </c>
      <c r="R298" s="31">
        <f>VLOOKUP($B298&amp;$C$282&amp;$G298,$E$6:$U$275,R$279,FALSE)*VLOOKUP($A298,Weighting!$D$26:$G$30,MATCH(Segmented!$C$282,Weighting!$E$26:$H$26,0)+1,FALSE)+VLOOKUP($B298&amp;$D$282&amp;$G298,$E$6:$U$275,R$279,FALSE)*VLOOKUP($A298,Weighting!$D$26:$G$30,MATCH(Segmented!$D$282,Weighting!$E$26:$H$26,0)+1,FALSE)+VLOOKUP($B298&amp;$E$282&amp;$G298,$E$6:$U$275,R$279,FALSE)*VLOOKUP($A298,Weighting!$D$26:$G$30,MATCH(Segmented!$E$282,Weighting!$E$26:$H$26,0)+1,FALSE)</f>
        <v>0</v>
      </c>
      <c r="S298">
        <f t="shared" si="10"/>
        <v>0</v>
      </c>
      <c r="T298" s="31">
        <f>VLOOKUP($B298&amp;$C$282&amp;$G298,$E$6:$U$275,T$279,FALSE)*VLOOKUP($A298,Weighting!$D$26:$G$30,MATCH(Segmented!$C$282,Weighting!$E$26:$H$26,0)+1,FALSE)+VLOOKUP($B298&amp;$D$282&amp;$G298,$E$6:$U$275,T$279,FALSE)*VLOOKUP($A298,Weighting!$D$26:$G$30,MATCH(Segmented!$D$282,Weighting!$E$26:$H$26,0)+1,FALSE)+VLOOKUP($B298&amp;$E$282&amp;$G298,$E$6:$U$275,T$279,FALSE)*VLOOKUP($A298,Weighting!$D$26:$G$30,MATCH(Segmented!$E$282,Weighting!$E$26:$H$26,0)+1,FALSE)</f>
        <v>0</v>
      </c>
    </row>
    <row r="299" spans="1:20">
      <c r="A299" t="s">
        <v>228</v>
      </c>
      <c r="B299" t="s">
        <v>1359</v>
      </c>
      <c r="F299" s="55" t="str">
        <f t="shared" si="11"/>
        <v>ATTIC R11 - R38_Electric Zonal</v>
      </c>
      <c r="G299" s="53" t="s">
        <v>73</v>
      </c>
      <c r="H299" s="31">
        <f>VLOOKUP($B299&amp;$C$282&amp;$G299,$E$6:$U$275,H$279,FALSE)*VLOOKUP($A299,Weighting!$D$26:$G$30,MATCH(Segmented!$C$282,Weighting!$E$26:$H$26,0)+1,FALSE)+VLOOKUP($B299&amp;$D$282&amp;$G299,$E$6:$U$275,H$279,FALSE)*VLOOKUP($A299,Weighting!$D$26:$G$30,MATCH(Segmented!$D$282,Weighting!$E$26:$H$26,0)+1,FALSE)+VLOOKUP($B299&amp;$E$282&amp;$G299,$E$6:$U$275,H$279,FALSE)*VLOOKUP($A299,Weighting!$D$26:$G$30,MATCH(Segmented!$E$282,Weighting!$E$26:$H$26,0)+1,FALSE)</f>
        <v>212.07672619462036</v>
      </c>
      <c r="I299">
        <f t="shared" si="6"/>
        <v>45</v>
      </c>
      <c r="J299" s="31">
        <f>VLOOKUP($B299&amp;$C$282&amp;$G299,$E$6:$U$275,J$279,FALSE)*VLOOKUP($A299,Weighting!$D$26:$G$30,MATCH(Segmented!$C$282,Weighting!$E$26:$H$26,0)+1,FALSE)+VLOOKUP($B299&amp;$D$282&amp;$G299,$E$6:$U$275,J$279,FALSE)*VLOOKUP($A299,Weighting!$D$26:$G$30,MATCH(Segmented!$D$282,Weighting!$E$26:$H$26,0)+1,FALSE)+VLOOKUP($B299&amp;$E$282&amp;$G299,$E$6:$U$275,J$279,FALSE)*VLOOKUP($A299,Weighting!$D$26:$G$30,MATCH(Segmented!$E$282,Weighting!$E$26:$H$26,0)+1,FALSE)</f>
        <v>498.386480559549</v>
      </c>
      <c r="K299" s="31">
        <f>VLOOKUP($B299&amp;$C$282&amp;$G299,$E$6:$U$275,K$279,FALSE)*VLOOKUP($A299,Weighting!$D$26:$G$30,MATCH(Segmented!$C$282,Weighting!$E$26:$H$26,0)+1,FALSE)+VLOOKUP($B299&amp;$D$282&amp;$G299,$E$6:$U$275,K$279,FALSE)*VLOOKUP($A299,Weighting!$D$26:$G$30,MATCH(Segmented!$D$282,Weighting!$E$26:$H$26,0)+1,FALSE)+VLOOKUP($B299&amp;$E$282&amp;$G299,$E$6:$U$275,K$279,FALSE)*VLOOKUP($A299,Weighting!$D$26:$G$30,MATCH(Segmented!$E$282,Weighting!$E$26:$H$26,0)+1,FALSE)</f>
        <v>0</v>
      </c>
      <c r="L299" t="str">
        <f t="shared" si="7"/>
        <v>ResSpHtFAFZ2</v>
      </c>
      <c r="M299" s="31">
        <f>VLOOKUP($B299&amp;$C$282&amp;$G299,$E$6:$U$275,M$279,FALSE)*VLOOKUP($A299,Weighting!$D$26:$G$30,MATCH(Segmented!$C$282,Weighting!$E$26:$H$26,0)+1,FALSE)+VLOOKUP($B299&amp;$D$282&amp;$G299,$E$6:$U$275,M$279,FALSE)*VLOOKUP($A299,Weighting!$D$26:$G$30,MATCH(Segmented!$D$282,Weighting!$E$26:$H$26,0)+1,FALSE)+VLOOKUP($B299&amp;$E$282&amp;$G299,$E$6:$U$275,M$279,FALSE)*VLOOKUP($A299,Weighting!$D$26:$G$30,MATCH(Segmented!$E$282,Weighting!$E$26:$H$26,0)+1,FALSE)</f>
        <v>1.6394843137132875</v>
      </c>
      <c r="N299" s="31">
        <f>VLOOKUP($B299&amp;$C$282&amp;$G299,$E$6:$U$275,N$279,FALSE)*VLOOKUP($A299,Weighting!$D$26:$G$30,MATCH(Segmented!$C$282,Weighting!$E$26:$H$26,0)+1,FALSE)+VLOOKUP($B299&amp;$D$282&amp;$G299,$E$6:$U$275,N$279,FALSE)*VLOOKUP($A299,Weighting!$D$26:$G$30,MATCH(Segmented!$D$282,Weighting!$E$26:$H$26,0)+1,FALSE)+VLOOKUP($B299&amp;$E$282&amp;$G299,$E$6:$U$275,N$279,FALSE)*VLOOKUP($A299,Weighting!$D$26:$G$30,MATCH(Segmented!$E$282,Weighting!$E$26:$H$26,0)+1,FALSE)</f>
        <v>0</v>
      </c>
      <c r="O299">
        <f t="shared" si="8"/>
        <v>0</v>
      </c>
      <c r="P299" s="31">
        <f>VLOOKUP($B299&amp;$C$282&amp;$G299,$E$6:$U$275,P$279,FALSE)*VLOOKUP($A299,Weighting!$D$26:$G$30,MATCH(Segmented!$C$282,Weighting!$E$26:$H$26,0)+1,FALSE)+VLOOKUP($B299&amp;$D$282&amp;$G299,$E$6:$U$275,P$279,FALSE)*VLOOKUP($A299,Weighting!$D$26:$G$30,MATCH(Segmented!$D$282,Weighting!$E$26:$H$26,0)+1,FALSE)+VLOOKUP($B299&amp;$E$282&amp;$G299,$E$6:$U$275,P$279,FALSE)*VLOOKUP($A299,Weighting!$D$26:$G$30,MATCH(Segmented!$E$282,Weighting!$E$26:$H$26,0)+1,FALSE)</f>
        <v>0</v>
      </c>
      <c r="Q299">
        <f t="shared" si="9"/>
        <v>0</v>
      </c>
      <c r="R299" s="31">
        <f>VLOOKUP($B299&amp;$C$282&amp;$G299,$E$6:$U$275,R$279,FALSE)*VLOOKUP($A299,Weighting!$D$26:$G$30,MATCH(Segmented!$C$282,Weighting!$E$26:$H$26,0)+1,FALSE)+VLOOKUP($B299&amp;$D$282&amp;$G299,$E$6:$U$275,R$279,FALSE)*VLOOKUP($A299,Weighting!$D$26:$G$30,MATCH(Segmented!$D$282,Weighting!$E$26:$H$26,0)+1,FALSE)+VLOOKUP($B299&amp;$E$282&amp;$G299,$E$6:$U$275,R$279,FALSE)*VLOOKUP($A299,Weighting!$D$26:$G$30,MATCH(Segmented!$E$282,Weighting!$E$26:$H$26,0)+1,FALSE)</f>
        <v>0</v>
      </c>
      <c r="S299">
        <f t="shared" si="10"/>
        <v>0</v>
      </c>
      <c r="T299" s="31">
        <f>VLOOKUP($B299&amp;$C$282&amp;$G299,$E$6:$U$275,T$279,FALSE)*VLOOKUP($A299,Weighting!$D$26:$G$30,MATCH(Segmented!$C$282,Weighting!$E$26:$H$26,0)+1,FALSE)+VLOOKUP($B299&amp;$D$282&amp;$G299,$E$6:$U$275,T$279,FALSE)*VLOOKUP($A299,Weighting!$D$26:$G$30,MATCH(Segmented!$D$282,Weighting!$E$26:$H$26,0)+1,FALSE)+VLOOKUP($B299&amp;$E$282&amp;$G299,$E$6:$U$275,T$279,FALSE)*VLOOKUP($A299,Weighting!$D$26:$G$30,MATCH(Segmented!$E$282,Weighting!$E$26:$H$26,0)+1,FALSE)</f>
        <v>0</v>
      </c>
    </row>
    <row r="300" spans="1:20">
      <c r="A300" t="s">
        <v>228</v>
      </c>
      <c r="B300" t="s">
        <v>1359</v>
      </c>
      <c r="F300" s="55" t="str">
        <f t="shared" si="11"/>
        <v>ATTIC R11 - R49_Electric Zonal</v>
      </c>
      <c r="G300" s="53" t="s">
        <v>75</v>
      </c>
      <c r="H300" s="31">
        <f>VLOOKUP($B300&amp;$C$282&amp;$G300,$E$6:$U$275,H$279,FALSE)*VLOOKUP($A300,Weighting!$D$26:$G$30,MATCH(Segmented!$C$282,Weighting!$E$26:$H$26,0)+1,FALSE)+VLOOKUP($B300&amp;$D$282&amp;$G300,$E$6:$U$275,H$279,FALSE)*VLOOKUP($A300,Weighting!$D$26:$G$30,MATCH(Segmented!$D$282,Weighting!$E$26:$H$26,0)+1,FALSE)+VLOOKUP($B300&amp;$E$282&amp;$G300,$E$6:$U$275,H$279,FALSE)*VLOOKUP($A300,Weighting!$D$26:$G$30,MATCH(Segmented!$E$282,Weighting!$E$26:$H$26,0)+1,FALSE)</f>
        <v>230.14222000388187</v>
      </c>
      <c r="I300">
        <f t="shared" si="6"/>
        <v>45</v>
      </c>
      <c r="J300" s="31">
        <f>VLOOKUP($B300&amp;$C$282&amp;$G300,$E$6:$U$275,J$279,FALSE)*VLOOKUP($A300,Weighting!$D$26:$G$30,MATCH(Segmented!$C$282,Weighting!$E$26:$H$26,0)+1,FALSE)+VLOOKUP($B300&amp;$D$282&amp;$G300,$E$6:$U$275,J$279,FALSE)*VLOOKUP($A300,Weighting!$D$26:$G$30,MATCH(Segmented!$D$282,Weighting!$E$26:$H$26,0)+1,FALSE)+VLOOKUP($B300&amp;$E$282&amp;$G300,$E$6:$U$275,J$279,FALSE)*VLOOKUP($A300,Weighting!$D$26:$G$30,MATCH(Segmented!$E$282,Weighting!$E$26:$H$26,0)+1,FALSE)</f>
        <v>580.85648064073723</v>
      </c>
      <c r="K300" s="31">
        <f>VLOOKUP($B300&amp;$C$282&amp;$G300,$E$6:$U$275,K$279,FALSE)*VLOOKUP($A300,Weighting!$D$26:$G$30,MATCH(Segmented!$C$282,Weighting!$E$26:$H$26,0)+1,FALSE)+VLOOKUP($B300&amp;$D$282&amp;$G300,$E$6:$U$275,K$279,FALSE)*VLOOKUP($A300,Weighting!$D$26:$G$30,MATCH(Segmented!$D$282,Weighting!$E$26:$H$26,0)+1,FALSE)+VLOOKUP($B300&amp;$E$282&amp;$G300,$E$6:$U$275,K$279,FALSE)*VLOOKUP($A300,Weighting!$D$26:$G$30,MATCH(Segmented!$E$282,Weighting!$E$26:$H$26,0)+1,FALSE)</f>
        <v>0</v>
      </c>
      <c r="L300" t="str">
        <f t="shared" si="7"/>
        <v>ResSpHtFAFZ2</v>
      </c>
      <c r="M300" s="31">
        <f>VLOOKUP($B300&amp;$C$282&amp;$G300,$E$6:$U$275,M$279,FALSE)*VLOOKUP($A300,Weighting!$D$26:$G$30,MATCH(Segmented!$C$282,Weighting!$E$26:$H$26,0)+1,FALSE)+VLOOKUP($B300&amp;$D$282&amp;$G300,$E$6:$U$275,M$279,FALSE)*VLOOKUP($A300,Weighting!$D$26:$G$30,MATCH(Segmented!$D$282,Weighting!$E$26:$H$26,0)+1,FALSE)+VLOOKUP($B300&amp;$E$282&amp;$G300,$E$6:$U$275,M$279,FALSE)*VLOOKUP($A300,Weighting!$D$26:$G$30,MATCH(Segmented!$E$282,Weighting!$E$26:$H$26,0)+1,FALSE)</f>
        <v>1.7998266520308326</v>
      </c>
      <c r="N300" s="31">
        <f>VLOOKUP($B300&amp;$C$282&amp;$G300,$E$6:$U$275,N$279,FALSE)*VLOOKUP($A300,Weighting!$D$26:$G$30,MATCH(Segmented!$C$282,Weighting!$E$26:$H$26,0)+1,FALSE)+VLOOKUP($B300&amp;$D$282&amp;$G300,$E$6:$U$275,N$279,FALSE)*VLOOKUP($A300,Weighting!$D$26:$G$30,MATCH(Segmented!$D$282,Weighting!$E$26:$H$26,0)+1,FALSE)+VLOOKUP($B300&amp;$E$282&amp;$G300,$E$6:$U$275,N$279,FALSE)*VLOOKUP($A300,Weighting!$D$26:$G$30,MATCH(Segmented!$E$282,Weighting!$E$26:$H$26,0)+1,FALSE)</f>
        <v>0</v>
      </c>
      <c r="O300">
        <f t="shared" si="8"/>
        <v>0</v>
      </c>
      <c r="P300" s="31">
        <f>VLOOKUP($B300&amp;$C$282&amp;$G300,$E$6:$U$275,P$279,FALSE)*VLOOKUP($A300,Weighting!$D$26:$G$30,MATCH(Segmented!$C$282,Weighting!$E$26:$H$26,0)+1,FALSE)+VLOOKUP($B300&amp;$D$282&amp;$G300,$E$6:$U$275,P$279,FALSE)*VLOOKUP($A300,Weighting!$D$26:$G$30,MATCH(Segmented!$D$282,Weighting!$E$26:$H$26,0)+1,FALSE)+VLOOKUP($B300&amp;$E$282&amp;$G300,$E$6:$U$275,P$279,FALSE)*VLOOKUP($A300,Weighting!$D$26:$G$30,MATCH(Segmented!$E$282,Weighting!$E$26:$H$26,0)+1,FALSE)</f>
        <v>0</v>
      </c>
      <c r="Q300">
        <f t="shared" si="9"/>
        <v>0</v>
      </c>
      <c r="R300" s="31">
        <f>VLOOKUP($B300&amp;$C$282&amp;$G300,$E$6:$U$275,R$279,FALSE)*VLOOKUP($A300,Weighting!$D$26:$G$30,MATCH(Segmented!$C$282,Weighting!$E$26:$H$26,0)+1,FALSE)+VLOOKUP($B300&amp;$D$282&amp;$G300,$E$6:$U$275,R$279,FALSE)*VLOOKUP($A300,Weighting!$D$26:$G$30,MATCH(Segmented!$D$282,Weighting!$E$26:$H$26,0)+1,FALSE)+VLOOKUP($B300&amp;$E$282&amp;$G300,$E$6:$U$275,R$279,FALSE)*VLOOKUP($A300,Weighting!$D$26:$G$30,MATCH(Segmented!$E$282,Weighting!$E$26:$H$26,0)+1,FALSE)</f>
        <v>0</v>
      </c>
      <c r="S300">
        <f t="shared" si="10"/>
        <v>0</v>
      </c>
      <c r="T300" s="31">
        <f>VLOOKUP($B300&amp;$C$282&amp;$G300,$E$6:$U$275,T$279,FALSE)*VLOOKUP($A300,Weighting!$D$26:$G$30,MATCH(Segmented!$C$282,Weighting!$E$26:$H$26,0)+1,FALSE)+VLOOKUP($B300&amp;$D$282&amp;$G300,$E$6:$U$275,T$279,FALSE)*VLOOKUP($A300,Weighting!$D$26:$G$30,MATCH(Segmented!$D$282,Weighting!$E$26:$H$26,0)+1,FALSE)+VLOOKUP($B300&amp;$E$282&amp;$G300,$E$6:$U$275,T$279,FALSE)*VLOOKUP($A300,Weighting!$D$26:$G$30,MATCH(Segmented!$E$282,Weighting!$E$26:$H$26,0)+1,FALSE)</f>
        <v>0</v>
      </c>
    </row>
    <row r="301" spans="1:20">
      <c r="A301" t="s">
        <v>228</v>
      </c>
      <c r="B301" t="s">
        <v>1359</v>
      </c>
      <c r="F301" s="55" t="str">
        <f t="shared" si="11"/>
        <v>ATTIC R19 - R38_Electric Zonal</v>
      </c>
      <c r="G301" s="53" t="s">
        <v>77</v>
      </c>
      <c r="H301" s="31">
        <f>VLOOKUP($B301&amp;$C$282&amp;$G301,$E$6:$U$275,H$279,FALSE)*VLOOKUP($A301,Weighting!$D$26:$G$30,MATCH(Segmented!$C$282,Weighting!$E$26:$H$26,0)+1,FALSE)+VLOOKUP($B301&amp;$D$282&amp;$G301,$E$6:$U$275,H$279,FALSE)*VLOOKUP($A301,Weighting!$D$26:$G$30,MATCH(Segmented!$D$282,Weighting!$E$26:$H$26,0)+1,FALSE)+VLOOKUP($B301&amp;$E$282&amp;$G301,$E$6:$U$275,H$279,FALSE)*VLOOKUP($A301,Weighting!$D$26:$G$30,MATCH(Segmented!$E$282,Weighting!$E$26:$H$26,0)+1,FALSE)</f>
        <v>110.75686088517382</v>
      </c>
      <c r="I301">
        <f t="shared" si="6"/>
        <v>45</v>
      </c>
      <c r="J301" s="31">
        <f>VLOOKUP($B301&amp;$C$282&amp;$G301,$E$6:$U$275,J$279,FALSE)*VLOOKUP($A301,Weighting!$D$26:$G$30,MATCH(Segmented!$C$282,Weighting!$E$26:$H$26,0)+1,FALSE)+VLOOKUP($B301&amp;$D$282&amp;$G301,$E$6:$U$275,J$279,FALSE)*VLOOKUP($A301,Weighting!$D$26:$G$30,MATCH(Segmented!$D$282,Weighting!$E$26:$H$26,0)+1,FALSE)+VLOOKUP($B301&amp;$E$282&amp;$G301,$E$6:$U$275,J$279,FALSE)*VLOOKUP($A301,Weighting!$D$26:$G$30,MATCH(Segmented!$E$282,Weighting!$E$26:$H$26,0)+1,FALSE)</f>
        <v>438.40829868232129</v>
      </c>
      <c r="K301" s="31">
        <f>VLOOKUP($B301&amp;$C$282&amp;$G301,$E$6:$U$275,K$279,FALSE)*VLOOKUP($A301,Weighting!$D$26:$G$30,MATCH(Segmented!$C$282,Weighting!$E$26:$H$26,0)+1,FALSE)+VLOOKUP($B301&amp;$D$282&amp;$G301,$E$6:$U$275,K$279,FALSE)*VLOOKUP($A301,Weighting!$D$26:$G$30,MATCH(Segmented!$D$282,Weighting!$E$26:$H$26,0)+1,FALSE)+VLOOKUP($B301&amp;$E$282&amp;$G301,$E$6:$U$275,K$279,FALSE)*VLOOKUP($A301,Weighting!$D$26:$G$30,MATCH(Segmented!$E$282,Weighting!$E$26:$H$26,0)+1,FALSE)</f>
        <v>0</v>
      </c>
      <c r="L301" t="str">
        <f t="shared" si="7"/>
        <v>ResSpHtFAFZ2</v>
      </c>
      <c r="M301" s="31">
        <f>VLOOKUP($B301&amp;$C$282&amp;$G301,$E$6:$U$275,M$279,FALSE)*VLOOKUP($A301,Weighting!$D$26:$G$30,MATCH(Segmented!$C$282,Weighting!$E$26:$H$26,0)+1,FALSE)+VLOOKUP($B301&amp;$D$282&amp;$G301,$E$6:$U$275,M$279,FALSE)*VLOOKUP($A301,Weighting!$D$26:$G$30,MATCH(Segmented!$D$282,Weighting!$E$26:$H$26,0)+1,FALSE)+VLOOKUP($B301&amp;$E$282&amp;$G301,$E$6:$U$275,M$279,FALSE)*VLOOKUP($A301,Weighting!$D$26:$G$30,MATCH(Segmented!$E$282,Weighting!$E$26:$H$26,0)+1,FALSE)</f>
        <v>0.88101757716384188</v>
      </c>
      <c r="N301" s="31">
        <f>VLOOKUP($B301&amp;$C$282&amp;$G301,$E$6:$U$275,N$279,FALSE)*VLOOKUP($A301,Weighting!$D$26:$G$30,MATCH(Segmented!$C$282,Weighting!$E$26:$H$26,0)+1,FALSE)+VLOOKUP($B301&amp;$D$282&amp;$G301,$E$6:$U$275,N$279,FALSE)*VLOOKUP($A301,Weighting!$D$26:$G$30,MATCH(Segmented!$D$282,Weighting!$E$26:$H$26,0)+1,FALSE)+VLOOKUP($B301&amp;$E$282&amp;$G301,$E$6:$U$275,N$279,FALSE)*VLOOKUP($A301,Weighting!$D$26:$G$30,MATCH(Segmented!$E$282,Weighting!$E$26:$H$26,0)+1,FALSE)</f>
        <v>0</v>
      </c>
      <c r="O301">
        <f t="shared" si="8"/>
        <v>0</v>
      </c>
      <c r="P301" s="31">
        <f>VLOOKUP($B301&amp;$C$282&amp;$G301,$E$6:$U$275,P$279,FALSE)*VLOOKUP($A301,Weighting!$D$26:$G$30,MATCH(Segmented!$C$282,Weighting!$E$26:$H$26,0)+1,FALSE)+VLOOKUP($B301&amp;$D$282&amp;$G301,$E$6:$U$275,P$279,FALSE)*VLOOKUP($A301,Weighting!$D$26:$G$30,MATCH(Segmented!$D$282,Weighting!$E$26:$H$26,0)+1,FALSE)+VLOOKUP($B301&amp;$E$282&amp;$G301,$E$6:$U$275,P$279,FALSE)*VLOOKUP($A301,Weighting!$D$26:$G$30,MATCH(Segmented!$E$282,Weighting!$E$26:$H$26,0)+1,FALSE)</f>
        <v>0</v>
      </c>
      <c r="Q301">
        <f t="shared" si="9"/>
        <v>0</v>
      </c>
      <c r="R301" s="31">
        <f>VLOOKUP($B301&amp;$C$282&amp;$G301,$E$6:$U$275,R$279,FALSE)*VLOOKUP($A301,Weighting!$D$26:$G$30,MATCH(Segmented!$C$282,Weighting!$E$26:$H$26,0)+1,FALSE)+VLOOKUP($B301&amp;$D$282&amp;$G301,$E$6:$U$275,R$279,FALSE)*VLOOKUP($A301,Weighting!$D$26:$G$30,MATCH(Segmented!$D$282,Weighting!$E$26:$H$26,0)+1,FALSE)+VLOOKUP($B301&amp;$E$282&amp;$G301,$E$6:$U$275,R$279,FALSE)*VLOOKUP($A301,Weighting!$D$26:$G$30,MATCH(Segmented!$E$282,Weighting!$E$26:$H$26,0)+1,FALSE)</f>
        <v>0</v>
      </c>
      <c r="S301">
        <f t="shared" si="10"/>
        <v>0</v>
      </c>
      <c r="T301" s="31">
        <f>VLOOKUP($B301&amp;$C$282&amp;$G301,$E$6:$U$275,T$279,FALSE)*VLOOKUP($A301,Weighting!$D$26:$G$30,MATCH(Segmented!$C$282,Weighting!$E$26:$H$26,0)+1,FALSE)+VLOOKUP($B301&amp;$D$282&amp;$G301,$E$6:$U$275,T$279,FALSE)*VLOOKUP($A301,Weighting!$D$26:$G$30,MATCH(Segmented!$D$282,Weighting!$E$26:$H$26,0)+1,FALSE)+VLOOKUP($B301&amp;$E$282&amp;$G301,$E$6:$U$275,T$279,FALSE)*VLOOKUP($A301,Weighting!$D$26:$G$30,MATCH(Segmented!$E$282,Weighting!$E$26:$H$26,0)+1,FALSE)</f>
        <v>0</v>
      </c>
    </row>
    <row r="302" spans="1:20">
      <c r="A302" t="s">
        <v>228</v>
      </c>
      <c r="B302" t="s">
        <v>1359</v>
      </c>
      <c r="F302" s="55" t="str">
        <f t="shared" si="11"/>
        <v>ATTIC R19 - R49_Electric Zonal</v>
      </c>
      <c r="G302" s="53" t="s">
        <v>79</v>
      </c>
      <c r="H302" s="31">
        <f>VLOOKUP($B302&amp;$C$282&amp;$G302,$E$6:$U$275,H$279,FALSE)*VLOOKUP($A302,Weighting!$D$26:$G$30,MATCH(Segmented!$C$282,Weighting!$E$26:$H$26,0)+1,FALSE)+VLOOKUP($B302&amp;$D$282&amp;$G302,$E$6:$U$275,H$279,FALSE)*VLOOKUP($A302,Weighting!$D$26:$G$30,MATCH(Segmented!$D$282,Weighting!$E$26:$H$26,0)+1,FALSE)+VLOOKUP($B302&amp;$E$282&amp;$G302,$E$6:$U$275,H$279,FALSE)*VLOOKUP($A302,Weighting!$D$26:$G$30,MATCH(Segmented!$E$282,Weighting!$E$26:$H$26,0)+1,FALSE)</f>
        <v>133.47703339327217</v>
      </c>
      <c r="I302">
        <f t="shared" si="6"/>
        <v>45</v>
      </c>
      <c r="J302" s="31">
        <f>VLOOKUP($B302&amp;$C$282&amp;$G302,$E$6:$U$275,J$279,FALSE)*VLOOKUP($A302,Weighting!$D$26:$G$30,MATCH(Segmented!$C$282,Weighting!$E$26:$H$26,0)+1,FALSE)+VLOOKUP($B302&amp;$D$282&amp;$G302,$E$6:$U$275,J$279,FALSE)*VLOOKUP($A302,Weighting!$D$26:$G$30,MATCH(Segmented!$D$282,Weighting!$E$26:$H$26,0)+1,FALSE)+VLOOKUP($B302&amp;$E$282&amp;$G302,$E$6:$U$275,J$279,FALSE)*VLOOKUP($A302,Weighting!$D$26:$G$30,MATCH(Segmented!$E$282,Weighting!$E$26:$H$26,0)+1,FALSE)</f>
        <v>520.87829876350941</v>
      </c>
      <c r="K302" s="31">
        <f>VLOOKUP($B302&amp;$C$282&amp;$G302,$E$6:$U$275,K$279,FALSE)*VLOOKUP($A302,Weighting!$D$26:$G$30,MATCH(Segmented!$C$282,Weighting!$E$26:$H$26,0)+1,FALSE)+VLOOKUP($B302&amp;$D$282&amp;$G302,$E$6:$U$275,K$279,FALSE)*VLOOKUP($A302,Weighting!$D$26:$G$30,MATCH(Segmented!$D$282,Weighting!$E$26:$H$26,0)+1,FALSE)+VLOOKUP($B302&amp;$E$282&amp;$G302,$E$6:$U$275,K$279,FALSE)*VLOOKUP($A302,Weighting!$D$26:$G$30,MATCH(Segmented!$E$282,Weighting!$E$26:$H$26,0)+1,FALSE)</f>
        <v>0</v>
      </c>
      <c r="L302" t="str">
        <f t="shared" si="7"/>
        <v>ResSpHtFAFZ2</v>
      </c>
      <c r="M302" s="31">
        <f>VLOOKUP($B302&amp;$C$282&amp;$G302,$E$6:$U$275,M$279,FALSE)*VLOOKUP($A302,Weighting!$D$26:$G$30,MATCH(Segmented!$C$282,Weighting!$E$26:$H$26,0)+1,FALSE)+VLOOKUP($B302&amp;$D$282&amp;$G302,$E$6:$U$275,M$279,FALSE)*VLOOKUP($A302,Weighting!$D$26:$G$30,MATCH(Segmented!$D$282,Weighting!$E$26:$H$26,0)+1,FALSE)+VLOOKUP($B302&amp;$E$282&amp;$G302,$E$6:$U$275,M$279,FALSE)*VLOOKUP($A302,Weighting!$D$26:$G$30,MATCH(Segmented!$E$282,Weighting!$E$26:$H$26,0)+1,FALSE)</f>
        <v>1.0738315787942998</v>
      </c>
      <c r="N302" s="31">
        <f>VLOOKUP($B302&amp;$C$282&amp;$G302,$E$6:$U$275,N$279,FALSE)*VLOOKUP($A302,Weighting!$D$26:$G$30,MATCH(Segmented!$C$282,Weighting!$E$26:$H$26,0)+1,FALSE)+VLOOKUP($B302&amp;$D$282&amp;$G302,$E$6:$U$275,N$279,FALSE)*VLOOKUP($A302,Weighting!$D$26:$G$30,MATCH(Segmented!$D$282,Weighting!$E$26:$H$26,0)+1,FALSE)+VLOOKUP($B302&amp;$E$282&amp;$G302,$E$6:$U$275,N$279,FALSE)*VLOOKUP($A302,Weighting!$D$26:$G$30,MATCH(Segmented!$E$282,Weighting!$E$26:$H$26,0)+1,FALSE)</f>
        <v>0</v>
      </c>
      <c r="O302">
        <f t="shared" si="8"/>
        <v>0</v>
      </c>
      <c r="P302" s="31">
        <f>VLOOKUP($B302&amp;$C$282&amp;$G302,$E$6:$U$275,P$279,FALSE)*VLOOKUP($A302,Weighting!$D$26:$G$30,MATCH(Segmented!$C$282,Weighting!$E$26:$H$26,0)+1,FALSE)+VLOOKUP($B302&amp;$D$282&amp;$G302,$E$6:$U$275,P$279,FALSE)*VLOOKUP($A302,Weighting!$D$26:$G$30,MATCH(Segmented!$D$282,Weighting!$E$26:$H$26,0)+1,FALSE)+VLOOKUP($B302&amp;$E$282&amp;$G302,$E$6:$U$275,P$279,FALSE)*VLOOKUP($A302,Weighting!$D$26:$G$30,MATCH(Segmented!$E$282,Weighting!$E$26:$H$26,0)+1,FALSE)</f>
        <v>0</v>
      </c>
      <c r="Q302">
        <f t="shared" si="9"/>
        <v>0</v>
      </c>
      <c r="R302" s="31">
        <f>VLOOKUP($B302&amp;$C$282&amp;$G302,$E$6:$U$275,R$279,FALSE)*VLOOKUP($A302,Weighting!$D$26:$G$30,MATCH(Segmented!$C$282,Weighting!$E$26:$H$26,0)+1,FALSE)+VLOOKUP($B302&amp;$D$282&amp;$G302,$E$6:$U$275,R$279,FALSE)*VLOOKUP($A302,Weighting!$D$26:$G$30,MATCH(Segmented!$D$282,Weighting!$E$26:$H$26,0)+1,FALSE)+VLOOKUP($B302&amp;$E$282&amp;$G302,$E$6:$U$275,R$279,FALSE)*VLOOKUP($A302,Weighting!$D$26:$G$30,MATCH(Segmented!$E$282,Weighting!$E$26:$H$26,0)+1,FALSE)</f>
        <v>0</v>
      </c>
      <c r="S302">
        <f t="shared" si="10"/>
        <v>0</v>
      </c>
      <c r="T302" s="31">
        <f>VLOOKUP($B302&amp;$C$282&amp;$G302,$E$6:$U$275,T$279,FALSE)*VLOOKUP($A302,Weighting!$D$26:$G$30,MATCH(Segmented!$C$282,Weighting!$E$26:$H$26,0)+1,FALSE)+VLOOKUP($B302&amp;$D$282&amp;$G302,$E$6:$U$275,T$279,FALSE)*VLOOKUP($A302,Weighting!$D$26:$G$30,MATCH(Segmented!$D$282,Weighting!$E$26:$H$26,0)+1,FALSE)+VLOOKUP($B302&amp;$E$282&amp;$G302,$E$6:$U$275,T$279,FALSE)*VLOOKUP($A302,Weighting!$D$26:$G$30,MATCH(Segmented!$E$282,Weighting!$E$26:$H$26,0)+1,FALSE)</f>
        <v>0</v>
      </c>
    </row>
    <row r="303" spans="1:20">
      <c r="A303" t="s">
        <v>228</v>
      </c>
      <c r="B303" t="s">
        <v>1359</v>
      </c>
      <c r="F303" s="55" t="str">
        <f t="shared" si="11"/>
        <v>WALL R0 - R11_Electric Zonal</v>
      </c>
      <c r="G303" s="53" t="s">
        <v>85</v>
      </c>
      <c r="H303" s="31">
        <f>VLOOKUP($B303&amp;$C$282&amp;$G303,$E$6:$U$275,H$279,FALSE)*VLOOKUP($A303,Weighting!$D$26:$G$30,MATCH(Segmented!$C$282,Weighting!$E$26:$H$26,0)+1,FALSE)+VLOOKUP($B303&amp;$D$282&amp;$G303,$E$6:$U$275,H$279,FALSE)*VLOOKUP($A303,Weighting!$D$26:$G$30,MATCH(Segmented!$D$282,Weighting!$E$26:$H$26,0)+1,FALSE)+VLOOKUP($B303&amp;$E$282&amp;$G303,$E$6:$U$275,H$279,FALSE)*VLOOKUP($A303,Weighting!$D$26:$G$30,MATCH(Segmented!$E$282,Weighting!$E$26:$H$26,0)+1,FALSE)</f>
        <v>1167.7505950587251</v>
      </c>
      <c r="I303">
        <f t="shared" si="6"/>
        <v>45</v>
      </c>
      <c r="J303" s="31">
        <f>VLOOKUP($B303&amp;$C$282&amp;$G303,$E$6:$U$275,J$279,FALSE)*VLOOKUP($A303,Weighting!$D$26:$G$30,MATCH(Segmented!$C$282,Weighting!$E$26:$H$26,0)+1,FALSE)+VLOOKUP($B303&amp;$D$282&amp;$G303,$E$6:$U$275,J$279,FALSE)*VLOOKUP($A303,Weighting!$D$26:$G$30,MATCH(Segmented!$D$282,Weighting!$E$26:$H$26,0)+1,FALSE)+VLOOKUP($B303&amp;$E$282&amp;$G303,$E$6:$U$275,J$279,FALSE)*VLOOKUP($A303,Weighting!$D$26:$G$30,MATCH(Segmented!$E$282,Weighting!$E$26:$H$26,0)+1,FALSE)</f>
        <v>1034.2534120831954</v>
      </c>
      <c r="K303" s="31">
        <f>VLOOKUP($B303&amp;$C$282&amp;$G303,$E$6:$U$275,K$279,FALSE)*VLOOKUP($A303,Weighting!$D$26:$G$30,MATCH(Segmented!$C$282,Weighting!$E$26:$H$26,0)+1,FALSE)+VLOOKUP($B303&amp;$D$282&amp;$G303,$E$6:$U$275,K$279,FALSE)*VLOOKUP($A303,Weighting!$D$26:$G$30,MATCH(Segmented!$D$282,Weighting!$E$26:$H$26,0)+1,FALSE)+VLOOKUP($B303&amp;$E$282&amp;$G303,$E$6:$U$275,K$279,FALSE)*VLOOKUP($A303,Weighting!$D$26:$G$30,MATCH(Segmented!$E$282,Weighting!$E$26:$H$26,0)+1,FALSE)</f>
        <v>0</v>
      </c>
      <c r="L303" t="str">
        <f t="shared" si="7"/>
        <v>ResSpHtFAFZ2</v>
      </c>
      <c r="M303" s="31">
        <f>VLOOKUP($B303&amp;$C$282&amp;$G303,$E$6:$U$275,M$279,FALSE)*VLOOKUP($A303,Weighting!$D$26:$G$30,MATCH(Segmented!$C$282,Weighting!$E$26:$H$26,0)+1,FALSE)+VLOOKUP($B303&amp;$D$282&amp;$G303,$E$6:$U$275,M$279,FALSE)*VLOOKUP($A303,Weighting!$D$26:$G$30,MATCH(Segmented!$D$282,Weighting!$E$26:$H$26,0)+1,FALSE)+VLOOKUP($B303&amp;$E$282&amp;$G303,$E$6:$U$275,M$279,FALSE)*VLOOKUP($A303,Weighting!$D$26:$G$30,MATCH(Segmented!$E$282,Weighting!$E$26:$H$26,0)+1,FALSE)</f>
        <v>5.5323303467421932</v>
      </c>
      <c r="N303" s="31">
        <f>VLOOKUP($B303&amp;$C$282&amp;$G303,$E$6:$U$275,N$279,FALSE)*VLOOKUP($A303,Weighting!$D$26:$G$30,MATCH(Segmented!$C$282,Weighting!$E$26:$H$26,0)+1,FALSE)+VLOOKUP($B303&amp;$D$282&amp;$G303,$E$6:$U$275,N$279,FALSE)*VLOOKUP($A303,Weighting!$D$26:$G$30,MATCH(Segmented!$D$282,Weighting!$E$26:$H$26,0)+1,FALSE)+VLOOKUP($B303&amp;$E$282&amp;$G303,$E$6:$U$275,N$279,FALSE)*VLOOKUP($A303,Weighting!$D$26:$G$30,MATCH(Segmented!$E$282,Weighting!$E$26:$H$26,0)+1,FALSE)</f>
        <v>0</v>
      </c>
      <c r="O303">
        <f t="shared" si="8"/>
        <v>0</v>
      </c>
      <c r="P303" s="31">
        <f>VLOOKUP($B303&amp;$C$282&amp;$G303,$E$6:$U$275,P$279,FALSE)*VLOOKUP($A303,Weighting!$D$26:$G$30,MATCH(Segmented!$C$282,Weighting!$E$26:$H$26,0)+1,FALSE)+VLOOKUP($B303&amp;$D$282&amp;$G303,$E$6:$U$275,P$279,FALSE)*VLOOKUP($A303,Weighting!$D$26:$G$30,MATCH(Segmented!$D$282,Weighting!$E$26:$H$26,0)+1,FALSE)+VLOOKUP($B303&amp;$E$282&amp;$G303,$E$6:$U$275,P$279,FALSE)*VLOOKUP($A303,Weighting!$D$26:$G$30,MATCH(Segmented!$E$282,Weighting!$E$26:$H$26,0)+1,FALSE)</f>
        <v>0</v>
      </c>
      <c r="Q303">
        <f t="shared" si="9"/>
        <v>0</v>
      </c>
      <c r="R303" s="31">
        <f>VLOOKUP($B303&amp;$C$282&amp;$G303,$E$6:$U$275,R$279,FALSE)*VLOOKUP($A303,Weighting!$D$26:$G$30,MATCH(Segmented!$C$282,Weighting!$E$26:$H$26,0)+1,FALSE)+VLOOKUP($B303&amp;$D$282&amp;$G303,$E$6:$U$275,R$279,FALSE)*VLOOKUP($A303,Weighting!$D$26:$G$30,MATCH(Segmented!$D$282,Weighting!$E$26:$H$26,0)+1,FALSE)+VLOOKUP($B303&amp;$E$282&amp;$G303,$E$6:$U$275,R$279,FALSE)*VLOOKUP($A303,Weighting!$D$26:$G$30,MATCH(Segmented!$E$282,Weighting!$E$26:$H$26,0)+1,FALSE)</f>
        <v>0</v>
      </c>
      <c r="S303">
        <f t="shared" si="10"/>
        <v>0</v>
      </c>
      <c r="T303" s="31">
        <f>VLOOKUP($B303&amp;$C$282&amp;$G303,$E$6:$U$275,T$279,FALSE)*VLOOKUP($A303,Weighting!$D$26:$G$30,MATCH(Segmented!$C$282,Weighting!$E$26:$H$26,0)+1,FALSE)+VLOOKUP($B303&amp;$D$282&amp;$G303,$E$6:$U$275,T$279,FALSE)*VLOOKUP($A303,Weighting!$D$26:$G$30,MATCH(Segmented!$D$282,Weighting!$E$26:$H$26,0)+1,FALSE)+VLOOKUP($B303&amp;$E$282&amp;$G303,$E$6:$U$275,T$279,FALSE)*VLOOKUP($A303,Weighting!$D$26:$G$30,MATCH(Segmented!$E$282,Weighting!$E$26:$H$26,0)+1,FALSE)</f>
        <v>0</v>
      </c>
    </row>
    <row r="304" spans="1:20">
      <c r="A304" t="s">
        <v>228</v>
      </c>
      <c r="B304" t="s">
        <v>1359</v>
      </c>
      <c r="F304" s="55" t="str">
        <f t="shared" si="11"/>
        <v>FLOOR R0 - R19_Electric Zonal</v>
      </c>
      <c r="G304" s="53" t="s">
        <v>87</v>
      </c>
      <c r="H304" s="31">
        <f>VLOOKUP($B304&amp;$C$282&amp;$G304,$E$6:$U$275,H$279,FALSE)*VLOOKUP($A304,Weighting!$D$26:$G$30,MATCH(Segmented!$C$282,Weighting!$E$26:$H$26,0)+1,FALSE)+VLOOKUP($B304&amp;$D$282&amp;$G304,$E$6:$U$275,H$279,FALSE)*VLOOKUP($A304,Weighting!$D$26:$G$30,MATCH(Segmented!$D$282,Weighting!$E$26:$H$26,0)+1,FALSE)+VLOOKUP($B304&amp;$E$282&amp;$G304,$E$6:$U$275,H$279,FALSE)*VLOOKUP($A304,Weighting!$D$26:$G$30,MATCH(Segmented!$E$282,Weighting!$E$26:$H$26,0)+1,FALSE)</f>
        <v>552.49400196960858</v>
      </c>
      <c r="I304">
        <f t="shared" si="6"/>
        <v>45</v>
      </c>
      <c r="J304" s="31">
        <f>VLOOKUP($B304&amp;$C$282&amp;$G304,$E$6:$U$275,J$279,FALSE)*VLOOKUP($A304,Weighting!$D$26:$G$30,MATCH(Segmented!$C$282,Weighting!$E$26:$H$26,0)+1,FALSE)+VLOOKUP($B304&amp;$D$282&amp;$G304,$E$6:$U$275,J$279,FALSE)*VLOOKUP($A304,Weighting!$D$26:$G$30,MATCH(Segmented!$D$282,Weighting!$E$26:$H$26,0)+1,FALSE)+VLOOKUP($B304&amp;$E$282&amp;$G304,$E$6:$U$275,J$279,FALSE)*VLOOKUP($A304,Weighting!$D$26:$G$30,MATCH(Segmented!$E$282,Weighting!$E$26:$H$26,0)+1,FALSE)</f>
        <v>727.98596173202009</v>
      </c>
      <c r="K304" s="31">
        <f>VLOOKUP($B304&amp;$C$282&amp;$G304,$E$6:$U$275,K$279,FALSE)*VLOOKUP($A304,Weighting!$D$26:$G$30,MATCH(Segmented!$C$282,Weighting!$E$26:$H$26,0)+1,FALSE)+VLOOKUP($B304&amp;$D$282&amp;$G304,$E$6:$U$275,K$279,FALSE)*VLOOKUP($A304,Weighting!$D$26:$G$30,MATCH(Segmented!$D$282,Weighting!$E$26:$H$26,0)+1,FALSE)+VLOOKUP($B304&amp;$E$282&amp;$G304,$E$6:$U$275,K$279,FALSE)*VLOOKUP($A304,Weighting!$D$26:$G$30,MATCH(Segmented!$E$282,Weighting!$E$26:$H$26,0)+1,FALSE)</f>
        <v>0</v>
      </c>
      <c r="L304" t="str">
        <f t="shared" si="7"/>
        <v>ResSpHtFAFZ2</v>
      </c>
      <c r="M304" s="31">
        <f>VLOOKUP($B304&amp;$C$282&amp;$G304,$E$6:$U$275,M$279,FALSE)*VLOOKUP($A304,Weighting!$D$26:$G$30,MATCH(Segmented!$C$282,Weighting!$E$26:$H$26,0)+1,FALSE)+VLOOKUP($B304&amp;$D$282&amp;$G304,$E$6:$U$275,M$279,FALSE)*VLOOKUP($A304,Weighting!$D$26:$G$30,MATCH(Segmented!$D$282,Weighting!$E$26:$H$26,0)+1,FALSE)+VLOOKUP($B304&amp;$E$282&amp;$G304,$E$6:$U$275,M$279,FALSE)*VLOOKUP($A304,Weighting!$D$26:$G$30,MATCH(Segmented!$E$282,Weighting!$E$26:$H$26,0)+1,FALSE)</f>
        <v>2.3825284622748026</v>
      </c>
      <c r="N304" s="31">
        <f>VLOOKUP($B304&amp;$C$282&amp;$G304,$E$6:$U$275,N$279,FALSE)*VLOOKUP($A304,Weighting!$D$26:$G$30,MATCH(Segmented!$C$282,Weighting!$E$26:$H$26,0)+1,FALSE)+VLOOKUP($B304&amp;$D$282&amp;$G304,$E$6:$U$275,N$279,FALSE)*VLOOKUP($A304,Weighting!$D$26:$G$30,MATCH(Segmented!$D$282,Weighting!$E$26:$H$26,0)+1,FALSE)+VLOOKUP($B304&amp;$E$282&amp;$G304,$E$6:$U$275,N$279,FALSE)*VLOOKUP($A304,Weighting!$D$26:$G$30,MATCH(Segmented!$E$282,Weighting!$E$26:$H$26,0)+1,FALSE)</f>
        <v>0</v>
      </c>
      <c r="O304">
        <f t="shared" si="8"/>
        <v>0</v>
      </c>
      <c r="P304" s="31">
        <f>VLOOKUP($B304&amp;$C$282&amp;$G304,$E$6:$U$275,P$279,FALSE)*VLOOKUP($A304,Weighting!$D$26:$G$30,MATCH(Segmented!$C$282,Weighting!$E$26:$H$26,0)+1,FALSE)+VLOOKUP($B304&amp;$D$282&amp;$G304,$E$6:$U$275,P$279,FALSE)*VLOOKUP($A304,Weighting!$D$26:$G$30,MATCH(Segmented!$D$282,Weighting!$E$26:$H$26,0)+1,FALSE)+VLOOKUP($B304&amp;$E$282&amp;$G304,$E$6:$U$275,P$279,FALSE)*VLOOKUP($A304,Weighting!$D$26:$G$30,MATCH(Segmented!$E$282,Weighting!$E$26:$H$26,0)+1,FALSE)</f>
        <v>0</v>
      </c>
      <c r="Q304">
        <f t="shared" si="9"/>
        <v>0</v>
      </c>
      <c r="R304" s="31">
        <f>VLOOKUP($B304&amp;$C$282&amp;$G304,$E$6:$U$275,R$279,FALSE)*VLOOKUP($A304,Weighting!$D$26:$G$30,MATCH(Segmented!$C$282,Weighting!$E$26:$H$26,0)+1,FALSE)+VLOOKUP($B304&amp;$D$282&amp;$G304,$E$6:$U$275,R$279,FALSE)*VLOOKUP($A304,Weighting!$D$26:$G$30,MATCH(Segmented!$D$282,Weighting!$E$26:$H$26,0)+1,FALSE)+VLOOKUP($B304&amp;$E$282&amp;$G304,$E$6:$U$275,R$279,FALSE)*VLOOKUP($A304,Weighting!$D$26:$G$30,MATCH(Segmented!$E$282,Weighting!$E$26:$H$26,0)+1,FALSE)</f>
        <v>0</v>
      </c>
      <c r="S304">
        <f t="shared" si="10"/>
        <v>0</v>
      </c>
      <c r="T304" s="31">
        <f>VLOOKUP($B304&amp;$C$282&amp;$G304,$E$6:$U$275,T$279,FALSE)*VLOOKUP($A304,Weighting!$D$26:$G$30,MATCH(Segmented!$C$282,Weighting!$E$26:$H$26,0)+1,FALSE)+VLOOKUP($B304&amp;$D$282&amp;$G304,$E$6:$U$275,T$279,FALSE)*VLOOKUP($A304,Weighting!$D$26:$G$30,MATCH(Segmented!$D$282,Weighting!$E$26:$H$26,0)+1,FALSE)+VLOOKUP($B304&amp;$E$282&amp;$G304,$E$6:$U$275,T$279,FALSE)*VLOOKUP($A304,Weighting!$D$26:$G$30,MATCH(Segmented!$E$282,Weighting!$E$26:$H$26,0)+1,FALSE)</f>
        <v>0</v>
      </c>
    </row>
    <row r="305" spans="1:20">
      <c r="A305" t="s">
        <v>228</v>
      </c>
      <c r="B305" t="s">
        <v>1359</v>
      </c>
      <c r="F305" s="55" t="str">
        <f t="shared" si="11"/>
        <v>FLOOR R0 - R25_Electric Zonal</v>
      </c>
      <c r="G305" s="53" t="s">
        <v>89</v>
      </c>
      <c r="H305" s="31">
        <f>VLOOKUP($B305&amp;$C$282&amp;$G305,$E$6:$U$275,H$279,FALSE)*VLOOKUP($A305,Weighting!$D$26:$G$30,MATCH(Segmented!$C$282,Weighting!$E$26:$H$26,0)+1,FALSE)+VLOOKUP($B305&amp;$D$282&amp;$G305,$E$6:$U$275,H$279,FALSE)*VLOOKUP($A305,Weighting!$D$26:$G$30,MATCH(Segmented!$D$282,Weighting!$E$26:$H$26,0)+1,FALSE)+VLOOKUP($B305&amp;$E$282&amp;$G305,$E$6:$U$275,H$279,FALSE)*VLOOKUP($A305,Weighting!$D$26:$G$30,MATCH(Segmented!$E$282,Weighting!$E$26:$H$26,0)+1,FALSE)</f>
        <v>591.89090970682207</v>
      </c>
      <c r="I305">
        <f t="shared" si="6"/>
        <v>45</v>
      </c>
      <c r="J305" s="31">
        <f>VLOOKUP($B305&amp;$C$282&amp;$G305,$E$6:$U$275,J$279,FALSE)*VLOOKUP($A305,Weighting!$D$26:$G$30,MATCH(Segmented!$C$282,Weighting!$E$26:$H$26,0)+1,FALSE)+VLOOKUP($B305&amp;$D$282&amp;$G305,$E$6:$U$275,J$279,FALSE)*VLOOKUP($A305,Weighting!$D$26:$G$30,MATCH(Segmented!$D$282,Weighting!$E$26:$H$26,0)+1,FALSE)+VLOOKUP($B305&amp;$E$282&amp;$G305,$E$6:$U$275,J$279,FALSE)*VLOOKUP($A305,Weighting!$D$26:$G$30,MATCH(Segmented!$E$282,Weighting!$E$26:$H$26,0)+1,FALSE)</f>
        <v>755.86367137636603</v>
      </c>
      <c r="K305" s="31">
        <f>VLOOKUP($B305&amp;$C$282&amp;$G305,$E$6:$U$275,K$279,FALSE)*VLOOKUP($A305,Weighting!$D$26:$G$30,MATCH(Segmented!$C$282,Weighting!$E$26:$H$26,0)+1,FALSE)+VLOOKUP($B305&amp;$D$282&amp;$G305,$E$6:$U$275,K$279,FALSE)*VLOOKUP($A305,Weighting!$D$26:$G$30,MATCH(Segmented!$D$282,Weighting!$E$26:$H$26,0)+1,FALSE)+VLOOKUP($B305&amp;$E$282&amp;$G305,$E$6:$U$275,K$279,FALSE)*VLOOKUP($A305,Weighting!$D$26:$G$30,MATCH(Segmented!$E$282,Weighting!$E$26:$H$26,0)+1,FALSE)</f>
        <v>0</v>
      </c>
      <c r="L305" t="str">
        <f t="shared" si="7"/>
        <v>ResSpHtFAFZ2</v>
      </c>
      <c r="M305" s="31">
        <f>VLOOKUP($B305&amp;$C$282&amp;$G305,$E$6:$U$275,M$279,FALSE)*VLOOKUP($A305,Weighting!$D$26:$G$30,MATCH(Segmented!$C$282,Weighting!$E$26:$H$26,0)+1,FALSE)+VLOOKUP($B305&amp;$D$282&amp;$G305,$E$6:$U$275,M$279,FALSE)*VLOOKUP($A305,Weighting!$D$26:$G$30,MATCH(Segmented!$D$282,Weighting!$E$26:$H$26,0)+1,FALSE)+VLOOKUP($B305&amp;$E$282&amp;$G305,$E$6:$U$275,M$279,FALSE)*VLOOKUP($A305,Weighting!$D$26:$G$30,MATCH(Segmented!$E$282,Weighting!$E$26:$H$26,0)+1,FALSE)</f>
        <v>2.7375282373553889</v>
      </c>
      <c r="N305" s="31">
        <f>VLOOKUP($B305&amp;$C$282&amp;$G305,$E$6:$U$275,N$279,FALSE)*VLOOKUP($A305,Weighting!$D$26:$G$30,MATCH(Segmented!$C$282,Weighting!$E$26:$H$26,0)+1,FALSE)+VLOOKUP($B305&amp;$D$282&amp;$G305,$E$6:$U$275,N$279,FALSE)*VLOOKUP($A305,Weighting!$D$26:$G$30,MATCH(Segmented!$D$282,Weighting!$E$26:$H$26,0)+1,FALSE)+VLOOKUP($B305&amp;$E$282&amp;$G305,$E$6:$U$275,N$279,FALSE)*VLOOKUP($A305,Weighting!$D$26:$G$30,MATCH(Segmented!$E$282,Weighting!$E$26:$H$26,0)+1,FALSE)</f>
        <v>0</v>
      </c>
      <c r="O305">
        <f t="shared" si="8"/>
        <v>0</v>
      </c>
      <c r="P305" s="31">
        <f>VLOOKUP($B305&amp;$C$282&amp;$G305,$E$6:$U$275,P$279,FALSE)*VLOOKUP($A305,Weighting!$D$26:$G$30,MATCH(Segmented!$C$282,Weighting!$E$26:$H$26,0)+1,FALSE)+VLOOKUP($B305&amp;$D$282&amp;$G305,$E$6:$U$275,P$279,FALSE)*VLOOKUP($A305,Weighting!$D$26:$G$30,MATCH(Segmented!$D$282,Weighting!$E$26:$H$26,0)+1,FALSE)+VLOOKUP($B305&amp;$E$282&amp;$G305,$E$6:$U$275,P$279,FALSE)*VLOOKUP($A305,Weighting!$D$26:$G$30,MATCH(Segmented!$E$282,Weighting!$E$26:$H$26,0)+1,FALSE)</f>
        <v>0</v>
      </c>
      <c r="Q305">
        <f t="shared" si="9"/>
        <v>0</v>
      </c>
      <c r="R305" s="31">
        <f>VLOOKUP($B305&amp;$C$282&amp;$G305,$E$6:$U$275,R$279,FALSE)*VLOOKUP($A305,Weighting!$D$26:$G$30,MATCH(Segmented!$C$282,Weighting!$E$26:$H$26,0)+1,FALSE)+VLOOKUP($B305&amp;$D$282&amp;$G305,$E$6:$U$275,R$279,FALSE)*VLOOKUP($A305,Weighting!$D$26:$G$30,MATCH(Segmented!$D$282,Weighting!$E$26:$H$26,0)+1,FALSE)+VLOOKUP($B305&amp;$E$282&amp;$G305,$E$6:$U$275,R$279,FALSE)*VLOOKUP($A305,Weighting!$D$26:$G$30,MATCH(Segmented!$E$282,Weighting!$E$26:$H$26,0)+1,FALSE)</f>
        <v>0</v>
      </c>
      <c r="S305">
        <f t="shared" si="10"/>
        <v>0</v>
      </c>
      <c r="T305" s="31">
        <f>VLOOKUP($B305&amp;$C$282&amp;$G305,$E$6:$U$275,T$279,FALSE)*VLOOKUP($A305,Weighting!$D$26:$G$30,MATCH(Segmented!$C$282,Weighting!$E$26:$H$26,0)+1,FALSE)+VLOOKUP($B305&amp;$D$282&amp;$G305,$E$6:$U$275,T$279,FALSE)*VLOOKUP($A305,Weighting!$D$26:$G$30,MATCH(Segmented!$D$282,Weighting!$E$26:$H$26,0)+1,FALSE)+VLOOKUP($B305&amp;$E$282&amp;$G305,$E$6:$U$275,T$279,FALSE)*VLOOKUP($A305,Weighting!$D$26:$G$30,MATCH(Segmented!$E$282,Weighting!$E$26:$H$26,0)+1,FALSE)</f>
        <v>0</v>
      </c>
    </row>
    <row r="306" spans="1:20">
      <c r="A306" t="s">
        <v>228</v>
      </c>
      <c r="B306" t="s">
        <v>1359</v>
      </c>
      <c r="F306" s="55" t="str">
        <f t="shared" si="11"/>
        <v>FLOOR R0 - R30_Electric Zonal</v>
      </c>
      <c r="G306" s="53" t="s">
        <v>91</v>
      </c>
      <c r="H306" s="31">
        <f>VLOOKUP($B306&amp;$C$282&amp;$G306,$E$6:$U$275,H$279,FALSE)*VLOOKUP($A306,Weighting!$D$26:$G$30,MATCH(Segmented!$C$282,Weighting!$E$26:$H$26,0)+1,FALSE)+VLOOKUP($B306&amp;$D$282&amp;$G306,$E$6:$U$275,H$279,FALSE)*VLOOKUP($A306,Weighting!$D$26:$G$30,MATCH(Segmented!$D$282,Weighting!$E$26:$H$26,0)+1,FALSE)+VLOOKUP($B306&amp;$E$282&amp;$G306,$E$6:$U$275,H$279,FALSE)*VLOOKUP($A306,Weighting!$D$26:$G$30,MATCH(Segmented!$E$282,Weighting!$E$26:$H$26,0)+1,FALSE)</f>
        <v>616.43299856875319</v>
      </c>
      <c r="I306">
        <f t="shared" si="6"/>
        <v>45</v>
      </c>
      <c r="J306" s="31">
        <f>VLOOKUP($B306&amp;$C$282&amp;$G306,$E$6:$U$275,J$279,FALSE)*VLOOKUP($A306,Weighting!$D$26:$G$30,MATCH(Segmented!$C$282,Weighting!$E$26:$H$26,0)+1,FALSE)+VLOOKUP($B306&amp;$D$282&amp;$G306,$E$6:$U$275,J$279,FALSE)*VLOOKUP($A306,Weighting!$D$26:$G$30,MATCH(Segmented!$D$282,Weighting!$E$26:$H$26,0)+1,FALSE)+VLOOKUP($B306&amp;$E$282&amp;$G306,$E$6:$U$275,J$279,FALSE)*VLOOKUP($A306,Weighting!$D$26:$G$30,MATCH(Segmented!$E$282,Weighting!$E$26:$H$26,0)+1,FALSE)</f>
        <v>779.09509607998802</v>
      </c>
      <c r="K306" s="31">
        <f>VLOOKUP($B306&amp;$C$282&amp;$G306,$E$6:$U$275,K$279,FALSE)*VLOOKUP($A306,Weighting!$D$26:$G$30,MATCH(Segmented!$C$282,Weighting!$E$26:$H$26,0)+1,FALSE)+VLOOKUP($B306&amp;$D$282&amp;$G306,$E$6:$U$275,K$279,FALSE)*VLOOKUP($A306,Weighting!$D$26:$G$30,MATCH(Segmented!$D$282,Weighting!$E$26:$H$26,0)+1,FALSE)+VLOOKUP($B306&amp;$E$282&amp;$G306,$E$6:$U$275,K$279,FALSE)*VLOOKUP($A306,Weighting!$D$26:$G$30,MATCH(Segmented!$E$282,Weighting!$E$26:$H$26,0)+1,FALSE)</f>
        <v>0</v>
      </c>
      <c r="L306" t="str">
        <f t="shared" si="7"/>
        <v>ResSpHtFAFZ2</v>
      </c>
      <c r="M306" s="31">
        <f>VLOOKUP($B306&amp;$C$282&amp;$G306,$E$6:$U$275,M$279,FALSE)*VLOOKUP($A306,Weighting!$D$26:$G$30,MATCH(Segmented!$C$282,Weighting!$E$26:$H$26,0)+1,FALSE)+VLOOKUP($B306&amp;$D$282&amp;$G306,$E$6:$U$275,M$279,FALSE)*VLOOKUP($A306,Weighting!$D$26:$G$30,MATCH(Segmented!$D$282,Weighting!$E$26:$H$26,0)+1,FALSE)+VLOOKUP($B306&amp;$E$282&amp;$G306,$E$6:$U$275,M$279,FALSE)*VLOOKUP($A306,Weighting!$D$26:$G$30,MATCH(Segmented!$E$282,Weighting!$E$26:$H$26,0)+1,FALSE)</f>
        <v>2.9714212484320175</v>
      </c>
      <c r="N306" s="31">
        <f>VLOOKUP($B306&amp;$C$282&amp;$G306,$E$6:$U$275,N$279,FALSE)*VLOOKUP($A306,Weighting!$D$26:$G$30,MATCH(Segmented!$C$282,Weighting!$E$26:$H$26,0)+1,FALSE)+VLOOKUP($B306&amp;$D$282&amp;$G306,$E$6:$U$275,N$279,FALSE)*VLOOKUP($A306,Weighting!$D$26:$G$30,MATCH(Segmented!$D$282,Weighting!$E$26:$H$26,0)+1,FALSE)+VLOOKUP($B306&amp;$E$282&amp;$G306,$E$6:$U$275,N$279,FALSE)*VLOOKUP($A306,Weighting!$D$26:$G$30,MATCH(Segmented!$E$282,Weighting!$E$26:$H$26,0)+1,FALSE)</f>
        <v>0</v>
      </c>
      <c r="O306">
        <f t="shared" si="8"/>
        <v>0</v>
      </c>
      <c r="P306" s="31">
        <f>VLOOKUP($B306&amp;$C$282&amp;$G306,$E$6:$U$275,P$279,FALSE)*VLOOKUP($A306,Weighting!$D$26:$G$30,MATCH(Segmented!$C$282,Weighting!$E$26:$H$26,0)+1,FALSE)+VLOOKUP($B306&amp;$D$282&amp;$G306,$E$6:$U$275,P$279,FALSE)*VLOOKUP($A306,Weighting!$D$26:$G$30,MATCH(Segmented!$D$282,Weighting!$E$26:$H$26,0)+1,FALSE)+VLOOKUP($B306&amp;$E$282&amp;$G306,$E$6:$U$275,P$279,FALSE)*VLOOKUP($A306,Weighting!$D$26:$G$30,MATCH(Segmented!$E$282,Weighting!$E$26:$H$26,0)+1,FALSE)</f>
        <v>0</v>
      </c>
      <c r="Q306">
        <f t="shared" si="9"/>
        <v>0</v>
      </c>
      <c r="R306" s="31">
        <f>VLOOKUP($B306&amp;$C$282&amp;$G306,$E$6:$U$275,R$279,FALSE)*VLOOKUP($A306,Weighting!$D$26:$G$30,MATCH(Segmented!$C$282,Weighting!$E$26:$H$26,0)+1,FALSE)+VLOOKUP($B306&amp;$D$282&amp;$G306,$E$6:$U$275,R$279,FALSE)*VLOOKUP($A306,Weighting!$D$26:$G$30,MATCH(Segmented!$D$282,Weighting!$E$26:$H$26,0)+1,FALSE)+VLOOKUP($B306&amp;$E$282&amp;$G306,$E$6:$U$275,R$279,FALSE)*VLOOKUP($A306,Weighting!$D$26:$G$30,MATCH(Segmented!$E$282,Weighting!$E$26:$H$26,0)+1,FALSE)</f>
        <v>0</v>
      </c>
      <c r="S306">
        <f t="shared" si="10"/>
        <v>0</v>
      </c>
      <c r="T306" s="31">
        <f>VLOOKUP($B306&amp;$C$282&amp;$G306,$E$6:$U$275,T$279,FALSE)*VLOOKUP($A306,Weighting!$D$26:$G$30,MATCH(Segmented!$C$282,Weighting!$E$26:$H$26,0)+1,FALSE)+VLOOKUP($B306&amp;$D$282&amp;$G306,$E$6:$U$275,T$279,FALSE)*VLOOKUP($A306,Weighting!$D$26:$G$30,MATCH(Segmented!$D$282,Weighting!$E$26:$H$26,0)+1,FALSE)+VLOOKUP($B306&amp;$E$282&amp;$G306,$E$6:$U$275,T$279,FALSE)*VLOOKUP($A306,Weighting!$D$26:$G$30,MATCH(Segmented!$E$282,Weighting!$E$26:$H$26,0)+1,FALSE)</f>
        <v>0</v>
      </c>
    </row>
    <row r="307" spans="1:20" ht="25.5">
      <c r="A307" t="s">
        <v>228</v>
      </c>
      <c r="B307" t="s">
        <v>1359</v>
      </c>
      <c r="F307" s="55" t="str">
        <f t="shared" si="11"/>
        <v>WINDOW CL30 Prime Window Replacement of Single Pane Base_Electric Zonal</v>
      </c>
      <c r="G307" s="53" t="s">
        <v>93</v>
      </c>
      <c r="H307" s="31">
        <f>VLOOKUP($B307&amp;$C$282&amp;$G307,$E$6:$U$275,H$279,FALSE)*VLOOKUP($A307,Weighting!$D$26:$G$30,MATCH(Segmented!$C$282,Weighting!$E$26:$H$26,0)+1,FALSE)+VLOOKUP($B307&amp;$D$282&amp;$G307,$E$6:$U$275,H$279,FALSE)*VLOOKUP($A307,Weighting!$D$26:$G$30,MATCH(Segmented!$D$282,Weighting!$E$26:$H$26,0)+1,FALSE)+VLOOKUP($B307&amp;$E$282&amp;$G307,$E$6:$U$275,H$279,FALSE)*VLOOKUP($A307,Weighting!$D$26:$G$30,MATCH(Segmented!$E$282,Weighting!$E$26:$H$26,0)+1,FALSE)</f>
        <v>655.98184804034759</v>
      </c>
      <c r="I307">
        <f t="shared" si="6"/>
        <v>45</v>
      </c>
      <c r="J307" s="31">
        <f>VLOOKUP($B307&amp;$C$282&amp;$G307,$E$6:$U$275,J$279,FALSE)*VLOOKUP($A307,Weighting!$D$26:$G$30,MATCH(Segmented!$C$282,Weighting!$E$26:$H$26,0)+1,FALSE)+VLOOKUP($B307&amp;$D$282&amp;$G307,$E$6:$U$275,J$279,FALSE)*VLOOKUP($A307,Weighting!$D$26:$G$30,MATCH(Segmented!$D$282,Weighting!$E$26:$H$26,0)+1,FALSE)+VLOOKUP($B307&amp;$E$282&amp;$G307,$E$6:$U$275,J$279,FALSE)*VLOOKUP($A307,Weighting!$D$26:$G$30,MATCH(Segmented!$E$282,Weighting!$E$26:$H$26,0)+1,FALSE)</f>
        <v>1370.7558864868229</v>
      </c>
      <c r="K307" s="31">
        <f>VLOOKUP($B307&amp;$C$282&amp;$G307,$E$6:$U$275,K$279,FALSE)*VLOOKUP($A307,Weighting!$D$26:$G$30,MATCH(Segmented!$C$282,Weighting!$E$26:$H$26,0)+1,FALSE)+VLOOKUP($B307&amp;$D$282&amp;$G307,$E$6:$U$275,K$279,FALSE)*VLOOKUP($A307,Weighting!$D$26:$G$30,MATCH(Segmented!$D$282,Weighting!$E$26:$H$26,0)+1,FALSE)+VLOOKUP($B307&amp;$E$282&amp;$G307,$E$6:$U$275,K$279,FALSE)*VLOOKUP($A307,Weighting!$D$26:$G$30,MATCH(Segmented!$E$282,Weighting!$E$26:$H$26,0)+1,FALSE)</f>
        <v>0</v>
      </c>
      <c r="L307" t="str">
        <f t="shared" si="7"/>
        <v>ResSpHtFAFZ2</v>
      </c>
      <c r="M307" s="31">
        <f>VLOOKUP($B307&amp;$C$282&amp;$G307,$E$6:$U$275,M$279,FALSE)*VLOOKUP($A307,Weighting!$D$26:$G$30,MATCH(Segmented!$C$282,Weighting!$E$26:$H$26,0)+1,FALSE)+VLOOKUP($B307&amp;$D$282&amp;$G307,$E$6:$U$275,M$279,FALSE)*VLOOKUP($A307,Weighting!$D$26:$G$30,MATCH(Segmented!$D$282,Weighting!$E$26:$H$26,0)+1,FALSE)+VLOOKUP($B307&amp;$E$282&amp;$G307,$E$6:$U$275,M$279,FALSE)*VLOOKUP($A307,Weighting!$D$26:$G$30,MATCH(Segmented!$E$282,Weighting!$E$26:$H$26,0)+1,FALSE)</f>
        <v>5.1631502441734076</v>
      </c>
      <c r="N307" s="31">
        <f>VLOOKUP($B307&amp;$C$282&amp;$G307,$E$6:$U$275,N$279,FALSE)*VLOOKUP($A307,Weighting!$D$26:$G$30,MATCH(Segmented!$C$282,Weighting!$E$26:$H$26,0)+1,FALSE)+VLOOKUP($B307&amp;$D$282&amp;$G307,$E$6:$U$275,N$279,FALSE)*VLOOKUP($A307,Weighting!$D$26:$G$30,MATCH(Segmented!$D$282,Weighting!$E$26:$H$26,0)+1,FALSE)+VLOOKUP($B307&amp;$E$282&amp;$G307,$E$6:$U$275,N$279,FALSE)*VLOOKUP($A307,Weighting!$D$26:$G$30,MATCH(Segmented!$E$282,Weighting!$E$26:$H$26,0)+1,FALSE)</f>
        <v>0</v>
      </c>
      <c r="O307">
        <f t="shared" si="8"/>
        <v>0</v>
      </c>
      <c r="P307" s="31">
        <f>VLOOKUP($B307&amp;$C$282&amp;$G307,$E$6:$U$275,P$279,FALSE)*VLOOKUP($A307,Weighting!$D$26:$G$30,MATCH(Segmented!$C$282,Weighting!$E$26:$H$26,0)+1,FALSE)+VLOOKUP($B307&amp;$D$282&amp;$G307,$E$6:$U$275,P$279,FALSE)*VLOOKUP($A307,Weighting!$D$26:$G$30,MATCH(Segmented!$D$282,Weighting!$E$26:$H$26,0)+1,FALSE)+VLOOKUP($B307&amp;$E$282&amp;$G307,$E$6:$U$275,P$279,FALSE)*VLOOKUP($A307,Weighting!$D$26:$G$30,MATCH(Segmented!$E$282,Weighting!$E$26:$H$26,0)+1,FALSE)</f>
        <v>0</v>
      </c>
      <c r="Q307">
        <f t="shared" si="9"/>
        <v>0</v>
      </c>
      <c r="R307" s="31">
        <f>VLOOKUP($B307&amp;$C$282&amp;$G307,$E$6:$U$275,R$279,FALSE)*VLOOKUP($A307,Weighting!$D$26:$G$30,MATCH(Segmented!$C$282,Weighting!$E$26:$H$26,0)+1,FALSE)+VLOOKUP($B307&amp;$D$282&amp;$G307,$E$6:$U$275,R$279,FALSE)*VLOOKUP($A307,Weighting!$D$26:$G$30,MATCH(Segmented!$D$282,Weighting!$E$26:$H$26,0)+1,FALSE)+VLOOKUP($B307&amp;$E$282&amp;$G307,$E$6:$U$275,R$279,FALSE)*VLOOKUP($A307,Weighting!$D$26:$G$30,MATCH(Segmented!$E$282,Weighting!$E$26:$H$26,0)+1,FALSE)</f>
        <v>0</v>
      </c>
      <c r="S307">
        <f t="shared" si="10"/>
        <v>0</v>
      </c>
      <c r="T307" s="31">
        <f>VLOOKUP($B307&amp;$C$282&amp;$G307,$E$6:$U$275,T$279,FALSE)*VLOOKUP($A307,Weighting!$D$26:$G$30,MATCH(Segmented!$C$282,Weighting!$E$26:$H$26,0)+1,FALSE)+VLOOKUP($B307&amp;$D$282&amp;$G307,$E$6:$U$275,T$279,FALSE)*VLOOKUP($A307,Weighting!$D$26:$G$30,MATCH(Segmented!$D$282,Weighting!$E$26:$H$26,0)+1,FALSE)+VLOOKUP($B307&amp;$E$282&amp;$G307,$E$6:$U$275,T$279,FALSE)*VLOOKUP($A307,Weighting!$D$26:$G$30,MATCH(Segmented!$E$282,Weighting!$E$26:$H$26,0)+1,FALSE)</f>
        <v>0</v>
      </c>
    </row>
    <row r="308" spans="1:20" ht="25.5">
      <c r="A308" t="s">
        <v>228</v>
      </c>
      <c r="B308" t="s">
        <v>1359</v>
      </c>
      <c r="F308" s="55" t="str">
        <f t="shared" si="11"/>
        <v>WINDOW CL30 Prime Window Replacement of Double Pane Base_Electric Zonal</v>
      </c>
      <c r="G308" s="53" t="s">
        <v>95</v>
      </c>
      <c r="H308" s="31">
        <f>VLOOKUP($B308&amp;$C$282&amp;$G308,$E$6:$U$275,H$279,FALSE)*VLOOKUP($A308,Weighting!$D$26:$G$30,MATCH(Segmented!$C$282,Weighting!$E$26:$H$26,0)+1,FALSE)+VLOOKUP($B308&amp;$D$282&amp;$G308,$E$6:$U$275,H$279,FALSE)*VLOOKUP($A308,Weighting!$D$26:$G$30,MATCH(Segmented!$D$282,Weighting!$E$26:$H$26,0)+1,FALSE)+VLOOKUP($B308&amp;$E$282&amp;$G308,$E$6:$U$275,H$279,FALSE)*VLOOKUP($A308,Weighting!$D$26:$G$30,MATCH(Segmented!$E$282,Weighting!$E$26:$H$26,0)+1,FALSE)</f>
        <v>352.06496377238204</v>
      </c>
      <c r="I308">
        <f t="shared" si="6"/>
        <v>45</v>
      </c>
      <c r="J308" s="31">
        <f>VLOOKUP($B308&amp;$C$282&amp;$G308,$E$6:$U$275,J$279,FALSE)*VLOOKUP($A308,Weighting!$D$26:$G$30,MATCH(Segmented!$C$282,Weighting!$E$26:$H$26,0)+1,FALSE)+VLOOKUP($B308&amp;$D$282&amp;$G308,$E$6:$U$275,J$279,FALSE)*VLOOKUP($A308,Weighting!$D$26:$G$30,MATCH(Segmented!$D$282,Weighting!$E$26:$H$26,0)+1,FALSE)+VLOOKUP($B308&amp;$E$282&amp;$G308,$E$6:$U$275,J$279,FALSE)*VLOOKUP($A308,Weighting!$D$26:$G$30,MATCH(Segmented!$E$282,Weighting!$E$26:$H$26,0)+1,FALSE)</f>
        <v>1370.7558864868229</v>
      </c>
      <c r="K308" s="31">
        <f>VLOOKUP($B308&amp;$C$282&amp;$G308,$E$6:$U$275,K$279,FALSE)*VLOOKUP($A308,Weighting!$D$26:$G$30,MATCH(Segmented!$C$282,Weighting!$E$26:$H$26,0)+1,FALSE)+VLOOKUP($B308&amp;$D$282&amp;$G308,$E$6:$U$275,K$279,FALSE)*VLOOKUP($A308,Weighting!$D$26:$G$30,MATCH(Segmented!$D$282,Weighting!$E$26:$H$26,0)+1,FALSE)+VLOOKUP($B308&amp;$E$282&amp;$G308,$E$6:$U$275,K$279,FALSE)*VLOOKUP($A308,Weighting!$D$26:$G$30,MATCH(Segmented!$E$282,Weighting!$E$26:$H$26,0)+1,FALSE)</f>
        <v>0</v>
      </c>
      <c r="L308" t="str">
        <f t="shared" si="7"/>
        <v>ResSpHtFAFZ2</v>
      </c>
      <c r="M308" s="31">
        <f>VLOOKUP($B308&amp;$C$282&amp;$G308,$E$6:$U$275,M$279,FALSE)*VLOOKUP($A308,Weighting!$D$26:$G$30,MATCH(Segmented!$C$282,Weighting!$E$26:$H$26,0)+1,FALSE)+VLOOKUP($B308&amp;$D$282&amp;$G308,$E$6:$U$275,M$279,FALSE)*VLOOKUP($A308,Weighting!$D$26:$G$30,MATCH(Segmented!$D$282,Weighting!$E$26:$H$26,0)+1,FALSE)+VLOOKUP($B308&amp;$E$282&amp;$G308,$E$6:$U$275,M$279,FALSE)*VLOOKUP($A308,Weighting!$D$26:$G$30,MATCH(Segmented!$E$282,Weighting!$E$26:$H$26,0)+1,FALSE)</f>
        <v>2.8081046191433794</v>
      </c>
      <c r="N308" s="31">
        <f>VLOOKUP($B308&amp;$C$282&amp;$G308,$E$6:$U$275,N$279,FALSE)*VLOOKUP($A308,Weighting!$D$26:$G$30,MATCH(Segmented!$C$282,Weighting!$E$26:$H$26,0)+1,FALSE)+VLOOKUP($B308&amp;$D$282&amp;$G308,$E$6:$U$275,N$279,FALSE)*VLOOKUP($A308,Weighting!$D$26:$G$30,MATCH(Segmented!$D$282,Weighting!$E$26:$H$26,0)+1,FALSE)+VLOOKUP($B308&amp;$E$282&amp;$G308,$E$6:$U$275,N$279,FALSE)*VLOOKUP($A308,Weighting!$D$26:$G$30,MATCH(Segmented!$E$282,Weighting!$E$26:$H$26,0)+1,FALSE)</f>
        <v>0</v>
      </c>
      <c r="O308">
        <f t="shared" si="8"/>
        <v>0</v>
      </c>
      <c r="P308" s="31">
        <f>VLOOKUP($B308&amp;$C$282&amp;$G308,$E$6:$U$275,P$279,FALSE)*VLOOKUP($A308,Weighting!$D$26:$G$30,MATCH(Segmented!$C$282,Weighting!$E$26:$H$26,0)+1,FALSE)+VLOOKUP($B308&amp;$D$282&amp;$G308,$E$6:$U$275,P$279,FALSE)*VLOOKUP($A308,Weighting!$D$26:$G$30,MATCH(Segmented!$D$282,Weighting!$E$26:$H$26,0)+1,FALSE)+VLOOKUP($B308&amp;$E$282&amp;$G308,$E$6:$U$275,P$279,FALSE)*VLOOKUP($A308,Weighting!$D$26:$G$30,MATCH(Segmented!$E$282,Weighting!$E$26:$H$26,0)+1,FALSE)</f>
        <v>0</v>
      </c>
      <c r="Q308">
        <f t="shared" si="9"/>
        <v>0</v>
      </c>
      <c r="R308" s="31">
        <f>VLOOKUP($B308&amp;$C$282&amp;$G308,$E$6:$U$275,R$279,FALSE)*VLOOKUP($A308,Weighting!$D$26:$G$30,MATCH(Segmented!$C$282,Weighting!$E$26:$H$26,0)+1,FALSE)+VLOOKUP($B308&amp;$D$282&amp;$G308,$E$6:$U$275,R$279,FALSE)*VLOOKUP($A308,Weighting!$D$26:$G$30,MATCH(Segmented!$D$282,Weighting!$E$26:$H$26,0)+1,FALSE)+VLOOKUP($B308&amp;$E$282&amp;$G308,$E$6:$U$275,R$279,FALSE)*VLOOKUP($A308,Weighting!$D$26:$G$30,MATCH(Segmented!$E$282,Weighting!$E$26:$H$26,0)+1,FALSE)</f>
        <v>0</v>
      </c>
      <c r="S308">
        <f t="shared" si="10"/>
        <v>0</v>
      </c>
      <c r="T308" s="31">
        <f>VLOOKUP($B308&amp;$C$282&amp;$G308,$E$6:$U$275,T$279,FALSE)*VLOOKUP($A308,Weighting!$D$26:$G$30,MATCH(Segmented!$C$282,Weighting!$E$26:$H$26,0)+1,FALSE)+VLOOKUP($B308&amp;$D$282&amp;$G308,$E$6:$U$275,T$279,FALSE)*VLOOKUP($A308,Weighting!$D$26:$G$30,MATCH(Segmented!$D$282,Weighting!$E$26:$H$26,0)+1,FALSE)+VLOOKUP($B308&amp;$E$282&amp;$G308,$E$6:$U$275,T$279,FALSE)*VLOOKUP($A308,Weighting!$D$26:$G$30,MATCH(Segmented!$E$282,Weighting!$E$26:$H$26,0)+1,FALSE)</f>
        <v>0</v>
      </c>
    </row>
    <row r="309" spans="1:20" ht="25.5">
      <c r="A309" t="s">
        <v>228</v>
      </c>
      <c r="B309" t="s">
        <v>1359</v>
      </c>
      <c r="F309" s="55" t="str">
        <f t="shared" si="11"/>
        <v>WINDOW CL22 Prime Window Replacement of Single Pane Base_Electric Zonal</v>
      </c>
      <c r="G309" s="53" t="s">
        <v>99</v>
      </c>
      <c r="H309" s="31">
        <f>VLOOKUP($B309&amp;$C$282&amp;$G309,$E$6:$U$275,H$279,FALSE)*VLOOKUP($A309,Weighting!$D$26:$G$30,MATCH(Segmented!$C$282,Weighting!$E$26:$H$26,0)+1,FALSE)+VLOOKUP($B309&amp;$D$282&amp;$G309,$E$6:$U$275,H$279,FALSE)*VLOOKUP($A309,Weighting!$D$26:$G$30,MATCH(Segmented!$D$282,Weighting!$E$26:$H$26,0)+1,FALSE)+VLOOKUP($B309&amp;$E$282&amp;$G309,$E$6:$U$275,H$279,FALSE)*VLOOKUP($A309,Weighting!$D$26:$G$30,MATCH(Segmented!$E$282,Weighting!$E$26:$H$26,0)+1,FALSE)</f>
        <v>715.78848940991941</v>
      </c>
      <c r="I309">
        <f t="shared" si="6"/>
        <v>45</v>
      </c>
      <c r="J309" s="31">
        <f>VLOOKUP($B309&amp;$C$282&amp;$G309,$E$6:$U$275,J$279,FALSE)*VLOOKUP($A309,Weighting!$D$26:$G$30,MATCH(Segmented!$C$282,Weighting!$E$26:$H$26,0)+1,FALSE)+VLOOKUP($B309&amp;$D$282&amp;$G309,$E$6:$U$275,J$279,FALSE)*VLOOKUP($A309,Weighting!$D$26:$G$30,MATCH(Segmented!$D$282,Weighting!$E$26:$H$26,0)+1,FALSE)+VLOOKUP($B309&amp;$E$282&amp;$G309,$E$6:$U$275,J$279,FALSE)*VLOOKUP($A309,Weighting!$D$26:$G$30,MATCH(Segmented!$E$282,Weighting!$E$26:$H$26,0)+1,FALSE)</f>
        <v>1614.3440015787794</v>
      </c>
      <c r="K309" s="31">
        <f>VLOOKUP($B309&amp;$C$282&amp;$G309,$E$6:$U$275,K$279,FALSE)*VLOOKUP($A309,Weighting!$D$26:$G$30,MATCH(Segmented!$C$282,Weighting!$E$26:$H$26,0)+1,FALSE)+VLOOKUP($B309&amp;$D$282&amp;$G309,$E$6:$U$275,K$279,FALSE)*VLOOKUP($A309,Weighting!$D$26:$G$30,MATCH(Segmented!$D$282,Weighting!$E$26:$H$26,0)+1,FALSE)+VLOOKUP($B309&amp;$E$282&amp;$G309,$E$6:$U$275,K$279,FALSE)*VLOOKUP($A309,Weighting!$D$26:$G$30,MATCH(Segmented!$E$282,Weighting!$E$26:$H$26,0)+1,FALSE)</f>
        <v>0</v>
      </c>
      <c r="L309" t="str">
        <f t="shared" si="7"/>
        <v>ResSpHtFAFZ2</v>
      </c>
      <c r="M309" s="31">
        <f>VLOOKUP($B309&amp;$C$282&amp;$G309,$E$6:$U$275,M$279,FALSE)*VLOOKUP($A309,Weighting!$D$26:$G$30,MATCH(Segmented!$C$282,Weighting!$E$26:$H$26,0)+1,FALSE)+VLOOKUP($B309&amp;$D$282&amp;$G309,$E$6:$U$275,M$279,FALSE)*VLOOKUP($A309,Weighting!$D$26:$G$30,MATCH(Segmented!$D$282,Weighting!$E$26:$H$26,0)+1,FALSE)+VLOOKUP($B309&amp;$E$282&amp;$G309,$E$6:$U$275,M$279,FALSE)*VLOOKUP($A309,Weighting!$D$26:$G$30,MATCH(Segmented!$E$282,Weighting!$E$26:$H$26,0)+1,FALSE)</f>
        <v>5.7650572046379827</v>
      </c>
      <c r="N309" s="31">
        <f>VLOOKUP($B309&amp;$C$282&amp;$G309,$E$6:$U$275,N$279,FALSE)*VLOOKUP($A309,Weighting!$D$26:$G$30,MATCH(Segmented!$C$282,Weighting!$E$26:$H$26,0)+1,FALSE)+VLOOKUP($B309&amp;$D$282&amp;$G309,$E$6:$U$275,N$279,FALSE)*VLOOKUP($A309,Weighting!$D$26:$G$30,MATCH(Segmented!$D$282,Weighting!$E$26:$H$26,0)+1,FALSE)+VLOOKUP($B309&amp;$E$282&amp;$G309,$E$6:$U$275,N$279,FALSE)*VLOOKUP($A309,Weighting!$D$26:$G$30,MATCH(Segmented!$E$282,Weighting!$E$26:$H$26,0)+1,FALSE)</f>
        <v>0</v>
      </c>
      <c r="O309">
        <f t="shared" si="8"/>
        <v>0</v>
      </c>
      <c r="P309" s="31">
        <f>VLOOKUP($B309&amp;$C$282&amp;$G309,$E$6:$U$275,P$279,FALSE)*VLOOKUP($A309,Weighting!$D$26:$G$30,MATCH(Segmented!$C$282,Weighting!$E$26:$H$26,0)+1,FALSE)+VLOOKUP($B309&amp;$D$282&amp;$G309,$E$6:$U$275,P$279,FALSE)*VLOOKUP($A309,Weighting!$D$26:$G$30,MATCH(Segmented!$D$282,Weighting!$E$26:$H$26,0)+1,FALSE)+VLOOKUP($B309&amp;$E$282&amp;$G309,$E$6:$U$275,P$279,FALSE)*VLOOKUP($A309,Weighting!$D$26:$G$30,MATCH(Segmented!$E$282,Weighting!$E$26:$H$26,0)+1,FALSE)</f>
        <v>0</v>
      </c>
      <c r="Q309">
        <f t="shared" si="9"/>
        <v>0</v>
      </c>
      <c r="R309" s="31">
        <f>VLOOKUP($B309&amp;$C$282&amp;$G309,$E$6:$U$275,R$279,FALSE)*VLOOKUP($A309,Weighting!$D$26:$G$30,MATCH(Segmented!$C$282,Weighting!$E$26:$H$26,0)+1,FALSE)+VLOOKUP($B309&amp;$D$282&amp;$G309,$E$6:$U$275,R$279,FALSE)*VLOOKUP($A309,Weighting!$D$26:$G$30,MATCH(Segmented!$D$282,Weighting!$E$26:$H$26,0)+1,FALSE)+VLOOKUP($B309&amp;$E$282&amp;$G309,$E$6:$U$275,R$279,FALSE)*VLOOKUP($A309,Weighting!$D$26:$G$30,MATCH(Segmented!$E$282,Weighting!$E$26:$H$26,0)+1,FALSE)</f>
        <v>0</v>
      </c>
      <c r="S309">
        <f t="shared" si="10"/>
        <v>0</v>
      </c>
      <c r="T309" s="31">
        <f>VLOOKUP($B309&amp;$C$282&amp;$G309,$E$6:$U$275,T$279,FALSE)*VLOOKUP($A309,Weighting!$D$26:$G$30,MATCH(Segmented!$C$282,Weighting!$E$26:$H$26,0)+1,FALSE)+VLOOKUP($B309&amp;$D$282&amp;$G309,$E$6:$U$275,T$279,FALSE)*VLOOKUP($A309,Weighting!$D$26:$G$30,MATCH(Segmented!$D$282,Weighting!$E$26:$H$26,0)+1,FALSE)+VLOOKUP($B309&amp;$E$282&amp;$G309,$E$6:$U$275,T$279,FALSE)*VLOOKUP($A309,Weighting!$D$26:$G$30,MATCH(Segmented!$E$282,Weighting!$E$26:$H$26,0)+1,FALSE)</f>
        <v>0</v>
      </c>
    </row>
    <row r="310" spans="1:20" ht="25.5">
      <c r="A310" t="s">
        <v>228</v>
      </c>
      <c r="B310" t="s">
        <v>1359</v>
      </c>
      <c r="F310" s="55" t="str">
        <f t="shared" si="11"/>
        <v>WINDOW CL22 Prime Window Replacement of Double Pane Base_Electric Zonal</v>
      </c>
      <c r="G310" s="53" t="s">
        <v>101</v>
      </c>
      <c r="H310" s="31">
        <f>VLOOKUP($B310&amp;$C$282&amp;$G310,$E$6:$U$275,H$279,FALSE)*VLOOKUP($A310,Weighting!$D$26:$G$30,MATCH(Segmented!$C$282,Weighting!$E$26:$H$26,0)+1,FALSE)+VLOOKUP($B310&amp;$D$282&amp;$G310,$E$6:$U$275,H$279,FALSE)*VLOOKUP($A310,Weighting!$D$26:$G$30,MATCH(Segmented!$D$282,Weighting!$E$26:$H$26,0)+1,FALSE)+VLOOKUP($B310&amp;$E$282&amp;$G310,$E$6:$U$275,H$279,FALSE)*VLOOKUP($A310,Weighting!$D$26:$G$30,MATCH(Segmented!$E$282,Weighting!$E$26:$H$26,0)+1,FALSE)</f>
        <v>412.15597645124757</v>
      </c>
      <c r="I310">
        <f t="shared" si="6"/>
        <v>45</v>
      </c>
      <c r="J310" s="31">
        <f>VLOOKUP($B310&amp;$C$282&amp;$G310,$E$6:$U$275,J$279,FALSE)*VLOOKUP($A310,Weighting!$D$26:$G$30,MATCH(Segmented!$C$282,Weighting!$E$26:$H$26,0)+1,FALSE)+VLOOKUP($B310&amp;$D$282&amp;$G310,$E$6:$U$275,J$279,FALSE)*VLOOKUP($A310,Weighting!$D$26:$G$30,MATCH(Segmented!$D$282,Weighting!$E$26:$H$26,0)+1,FALSE)+VLOOKUP($B310&amp;$E$282&amp;$G310,$E$6:$U$275,J$279,FALSE)*VLOOKUP($A310,Weighting!$D$26:$G$30,MATCH(Segmented!$E$282,Weighting!$E$26:$H$26,0)+1,FALSE)</f>
        <v>1614.3440015787794</v>
      </c>
      <c r="K310" s="31">
        <f>VLOOKUP($B310&amp;$C$282&amp;$G310,$E$6:$U$275,K$279,FALSE)*VLOOKUP($A310,Weighting!$D$26:$G$30,MATCH(Segmented!$C$282,Weighting!$E$26:$H$26,0)+1,FALSE)+VLOOKUP($B310&amp;$D$282&amp;$G310,$E$6:$U$275,K$279,FALSE)*VLOOKUP($A310,Weighting!$D$26:$G$30,MATCH(Segmented!$D$282,Weighting!$E$26:$H$26,0)+1,FALSE)+VLOOKUP($B310&amp;$E$282&amp;$G310,$E$6:$U$275,K$279,FALSE)*VLOOKUP($A310,Weighting!$D$26:$G$30,MATCH(Segmented!$E$282,Weighting!$E$26:$H$26,0)+1,FALSE)</f>
        <v>0</v>
      </c>
      <c r="L310" t="str">
        <f t="shared" si="7"/>
        <v>ResSpHtFAFZ2</v>
      </c>
      <c r="M310" s="31">
        <f>VLOOKUP($B310&amp;$C$282&amp;$G310,$E$6:$U$275,M$279,FALSE)*VLOOKUP($A310,Weighting!$D$26:$G$30,MATCH(Segmented!$C$282,Weighting!$E$26:$H$26,0)+1,FALSE)+VLOOKUP($B310&amp;$D$282&amp;$G310,$E$6:$U$275,M$279,FALSE)*VLOOKUP($A310,Weighting!$D$26:$G$30,MATCH(Segmented!$D$282,Weighting!$E$26:$H$26,0)+1,FALSE)+VLOOKUP($B310&amp;$E$282&amp;$G310,$E$6:$U$275,M$279,FALSE)*VLOOKUP($A310,Weighting!$D$26:$G$30,MATCH(Segmented!$E$282,Weighting!$E$26:$H$26,0)+1,FALSE)</f>
        <v>3.426854908192754</v>
      </c>
      <c r="N310" s="31">
        <f>VLOOKUP($B310&amp;$C$282&amp;$G310,$E$6:$U$275,N$279,FALSE)*VLOOKUP($A310,Weighting!$D$26:$G$30,MATCH(Segmented!$C$282,Weighting!$E$26:$H$26,0)+1,FALSE)+VLOOKUP($B310&amp;$D$282&amp;$G310,$E$6:$U$275,N$279,FALSE)*VLOOKUP($A310,Weighting!$D$26:$G$30,MATCH(Segmented!$D$282,Weighting!$E$26:$H$26,0)+1,FALSE)+VLOOKUP($B310&amp;$E$282&amp;$G310,$E$6:$U$275,N$279,FALSE)*VLOOKUP($A310,Weighting!$D$26:$G$30,MATCH(Segmented!$E$282,Weighting!$E$26:$H$26,0)+1,FALSE)</f>
        <v>0</v>
      </c>
      <c r="O310">
        <f t="shared" si="8"/>
        <v>0</v>
      </c>
      <c r="P310" s="31">
        <f>VLOOKUP($B310&amp;$C$282&amp;$G310,$E$6:$U$275,P$279,FALSE)*VLOOKUP($A310,Weighting!$D$26:$G$30,MATCH(Segmented!$C$282,Weighting!$E$26:$H$26,0)+1,FALSE)+VLOOKUP($B310&amp;$D$282&amp;$G310,$E$6:$U$275,P$279,FALSE)*VLOOKUP($A310,Weighting!$D$26:$G$30,MATCH(Segmented!$D$282,Weighting!$E$26:$H$26,0)+1,FALSE)+VLOOKUP($B310&amp;$E$282&amp;$G310,$E$6:$U$275,P$279,FALSE)*VLOOKUP($A310,Weighting!$D$26:$G$30,MATCH(Segmented!$E$282,Weighting!$E$26:$H$26,0)+1,FALSE)</f>
        <v>0</v>
      </c>
      <c r="Q310">
        <f t="shared" si="9"/>
        <v>0</v>
      </c>
      <c r="R310" s="31">
        <f>VLOOKUP($B310&amp;$C$282&amp;$G310,$E$6:$U$275,R$279,FALSE)*VLOOKUP($A310,Weighting!$D$26:$G$30,MATCH(Segmented!$C$282,Weighting!$E$26:$H$26,0)+1,FALSE)+VLOOKUP($B310&amp;$D$282&amp;$G310,$E$6:$U$275,R$279,FALSE)*VLOOKUP($A310,Weighting!$D$26:$G$30,MATCH(Segmented!$D$282,Weighting!$E$26:$H$26,0)+1,FALSE)+VLOOKUP($B310&amp;$E$282&amp;$G310,$E$6:$U$275,R$279,FALSE)*VLOOKUP($A310,Weighting!$D$26:$G$30,MATCH(Segmented!$E$282,Weighting!$E$26:$H$26,0)+1,FALSE)</f>
        <v>0</v>
      </c>
      <c r="S310">
        <f t="shared" si="10"/>
        <v>0</v>
      </c>
      <c r="T310" s="31">
        <f>VLOOKUP($B310&amp;$C$282&amp;$G310,$E$6:$U$275,T$279,FALSE)*VLOOKUP($A310,Weighting!$D$26:$G$30,MATCH(Segmented!$C$282,Weighting!$E$26:$H$26,0)+1,FALSE)+VLOOKUP($B310&amp;$D$282&amp;$G310,$E$6:$U$275,T$279,FALSE)*VLOOKUP($A310,Weighting!$D$26:$G$30,MATCH(Segmented!$D$282,Weighting!$E$26:$H$26,0)+1,FALSE)+VLOOKUP($B310&amp;$E$282&amp;$G310,$E$6:$U$275,T$279,FALSE)*VLOOKUP($A310,Weighting!$D$26:$G$30,MATCH(Segmented!$E$282,Weighting!$E$26:$H$26,0)+1,FALSE)</f>
        <v>0</v>
      </c>
    </row>
    <row r="311" spans="1:20">
      <c r="A311" t="s">
        <v>228</v>
      </c>
      <c r="B311" t="s">
        <v>1359</v>
      </c>
      <c r="F311" s="55" t="str">
        <f t="shared" si="11"/>
        <v>CFM50 Infiltration Reduction_Electric Zonal</v>
      </c>
      <c r="G311" s="305" t="s">
        <v>1362</v>
      </c>
      <c r="H311" s="31">
        <f>VLOOKUP($B311&amp;$C$282&amp;$G311,$E$6:$U$275,H$279,FALSE)*VLOOKUP($A311,Weighting!$D$26:$G$30,MATCH(Segmented!$C$282,Weighting!$E$26:$H$26,0)+1,FALSE)+VLOOKUP($B311&amp;$D$282&amp;$G311,$E$6:$U$275,H$279,FALSE)*VLOOKUP($A311,Weighting!$D$26:$G$30,MATCH(Segmented!$D$282,Weighting!$E$26:$H$26,0)+1,FALSE)+VLOOKUP($B311&amp;$E$282&amp;$G311,$E$6:$U$275,H$279,FALSE)*VLOOKUP($A311,Weighting!$D$26:$G$30,MATCH(Segmented!$E$282,Weighting!$E$26:$H$26,0)+1,FALSE)</f>
        <v>400.68435275728524</v>
      </c>
      <c r="I311">
        <f t="shared" si="6"/>
        <v>15</v>
      </c>
      <c r="J311" s="31">
        <f>VLOOKUP($B311&amp;$C$282&amp;$G311,$E$6:$U$275,J$279,FALSE)*VLOOKUP($A311,Weighting!$D$26:$G$30,MATCH(Segmented!$C$282,Weighting!$E$26:$H$26,0)+1,FALSE)+VLOOKUP($B311&amp;$D$282&amp;$G311,$E$6:$U$275,J$279,FALSE)*VLOOKUP($A311,Weighting!$D$26:$G$30,MATCH(Segmented!$D$282,Weighting!$E$26:$H$26,0)+1,FALSE)+VLOOKUP($B311&amp;$E$282&amp;$G311,$E$6:$U$275,J$279,FALSE)*VLOOKUP($A311,Weighting!$D$26:$G$30,MATCH(Segmented!$E$282,Weighting!$E$26:$H$26,0)+1,FALSE)</f>
        <v>548.47810817052937</v>
      </c>
      <c r="K311" s="31">
        <f>VLOOKUP($B311&amp;$C$282&amp;$G311,$E$6:$U$275,K$279,FALSE)*VLOOKUP($A311,Weighting!$D$26:$G$30,MATCH(Segmented!$C$282,Weighting!$E$26:$H$26,0)+1,FALSE)+VLOOKUP($B311&amp;$D$282&amp;$G311,$E$6:$U$275,K$279,FALSE)*VLOOKUP($A311,Weighting!$D$26:$G$30,MATCH(Segmented!$D$282,Weighting!$E$26:$H$26,0)+1,FALSE)+VLOOKUP($B311&amp;$E$282&amp;$G311,$E$6:$U$275,K$279,FALSE)*VLOOKUP($A311,Weighting!$D$26:$G$30,MATCH(Segmented!$E$282,Weighting!$E$26:$H$26,0)+1,FALSE)</f>
        <v>0</v>
      </c>
      <c r="L311" t="str">
        <f t="shared" si="7"/>
        <v>ResSpHtFAFZ2</v>
      </c>
      <c r="M311" s="31">
        <f>VLOOKUP($B311&amp;$C$282&amp;$G311,$E$6:$U$275,M$279,FALSE)*VLOOKUP($A311,Weighting!$D$26:$G$30,MATCH(Segmented!$C$282,Weighting!$E$26:$H$26,0)+1,FALSE)+VLOOKUP($B311&amp;$D$282&amp;$G311,$E$6:$U$275,M$279,FALSE)*VLOOKUP($A311,Weighting!$D$26:$G$30,MATCH(Segmented!$D$282,Weighting!$E$26:$H$26,0)+1,FALSE)+VLOOKUP($B311&amp;$E$282&amp;$G311,$E$6:$U$275,M$279,FALSE)*VLOOKUP($A311,Weighting!$D$26:$G$30,MATCH(Segmented!$E$282,Weighting!$E$26:$H$26,0)+1,FALSE)</f>
        <v>3.5592063412578261</v>
      </c>
      <c r="N311" s="31">
        <f>VLOOKUP($B311&amp;$C$282&amp;$G311,$E$6:$U$275,N$279,FALSE)*VLOOKUP($A311,Weighting!$D$26:$G$30,MATCH(Segmented!$C$282,Weighting!$E$26:$H$26,0)+1,FALSE)+VLOOKUP($B311&amp;$D$282&amp;$G311,$E$6:$U$275,N$279,FALSE)*VLOOKUP($A311,Weighting!$D$26:$G$30,MATCH(Segmented!$D$282,Weighting!$E$26:$H$26,0)+1,FALSE)+VLOOKUP($B311&amp;$E$282&amp;$G311,$E$6:$U$275,N$279,FALSE)*VLOOKUP($A311,Weighting!$D$26:$G$30,MATCH(Segmented!$E$282,Weighting!$E$26:$H$26,0)+1,FALSE)</f>
        <v>0</v>
      </c>
      <c r="O311">
        <f t="shared" si="8"/>
        <v>0</v>
      </c>
      <c r="P311" s="31">
        <f>VLOOKUP($B311&amp;$C$282&amp;$G311,$E$6:$U$275,P$279,FALSE)*VLOOKUP($A311,Weighting!$D$26:$G$30,MATCH(Segmented!$C$282,Weighting!$E$26:$H$26,0)+1,FALSE)+VLOOKUP($B311&amp;$D$282&amp;$G311,$E$6:$U$275,P$279,FALSE)*VLOOKUP($A311,Weighting!$D$26:$G$30,MATCH(Segmented!$D$282,Weighting!$E$26:$H$26,0)+1,FALSE)+VLOOKUP($B311&amp;$E$282&amp;$G311,$E$6:$U$275,P$279,FALSE)*VLOOKUP($A311,Weighting!$D$26:$G$30,MATCH(Segmented!$E$282,Weighting!$E$26:$H$26,0)+1,FALSE)</f>
        <v>0</v>
      </c>
      <c r="Q311">
        <f t="shared" si="9"/>
        <v>0</v>
      </c>
      <c r="R311" s="31">
        <f>VLOOKUP($B311&amp;$C$282&amp;$G311,$E$6:$U$275,R$279,FALSE)*VLOOKUP($A311,Weighting!$D$26:$G$30,MATCH(Segmented!$C$282,Weighting!$E$26:$H$26,0)+1,FALSE)+VLOOKUP($B311&amp;$D$282&amp;$G311,$E$6:$U$275,R$279,FALSE)*VLOOKUP($A311,Weighting!$D$26:$G$30,MATCH(Segmented!$D$282,Weighting!$E$26:$H$26,0)+1,FALSE)+VLOOKUP($B311&amp;$E$282&amp;$G311,$E$6:$U$275,R$279,FALSE)*VLOOKUP($A311,Weighting!$D$26:$G$30,MATCH(Segmented!$E$282,Weighting!$E$26:$H$26,0)+1,FALSE)</f>
        <v>0</v>
      </c>
      <c r="S311">
        <f t="shared" si="10"/>
        <v>0</v>
      </c>
      <c r="T311" s="31">
        <f>VLOOKUP($B311&amp;$C$282&amp;$G311,$E$6:$U$275,T$279,FALSE)*VLOOKUP($A311,Weighting!$D$26:$G$30,MATCH(Segmented!$C$282,Weighting!$E$26:$H$26,0)+1,FALSE)+VLOOKUP($B311&amp;$D$282&amp;$G311,$E$6:$U$275,T$279,FALSE)*VLOOKUP($A311,Weighting!$D$26:$G$30,MATCH(Segmented!$D$282,Weighting!$E$26:$H$26,0)+1,FALSE)+VLOOKUP($B311&amp;$E$282&amp;$G311,$E$6:$U$275,T$279,FALSE)*VLOOKUP($A311,Weighting!$D$26:$G$30,MATCH(Segmented!$E$282,Weighting!$E$26:$H$26,0)+1,FALSE)</f>
        <v>0</v>
      </c>
    </row>
    <row r="312" spans="1:20">
      <c r="A312" t="s">
        <v>229</v>
      </c>
      <c r="B312" t="s">
        <v>229</v>
      </c>
      <c r="F312" s="55" t="str">
        <f t="shared" si="11"/>
        <v>ATTIC R0 - R38_Heat Pump</v>
      </c>
      <c r="G312" s="53" t="s">
        <v>68</v>
      </c>
      <c r="H312" s="31">
        <f>VLOOKUP($B312&amp;$C$282&amp;$G312,$E$6:$U$275,H$279,FALSE)*VLOOKUP($A312,Weighting!$D$26:$G$30,MATCH(Segmented!$C$282,Weighting!$E$26:$H$26,0)+1,FALSE)+VLOOKUP($B312&amp;$D$282&amp;$G312,$E$6:$U$275,H$279,FALSE)*VLOOKUP($A312,Weighting!$D$26:$G$30,MATCH(Segmented!$D$282,Weighting!$E$26:$H$26,0)+1,FALSE)+VLOOKUP($B312&amp;$E$282&amp;$G312,$E$6:$U$275,H$279,FALSE)*VLOOKUP($A312,Weighting!$D$26:$G$30,MATCH(Segmented!$E$282,Weighting!$E$26:$H$26,0)+1,FALSE)</f>
        <v>681.23970523263847</v>
      </c>
      <c r="I312">
        <f t="shared" si="6"/>
        <v>45</v>
      </c>
      <c r="J312" s="31">
        <f>VLOOKUP($B312&amp;$C$282&amp;$G312,$E$6:$U$275,J$279,FALSE)*VLOOKUP($A312,Weighting!$D$26:$G$30,MATCH(Segmented!$C$282,Weighting!$E$26:$H$26,0)+1,FALSE)+VLOOKUP($B312&amp;$D$282&amp;$G312,$E$6:$U$275,J$279,FALSE)*VLOOKUP($A312,Weighting!$D$26:$G$30,MATCH(Segmented!$D$282,Weighting!$E$26:$H$26,0)+1,FALSE)+VLOOKUP($B312&amp;$E$282&amp;$G312,$E$6:$U$275,J$279,FALSE)*VLOOKUP($A312,Weighting!$D$26:$G$30,MATCH(Segmented!$E$282,Weighting!$E$26:$H$26,0)+1,FALSE)</f>
        <v>595.71787033770602</v>
      </c>
      <c r="K312" s="31">
        <f>VLOOKUP($B312&amp;$C$282&amp;$G312,$E$6:$U$275,K$279,FALSE)*VLOOKUP($A312,Weighting!$D$26:$G$30,MATCH(Segmented!$C$282,Weighting!$E$26:$H$26,0)+1,FALSE)+VLOOKUP($B312&amp;$D$282&amp;$G312,$E$6:$U$275,K$279,FALSE)*VLOOKUP($A312,Weighting!$D$26:$G$30,MATCH(Segmented!$D$282,Weighting!$E$26:$H$26,0)+1,FALSE)+VLOOKUP($B312&amp;$E$282&amp;$G312,$E$6:$U$275,K$279,FALSE)*VLOOKUP($A312,Weighting!$D$26:$G$30,MATCH(Segmented!$E$282,Weighting!$E$26:$H$26,0)+1,FALSE)</f>
        <v>0</v>
      </c>
      <c r="L312" t="str">
        <f t="shared" si="7"/>
        <v>ResSpHtFAFZ3</v>
      </c>
      <c r="M312" s="31">
        <f>VLOOKUP($B312&amp;$C$282&amp;$G312,$E$6:$U$275,M$279,FALSE)*VLOOKUP($A312,Weighting!$D$26:$G$30,MATCH(Segmented!$C$282,Weighting!$E$26:$H$26,0)+1,FALSE)+VLOOKUP($B312&amp;$D$282&amp;$G312,$E$6:$U$275,M$279,FALSE)*VLOOKUP($A312,Weighting!$D$26:$G$30,MATCH(Segmented!$D$282,Weighting!$E$26:$H$26,0)+1,FALSE)+VLOOKUP($B312&amp;$E$282&amp;$G312,$E$6:$U$275,M$279,FALSE)*VLOOKUP($A312,Weighting!$D$26:$G$30,MATCH(Segmented!$E$282,Weighting!$E$26:$H$26,0)+1,FALSE)</f>
        <v>2.8459984927732611</v>
      </c>
      <c r="N312" s="31">
        <f>VLOOKUP($B312&amp;$C$282&amp;$G312,$E$6:$U$275,N$279,FALSE)*VLOOKUP($A312,Weighting!$D$26:$G$30,MATCH(Segmented!$C$282,Weighting!$E$26:$H$26,0)+1,FALSE)+VLOOKUP($B312&amp;$D$282&amp;$G312,$E$6:$U$275,N$279,FALSE)*VLOOKUP($A312,Weighting!$D$26:$G$30,MATCH(Segmented!$D$282,Weighting!$E$26:$H$26,0)+1,FALSE)+VLOOKUP($B312&amp;$E$282&amp;$G312,$E$6:$U$275,N$279,FALSE)*VLOOKUP($A312,Weighting!$D$26:$G$30,MATCH(Segmented!$E$282,Weighting!$E$26:$H$26,0)+1,FALSE)</f>
        <v>0</v>
      </c>
      <c r="O312">
        <f t="shared" si="8"/>
        <v>0</v>
      </c>
      <c r="P312" s="31">
        <f>VLOOKUP($B312&amp;$C$282&amp;$G312,$E$6:$U$275,P$279,FALSE)*VLOOKUP($A312,Weighting!$D$26:$G$30,MATCH(Segmented!$C$282,Weighting!$E$26:$H$26,0)+1,FALSE)+VLOOKUP($B312&amp;$D$282&amp;$G312,$E$6:$U$275,P$279,FALSE)*VLOOKUP($A312,Weighting!$D$26:$G$30,MATCH(Segmented!$D$282,Weighting!$E$26:$H$26,0)+1,FALSE)+VLOOKUP($B312&amp;$E$282&amp;$G312,$E$6:$U$275,P$279,FALSE)*VLOOKUP($A312,Weighting!$D$26:$G$30,MATCH(Segmented!$E$282,Weighting!$E$26:$H$26,0)+1,FALSE)</f>
        <v>0</v>
      </c>
      <c r="Q312">
        <f t="shared" si="9"/>
        <v>0</v>
      </c>
      <c r="R312" s="31">
        <f>VLOOKUP($B312&amp;$C$282&amp;$G312,$E$6:$U$275,R$279,FALSE)*VLOOKUP($A312,Weighting!$D$26:$G$30,MATCH(Segmented!$C$282,Weighting!$E$26:$H$26,0)+1,FALSE)+VLOOKUP($B312&amp;$D$282&amp;$G312,$E$6:$U$275,R$279,FALSE)*VLOOKUP($A312,Weighting!$D$26:$G$30,MATCH(Segmented!$D$282,Weighting!$E$26:$H$26,0)+1,FALSE)+VLOOKUP($B312&amp;$E$282&amp;$G312,$E$6:$U$275,R$279,FALSE)*VLOOKUP($A312,Weighting!$D$26:$G$30,MATCH(Segmented!$E$282,Weighting!$E$26:$H$26,0)+1,FALSE)</f>
        <v>0</v>
      </c>
      <c r="S312">
        <f t="shared" si="10"/>
        <v>0</v>
      </c>
      <c r="T312" s="31">
        <f>VLOOKUP($B312&amp;$C$282&amp;$G312,$E$6:$U$275,T$279,FALSE)*VLOOKUP($A312,Weighting!$D$26:$G$30,MATCH(Segmented!$C$282,Weighting!$E$26:$H$26,0)+1,FALSE)+VLOOKUP($B312&amp;$D$282&amp;$G312,$E$6:$U$275,T$279,FALSE)*VLOOKUP($A312,Weighting!$D$26:$G$30,MATCH(Segmented!$D$282,Weighting!$E$26:$H$26,0)+1,FALSE)+VLOOKUP($B312&amp;$E$282&amp;$G312,$E$6:$U$275,T$279,FALSE)*VLOOKUP($A312,Weighting!$D$26:$G$30,MATCH(Segmented!$E$282,Weighting!$E$26:$H$26,0)+1,FALSE)</f>
        <v>0</v>
      </c>
    </row>
    <row r="313" spans="1:20">
      <c r="A313" t="s">
        <v>229</v>
      </c>
      <c r="B313" t="s">
        <v>229</v>
      </c>
      <c r="F313" s="55" t="str">
        <f t="shared" si="11"/>
        <v>ATTIC R0 - R49_Heat Pump</v>
      </c>
      <c r="G313" s="53" t="s">
        <v>71</v>
      </c>
      <c r="H313" s="31">
        <f>VLOOKUP($B313&amp;$C$282&amp;$G313,$E$6:$U$275,H$279,FALSE)*VLOOKUP($A313,Weighting!$D$26:$G$30,MATCH(Segmented!$C$282,Weighting!$E$26:$H$26,0)+1,FALSE)+VLOOKUP($B313&amp;$D$282&amp;$G313,$E$6:$U$275,H$279,FALSE)*VLOOKUP($A313,Weighting!$D$26:$G$30,MATCH(Segmented!$D$282,Weighting!$E$26:$H$26,0)+1,FALSE)+VLOOKUP($B313&amp;$E$282&amp;$G313,$E$6:$U$275,H$279,FALSE)*VLOOKUP($A313,Weighting!$D$26:$G$30,MATCH(Segmented!$E$282,Weighting!$E$26:$H$26,0)+1,FALSE)</f>
        <v>690.44069557456953</v>
      </c>
      <c r="I313">
        <f t="shared" si="6"/>
        <v>45</v>
      </c>
      <c r="J313" s="31">
        <f>VLOOKUP($B313&amp;$C$282&amp;$G313,$E$6:$U$275,J$279,FALSE)*VLOOKUP($A313,Weighting!$D$26:$G$30,MATCH(Segmented!$C$282,Weighting!$E$26:$H$26,0)+1,FALSE)+VLOOKUP($B313&amp;$D$282&amp;$G313,$E$6:$U$275,J$279,FALSE)*VLOOKUP($A313,Weighting!$D$26:$G$30,MATCH(Segmented!$D$282,Weighting!$E$26:$H$26,0)+1,FALSE)+VLOOKUP($B313&amp;$E$282&amp;$G313,$E$6:$U$275,J$279,FALSE)*VLOOKUP($A313,Weighting!$D$26:$G$30,MATCH(Segmented!$E$282,Weighting!$E$26:$H$26,0)+1,FALSE)</f>
        <v>680.29789045028565</v>
      </c>
      <c r="K313" s="31">
        <f>VLOOKUP($B313&amp;$C$282&amp;$G313,$E$6:$U$275,K$279,FALSE)*VLOOKUP($A313,Weighting!$D$26:$G$30,MATCH(Segmented!$C$282,Weighting!$E$26:$H$26,0)+1,FALSE)+VLOOKUP($B313&amp;$D$282&amp;$G313,$E$6:$U$275,K$279,FALSE)*VLOOKUP($A313,Weighting!$D$26:$G$30,MATCH(Segmented!$D$282,Weighting!$E$26:$H$26,0)+1,FALSE)+VLOOKUP($B313&amp;$E$282&amp;$G313,$E$6:$U$275,K$279,FALSE)*VLOOKUP($A313,Weighting!$D$26:$G$30,MATCH(Segmented!$E$282,Weighting!$E$26:$H$26,0)+1,FALSE)</f>
        <v>0</v>
      </c>
      <c r="L313" t="str">
        <f t="shared" si="7"/>
        <v>ResSpHtFAFZ3</v>
      </c>
      <c r="M313" s="31">
        <f>VLOOKUP($B313&amp;$C$282&amp;$G313,$E$6:$U$275,M$279,FALSE)*VLOOKUP($A313,Weighting!$D$26:$G$30,MATCH(Segmented!$C$282,Weighting!$E$26:$H$26,0)+1,FALSE)+VLOOKUP($B313&amp;$D$282&amp;$G313,$E$6:$U$275,M$279,FALSE)*VLOOKUP($A313,Weighting!$D$26:$G$30,MATCH(Segmented!$D$282,Weighting!$E$26:$H$26,0)+1,FALSE)+VLOOKUP($B313&amp;$E$282&amp;$G313,$E$6:$U$275,M$279,FALSE)*VLOOKUP($A313,Weighting!$D$26:$G$30,MATCH(Segmented!$E$282,Weighting!$E$26:$H$26,0)+1,FALSE)</f>
        <v>2.9435658809228014</v>
      </c>
      <c r="N313" s="31">
        <f>VLOOKUP($B313&amp;$C$282&amp;$G313,$E$6:$U$275,N$279,FALSE)*VLOOKUP($A313,Weighting!$D$26:$G$30,MATCH(Segmented!$C$282,Weighting!$E$26:$H$26,0)+1,FALSE)+VLOOKUP($B313&amp;$D$282&amp;$G313,$E$6:$U$275,N$279,FALSE)*VLOOKUP($A313,Weighting!$D$26:$G$30,MATCH(Segmented!$D$282,Weighting!$E$26:$H$26,0)+1,FALSE)+VLOOKUP($B313&amp;$E$282&amp;$G313,$E$6:$U$275,N$279,FALSE)*VLOOKUP($A313,Weighting!$D$26:$G$30,MATCH(Segmented!$E$282,Weighting!$E$26:$H$26,0)+1,FALSE)</f>
        <v>0</v>
      </c>
      <c r="O313">
        <f t="shared" si="8"/>
        <v>0</v>
      </c>
      <c r="P313" s="31">
        <f>VLOOKUP($B313&amp;$C$282&amp;$G313,$E$6:$U$275,P$279,FALSE)*VLOOKUP($A313,Weighting!$D$26:$G$30,MATCH(Segmented!$C$282,Weighting!$E$26:$H$26,0)+1,FALSE)+VLOOKUP($B313&amp;$D$282&amp;$G313,$E$6:$U$275,P$279,FALSE)*VLOOKUP($A313,Weighting!$D$26:$G$30,MATCH(Segmented!$D$282,Weighting!$E$26:$H$26,0)+1,FALSE)+VLOOKUP($B313&amp;$E$282&amp;$G313,$E$6:$U$275,P$279,FALSE)*VLOOKUP($A313,Weighting!$D$26:$G$30,MATCH(Segmented!$E$282,Weighting!$E$26:$H$26,0)+1,FALSE)</f>
        <v>0</v>
      </c>
      <c r="Q313">
        <f t="shared" si="9"/>
        <v>0</v>
      </c>
      <c r="R313" s="31">
        <f>VLOOKUP($B313&amp;$C$282&amp;$G313,$E$6:$U$275,R$279,FALSE)*VLOOKUP($A313,Weighting!$D$26:$G$30,MATCH(Segmented!$C$282,Weighting!$E$26:$H$26,0)+1,FALSE)+VLOOKUP($B313&amp;$D$282&amp;$G313,$E$6:$U$275,R$279,FALSE)*VLOOKUP($A313,Weighting!$D$26:$G$30,MATCH(Segmented!$D$282,Weighting!$E$26:$H$26,0)+1,FALSE)+VLOOKUP($B313&amp;$E$282&amp;$G313,$E$6:$U$275,R$279,FALSE)*VLOOKUP($A313,Weighting!$D$26:$G$30,MATCH(Segmented!$E$282,Weighting!$E$26:$H$26,0)+1,FALSE)</f>
        <v>0</v>
      </c>
      <c r="S313">
        <f t="shared" si="10"/>
        <v>0</v>
      </c>
      <c r="T313" s="31">
        <f>VLOOKUP($B313&amp;$C$282&amp;$G313,$E$6:$U$275,T$279,FALSE)*VLOOKUP($A313,Weighting!$D$26:$G$30,MATCH(Segmented!$C$282,Weighting!$E$26:$H$26,0)+1,FALSE)+VLOOKUP($B313&amp;$D$282&amp;$G313,$E$6:$U$275,T$279,FALSE)*VLOOKUP($A313,Weighting!$D$26:$G$30,MATCH(Segmented!$D$282,Weighting!$E$26:$H$26,0)+1,FALSE)+VLOOKUP($B313&amp;$E$282&amp;$G313,$E$6:$U$275,T$279,FALSE)*VLOOKUP($A313,Weighting!$D$26:$G$30,MATCH(Segmented!$E$282,Weighting!$E$26:$H$26,0)+1,FALSE)</f>
        <v>0</v>
      </c>
    </row>
    <row r="314" spans="1:20">
      <c r="A314" t="s">
        <v>229</v>
      </c>
      <c r="B314" t="s">
        <v>229</v>
      </c>
      <c r="F314" s="55" t="str">
        <f t="shared" si="11"/>
        <v>ATTIC R11 - R38_Heat Pump</v>
      </c>
      <c r="G314" s="53" t="s">
        <v>73</v>
      </c>
      <c r="H314" s="31">
        <f>VLOOKUP($B314&amp;$C$282&amp;$G314,$E$6:$U$275,H$279,FALSE)*VLOOKUP($A314,Weighting!$D$26:$G$30,MATCH(Segmented!$C$282,Weighting!$E$26:$H$26,0)+1,FALSE)+VLOOKUP($B314&amp;$D$282&amp;$G314,$E$6:$U$275,H$279,FALSE)*VLOOKUP($A314,Weighting!$D$26:$G$30,MATCH(Segmented!$D$282,Weighting!$E$26:$H$26,0)+1,FALSE)+VLOOKUP($B314&amp;$E$282&amp;$G314,$E$6:$U$275,H$279,FALSE)*VLOOKUP($A314,Weighting!$D$26:$G$30,MATCH(Segmented!$E$282,Weighting!$E$26:$H$26,0)+1,FALSE)</f>
        <v>130.89547865323169</v>
      </c>
      <c r="I314">
        <f t="shared" ref="I314:I338" si="12">I38</f>
        <v>45</v>
      </c>
      <c r="J314" s="31">
        <f>VLOOKUP($B314&amp;$C$282&amp;$G314,$E$6:$U$275,J$279,FALSE)*VLOOKUP($A314,Weighting!$D$26:$G$30,MATCH(Segmented!$C$282,Weighting!$E$26:$H$26,0)+1,FALSE)+VLOOKUP($B314&amp;$D$282&amp;$G314,$E$6:$U$275,J$279,FALSE)*VLOOKUP($A314,Weighting!$D$26:$G$30,MATCH(Segmented!$D$282,Weighting!$E$26:$H$26,0)+1,FALSE)+VLOOKUP($B314&amp;$E$282&amp;$G314,$E$6:$U$275,J$279,FALSE)*VLOOKUP($A314,Weighting!$D$26:$G$30,MATCH(Segmented!$E$282,Weighting!$E$26:$H$26,0)+1,FALSE)</f>
        <v>511.13785022512633</v>
      </c>
      <c r="K314" s="31">
        <f>VLOOKUP($B314&amp;$C$282&amp;$G314,$E$6:$U$275,K$279,FALSE)*VLOOKUP($A314,Weighting!$D$26:$G$30,MATCH(Segmented!$C$282,Weighting!$E$26:$H$26,0)+1,FALSE)+VLOOKUP($B314&amp;$D$282&amp;$G314,$E$6:$U$275,K$279,FALSE)*VLOOKUP($A314,Weighting!$D$26:$G$30,MATCH(Segmented!$D$282,Weighting!$E$26:$H$26,0)+1,FALSE)+VLOOKUP($B314&amp;$E$282&amp;$G314,$E$6:$U$275,K$279,FALSE)*VLOOKUP($A314,Weighting!$D$26:$G$30,MATCH(Segmented!$E$282,Weighting!$E$26:$H$26,0)+1,FALSE)</f>
        <v>0</v>
      </c>
      <c r="L314" t="str">
        <f t="shared" ref="L314:L338" si="13">L38</f>
        <v>ResSpHtFAFZ3</v>
      </c>
      <c r="M314" s="31">
        <f>VLOOKUP($B314&amp;$C$282&amp;$G314,$E$6:$U$275,M$279,FALSE)*VLOOKUP($A314,Weighting!$D$26:$G$30,MATCH(Segmented!$C$282,Weighting!$E$26:$H$26,0)+1,FALSE)+VLOOKUP($B314&amp;$D$282&amp;$G314,$E$6:$U$275,M$279,FALSE)*VLOOKUP($A314,Weighting!$D$26:$G$30,MATCH(Segmented!$D$282,Weighting!$E$26:$H$26,0)+1,FALSE)+VLOOKUP($B314&amp;$E$282&amp;$G314,$E$6:$U$275,M$279,FALSE)*VLOOKUP($A314,Weighting!$D$26:$G$30,MATCH(Segmented!$E$282,Weighting!$E$26:$H$26,0)+1,FALSE)</f>
        <v>1.1693813047377639</v>
      </c>
      <c r="N314" s="31">
        <f>VLOOKUP($B314&amp;$C$282&amp;$G314,$E$6:$U$275,N$279,FALSE)*VLOOKUP($A314,Weighting!$D$26:$G$30,MATCH(Segmented!$C$282,Weighting!$E$26:$H$26,0)+1,FALSE)+VLOOKUP($B314&amp;$D$282&amp;$G314,$E$6:$U$275,N$279,FALSE)*VLOOKUP($A314,Weighting!$D$26:$G$30,MATCH(Segmented!$D$282,Weighting!$E$26:$H$26,0)+1,FALSE)+VLOOKUP($B314&amp;$E$282&amp;$G314,$E$6:$U$275,N$279,FALSE)*VLOOKUP($A314,Weighting!$D$26:$G$30,MATCH(Segmented!$E$282,Weighting!$E$26:$H$26,0)+1,FALSE)</f>
        <v>0</v>
      </c>
      <c r="O314">
        <f t="shared" ref="O314:O338" si="14">O38</f>
        <v>0</v>
      </c>
      <c r="P314" s="31">
        <f>VLOOKUP($B314&amp;$C$282&amp;$G314,$E$6:$U$275,P$279,FALSE)*VLOOKUP($A314,Weighting!$D$26:$G$30,MATCH(Segmented!$C$282,Weighting!$E$26:$H$26,0)+1,FALSE)+VLOOKUP($B314&amp;$D$282&amp;$G314,$E$6:$U$275,P$279,FALSE)*VLOOKUP($A314,Weighting!$D$26:$G$30,MATCH(Segmented!$D$282,Weighting!$E$26:$H$26,0)+1,FALSE)+VLOOKUP($B314&amp;$E$282&amp;$G314,$E$6:$U$275,P$279,FALSE)*VLOOKUP($A314,Weighting!$D$26:$G$30,MATCH(Segmented!$E$282,Weighting!$E$26:$H$26,0)+1,FALSE)</f>
        <v>0</v>
      </c>
      <c r="Q314">
        <f t="shared" ref="Q314:Q338" si="15">Q38</f>
        <v>0</v>
      </c>
      <c r="R314" s="31">
        <f>VLOOKUP($B314&amp;$C$282&amp;$G314,$E$6:$U$275,R$279,FALSE)*VLOOKUP($A314,Weighting!$D$26:$G$30,MATCH(Segmented!$C$282,Weighting!$E$26:$H$26,0)+1,FALSE)+VLOOKUP($B314&amp;$D$282&amp;$G314,$E$6:$U$275,R$279,FALSE)*VLOOKUP($A314,Weighting!$D$26:$G$30,MATCH(Segmented!$D$282,Weighting!$E$26:$H$26,0)+1,FALSE)+VLOOKUP($B314&amp;$E$282&amp;$G314,$E$6:$U$275,R$279,FALSE)*VLOOKUP($A314,Weighting!$D$26:$G$30,MATCH(Segmented!$E$282,Weighting!$E$26:$H$26,0)+1,FALSE)</f>
        <v>0</v>
      </c>
      <c r="S314">
        <f t="shared" ref="S314:S338" si="16">S38</f>
        <v>0</v>
      </c>
      <c r="T314" s="31">
        <f>VLOOKUP($B314&amp;$C$282&amp;$G314,$E$6:$U$275,T$279,FALSE)*VLOOKUP($A314,Weighting!$D$26:$G$30,MATCH(Segmented!$C$282,Weighting!$E$26:$H$26,0)+1,FALSE)+VLOOKUP($B314&amp;$D$282&amp;$G314,$E$6:$U$275,T$279,FALSE)*VLOOKUP($A314,Weighting!$D$26:$G$30,MATCH(Segmented!$D$282,Weighting!$E$26:$H$26,0)+1,FALSE)+VLOOKUP($B314&amp;$E$282&amp;$G314,$E$6:$U$275,T$279,FALSE)*VLOOKUP($A314,Weighting!$D$26:$G$30,MATCH(Segmented!$E$282,Weighting!$E$26:$H$26,0)+1,FALSE)</f>
        <v>0</v>
      </c>
    </row>
    <row r="315" spans="1:20">
      <c r="A315" t="s">
        <v>229</v>
      </c>
      <c r="B315" t="s">
        <v>229</v>
      </c>
      <c r="F315" s="55" t="str">
        <f t="shared" si="11"/>
        <v>ATTIC R11 - R49_Heat Pump</v>
      </c>
      <c r="G315" s="53" t="s">
        <v>75</v>
      </c>
      <c r="H315" s="31">
        <f>VLOOKUP($B315&amp;$C$282&amp;$G315,$E$6:$U$275,H$279,FALSE)*VLOOKUP($A315,Weighting!$D$26:$G$30,MATCH(Segmented!$C$282,Weighting!$E$26:$H$26,0)+1,FALSE)+VLOOKUP($B315&amp;$D$282&amp;$G315,$E$6:$U$275,H$279,FALSE)*VLOOKUP($A315,Weighting!$D$26:$G$30,MATCH(Segmented!$D$282,Weighting!$E$26:$H$26,0)+1,FALSE)+VLOOKUP($B315&amp;$E$282&amp;$G315,$E$6:$U$275,H$279,FALSE)*VLOOKUP($A315,Weighting!$D$26:$G$30,MATCH(Segmented!$E$282,Weighting!$E$26:$H$26,0)+1,FALSE)</f>
        <v>141.94847572410728</v>
      </c>
      <c r="I315">
        <f t="shared" si="12"/>
        <v>45</v>
      </c>
      <c r="J315" s="31">
        <f>VLOOKUP($B315&amp;$C$282&amp;$G315,$E$6:$U$275,J$279,FALSE)*VLOOKUP($A315,Weighting!$D$26:$G$30,MATCH(Segmented!$C$282,Weighting!$E$26:$H$26,0)+1,FALSE)+VLOOKUP($B315&amp;$D$282&amp;$G315,$E$6:$U$275,J$279,FALSE)*VLOOKUP($A315,Weighting!$D$26:$G$30,MATCH(Segmented!$D$282,Weighting!$E$26:$H$26,0)+1,FALSE)+VLOOKUP($B315&amp;$E$282&amp;$G315,$E$6:$U$275,J$279,FALSE)*VLOOKUP($A315,Weighting!$D$26:$G$30,MATCH(Segmented!$E$282,Weighting!$E$26:$H$26,0)+1,FALSE)</f>
        <v>595.71787033770602</v>
      </c>
      <c r="K315" s="31">
        <f>VLOOKUP($B315&amp;$C$282&amp;$G315,$E$6:$U$275,K$279,FALSE)*VLOOKUP($A315,Weighting!$D$26:$G$30,MATCH(Segmented!$C$282,Weighting!$E$26:$H$26,0)+1,FALSE)+VLOOKUP($B315&amp;$D$282&amp;$G315,$E$6:$U$275,K$279,FALSE)*VLOOKUP($A315,Weighting!$D$26:$G$30,MATCH(Segmented!$D$282,Weighting!$E$26:$H$26,0)+1,FALSE)+VLOOKUP($B315&amp;$E$282&amp;$G315,$E$6:$U$275,K$279,FALSE)*VLOOKUP($A315,Weighting!$D$26:$G$30,MATCH(Segmented!$E$282,Weighting!$E$26:$H$26,0)+1,FALSE)</f>
        <v>0</v>
      </c>
      <c r="L315" t="str">
        <f t="shared" si="13"/>
        <v>ResSpHtFAFZ3</v>
      </c>
      <c r="M315" s="31">
        <f>VLOOKUP($B315&amp;$C$282&amp;$G315,$E$6:$U$275,M$279,FALSE)*VLOOKUP($A315,Weighting!$D$26:$G$30,MATCH(Segmented!$C$282,Weighting!$E$26:$H$26,0)+1,FALSE)+VLOOKUP($B315&amp;$D$282&amp;$G315,$E$6:$U$275,M$279,FALSE)*VLOOKUP($A315,Weighting!$D$26:$G$30,MATCH(Segmented!$D$282,Weighting!$E$26:$H$26,0)+1,FALSE)+VLOOKUP($B315&amp;$E$282&amp;$G315,$E$6:$U$275,M$279,FALSE)*VLOOKUP($A315,Weighting!$D$26:$G$30,MATCH(Segmented!$E$282,Weighting!$E$26:$H$26,0)+1,FALSE)</f>
        <v>1.282576143368783</v>
      </c>
      <c r="N315" s="31">
        <f>VLOOKUP($B315&amp;$C$282&amp;$G315,$E$6:$U$275,N$279,FALSE)*VLOOKUP($A315,Weighting!$D$26:$G$30,MATCH(Segmented!$C$282,Weighting!$E$26:$H$26,0)+1,FALSE)+VLOOKUP($B315&amp;$D$282&amp;$G315,$E$6:$U$275,N$279,FALSE)*VLOOKUP($A315,Weighting!$D$26:$G$30,MATCH(Segmented!$D$282,Weighting!$E$26:$H$26,0)+1,FALSE)+VLOOKUP($B315&amp;$E$282&amp;$G315,$E$6:$U$275,N$279,FALSE)*VLOOKUP($A315,Weighting!$D$26:$G$30,MATCH(Segmented!$E$282,Weighting!$E$26:$H$26,0)+1,FALSE)</f>
        <v>0</v>
      </c>
      <c r="O315">
        <f t="shared" si="14"/>
        <v>0</v>
      </c>
      <c r="P315" s="31">
        <f>VLOOKUP($B315&amp;$C$282&amp;$G315,$E$6:$U$275,P$279,FALSE)*VLOOKUP($A315,Weighting!$D$26:$G$30,MATCH(Segmented!$C$282,Weighting!$E$26:$H$26,0)+1,FALSE)+VLOOKUP($B315&amp;$D$282&amp;$G315,$E$6:$U$275,P$279,FALSE)*VLOOKUP($A315,Weighting!$D$26:$G$30,MATCH(Segmented!$D$282,Weighting!$E$26:$H$26,0)+1,FALSE)+VLOOKUP($B315&amp;$E$282&amp;$G315,$E$6:$U$275,P$279,FALSE)*VLOOKUP($A315,Weighting!$D$26:$G$30,MATCH(Segmented!$E$282,Weighting!$E$26:$H$26,0)+1,FALSE)</f>
        <v>0</v>
      </c>
      <c r="Q315">
        <f t="shared" si="15"/>
        <v>0</v>
      </c>
      <c r="R315" s="31">
        <f>VLOOKUP($B315&amp;$C$282&amp;$G315,$E$6:$U$275,R$279,FALSE)*VLOOKUP($A315,Weighting!$D$26:$G$30,MATCH(Segmented!$C$282,Weighting!$E$26:$H$26,0)+1,FALSE)+VLOOKUP($B315&amp;$D$282&amp;$G315,$E$6:$U$275,R$279,FALSE)*VLOOKUP($A315,Weighting!$D$26:$G$30,MATCH(Segmented!$D$282,Weighting!$E$26:$H$26,0)+1,FALSE)+VLOOKUP($B315&amp;$E$282&amp;$G315,$E$6:$U$275,R$279,FALSE)*VLOOKUP($A315,Weighting!$D$26:$G$30,MATCH(Segmented!$E$282,Weighting!$E$26:$H$26,0)+1,FALSE)</f>
        <v>0</v>
      </c>
      <c r="S315">
        <f t="shared" si="16"/>
        <v>0</v>
      </c>
      <c r="T315" s="31">
        <f>VLOOKUP($B315&amp;$C$282&amp;$G315,$E$6:$U$275,T$279,FALSE)*VLOOKUP($A315,Weighting!$D$26:$G$30,MATCH(Segmented!$C$282,Weighting!$E$26:$H$26,0)+1,FALSE)+VLOOKUP($B315&amp;$D$282&amp;$G315,$E$6:$U$275,T$279,FALSE)*VLOOKUP($A315,Weighting!$D$26:$G$30,MATCH(Segmented!$D$282,Weighting!$E$26:$H$26,0)+1,FALSE)+VLOOKUP($B315&amp;$E$282&amp;$G315,$E$6:$U$275,T$279,FALSE)*VLOOKUP($A315,Weighting!$D$26:$G$30,MATCH(Segmented!$E$282,Weighting!$E$26:$H$26,0)+1,FALSE)</f>
        <v>0</v>
      </c>
    </row>
    <row r="316" spans="1:20">
      <c r="A316" t="s">
        <v>229</v>
      </c>
      <c r="B316" t="s">
        <v>229</v>
      </c>
      <c r="F316" s="55" t="str">
        <f t="shared" si="11"/>
        <v>ATTIC R19 - R38_Heat Pump</v>
      </c>
      <c r="G316" s="53" t="s">
        <v>77</v>
      </c>
      <c r="H316" s="31">
        <f>VLOOKUP($B316&amp;$C$282&amp;$G316,$E$6:$U$275,H$279,FALSE)*VLOOKUP($A316,Weighting!$D$26:$G$30,MATCH(Segmented!$C$282,Weighting!$E$26:$H$26,0)+1,FALSE)+VLOOKUP($B316&amp;$D$282&amp;$G316,$E$6:$U$275,H$279,FALSE)*VLOOKUP($A316,Weighting!$D$26:$G$30,MATCH(Segmented!$D$282,Weighting!$E$26:$H$26,0)+1,FALSE)+VLOOKUP($B316&amp;$E$282&amp;$G316,$E$6:$U$275,H$279,FALSE)*VLOOKUP($A316,Weighting!$D$26:$G$30,MATCH(Segmented!$E$282,Weighting!$E$26:$H$26,0)+1,FALSE)</f>
        <v>66.962070039045258</v>
      </c>
      <c r="I316">
        <f t="shared" si="12"/>
        <v>45</v>
      </c>
      <c r="J316" s="31">
        <f>VLOOKUP($B316&amp;$C$282&amp;$G316,$E$6:$U$275,J$279,FALSE)*VLOOKUP($A316,Weighting!$D$26:$G$30,MATCH(Segmented!$C$282,Weighting!$E$26:$H$26,0)+1,FALSE)+VLOOKUP($B316&amp;$D$282&amp;$G316,$E$6:$U$275,J$279,FALSE)*VLOOKUP($A316,Weighting!$D$26:$G$30,MATCH(Segmented!$D$282,Weighting!$E$26:$H$26,0)+1,FALSE)+VLOOKUP($B316&amp;$E$282&amp;$G316,$E$6:$U$275,J$279,FALSE)*VLOOKUP($A316,Weighting!$D$26:$G$30,MATCH(Segmented!$E$282,Weighting!$E$26:$H$26,0)+1,FALSE)</f>
        <v>449.62510832506831</v>
      </c>
      <c r="K316" s="31">
        <f>VLOOKUP($B316&amp;$C$282&amp;$G316,$E$6:$U$275,K$279,FALSE)*VLOOKUP($A316,Weighting!$D$26:$G$30,MATCH(Segmented!$C$282,Weighting!$E$26:$H$26,0)+1,FALSE)+VLOOKUP($B316&amp;$D$282&amp;$G316,$E$6:$U$275,K$279,FALSE)*VLOOKUP($A316,Weighting!$D$26:$G$30,MATCH(Segmented!$D$282,Weighting!$E$26:$H$26,0)+1,FALSE)+VLOOKUP($B316&amp;$E$282&amp;$G316,$E$6:$U$275,K$279,FALSE)*VLOOKUP($A316,Weighting!$D$26:$G$30,MATCH(Segmented!$E$282,Weighting!$E$26:$H$26,0)+1,FALSE)</f>
        <v>0</v>
      </c>
      <c r="L316" t="str">
        <f t="shared" si="13"/>
        <v>ResSpHtFAFZ3</v>
      </c>
      <c r="M316" s="31">
        <f>VLOOKUP($B316&amp;$C$282&amp;$G316,$E$6:$U$275,M$279,FALSE)*VLOOKUP($A316,Weighting!$D$26:$G$30,MATCH(Segmented!$C$282,Weighting!$E$26:$H$26,0)+1,FALSE)+VLOOKUP($B316&amp;$D$282&amp;$G316,$E$6:$U$275,M$279,FALSE)*VLOOKUP($A316,Weighting!$D$26:$G$30,MATCH(Segmented!$D$282,Weighting!$E$26:$H$26,0)+1,FALSE)+VLOOKUP($B316&amp;$E$282&amp;$G316,$E$6:$U$275,M$279,FALSE)*VLOOKUP($A316,Weighting!$D$26:$G$30,MATCH(Segmented!$E$282,Weighting!$E$26:$H$26,0)+1,FALSE)</f>
        <v>0.64538046958039907</v>
      </c>
      <c r="N316" s="31">
        <f>VLOOKUP($B316&amp;$C$282&amp;$G316,$E$6:$U$275,N$279,FALSE)*VLOOKUP($A316,Weighting!$D$26:$G$30,MATCH(Segmented!$C$282,Weighting!$E$26:$H$26,0)+1,FALSE)+VLOOKUP($B316&amp;$D$282&amp;$G316,$E$6:$U$275,N$279,FALSE)*VLOOKUP($A316,Weighting!$D$26:$G$30,MATCH(Segmented!$D$282,Weighting!$E$26:$H$26,0)+1,FALSE)+VLOOKUP($B316&amp;$E$282&amp;$G316,$E$6:$U$275,N$279,FALSE)*VLOOKUP($A316,Weighting!$D$26:$G$30,MATCH(Segmented!$E$282,Weighting!$E$26:$H$26,0)+1,FALSE)</f>
        <v>0</v>
      </c>
      <c r="O316">
        <f t="shared" si="14"/>
        <v>0</v>
      </c>
      <c r="P316" s="31">
        <f>VLOOKUP($B316&amp;$C$282&amp;$G316,$E$6:$U$275,P$279,FALSE)*VLOOKUP($A316,Weighting!$D$26:$G$30,MATCH(Segmented!$C$282,Weighting!$E$26:$H$26,0)+1,FALSE)+VLOOKUP($B316&amp;$D$282&amp;$G316,$E$6:$U$275,P$279,FALSE)*VLOOKUP($A316,Weighting!$D$26:$G$30,MATCH(Segmented!$D$282,Weighting!$E$26:$H$26,0)+1,FALSE)+VLOOKUP($B316&amp;$E$282&amp;$G316,$E$6:$U$275,P$279,FALSE)*VLOOKUP($A316,Weighting!$D$26:$G$30,MATCH(Segmented!$E$282,Weighting!$E$26:$H$26,0)+1,FALSE)</f>
        <v>0</v>
      </c>
      <c r="Q316">
        <f t="shared" si="15"/>
        <v>0</v>
      </c>
      <c r="R316" s="31">
        <f>VLOOKUP($B316&amp;$C$282&amp;$G316,$E$6:$U$275,R$279,FALSE)*VLOOKUP($A316,Weighting!$D$26:$G$30,MATCH(Segmented!$C$282,Weighting!$E$26:$H$26,0)+1,FALSE)+VLOOKUP($B316&amp;$D$282&amp;$G316,$E$6:$U$275,R$279,FALSE)*VLOOKUP($A316,Weighting!$D$26:$G$30,MATCH(Segmented!$D$282,Weighting!$E$26:$H$26,0)+1,FALSE)+VLOOKUP($B316&amp;$E$282&amp;$G316,$E$6:$U$275,R$279,FALSE)*VLOOKUP($A316,Weighting!$D$26:$G$30,MATCH(Segmented!$E$282,Weighting!$E$26:$H$26,0)+1,FALSE)</f>
        <v>0</v>
      </c>
      <c r="S316">
        <f t="shared" si="16"/>
        <v>0</v>
      </c>
      <c r="T316" s="31">
        <f>VLOOKUP($B316&amp;$C$282&amp;$G316,$E$6:$U$275,T$279,FALSE)*VLOOKUP($A316,Weighting!$D$26:$G$30,MATCH(Segmented!$C$282,Weighting!$E$26:$H$26,0)+1,FALSE)+VLOOKUP($B316&amp;$D$282&amp;$G316,$E$6:$U$275,T$279,FALSE)*VLOOKUP($A316,Weighting!$D$26:$G$30,MATCH(Segmented!$D$282,Weighting!$E$26:$H$26,0)+1,FALSE)+VLOOKUP($B316&amp;$E$282&amp;$G316,$E$6:$U$275,T$279,FALSE)*VLOOKUP($A316,Weighting!$D$26:$G$30,MATCH(Segmented!$E$282,Weighting!$E$26:$H$26,0)+1,FALSE)</f>
        <v>0</v>
      </c>
    </row>
    <row r="317" spans="1:20">
      <c r="A317" t="s">
        <v>229</v>
      </c>
      <c r="B317" t="s">
        <v>229</v>
      </c>
      <c r="F317" s="55" t="str">
        <f t="shared" si="11"/>
        <v>ATTIC R19 - R49_Heat Pump</v>
      </c>
      <c r="G317" s="53" t="s">
        <v>79</v>
      </c>
      <c r="H317" s="31">
        <f>VLOOKUP($B317&amp;$C$282&amp;$G317,$E$6:$U$275,H$279,FALSE)*VLOOKUP($A317,Weighting!$D$26:$G$30,MATCH(Segmented!$C$282,Weighting!$E$26:$H$26,0)+1,FALSE)+VLOOKUP($B317&amp;$D$282&amp;$G317,$E$6:$U$275,H$279,FALSE)*VLOOKUP($A317,Weighting!$D$26:$G$30,MATCH(Segmented!$D$282,Weighting!$E$26:$H$26,0)+1,FALSE)+VLOOKUP($B317&amp;$E$282&amp;$G317,$E$6:$U$275,H$279,FALSE)*VLOOKUP($A317,Weighting!$D$26:$G$30,MATCH(Segmented!$E$282,Weighting!$E$26:$H$26,0)+1,FALSE)</f>
        <v>80.649304594009479</v>
      </c>
      <c r="I317">
        <f t="shared" si="12"/>
        <v>45</v>
      </c>
      <c r="J317" s="31">
        <f>VLOOKUP($B317&amp;$C$282&amp;$G317,$E$6:$U$275,J$279,FALSE)*VLOOKUP($A317,Weighting!$D$26:$G$30,MATCH(Segmented!$C$282,Weighting!$E$26:$H$26,0)+1,FALSE)+VLOOKUP($B317&amp;$D$282&amp;$G317,$E$6:$U$275,J$279,FALSE)*VLOOKUP($A317,Weighting!$D$26:$G$30,MATCH(Segmented!$D$282,Weighting!$E$26:$H$26,0)+1,FALSE)+VLOOKUP($B317&amp;$E$282&amp;$G317,$E$6:$U$275,J$279,FALSE)*VLOOKUP($A317,Weighting!$D$26:$G$30,MATCH(Segmented!$E$282,Weighting!$E$26:$H$26,0)+1,FALSE)</f>
        <v>534.20512843764811</v>
      </c>
      <c r="K317" s="31">
        <f>VLOOKUP($B317&amp;$C$282&amp;$G317,$E$6:$U$275,K$279,FALSE)*VLOOKUP($A317,Weighting!$D$26:$G$30,MATCH(Segmented!$C$282,Weighting!$E$26:$H$26,0)+1,FALSE)+VLOOKUP($B317&amp;$D$282&amp;$G317,$E$6:$U$275,K$279,FALSE)*VLOOKUP($A317,Weighting!$D$26:$G$30,MATCH(Segmented!$D$282,Weighting!$E$26:$H$26,0)+1,FALSE)+VLOOKUP($B317&amp;$E$282&amp;$G317,$E$6:$U$275,K$279,FALSE)*VLOOKUP($A317,Weighting!$D$26:$G$30,MATCH(Segmented!$E$282,Weighting!$E$26:$H$26,0)+1,FALSE)</f>
        <v>0</v>
      </c>
      <c r="L317" t="str">
        <f t="shared" si="13"/>
        <v>ResSpHtFAFZ3</v>
      </c>
      <c r="M317" s="31">
        <f>VLOOKUP($B317&amp;$C$282&amp;$G317,$E$6:$U$275,M$279,FALSE)*VLOOKUP($A317,Weighting!$D$26:$G$30,MATCH(Segmented!$C$282,Weighting!$E$26:$H$26,0)+1,FALSE)+VLOOKUP($B317&amp;$D$282&amp;$G317,$E$6:$U$275,M$279,FALSE)*VLOOKUP($A317,Weighting!$D$26:$G$30,MATCH(Segmented!$D$282,Weighting!$E$26:$H$26,0)+1,FALSE)+VLOOKUP($B317&amp;$E$282&amp;$G317,$E$6:$U$275,M$279,FALSE)*VLOOKUP($A317,Weighting!$D$26:$G$30,MATCH(Segmented!$E$282,Weighting!$E$26:$H$26,0)+1,FALSE)</f>
        <v>0.78472561775308336</v>
      </c>
      <c r="N317" s="31">
        <f>VLOOKUP($B317&amp;$C$282&amp;$G317,$E$6:$U$275,N$279,FALSE)*VLOOKUP($A317,Weighting!$D$26:$G$30,MATCH(Segmented!$C$282,Weighting!$E$26:$H$26,0)+1,FALSE)+VLOOKUP($B317&amp;$D$282&amp;$G317,$E$6:$U$275,N$279,FALSE)*VLOOKUP($A317,Weighting!$D$26:$G$30,MATCH(Segmented!$D$282,Weighting!$E$26:$H$26,0)+1,FALSE)+VLOOKUP($B317&amp;$E$282&amp;$G317,$E$6:$U$275,N$279,FALSE)*VLOOKUP($A317,Weighting!$D$26:$G$30,MATCH(Segmented!$E$282,Weighting!$E$26:$H$26,0)+1,FALSE)</f>
        <v>0</v>
      </c>
      <c r="O317">
        <f t="shared" si="14"/>
        <v>0</v>
      </c>
      <c r="P317" s="31">
        <f>VLOOKUP($B317&amp;$C$282&amp;$G317,$E$6:$U$275,P$279,FALSE)*VLOOKUP($A317,Weighting!$D$26:$G$30,MATCH(Segmented!$C$282,Weighting!$E$26:$H$26,0)+1,FALSE)+VLOOKUP($B317&amp;$D$282&amp;$G317,$E$6:$U$275,P$279,FALSE)*VLOOKUP($A317,Weighting!$D$26:$G$30,MATCH(Segmented!$D$282,Weighting!$E$26:$H$26,0)+1,FALSE)+VLOOKUP($B317&amp;$E$282&amp;$G317,$E$6:$U$275,P$279,FALSE)*VLOOKUP($A317,Weighting!$D$26:$G$30,MATCH(Segmented!$E$282,Weighting!$E$26:$H$26,0)+1,FALSE)</f>
        <v>0</v>
      </c>
      <c r="Q317">
        <f t="shared" si="15"/>
        <v>0</v>
      </c>
      <c r="R317" s="31">
        <f>VLOOKUP($B317&amp;$C$282&amp;$G317,$E$6:$U$275,R$279,FALSE)*VLOOKUP($A317,Weighting!$D$26:$G$30,MATCH(Segmented!$C$282,Weighting!$E$26:$H$26,0)+1,FALSE)+VLOOKUP($B317&amp;$D$282&amp;$G317,$E$6:$U$275,R$279,FALSE)*VLOOKUP($A317,Weighting!$D$26:$G$30,MATCH(Segmented!$D$282,Weighting!$E$26:$H$26,0)+1,FALSE)+VLOOKUP($B317&amp;$E$282&amp;$G317,$E$6:$U$275,R$279,FALSE)*VLOOKUP($A317,Weighting!$D$26:$G$30,MATCH(Segmented!$E$282,Weighting!$E$26:$H$26,0)+1,FALSE)</f>
        <v>0</v>
      </c>
      <c r="S317">
        <f t="shared" si="16"/>
        <v>0</v>
      </c>
      <c r="T317" s="31">
        <f>VLOOKUP($B317&amp;$C$282&amp;$G317,$E$6:$U$275,T$279,FALSE)*VLOOKUP($A317,Weighting!$D$26:$G$30,MATCH(Segmented!$C$282,Weighting!$E$26:$H$26,0)+1,FALSE)+VLOOKUP($B317&amp;$D$282&amp;$G317,$E$6:$U$275,T$279,FALSE)*VLOOKUP($A317,Weighting!$D$26:$G$30,MATCH(Segmented!$D$282,Weighting!$E$26:$H$26,0)+1,FALSE)+VLOOKUP($B317&amp;$E$282&amp;$G317,$E$6:$U$275,T$279,FALSE)*VLOOKUP($A317,Weighting!$D$26:$G$30,MATCH(Segmented!$E$282,Weighting!$E$26:$H$26,0)+1,FALSE)</f>
        <v>0</v>
      </c>
    </row>
    <row r="318" spans="1:20">
      <c r="A318" t="s">
        <v>229</v>
      </c>
      <c r="B318" t="s">
        <v>229</v>
      </c>
      <c r="F318" s="55" t="str">
        <f t="shared" si="11"/>
        <v>WALL R0 - R11_Heat Pump</v>
      </c>
      <c r="G318" s="53" t="s">
        <v>85</v>
      </c>
      <c r="H318" s="31">
        <f>VLOOKUP($B318&amp;$C$282&amp;$G318,$E$6:$U$275,H$279,FALSE)*VLOOKUP($A318,Weighting!$D$26:$G$30,MATCH(Segmented!$C$282,Weighting!$E$26:$H$26,0)+1,FALSE)+VLOOKUP($B318&amp;$D$282&amp;$G318,$E$6:$U$275,H$279,FALSE)*VLOOKUP($A318,Weighting!$D$26:$G$30,MATCH(Segmented!$D$282,Weighting!$E$26:$H$26,0)+1,FALSE)+VLOOKUP($B318&amp;$E$282&amp;$G318,$E$6:$U$275,H$279,FALSE)*VLOOKUP($A318,Weighting!$D$26:$G$30,MATCH(Segmented!$E$282,Weighting!$E$26:$H$26,0)+1,FALSE)</f>
        <v>796.94936739987497</v>
      </c>
      <c r="I318">
        <f t="shared" si="12"/>
        <v>45</v>
      </c>
      <c r="J318" s="31">
        <f>VLOOKUP($B318&amp;$C$282&amp;$G318,$E$6:$U$275,J$279,FALSE)*VLOOKUP($A318,Weighting!$D$26:$G$30,MATCH(Segmented!$C$282,Weighting!$E$26:$H$26,0)+1,FALSE)+VLOOKUP($B318&amp;$D$282&amp;$G318,$E$6:$U$275,J$279,FALSE)*VLOOKUP($A318,Weighting!$D$26:$G$30,MATCH(Segmented!$D$282,Weighting!$E$26:$H$26,0)+1,FALSE)+VLOOKUP($B318&amp;$E$282&amp;$G318,$E$6:$U$275,J$279,FALSE)*VLOOKUP($A318,Weighting!$D$26:$G$30,MATCH(Segmented!$E$282,Weighting!$E$26:$H$26,0)+1,FALSE)</f>
        <v>1060.7151001501568</v>
      </c>
      <c r="K318" s="31">
        <f>VLOOKUP($B318&amp;$C$282&amp;$G318,$E$6:$U$275,K$279,FALSE)*VLOOKUP($A318,Weighting!$D$26:$G$30,MATCH(Segmented!$C$282,Weighting!$E$26:$H$26,0)+1,FALSE)+VLOOKUP($B318&amp;$D$282&amp;$G318,$E$6:$U$275,K$279,FALSE)*VLOOKUP($A318,Weighting!$D$26:$G$30,MATCH(Segmented!$D$282,Weighting!$E$26:$H$26,0)+1,FALSE)+VLOOKUP($B318&amp;$E$282&amp;$G318,$E$6:$U$275,K$279,FALSE)*VLOOKUP($A318,Weighting!$D$26:$G$30,MATCH(Segmented!$E$282,Weighting!$E$26:$H$26,0)+1,FALSE)</f>
        <v>0</v>
      </c>
      <c r="L318" t="str">
        <f t="shared" si="13"/>
        <v>ResSpHtFAFZ3</v>
      </c>
      <c r="M318" s="31">
        <f>VLOOKUP($B318&amp;$C$282&amp;$G318,$E$6:$U$275,M$279,FALSE)*VLOOKUP($A318,Weighting!$D$26:$G$30,MATCH(Segmented!$C$282,Weighting!$E$26:$H$26,0)+1,FALSE)+VLOOKUP($B318&amp;$D$282&amp;$G318,$E$6:$U$275,M$279,FALSE)*VLOOKUP($A318,Weighting!$D$26:$G$30,MATCH(Segmented!$D$282,Weighting!$E$26:$H$26,0)+1,FALSE)+VLOOKUP($B318&amp;$E$282&amp;$G318,$E$6:$U$275,M$279,FALSE)*VLOOKUP($A318,Weighting!$D$26:$G$30,MATCH(Segmented!$E$282,Weighting!$E$26:$H$26,0)+1,FALSE)</f>
        <v>4.9342026567089254</v>
      </c>
      <c r="N318" s="31">
        <f>VLOOKUP($B318&amp;$C$282&amp;$G318,$E$6:$U$275,N$279,FALSE)*VLOOKUP($A318,Weighting!$D$26:$G$30,MATCH(Segmented!$C$282,Weighting!$E$26:$H$26,0)+1,FALSE)+VLOOKUP($B318&amp;$D$282&amp;$G318,$E$6:$U$275,N$279,FALSE)*VLOOKUP($A318,Weighting!$D$26:$G$30,MATCH(Segmented!$D$282,Weighting!$E$26:$H$26,0)+1,FALSE)+VLOOKUP($B318&amp;$E$282&amp;$G318,$E$6:$U$275,N$279,FALSE)*VLOOKUP($A318,Weighting!$D$26:$G$30,MATCH(Segmented!$E$282,Weighting!$E$26:$H$26,0)+1,FALSE)</f>
        <v>0</v>
      </c>
      <c r="O318">
        <f t="shared" si="14"/>
        <v>0</v>
      </c>
      <c r="P318" s="31">
        <f>VLOOKUP($B318&amp;$C$282&amp;$G318,$E$6:$U$275,P$279,FALSE)*VLOOKUP($A318,Weighting!$D$26:$G$30,MATCH(Segmented!$C$282,Weighting!$E$26:$H$26,0)+1,FALSE)+VLOOKUP($B318&amp;$D$282&amp;$G318,$E$6:$U$275,P$279,FALSE)*VLOOKUP($A318,Weighting!$D$26:$G$30,MATCH(Segmented!$D$282,Weighting!$E$26:$H$26,0)+1,FALSE)+VLOOKUP($B318&amp;$E$282&amp;$G318,$E$6:$U$275,P$279,FALSE)*VLOOKUP($A318,Weighting!$D$26:$G$30,MATCH(Segmented!$E$282,Weighting!$E$26:$H$26,0)+1,FALSE)</f>
        <v>0</v>
      </c>
      <c r="Q318">
        <f t="shared" si="15"/>
        <v>0</v>
      </c>
      <c r="R318" s="31">
        <f>VLOOKUP($B318&amp;$C$282&amp;$G318,$E$6:$U$275,R$279,FALSE)*VLOOKUP($A318,Weighting!$D$26:$G$30,MATCH(Segmented!$C$282,Weighting!$E$26:$H$26,0)+1,FALSE)+VLOOKUP($B318&amp;$D$282&amp;$G318,$E$6:$U$275,R$279,FALSE)*VLOOKUP($A318,Weighting!$D$26:$G$30,MATCH(Segmented!$D$282,Weighting!$E$26:$H$26,0)+1,FALSE)+VLOOKUP($B318&amp;$E$282&amp;$G318,$E$6:$U$275,R$279,FALSE)*VLOOKUP($A318,Weighting!$D$26:$G$30,MATCH(Segmented!$E$282,Weighting!$E$26:$H$26,0)+1,FALSE)</f>
        <v>0</v>
      </c>
      <c r="S318">
        <f t="shared" si="16"/>
        <v>0</v>
      </c>
      <c r="T318" s="31">
        <f>VLOOKUP($B318&amp;$C$282&amp;$G318,$E$6:$U$275,T$279,FALSE)*VLOOKUP($A318,Weighting!$D$26:$G$30,MATCH(Segmented!$C$282,Weighting!$E$26:$H$26,0)+1,FALSE)+VLOOKUP($B318&amp;$D$282&amp;$G318,$E$6:$U$275,T$279,FALSE)*VLOOKUP($A318,Weighting!$D$26:$G$30,MATCH(Segmented!$D$282,Weighting!$E$26:$H$26,0)+1,FALSE)+VLOOKUP($B318&amp;$E$282&amp;$G318,$E$6:$U$275,T$279,FALSE)*VLOOKUP($A318,Weighting!$D$26:$G$30,MATCH(Segmented!$E$282,Weighting!$E$26:$H$26,0)+1,FALSE)</f>
        <v>0</v>
      </c>
    </row>
    <row r="319" spans="1:20">
      <c r="A319" t="s">
        <v>229</v>
      </c>
      <c r="B319" t="s">
        <v>229</v>
      </c>
      <c r="F319" s="55" t="str">
        <f t="shared" si="11"/>
        <v>FLOOR R0 - R19_Heat Pump</v>
      </c>
      <c r="G319" s="53" t="s">
        <v>87</v>
      </c>
      <c r="H319" s="31">
        <f>VLOOKUP($B319&amp;$C$282&amp;$G319,$E$6:$U$275,H$279,FALSE)*VLOOKUP($A319,Weighting!$D$26:$G$30,MATCH(Segmented!$C$282,Weighting!$E$26:$H$26,0)+1,FALSE)+VLOOKUP($B319&amp;$D$282&amp;$G319,$E$6:$U$275,H$279,FALSE)*VLOOKUP($A319,Weighting!$D$26:$G$30,MATCH(Segmented!$D$282,Weighting!$E$26:$H$26,0)+1,FALSE)+VLOOKUP($B319&amp;$E$282&amp;$G319,$E$6:$U$275,H$279,FALSE)*VLOOKUP($A319,Weighting!$D$26:$G$30,MATCH(Segmented!$E$282,Weighting!$E$26:$H$26,0)+1,FALSE)</f>
        <v>139.4214262215456</v>
      </c>
      <c r="I319">
        <f t="shared" si="12"/>
        <v>45</v>
      </c>
      <c r="J319" s="31">
        <f>VLOOKUP($B319&amp;$C$282&amp;$G319,$E$6:$U$275,J$279,FALSE)*VLOOKUP($A319,Weighting!$D$26:$G$30,MATCH(Segmented!$C$282,Weighting!$E$26:$H$26,0)+1,FALSE)+VLOOKUP($B319&amp;$D$282&amp;$G319,$E$6:$U$275,J$279,FALSE)*VLOOKUP($A319,Weighting!$D$26:$G$30,MATCH(Segmented!$D$282,Weighting!$E$26:$H$26,0)+1,FALSE)+VLOOKUP($B319&amp;$E$282&amp;$G319,$E$6:$U$275,J$279,FALSE)*VLOOKUP($A319,Weighting!$D$26:$G$30,MATCH(Segmented!$E$282,Weighting!$E$26:$H$26,0)+1,FALSE)</f>
        <v>746.61170394511896</v>
      </c>
      <c r="K319" s="31">
        <f>VLOOKUP($B319&amp;$C$282&amp;$G319,$E$6:$U$275,K$279,FALSE)*VLOOKUP($A319,Weighting!$D$26:$G$30,MATCH(Segmented!$C$282,Weighting!$E$26:$H$26,0)+1,FALSE)+VLOOKUP($B319&amp;$D$282&amp;$G319,$E$6:$U$275,K$279,FALSE)*VLOOKUP($A319,Weighting!$D$26:$G$30,MATCH(Segmented!$D$282,Weighting!$E$26:$H$26,0)+1,FALSE)+VLOOKUP($B319&amp;$E$282&amp;$G319,$E$6:$U$275,K$279,FALSE)*VLOOKUP($A319,Weighting!$D$26:$G$30,MATCH(Segmented!$E$282,Weighting!$E$26:$H$26,0)+1,FALSE)</f>
        <v>0</v>
      </c>
      <c r="L319" t="str">
        <f t="shared" si="13"/>
        <v>ResSpHtFAFZ3</v>
      </c>
      <c r="M319" s="31">
        <f>VLOOKUP($B319&amp;$C$282&amp;$G319,$E$6:$U$275,M$279,FALSE)*VLOOKUP($A319,Weighting!$D$26:$G$30,MATCH(Segmented!$C$282,Weighting!$E$26:$H$26,0)+1,FALSE)+VLOOKUP($B319&amp;$D$282&amp;$G319,$E$6:$U$275,M$279,FALSE)*VLOOKUP($A319,Weighting!$D$26:$G$30,MATCH(Segmented!$D$282,Weighting!$E$26:$H$26,0)+1,FALSE)+VLOOKUP($B319&amp;$E$282&amp;$G319,$E$6:$U$275,M$279,FALSE)*VLOOKUP($A319,Weighting!$D$26:$G$30,MATCH(Segmented!$E$282,Weighting!$E$26:$H$26,0)+1,FALSE)</f>
        <v>4.4411779438895939E-2</v>
      </c>
      <c r="N319" s="31">
        <f>VLOOKUP($B319&amp;$C$282&amp;$G319,$E$6:$U$275,N$279,FALSE)*VLOOKUP($A319,Weighting!$D$26:$G$30,MATCH(Segmented!$C$282,Weighting!$E$26:$H$26,0)+1,FALSE)+VLOOKUP($B319&amp;$D$282&amp;$G319,$E$6:$U$275,N$279,FALSE)*VLOOKUP($A319,Weighting!$D$26:$G$30,MATCH(Segmented!$D$282,Weighting!$E$26:$H$26,0)+1,FALSE)+VLOOKUP($B319&amp;$E$282&amp;$G319,$E$6:$U$275,N$279,FALSE)*VLOOKUP($A319,Weighting!$D$26:$G$30,MATCH(Segmented!$E$282,Weighting!$E$26:$H$26,0)+1,FALSE)</f>
        <v>0</v>
      </c>
      <c r="O319">
        <f t="shared" si="14"/>
        <v>0</v>
      </c>
      <c r="P319" s="31">
        <f>VLOOKUP($B319&amp;$C$282&amp;$G319,$E$6:$U$275,P$279,FALSE)*VLOOKUP($A319,Weighting!$D$26:$G$30,MATCH(Segmented!$C$282,Weighting!$E$26:$H$26,0)+1,FALSE)+VLOOKUP($B319&amp;$D$282&amp;$G319,$E$6:$U$275,P$279,FALSE)*VLOOKUP($A319,Weighting!$D$26:$G$30,MATCH(Segmented!$D$282,Weighting!$E$26:$H$26,0)+1,FALSE)+VLOOKUP($B319&amp;$E$282&amp;$G319,$E$6:$U$275,P$279,FALSE)*VLOOKUP($A319,Weighting!$D$26:$G$30,MATCH(Segmented!$E$282,Weighting!$E$26:$H$26,0)+1,FALSE)</f>
        <v>0</v>
      </c>
      <c r="Q319">
        <f t="shared" si="15"/>
        <v>0</v>
      </c>
      <c r="R319" s="31">
        <f>VLOOKUP($B319&amp;$C$282&amp;$G319,$E$6:$U$275,R$279,FALSE)*VLOOKUP($A319,Weighting!$D$26:$G$30,MATCH(Segmented!$C$282,Weighting!$E$26:$H$26,0)+1,FALSE)+VLOOKUP($B319&amp;$D$282&amp;$G319,$E$6:$U$275,R$279,FALSE)*VLOOKUP($A319,Weighting!$D$26:$G$30,MATCH(Segmented!$D$282,Weighting!$E$26:$H$26,0)+1,FALSE)+VLOOKUP($B319&amp;$E$282&amp;$G319,$E$6:$U$275,R$279,FALSE)*VLOOKUP($A319,Weighting!$D$26:$G$30,MATCH(Segmented!$E$282,Weighting!$E$26:$H$26,0)+1,FALSE)</f>
        <v>0</v>
      </c>
      <c r="S319">
        <f t="shared" si="16"/>
        <v>0</v>
      </c>
      <c r="T319" s="31">
        <f>VLOOKUP($B319&amp;$C$282&amp;$G319,$E$6:$U$275,T$279,FALSE)*VLOOKUP($A319,Weighting!$D$26:$G$30,MATCH(Segmented!$C$282,Weighting!$E$26:$H$26,0)+1,FALSE)+VLOOKUP($B319&amp;$D$282&amp;$G319,$E$6:$U$275,T$279,FALSE)*VLOOKUP($A319,Weighting!$D$26:$G$30,MATCH(Segmented!$D$282,Weighting!$E$26:$H$26,0)+1,FALSE)+VLOOKUP($B319&amp;$E$282&amp;$G319,$E$6:$U$275,T$279,FALSE)*VLOOKUP($A319,Weighting!$D$26:$G$30,MATCH(Segmented!$E$282,Weighting!$E$26:$H$26,0)+1,FALSE)</f>
        <v>0</v>
      </c>
    </row>
    <row r="320" spans="1:20">
      <c r="A320" t="s">
        <v>229</v>
      </c>
      <c r="B320" t="s">
        <v>229</v>
      </c>
      <c r="F320" s="55" t="str">
        <f t="shared" si="11"/>
        <v>FLOOR R0 - R25_Heat Pump</v>
      </c>
      <c r="G320" s="53" t="s">
        <v>89</v>
      </c>
      <c r="H320" s="31">
        <f>VLOOKUP($B320&amp;$C$282&amp;$G320,$E$6:$U$275,H$279,FALSE)*VLOOKUP($A320,Weighting!$D$26:$G$30,MATCH(Segmented!$C$282,Weighting!$E$26:$H$26,0)+1,FALSE)+VLOOKUP($B320&amp;$D$282&amp;$G320,$E$6:$U$275,H$279,FALSE)*VLOOKUP($A320,Weighting!$D$26:$G$30,MATCH(Segmented!$D$282,Weighting!$E$26:$H$26,0)+1,FALSE)+VLOOKUP($B320&amp;$E$282&amp;$G320,$E$6:$U$275,H$279,FALSE)*VLOOKUP($A320,Weighting!$D$26:$G$30,MATCH(Segmented!$E$282,Weighting!$E$26:$H$26,0)+1,FALSE)</f>
        <v>149.96815693800801</v>
      </c>
      <c r="I320">
        <f t="shared" si="12"/>
        <v>45</v>
      </c>
      <c r="J320" s="31">
        <f>VLOOKUP($B320&amp;$C$282&amp;$G320,$E$6:$U$275,J$279,FALSE)*VLOOKUP($A320,Weighting!$D$26:$G$30,MATCH(Segmented!$C$282,Weighting!$E$26:$H$26,0)+1,FALSE)+VLOOKUP($B320&amp;$D$282&amp;$G320,$E$6:$U$275,J$279,FALSE)*VLOOKUP($A320,Weighting!$D$26:$G$30,MATCH(Segmented!$D$282,Weighting!$E$26:$H$26,0)+1,FALSE)+VLOOKUP($B320&amp;$E$282&amp;$G320,$E$6:$U$275,J$279,FALSE)*VLOOKUP($A320,Weighting!$D$26:$G$30,MATCH(Segmented!$E$282,Weighting!$E$26:$H$26,0)+1,FALSE)</f>
        <v>775.20267326839053</v>
      </c>
      <c r="K320" s="31">
        <f>VLOOKUP($B320&amp;$C$282&amp;$G320,$E$6:$U$275,K$279,FALSE)*VLOOKUP($A320,Weighting!$D$26:$G$30,MATCH(Segmented!$C$282,Weighting!$E$26:$H$26,0)+1,FALSE)+VLOOKUP($B320&amp;$D$282&amp;$G320,$E$6:$U$275,K$279,FALSE)*VLOOKUP($A320,Weighting!$D$26:$G$30,MATCH(Segmented!$D$282,Weighting!$E$26:$H$26,0)+1,FALSE)+VLOOKUP($B320&amp;$E$282&amp;$G320,$E$6:$U$275,K$279,FALSE)*VLOOKUP($A320,Weighting!$D$26:$G$30,MATCH(Segmented!$E$282,Weighting!$E$26:$H$26,0)+1,FALSE)</f>
        <v>0</v>
      </c>
      <c r="L320" t="str">
        <f t="shared" si="13"/>
        <v>ResSpHtFAFZ3</v>
      </c>
      <c r="M320" s="31">
        <f>VLOOKUP($B320&amp;$C$282&amp;$G320,$E$6:$U$275,M$279,FALSE)*VLOOKUP($A320,Weighting!$D$26:$G$30,MATCH(Segmented!$C$282,Weighting!$E$26:$H$26,0)+1,FALSE)+VLOOKUP($B320&amp;$D$282&amp;$G320,$E$6:$U$275,M$279,FALSE)*VLOOKUP($A320,Weighting!$D$26:$G$30,MATCH(Segmented!$D$282,Weighting!$E$26:$H$26,0)+1,FALSE)+VLOOKUP($B320&amp;$E$282&amp;$G320,$E$6:$U$275,M$279,FALSE)*VLOOKUP($A320,Weighting!$D$26:$G$30,MATCH(Segmented!$E$282,Weighting!$E$26:$H$26,0)+1,FALSE)</f>
        <v>0.14694221886824657</v>
      </c>
      <c r="N320" s="31">
        <f>VLOOKUP($B320&amp;$C$282&amp;$G320,$E$6:$U$275,N$279,FALSE)*VLOOKUP($A320,Weighting!$D$26:$G$30,MATCH(Segmented!$C$282,Weighting!$E$26:$H$26,0)+1,FALSE)+VLOOKUP($B320&amp;$D$282&amp;$G320,$E$6:$U$275,N$279,FALSE)*VLOOKUP($A320,Weighting!$D$26:$G$30,MATCH(Segmented!$D$282,Weighting!$E$26:$H$26,0)+1,FALSE)+VLOOKUP($B320&amp;$E$282&amp;$G320,$E$6:$U$275,N$279,FALSE)*VLOOKUP($A320,Weighting!$D$26:$G$30,MATCH(Segmented!$E$282,Weighting!$E$26:$H$26,0)+1,FALSE)</f>
        <v>0</v>
      </c>
      <c r="O320">
        <f t="shared" si="14"/>
        <v>0</v>
      </c>
      <c r="P320" s="31">
        <f>VLOOKUP($B320&amp;$C$282&amp;$G320,$E$6:$U$275,P$279,FALSE)*VLOOKUP($A320,Weighting!$D$26:$G$30,MATCH(Segmented!$C$282,Weighting!$E$26:$H$26,0)+1,FALSE)+VLOOKUP($B320&amp;$D$282&amp;$G320,$E$6:$U$275,P$279,FALSE)*VLOOKUP($A320,Weighting!$D$26:$G$30,MATCH(Segmented!$D$282,Weighting!$E$26:$H$26,0)+1,FALSE)+VLOOKUP($B320&amp;$E$282&amp;$G320,$E$6:$U$275,P$279,FALSE)*VLOOKUP($A320,Weighting!$D$26:$G$30,MATCH(Segmented!$E$282,Weighting!$E$26:$H$26,0)+1,FALSE)</f>
        <v>0</v>
      </c>
      <c r="Q320">
        <f t="shared" si="15"/>
        <v>0</v>
      </c>
      <c r="R320" s="31">
        <f>VLOOKUP($B320&amp;$C$282&amp;$G320,$E$6:$U$275,R$279,FALSE)*VLOOKUP($A320,Weighting!$D$26:$G$30,MATCH(Segmented!$C$282,Weighting!$E$26:$H$26,0)+1,FALSE)+VLOOKUP($B320&amp;$D$282&amp;$G320,$E$6:$U$275,R$279,FALSE)*VLOOKUP($A320,Weighting!$D$26:$G$30,MATCH(Segmented!$D$282,Weighting!$E$26:$H$26,0)+1,FALSE)+VLOOKUP($B320&amp;$E$282&amp;$G320,$E$6:$U$275,R$279,FALSE)*VLOOKUP($A320,Weighting!$D$26:$G$30,MATCH(Segmented!$E$282,Weighting!$E$26:$H$26,0)+1,FALSE)</f>
        <v>0</v>
      </c>
      <c r="S320">
        <f t="shared" si="16"/>
        <v>0</v>
      </c>
      <c r="T320" s="31">
        <f>VLOOKUP($B320&amp;$C$282&amp;$G320,$E$6:$U$275,T$279,FALSE)*VLOOKUP($A320,Weighting!$D$26:$G$30,MATCH(Segmented!$C$282,Weighting!$E$26:$H$26,0)+1,FALSE)+VLOOKUP($B320&amp;$D$282&amp;$G320,$E$6:$U$275,T$279,FALSE)*VLOOKUP($A320,Weighting!$D$26:$G$30,MATCH(Segmented!$D$282,Weighting!$E$26:$H$26,0)+1,FALSE)+VLOOKUP($B320&amp;$E$282&amp;$G320,$E$6:$U$275,T$279,FALSE)*VLOOKUP($A320,Weighting!$D$26:$G$30,MATCH(Segmented!$E$282,Weighting!$E$26:$H$26,0)+1,FALSE)</f>
        <v>0</v>
      </c>
    </row>
    <row r="321" spans="1:20">
      <c r="A321" t="s">
        <v>229</v>
      </c>
      <c r="B321" t="s">
        <v>229</v>
      </c>
      <c r="F321" s="55" t="str">
        <f t="shared" si="11"/>
        <v>FLOOR R0 - R30_Heat Pump</v>
      </c>
      <c r="G321" s="53" t="s">
        <v>91</v>
      </c>
      <c r="H321" s="31">
        <f>VLOOKUP($B321&amp;$C$282&amp;$G321,$E$6:$U$275,H$279,FALSE)*VLOOKUP($A321,Weighting!$D$26:$G$30,MATCH(Segmented!$C$282,Weighting!$E$26:$H$26,0)+1,FALSE)+VLOOKUP($B321&amp;$D$282&amp;$G321,$E$6:$U$275,H$279,FALSE)*VLOOKUP($A321,Weighting!$D$26:$G$30,MATCH(Segmented!$D$282,Weighting!$E$26:$H$26,0)+1,FALSE)+VLOOKUP($B321&amp;$E$282&amp;$G321,$E$6:$U$275,H$279,FALSE)*VLOOKUP($A321,Weighting!$D$26:$G$30,MATCH(Segmented!$E$282,Weighting!$E$26:$H$26,0)+1,FALSE)</f>
        <v>156.58997008561312</v>
      </c>
      <c r="I321">
        <f t="shared" si="12"/>
        <v>45</v>
      </c>
      <c r="J321" s="31">
        <f>VLOOKUP($B321&amp;$C$282&amp;$G321,$E$6:$U$275,J$279,FALSE)*VLOOKUP($A321,Weighting!$D$26:$G$30,MATCH(Segmented!$C$282,Weighting!$E$26:$H$26,0)+1,FALSE)+VLOOKUP($B321&amp;$D$282&amp;$G321,$E$6:$U$275,J$279,FALSE)*VLOOKUP($A321,Weighting!$D$26:$G$30,MATCH(Segmented!$D$282,Weighting!$E$26:$H$26,0)+1,FALSE)+VLOOKUP($B321&amp;$E$282&amp;$G321,$E$6:$U$275,J$279,FALSE)*VLOOKUP($A321,Weighting!$D$26:$G$30,MATCH(Segmented!$E$282,Weighting!$E$26:$H$26,0)+1,FALSE)</f>
        <v>799.02848103778376</v>
      </c>
      <c r="K321" s="31">
        <f>VLOOKUP($B321&amp;$C$282&amp;$G321,$E$6:$U$275,K$279,FALSE)*VLOOKUP($A321,Weighting!$D$26:$G$30,MATCH(Segmented!$C$282,Weighting!$E$26:$H$26,0)+1,FALSE)+VLOOKUP($B321&amp;$D$282&amp;$G321,$E$6:$U$275,K$279,FALSE)*VLOOKUP($A321,Weighting!$D$26:$G$30,MATCH(Segmented!$D$282,Weighting!$E$26:$H$26,0)+1,FALSE)+VLOOKUP($B321&amp;$E$282&amp;$G321,$E$6:$U$275,K$279,FALSE)*VLOOKUP($A321,Weighting!$D$26:$G$30,MATCH(Segmented!$E$282,Weighting!$E$26:$H$26,0)+1,FALSE)</f>
        <v>0</v>
      </c>
      <c r="L321" t="str">
        <f t="shared" si="13"/>
        <v>ResSpHtFAFZ3</v>
      </c>
      <c r="M321" s="31">
        <f>VLOOKUP($B321&amp;$C$282&amp;$G321,$E$6:$U$275,M$279,FALSE)*VLOOKUP($A321,Weighting!$D$26:$G$30,MATCH(Segmented!$C$282,Weighting!$E$26:$H$26,0)+1,FALSE)+VLOOKUP($B321&amp;$D$282&amp;$G321,$E$6:$U$275,M$279,FALSE)*VLOOKUP($A321,Weighting!$D$26:$G$30,MATCH(Segmented!$D$282,Weighting!$E$26:$H$26,0)+1,FALSE)+VLOOKUP($B321&amp;$E$282&amp;$G321,$E$6:$U$275,M$279,FALSE)*VLOOKUP($A321,Weighting!$D$26:$G$30,MATCH(Segmented!$E$282,Weighting!$E$26:$H$26,0)+1,FALSE)</f>
        <v>0.21512942974674334</v>
      </c>
      <c r="N321" s="31">
        <f>VLOOKUP($B321&amp;$C$282&amp;$G321,$E$6:$U$275,N$279,FALSE)*VLOOKUP($A321,Weighting!$D$26:$G$30,MATCH(Segmented!$C$282,Weighting!$E$26:$H$26,0)+1,FALSE)+VLOOKUP($B321&amp;$D$282&amp;$G321,$E$6:$U$275,N$279,FALSE)*VLOOKUP($A321,Weighting!$D$26:$G$30,MATCH(Segmented!$D$282,Weighting!$E$26:$H$26,0)+1,FALSE)+VLOOKUP($B321&amp;$E$282&amp;$G321,$E$6:$U$275,N$279,FALSE)*VLOOKUP($A321,Weighting!$D$26:$G$30,MATCH(Segmented!$E$282,Weighting!$E$26:$H$26,0)+1,FALSE)</f>
        <v>0</v>
      </c>
      <c r="O321">
        <f t="shared" si="14"/>
        <v>0</v>
      </c>
      <c r="P321" s="31">
        <f>VLOOKUP($B321&amp;$C$282&amp;$G321,$E$6:$U$275,P$279,FALSE)*VLOOKUP($A321,Weighting!$D$26:$G$30,MATCH(Segmented!$C$282,Weighting!$E$26:$H$26,0)+1,FALSE)+VLOOKUP($B321&amp;$D$282&amp;$G321,$E$6:$U$275,P$279,FALSE)*VLOOKUP($A321,Weighting!$D$26:$G$30,MATCH(Segmented!$D$282,Weighting!$E$26:$H$26,0)+1,FALSE)+VLOOKUP($B321&amp;$E$282&amp;$G321,$E$6:$U$275,P$279,FALSE)*VLOOKUP($A321,Weighting!$D$26:$G$30,MATCH(Segmented!$E$282,Weighting!$E$26:$H$26,0)+1,FALSE)</f>
        <v>0</v>
      </c>
      <c r="Q321">
        <f t="shared" si="15"/>
        <v>0</v>
      </c>
      <c r="R321" s="31">
        <f>VLOOKUP($B321&amp;$C$282&amp;$G321,$E$6:$U$275,R$279,FALSE)*VLOOKUP($A321,Weighting!$D$26:$G$30,MATCH(Segmented!$C$282,Weighting!$E$26:$H$26,0)+1,FALSE)+VLOOKUP($B321&amp;$D$282&amp;$G321,$E$6:$U$275,R$279,FALSE)*VLOOKUP($A321,Weighting!$D$26:$G$30,MATCH(Segmented!$D$282,Weighting!$E$26:$H$26,0)+1,FALSE)+VLOOKUP($B321&amp;$E$282&amp;$G321,$E$6:$U$275,R$279,FALSE)*VLOOKUP($A321,Weighting!$D$26:$G$30,MATCH(Segmented!$E$282,Weighting!$E$26:$H$26,0)+1,FALSE)</f>
        <v>0</v>
      </c>
      <c r="S321">
        <f t="shared" si="16"/>
        <v>0</v>
      </c>
      <c r="T321" s="31">
        <f>VLOOKUP($B321&amp;$C$282&amp;$G321,$E$6:$U$275,T$279,FALSE)*VLOOKUP($A321,Weighting!$D$26:$G$30,MATCH(Segmented!$C$282,Weighting!$E$26:$H$26,0)+1,FALSE)+VLOOKUP($B321&amp;$D$282&amp;$G321,$E$6:$U$275,T$279,FALSE)*VLOOKUP($A321,Weighting!$D$26:$G$30,MATCH(Segmented!$D$282,Weighting!$E$26:$H$26,0)+1,FALSE)+VLOOKUP($B321&amp;$E$282&amp;$G321,$E$6:$U$275,T$279,FALSE)*VLOOKUP($A321,Weighting!$D$26:$G$30,MATCH(Segmented!$E$282,Weighting!$E$26:$H$26,0)+1,FALSE)</f>
        <v>0</v>
      </c>
    </row>
    <row r="322" spans="1:20" ht="25.5">
      <c r="A322" t="s">
        <v>229</v>
      </c>
      <c r="B322" t="s">
        <v>229</v>
      </c>
      <c r="F322" s="55" t="str">
        <f t="shared" si="11"/>
        <v>WINDOW CL30 Prime Window Replacement of Single Pane Base_Heat Pump</v>
      </c>
      <c r="G322" s="53" t="s">
        <v>93</v>
      </c>
      <c r="H322" s="31">
        <f>VLOOKUP($B322&amp;$C$282&amp;$G322,$E$6:$U$275,H$279,FALSE)*VLOOKUP($A322,Weighting!$D$26:$G$30,MATCH(Segmented!$C$282,Weighting!$E$26:$H$26,0)+1,FALSE)+VLOOKUP($B322&amp;$D$282&amp;$G322,$E$6:$U$275,H$279,FALSE)*VLOOKUP($A322,Weighting!$D$26:$G$30,MATCH(Segmented!$D$282,Weighting!$E$26:$H$26,0)+1,FALSE)+VLOOKUP($B322&amp;$E$282&amp;$G322,$E$6:$U$275,H$279,FALSE)*VLOOKUP($A322,Weighting!$D$26:$G$30,MATCH(Segmented!$E$282,Weighting!$E$26:$H$26,0)+1,FALSE)</f>
        <v>518.03520035066708</v>
      </c>
      <c r="I322">
        <f t="shared" si="12"/>
        <v>45</v>
      </c>
      <c r="J322" s="31">
        <f>VLOOKUP($B322&amp;$C$282&amp;$G322,$E$6:$U$275,J$279,FALSE)*VLOOKUP($A322,Weighting!$D$26:$G$30,MATCH(Segmented!$C$282,Weighting!$E$26:$H$26,0)+1,FALSE)+VLOOKUP($B322&amp;$D$282&amp;$G322,$E$6:$U$275,J$279,FALSE)*VLOOKUP($A322,Weighting!$D$26:$G$30,MATCH(Segmented!$D$282,Weighting!$E$26:$H$26,0)+1,FALSE)+VLOOKUP($B322&amp;$E$282&amp;$G322,$E$6:$U$275,J$279,FALSE)*VLOOKUP($A322,Weighting!$D$26:$G$30,MATCH(Segmented!$E$282,Weighting!$E$26:$H$26,0)+1,FALSE)</f>
        <v>1405.8270926925682</v>
      </c>
      <c r="K322" s="31">
        <f>VLOOKUP($B322&amp;$C$282&amp;$G322,$E$6:$U$275,K$279,FALSE)*VLOOKUP($A322,Weighting!$D$26:$G$30,MATCH(Segmented!$C$282,Weighting!$E$26:$H$26,0)+1,FALSE)+VLOOKUP($B322&amp;$D$282&amp;$G322,$E$6:$U$275,K$279,FALSE)*VLOOKUP($A322,Weighting!$D$26:$G$30,MATCH(Segmented!$D$282,Weighting!$E$26:$H$26,0)+1,FALSE)+VLOOKUP($B322&amp;$E$282&amp;$G322,$E$6:$U$275,K$279,FALSE)*VLOOKUP($A322,Weighting!$D$26:$G$30,MATCH(Segmented!$E$282,Weighting!$E$26:$H$26,0)+1,FALSE)</f>
        <v>0</v>
      </c>
      <c r="L322" t="str">
        <f t="shared" si="13"/>
        <v>ResSpHtFAFZ3</v>
      </c>
      <c r="M322" s="31">
        <f>VLOOKUP($B322&amp;$C$282&amp;$G322,$E$6:$U$275,M$279,FALSE)*VLOOKUP($A322,Weighting!$D$26:$G$30,MATCH(Segmented!$C$282,Weighting!$E$26:$H$26,0)+1,FALSE)+VLOOKUP($B322&amp;$D$282&amp;$G322,$E$6:$U$275,M$279,FALSE)*VLOOKUP($A322,Weighting!$D$26:$G$30,MATCH(Segmented!$D$282,Weighting!$E$26:$H$26,0)+1,FALSE)+VLOOKUP($B322&amp;$E$282&amp;$G322,$E$6:$U$275,M$279,FALSE)*VLOOKUP($A322,Weighting!$D$26:$G$30,MATCH(Segmented!$E$282,Weighting!$E$26:$H$26,0)+1,FALSE)</f>
        <v>5.6403982124538938</v>
      </c>
      <c r="N322" s="31">
        <f>VLOOKUP($B322&amp;$C$282&amp;$G322,$E$6:$U$275,N$279,FALSE)*VLOOKUP($A322,Weighting!$D$26:$G$30,MATCH(Segmented!$C$282,Weighting!$E$26:$H$26,0)+1,FALSE)+VLOOKUP($B322&amp;$D$282&amp;$G322,$E$6:$U$275,N$279,FALSE)*VLOOKUP($A322,Weighting!$D$26:$G$30,MATCH(Segmented!$D$282,Weighting!$E$26:$H$26,0)+1,FALSE)+VLOOKUP($B322&amp;$E$282&amp;$G322,$E$6:$U$275,N$279,FALSE)*VLOOKUP($A322,Weighting!$D$26:$G$30,MATCH(Segmented!$E$282,Weighting!$E$26:$H$26,0)+1,FALSE)</f>
        <v>0</v>
      </c>
      <c r="O322">
        <f t="shared" si="14"/>
        <v>0</v>
      </c>
      <c r="P322" s="31">
        <f>VLOOKUP($B322&amp;$C$282&amp;$G322,$E$6:$U$275,P$279,FALSE)*VLOOKUP($A322,Weighting!$D$26:$G$30,MATCH(Segmented!$C$282,Weighting!$E$26:$H$26,0)+1,FALSE)+VLOOKUP($B322&amp;$D$282&amp;$G322,$E$6:$U$275,P$279,FALSE)*VLOOKUP($A322,Weighting!$D$26:$G$30,MATCH(Segmented!$D$282,Weighting!$E$26:$H$26,0)+1,FALSE)+VLOOKUP($B322&amp;$E$282&amp;$G322,$E$6:$U$275,P$279,FALSE)*VLOOKUP($A322,Weighting!$D$26:$G$30,MATCH(Segmented!$E$282,Weighting!$E$26:$H$26,0)+1,FALSE)</f>
        <v>0</v>
      </c>
      <c r="Q322">
        <f t="shared" si="15"/>
        <v>0</v>
      </c>
      <c r="R322" s="31">
        <f>VLOOKUP($B322&amp;$C$282&amp;$G322,$E$6:$U$275,R$279,FALSE)*VLOOKUP($A322,Weighting!$D$26:$G$30,MATCH(Segmented!$C$282,Weighting!$E$26:$H$26,0)+1,FALSE)+VLOOKUP($B322&amp;$D$282&amp;$G322,$E$6:$U$275,R$279,FALSE)*VLOOKUP($A322,Weighting!$D$26:$G$30,MATCH(Segmented!$D$282,Weighting!$E$26:$H$26,0)+1,FALSE)+VLOOKUP($B322&amp;$E$282&amp;$G322,$E$6:$U$275,R$279,FALSE)*VLOOKUP($A322,Weighting!$D$26:$G$30,MATCH(Segmented!$E$282,Weighting!$E$26:$H$26,0)+1,FALSE)</f>
        <v>0</v>
      </c>
      <c r="S322">
        <f t="shared" si="16"/>
        <v>0</v>
      </c>
      <c r="T322" s="31">
        <f>VLOOKUP($B322&amp;$C$282&amp;$G322,$E$6:$U$275,T$279,FALSE)*VLOOKUP($A322,Weighting!$D$26:$G$30,MATCH(Segmented!$C$282,Weighting!$E$26:$H$26,0)+1,FALSE)+VLOOKUP($B322&amp;$D$282&amp;$G322,$E$6:$U$275,T$279,FALSE)*VLOOKUP($A322,Weighting!$D$26:$G$30,MATCH(Segmented!$D$282,Weighting!$E$26:$H$26,0)+1,FALSE)+VLOOKUP($B322&amp;$E$282&amp;$G322,$E$6:$U$275,T$279,FALSE)*VLOOKUP($A322,Weighting!$D$26:$G$30,MATCH(Segmented!$E$282,Weighting!$E$26:$H$26,0)+1,FALSE)</f>
        <v>0</v>
      </c>
    </row>
    <row r="323" spans="1:20" ht="25.5">
      <c r="A323" t="s">
        <v>229</v>
      </c>
      <c r="B323" t="s">
        <v>229</v>
      </c>
      <c r="F323" s="55" t="str">
        <f t="shared" si="11"/>
        <v>WINDOW CL30 Prime Window Replacement of Double Pane Base_Heat Pump</v>
      </c>
      <c r="G323" s="53" t="s">
        <v>95</v>
      </c>
      <c r="H323" s="31">
        <f>VLOOKUP($B323&amp;$C$282&amp;$G323,$E$6:$U$275,H$279,FALSE)*VLOOKUP($A323,Weighting!$D$26:$G$30,MATCH(Segmented!$C$282,Weighting!$E$26:$H$26,0)+1,FALSE)+VLOOKUP($B323&amp;$D$282&amp;$G323,$E$6:$U$275,H$279,FALSE)*VLOOKUP($A323,Weighting!$D$26:$G$30,MATCH(Segmented!$D$282,Weighting!$E$26:$H$26,0)+1,FALSE)+VLOOKUP($B323&amp;$E$282&amp;$G323,$E$6:$U$275,H$279,FALSE)*VLOOKUP($A323,Weighting!$D$26:$G$30,MATCH(Segmented!$E$282,Weighting!$E$26:$H$26,0)+1,FALSE)</f>
        <v>233.6035403810379</v>
      </c>
      <c r="I323">
        <f t="shared" si="12"/>
        <v>45</v>
      </c>
      <c r="J323" s="31">
        <f>VLOOKUP($B323&amp;$C$282&amp;$G323,$E$6:$U$275,J$279,FALSE)*VLOOKUP($A323,Weighting!$D$26:$G$30,MATCH(Segmented!$C$282,Weighting!$E$26:$H$26,0)+1,FALSE)+VLOOKUP($B323&amp;$D$282&amp;$G323,$E$6:$U$275,J$279,FALSE)*VLOOKUP($A323,Weighting!$D$26:$G$30,MATCH(Segmented!$D$282,Weighting!$E$26:$H$26,0)+1,FALSE)+VLOOKUP($B323&amp;$E$282&amp;$G323,$E$6:$U$275,J$279,FALSE)*VLOOKUP($A323,Weighting!$D$26:$G$30,MATCH(Segmented!$E$282,Weighting!$E$26:$H$26,0)+1,FALSE)</f>
        <v>1405.8270926925682</v>
      </c>
      <c r="K323" s="31">
        <f>VLOOKUP($B323&amp;$C$282&amp;$G323,$E$6:$U$275,K$279,FALSE)*VLOOKUP($A323,Weighting!$D$26:$G$30,MATCH(Segmented!$C$282,Weighting!$E$26:$H$26,0)+1,FALSE)+VLOOKUP($B323&amp;$D$282&amp;$G323,$E$6:$U$275,K$279,FALSE)*VLOOKUP($A323,Weighting!$D$26:$G$30,MATCH(Segmented!$D$282,Weighting!$E$26:$H$26,0)+1,FALSE)+VLOOKUP($B323&amp;$E$282&amp;$G323,$E$6:$U$275,K$279,FALSE)*VLOOKUP($A323,Weighting!$D$26:$G$30,MATCH(Segmented!$E$282,Weighting!$E$26:$H$26,0)+1,FALSE)</f>
        <v>0</v>
      </c>
      <c r="L323" t="str">
        <f t="shared" si="13"/>
        <v>ResSpHtFAFZ3</v>
      </c>
      <c r="M323" s="31">
        <f>VLOOKUP($B323&amp;$C$282&amp;$G323,$E$6:$U$275,M$279,FALSE)*VLOOKUP($A323,Weighting!$D$26:$G$30,MATCH(Segmented!$C$282,Weighting!$E$26:$H$26,0)+1,FALSE)+VLOOKUP($B323&amp;$D$282&amp;$G323,$E$6:$U$275,M$279,FALSE)*VLOOKUP($A323,Weighting!$D$26:$G$30,MATCH(Segmented!$D$282,Weighting!$E$26:$H$26,0)+1,FALSE)+VLOOKUP($B323&amp;$E$282&amp;$G323,$E$6:$U$275,M$279,FALSE)*VLOOKUP($A323,Weighting!$D$26:$G$30,MATCH(Segmented!$E$282,Weighting!$E$26:$H$26,0)+1,FALSE)</f>
        <v>2.4543019401947928</v>
      </c>
      <c r="N323" s="31">
        <f>VLOOKUP($B323&amp;$C$282&amp;$G323,$E$6:$U$275,N$279,FALSE)*VLOOKUP($A323,Weighting!$D$26:$G$30,MATCH(Segmented!$C$282,Weighting!$E$26:$H$26,0)+1,FALSE)+VLOOKUP($B323&amp;$D$282&amp;$G323,$E$6:$U$275,N$279,FALSE)*VLOOKUP($A323,Weighting!$D$26:$G$30,MATCH(Segmented!$D$282,Weighting!$E$26:$H$26,0)+1,FALSE)+VLOOKUP($B323&amp;$E$282&amp;$G323,$E$6:$U$275,N$279,FALSE)*VLOOKUP($A323,Weighting!$D$26:$G$30,MATCH(Segmented!$E$282,Weighting!$E$26:$H$26,0)+1,FALSE)</f>
        <v>0</v>
      </c>
      <c r="O323">
        <f t="shared" si="14"/>
        <v>0</v>
      </c>
      <c r="P323" s="31">
        <f>VLOOKUP($B323&amp;$C$282&amp;$G323,$E$6:$U$275,P$279,FALSE)*VLOOKUP($A323,Weighting!$D$26:$G$30,MATCH(Segmented!$C$282,Weighting!$E$26:$H$26,0)+1,FALSE)+VLOOKUP($B323&amp;$D$282&amp;$G323,$E$6:$U$275,P$279,FALSE)*VLOOKUP($A323,Weighting!$D$26:$G$30,MATCH(Segmented!$D$282,Weighting!$E$26:$H$26,0)+1,FALSE)+VLOOKUP($B323&amp;$E$282&amp;$G323,$E$6:$U$275,P$279,FALSE)*VLOOKUP($A323,Weighting!$D$26:$G$30,MATCH(Segmented!$E$282,Weighting!$E$26:$H$26,0)+1,FALSE)</f>
        <v>0</v>
      </c>
      <c r="Q323">
        <f t="shared" si="15"/>
        <v>0</v>
      </c>
      <c r="R323" s="31">
        <f>VLOOKUP($B323&amp;$C$282&amp;$G323,$E$6:$U$275,R$279,FALSE)*VLOOKUP($A323,Weighting!$D$26:$G$30,MATCH(Segmented!$C$282,Weighting!$E$26:$H$26,0)+1,FALSE)+VLOOKUP($B323&amp;$D$282&amp;$G323,$E$6:$U$275,R$279,FALSE)*VLOOKUP($A323,Weighting!$D$26:$G$30,MATCH(Segmented!$D$282,Weighting!$E$26:$H$26,0)+1,FALSE)+VLOOKUP($B323&amp;$E$282&amp;$G323,$E$6:$U$275,R$279,FALSE)*VLOOKUP($A323,Weighting!$D$26:$G$30,MATCH(Segmented!$E$282,Weighting!$E$26:$H$26,0)+1,FALSE)</f>
        <v>0</v>
      </c>
      <c r="S323">
        <f t="shared" si="16"/>
        <v>0</v>
      </c>
      <c r="T323" s="31">
        <f>VLOOKUP($B323&amp;$C$282&amp;$G323,$E$6:$U$275,T$279,FALSE)*VLOOKUP($A323,Weighting!$D$26:$G$30,MATCH(Segmented!$C$282,Weighting!$E$26:$H$26,0)+1,FALSE)+VLOOKUP($B323&amp;$D$282&amp;$G323,$E$6:$U$275,T$279,FALSE)*VLOOKUP($A323,Weighting!$D$26:$G$30,MATCH(Segmented!$D$282,Weighting!$E$26:$H$26,0)+1,FALSE)+VLOOKUP($B323&amp;$E$282&amp;$G323,$E$6:$U$275,T$279,FALSE)*VLOOKUP($A323,Weighting!$D$26:$G$30,MATCH(Segmented!$E$282,Weighting!$E$26:$H$26,0)+1,FALSE)</f>
        <v>0</v>
      </c>
    </row>
    <row r="324" spans="1:20" ht="25.5">
      <c r="A324" t="s">
        <v>229</v>
      </c>
      <c r="B324" t="s">
        <v>229</v>
      </c>
      <c r="F324" s="55" t="str">
        <f t="shared" si="11"/>
        <v>WINDOW CL22 Prime Window Replacement of Single Pane Base_Heat Pump</v>
      </c>
      <c r="G324" s="53" t="s">
        <v>99</v>
      </c>
      <c r="H324" s="31">
        <f>VLOOKUP($B324&amp;$C$282&amp;$G324,$E$6:$U$275,H$279,FALSE)*VLOOKUP($A324,Weighting!$D$26:$G$30,MATCH(Segmented!$C$282,Weighting!$E$26:$H$26,0)+1,FALSE)+VLOOKUP($B324&amp;$D$282&amp;$G324,$E$6:$U$275,H$279,FALSE)*VLOOKUP($A324,Weighting!$D$26:$G$30,MATCH(Segmented!$D$282,Weighting!$E$26:$H$26,0)+1,FALSE)+VLOOKUP($B324&amp;$E$282&amp;$G324,$E$6:$U$275,H$279,FALSE)*VLOOKUP($A324,Weighting!$D$26:$G$30,MATCH(Segmented!$E$282,Weighting!$E$26:$H$26,0)+1,FALSE)</f>
        <v>568.40057549294102</v>
      </c>
      <c r="I324">
        <f t="shared" si="12"/>
        <v>45</v>
      </c>
      <c r="J324" s="31">
        <f>VLOOKUP($B324&amp;$C$282&amp;$G324,$E$6:$U$275,J$279,FALSE)*VLOOKUP($A324,Weighting!$D$26:$G$30,MATCH(Segmented!$C$282,Weighting!$E$26:$H$26,0)+1,FALSE)+VLOOKUP($B324&amp;$D$282&amp;$G324,$E$6:$U$275,J$279,FALSE)*VLOOKUP($A324,Weighting!$D$26:$G$30,MATCH(Segmented!$D$282,Weighting!$E$26:$H$26,0)+1,FALSE)+VLOOKUP($B324&amp;$E$282&amp;$G324,$E$6:$U$275,J$279,FALSE)*VLOOKUP($A324,Weighting!$D$26:$G$30,MATCH(Segmented!$E$282,Weighting!$E$26:$H$26,0)+1,FALSE)</f>
        <v>1655.6474837848516</v>
      </c>
      <c r="K324" s="31">
        <f>VLOOKUP($B324&amp;$C$282&amp;$G324,$E$6:$U$275,K$279,FALSE)*VLOOKUP($A324,Weighting!$D$26:$G$30,MATCH(Segmented!$C$282,Weighting!$E$26:$H$26,0)+1,FALSE)+VLOOKUP($B324&amp;$D$282&amp;$G324,$E$6:$U$275,K$279,FALSE)*VLOOKUP($A324,Weighting!$D$26:$G$30,MATCH(Segmented!$D$282,Weighting!$E$26:$H$26,0)+1,FALSE)+VLOOKUP($B324&amp;$E$282&amp;$G324,$E$6:$U$275,K$279,FALSE)*VLOOKUP($A324,Weighting!$D$26:$G$30,MATCH(Segmented!$E$282,Weighting!$E$26:$H$26,0)+1,FALSE)</f>
        <v>0</v>
      </c>
      <c r="L324" t="str">
        <f t="shared" si="13"/>
        <v>ResSpHtFAFZ3</v>
      </c>
      <c r="M324" s="31">
        <f>VLOOKUP($B324&amp;$C$282&amp;$G324,$E$6:$U$275,M$279,FALSE)*VLOOKUP($A324,Weighting!$D$26:$G$30,MATCH(Segmented!$C$282,Weighting!$E$26:$H$26,0)+1,FALSE)+VLOOKUP($B324&amp;$D$282&amp;$G324,$E$6:$U$275,M$279,FALSE)*VLOOKUP($A324,Weighting!$D$26:$G$30,MATCH(Segmented!$D$282,Weighting!$E$26:$H$26,0)+1,FALSE)+VLOOKUP($B324&amp;$E$282&amp;$G324,$E$6:$U$275,M$279,FALSE)*VLOOKUP($A324,Weighting!$D$26:$G$30,MATCH(Segmented!$E$282,Weighting!$E$26:$H$26,0)+1,FALSE)</f>
        <v>6.3171747263247342</v>
      </c>
      <c r="N324" s="31">
        <f>VLOOKUP($B324&amp;$C$282&amp;$G324,$E$6:$U$275,N$279,FALSE)*VLOOKUP($A324,Weighting!$D$26:$G$30,MATCH(Segmented!$C$282,Weighting!$E$26:$H$26,0)+1,FALSE)+VLOOKUP($B324&amp;$D$282&amp;$G324,$E$6:$U$275,N$279,FALSE)*VLOOKUP($A324,Weighting!$D$26:$G$30,MATCH(Segmented!$D$282,Weighting!$E$26:$H$26,0)+1,FALSE)+VLOOKUP($B324&amp;$E$282&amp;$G324,$E$6:$U$275,N$279,FALSE)*VLOOKUP($A324,Weighting!$D$26:$G$30,MATCH(Segmented!$E$282,Weighting!$E$26:$H$26,0)+1,FALSE)</f>
        <v>0</v>
      </c>
      <c r="O324">
        <f t="shared" si="14"/>
        <v>0</v>
      </c>
      <c r="P324" s="31">
        <f>VLOOKUP($B324&amp;$C$282&amp;$G324,$E$6:$U$275,P$279,FALSE)*VLOOKUP($A324,Weighting!$D$26:$G$30,MATCH(Segmented!$C$282,Weighting!$E$26:$H$26,0)+1,FALSE)+VLOOKUP($B324&amp;$D$282&amp;$G324,$E$6:$U$275,P$279,FALSE)*VLOOKUP($A324,Weighting!$D$26:$G$30,MATCH(Segmented!$D$282,Weighting!$E$26:$H$26,0)+1,FALSE)+VLOOKUP($B324&amp;$E$282&amp;$G324,$E$6:$U$275,P$279,FALSE)*VLOOKUP($A324,Weighting!$D$26:$G$30,MATCH(Segmented!$E$282,Weighting!$E$26:$H$26,0)+1,FALSE)</f>
        <v>0</v>
      </c>
      <c r="Q324">
        <f t="shared" si="15"/>
        <v>0</v>
      </c>
      <c r="R324" s="31">
        <f>VLOOKUP($B324&amp;$C$282&amp;$G324,$E$6:$U$275,R$279,FALSE)*VLOOKUP($A324,Weighting!$D$26:$G$30,MATCH(Segmented!$C$282,Weighting!$E$26:$H$26,0)+1,FALSE)+VLOOKUP($B324&amp;$D$282&amp;$G324,$E$6:$U$275,R$279,FALSE)*VLOOKUP($A324,Weighting!$D$26:$G$30,MATCH(Segmented!$D$282,Weighting!$E$26:$H$26,0)+1,FALSE)+VLOOKUP($B324&amp;$E$282&amp;$G324,$E$6:$U$275,R$279,FALSE)*VLOOKUP($A324,Weighting!$D$26:$G$30,MATCH(Segmented!$E$282,Weighting!$E$26:$H$26,0)+1,FALSE)</f>
        <v>0</v>
      </c>
      <c r="S324">
        <f t="shared" si="16"/>
        <v>0</v>
      </c>
      <c r="T324" s="31">
        <f>VLOOKUP($B324&amp;$C$282&amp;$G324,$E$6:$U$275,T$279,FALSE)*VLOOKUP($A324,Weighting!$D$26:$G$30,MATCH(Segmented!$C$282,Weighting!$E$26:$H$26,0)+1,FALSE)+VLOOKUP($B324&amp;$D$282&amp;$G324,$E$6:$U$275,T$279,FALSE)*VLOOKUP($A324,Weighting!$D$26:$G$30,MATCH(Segmented!$D$282,Weighting!$E$26:$H$26,0)+1,FALSE)+VLOOKUP($B324&amp;$E$282&amp;$G324,$E$6:$U$275,T$279,FALSE)*VLOOKUP($A324,Weighting!$D$26:$G$30,MATCH(Segmented!$E$282,Weighting!$E$26:$H$26,0)+1,FALSE)</f>
        <v>0</v>
      </c>
    </row>
    <row r="325" spans="1:20" ht="25.5">
      <c r="A325" t="s">
        <v>229</v>
      </c>
      <c r="B325" t="s">
        <v>229</v>
      </c>
      <c r="F325" s="55" t="str">
        <f t="shared" si="11"/>
        <v>WINDOW CL22 Prime Window Replacement of Double Pane Base_Heat Pump</v>
      </c>
      <c r="G325" s="53" t="s">
        <v>101</v>
      </c>
      <c r="H325" s="31">
        <f>VLOOKUP($B325&amp;$C$282&amp;$G325,$E$6:$U$275,H$279,FALSE)*VLOOKUP($A325,Weighting!$D$26:$G$30,MATCH(Segmented!$C$282,Weighting!$E$26:$H$26,0)+1,FALSE)+VLOOKUP($B325&amp;$D$282&amp;$G325,$E$6:$U$275,H$279,FALSE)*VLOOKUP($A325,Weighting!$D$26:$G$30,MATCH(Segmented!$D$282,Weighting!$E$26:$H$26,0)+1,FALSE)+VLOOKUP($B325&amp;$E$282&amp;$G325,$E$6:$U$275,H$279,FALSE)*VLOOKUP($A325,Weighting!$D$26:$G$30,MATCH(Segmented!$E$282,Weighting!$E$26:$H$26,0)+1,FALSE)</f>
        <v>274.16666278828347</v>
      </c>
      <c r="I325">
        <f t="shared" si="12"/>
        <v>45</v>
      </c>
      <c r="J325" s="31">
        <f>VLOOKUP($B325&amp;$C$282&amp;$G325,$E$6:$U$275,J$279,FALSE)*VLOOKUP($A325,Weighting!$D$26:$G$30,MATCH(Segmented!$C$282,Weighting!$E$26:$H$26,0)+1,FALSE)+VLOOKUP($B325&amp;$D$282&amp;$G325,$E$6:$U$275,J$279,FALSE)*VLOOKUP($A325,Weighting!$D$26:$G$30,MATCH(Segmented!$D$282,Weighting!$E$26:$H$26,0)+1,FALSE)+VLOOKUP($B325&amp;$E$282&amp;$G325,$E$6:$U$275,J$279,FALSE)*VLOOKUP($A325,Weighting!$D$26:$G$30,MATCH(Segmented!$E$282,Weighting!$E$26:$H$26,0)+1,FALSE)</f>
        <v>1655.6474837848516</v>
      </c>
      <c r="K325" s="31">
        <f>VLOOKUP($B325&amp;$C$282&amp;$G325,$E$6:$U$275,K$279,FALSE)*VLOOKUP($A325,Weighting!$D$26:$G$30,MATCH(Segmented!$C$282,Weighting!$E$26:$H$26,0)+1,FALSE)+VLOOKUP($B325&amp;$D$282&amp;$G325,$E$6:$U$275,K$279,FALSE)*VLOOKUP($A325,Weighting!$D$26:$G$30,MATCH(Segmented!$D$282,Weighting!$E$26:$H$26,0)+1,FALSE)+VLOOKUP($B325&amp;$E$282&amp;$G325,$E$6:$U$275,K$279,FALSE)*VLOOKUP($A325,Weighting!$D$26:$G$30,MATCH(Segmented!$E$282,Weighting!$E$26:$H$26,0)+1,FALSE)</f>
        <v>0</v>
      </c>
      <c r="L325" t="str">
        <f t="shared" si="13"/>
        <v>ResSpHtFAFZ3</v>
      </c>
      <c r="M325" s="31">
        <f>VLOOKUP($B325&amp;$C$282&amp;$G325,$E$6:$U$275,M$279,FALSE)*VLOOKUP($A325,Weighting!$D$26:$G$30,MATCH(Segmented!$C$282,Weighting!$E$26:$H$26,0)+1,FALSE)+VLOOKUP($B325&amp;$D$282&amp;$G325,$E$6:$U$275,M$279,FALSE)*VLOOKUP($A325,Weighting!$D$26:$G$30,MATCH(Segmented!$D$282,Weighting!$E$26:$H$26,0)+1,FALSE)+VLOOKUP($B325&amp;$E$282&amp;$G325,$E$6:$U$275,M$279,FALSE)*VLOOKUP($A325,Weighting!$D$26:$G$30,MATCH(Segmented!$E$282,Weighting!$E$26:$H$26,0)+1,FALSE)</f>
        <v>2.9841685010178933</v>
      </c>
      <c r="N325" s="31">
        <f>VLOOKUP($B325&amp;$C$282&amp;$G325,$E$6:$U$275,N$279,FALSE)*VLOOKUP($A325,Weighting!$D$26:$G$30,MATCH(Segmented!$C$282,Weighting!$E$26:$H$26,0)+1,FALSE)+VLOOKUP($B325&amp;$D$282&amp;$G325,$E$6:$U$275,N$279,FALSE)*VLOOKUP($A325,Weighting!$D$26:$G$30,MATCH(Segmented!$D$282,Weighting!$E$26:$H$26,0)+1,FALSE)+VLOOKUP($B325&amp;$E$282&amp;$G325,$E$6:$U$275,N$279,FALSE)*VLOOKUP($A325,Weighting!$D$26:$G$30,MATCH(Segmented!$E$282,Weighting!$E$26:$H$26,0)+1,FALSE)</f>
        <v>0</v>
      </c>
      <c r="O325">
        <f t="shared" si="14"/>
        <v>0</v>
      </c>
      <c r="P325" s="31">
        <f>VLOOKUP($B325&amp;$C$282&amp;$G325,$E$6:$U$275,P$279,FALSE)*VLOOKUP($A325,Weighting!$D$26:$G$30,MATCH(Segmented!$C$282,Weighting!$E$26:$H$26,0)+1,FALSE)+VLOOKUP($B325&amp;$D$282&amp;$G325,$E$6:$U$275,P$279,FALSE)*VLOOKUP($A325,Weighting!$D$26:$G$30,MATCH(Segmented!$D$282,Weighting!$E$26:$H$26,0)+1,FALSE)+VLOOKUP($B325&amp;$E$282&amp;$G325,$E$6:$U$275,P$279,FALSE)*VLOOKUP($A325,Weighting!$D$26:$G$30,MATCH(Segmented!$E$282,Weighting!$E$26:$H$26,0)+1,FALSE)</f>
        <v>0</v>
      </c>
      <c r="Q325">
        <f t="shared" si="15"/>
        <v>0</v>
      </c>
      <c r="R325" s="31">
        <f>VLOOKUP($B325&amp;$C$282&amp;$G325,$E$6:$U$275,R$279,FALSE)*VLOOKUP($A325,Weighting!$D$26:$G$30,MATCH(Segmented!$C$282,Weighting!$E$26:$H$26,0)+1,FALSE)+VLOOKUP($B325&amp;$D$282&amp;$G325,$E$6:$U$275,R$279,FALSE)*VLOOKUP($A325,Weighting!$D$26:$G$30,MATCH(Segmented!$D$282,Weighting!$E$26:$H$26,0)+1,FALSE)+VLOOKUP($B325&amp;$E$282&amp;$G325,$E$6:$U$275,R$279,FALSE)*VLOOKUP($A325,Weighting!$D$26:$G$30,MATCH(Segmented!$E$282,Weighting!$E$26:$H$26,0)+1,FALSE)</f>
        <v>0</v>
      </c>
      <c r="S325">
        <f t="shared" si="16"/>
        <v>0</v>
      </c>
      <c r="T325" s="31">
        <f>VLOOKUP($B325&amp;$C$282&amp;$G325,$E$6:$U$275,T$279,FALSE)*VLOOKUP($A325,Weighting!$D$26:$G$30,MATCH(Segmented!$C$282,Weighting!$E$26:$H$26,0)+1,FALSE)+VLOOKUP($B325&amp;$D$282&amp;$G325,$E$6:$U$275,T$279,FALSE)*VLOOKUP($A325,Weighting!$D$26:$G$30,MATCH(Segmented!$D$282,Weighting!$E$26:$H$26,0)+1,FALSE)+VLOOKUP($B325&amp;$E$282&amp;$G325,$E$6:$U$275,T$279,FALSE)*VLOOKUP($A325,Weighting!$D$26:$G$30,MATCH(Segmented!$E$282,Weighting!$E$26:$H$26,0)+1,FALSE)</f>
        <v>0</v>
      </c>
    </row>
    <row r="326" spans="1:20">
      <c r="A326" t="s">
        <v>229</v>
      </c>
      <c r="B326" t="s">
        <v>229</v>
      </c>
      <c r="F326" s="55" t="str">
        <f t="shared" si="11"/>
        <v>CFM50 Infiltration Reduction_Heat Pump</v>
      </c>
      <c r="G326" s="305" t="s">
        <v>1362</v>
      </c>
      <c r="H326" s="31">
        <f>VLOOKUP($B326&amp;$C$282&amp;$G326,$E$6:$U$275,H$279,FALSE)*VLOOKUP($A326,Weighting!$D$26:$G$30,MATCH(Segmented!$C$282,Weighting!$E$26:$H$26,0)+1,FALSE)+VLOOKUP($B326&amp;$D$282&amp;$G326,$E$6:$U$275,H$279,FALSE)*VLOOKUP($A326,Weighting!$D$26:$G$30,MATCH(Segmented!$D$282,Weighting!$E$26:$H$26,0)+1,FALSE)+VLOOKUP($B326&amp;$E$282&amp;$G326,$E$6:$U$275,H$279,FALSE)*VLOOKUP($A326,Weighting!$D$26:$G$30,MATCH(Segmented!$E$282,Weighting!$E$26:$H$26,0)+1,FALSE)</f>
        <v>223.57806931485834</v>
      </c>
      <c r="I326">
        <f t="shared" si="12"/>
        <v>15</v>
      </c>
      <c r="J326" s="31">
        <f>VLOOKUP($B326&amp;$C$282&amp;$G326,$E$6:$U$275,J$279,FALSE)*VLOOKUP($A326,Weighting!$D$26:$G$30,MATCH(Segmented!$C$282,Weighting!$E$26:$H$26,0)+1,FALSE)+VLOOKUP($B326&amp;$D$282&amp;$G326,$E$6:$U$275,J$279,FALSE)*VLOOKUP($A326,Weighting!$D$26:$G$30,MATCH(Segmented!$D$282,Weighting!$E$26:$H$26,0)+1,FALSE)+VLOOKUP($B326&amp;$E$282&amp;$G326,$E$6:$U$275,J$279,FALSE)*VLOOKUP($A326,Weighting!$D$26:$G$30,MATCH(Segmented!$E$282,Weighting!$E$26:$H$26,0)+1,FALSE)</f>
        <v>562.51108736151139</v>
      </c>
      <c r="K326" s="31">
        <f>VLOOKUP($B326&amp;$C$282&amp;$G326,$E$6:$U$275,K$279,FALSE)*VLOOKUP($A326,Weighting!$D$26:$G$30,MATCH(Segmented!$C$282,Weighting!$E$26:$H$26,0)+1,FALSE)+VLOOKUP($B326&amp;$D$282&amp;$G326,$E$6:$U$275,K$279,FALSE)*VLOOKUP($A326,Weighting!$D$26:$G$30,MATCH(Segmented!$D$282,Weighting!$E$26:$H$26,0)+1,FALSE)+VLOOKUP($B326&amp;$E$282&amp;$G326,$E$6:$U$275,K$279,FALSE)*VLOOKUP($A326,Weighting!$D$26:$G$30,MATCH(Segmented!$E$282,Weighting!$E$26:$H$26,0)+1,FALSE)</f>
        <v>0</v>
      </c>
      <c r="L326" t="str">
        <f t="shared" si="13"/>
        <v>ResSpHtFAFZ3</v>
      </c>
      <c r="M326" s="31">
        <f>VLOOKUP($B326&amp;$C$282&amp;$G326,$E$6:$U$275,M$279,FALSE)*VLOOKUP($A326,Weighting!$D$26:$G$30,MATCH(Segmented!$C$282,Weighting!$E$26:$H$26,0)+1,FALSE)+VLOOKUP($B326&amp;$D$282&amp;$G326,$E$6:$U$275,M$279,FALSE)*VLOOKUP($A326,Weighting!$D$26:$G$30,MATCH(Segmented!$D$282,Weighting!$E$26:$H$26,0)+1,FALSE)+VLOOKUP($B326&amp;$E$282&amp;$G326,$E$6:$U$275,M$279,FALSE)*VLOOKUP($A326,Weighting!$D$26:$G$30,MATCH(Segmented!$E$282,Weighting!$E$26:$H$26,0)+1,FALSE)</f>
        <v>2.5207668279130764</v>
      </c>
      <c r="N326" s="31">
        <f>VLOOKUP($B326&amp;$C$282&amp;$G326,$E$6:$U$275,N$279,FALSE)*VLOOKUP($A326,Weighting!$D$26:$G$30,MATCH(Segmented!$C$282,Weighting!$E$26:$H$26,0)+1,FALSE)+VLOOKUP($B326&amp;$D$282&amp;$G326,$E$6:$U$275,N$279,FALSE)*VLOOKUP($A326,Weighting!$D$26:$G$30,MATCH(Segmented!$D$282,Weighting!$E$26:$H$26,0)+1,FALSE)+VLOOKUP($B326&amp;$E$282&amp;$G326,$E$6:$U$275,N$279,FALSE)*VLOOKUP($A326,Weighting!$D$26:$G$30,MATCH(Segmented!$E$282,Weighting!$E$26:$H$26,0)+1,FALSE)</f>
        <v>0</v>
      </c>
      <c r="O326">
        <f t="shared" si="14"/>
        <v>0</v>
      </c>
      <c r="P326" s="31">
        <f>VLOOKUP($B326&amp;$C$282&amp;$G326,$E$6:$U$275,P$279,FALSE)*VLOOKUP($A326,Weighting!$D$26:$G$30,MATCH(Segmented!$C$282,Weighting!$E$26:$H$26,0)+1,FALSE)+VLOOKUP($B326&amp;$D$282&amp;$G326,$E$6:$U$275,P$279,FALSE)*VLOOKUP($A326,Weighting!$D$26:$G$30,MATCH(Segmented!$D$282,Weighting!$E$26:$H$26,0)+1,FALSE)+VLOOKUP($B326&amp;$E$282&amp;$G326,$E$6:$U$275,P$279,FALSE)*VLOOKUP($A326,Weighting!$D$26:$G$30,MATCH(Segmented!$E$282,Weighting!$E$26:$H$26,0)+1,FALSE)</f>
        <v>0</v>
      </c>
      <c r="Q326">
        <f t="shared" si="15"/>
        <v>0</v>
      </c>
      <c r="R326" s="31">
        <f>VLOOKUP($B326&amp;$C$282&amp;$G326,$E$6:$U$275,R$279,FALSE)*VLOOKUP($A326,Weighting!$D$26:$G$30,MATCH(Segmented!$C$282,Weighting!$E$26:$H$26,0)+1,FALSE)+VLOOKUP($B326&amp;$D$282&amp;$G326,$E$6:$U$275,R$279,FALSE)*VLOOKUP($A326,Weighting!$D$26:$G$30,MATCH(Segmented!$D$282,Weighting!$E$26:$H$26,0)+1,FALSE)+VLOOKUP($B326&amp;$E$282&amp;$G326,$E$6:$U$275,R$279,FALSE)*VLOOKUP($A326,Weighting!$D$26:$G$30,MATCH(Segmented!$E$282,Weighting!$E$26:$H$26,0)+1,FALSE)</f>
        <v>0</v>
      </c>
      <c r="S326">
        <f t="shared" si="16"/>
        <v>0</v>
      </c>
      <c r="T326" s="31">
        <f>VLOOKUP($B326&amp;$C$282&amp;$G326,$E$6:$U$275,T$279,FALSE)*VLOOKUP($A326,Weighting!$D$26:$G$30,MATCH(Segmented!$C$282,Weighting!$E$26:$H$26,0)+1,FALSE)+VLOOKUP($B326&amp;$D$282&amp;$G326,$E$6:$U$275,T$279,FALSE)*VLOOKUP($A326,Weighting!$D$26:$G$30,MATCH(Segmented!$D$282,Weighting!$E$26:$H$26,0)+1,FALSE)+VLOOKUP($B326&amp;$E$282&amp;$G326,$E$6:$U$275,T$279,FALSE)*VLOOKUP($A326,Weighting!$D$26:$G$30,MATCH(Segmented!$E$282,Weighting!$E$26:$H$26,0)+1,FALSE)</f>
        <v>0</v>
      </c>
    </row>
    <row r="327" spans="1:20">
      <c r="A327" t="s">
        <v>353</v>
      </c>
      <c r="B327" t="s">
        <v>1359</v>
      </c>
      <c r="F327" s="55" t="str">
        <f t="shared" si="11"/>
        <v>ATTIC R0 - R38_DHP</v>
      </c>
      <c r="G327" s="53" t="s">
        <v>68</v>
      </c>
      <c r="H327" s="31">
        <f>VLOOKUP($B327&amp;$C$282&amp;$G327,$E$6:$U$275,H$279,FALSE)*VLOOKUP($A327,Weighting!$D$26:$G$30,MATCH(Segmented!$C$282,Weighting!$E$26:$H$26,0)+1,FALSE)+VLOOKUP($B327&amp;$D$282&amp;$G327,$E$6:$U$275,H$279,FALSE)*VLOOKUP($A327,Weighting!$D$26:$G$30,MATCH(Segmented!$D$282,Weighting!$E$26:$H$26,0)+1,FALSE)+VLOOKUP($B327&amp;$E$282&amp;$G327,$E$6:$U$275,H$279,FALSE)*VLOOKUP($A327,Weighting!$D$26:$G$30,MATCH(Segmented!$E$282,Weighting!$E$26:$H$26,0)+1,FALSE)</f>
        <v>1173.4276067115773</v>
      </c>
      <c r="I327">
        <f t="shared" si="12"/>
        <v>45</v>
      </c>
      <c r="J327" s="31">
        <f>VLOOKUP($B327&amp;$C$282&amp;$G327,$E$6:$U$275,J$279,FALSE)*VLOOKUP($A327,Weighting!$D$26:$G$30,MATCH(Segmented!$C$282,Weighting!$E$26:$H$26,0)+1,FALSE)+VLOOKUP($B327&amp;$D$282&amp;$G327,$E$6:$U$275,J$279,FALSE)*VLOOKUP($A327,Weighting!$D$26:$G$30,MATCH(Segmented!$D$282,Weighting!$E$26:$H$26,0)+1,FALSE)+VLOOKUP($B327&amp;$E$282&amp;$G327,$E$6:$U$275,J$279,FALSE)*VLOOKUP($A327,Weighting!$D$26:$G$30,MATCH(Segmented!$E$282,Weighting!$E$26:$H$26,0)+1,FALSE)</f>
        <v>603.23323201580342</v>
      </c>
      <c r="K327" s="31">
        <f>VLOOKUP($B327&amp;$C$282&amp;$G327,$E$6:$U$275,K$279,FALSE)*VLOOKUP($A327,Weighting!$D$26:$G$30,MATCH(Segmented!$C$282,Weighting!$E$26:$H$26,0)+1,FALSE)+VLOOKUP($B327&amp;$D$282&amp;$G327,$E$6:$U$275,K$279,FALSE)*VLOOKUP($A327,Weighting!$D$26:$G$30,MATCH(Segmented!$D$282,Weighting!$E$26:$H$26,0)+1,FALSE)+VLOOKUP($B327&amp;$E$282&amp;$G327,$E$6:$U$275,K$279,FALSE)*VLOOKUP($A327,Weighting!$D$26:$G$30,MATCH(Segmented!$E$282,Weighting!$E$26:$H$26,0)+1,FALSE)</f>
        <v>0</v>
      </c>
      <c r="L327" t="str">
        <f t="shared" si="13"/>
        <v>ResSpHtBBZ1</v>
      </c>
      <c r="M327" s="31">
        <f>VLOOKUP($B327&amp;$C$282&amp;$G327,$E$6:$U$275,M$279,FALSE)*VLOOKUP($A327,Weighting!$D$26:$G$30,MATCH(Segmented!$C$282,Weighting!$E$26:$H$26,0)+1,FALSE)+VLOOKUP($B327&amp;$D$282&amp;$G327,$E$6:$U$275,M$279,FALSE)*VLOOKUP($A327,Weighting!$D$26:$G$30,MATCH(Segmented!$D$282,Weighting!$E$26:$H$26,0)+1,FALSE)+VLOOKUP($B327&amp;$E$282&amp;$G327,$E$6:$U$275,M$279,FALSE)*VLOOKUP($A327,Weighting!$D$26:$G$30,MATCH(Segmented!$E$282,Weighting!$E$26:$H$26,0)+1,FALSE)</f>
        <v>4.1085841690838736</v>
      </c>
      <c r="N327" s="31">
        <f>VLOOKUP($B327&amp;$C$282&amp;$G327,$E$6:$U$275,N$279,FALSE)*VLOOKUP($A327,Weighting!$D$26:$G$30,MATCH(Segmented!$C$282,Weighting!$E$26:$H$26,0)+1,FALSE)+VLOOKUP($B327&amp;$D$282&amp;$G327,$E$6:$U$275,N$279,FALSE)*VLOOKUP($A327,Weighting!$D$26:$G$30,MATCH(Segmented!$D$282,Weighting!$E$26:$H$26,0)+1,FALSE)+VLOOKUP($B327&amp;$E$282&amp;$G327,$E$6:$U$275,N$279,FALSE)*VLOOKUP($A327,Weighting!$D$26:$G$30,MATCH(Segmented!$E$282,Weighting!$E$26:$H$26,0)+1,FALSE)</f>
        <v>0</v>
      </c>
      <c r="O327">
        <f t="shared" si="14"/>
        <v>0</v>
      </c>
      <c r="P327" s="31">
        <f>VLOOKUP($B327&amp;$C$282&amp;$G327,$E$6:$U$275,P$279,FALSE)*VLOOKUP($A327,Weighting!$D$26:$G$30,MATCH(Segmented!$C$282,Weighting!$E$26:$H$26,0)+1,FALSE)+VLOOKUP($B327&amp;$D$282&amp;$G327,$E$6:$U$275,P$279,FALSE)*VLOOKUP($A327,Weighting!$D$26:$G$30,MATCH(Segmented!$D$282,Weighting!$E$26:$H$26,0)+1,FALSE)+VLOOKUP($B327&amp;$E$282&amp;$G327,$E$6:$U$275,P$279,FALSE)*VLOOKUP($A327,Weighting!$D$26:$G$30,MATCH(Segmented!$E$282,Weighting!$E$26:$H$26,0)+1,FALSE)</f>
        <v>0</v>
      </c>
      <c r="Q327">
        <f t="shared" si="15"/>
        <v>0</v>
      </c>
      <c r="R327" s="31">
        <f>VLOOKUP($B327&amp;$C$282&amp;$G327,$E$6:$U$275,R$279,FALSE)*VLOOKUP($A327,Weighting!$D$26:$G$30,MATCH(Segmented!$C$282,Weighting!$E$26:$H$26,0)+1,FALSE)+VLOOKUP($B327&amp;$D$282&amp;$G327,$E$6:$U$275,R$279,FALSE)*VLOOKUP($A327,Weighting!$D$26:$G$30,MATCH(Segmented!$D$282,Weighting!$E$26:$H$26,0)+1,FALSE)+VLOOKUP($B327&amp;$E$282&amp;$G327,$E$6:$U$275,R$279,FALSE)*VLOOKUP($A327,Weighting!$D$26:$G$30,MATCH(Segmented!$E$282,Weighting!$E$26:$H$26,0)+1,FALSE)</f>
        <v>0</v>
      </c>
      <c r="S327">
        <f t="shared" si="16"/>
        <v>0</v>
      </c>
      <c r="T327" s="31">
        <f>VLOOKUP($B327&amp;$C$282&amp;$G327,$E$6:$U$275,T$279,FALSE)*VLOOKUP($A327,Weighting!$D$26:$G$30,MATCH(Segmented!$C$282,Weighting!$E$26:$H$26,0)+1,FALSE)+VLOOKUP($B327&amp;$D$282&amp;$G327,$E$6:$U$275,T$279,FALSE)*VLOOKUP($A327,Weighting!$D$26:$G$30,MATCH(Segmented!$D$282,Weighting!$E$26:$H$26,0)+1,FALSE)+VLOOKUP($B327&amp;$E$282&amp;$G327,$E$6:$U$275,T$279,FALSE)*VLOOKUP($A327,Weighting!$D$26:$G$30,MATCH(Segmented!$E$282,Weighting!$E$26:$H$26,0)+1,FALSE)</f>
        <v>0</v>
      </c>
    </row>
    <row r="328" spans="1:20">
      <c r="A328" t="s">
        <v>353</v>
      </c>
      <c r="B328" t="s">
        <v>1359</v>
      </c>
      <c r="F328" s="55" t="str">
        <f t="shared" si="11"/>
        <v>ATTIC R0 - R49_DHP</v>
      </c>
      <c r="G328" s="53" t="s">
        <v>71</v>
      </c>
      <c r="H328" s="31">
        <f>VLOOKUP($B328&amp;$C$282&amp;$G328,$E$6:$U$275,H$279,FALSE)*VLOOKUP($A328,Weighting!$D$26:$G$30,MATCH(Segmented!$C$282,Weighting!$E$26:$H$26,0)+1,FALSE)+VLOOKUP($B328&amp;$D$282&amp;$G328,$E$6:$U$275,H$279,FALSE)*VLOOKUP($A328,Weighting!$D$26:$G$30,MATCH(Segmented!$D$282,Weighting!$E$26:$H$26,0)+1,FALSE)+VLOOKUP($B328&amp;$E$282&amp;$G328,$E$6:$U$275,H$279,FALSE)*VLOOKUP($A328,Weighting!$D$26:$G$30,MATCH(Segmented!$E$282,Weighting!$E$26:$H$26,0)+1,FALSE)</f>
        <v>1190.1309605509246</v>
      </c>
      <c r="I328">
        <f t="shared" si="12"/>
        <v>45</v>
      </c>
      <c r="J328" s="31">
        <f>VLOOKUP($B328&amp;$C$282&amp;$G328,$E$6:$U$275,J$279,FALSE)*VLOOKUP($A328,Weighting!$D$26:$G$30,MATCH(Segmented!$C$282,Weighting!$E$26:$H$26,0)+1,FALSE)+VLOOKUP($B328&amp;$D$282&amp;$G328,$E$6:$U$275,J$279,FALSE)*VLOOKUP($A328,Weighting!$D$26:$G$30,MATCH(Segmented!$D$282,Weighting!$E$26:$H$26,0)+1,FALSE)+VLOOKUP($B328&amp;$E$282&amp;$G328,$E$6:$U$275,J$279,FALSE)*VLOOKUP($A328,Weighting!$D$26:$G$30,MATCH(Segmented!$E$282,Weighting!$E$26:$H$26,0)+1,FALSE)</f>
        <v>688.8802831401041</v>
      </c>
      <c r="K328" s="31">
        <f>VLOOKUP($B328&amp;$C$282&amp;$G328,$E$6:$U$275,K$279,FALSE)*VLOOKUP($A328,Weighting!$D$26:$G$30,MATCH(Segmented!$C$282,Weighting!$E$26:$H$26,0)+1,FALSE)+VLOOKUP($B328&amp;$D$282&amp;$G328,$E$6:$U$275,K$279,FALSE)*VLOOKUP($A328,Weighting!$D$26:$G$30,MATCH(Segmented!$D$282,Weighting!$E$26:$H$26,0)+1,FALSE)+VLOOKUP($B328&amp;$E$282&amp;$G328,$E$6:$U$275,K$279,FALSE)*VLOOKUP($A328,Weighting!$D$26:$G$30,MATCH(Segmented!$E$282,Weighting!$E$26:$H$26,0)+1,FALSE)</f>
        <v>0</v>
      </c>
      <c r="L328" t="str">
        <f t="shared" si="13"/>
        <v>ResSpHtBBZ1</v>
      </c>
      <c r="M328" s="31">
        <f>VLOOKUP($B328&amp;$C$282&amp;$G328,$E$6:$U$275,M$279,FALSE)*VLOOKUP($A328,Weighting!$D$26:$G$30,MATCH(Segmented!$C$282,Weighting!$E$26:$H$26,0)+1,FALSE)+VLOOKUP($B328&amp;$D$282&amp;$G328,$E$6:$U$275,M$279,FALSE)*VLOOKUP($A328,Weighting!$D$26:$G$30,MATCH(Segmented!$D$282,Weighting!$E$26:$H$26,0)+1,FALSE)+VLOOKUP($B328&amp;$E$282&amp;$G328,$E$6:$U$275,M$279,FALSE)*VLOOKUP($A328,Weighting!$D$26:$G$30,MATCH(Segmented!$E$282,Weighting!$E$26:$H$26,0)+1,FALSE)</f>
        <v>4.2591943421101961</v>
      </c>
      <c r="N328" s="31">
        <f>VLOOKUP($B328&amp;$C$282&amp;$G328,$E$6:$U$275,N$279,FALSE)*VLOOKUP($A328,Weighting!$D$26:$G$30,MATCH(Segmented!$C$282,Weighting!$E$26:$H$26,0)+1,FALSE)+VLOOKUP($B328&amp;$D$282&amp;$G328,$E$6:$U$275,N$279,FALSE)*VLOOKUP($A328,Weighting!$D$26:$G$30,MATCH(Segmented!$D$282,Weighting!$E$26:$H$26,0)+1,FALSE)+VLOOKUP($B328&amp;$E$282&amp;$G328,$E$6:$U$275,N$279,FALSE)*VLOOKUP($A328,Weighting!$D$26:$G$30,MATCH(Segmented!$E$282,Weighting!$E$26:$H$26,0)+1,FALSE)</f>
        <v>0</v>
      </c>
      <c r="O328">
        <f t="shared" si="14"/>
        <v>0</v>
      </c>
      <c r="P328" s="31">
        <f>VLOOKUP($B328&amp;$C$282&amp;$G328,$E$6:$U$275,P$279,FALSE)*VLOOKUP($A328,Weighting!$D$26:$G$30,MATCH(Segmented!$C$282,Weighting!$E$26:$H$26,0)+1,FALSE)+VLOOKUP($B328&amp;$D$282&amp;$G328,$E$6:$U$275,P$279,FALSE)*VLOOKUP($A328,Weighting!$D$26:$G$30,MATCH(Segmented!$D$282,Weighting!$E$26:$H$26,0)+1,FALSE)+VLOOKUP($B328&amp;$E$282&amp;$G328,$E$6:$U$275,P$279,FALSE)*VLOOKUP($A328,Weighting!$D$26:$G$30,MATCH(Segmented!$E$282,Weighting!$E$26:$H$26,0)+1,FALSE)</f>
        <v>0</v>
      </c>
      <c r="Q328">
        <f t="shared" si="15"/>
        <v>0</v>
      </c>
      <c r="R328" s="31">
        <f>VLOOKUP($B328&amp;$C$282&amp;$G328,$E$6:$U$275,R$279,FALSE)*VLOOKUP($A328,Weighting!$D$26:$G$30,MATCH(Segmented!$C$282,Weighting!$E$26:$H$26,0)+1,FALSE)+VLOOKUP($B328&amp;$D$282&amp;$G328,$E$6:$U$275,R$279,FALSE)*VLOOKUP($A328,Weighting!$D$26:$G$30,MATCH(Segmented!$D$282,Weighting!$E$26:$H$26,0)+1,FALSE)+VLOOKUP($B328&amp;$E$282&amp;$G328,$E$6:$U$275,R$279,FALSE)*VLOOKUP($A328,Weighting!$D$26:$G$30,MATCH(Segmented!$E$282,Weighting!$E$26:$H$26,0)+1,FALSE)</f>
        <v>0</v>
      </c>
      <c r="S328">
        <f t="shared" si="16"/>
        <v>0</v>
      </c>
      <c r="T328" s="31">
        <f>VLOOKUP($B328&amp;$C$282&amp;$G328,$E$6:$U$275,T$279,FALSE)*VLOOKUP($A328,Weighting!$D$26:$G$30,MATCH(Segmented!$C$282,Weighting!$E$26:$H$26,0)+1,FALSE)+VLOOKUP($B328&amp;$D$282&amp;$G328,$E$6:$U$275,T$279,FALSE)*VLOOKUP($A328,Weighting!$D$26:$G$30,MATCH(Segmented!$D$282,Weighting!$E$26:$H$26,0)+1,FALSE)+VLOOKUP($B328&amp;$E$282&amp;$G328,$E$6:$U$275,T$279,FALSE)*VLOOKUP($A328,Weighting!$D$26:$G$30,MATCH(Segmented!$E$282,Weighting!$E$26:$H$26,0)+1,FALSE)</f>
        <v>0</v>
      </c>
    </row>
    <row r="329" spans="1:20">
      <c r="A329" t="s">
        <v>353</v>
      </c>
      <c r="B329" t="s">
        <v>1359</v>
      </c>
      <c r="F329" s="55" t="str">
        <f t="shared" si="11"/>
        <v>ATTIC R11 - R38_DHP</v>
      </c>
      <c r="G329" s="53" t="s">
        <v>73</v>
      </c>
      <c r="H329" s="31">
        <f>VLOOKUP($B329&amp;$C$282&amp;$G329,$E$6:$U$275,H$279,FALSE)*VLOOKUP($A329,Weighting!$D$26:$G$30,MATCH(Segmented!$C$282,Weighting!$E$26:$H$26,0)+1,FALSE)+VLOOKUP($B329&amp;$D$282&amp;$G329,$E$6:$U$275,H$279,FALSE)*VLOOKUP($A329,Weighting!$D$26:$G$30,MATCH(Segmented!$D$282,Weighting!$E$26:$H$26,0)+1,FALSE)+VLOOKUP($B329&amp;$E$282&amp;$G329,$E$6:$U$275,H$279,FALSE)*VLOOKUP($A329,Weighting!$D$26:$G$30,MATCH(Segmented!$E$282,Weighting!$E$26:$H$26,0)+1,FALSE)</f>
        <v>216.95046659279743</v>
      </c>
      <c r="I329">
        <f t="shared" si="12"/>
        <v>45</v>
      </c>
      <c r="J329" s="31">
        <f>VLOOKUP($B329&amp;$C$282&amp;$G329,$E$6:$U$275,J$279,FALSE)*VLOOKUP($A329,Weighting!$D$26:$G$30,MATCH(Segmented!$C$282,Weighting!$E$26:$H$26,0)+1,FALSE)+VLOOKUP($B329&amp;$D$282&amp;$G329,$E$6:$U$275,J$279,FALSE)*VLOOKUP($A329,Weighting!$D$26:$G$30,MATCH(Segmented!$D$282,Weighting!$E$26:$H$26,0)+1,FALSE)+VLOOKUP($B329&amp;$E$282&amp;$G329,$E$6:$U$275,J$279,FALSE)*VLOOKUP($A329,Weighting!$D$26:$G$30,MATCH(Segmented!$E$282,Weighting!$E$26:$H$26,0)+1,FALSE)</f>
        <v>517.58618089150252</v>
      </c>
      <c r="K329" s="31">
        <f>VLOOKUP($B329&amp;$C$282&amp;$G329,$E$6:$U$275,K$279,FALSE)*VLOOKUP($A329,Weighting!$D$26:$G$30,MATCH(Segmented!$C$282,Weighting!$E$26:$H$26,0)+1,FALSE)+VLOOKUP($B329&amp;$D$282&amp;$G329,$E$6:$U$275,K$279,FALSE)*VLOOKUP($A329,Weighting!$D$26:$G$30,MATCH(Segmented!$D$282,Weighting!$E$26:$H$26,0)+1,FALSE)+VLOOKUP($B329&amp;$E$282&amp;$G329,$E$6:$U$275,K$279,FALSE)*VLOOKUP($A329,Weighting!$D$26:$G$30,MATCH(Segmented!$E$282,Weighting!$E$26:$H$26,0)+1,FALSE)</f>
        <v>0</v>
      </c>
      <c r="L329" t="str">
        <f t="shared" si="13"/>
        <v>ResSpHtBBZ1</v>
      </c>
      <c r="M329" s="31">
        <f>VLOOKUP($B329&amp;$C$282&amp;$G329,$E$6:$U$275,M$279,FALSE)*VLOOKUP($A329,Weighting!$D$26:$G$30,MATCH(Segmented!$C$282,Weighting!$E$26:$H$26,0)+1,FALSE)+VLOOKUP($B329&amp;$D$282&amp;$G329,$E$6:$U$275,M$279,FALSE)*VLOOKUP($A329,Weighting!$D$26:$G$30,MATCH(Segmented!$D$282,Weighting!$E$26:$H$26,0)+1,FALSE)+VLOOKUP($B329&amp;$E$282&amp;$G329,$E$6:$U$275,M$279,FALSE)*VLOOKUP($A329,Weighting!$D$26:$G$30,MATCH(Segmented!$E$282,Weighting!$E$26:$H$26,0)+1,FALSE)</f>
        <v>1.8263327650486645</v>
      </c>
      <c r="N329" s="31">
        <f>VLOOKUP($B329&amp;$C$282&amp;$G329,$E$6:$U$275,N$279,FALSE)*VLOOKUP($A329,Weighting!$D$26:$G$30,MATCH(Segmented!$C$282,Weighting!$E$26:$H$26,0)+1,FALSE)+VLOOKUP($B329&amp;$D$282&amp;$G329,$E$6:$U$275,N$279,FALSE)*VLOOKUP($A329,Weighting!$D$26:$G$30,MATCH(Segmented!$D$282,Weighting!$E$26:$H$26,0)+1,FALSE)+VLOOKUP($B329&amp;$E$282&amp;$G329,$E$6:$U$275,N$279,FALSE)*VLOOKUP($A329,Weighting!$D$26:$G$30,MATCH(Segmented!$E$282,Weighting!$E$26:$H$26,0)+1,FALSE)</f>
        <v>0</v>
      </c>
      <c r="O329">
        <f t="shared" si="14"/>
        <v>0</v>
      </c>
      <c r="P329" s="31">
        <f>VLOOKUP($B329&amp;$C$282&amp;$G329,$E$6:$U$275,P$279,FALSE)*VLOOKUP($A329,Weighting!$D$26:$G$30,MATCH(Segmented!$C$282,Weighting!$E$26:$H$26,0)+1,FALSE)+VLOOKUP($B329&amp;$D$282&amp;$G329,$E$6:$U$275,P$279,FALSE)*VLOOKUP($A329,Weighting!$D$26:$G$30,MATCH(Segmented!$D$282,Weighting!$E$26:$H$26,0)+1,FALSE)+VLOOKUP($B329&amp;$E$282&amp;$G329,$E$6:$U$275,P$279,FALSE)*VLOOKUP($A329,Weighting!$D$26:$G$30,MATCH(Segmented!$E$282,Weighting!$E$26:$H$26,0)+1,FALSE)</f>
        <v>0</v>
      </c>
      <c r="Q329">
        <f t="shared" si="15"/>
        <v>0</v>
      </c>
      <c r="R329" s="31">
        <f>VLOOKUP($B329&amp;$C$282&amp;$G329,$E$6:$U$275,R$279,FALSE)*VLOOKUP($A329,Weighting!$D$26:$G$30,MATCH(Segmented!$C$282,Weighting!$E$26:$H$26,0)+1,FALSE)+VLOOKUP($B329&amp;$D$282&amp;$G329,$E$6:$U$275,R$279,FALSE)*VLOOKUP($A329,Weighting!$D$26:$G$30,MATCH(Segmented!$D$282,Weighting!$E$26:$H$26,0)+1,FALSE)+VLOOKUP($B329&amp;$E$282&amp;$G329,$E$6:$U$275,R$279,FALSE)*VLOOKUP($A329,Weighting!$D$26:$G$30,MATCH(Segmented!$E$282,Weighting!$E$26:$H$26,0)+1,FALSE)</f>
        <v>0</v>
      </c>
      <c r="S329">
        <f t="shared" si="16"/>
        <v>0</v>
      </c>
      <c r="T329" s="31">
        <f>VLOOKUP($B329&amp;$C$282&amp;$G329,$E$6:$U$275,T$279,FALSE)*VLOOKUP($A329,Weighting!$D$26:$G$30,MATCH(Segmented!$C$282,Weighting!$E$26:$H$26,0)+1,FALSE)+VLOOKUP($B329&amp;$D$282&amp;$G329,$E$6:$U$275,T$279,FALSE)*VLOOKUP($A329,Weighting!$D$26:$G$30,MATCH(Segmented!$D$282,Weighting!$E$26:$H$26,0)+1,FALSE)+VLOOKUP($B329&amp;$E$282&amp;$G329,$E$6:$U$275,T$279,FALSE)*VLOOKUP($A329,Weighting!$D$26:$G$30,MATCH(Segmented!$E$282,Weighting!$E$26:$H$26,0)+1,FALSE)</f>
        <v>0</v>
      </c>
    </row>
    <row r="330" spans="1:20">
      <c r="A330" t="s">
        <v>353</v>
      </c>
      <c r="B330" t="s">
        <v>1359</v>
      </c>
      <c r="F330" s="55" t="str">
        <f t="shared" si="11"/>
        <v>ATTIC R11 - R49_DHP</v>
      </c>
      <c r="G330" s="53" t="s">
        <v>75</v>
      </c>
      <c r="H330" s="31">
        <f>VLOOKUP($B330&amp;$C$282&amp;$G330,$E$6:$U$275,H$279,FALSE)*VLOOKUP($A330,Weighting!$D$26:$G$30,MATCH(Segmented!$C$282,Weighting!$E$26:$H$26,0)+1,FALSE)+VLOOKUP($B330&amp;$D$282&amp;$G330,$E$6:$U$275,H$279,FALSE)*VLOOKUP($A330,Weighting!$D$26:$G$30,MATCH(Segmented!$D$282,Weighting!$E$26:$H$26,0)+1,FALSE)+VLOOKUP($B330&amp;$E$282&amp;$G330,$E$6:$U$275,H$279,FALSE)*VLOOKUP($A330,Weighting!$D$26:$G$30,MATCH(Segmented!$E$282,Weighting!$E$26:$H$26,0)+1,FALSE)</f>
        <v>235.4189244120071</v>
      </c>
      <c r="I330">
        <f t="shared" si="12"/>
        <v>45</v>
      </c>
      <c r="J330" s="31">
        <f>VLOOKUP($B330&amp;$C$282&amp;$G330,$E$6:$U$275,J$279,FALSE)*VLOOKUP($A330,Weighting!$D$26:$G$30,MATCH(Segmented!$C$282,Weighting!$E$26:$H$26,0)+1,FALSE)+VLOOKUP($B330&amp;$D$282&amp;$G330,$E$6:$U$275,J$279,FALSE)*VLOOKUP($A330,Weighting!$D$26:$G$30,MATCH(Segmented!$D$282,Weighting!$E$26:$H$26,0)+1,FALSE)+VLOOKUP($B330&amp;$E$282&amp;$G330,$E$6:$U$275,J$279,FALSE)*VLOOKUP($A330,Weighting!$D$26:$G$30,MATCH(Segmented!$E$282,Weighting!$E$26:$H$26,0)+1,FALSE)</f>
        <v>603.23323201580342</v>
      </c>
      <c r="K330" s="31">
        <f>VLOOKUP($B330&amp;$C$282&amp;$G330,$E$6:$U$275,K$279,FALSE)*VLOOKUP($A330,Weighting!$D$26:$G$30,MATCH(Segmented!$C$282,Weighting!$E$26:$H$26,0)+1,FALSE)+VLOOKUP($B330&amp;$D$282&amp;$G330,$E$6:$U$275,K$279,FALSE)*VLOOKUP($A330,Weighting!$D$26:$G$30,MATCH(Segmented!$D$282,Weighting!$E$26:$H$26,0)+1,FALSE)+VLOOKUP($B330&amp;$E$282&amp;$G330,$E$6:$U$275,K$279,FALSE)*VLOOKUP($A330,Weighting!$D$26:$G$30,MATCH(Segmented!$E$282,Weighting!$E$26:$H$26,0)+1,FALSE)</f>
        <v>0</v>
      </c>
      <c r="L330" t="str">
        <f t="shared" si="13"/>
        <v>ResSpHtBBZ1</v>
      </c>
      <c r="M330" s="31">
        <f>VLOOKUP($B330&amp;$C$282&amp;$G330,$E$6:$U$275,M$279,FALSE)*VLOOKUP($A330,Weighting!$D$26:$G$30,MATCH(Segmented!$C$282,Weighting!$E$26:$H$26,0)+1,FALSE)+VLOOKUP($B330&amp;$D$282&amp;$G330,$E$6:$U$275,M$279,FALSE)*VLOOKUP($A330,Weighting!$D$26:$G$30,MATCH(Segmented!$D$282,Weighting!$E$26:$H$26,0)+1,FALSE)+VLOOKUP($B330&amp;$E$282&amp;$G330,$E$6:$U$275,M$279,FALSE)*VLOOKUP($A330,Weighting!$D$26:$G$30,MATCH(Segmented!$E$282,Weighting!$E$26:$H$26,0)+1,FALSE)</f>
        <v>2.0045762701171626</v>
      </c>
      <c r="N330" s="31">
        <f>VLOOKUP($B330&amp;$C$282&amp;$G330,$E$6:$U$275,N$279,FALSE)*VLOOKUP($A330,Weighting!$D$26:$G$30,MATCH(Segmented!$C$282,Weighting!$E$26:$H$26,0)+1,FALSE)+VLOOKUP($B330&amp;$D$282&amp;$G330,$E$6:$U$275,N$279,FALSE)*VLOOKUP($A330,Weighting!$D$26:$G$30,MATCH(Segmented!$D$282,Weighting!$E$26:$H$26,0)+1,FALSE)+VLOOKUP($B330&amp;$E$282&amp;$G330,$E$6:$U$275,N$279,FALSE)*VLOOKUP($A330,Weighting!$D$26:$G$30,MATCH(Segmented!$E$282,Weighting!$E$26:$H$26,0)+1,FALSE)</f>
        <v>0</v>
      </c>
      <c r="O330">
        <f t="shared" si="14"/>
        <v>0</v>
      </c>
      <c r="P330" s="31">
        <f>VLOOKUP($B330&amp;$C$282&amp;$G330,$E$6:$U$275,P$279,FALSE)*VLOOKUP($A330,Weighting!$D$26:$G$30,MATCH(Segmented!$C$282,Weighting!$E$26:$H$26,0)+1,FALSE)+VLOOKUP($B330&amp;$D$282&amp;$G330,$E$6:$U$275,P$279,FALSE)*VLOOKUP($A330,Weighting!$D$26:$G$30,MATCH(Segmented!$D$282,Weighting!$E$26:$H$26,0)+1,FALSE)+VLOOKUP($B330&amp;$E$282&amp;$G330,$E$6:$U$275,P$279,FALSE)*VLOOKUP($A330,Weighting!$D$26:$G$30,MATCH(Segmented!$E$282,Weighting!$E$26:$H$26,0)+1,FALSE)</f>
        <v>0</v>
      </c>
      <c r="Q330">
        <f t="shared" si="15"/>
        <v>0</v>
      </c>
      <c r="R330" s="31">
        <f>VLOOKUP($B330&amp;$C$282&amp;$G330,$E$6:$U$275,R$279,FALSE)*VLOOKUP($A330,Weighting!$D$26:$G$30,MATCH(Segmented!$C$282,Weighting!$E$26:$H$26,0)+1,FALSE)+VLOOKUP($B330&amp;$D$282&amp;$G330,$E$6:$U$275,R$279,FALSE)*VLOOKUP($A330,Weighting!$D$26:$G$30,MATCH(Segmented!$D$282,Weighting!$E$26:$H$26,0)+1,FALSE)+VLOOKUP($B330&amp;$E$282&amp;$G330,$E$6:$U$275,R$279,FALSE)*VLOOKUP($A330,Weighting!$D$26:$G$30,MATCH(Segmented!$E$282,Weighting!$E$26:$H$26,0)+1,FALSE)</f>
        <v>0</v>
      </c>
      <c r="S330">
        <f t="shared" si="16"/>
        <v>0</v>
      </c>
      <c r="T330" s="31">
        <f>VLOOKUP($B330&amp;$C$282&amp;$G330,$E$6:$U$275,T$279,FALSE)*VLOOKUP($A330,Weighting!$D$26:$G$30,MATCH(Segmented!$C$282,Weighting!$E$26:$H$26,0)+1,FALSE)+VLOOKUP($B330&amp;$D$282&amp;$G330,$E$6:$U$275,T$279,FALSE)*VLOOKUP($A330,Weighting!$D$26:$G$30,MATCH(Segmented!$D$282,Weighting!$E$26:$H$26,0)+1,FALSE)+VLOOKUP($B330&amp;$E$282&amp;$G330,$E$6:$U$275,T$279,FALSE)*VLOOKUP($A330,Weighting!$D$26:$G$30,MATCH(Segmented!$E$282,Weighting!$E$26:$H$26,0)+1,FALSE)</f>
        <v>0</v>
      </c>
    </row>
    <row r="331" spans="1:20">
      <c r="A331" t="s">
        <v>353</v>
      </c>
      <c r="B331" t="s">
        <v>1359</v>
      </c>
      <c r="F331" s="55" t="str">
        <f t="shared" si="11"/>
        <v>ATTIC R19 - R38_DHP</v>
      </c>
      <c r="G331" s="53" t="s">
        <v>77</v>
      </c>
      <c r="H331" s="31">
        <f>VLOOKUP($B331&amp;$C$282&amp;$G331,$E$6:$U$275,H$279,FALSE)*VLOOKUP($A331,Weighting!$D$26:$G$30,MATCH(Segmented!$C$282,Weighting!$E$26:$H$26,0)+1,FALSE)+VLOOKUP($B331&amp;$D$282&amp;$G331,$E$6:$U$275,H$279,FALSE)*VLOOKUP($A331,Weighting!$D$26:$G$30,MATCH(Segmented!$D$282,Weighting!$E$26:$H$26,0)+1,FALSE)+VLOOKUP($B331&amp;$E$282&amp;$G331,$E$6:$U$275,H$279,FALSE)*VLOOKUP($A331,Weighting!$D$26:$G$30,MATCH(Segmented!$E$282,Weighting!$E$26:$H$26,0)+1,FALSE)</f>
        <v>115.28514115888527</v>
      </c>
      <c r="I331">
        <f t="shared" si="12"/>
        <v>45</v>
      </c>
      <c r="J331" s="31">
        <f>VLOOKUP($B331&amp;$C$282&amp;$G331,$E$6:$U$275,J$279,FALSE)*VLOOKUP($A331,Weighting!$D$26:$G$30,MATCH(Segmented!$C$282,Weighting!$E$26:$H$26,0)+1,FALSE)+VLOOKUP($B331&amp;$D$282&amp;$G331,$E$6:$U$275,J$279,FALSE)*VLOOKUP($A331,Weighting!$D$26:$G$30,MATCH(Segmented!$D$282,Weighting!$E$26:$H$26,0)+1,FALSE)+VLOOKUP($B331&amp;$E$282&amp;$G331,$E$6:$U$275,J$279,FALSE)*VLOOKUP($A331,Weighting!$D$26:$G$30,MATCH(Segmented!$E$282,Weighting!$E$26:$H$26,0)+1,FALSE)</f>
        <v>455.29741643746559</v>
      </c>
      <c r="K331" s="31">
        <f>VLOOKUP($B331&amp;$C$282&amp;$G331,$E$6:$U$275,K$279,FALSE)*VLOOKUP($A331,Weighting!$D$26:$G$30,MATCH(Segmented!$C$282,Weighting!$E$26:$H$26,0)+1,FALSE)+VLOOKUP($B331&amp;$D$282&amp;$G331,$E$6:$U$275,K$279,FALSE)*VLOOKUP($A331,Weighting!$D$26:$G$30,MATCH(Segmented!$D$282,Weighting!$E$26:$H$26,0)+1,FALSE)+VLOOKUP($B331&amp;$E$282&amp;$G331,$E$6:$U$275,K$279,FALSE)*VLOOKUP($A331,Weighting!$D$26:$G$30,MATCH(Segmented!$E$282,Weighting!$E$26:$H$26,0)+1,FALSE)</f>
        <v>0</v>
      </c>
      <c r="L331" t="str">
        <f t="shared" si="13"/>
        <v>ResSpHtBBZ1</v>
      </c>
      <c r="M331" s="31">
        <f>VLOOKUP($B331&amp;$C$282&amp;$G331,$E$6:$U$275,M$279,FALSE)*VLOOKUP($A331,Weighting!$D$26:$G$30,MATCH(Segmented!$C$282,Weighting!$E$26:$H$26,0)+1,FALSE)+VLOOKUP($B331&amp;$D$282&amp;$G331,$E$6:$U$275,M$279,FALSE)*VLOOKUP($A331,Weighting!$D$26:$G$30,MATCH(Segmented!$D$282,Weighting!$E$26:$H$26,0)+1,FALSE)+VLOOKUP($B331&amp;$E$282&amp;$G331,$E$6:$U$275,M$279,FALSE)*VLOOKUP($A331,Weighting!$D$26:$G$30,MATCH(Segmented!$E$282,Weighting!$E$26:$H$26,0)+1,FALSE)</f>
        <v>0.98929989753523129</v>
      </c>
      <c r="N331" s="31">
        <f>VLOOKUP($B331&amp;$C$282&amp;$G331,$E$6:$U$275,N$279,FALSE)*VLOOKUP($A331,Weighting!$D$26:$G$30,MATCH(Segmented!$C$282,Weighting!$E$26:$H$26,0)+1,FALSE)+VLOOKUP($B331&amp;$D$282&amp;$G331,$E$6:$U$275,N$279,FALSE)*VLOOKUP($A331,Weighting!$D$26:$G$30,MATCH(Segmented!$D$282,Weighting!$E$26:$H$26,0)+1,FALSE)+VLOOKUP($B331&amp;$E$282&amp;$G331,$E$6:$U$275,N$279,FALSE)*VLOOKUP($A331,Weighting!$D$26:$G$30,MATCH(Segmented!$E$282,Weighting!$E$26:$H$26,0)+1,FALSE)</f>
        <v>0</v>
      </c>
      <c r="O331">
        <f t="shared" si="14"/>
        <v>0</v>
      </c>
      <c r="P331" s="31">
        <f>VLOOKUP($B331&amp;$C$282&amp;$G331,$E$6:$U$275,P$279,FALSE)*VLOOKUP($A331,Weighting!$D$26:$G$30,MATCH(Segmented!$C$282,Weighting!$E$26:$H$26,0)+1,FALSE)+VLOOKUP($B331&amp;$D$282&amp;$G331,$E$6:$U$275,P$279,FALSE)*VLOOKUP($A331,Weighting!$D$26:$G$30,MATCH(Segmented!$D$282,Weighting!$E$26:$H$26,0)+1,FALSE)+VLOOKUP($B331&amp;$E$282&amp;$G331,$E$6:$U$275,P$279,FALSE)*VLOOKUP($A331,Weighting!$D$26:$G$30,MATCH(Segmented!$E$282,Weighting!$E$26:$H$26,0)+1,FALSE)</f>
        <v>0</v>
      </c>
      <c r="Q331">
        <f t="shared" si="15"/>
        <v>0</v>
      </c>
      <c r="R331" s="31">
        <f>VLOOKUP($B331&amp;$C$282&amp;$G331,$E$6:$U$275,R$279,FALSE)*VLOOKUP($A331,Weighting!$D$26:$G$30,MATCH(Segmented!$C$282,Weighting!$E$26:$H$26,0)+1,FALSE)+VLOOKUP($B331&amp;$D$282&amp;$G331,$E$6:$U$275,R$279,FALSE)*VLOOKUP($A331,Weighting!$D$26:$G$30,MATCH(Segmented!$D$282,Weighting!$E$26:$H$26,0)+1,FALSE)+VLOOKUP($B331&amp;$E$282&amp;$G331,$E$6:$U$275,R$279,FALSE)*VLOOKUP($A331,Weighting!$D$26:$G$30,MATCH(Segmented!$E$282,Weighting!$E$26:$H$26,0)+1,FALSE)</f>
        <v>0</v>
      </c>
      <c r="S331">
        <f t="shared" si="16"/>
        <v>0</v>
      </c>
      <c r="T331" s="31">
        <f>VLOOKUP($B331&amp;$C$282&amp;$G331,$E$6:$U$275,T$279,FALSE)*VLOOKUP($A331,Weighting!$D$26:$G$30,MATCH(Segmented!$C$282,Weighting!$E$26:$H$26,0)+1,FALSE)+VLOOKUP($B331&amp;$D$282&amp;$G331,$E$6:$U$275,T$279,FALSE)*VLOOKUP($A331,Weighting!$D$26:$G$30,MATCH(Segmented!$D$282,Weighting!$E$26:$H$26,0)+1,FALSE)+VLOOKUP($B331&amp;$E$282&amp;$G331,$E$6:$U$275,T$279,FALSE)*VLOOKUP($A331,Weighting!$D$26:$G$30,MATCH(Segmented!$E$282,Weighting!$E$26:$H$26,0)+1,FALSE)</f>
        <v>0</v>
      </c>
    </row>
    <row r="332" spans="1:20">
      <c r="A332" t="s">
        <v>353</v>
      </c>
      <c r="B332" t="s">
        <v>1359</v>
      </c>
      <c r="F332" s="55" t="str">
        <f t="shared" si="11"/>
        <v>ATTIC R19 - R49_DHP</v>
      </c>
      <c r="G332" s="53" t="s">
        <v>79</v>
      </c>
      <c r="H332" s="31">
        <f>VLOOKUP($B332&amp;$C$282&amp;$G332,$E$6:$U$275,H$279,FALSE)*VLOOKUP($A332,Weighting!$D$26:$G$30,MATCH(Segmented!$C$282,Weighting!$E$26:$H$26,0)+1,FALSE)+VLOOKUP($B332&amp;$D$282&amp;$G332,$E$6:$U$275,H$279,FALSE)*VLOOKUP($A332,Weighting!$D$26:$G$30,MATCH(Segmented!$D$282,Weighting!$E$26:$H$26,0)+1,FALSE)+VLOOKUP($B332&amp;$E$282&amp;$G332,$E$6:$U$275,H$279,FALSE)*VLOOKUP($A332,Weighting!$D$26:$G$30,MATCH(Segmented!$E$282,Weighting!$E$26:$H$26,0)+1,FALSE)</f>
        <v>138.92719637241973</v>
      </c>
      <c r="I332">
        <f t="shared" si="12"/>
        <v>45</v>
      </c>
      <c r="J332" s="31">
        <f>VLOOKUP($B332&amp;$C$282&amp;$G332,$E$6:$U$275,J$279,FALSE)*VLOOKUP($A332,Weighting!$D$26:$G$30,MATCH(Segmented!$C$282,Weighting!$E$26:$H$26,0)+1,FALSE)+VLOOKUP($B332&amp;$D$282&amp;$G332,$E$6:$U$275,J$279,FALSE)*VLOOKUP($A332,Weighting!$D$26:$G$30,MATCH(Segmented!$D$282,Weighting!$E$26:$H$26,0)+1,FALSE)+VLOOKUP($B332&amp;$E$282&amp;$G332,$E$6:$U$275,J$279,FALSE)*VLOOKUP($A332,Weighting!$D$26:$G$30,MATCH(Segmented!$E$282,Weighting!$E$26:$H$26,0)+1,FALSE)</f>
        <v>540.94446756176649</v>
      </c>
      <c r="K332" s="31">
        <f>VLOOKUP($B332&amp;$C$282&amp;$G332,$E$6:$U$275,K$279,FALSE)*VLOOKUP($A332,Weighting!$D$26:$G$30,MATCH(Segmented!$C$282,Weighting!$E$26:$H$26,0)+1,FALSE)+VLOOKUP($B332&amp;$D$282&amp;$G332,$E$6:$U$275,K$279,FALSE)*VLOOKUP($A332,Weighting!$D$26:$G$30,MATCH(Segmented!$D$282,Weighting!$E$26:$H$26,0)+1,FALSE)+VLOOKUP($B332&amp;$E$282&amp;$G332,$E$6:$U$275,K$279,FALSE)*VLOOKUP($A332,Weighting!$D$26:$G$30,MATCH(Segmented!$E$282,Weighting!$E$26:$H$26,0)+1,FALSE)</f>
        <v>0</v>
      </c>
      <c r="L332" t="str">
        <f t="shared" si="13"/>
        <v>ResSpHtBBZ1</v>
      </c>
      <c r="M332" s="31">
        <f>VLOOKUP($B332&amp;$C$282&amp;$G332,$E$6:$U$275,M$279,FALSE)*VLOOKUP($A332,Weighting!$D$26:$G$30,MATCH(Segmented!$C$282,Weighting!$E$26:$H$26,0)+1,FALSE)+VLOOKUP($B332&amp;$D$282&amp;$G332,$E$6:$U$275,M$279,FALSE)*VLOOKUP($A332,Weighting!$D$26:$G$30,MATCH(Segmented!$D$282,Weighting!$E$26:$H$26,0)+1,FALSE)+VLOOKUP($B332&amp;$E$282&amp;$G332,$E$6:$U$275,M$279,FALSE)*VLOOKUP($A332,Weighting!$D$26:$G$30,MATCH(Segmented!$E$282,Weighting!$E$26:$H$26,0)+1,FALSE)</f>
        <v>1.2056699372860331</v>
      </c>
      <c r="N332" s="31">
        <f>VLOOKUP($B332&amp;$C$282&amp;$G332,$E$6:$U$275,N$279,FALSE)*VLOOKUP($A332,Weighting!$D$26:$G$30,MATCH(Segmented!$C$282,Weighting!$E$26:$H$26,0)+1,FALSE)+VLOOKUP($B332&amp;$D$282&amp;$G332,$E$6:$U$275,N$279,FALSE)*VLOOKUP($A332,Weighting!$D$26:$G$30,MATCH(Segmented!$D$282,Weighting!$E$26:$H$26,0)+1,FALSE)+VLOOKUP($B332&amp;$E$282&amp;$G332,$E$6:$U$275,N$279,FALSE)*VLOOKUP($A332,Weighting!$D$26:$G$30,MATCH(Segmented!$E$282,Weighting!$E$26:$H$26,0)+1,FALSE)</f>
        <v>0</v>
      </c>
      <c r="O332">
        <f t="shared" si="14"/>
        <v>0</v>
      </c>
      <c r="P332" s="31">
        <f>VLOOKUP($B332&amp;$C$282&amp;$G332,$E$6:$U$275,P$279,FALSE)*VLOOKUP($A332,Weighting!$D$26:$G$30,MATCH(Segmented!$C$282,Weighting!$E$26:$H$26,0)+1,FALSE)+VLOOKUP($B332&amp;$D$282&amp;$G332,$E$6:$U$275,P$279,FALSE)*VLOOKUP($A332,Weighting!$D$26:$G$30,MATCH(Segmented!$D$282,Weighting!$E$26:$H$26,0)+1,FALSE)+VLOOKUP($B332&amp;$E$282&amp;$G332,$E$6:$U$275,P$279,FALSE)*VLOOKUP($A332,Weighting!$D$26:$G$30,MATCH(Segmented!$E$282,Weighting!$E$26:$H$26,0)+1,FALSE)</f>
        <v>0</v>
      </c>
      <c r="Q332">
        <f t="shared" si="15"/>
        <v>0</v>
      </c>
      <c r="R332" s="31">
        <f>VLOOKUP($B332&amp;$C$282&amp;$G332,$E$6:$U$275,R$279,FALSE)*VLOOKUP($A332,Weighting!$D$26:$G$30,MATCH(Segmented!$C$282,Weighting!$E$26:$H$26,0)+1,FALSE)+VLOOKUP($B332&amp;$D$282&amp;$G332,$E$6:$U$275,R$279,FALSE)*VLOOKUP($A332,Weighting!$D$26:$G$30,MATCH(Segmented!$D$282,Weighting!$E$26:$H$26,0)+1,FALSE)+VLOOKUP($B332&amp;$E$282&amp;$G332,$E$6:$U$275,R$279,FALSE)*VLOOKUP($A332,Weighting!$D$26:$G$30,MATCH(Segmented!$E$282,Weighting!$E$26:$H$26,0)+1,FALSE)</f>
        <v>0</v>
      </c>
      <c r="S332">
        <f t="shared" si="16"/>
        <v>0</v>
      </c>
      <c r="T332" s="31">
        <f>VLOOKUP($B332&amp;$C$282&amp;$G332,$E$6:$U$275,T$279,FALSE)*VLOOKUP($A332,Weighting!$D$26:$G$30,MATCH(Segmented!$C$282,Weighting!$E$26:$H$26,0)+1,FALSE)+VLOOKUP($B332&amp;$D$282&amp;$G332,$E$6:$U$275,T$279,FALSE)*VLOOKUP($A332,Weighting!$D$26:$G$30,MATCH(Segmented!$D$282,Weighting!$E$26:$H$26,0)+1,FALSE)+VLOOKUP($B332&amp;$E$282&amp;$G332,$E$6:$U$275,T$279,FALSE)*VLOOKUP($A332,Weighting!$D$26:$G$30,MATCH(Segmented!$E$282,Weighting!$E$26:$H$26,0)+1,FALSE)</f>
        <v>0</v>
      </c>
    </row>
    <row r="333" spans="1:20">
      <c r="A333" t="s">
        <v>353</v>
      </c>
      <c r="B333" t="s">
        <v>1359</v>
      </c>
      <c r="F333" s="55" t="str">
        <f t="shared" si="11"/>
        <v>WALL R0 - R11_DHP</v>
      </c>
      <c r="G333" s="53" t="s">
        <v>85</v>
      </c>
      <c r="H333" s="31">
        <f>VLOOKUP($B333&amp;$C$282&amp;$G333,$E$6:$U$275,H$279,FALSE)*VLOOKUP($A333,Weighting!$D$26:$G$30,MATCH(Segmented!$C$282,Weighting!$E$26:$H$26,0)+1,FALSE)+VLOOKUP($B333&amp;$D$282&amp;$G333,$E$6:$U$275,H$279,FALSE)*VLOOKUP($A333,Weighting!$D$26:$G$30,MATCH(Segmented!$D$282,Weighting!$E$26:$H$26,0)+1,FALSE)+VLOOKUP($B333&amp;$E$282&amp;$G333,$E$6:$U$275,H$279,FALSE)*VLOOKUP($A333,Weighting!$D$26:$G$30,MATCH(Segmented!$E$282,Weighting!$E$26:$H$26,0)+1,FALSE)</f>
        <v>1143.4097800732613</v>
      </c>
      <c r="I333">
        <f t="shared" si="12"/>
        <v>45</v>
      </c>
      <c r="J333" s="31">
        <f>VLOOKUP($B333&amp;$C$282&amp;$G333,$E$6:$U$275,J$279,FALSE)*VLOOKUP($A333,Weighting!$D$26:$G$30,MATCH(Segmented!$C$282,Weighting!$E$26:$H$26,0)+1,FALSE)+VLOOKUP($B333&amp;$D$282&amp;$G333,$E$6:$U$275,J$279,FALSE)*VLOOKUP($A333,Weighting!$D$26:$G$30,MATCH(Segmented!$D$282,Weighting!$E$26:$H$26,0)+1,FALSE)+VLOOKUP($B333&amp;$E$282&amp;$G333,$E$6:$U$275,J$279,FALSE)*VLOOKUP($A333,Weighting!$D$26:$G$30,MATCH(Segmented!$E$282,Weighting!$E$26:$H$26,0)+1,FALSE)</f>
        <v>1074.0966990780664</v>
      </c>
      <c r="K333" s="31">
        <f>VLOOKUP($B333&amp;$C$282&amp;$G333,$E$6:$U$275,K$279,FALSE)*VLOOKUP($A333,Weighting!$D$26:$G$30,MATCH(Segmented!$C$282,Weighting!$E$26:$H$26,0)+1,FALSE)+VLOOKUP($B333&amp;$D$282&amp;$G333,$E$6:$U$275,K$279,FALSE)*VLOOKUP($A333,Weighting!$D$26:$G$30,MATCH(Segmented!$D$282,Weighting!$E$26:$H$26,0)+1,FALSE)+VLOOKUP($B333&amp;$E$282&amp;$G333,$E$6:$U$275,K$279,FALSE)*VLOOKUP($A333,Weighting!$D$26:$G$30,MATCH(Segmented!$E$282,Weighting!$E$26:$H$26,0)+1,FALSE)</f>
        <v>0</v>
      </c>
      <c r="L333" t="str">
        <f t="shared" si="13"/>
        <v>ResSpHtBBZ1</v>
      </c>
      <c r="M333" s="31">
        <f>VLOOKUP($B333&amp;$C$282&amp;$G333,$E$6:$U$275,M$279,FALSE)*VLOOKUP($A333,Weighting!$D$26:$G$30,MATCH(Segmented!$C$282,Weighting!$E$26:$H$26,0)+1,FALSE)+VLOOKUP($B333&amp;$D$282&amp;$G333,$E$6:$U$275,M$279,FALSE)*VLOOKUP($A333,Weighting!$D$26:$G$30,MATCH(Segmented!$D$282,Weighting!$E$26:$H$26,0)+1,FALSE)+VLOOKUP($B333&amp;$E$282&amp;$G333,$E$6:$U$275,M$279,FALSE)*VLOOKUP($A333,Weighting!$D$26:$G$30,MATCH(Segmented!$E$282,Weighting!$E$26:$H$26,0)+1,FALSE)</f>
        <v>6.0041214552776063</v>
      </c>
      <c r="N333" s="31">
        <f>VLOOKUP($B333&amp;$C$282&amp;$G333,$E$6:$U$275,N$279,FALSE)*VLOOKUP($A333,Weighting!$D$26:$G$30,MATCH(Segmented!$C$282,Weighting!$E$26:$H$26,0)+1,FALSE)+VLOOKUP($B333&amp;$D$282&amp;$G333,$E$6:$U$275,N$279,FALSE)*VLOOKUP($A333,Weighting!$D$26:$G$30,MATCH(Segmented!$D$282,Weighting!$E$26:$H$26,0)+1,FALSE)+VLOOKUP($B333&amp;$E$282&amp;$G333,$E$6:$U$275,N$279,FALSE)*VLOOKUP($A333,Weighting!$D$26:$G$30,MATCH(Segmented!$E$282,Weighting!$E$26:$H$26,0)+1,FALSE)</f>
        <v>0</v>
      </c>
      <c r="O333">
        <f t="shared" si="14"/>
        <v>0</v>
      </c>
      <c r="P333" s="31">
        <f>VLOOKUP($B333&amp;$C$282&amp;$G333,$E$6:$U$275,P$279,FALSE)*VLOOKUP($A333,Weighting!$D$26:$G$30,MATCH(Segmented!$C$282,Weighting!$E$26:$H$26,0)+1,FALSE)+VLOOKUP($B333&amp;$D$282&amp;$G333,$E$6:$U$275,P$279,FALSE)*VLOOKUP($A333,Weighting!$D$26:$G$30,MATCH(Segmented!$D$282,Weighting!$E$26:$H$26,0)+1,FALSE)+VLOOKUP($B333&amp;$E$282&amp;$G333,$E$6:$U$275,P$279,FALSE)*VLOOKUP($A333,Weighting!$D$26:$G$30,MATCH(Segmented!$E$282,Weighting!$E$26:$H$26,0)+1,FALSE)</f>
        <v>0</v>
      </c>
      <c r="Q333">
        <f t="shared" si="15"/>
        <v>0</v>
      </c>
      <c r="R333" s="31">
        <f>VLOOKUP($B333&amp;$C$282&amp;$G333,$E$6:$U$275,R$279,FALSE)*VLOOKUP($A333,Weighting!$D$26:$G$30,MATCH(Segmented!$C$282,Weighting!$E$26:$H$26,0)+1,FALSE)+VLOOKUP($B333&amp;$D$282&amp;$G333,$E$6:$U$275,R$279,FALSE)*VLOOKUP($A333,Weighting!$D$26:$G$30,MATCH(Segmented!$D$282,Weighting!$E$26:$H$26,0)+1,FALSE)+VLOOKUP($B333&amp;$E$282&amp;$G333,$E$6:$U$275,R$279,FALSE)*VLOOKUP($A333,Weighting!$D$26:$G$30,MATCH(Segmented!$E$282,Weighting!$E$26:$H$26,0)+1,FALSE)</f>
        <v>0</v>
      </c>
      <c r="S333">
        <f t="shared" si="16"/>
        <v>0</v>
      </c>
      <c r="T333" s="31">
        <f>VLOOKUP($B333&amp;$C$282&amp;$G333,$E$6:$U$275,T$279,FALSE)*VLOOKUP($A333,Weighting!$D$26:$G$30,MATCH(Segmented!$C$282,Weighting!$E$26:$H$26,0)+1,FALSE)+VLOOKUP($B333&amp;$D$282&amp;$G333,$E$6:$U$275,T$279,FALSE)*VLOOKUP($A333,Weighting!$D$26:$G$30,MATCH(Segmented!$D$282,Weighting!$E$26:$H$26,0)+1,FALSE)+VLOOKUP($B333&amp;$E$282&amp;$G333,$E$6:$U$275,T$279,FALSE)*VLOOKUP($A333,Weighting!$D$26:$G$30,MATCH(Segmented!$E$282,Weighting!$E$26:$H$26,0)+1,FALSE)</f>
        <v>0</v>
      </c>
    </row>
    <row r="334" spans="1:20">
      <c r="A334" t="s">
        <v>353</v>
      </c>
      <c r="B334" t="s">
        <v>1359</v>
      </c>
      <c r="F334" s="55" t="str">
        <f t="shared" si="11"/>
        <v>FLOOR R0 - R19_DHP</v>
      </c>
      <c r="G334" s="53" t="s">
        <v>87</v>
      </c>
      <c r="H334" s="31">
        <f>VLOOKUP($B334&amp;$C$282&amp;$G334,$E$6:$U$275,H$279,FALSE)*VLOOKUP($A334,Weighting!$D$26:$G$30,MATCH(Segmented!$C$282,Weighting!$E$26:$H$26,0)+1,FALSE)+VLOOKUP($B334&amp;$D$282&amp;$G334,$E$6:$U$275,H$279,FALSE)*VLOOKUP($A334,Weighting!$D$26:$G$30,MATCH(Segmented!$D$282,Weighting!$E$26:$H$26,0)+1,FALSE)+VLOOKUP($B334&amp;$E$282&amp;$G334,$E$6:$U$275,H$279,FALSE)*VLOOKUP($A334,Weighting!$D$26:$G$30,MATCH(Segmented!$E$282,Weighting!$E$26:$H$26,0)+1,FALSE)</f>
        <v>551.85168083117901</v>
      </c>
      <c r="I334">
        <f t="shared" si="12"/>
        <v>45</v>
      </c>
      <c r="J334" s="31">
        <f>VLOOKUP($B334&amp;$C$282&amp;$G334,$E$6:$U$275,J$279,FALSE)*VLOOKUP($A334,Weighting!$D$26:$G$30,MATCH(Segmented!$C$282,Weighting!$E$26:$H$26,0)+1,FALSE)+VLOOKUP($B334&amp;$D$282&amp;$G334,$E$6:$U$275,J$279,FALSE)*VLOOKUP($A334,Weighting!$D$26:$G$30,MATCH(Segmented!$D$282,Weighting!$E$26:$H$26,0)+1,FALSE)+VLOOKUP($B334&amp;$E$282&amp;$G334,$E$6:$U$275,J$279,FALSE)*VLOOKUP($A334,Weighting!$D$26:$G$30,MATCH(Segmented!$E$282,Weighting!$E$26:$H$26,0)+1,FALSE)</f>
        <v>756.03068777561452</v>
      </c>
      <c r="K334" s="31">
        <f>VLOOKUP($B334&amp;$C$282&amp;$G334,$E$6:$U$275,K$279,FALSE)*VLOOKUP($A334,Weighting!$D$26:$G$30,MATCH(Segmented!$C$282,Weighting!$E$26:$H$26,0)+1,FALSE)+VLOOKUP($B334&amp;$D$282&amp;$G334,$E$6:$U$275,K$279,FALSE)*VLOOKUP($A334,Weighting!$D$26:$G$30,MATCH(Segmented!$D$282,Weighting!$E$26:$H$26,0)+1,FALSE)+VLOOKUP($B334&amp;$E$282&amp;$G334,$E$6:$U$275,K$279,FALSE)*VLOOKUP($A334,Weighting!$D$26:$G$30,MATCH(Segmented!$E$282,Weighting!$E$26:$H$26,0)+1,FALSE)</f>
        <v>0</v>
      </c>
      <c r="L334" t="str">
        <f t="shared" si="13"/>
        <v>ResSpHtBBZ1</v>
      </c>
      <c r="M334" s="31">
        <f>VLOOKUP($B334&amp;$C$282&amp;$G334,$E$6:$U$275,M$279,FALSE)*VLOOKUP($A334,Weighting!$D$26:$G$30,MATCH(Segmented!$C$282,Weighting!$E$26:$H$26,0)+1,FALSE)+VLOOKUP($B334&amp;$D$282&amp;$G334,$E$6:$U$275,M$279,FALSE)*VLOOKUP($A334,Weighting!$D$26:$G$30,MATCH(Segmented!$D$282,Weighting!$E$26:$H$26,0)+1,FALSE)+VLOOKUP($B334&amp;$E$282&amp;$G334,$E$6:$U$275,M$279,FALSE)*VLOOKUP($A334,Weighting!$D$26:$G$30,MATCH(Segmented!$E$282,Weighting!$E$26:$H$26,0)+1,FALSE)</f>
        <v>2.7019730399839528</v>
      </c>
      <c r="N334" s="31">
        <f>VLOOKUP($B334&amp;$C$282&amp;$G334,$E$6:$U$275,N$279,FALSE)*VLOOKUP($A334,Weighting!$D$26:$G$30,MATCH(Segmented!$C$282,Weighting!$E$26:$H$26,0)+1,FALSE)+VLOOKUP($B334&amp;$D$282&amp;$G334,$E$6:$U$275,N$279,FALSE)*VLOOKUP($A334,Weighting!$D$26:$G$30,MATCH(Segmented!$D$282,Weighting!$E$26:$H$26,0)+1,FALSE)+VLOOKUP($B334&amp;$E$282&amp;$G334,$E$6:$U$275,N$279,FALSE)*VLOOKUP($A334,Weighting!$D$26:$G$30,MATCH(Segmented!$E$282,Weighting!$E$26:$H$26,0)+1,FALSE)</f>
        <v>0</v>
      </c>
      <c r="O334">
        <f t="shared" si="14"/>
        <v>0</v>
      </c>
      <c r="P334" s="31">
        <f>VLOOKUP($B334&amp;$C$282&amp;$G334,$E$6:$U$275,P$279,FALSE)*VLOOKUP($A334,Weighting!$D$26:$G$30,MATCH(Segmented!$C$282,Weighting!$E$26:$H$26,0)+1,FALSE)+VLOOKUP($B334&amp;$D$282&amp;$G334,$E$6:$U$275,P$279,FALSE)*VLOOKUP($A334,Weighting!$D$26:$G$30,MATCH(Segmented!$D$282,Weighting!$E$26:$H$26,0)+1,FALSE)+VLOOKUP($B334&amp;$E$282&amp;$G334,$E$6:$U$275,P$279,FALSE)*VLOOKUP($A334,Weighting!$D$26:$G$30,MATCH(Segmented!$E$282,Weighting!$E$26:$H$26,0)+1,FALSE)</f>
        <v>0</v>
      </c>
      <c r="Q334">
        <f t="shared" si="15"/>
        <v>0</v>
      </c>
      <c r="R334" s="31">
        <f>VLOOKUP($B334&amp;$C$282&amp;$G334,$E$6:$U$275,R$279,FALSE)*VLOOKUP($A334,Weighting!$D$26:$G$30,MATCH(Segmented!$C$282,Weighting!$E$26:$H$26,0)+1,FALSE)+VLOOKUP($B334&amp;$D$282&amp;$G334,$E$6:$U$275,R$279,FALSE)*VLOOKUP($A334,Weighting!$D$26:$G$30,MATCH(Segmented!$D$282,Weighting!$E$26:$H$26,0)+1,FALSE)+VLOOKUP($B334&amp;$E$282&amp;$G334,$E$6:$U$275,R$279,FALSE)*VLOOKUP($A334,Weighting!$D$26:$G$30,MATCH(Segmented!$E$282,Weighting!$E$26:$H$26,0)+1,FALSE)</f>
        <v>0</v>
      </c>
      <c r="S334">
        <f t="shared" si="16"/>
        <v>0</v>
      </c>
      <c r="T334" s="31">
        <f>VLOOKUP($B334&amp;$C$282&amp;$G334,$E$6:$U$275,T$279,FALSE)*VLOOKUP($A334,Weighting!$D$26:$G$30,MATCH(Segmented!$C$282,Weighting!$E$26:$H$26,0)+1,FALSE)+VLOOKUP($B334&amp;$D$282&amp;$G334,$E$6:$U$275,T$279,FALSE)*VLOOKUP($A334,Weighting!$D$26:$G$30,MATCH(Segmented!$D$282,Weighting!$E$26:$H$26,0)+1,FALSE)+VLOOKUP($B334&amp;$E$282&amp;$G334,$E$6:$U$275,T$279,FALSE)*VLOOKUP($A334,Weighting!$D$26:$G$30,MATCH(Segmented!$E$282,Weighting!$E$26:$H$26,0)+1,FALSE)</f>
        <v>0</v>
      </c>
    </row>
    <row r="335" spans="1:20">
      <c r="A335" t="s">
        <v>353</v>
      </c>
      <c r="B335" t="s">
        <v>1359</v>
      </c>
      <c r="F335" s="55" t="str">
        <f t="shared" si="11"/>
        <v>FLOOR R0 - R25_DHP</v>
      </c>
      <c r="G335" s="53" t="s">
        <v>89</v>
      </c>
      <c r="H335" s="31">
        <f>VLOOKUP($B335&amp;$C$282&amp;$G335,$E$6:$U$275,H$279,FALSE)*VLOOKUP($A335,Weighting!$D$26:$G$30,MATCH(Segmented!$C$282,Weighting!$E$26:$H$26,0)+1,FALSE)+VLOOKUP($B335&amp;$D$282&amp;$G335,$E$6:$U$275,H$279,FALSE)*VLOOKUP($A335,Weighting!$D$26:$G$30,MATCH(Segmented!$D$282,Weighting!$E$26:$H$26,0)+1,FALSE)+VLOOKUP($B335&amp;$E$282&amp;$G335,$E$6:$U$275,H$279,FALSE)*VLOOKUP($A335,Weighting!$D$26:$G$30,MATCH(Segmented!$E$282,Weighting!$E$26:$H$26,0)+1,FALSE)</f>
        <v>590.9487891710512</v>
      </c>
      <c r="I335">
        <f t="shared" si="12"/>
        <v>45</v>
      </c>
      <c r="J335" s="31">
        <f>VLOOKUP($B335&amp;$C$282&amp;$G335,$E$6:$U$275,J$279,FALSE)*VLOOKUP($A335,Weighting!$D$26:$G$30,MATCH(Segmented!$C$282,Weighting!$E$26:$H$26,0)+1,FALSE)+VLOOKUP($B335&amp;$D$282&amp;$G335,$E$6:$U$275,J$279,FALSE)*VLOOKUP($A335,Weighting!$D$26:$G$30,MATCH(Segmented!$D$282,Weighting!$E$26:$H$26,0)+1,FALSE)+VLOOKUP($B335&amp;$E$282&amp;$G335,$E$6:$U$275,J$279,FALSE)*VLOOKUP($A335,Weighting!$D$26:$G$30,MATCH(Segmented!$E$282,Weighting!$E$26:$H$26,0)+1,FALSE)</f>
        <v>784.98235045037131</v>
      </c>
      <c r="K335" s="31">
        <f>VLOOKUP($B335&amp;$C$282&amp;$G335,$E$6:$U$275,K$279,FALSE)*VLOOKUP($A335,Weighting!$D$26:$G$30,MATCH(Segmented!$C$282,Weighting!$E$26:$H$26,0)+1,FALSE)+VLOOKUP($B335&amp;$D$282&amp;$G335,$E$6:$U$275,K$279,FALSE)*VLOOKUP($A335,Weighting!$D$26:$G$30,MATCH(Segmented!$D$282,Weighting!$E$26:$H$26,0)+1,FALSE)+VLOOKUP($B335&amp;$E$282&amp;$G335,$E$6:$U$275,K$279,FALSE)*VLOOKUP($A335,Weighting!$D$26:$G$30,MATCH(Segmented!$E$282,Weighting!$E$26:$H$26,0)+1,FALSE)</f>
        <v>0</v>
      </c>
      <c r="L335" t="str">
        <f t="shared" si="13"/>
        <v>ResSpHtBBZ1</v>
      </c>
      <c r="M335" s="31">
        <f>VLOOKUP($B335&amp;$C$282&amp;$G335,$E$6:$U$275,M$279,FALSE)*VLOOKUP($A335,Weighting!$D$26:$G$30,MATCH(Segmented!$C$282,Weighting!$E$26:$H$26,0)+1,FALSE)+VLOOKUP($B335&amp;$D$282&amp;$G335,$E$6:$U$275,M$279,FALSE)*VLOOKUP($A335,Weighting!$D$26:$G$30,MATCH(Segmented!$D$282,Weighting!$E$26:$H$26,0)+1,FALSE)+VLOOKUP($B335&amp;$E$282&amp;$G335,$E$6:$U$275,M$279,FALSE)*VLOOKUP($A335,Weighting!$D$26:$G$30,MATCH(Segmented!$E$282,Weighting!$E$26:$H$26,0)+1,FALSE)</f>
        <v>3.0895912282346907</v>
      </c>
      <c r="N335" s="31">
        <f>VLOOKUP($B335&amp;$C$282&amp;$G335,$E$6:$U$275,N$279,FALSE)*VLOOKUP($A335,Weighting!$D$26:$G$30,MATCH(Segmented!$C$282,Weighting!$E$26:$H$26,0)+1,FALSE)+VLOOKUP($B335&amp;$D$282&amp;$G335,$E$6:$U$275,N$279,FALSE)*VLOOKUP($A335,Weighting!$D$26:$G$30,MATCH(Segmented!$D$282,Weighting!$E$26:$H$26,0)+1,FALSE)+VLOOKUP($B335&amp;$E$282&amp;$G335,$E$6:$U$275,N$279,FALSE)*VLOOKUP($A335,Weighting!$D$26:$G$30,MATCH(Segmented!$E$282,Weighting!$E$26:$H$26,0)+1,FALSE)</f>
        <v>0</v>
      </c>
      <c r="O335">
        <f t="shared" si="14"/>
        <v>0</v>
      </c>
      <c r="P335" s="31">
        <f>VLOOKUP($B335&amp;$C$282&amp;$G335,$E$6:$U$275,P$279,FALSE)*VLOOKUP($A335,Weighting!$D$26:$G$30,MATCH(Segmented!$C$282,Weighting!$E$26:$H$26,0)+1,FALSE)+VLOOKUP($B335&amp;$D$282&amp;$G335,$E$6:$U$275,P$279,FALSE)*VLOOKUP($A335,Weighting!$D$26:$G$30,MATCH(Segmented!$D$282,Weighting!$E$26:$H$26,0)+1,FALSE)+VLOOKUP($B335&amp;$E$282&amp;$G335,$E$6:$U$275,P$279,FALSE)*VLOOKUP($A335,Weighting!$D$26:$G$30,MATCH(Segmented!$E$282,Weighting!$E$26:$H$26,0)+1,FALSE)</f>
        <v>0</v>
      </c>
      <c r="Q335">
        <f t="shared" si="15"/>
        <v>0</v>
      </c>
      <c r="R335" s="31">
        <f>VLOOKUP($B335&amp;$C$282&amp;$G335,$E$6:$U$275,R$279,FALSE)*VLOOKUP($A335,Weighting!$D$26:$G$30,MATCH(Segmented!$C$282,Weighting!$E$26:$H$26,0)+1,FALSE)+VLOOKUP($B335&amp;$D$282&amp;$G335,$E$6:$U$275,R$279,FALSE)*VLOOKUP($A335,Weighting!$D$26:$G$30,MATCH(Segmented!$D$282,Weighting!$E$26:$H$26,0)+1,FALSE)+VLOOKUP($B335&amp;$E$282&amp;$G335,$E$6:$U$275,R$279,FALSE)*VLOOKUP($A335,Weighting!$D$26:$G$30,MATCH(Segmented!$E$282,Weighting!$E$26:$H$26,0)+1,FALSE)</f>
        <v>0</v>
      </c>
      <c r="S335">
        <f t="shared" si="16"/>
        <v>0</v>
      </c>
      <c r="T335" s="31">
        <f>VLOOKUP($B335&amp;$C$282&amp;$G335,$E$6:$U$275,T$279,FALSE)*VLOOKUP($A335,Weighting!$D$26:$G$30,MATCH(Segmented!$C$282,Weighting!$E$26:$H$26,0)+1,FALSE)+VLOOKUP($B335&amp;$D$282&amp;$G335,$E$6:$U$275,T$279,FALSE)*VLOOKUP($A335,Weighting!$D$26:$G$30,MATCH(Segmented!$D$282,Weighting!$E$26:$H$26,0)+1,FALSE)+VLOOKUP($B335&amp;$E$282&amp;$G335,$E$6:$U$275,T$279,FALSE)*VLOOKUP($A335,Weighting!$D$26:$G$30,MATCH(Segmented!$E$282,Weighting!$E$26:$H$26,0)+1,FALSE)</f>
        <v>0</v>
      </c>
    </row>
    <row r="336" spans="1:20">
      <c r="A336" t="s">
        <v>353</v>
      </c>
      <c r="B336" t="s">
        <v>1359</v>
      </c>
      <c r="F336" s="55" t="str">
        <f t="shared" si="11"/>
        <v>FLOOR R0 - R30_DHP</v>
      </c>
      <c r="G336" s="53" t="s">
        <v>91</v>
      </c>
      <c r="H336" s="31">
        <f>VLOOKUP($B336&amp;$C$282&amp;$G336,$E$6:$U$275,H$279,FALSE)*VLOOKUP($A336,Weighting!$D$26:$G$30,MATCH(Segmented!$C$282,Weighting!$E$26:$H$26,0)+1,FALSE)+VLOOKUP($B336&amp;$D$282&amp;$G336,$E$6:$U$275,H$279,FALSE)*VLOOKUP($A336,Weighting!$D$26:$G$30,MATCH(Segmented!$D$282,Weighting!$E$26:$H$26,0)+1,FALSE)+VLOOKUP($B336&amp;$E$282&amp;$G336,$E$6:$U$275,H$279,FALSE)*VLOOKUP($A336,Weighting!$D$26:$G$30,MATCH(Segmented!$E$282,Weighting!$E$26:$H$26,0)+1,FALSE)</f>
        <v>615.29155948122855</v>
      </c>
      <c r="I336">
        <f t="shared" si="12"/>
        <v>45</v>
      </c>
      <c r="J336" s="31">
        <f>VLOOKUP($B336&amp;$C$282&amp;$G336,$E$6:$U$275,J$279,FALSE)*VLOOKUP($A336,Weighting!$D$26:$G$30,MATCH(Segmented!$C$282,Weighting!$E$26:$H$26,0)+1,FALSE)+VLOOKUP($B336&amp;$D$282&amp;$G336,$E$6:$U$275,J$279,FALSE)*VLOOKUP($A336,Weighting!$D$26:$G$30,MATCH(Segmented!$D$282,Weighting!$E$26:$H$26,0)+1,FALSE)+VLOOKUP($B336&amp;$E$282&amp;$G336,$E$6:$U$275,J$279,FALSE)*VLOOKUP($A336,Weighting!$D$26:$G$30,MATCH(Segmented!$E$282,Weighting!$E$26:$H$26,0)+1,FALSE)</f>
        <v>809.10873601266894</v>
      </c>
      <c r="K336" s="31">
        <f>VLOOKUP($B336&amp;$C$282&amp;$G336,$E$6:$U$275,K$279,FALSE)*VLOOKUP($A336,Weighting!$D$26:$G$30,MATCH(Segmented!$C$282,Weighting!$E$26:$H$26,0)+1,FALSE)+VLOOKUP($B336&amp;$D$282&amp;$G336,$E$6:$U$275,K$279,FALSE)*VLOOKUP($A336,Weighting!$D$26:$G$30,MATCH(Segmented!$D$282,Weighting!$E$26:$H$26,0)+1,FALSE)+VLOOKUP($B336&amp;$E$282&amp;$G336,$E$6:$U$275,K$279,FALSE)*VLOOKUP($A336,Weighting!$D$26:$G$30,MATCH(Segmented!$E$282,Weighting!$E$26:$H$26,0)+1,FALSE)</f>
        <v>0</v>
      </c>
      <c r="L336" t="str">
        <f t="shared" si="13"/>
        <v>ResSpHtBBZ1</v>
      </c>
      <c r="M336" s="31">
        <f>VLOOKUP($B336&amp;$C$282&amp;$G336,$E$6:$U$275,M$279,FALSE)*VLOOKUP($A336,Weighting!$D$26:$G$30,MATCH(Segmented!$C$282,Weighting!$E$26:$H$26,0)+1,FALSE)+VLOOKUP($B336&amp;$D$282&amp;$G336,$E$6:$U$275,M$279,FALSE)*VLOOKUP($A336,Weighting!$D$26:$G$30,MATCH(Segmented!$D$282,Weighting!$E$26:$H$26,0)+1,FALSE)+VLOOKUP($B336&amp;$E$282&amp;$G336,$E$6:$U$275,M$279,FALSE)*VLOOKUP($A336,Weighting!$D$26:$G$30,MATCH(Segmented!$E$282,Weighting!$E$26:$H$26,0)+1,FALSE)</f>
        <v>3.3449200357307398</v>
      </c>
      <c r="N336" s="31">
        <f>VLOOKUP($B336&amp;$C$282&amp;$G336,$E$6:$U$275,N$279,FALSE)*VLOOKUP($A336,Weighting!$D$26:$G$30,MATCH(Segmented!$C$282,Weighting!$E$26:$H$26,0)+1,FALSE)+VLOOKUP($B336&amp;$D$282&amp;$G336,$E$6:$U$275,N$279,FALSE)*VLOOKUP($A336,Weighting!$D$26:$G$30,MATCH(Segmented!$D$282,Weighting!$E$26:$H$26,0)+1,FALSE)+VLOOKUP($B336&amp;$E$282&amp;$G336,$E$6:$U$275,N$279,FALSE)*VLOOKUP($A336,Weighting!$D$26:$G$30,MATCH(Segmented!$E$282,Weighting!$E$26:$H$26,0)+1,FALSE)</f>
        <v>0</v>
      </c>
      <c r="O336">
        <f t="shared" si="14"/>
        <v>0</v>
      </c>
      <c r="P336" s="31">
        <f>VLOOKUP($B336&amp;$C$282&amp;$G336,$E$6:$U$275,P$279,FALSE)*VLOOKUP($A336,Weighting!$D$26:$G$30,MATCH(Segmented!$C$282,Weighting!$E$26:$H$26,0)+1,FALSE)+VLOOKUP($B336&amp;$D$282&amp;$G336,$E$6:$U$275,P$279,FALSE)*VLOOKUP($A336,Weighting!$D$26:$G$30,MATCH(Segmented!$D$282,Weighting!$E$26:$H$26,0)+1,FALSE)+VLOOKUP($B336&amp;$E$282&amp;$G336,$E$6:$U$275,P$279,FALSE)*VLOOKUP($A336,Weighting!$D$26:$G$30,MATCH(Segmented!$E$282,Weighting!$E$26:$H$26,0)+1,FALSE)</f>
        <v>0</v>
      </c>
      <c r="Q336">
        <f t="shared" si="15"/>
        <v>0</v>
      </c>
      <c r="R336" s="31">
        <f>VLOOKUP($B336&amp;$C$282&amp;$G336,$E$6:$U$275,R$279,FALSE)*VLOOKUP($A336,Weighting!$D$26:$G$30,MATCH(Segmented!$C$282,Weighting!$E$26:$H$26,0)+1,FALSE)+VLOOKUP($B336&amp;$D$282&amp;$G336,$E$6:$U$275,R$279,FALSE)*VLOOKUP($A336,Weighting!$D$26:$G$30,MATCH(Segmented!$D$282,Weighting!$E$26:$H$26,0)+1,FALSE)+VLOOKUP($B336&amp;$E$282&amp;$G336,$E$6:$U$275,R$279,FALSE)*VLOOKUP($A336,Weighting!$D$26:$G$30,MATCH(Segmented!$E$282,Weighting!$E$26:$H$26,0)+1,FALSE)</f>
        <v>0</v>
      </c>
      <c r="S336">
        <f t="shared" si="16"/>
        <v>0</v>
      </c>
      <c r="T336" s="31">
        <f>VLOOKUP($B336&amp;$C$282&amp;$G336,$E$6:$U$275,T$279,FALSE)*VLOOKUP($A336,Weighting!$D$26:$G$30,MATCH(Segmented!$C$282,Weighting!$E$26:$H$26,0)+1,FALSE)+VLOOKUP($B336&amp;$D$282&amp;$G336,$E$6:$U$275,T$279,FALSE)*VLOOKUP($A336,Weighting!$D$26:$G$30,MATCH(Segmented!$D$282,Weighting!$E$26:$H$26,0)+1,FALSE)+VLOOKUP($B336&amp;$E$282&amp;$G336,$E$6:$U$275,T$279,FALSE)*VLOOKUP($A336,Weighting!$D$26:$G$30,MATCH(Segmented!$E$282,Weighting!$E$26:$H$26,0)+1,FALSE)</f>
        <v>0</v>
      </c>
    </row>
    <row r="337" spans="1:20" ht="25.5">
      <c r="A337" t="s">
        <v>353</v>
      </c>
      <c r="B337" t="s">
        <v>1359</v>
      </c>
      <c r="F337" s="55" t="str">
        <f t="shared" si="11"/>
        <v>WINDOW CL30 Prime Window Replacement of Single Pane Base_DHP</v>
      </c>
      <c r="G337" s="53" t="s">
        <v>93</v>
      </c>
      <c r="H337" s="31">
        <f>VLOOKUP($B337&amp;$C$282&amp;$G337,$E$6:$U$275,H$279,FALSE)*VLOOKUP($A337,Weighting!$D$26:$G$30,MATCH(Segmented!$C$282,Weighting!$E$26:$H$26,0)+1,FALSE)+VLOOKUP($B337&amp;$D$282&amp;$G337,$E$6:$U$275,H$279,FALSE)*VLOOKUP($A337,Weighting!$D$26:$G$30,MATCH(Segmented!$D$282,Weighting!$E$26:$H$26,0)+1,FALSE)+VLOOKUP($B337&amp;$E$282&amp;$G337,$E$6:$U$275,H$279,FALSE)*VLOOKUP($A337,Weighting!$D$26:$G$30,MATCH(Segmented!$E$282,Weighting!$E$26:$H$26,0)+1,FALSE)</f>
        <v>641.91966172991431</v>
      </c>
      <c r="I337">
        <f t="shared" si="12"/>
        <v>45</v>
      </c>
      <c r="J337" s="31">
        <f>VLOOKUP($B337&amp;$C$282&amp;$G337,$E$6:$U$275,J$279,FALSE)*VLOOKUP($A337,Weighting!$D$26:$G$30,MATCH(Segmented!$C$282,Weighting!$E$26:$H$26,0)+1,FALSE)+VLOOKUP($B337&amp;$D$282&amp;$G337,$E$6:$U$275,J$279,FALSE)*VLOOKUP($A337,Weighting!$D$26:$G$30,MATCH(Segmented!$D$282,Weighting!$E$26:$H$26,0)+1,FALSE)+VLOOKUP($B337&amp;$E$282&amp;$G337,$E$6:$U$275,J$279,FALSE)*VLOOKUP($A337,Weighting!$D$26:$G$30,MATCH(Segmented!$E$282,Weighting!$E$26:$H$26,0)+1,FALSE)</f>
        <v>1423.5624999793488</v>
      </c>
      <c r="K337" s="31">
        <f>VLOOKUP($B337&amp;$C$282&amp;$G337,$E$6:$U$275,K$279,FALSE)*VLOOKUP($A337,Weighting!$D$26:$G$30,MATCH(Segmented!$C$282,Weighting!$E$26:$H$26,0)+1,FALSE)+VLOOKUP($B337&amp;$D$282&amp;$G337,$E$6:$U$275,K$279,FALSE)*VLOOKUP($A337,Weighting!$D$26:$G$30,MATCH(Segmented!$D$282,Weighting!$E$26:$H$26,0)+1,FALSE)+VLOOKUP($B337&amp;$E$282&amp;$G337,$E$6:$U$275,K$279,FALSE)*VLOOKUP($A337,Weighting!$D$26:$G$30,MATCH(Segmented!$E$282,Weighting!$E$26:$H$26,0)+1,FALSE)</f>
        <v>0</v>
      </c>
      <c r="L337" t="str">
        <f t="shared" si="13"/>
        <v>ResSpHtBBZ1</v>
      </c>
      <c r="M337" s="31">
        <f>VLOOKUP($B337&amp;$C$282&amp;$G337,$E$6:$U$275,M$279,FALSE)*VLOOKUP($A337,Weighting!$D$26:$G$30,MATCH(Segmented!$C$282,Weighting!$E$26:$H$26,0)+1,FALSE)+VLOOKUP($B337&amp;$D$282&amp;$G337,$E$6:$U$275,M$279,FALSE)*VLOOKUP($A337,Weighting!$D$26:$G$30,MATCH(Segmented!$D$282,Weighting!$E$26:$H$26,0)+1,FALSE)+VLOOKUP($B337&amp;$E$282&amp;$G337,$E$6:$U$275,M$279,FALSE)*VLOOKUP($A337,Weighting!$D$26:$G$30,MATCH(Segmented!$E$282,Weighting!$E$26:$H$26,0)+1,FALSE)</f>
        <v>5.5896165677518299</v>
      </c>
      <c r="N337" s="31">
        <f>VLOOKUP($B337&amp;$C$282&amp;$G337,$E$6:$U$275,N$279,FALSE)*VLOOKUP($A337,Weighting!$D$26:$G$30,MATCH(Segmented!$C$282,Weighting!$E$26:$H$26,0)+1,FALSE)+VLOOKUP($B337&amp;$D$282&amp;$G337,$E$6:$U$275,N$279,FALSE)*VLOOKUP($A337,Weighting!$D$26:$G$30,MATCH(Segmented!$D$282,Weighting!$E$26:$H$26,0)+1,FALSE)+VLOOKUP($B337&amp;$E$282&amp;$G337,$E$6:$U$275,N$279,FALSE)*VLOOKUP($A337,Weighting!$D$26:$G$30,MATCH(Segmented!$E$282,Weighting!$E$26:$H$26,0)+1,FALSE)</f>
        <v>0</v>
      </c>
      <c r="O337">
        <f t="shared" si="14"/>
        <v>0</v>
      </c>
      <c r="P337" s="31">
        <f>VLOOKUP($B337&amp;$C$282&amp;$G337,$E$6:$U$275,P$279,FALSE)*VLOOKUP($A337,Weighting!$D$26:$G$30,MATCH(Segmented!$C$282,Weighting!$E$26:$H$26,0)+1,FALSE)+VLOOKUP($B337&amp;$D$282&amp;$G337,$E$6:$U$275,P$279,FALSE)*VLOOKUP($A337,Weighting!$D$26:$G$30,MATCH(Segmented!$D$282,Weighting!$E$26:$H$26,0)+1,FALSE)+VLOOKUP($B337&amp;$E$282&amp;$G337,$E$6:$U$275,P$279,FALSE)*VLOOKUP($A337,Weighting!$D$26:$G$30,MATCH(Segmented!$E$282,Weighting!$E$26:$H$26,0)+1,FALSE)</f>
        <v>0</v>
      </c>
      <c r="Q337">
        <f t="shared" si="15"/>
        <v>0</v>
      </c>
      <c r="R337" s="31">
        <f>VLOOKUP($B337&amp;$C$282&amp;$G337,$E$6:$U$275,R$279,FALSE)*VLOOKUP($A337,Weighting!$D$26:$G$30,MATCH(Segmented!$C$282,Weighting!$E$26:$H$26,0)+1,FALSE)+VLOOKUP($B337&amp;$D$282&amp;$G337,$E$6:$U$275,R$279,FALSE)*VLOOKUP($A337,Weighting!$D$26:$G$30,MATCH(Segmented!$D$282,Weighting!$E$26:$H$26,0)+1,FALSE)+VLOOKUP($B337&amp;$E$282&amp;$G337,$E$6:$U$275,R$279,FALSE)*VLOOKUP($A337,Weighting!$D$26:$G$30,MATCH(Segmented!$E$282,Weighting!$E$26:$H$26,0)+1,FALSE)</f>
        <v>0</v>
      </c>
      <c r="S337">
        <f t="shared" si="16"/>
        <v>0</v>
      </c>
      <c r="T337" s="31">
        <f>VLOOKUP($B337&amp;$C$282&amp;$G337,$E$6:$U$275,T$279,FALSE)*VLOOKUP($A337,Weighting!$D$26:$G$30,MATCH(Segmented!$C$282,Weighting!$E$26:$H$26,0)+1,FALSE)+VLOOKUP($B337&amp;$D$282&amp;$G337,$E$6:$U$275,T$279,FALSE)*VLOOKUP($A337,Weighting!$D$26:$G$30,MATCH(Segmented!$D$282,Weighting!$E$26:$H$26,0)+1,FALSE)+VLOOKUP($B337&amp;$E$282&amp;$G337,$E$6:$U$275,T$279,FALSE)*VLOOKUP($A337,Weighting!$D$26:$G$30,MATCH(Segmented!$E$282,Weighting!$E$26:$H$26,0)+1,FALSE)</f>
        <v>0</v>
      </c>
    </row>
    <row r="338" spans="1:20" ht="25.5">
      <c r="A338" t="s">
        <v>353</v>
      </c>
      <c r="B338" t="s">
        <v>1359</v>
      </c>
      <c r="F338" s="55" t="str">
        <f t="shared" si="11"/>
        <v>WINDOW CL30 Prime Window Replacement of Double Pane Base_DHP</v>
      </c>
      <c r="G338" s="53" t="s">
        <v>95</v>
      </c>
      <c r="H338" s="31">
        <f>VLOOKUP($B338&amp;$C$282&amp;$G338,$E$6:$U$275,H$279,FALSE)*VLOOKUP($A338,Weighting!$D$26:$G$30,MATCH(Segmented!$C$282,Weighting!$E$26:$H$26,0)+1,FALSE)+VLOOKUP($B338&amp;$D$282&amp;$G338,$E$6:$U$275,H$279,FALSE)*VLOOKUP($A338,Weighting!$D$26:$G$30,MATCH(Segmented!$D$282,Weighting!$E$26:$H$26,0)+1,FALSE)+VLOOKUP($B338&amp;$E$282&amp;$G338,$E$6:$U$275,H$279,FALSE)*VLOOKUP($A338,Weighting!$D$26:$G$30,MATCH(Segmented!$E$282,Weighting!$E$26:$H$26,0)+1,FALSE)</f>
        <v>354.05076895078599</v>
      </c>
      <c r="I338">
        <f t="shared" si="12"/>
        <v>45</v>
      </c>
      <c r="J338" s="31">
        <f>VLOOKUP($B338&amp;$C$282&amp;$G338,$E$6:$U$275,J$279,FALSE)*VLOOKUP($A338,Weighting!$D$26:$G$30,MATCH(Segmented!$C$282,Weighting!$E$26:$H$26,0)+1,FALSE)+VLOOKUP($B338&amp;$D$282&amp;$G338,$E$6:$U$275,J$279,FALSE)*VLOOKUP($A338,Weighting!$D$26:$G$30,MATCH(Segmented!$D$282,Weighting!$E$26:$H$26,0)+1,FALSE)+VLOOKUP($B338&amp;$E$282&amp;$G338,$E$6:$U$275,J$279,FALSE)*VLOOKUP($A338,Weighting!$D$26:$G$30,MATCH(Segmented!$E$282,Weighting!$E$26:$H$26,0)+1,FALSE)</f>
        <v>1423.5624999793488</v>
      </c>
      <c r="K338" s="31">
        <f>VLOOKUP($B338&amp;$C$282&amp;$G338,$E$6:$U$275,K$279,FALSE)*VLOOKUP($A338,Weighting!$D$26:$G$30,MATCH(Segmented!$C$282,Weighting!$E$26:$H$26,0)+1,FALSE)+VLOOKUP($B338&amp;$D$282&amp;$G338,$E$6:$U$275,K$279,FALSE)*VLOOKUP($A338,Weighting!$D$26:$G$30,MATCH(Segmented!$D$282,Weighting!$E$26:$H$26,0)+1,FALSE)+VLOOKUP($B338&amp;$E$282&amp;$G338,$E$6:$U$275,K$279,FALSE)*VLOOKUP($A338,Weighting!$D$26:$G$30,MATCH(Segmented!$E$282,Weighting!$E$26:$H$26,0)+1,FALSE)</f>
        <v>0</v>
      </c>
      <c r="L338" t="str">
        <f t="shared" si="13"/>
        <v>ResSpHtBBZ1</v>
      </c>
      <c r="M338" s="31">
        <f>VLOOKUP($B338&amp;$C$282&amp;$G338,$E$6:$U$275,M$279,FALSE)*VLOOKUP($A338,Weighting!$D$26:$G$30,MATCH(Segmented!$C$282,Weighting!$E$26:$H$26,0)+1,FALSE)+VLOOKUP($B338&amp;$D$282&amp;$G338,$E$6:$U$275,M$279,FALSE)*VLOOKUP($A338,Weighting!$D$26:$G$30,MATCH(Segmented!$D$282,Weighting!$E$26:$H$26,0)+1,FALSE)+VLOOKUP($B338&amp;$E$282&amp;$G338,$E$6:$U$275,M$279,FALSE)*VLOOKUP($A338,Weighting!$D$26:$G$30,MATCH(Segmented!$E$282,Weighting!$E$26:$H$26,0)+1,FALSE)</f>
        <v>3.074416515925221</v>
      </c>
      <c r="N338" s="31">
        <f>VLOOKUP($B338&amp;$C$282&amp;$G338,$E$6:$U$275,N$279,FALSE)*VLOOKUP($A338,Weighting!$D$26:$G$30,MATCH(Segmented!$C$282,Weighting!$E$26:$H$26,0)+1,FALSE)+VLOOKUP($B338&amp;$D$282&amp;$G338,$E$6:$U$275,N$279,FALSE)*VLOOKUP($A338,Weighting!$D$26:$G$30,MATCH(Segmented!$D$282,Weighting!$E$26:$H$26,0)+1,FALSE)+VLOOKUP($B338&amp;$E$282&amp;$G338,$E$6:$U$275,N$279,FALSE)*VLOOKUP($A338,Weighting!$D$26:$G$30,MATCH(Segmented!$E$282,Weighting!$E$26:$H$26,0)+1,FALSE)</f>
        <v>0</v>
      </c>
      <c r="O338">
        <f t="shared" si="14"/>
        <v>0</v>
      </c>
      <c r="P338" s="31">
        <f>VLOOKUP($B338&amp;$C$282&amp;$G338,$E$6:$U$275,P$279,FALSE)*VLOOKUP($A338,Weighting!$D$26:$G$30,MATCH(Segmented!$C$282,Weighting!$E$26:$H$26,0)+1,FALSE)+VLOOKUP($B338&amp;$D$282&amp;$G338,$E$6:$U$275,P$279,FALSE)*VLOOKUP($A338,Weighting!$D$26:$G$30,MATCH(Segmented!$D$282,Weighting!$E$26:$H$26,0)+1,FALSE)+VLOOKUP($B338&amp;$E$282&amp;$G338,$E$6:$U$275,P$279,FALSE)*VLOOKUP($A338,Weighting!$D$26:$G$30,MATCH(Segmented!$E$282,Weighting!$E$26:$H$26,0)+1,FALSE)</f>
        <v>0</v>
      </c>
      <c r="Q338">
        <f t="shared" si="15"/>
        <v>0</v>
      </c>
      <c r="R338" s="31">
        <f>VLOOKUP($B338&amp;$C$282&amp;$G338,$E$6:$U$275,R$279,FALSE)*VLOOKUP($A338,Weighting!$D$26:$G$30,MATCH(Segmented!$C$282,Weighting!$E$26:$H$26,0)+1,FALSE)+VLOOKUP($B338&amp;$D$282&amp;$G338,$E$6:$U$275,R$279,FALSE)*VLOOKUP($A338,Weighting!$D$26:$G$30,MATCH(Segmented!$D$282,Weighting!$E$26:$H$26,0)+1,FALSE)+VLOOKUP($B338&amp;$E$282&amp;$G338,$E$6:$U$275,R$279,FALSE)*VLOOKUP($A338,Weighting!$D$26:$G$30,MATCH(Segmented!$E$282,Weighting!$E$26:$H$26,0)+1,FALSE)</f>
        <v>0</v>
      </c>
      <c r="S338">
        <f t="shared" si="16"/>
        <v>0</v>
      </c>
      <c r="T338" s="31">
        <f>VLOOKUP($B338&amp;$C$282&amp;$G338,$E$6:$U$275,T$279,FALSE)*VLOOKUP($A338,Weighting!$D$26:$G$30,MATCH(Segmented!$C$282,Weighting!$E$26:$H$26,0)+1,FALSE)+VLOOKUP($B338&amp;$D$282&amp;$G338,$E$6:$U$275,T$279,FALSE)*VLOOKUP($A338,Weighting!$D$26:$G$30,MATCH(Segmented!$D$282,Weighting!$E$26:$H$26,0)+1,FALSE)+VLOOKUP($B338&amp;$E$282&amp;$G338,$E$6:$U$275,T$279,FALSE)*VLOOKUP($A338,Weighting!$D$26:$G$30,MATCH(Segmented!$E$282,Weighting!$E$26:$H$26,0)+1,FALSE)</f>
        <v>0</v>
      </c>
    </row>
    <row r="339" spans="1:20" ht="25.5">
      <c r="A339" t="s">
        <v>353</v>
      </c>
      <c r="B339" t="s">
        <v>1359</v>
      </c>
      <c r="F339" s="55" t="str">
        <f t="shared" si="11"/>
        <v>WINDOW CL22 Prime Window Replacement of Single Pane Base_DHP</v>
      </c>
      <c r="G339" s="53" t="s">
        <v>99</v>
      </c>
      <c r="H339" s="31">
        <f>VLOOKUP($B339&amp;$C$282&amp;$G339,$E$6:$U$275,H$279,FALSE)*VLOOKUP($A339,Weighting!$D$26:$G$30,MATCH(Segmented!$C$282,Weighting!$E$26:$H$26,0)+1,FALSE)+VLOOKUP($B339&amp;$D$282&amp;$G339,$E$6:$U$275,H$279,FALSE)*VLOOKUP($A339,Weighting!$D$26:$G$30,MATCH(Segmented!$D$282,Weighting!$E$26:$H$26,0)+1,FALSE)+VLOOKUP($B339&amp;$E$282&amp;$G339,$E$6:$U$275,H$279,FALSE)*VLOOKUP($A339,Weighting!$D$26:$G$30,MATCH(Segmented!$E$282,Weighting!$E$26:$H$26,0)+1,FALSE)</f>
        <v>700.32795887258351</v>
      </c>
      <c r="I339">
        <f t="shared" ref="I339" si="17">I63</f>
        <v>45</v>
      </c>
      <c r="J339" s="31">
        <f>VLOOKUP($B339&amp;$C$282&amp;$G339,$E$6:$U$275,J$279,FALSE)*VLOOKUP($A339,Weighting!$D$26:$G$30,MATCH(Segmented!$C$282,Weighting!$E$26:$H$26,0)+1,FALSE)+VLOOKUP($B339&amp;$D$282&amp;$G339,$E$6:$U$275,J$279,FALSE)*VLOOKUP($A339,Weighting!$D$26:$G$30,MATCH(Segmented!$D$282,Weighting!$E$26:$H$26,0)+1,FALSE)+VLOOKUP($B339&amp;$E$282&amp;$G339,$E$6:$U$275,J$279,FALSE)*VLOOKUP($A339,Weighting!$D$26:$G$30,MATCH(Segmented!$E$282,Weighting!$E$26:$H$26,0)+1,FALSE)</f>
        <v>1676.5345349740685</v>
      </c>
      <c r="K339" s="31">
        <f>VLOOKUP($B339&amp;$C$282&amp;$G339,$E$6:$U$275,K$279,FALSE)*VLOOKUP($A339,Weighting!$D$26:$G$30,MATCH(Segmented!$C$282,Weighting!$E$26:$H$26,0)+1,FALSE)+VLOOKUP($B339&amp;$D$282&amp;$G339,$E$6:$U$275,K$279,FALSE)*VLOOKUP($A339,Weighting!$D$26:$G$30,MATCH(Segmented!$D$282,Weighting!$E$26:$H$26,0)+1,FALSE)+VLOOKUP($B339&amp;$E$282&amp;$G339,$E$6:$U$275,K$279,FALSE)*VLOOKUP($A339,Weighting!$D$26:$G$30,MATCH(Segmented!$E$282,Weighting!$E$26:$H$26,0)+1,FALSE)</f>
        <v>0</v>
      </c>
      <c r="L339" t="str">
        <f t="shared" ref="L339" si="18">L63</f>
        <v>ResSpHtBBZ1</v>
      </c>
      <c r="M339" s="31">
        <f>VLOOKUP($B339&amp;$C$282&amp;$G339,$E$6:$U$275,M$279,FALSE)*VLOOKUP($A339,Weighting!$D$26:$G$30,MATCH(Segmented!$C$282,Weighting!$E$26:$H$26,0)+1,FALSE)+VLOOKUP($B339&amp;$D$282&amp;$G339,$E$6:$U$275,M$279,FALSE)*VLOOKUP($A339,Weighting!$D$26:$G$30,MATCH(Segmented!$D$282,Weighting!$E$26:$H$26,0)+1,FALSE)+VLOOKUP($B339&amp;$E$282&amp;$G339,$E$6:$U$275,M$279,FALSE)*VLOOKUP($A339,Weighting!$D$26:$G$30,MATCH(Segmented!$E$282,Weighting!$E$26:$H$26,0)+1,FALSE)</f>
        <v>6.2374603959411825</v>
      </c>
      <c r="N339" s="31">
        <f>VLOOKUP($B339&amp;$C$282&amp;$G339,$E$6:$U$275,N$279,FALSE)*VLOOKUP($A339,Weighting!$D$26:$G$30,MATCH(Segmented!$C$282,Weighting!$E$26:$H$26,0)+1,FALSE)+VLOOKUP($B339&amp;$D$282&amp;$G339,$E$6:$U$275,N$279,FALSE)*VLOOKUP($A339,Weighting!$D$26:$G$30,MATCH(Segmented!$D$282,Weighting!$E$26:$H$26,0)+1,FALSE)+VLOOKUP($B339&amp;$E$282&amp;$G339,$E$6:$U$275,N$279,FALSE)*VLOOKUP($A339,Weighting!$D$26:$G$30,MATCH(Segmented!$E$282,Weighting!$E$26:$H$26,0)+1,FALSE)</f>
        <v>0</v>
      </c>
      <c r="O339">
        <f t="shared" ref="O339" si="19">O63</f>
        <v>0</v>
      </c>
      <c r="P339" s="31">
        <f>VLOOKUP($B339&amp;$C$282&amp;$G339,$E$6:$U$275,P$279,FALSE)*VLOOKUP($A339,Weighting!$D$26:$G$30,MATCH(Segmented!$C$282,Weighting!$E$26:$H$26,0)+1,FALSE)+VLOOKUP($B339&amp;$D$282&amp;$G339,$E$6:$U$275,P$279,FALSE)*VLOOKUP($A339,Weighting!$D$26:$G$30,MATCH(Segmented!$D$282,Weighting!$E$26:$H$26,0)+1,FALSE)+VLOOKUP($B339&amp;$E$282&amp;$G339,$E$6:$U$275,P$279,FALSE)*VLOOKUP($A339,Weighting!$D$26:$G$30,MATCH(Segmented!$E$282,Weighting!$E$26:$H$26,0)+1,FALSE)</f>
        <v>0</v>
      </c>
      <c r="Q339">
        <f t="shared" ref="Q339" si="20">Q63</f>
        <v>0</v>
      </c>
      <c r="R339" s="31">
        <f>VLOOKUP($B339&amp;$C$282&amp;$G339,$E$6:$U$275,R$279,FALSE)*VLOOKUP($A339,Weighting!$D$26:$G$30,MATCH(Segmented!$C$282,Weighting!$E$26:$H$26,0)+1,FALSE)+VLOOKUP($B339&amp;$D$282&amp;$G339,$E$6:$U$275,R$279,FALSE)*VLOOKUP($A339,Weighting!$D$26:$G$30,MATCH(Segmented!$D$282,Weighting!$E$26:$H$26,0)+1,FALSE)+VLOOKUP($B339&amp;$E$282&amp;$G339,$E$6:$U$275,R$279,FALSE)*VLOOKUP($A339,Weighting!$D$26:$G$30,MATCH(Segmented!$E$282,Weighting!$E$26:$H$26,0)+1,FALSE)</f>
        <v>0</v>
      </c>
      <c r="S339">
        <f t="shared" ref="S339" si="21">S63</f>
        <v>0</v>
      </c>
      <c r="T339" s="31">
        <f>VLOOKUP($B339&amp;$C$282&amp;$G339,$E$6:$U$275,T$279,FALSE)*VLOOKUP($A339,Weighting!$D$26:$G$30,MATCH(Segmented!$C$282,Weighting!$E$26:$H$26,0)+1,FALSE)+VLOOKUP($B339&amp;$D$282&amp;$G339,$E$6:$U$275,T$279,FALSE)*VLOOKUP($A339,Weighting!$D$26:$G$30,MATCH(Segmented!$D$282,Weighting!$E$26:$H$26,0)+1,FALSE)+VLOOKUP($B339&amp;$E$282&amp;$G339,$E$6:$U$275,T$279,FALSE)*VLOOKUP($A339,Weighting!$D$26:$G$30,MATCH(Segmented!$E$282,Weighting!$E$26:$H$26,0)+1,FALSE)</f>
        <v>0</v>
      </c>
    </row>
    <row r="340" spans="1:20" ht="25.5">
      <c r="A340" t="s">
        <v>353</v>
      </c>
      <c r="B340" t="s">
        <v>1359</v>
      </c>
      <c r="F340" s="55" t="str">
        <f t="shared" ref="F340:F341" si="22">CONCATENATE(G340,"_",A340)</f>
        <v>WINDOW CL22 Prime Window Replacement of Double Pane Base_DHP</v>
      </c>
      <c r="G340" s="53" t="s">
        <v>101</v>
      </c>
      <c r="H340" s="31">
        <f>VLOOKUP($B340&amp;$C$282&amp;$G340,$E$6:$U$275,H$279,FALSE)*VLOOKUP($A340,Weighting!$D$26:$G$30,MATCH(Segmented!$C$282,Weighting!$E$26:$H$26,0)+1,FALSE)+VLOOKUP($B340&amp;$D$282&amp;$G340,$E$6:$U$275,H$279,FALSE)*VLOOKUP($A340,Weighting!$D$26:$G$30,MATCH(Segmented!$D$282,Weighting!$E$26:$H$26,0)+1,FALSE)+VLOOKUP($B340&amp;$E$282&amp;$G340,$E$6:$U$275,H$279,FALSE)*VLOOKUP($A340,Weighting!$D$26:$G$30,MATCH(Segmented!$E$282,Weighting!$E$26:$H$26,0)+1,FALSE)</f>
        <v>414.74246039143856</v>
      </c>
      <c r="I340">
        <f t="shared" ref="I340:I385" si="23">I64</f>
        <v>45</v>
      </c>
      <c r="J340" s="31">
        <f>VLOOKUP($B340&amp;$C$282&amp;$G340,$E$6:$U$275,J$279,FALSE)*VLOOKUP($A340,Weighting!$D$26:$G$30,MATCH(Segmented!$C$282,Weighting!$E$26:$H$26,0)+1,FALSE)+VLOOKUP($B340&amp;$D$282&amp;$G340,$E$6:$U$275,J$279,FALSE)*VLOOKUP($A340,Weighting!$D$26:$G$30,MATCH(Segmented!$D$282,Weighting!$E$26:$H$26,0)+1,FALSE)+VLOOKUP($B340&amp;$E$282&amp;$G340,$E$6:$U$275,J$279,FALSE)*VLOOKUP($A340,Weighting!$D$26:$G$30,MATCH(Segmented!$E$282,Weighting!$E$26:$H$26,0)+1,FALSE)</f>
        <v>1676.5345349740685</v>
      </c>
      <c r="K340" s="31">
        <f>VLOOKUP($B340&amp;$C$282&amp;$G340,$E$6:$U$275,K$279,FALSE)*VLOOKUP($A340,Weighting!$D$26:$G$30,MATCH(Segmented!$C$282,Weighting!$E$26:$H$26,0)+1,FALSE)+VLOOKUP($B340&amp;$D$282&amp;$G340,$E$6:$U$275,K$279,FALSE)*VLOOKUP($A340,Weighting!$D$26:$G$30,MATCH(Segmented!$D$282,Weighting!$E$26:$H$26,0)+1,FALSE)+VLOOKUP($B340&amp;$E$282&amp;$G340,$E$6:$U$275,K$279,FALSE)*VLOOKUP($A340,Weighting!$D$26:$G$30,MATCH(Segmented!$E$282,Weighting!$E$26:$H$26,0)+1,FALSE)</f>
        <v>0</v>
      </c>
      <c r="L340" t="str">
        <f t="shared" ref="L340:L385" si="24">L64</f>
        <v>ResSpHtBBZ1</v>
      </c>
      <c r="M340" s="31">
        <f>VLOOKUP($B340&amp;$C$282&amp;$G340,$E$6:$U$275,M$279,FALSE)*VLOOKUP($A340,Weighting!$D$26:$G$30,MATCH(Segmented!$C$282,Weighting!$E$26:$H$26,0)+1,FALSE)+VLOOKUP($B340&amp;$D$282&amp;$G340,$E$6:$U$275,M$279,FALSE)*VLOOKUP($A340,Weighting!$D$26:$G$30,MATCH(Segmented!$D$282,Weighting!$E$26:$H$26,0)+1,FALSE)+VLOOKUP($B340&amp;$E$282&amp;$G340,$E$6:$U$275,M$279,FALSE)*VLOOKUP($A340,Weighting!$D$26:$G$30,MATCH(Segmented!$E$282,Weighting!$E$26:$H$26,0)+1,FALSE)</f>
        <v>3.7522627996600946</v>
      </c>
      <c r="N340" s="31">
        <f>VLOOKUP($B340&amp;$C$282&amp;$G340,$E$6:$U$275,N$279,FALSE)*VLOOKUP($A340,Weighting!$D$26:$G$30,MATCH(Segmented!$C$282,Weighting!$E$26:$H$26,0)+1,FALSE)+VLOOKUP($B340&amp;$D$282&amp;$G340,$E$6:$U$275,N$279,FALSE)*VLOOKUP($A340,Weighting!$D$26:$G$30,MATCH(Segmented!$D$282,Weighting!$E$26:$H$26,0)+1,FALSE)+VLOOKUP($B340&amp;$E$282&amp;$G340,$E$6:$U$275,N$279,FALSE)*VLOOKUP($A340,Weighting!$D$26:$G$30,MATCH(Segmented!$E$282,Weighting!$E$26:$H$26,0)+1,FALSE)</f>
        <v>0</v>
      </c>
      <c r="O340">
        <f t="shared" ref="O340:O385" si="25">O64</f>
        <v>0</v>
      </c>
      <c r="P340" s="31">
        <f>VLOOKUP($B340&amp;$C$282&amp;$G340,$E$6:$U$275,P$279,FALSE)*VLOOKUP($A340,Weighting!$D$26:$G$30,MATCH(Segmented!$C$282,Weighting!$E$26:$H$26,0)+1,FALSE)+VLOOKUP($B340&amp;$D$282&amp;$G340,$E$6:$U$275,P$279,FALSE)*VLOOKUP($A340,Weighting!$D$26:$G$30,MATCH(Segmented!$D$282,Weighting!$E$26:$H$26,0)+1,FALSE)+VLOOKUP($B340&amp;$E$282&amp;$G340,$E$6:$U$275,P$279,FALSE)*VLOOKUP($A340,Weighting!$D$26:$G$30,MATCH(Segmented!$E$282,Weighting!$E$26:$H$26,0)+1,FALSE)</f>
        <v>0</v>
      </c>
      <c r="Q340">
        <f t="shared" ref="Q340:Q385" si="26">Q64</f>
        <v>0</v>
      </c>
      <c r="R340" s="31">
        <f>VLOOKUP($B340&amp;$C$282&amp;$G340,$E$6:$U$275,R$279,FALSE)*VLOOKUP($A340,Weighting!$D$26:$G$30,MATCH(Segmented!$C$282,Weighting!$E$26:$H$26,0)+1,FALSE)+VLOOKUP($B340&amp;$D$282&amp;$G340,$E$6:$U$275,R$279,FALSE)*VLOOKUP($A340,Weighting!$D$26:$G$30,MATCH(Segmented!$D$282,Weighting!$E$26:$H$26,0)+1,FALSE)+VLOOKUP($B340&amp;$E$282&amp;$G340,$E$6:$U$275,R$279,FALSE)*VLOOKUP($A340,Weighting!$D$26:$G$30,MATCH(Segmented!$E$282,Weighting!$E$26:$H$26,0)+1,FALSE)</f>
        <v>0</v>
      </c>
      <c r="S340">
        <f t="shared" ref="S340:S385" si="27">S64</f>
        <v>0</v>
      </c>
      <c r="T340" s="31">
        <f>VLOOKUP($B340&amp;$C$282&amp;$G340,$E$6:$U$275,T$279,FALSE)*VLOOKUP($A340,Weighting!$D$26:$G$30,MATCH(Segmented!$C$282,Weighting!$E$26:$H$26,0)+1,FALSE)+VLOOKUP($B340&amp;$D$282&amp;$G340,$E$6:$U$275,T$279,FALSE)*VLOOKUP($A340,Weighting!$D$26:$G$30,MATCH(Segmented!$D$282,Weighting!$E$26:$H$26,0)+1,FALSE)+VLOOKUP($B340&amp;$E$282&amp;$G340,$E$6:$U$275,T$279,FALSE)*VLOOKUP($A340,Weighting!$D$26:$G$30,MATCH(Segmented!$E$282,Weighting!$E$26:$H$26,0)+1,FALSE)</f>
        <v>0</v>
      </c>
    </row>
    <row r="341" spans="1:20">
      <c r="A341" t="s">
        <v>353</v>
      </c>
      <c r="B341" t="s">
        <v>1359</v>
      </c>
      <c r="F341" s="55" t="str">
        <f t="shared" si="22"/>
        <v>CFM50 Infiltration Reduction_DHP</v>
      </c>
      <c r="G341" s="305" t="s">
        <v>1362</v>
      </c>
      <c r="H341" s="31">
        <f>VLOOKUP($B341&amp;$C$282&amp;$G341,$E$6:$U$275,H$279,FALSE)*VLOOKUP($A341,Weighting!$D$26:$G$30,MATCH(Segmented!$C$282,Weighting!$E$26:$H$26,0)+1,FALSE)+VLOOKUP($B341&amp;$D$282&amp;$G341,$E$6:$U$275,H$279,FALSE)*VLOOKUP($A341,Weighting!$D$26:$G$30,MATCH(Segmented!$D$282,Weighting!$E$26:$H$26,0)+1,FALSE)+VLOOKUP($B341&amp;$E$282&amp;$G341,$E$6:$U$275,H$279,FALSE)*VLOOKUP($A341,Weighting!$D$26:$G$30,MATCH(Segmented!$E$282,Weighting!$E$26:$H$26,0)+1,FALSE)</f>
        <v>402.37772121424229</v>
      </c>
      <c r="I341">
        <f t="shared" si="23"/>
        <v>15</v>
      </c>
      <c r="J341" s="31">
        <f>VLOOKUP($B341&amp;$C$282&amp;$G341,$E$6:$U$275,J$279,FALSE)*VLOOKUP($A341,Weighting!$D$26:$G$30,MATCH(Segmented!$C$282,Weighting!$E$26:$H$26,0)+1,FALSE)+VLOOKUP($B341&amp;$D$282&amp;$G341,$E$6:$U$275,J$279,FALSE)*VLOOKUP($A341,Weighting!$D$26:$G$30,MATCH(Segmented!$D$282,Weighting!$E$26:$H$26,0)+1,FALSE)+VLOOKUP($B341&amp;$E$282&amp;$G341,$E$6:$U$275,J$279,FALSE)*VLOOKUP($A341,Weighting!$D$26:$G$30,MATCH(Segmented!$E$282,Weighting!$E$26:$H$26,0)+1,FALSE)</f>
        <v>569.60752424876659</v>
      </c>
      <c r="K341" s="31">
        <f>VLOOKUP($B341&amp;$C$282&amp;$G341,$E$6:$U$275,K$279,FALSE)*VLOOKUP($A341,Weighting!$D$26:$G$30,MATCH(Segmented!$C$282,Weighting!$E$26:$H$26,0)+1,FALSE)+VLOOKUP($B341&amp;$D$282&amp;$G341,$E$6:$U$275,K$279,FALSE)*VLOOKUP($A341,Weighting!$D$26:$G$30,MATCH(Segmented!$D$282,Weighting!$E$26:$H$26,0)+1,FALSE)+VLOOKUP($B341&amp;$E$282&amp;$G341,$E$6:$U$275,K$279,FALSE)*VLOOKUP($A341,Weighting!$D$26:$G$30,MATCH(Segmented!$E$282,Weighting!$E$26:$H$26,0)+1,FALSE)</f>
        <v>0</v>
      </c>
      <c r="L341" t="str">
        <f t="shared" si="24"/>
        <v>ResSpHtBBZ1</v>
      </c>
      <c r="M341" s="31">
        <f>VLOOKUP($B341&amp;$C$282&amp;$G341,$E$6:$U$275,M$279,FALSE)*VLOOKUP($A341,Weighting!$D$26:$G$30,MATCH(Segmented!$C$282,Weighting!$E$26:$H$26,0)+1,FALSE)+VLOOKUP($B341&amp;$D$282&amp;$G341,$E$6:$U$275,M$279,FALSE)*VLOOKUP($A341,Weighting!$D$26:$G$30,MATCH(Segmented!$D$282,Weighting!$E$26:$H$26,0)+1,FALSE)+VLOOKUP($B341&amp;$E$282&amp;$G341,$E$6:$U$275,M$279,FALSE)*VLOOKUP($A341,Weighting!$D$26:$G$30,MATCH(Segmented!$E$282,Weighting!$E$26:$H$26,0)+1,FALSE)</f>
        <v>3.8938947893331792</v>
      </c>
      <c r="N341" s="31">
        <f>VLOOKUP($B341&amp;$C$282&amp;$G341,$E$6:$U$275,N$279,FALSE)*VLOOKUP($A341,Weighting!$D$26:$G$30,MATCH(Segmented!$C$282,Weighting!$E$26:$H$26,0)+1,FALSE)+VLOOKUP($B341&amp;$D$282&amp;$G341,$E$6:$U$275,N$279,FALSE)*VLOOKUP($A341,Weighting!$D$26:$G$30,MATCH(Segmented!$D$282,Weighting!$E$26:$H$26,0)+1,FALSE)+VLOOKUP($B341&amp;$E$282&amp;$G341,$E$6:$U$275,N$279,FALSE)*VLOOKUP($A341,Weighting!$D$26:$G$30,MATCH(Segmented!$E$282,Weighting!$E$26:$H$26,0)+1,FALSE)</f>
        <v>0</v>
      </c>
      <c r="O341">
        <f t="shared" si="25"/>
        <v>0</v>
      </c>
      <c r="P341" s="31">
        <f>VLOOKUP($B341&amp;$C$282&amp;$G341,$E$6:$U$275,P$279,FALSE)*VLOOKUP($A341,Weighting!$D$26:$G$30,MATCH(Segmented!$C$282,Weighting!$E$26:$H$26,0)+1,FALSE)+VLOOKUP($B341&amp;$D$282&amp;$G341,$E$6:$U$275,P$279,FALSE)*VLOOKUP($A341,Weighting!$D$26:$G$30,MATCH(Segmented!$D$282,Weighting!$E$26:$H$26,0)+1,FALSE)+VLOOKUP($B341&amp;$E$282&amp;$G341,$E$6:$U$275,P$279,FALSE)*VLOOKUP($A341,Weighting!$D$26:$G$30,MATCH(Segmented!$E$282,Weighting!$E$26:$H$26,0)+1,FALSE)</f>
        <v>0</v>
      </c>
      <c r="Q341">
        <f t="shared" si="26"/>
        <v>0</v>
      </c>
      <c r="R341" s="31">
        <f>VLOOKUP($B341&amp;$C$282&amp;$G341,$E$6:$U$275,R$279,FALSE)*VLOOKUP($A341,Weighting!$D$26:$G$30,MATCH(Segmented!$C$282,Weighting!$E$26:$H$26,0)+1,FALSE)+VLOOKUP($B341&amp;$D$282&amp;$G341,$E$6:$U$275,R$279,FALSE)*VLOOKUP($A341,Weighting!$D$26:$G$30,MATCH(Segmented!$D$282,Weighting!$E$26:$H$26,0)+1,FALSE)+VLOOKUP($B341&amp;$E$282&amp;$G341,$E$6:$U$275,R$279,FALSE)*VLOOKUP($A341,Weighting!$D$26:$G$30,MATCH(Segmented!$E$282,Weighting!$E$26:$H$26,0)+1,FALSE)</f>
        <v>0</v>
      </c>
      <c r="S341">
        <f t="shared" si="27"/>
        <v>0</v>
      </c>
      <c r="T341" s="31">
        <f>VLOOKUP($B341&amp;$C$282&amp;$G341,$E$6:$U$275,T$279,FALSE)*VLOOKUP($A341,Weighting!$D$26:$G$30,MATCH(Segmented!$C$282,Weighting!$E$26:$H$26,0)+1,FALSE)+VLOOKUP($B341&amp;$D$282&amp;$G341,$E$6:$U$275,T$279,FALSE)*VLOOKUP($A341,Weighting!$D$26:$G$30,MATCH(Segmented!$D$282,Weighting!$E$26:$H$26,0)+1,FALSE)+VLOOKUP($B341&amp;$E$282&amp;$G341,$E$6:$U$275,T$279,FALSE)*VLOOKUP($A341,Weighting!$D$26:$G$30,MATCH(Segmented!$E$282,Weighting!$E$26:$H$26,0)+1,FALSE)</f>
        <v>0</v>
      </c>
    </row>
    <row r="342" spans="1:20">
      <c r="A342" t="s">
        <v>227</v>
      </c>
      <c r="B342" t="s">
        <v>227</v>
      </c>
      <c r="F342" s="55" t="str">
        <f>CONCATENATE(LEFT(G342,FIND("(",G342)-2),"_",A342)</f>
        <v>ATTIC R0 - R38_Electric FAF</v>
      </c>
      <c r="G342" s="54" t="s">
        <v>208</v>
      </c>
      <c r="H342" s="31">
        <f>VLOOKUP($B342&amp;$C$282&amp;$G342,$E$6:$U$275,H$279,FALSE)*VLOOKUP($A342,Weighting!$D$26:$G$30,MATCH(Segmented!$C$282,Weighting!$E$26:$H$26,0)+1,FALSE)+VLOOKUP($B342&amp;$D$282&amp;$G342,$E$6:$U$275,H$279,FALSE)*VLOOKUP($A342,Weighting!$D$26:$G$30,MATCH(Segmented!$D$282,Weighting!$E$26:$H$26,0)+1,FALSE)+VLOOKUP($B342&amp;$E$282&amp;$G342,$E$6:$U$275,H$279,FALSE)*VLOOKUP($A342,Weighting!$D$26:$G$30,MATCH(Segmented!$E$282,Weighting!$E$26:$H$26,0)+1,FALSE)</f>
        <v>213.25355911402769</v>
      </c>
      <c r="I342">
        <f t="shared" si="23"/>
        <v>45</v>
      </c>
      <c r="J342" s="31">
        <f>VLOOKUP($B342&amp;$C$282&amp;$G342,$E$6:$U$275,J$279,FALSE)*VLOOKUP($A342,Weighting!$D$26:$G$30,MATCH(Segmented!$C$282,Weighting!$E$26:$H$26,0)+1,FALSE)+VLOOKUP($B342&amp;$D$282&amp;$G342,$E$6:$U$275,J$279,FALSE)*VLOOKUP($A342,Weighting!$D$26:$G$30,MATCH(Segmented!$D$282,Weighting!$E$26:$H$26,0)+1,FALSE)+VLOOKUP($B342&amp;$E$282&amp;$G342,$E$6:$U$275,J$279,FALSE)*VLOOKUP($A342,Weighting!$D$26:$G$30,MATCH(Segmented!$E$282,Weighting!$E$26:$H$26,0)+1,FALSE)</f>
        <v>0</v>
      </c>
      <c r="K342" s="31">
        <f>VLOOKUP($B342&amp;$C$282&amp;$G342,$E$6:$U$275,K$279,FALSE)*VLOOKUP($A342,Weighting!$D$26:$G$30,MATCH(Segmented!$C$282,Weighting!$E$26:$H$26,0)+1,FALSE)+VLOOKUP($B342&amp;$D$282&amp;$G342,$E$6:$U$275,K$279,FALSE)*VLOOKUP($A342,Weighting!$D$26:$G$30,MATCH(Segmented!$D$282,Weighting!$E$26:$H$26,0)+1,FALSE)+VLOOKUP($B342&amp;$E$282&amp;$G342,$E$6:$U$275,K$279,FALSE)*VLOOKUP($A342,Weighting!$D$26:$G$30,MATCH(Segmented!$E$282,Weighting!$E$26:$H$26,0)+1,FALSE)</f>
        <v>0</v>
      </c>
      <c r="L342" t="str">
        <f t="shared" si="24"/>
        <v>ResSpHtBBZ2</v>
      </c>
      <c r="M342" s="31">
        <f>VLOOKUP($B342&amp;$C$282&amp;$G342,$E$6:$U$275,M$279,FALSE)*VLOOKUP($A342,Weighting!$D$26:$G$30,MATCH(Segmented!$C$282,Weighting!$E$26:$H$26,0)+1,FALSE)+VLOOKUP($B342&amp;$D$282&amp;$G342,$E$6:$U$275,M$279,FALSE)*VLOOKUP($A342,Weighting!$D$26:$G$30,MATCH(Segmented!$D$282,Weighting!$E$26:$H$26,0)+1,FALSE)+VLOOKUP($B342&amp;$E$282&amp;$G342,$E$6:$U$275,M$279,FALSE)*VLOOKUP($A342,Weighting!$D$26:$G$30,MATCH(Segmented!$E$282,Weighting!$E$26:$H$26,0)+1,FALSE)</f>
        <v>0</v>
      </c>
      <c r="N342" s="31">
        <f>VLOOKUP($B342&amp;$C$282&amp;$G342,$E$6:$U$275,N$279,FALSE)*VLOOKUP($A342,Weighting!$D$26:$G$30,MATCH(Segmented!$C$282,Weighting!$E$26:$H$26,0)+1,FALSE)+VLOOKUP($B342&amp;$D$282&amp;$G342,$E$6:$U$275,N$279,FALSE)*VLOOKUP($A342,Weighting!$D$26:$G$30,MATCH(Segmented!$D$282,Weighting!$E$26:$H$26,0)+1,FALSE)+VLOOKUP($B342&amp;$E$282&amp;$G342,$E$6:$U$275,N$279,FALSE)*VLOOKUP($A342,Weighting!$D$26:$G$30,MATCH(Segmented!$E$282,Weighting!$E$26:$H$26,0)+1,FALSE)</f>
        <v>0</v>
      </c>
      <c r="O342">
        <f t="shared" si="25"/>
        <v>0</v>
      </c>
      <c r="P342" s="31">
        <f>VLOOKUP($B342&amp;$C$282&amp;$G342,$E$6:$U$275,P$279,FALSE)*VLOOKUP($A342,Weighting!$D$26:$G$30,MATCH(Segmented!$C$282,Weighting!$E$26:$H$26,0)+1,FALSE)+VLOOKUP($B342&amp;$D$282&amp;$G342,$E$6:$U$275,P$279,FALSE)*VLOOKUP($A342,Weighting!$D$26:$G$30,MATCH(Segmented!$D$282,Weighting!$E$26:$H$26,0)+1,FALSE)+VLOOKUP($B342&amp;$E$282&amp;$G342,$E$6:$U$275,P$279,FALSE)*VLOOKUP($A342,Weighting!$D$26:$G$30,MATCH(Segmented!$E$282,Weighting!$E$26:$H$26,0)+1,FALSE)</f>
        <v>0</v>
      </c>
      <c r="Q342">
        <f t="shared" si="26"/>
        <v>0</v>
      </c>
      <c r="R342" s="31">
        <f>VLOOKUP($B342&amp;$C$282&amp;$G342,$E$6:$U$275,R$279,FALSE)*VLOOKUP($A342,Weighting!$D$26:$G$30,MATCH(Segmented!$C$282,Weighting!$E$26:$H$26,0)+1,FALSE)+VLOOKUP($B342&amp;$D$282&amp;$G342,$E$6:$U$275,R$279,FALSE)*VLOOKUP($A342,Weighting!$D$26:$G$30,MATCH(Segmented!$D$282,Weighting!$E$26:$H$26,0)+1,FALSE)+VLOOKUP($B342&amp;$E$282&amp;$G342,$E$6:$U$275,R$279,FALSE)*VLOOKUP($A342,Weighting!$D$26:$G$30,MATCH(Segmented!$E$282,Weighting!$E$26:$H$26,0)+1,FALSE)</f>
        <v>0</v>
      </c>
      <c r="S342">
        <f t="shared" si="27"/>
        <v>0</v>
      </c>
      <c r="T342" s="31">
        <f>VLOOKUP($B342&amp;$C$282&amp;$G342,$E$6:$U$275,T$279,FALSE)*VLOOKUP($A342,Weighting!$D$26:$G$30,MATCH(Segmented!$C$282,Weighting!$E$26:$H$26,0)+1,FALSE)+VLOOKUP($B342&amp;$D$282&amp;$G342,$E$6:$U$275,T$279,FALSE)*VLOOKUP($A342,Weighting!$D$26:$G$30,MATCH(Segmented!$D$282,Weighting!$E$26:$H$26,0)+1,FALSE)+VLOOKUP($B342&amp;$E$282&amp;$G342,$E$6:$U$275,T$279,FALSE)*VLOOKUP($A342,Weighting!$D$26:$G$30,MATCH(Segmented!$E$282,Weighting!$E$26:$H$26,0)+1,FALSE)</f>
        <v>0</v>
      </c>
    </row>
    <row r="343" spans="1:20">
      <c r="A343" t="s">
        <v>227</v>
      </c>
      <c r="B343" t="s">
        <v>227</v>
      </c>
      <c r="F343" s="55" t="str">
        <f t="shared" ref="F343:F399" si="28">CONCATENATE(LEFT(G343,FIND("(",G343)-2),"_",A343)</f>
        <v>ATTIC R0 - R49_Electric FAF</v>
      </c>
      <c r="G343" s="54" t="s">
        <v>210</v>
      </c>
      <c r="H343" s="31">
        <f>VLOOKUP($B343&amp;$C$282&amp;$G343,$E$6:$U$275,H$279,FALSE)*VLOOKUP($A343,Weighting!$D$26:$G$30,MATCH(Segmented!$C$282,Weighting!$E$26:$H$26,0)+1,FALSE)+VLOOKUP($B343&amp;$D$282&amp;$G343,$E$6:$U$275,H$279,FALSE)*VLOOKUP($A343,Weighting!$D$26:$G$30,MATCH(Segmented!$D$282,Weighting!$E$26:$H$26,0)+1,FALSE)+VLOOKUP($B343&amp;$E$282&amp;$G343,$E$6:$U$275,H$279,FALSE)*VLOOKUP($A343,Weighting!$D$26:$G$30,MATCH(Segmented!$E$282,Weighting!$E$26:$H$26,0)+1,FALSE)</f>
        <v>215.59658023633463</v>
      </c>
      <c r="I343">
        <f t="shared" si="23"/>
        <v>45</v>
      </c>
      <c r="J343" s="31">
        <f>VLOOKUP($B343&amp;$C$282&amp;$G343,$E$6:$U$275,J$279,FALSE)*VLOOKUP($A343,Weighting!$D$26:$G$30,MATCH(Segmented!$C$282,Weighting!$E$26:$H$26,0)+1,FALSE)+VLOOKUP($B343&amp;$D$282&amp;$G343,$E$6:$U$275,J$279,FALSE)*VLOOKUP($A343,Weighting!$D$26:$G$30,MATCH(Segmented!$D$282,Weighting!$E$26:$H$26,0)+1,FALSE)+VLOOKUP($B343&amp;$E$282&amp;$G343,$E$6:$U$275,J$279,FALSE)*VLOOKUP($A343,Weighting!$D$26:$G$30,MATCH(Segmented!$E$282,Weighting!$E$26:$H$26,0)+1,FALSE)</f>
        <v>0</v>
      </c>
      <c r="K343" s="31">
        <f>VLOOKUP($B343&amp;$C$282&amp;$G343,$E$6:$U$275,K$279,FALSE)*VLOOKUP($A343,Weighting!$D$26:$G$30,MATCH(Segmented!$C$282,Weighting!$E$26:$H$26,0)+1,FALSE)+VLOOKUP($B343&amp;$D$282&amp;$G343,$E$6:$U$275,K$279,FALSE)*VLOOKUP($A343,Weighting!$D$26:$G$30,MATCH(Segmented!$D$282,Weighting!$E$26:$H$26,0)+1,FALSE)+VLOOKUP($B343&amp;$E$282&amp;$G343,$E$6:$U$275,K$279,FALSE)*VLOOKUP($A343,Weighting!$D$26:$G$30,MATCH(Segmented!$E$282,Weighting!$E$26:$H$26,0)+1,FALSE)</f>
        <v>0</v>
      </c>
      <c r="L343" t="str">
        <f t="shared" si="24"/>
        <v>ResSpHtBBZ2</v>
      </c>
      <c r="M343" s="31">
        <f>VLOOKUP($B343&amp;$C$282&amp;$G343,$E$6:$U$275,M$279,FALSE)*VLOOKUP($A343,Weighting!$D$26:$G$30,MATCH(Segmented!$C$282,Weighting!$E$26:$H$26,0)+1,FALSE)+VLOOKUP($B343&amp;$D$282&amp;$G343,$E$6:$U$275,M$279,FALSE)*VLOOKUP($A343,Weighting!$D$26:$G$30,MATCH(Segmented!$D$282,Weighting!$E$26:$H$26,0)+1,FALSE)+VLOOKUP($B343&amp;$E$282&amp;$G343,$E$6:$U$275,M$279,FALSE)*VLOOKUP($A343,Weighting!$D$26:$G$30,MATCH(Segmented!$E$282,Weighting!$E$26:$H$26,0)+1,FALSE)</f>
        <v>0</v>
      </c>
      <c r="N343" s="31">
        <f>VLOOKUP($B343&amp;$C$282&amp;$G343,$E$6:$U$275,N$279,FALSE)*VLOOKUP($A343,Weighting!$D$26:$G$30,MATCH(Segmented!$C$282,Weighting!$E$26:$H$26,0)+1,FALSE)+VLOOKUP($B343&amp;$D$282&amp;$G343,$E$6:$U$275,N$279,FALSE)*VLOOKUP($A343,Weighting!$D$26:$G$30,MATCH(Segmented!$D$282,Weighting!$E$26:$H$26,0)+1,FALSE)+VLOOKUP($B343&amp;$E$282&amp;$G343,$E$6:$U$275,N$279,FALSE)*VLOOKUP($A343,Weighting!$D$26:$G$30,MATCH(Segmented!$E$282,Weighting!$E$26:$H$26,0)+1,FALSE)</f>
        <v>0</v>
      </c>
      <c r="O343">
        <f t="shared" si="25"/>
        <v>0</v>
      </c>
      <c r="P343" s="31">
        <f>VLOOKUP($B343&amp;$C$282&amp;$G343,$E$6:$U$275,P$279,FALSE)*VLOOKUP($A343,Weighting!$D$26:$G$30,MATCH(Segmented!$C$282,Weighting!$E$26:$H$26,0)+1,FALSE)+VLOOKUP($B343&amp;$D$282&amp;$G343,$E$6:$U$275,P$279,FALSE)*VLOOKUP($A343,Weighting!$D$26:$G$30,MATCH(Segmented!$D$282,Weighting!$E$26:$H$26,0)+1,FALSE)+VLOOKUP($B343&amp;$E$282&amp;$G343,$E$6:$U$275,P$279,FALSE)*VLOOKUP($A343,Weighting!$D$26:$G$30,MATCH(Segmented!$E$282,Weighting!$E$26:$H$26,0)+1,FALSE)</f>
        <v>0</v>
      </c>
      <c r="Q343">
        <f t="shared" si="26"/>
        <v>0</v>
      </c>
      <c r="R343" s="31">
        <f>VLOOKUP($B343&amp;$C$282&amp;$G343,$E$6:$U$275,R$279,FALSE)*VLOOKUP($A343,Weighting!$D$26:$G$30,MATCH(Segmented!$C$282,Weighting!$E$26:$H$26,0)+1,FALSE)+VLOOKUP($B343&amp;$D$282&amp;$G343,$E$6:$U$275,R$279,FALSE)*VLOOKUP($A343,Weighting!$D$26:$G$30,MATCH(Segmented!$D$282,Weighting!$E$26:$H$26,0)+1,FALSE)+VLOOKUP($B343&amp;$E$282&amp;$G343,$E$6:$U$275,R$279,FALSE)*VLOOKUP($A343,Weighting!$D$26:$G$30,MATCH(Segmented!$E$282,Weighting!$E$26:$H$26,0)+1,FALSE)</f>
        <v>0</v>
      </c>
      <c r="S343">
        <f t="shared" si="27"/>
        <v>0</v>
      </c>
      <c r="T343" s="31">
        <f>VLOOKUP($B343&amp;$C$282&amp;$G343,$E$6:$U$275,T$279,FALSE)*VLOOKUP($A343,Weighting!$D$26:$G$30,MATCH(Segmented!$C$282,Weighting!$E$26:$H$26,0)+1,FALSE)+VLOOKUP($B343&amp;$D$282&amp;$G343,$E$6:$U$275,T$279,FALSE)*VLOOKUP($A343,Weighting!$D$26:$G$30,MATCH(Segmented!$D$282,Weighting!$E$26:$H$26,0)+1,FALSE)+VLOOKUP($B343&amp;$E$282&amp;$G343,$E$6:$U$275,T$279,FALSE)*VLOOKUP($A343,Weighting!$D$26:$G$30,MATCH(Segmented!$E$282,Weighting!$E$26:$H$26,0)+1,FALSE)</f>
        <v>0</v>
      </c>
    </row>
    <row r="344" spans="1:20">
      <c r="A344" t="s">
        <v>227</v>
      </c>
      <c r="B344" t="s">
        <v>227</v>
      </c>
      <c r="F344" s="55" t="str">
        <f t="shared" si="28"/>
        <v>ATTIC R11 - R38_Electric FAF</v>
      </c>
      <c r="G344" s="54" t="s">
        <v>211</v>
      </c>
      <c r="H344" s="31">
        <f>VLOOKUP($B344&amp;$C$282&amp;$G344,$E$6:$U$275,H$279,FALSE)*VLOOKUP($A344,Weighting!$D$26:$G$30,MATCH(Segmented!$C$282,Weighting!$E$26:$H$26,0)+1,FALSE)+VLOOKUP($B344&amp;$D$282&amp;$G344,$E$6:$U$275,H$279,FALSE)*VLOOKUP($A344,Weighting!$D$26:$G$30,MATCH(Segmented!$D$282,Weighting!$E$26:$H$26,0)+1,FALSE)+VLOOKUP($B344&amp;$E$282&amp;$G344,$E$6:$U$275,H$279,FALSE)*VLOOKUP($A344,Weighting!$D$26:$G$30,MATCH(Segmented!$E$282,Weighting!$E$26:$H$26,0)+1,FALSE)</f>
        <v>28.916223828072983</v>
      </c>
      <c r="I344">
        <f t="shared" si="23"/>
        <v>45</v>
      </c>
      <c r="J344" s="31">
        <f>VLOOKUP($B344&amp;$C$282&amp;$G344,$E$6:$U$275,J$279,FALSE)*VLOOKUP($A344,Weighting!$D$26:$G$30,MATCH(Segmented!$C$282,Weighting!$E$26:$H$26,0)+1,FALSE)+VLOOKUP($B344&amp;$D$282&amp;$G344,$E$6:$U$275,J$279,FALSE)*VLOOKUP($A344,Weighting!$D$26:$G$30,MATCH(Segmented!$D$282,Weighting!$E$26:$H$26,0)+1,FALSE)+VLOOKUP($B344&amp;$E$282&amp;$G344,$E$6:$U$275,J$279,FALSE)*VLOOKUP($A344,Weighting!$D$26:$G$30,MATCH(Segmented!$E$282,Weighting!$E$26:$H$26,0)+1,FALSE)</f>
        <v>0</v>
      </c>
      <c r="K344" s="31">
        <f>VLOOKUP($B344&amp;$C$282&amp;$G344,$E$6:$U$275,K$279,FALSE)*VLOOKUP($A344,Weighting!$D$26:$G$30,MATCH(Segmented!$C$282,Weighting!$E$26:$H$26,0)+1,FALSE)+VLOOKUP($B344&amp;$D$282&amp;$G344,$E$6:$U$275,K$279,FALSE)*VLOOKUP($A344,Weighting!$D$26:$G$30,MATCH(Segmented!$D$282,Weighting!$E$26:$H$26,0)+1,FALSE)+VLOOKUP($B344&amp;$E$282&amp;$G344,$E$6:$U$275,K$279,FALSE)*VLOOKUP($A344,Weighting!$D$26:$G$30,MATCH(Segmented!$E$282,Weighting!$E$26:$H$26,0)+1,FALSE)</f>
        <v>0</v>
      </c>
      <c r="L344" t="str">
        <f t="shared" si="24"/>
        <v>ResSpHtBBZ2</v>
      </c>
      <c r="M344" s="31">
        <f>VLOOKUP($B344&amp;$C$282&amp;$G344,$E$6:$U$275,M$279,FALSE)*VLOOKUP($A344,Weighting!$D$26:$G$30,MATCH(Segmented!$C$282,Weighting!$E$26:$H$26,0)+1,FALSE)+VLOOKUP($B344&amp;$D$282&amp;$G344,$E$6:$U$275,M$279,FALSE)*VLOOKUP($A344,Weighting!$D$26:$G$30,MATCH(Segmented!$D$282,Weighting!$E$26:$H$26,0)+1,FALSE)+VLOOKUP($B344&amp;$E$282&amp;$G344,$E$6:$U$275,M$279,FALSE)*VLOOKUP($A344,Weighting!$D$26:$G$30,MATCH(Segmented!$E$282,Weighting!$E$26:$H$26,0)+1,FALSE)</f>
        <v>0</v>
      </c>
      <c r="N344" s="31">
        <f>VLOOKUP($B344&amp;$C$282&amp;$G344,$E$6:$U$275,N$279,FALSE)*VLOOKUP($A344,Weighting!$D$26:$G$30,MATCH(Segmented!$C$282,Weighting!$E$26:$H$26,0)+1,FALSE)+VLOOKUP($B344&amp;$D$282&amp;$G344,$E$6:$U$275,N$279,FALSE)*VLOOKUP($A344,Weighting!$D$26:$G$30,MATCH(Segmented!$D$282,Weighting!$E$26:$H$26,0)+1,FALSE)+VLOOKUP($B344&amp;$E$282&amp;$G344,$E$6:$U$275,N$279,FALSE)*VLOOKUP($A344,Weighting!$D$26:$G$30,MATCH(Segmented!$E$282,Weighting!$E$26:$H$26,0)+1,FALSE)</f>
        <v>0</v>
      </c>
      <c r="O344">
        <f t="shared" si="25"/>
        <v>0</v>
      </c>
      <c r="P344" s="31">
        <f>VLOOKUP($B344&amp;$C$282&amp;$G344,$E$6:$U$275,P$279,FALSE)*VLOOKUP($A344,Weighting!$D$26:$G$30,MATCH(Segmented!$C$282,Weighting!$E$26:$H$26,0)+1,FALSE)+VLOOKUP($B344&amp;$D$282&amp;$G344,$E$6:$U$275,P$279,FALSE)*VLOOKUP($A344,Weighting!$D$26:$G$30,MATCH(Segmented!$D$282,Weighting!$E$26:$H$26,0)+1,FALSE)+VLOOKUP($B344&amp;$E$282&amp;$G344,$E$6:$U$275,P$279,FALSE)*VLOOKUP($A344,Weighting!$D$26:$G$30,MATCH(Segmented!$E$282,Weighting!$E$26:$H$26,0)+1,FALSE)</f>
        <v>0</v>
      </c>
      <c r="Q344">
        <f t="shared" si="26"/>
        <v>0</v>
      </c>
      <c r="R344" s="31">
        <f>VLOOKUP($B344&amp;$C$282&amp;$G344,$E$6:$U$275,R$279,FALSE)*VLOOKUP($A344,Weighting!$D$26:$G$30,MATCH(Segmented!$C$282,Weighting!$E$26:$H$26,0)+1,FALSE)+VLOOKUP($B344&amp;$D$282&amp;$G344,$E$6:$U$275,R$279,FALSE)*VLOOKUP($A344,Weighting!$D$26:$G$30,MATCH(Segmented!$D$282,Weighting!$E$26:$H$26,0)+1,FALSE)+VLOOKUP($B344&amp;$E$282&amp;$G344,$E$6:$U$275,R$279,FALSE)*VLOOKUP($A344,Weighting!$D$26:$G$30,MATCH(Segmented!$E$282,Weighting!$E$26:$H$26,0)+1,FALSE)</f>
        <v>0</v>
      </c>
      <c r="S344">
        <f t="shared" si="27"/>
        <v>0</v>
      </c>
      <c r="T344" s="31">
        <f>VLOOKUP($B344&amp;$C$282&amp;$G344,$E$6:$U$275,T$279,FALSE)*VLOOKUP($A344,Weighting!$D$26:$G$30,MATCH(Segmented!$C$282,Weighting!$E$26:$H$26,0)+1,FALSE)+VLOOKUP($B344&amp;$D$282&amp;$G344,$E$6:$U$275,T$279,FALSE)*VLOOKUP($A344,Weighting!$D$26:$G$30,MATCH(Segmented!$D$282,Weighting!$E$26:$H$26,0)+1,FALSE)+VLOOKUP($B344&amp;$E$282&amp;$G344,$E$6:$U$275,T$279,FALSE)*VLOOKUP($A344,Weighting!$D$26:$G$30,MATCH(Segmented!$E$282,Weighting!$E$26:$H$26,0)+1,FALSE)</f>
        <v>0</v>
      </c>
    </row>
    <row r="345" spans="1:20">
      <c r="A345" t="s">
        <v>227</v>
      </c>
      <c r="B345" t="s">
        <v>227</v>
      </c>
      <c r="F345" s="55" t="str">
        <f t="shared" si="28"/>
        <v>ATTIC R11 - R49_Electric FAF</v>
      </c>
      <c r="G345" s="54" t="s">
        <v>212</v>
      </c>
      <c r="H345" s="31">
        <f>VLOOKUP($B345&amp;$C$282&amp;$G345,$E$6:$U$275,H$279,FALSE)*VLOOKUP($A345,Weighting!$D$26:$G$30,MATCH(Segmented!$C$282,Weighting!$E$26:$H$26,0)+1,FALSE)+VLOOKUP($B345&amp;$D$282&amp;$G345,$E$6:$U$275,H$279,FALSE)*VLOOKUP($A345,Weighting!$D$26:$G$30,MATCH(Segmented!$D$282,Weighting!$E$26:$H$26,0)+1,FALSE)+VLOOKUP($B345&amp;$E$282&amp;$G345,$E$6:$U$275,H$279,FALSE)*VLOOKUP($A345,Weighting!$D$26:$G$30,MATCH(Segmented!$E$282,Weighting!$E$26:$H$26,0)+1,FALSE)</f>
        <v>31.259244950379944</v>
      </c>
      <c r="I345">
        <f t="shared" si="23"/>
        <v>45</v>
      </c>
      <c r="J345" s="31">
        <f>VLOOKUP($B345&amp;$C$282&amp;$G345,$E$6:$U$275,J$279,FALSE)*VLOOKUP($A345,Weighting!$D$26:$G$30,MATCH(Segmented!$C$282,Weighting!$E$26:$H$26,0)+1,FALSE)+VLOOKUP($B345&amp;$D$282&amp;$G345,$E$6:$U$275,J$279,FALSE)*VLOOKUP($A345,Weighting!$D$26:$G$30,MATCH(Segmented!$D$282,Weighting!$E$26:$H$26,0)+1,FALSE)+VLOOKUP($B345&amp;$E$282&amp;$G345,$E$6:$U$275,J$279,FALSE)*VLOOKUP($A345,Weighting!$D$26:$G$30,MATCH(Segmented!$E$282,Weighting!$E$26:$H$26,0)+1,FALSE)</f>
        <v>0</v>
      </c>
      <c r="K345" s="31">
        <f>VLOOKUP($B345&amp;$C$282&amp;$G345,$E$6:$U$275,K$279,FALSE)*VLOOKUP($A345,Weighting!$D$26:$G$30,MATCH(Segmented!$C$282,Weighting!$E$26:$H$26,0)+1,FALSE)+VLOOKUP($B345&amp;$D$282&amp;$G345,$E$6:$U$275,K$279,FALSE)*VLOOKUP($A345,Weighting!$D$26:$G$30,MATCH(Segmented!$D$282,Weighting!$E$26:$H$26,0)+1,FALSE)+VLOOKUP($B345&amp;$E$282&amp;$G345,$E$6:$U$275,K$279,FALSE)*VLOOKUP($A345,Weighting!$D$26:$G$30,MATCH(Segmented!$E$282,Weighting!$E$26:$H$26,0)+1,FALSE)</f>
        <v>0</v>
      </c>
      <c r="L345" t="str">
        <f t="shared" si="24"/>
        <v>ResSpHtBBZ2</v>
      </c>
      <c r="M345" s="31">
        <f>VLOOKUP($B345&amp;$C$282&amp;$G345,$E$6:$U$275,M$279,FALSE)*VLOOKUP($A345,Weighting!$D$26:$G$30,MATCH(Segmented!$C$282,Weighting!$E$26:$H$26,0)+1,FALSE)+VLOOKUP($B345&amp;$D$282&amp;$G345,$E$6:$U$275,M$279,FALSE)*VLOOKUP($A345,Weighting!$D$26:$G$30,MATCH(Segmented!$D$282,Weighting!$E$26:$H$26,0)+1,FALSE)+VLOOKUP($B345&amp;$E$282&amp;$G345,$E$6:$U$275,M$279,FALSE)*VLOOKUP($A345,Weighting!$D$26:$G$30,MATCH(Segmented!$E$282,Weighting!$E$26:$H$26,0)+1,FALSE)</f>
        <v>0</v>
      </c>
      <c r="N345" s="31">
        <f>VLOOKUP($B345&amp;$C$282&amp;$G345,$E$6:$U$275,N$279,FALSE)*VLOOKUP($A345,Weighting!$D$26:$G$30,MATCH(Segmented!$C$282,Weighting!$E$26:$H$26,0)+1,FALSE)+VLOOKUP($B345&amp;$D$282&amp;$G345,$E$6:$U$275,N$279,FALSE)*VLOOKUP($A345,Weighting!$D$26:$G$30,MATCH(Segmented!$D$282,Weighting!$E$26:$H$26,0)+1,FALSE)+VLOOKUP($B345&amp;$E$282&amp;$G345,$E$6:$U$275,N$279,FALSE)*VLOOKUP($A345,Weighting!$D$26:$G$30,MATCH(Segmented!$E$282,Weighting!$E$26:$H$26,0)+1,FALSE)</f>
        <v>0</v>
      </c>
      <c r="O345">
        <f t="shared" si="25"/>
        <v>0</v>
      </c>
      <c r="P345" s="31">
        <f>VLOOKUP($B345&amp;$C$282&amp;$G345,$E$6:$U$275,P$279,FALSE)*VLOOKUP($A345,Weighting!$D$26:$G$30,MATCH(Segmented!$C$282,Weighting!$E$26:$H$26,0)+1,FALSE)+VLOOKUP($B345&amp;$D$282&amp;$G345,$E$6:$U$275,P$279,FALSE)*VLOOKUP($A345,Weighting!$D$26:$G$30,MATCH(Segmented!$D$282,Weighting!$E$26:$H$26,0)+1,FALSE)+VLOOKUP($B345&amp;$E$282&amp;$G345,$E$6:$U$275,P$279,FALSE)*VLOOKUP($A345,Weighting!$D$26:$G$30,MATCH(Segmented!$E$282,Weighting!$E$26:$H$26,0)+1,FALSE)</f>
        <v>0</v>
      </c>
      <c r="Q345">
        <f t="shared" si="26"/>
        <v>0</v>
      </c>
      <c r="R345" s="31">
        <f>VLOOKUP($B345&amp;$C$282&amp;$G345,$E$6:$U$275,R$279,FALSE)*VLOOKUP($A345,Weighting!$D$26:$G$30,MATCH(Segmented!$C$282,Weighting!$E$26:$H$26,0)+1,FALSE)+VLOOKUP($B345&amp;$D$282&amp;$G345,$E$6:$U$275,R$279,FALSE)*VLOOKUP($A345,Weighting!$D$26:$G$30,MATCH(Segmented!$D$282,Weighting!$E$26:$H$26,0)+1,FALSE)+VLOOKUP($B345&amp;$E$282&amp;$G345,$E$6:$U$275,R$279,FALSE)*VLOOKUP($A345,Weighting!$D$26:$G$30,MATCH(Segmented!$E$282,Weighting!$E$26:$H$26,0)+1,FALSE)</f>
        <v>0</v>
      </c>
      <c r="S345">
        <f t="shared" si="27"/>
        <v>0</v>
      </c>
      <c r="T345" s="31">
        <f>VLOOKUP($B345&amp;$C$282&amp;$G345,$E$6:$U$275,T$279,FALSE)*VLOOKUP($A345,Weighting!$D$26:$G$30,MATCH(Segmented!$C$282,Weighting!$E$26:$H$26,0)+1,FALSE)+VLOOKUP($B345&amp;$D$282&amp;$G345,$E$6:$U$275,T$279,FALSE)*VLOOKUP($A345,Weighting!$D$26:$G$30,MATCH(Segmented!$D$282,Weighting!$E$26:$H$26,0)+1,FALSE)+VLOOKUP($B345&amp;$E$282&amp;$G345,$E$6:$U$275,T$279,FALSE)*VLOOKUP($A345,Weighting!$D$26:$G$30,MATCH(Segmented!$E$282,Weighting!$E$26:$H$26,0)+1,FALSE)</f>
        <v>0</v>
      </c>
    </row>
    <row r="346" spans="1:20">
      <c r="A346" t="s">
        <v>227</v>
      </c>
      <c r="B346" t="s">
        <v>227</v>
      </c>
      <c r="F346" s="55" t="str">
        <f t="shared" si="28"/>
        <v>ATTIC R19 - R38_Electric FAF</v>
      </c>
      <c r="G346" s="54" t="s">
        <v>213</v>
      </c>
      <c r="H346" s="31">
        <f>VLOOKUP($B346&amp;$C$282&amp;$G346,$E$6:$U$275,H$279,FALSE)*VLOOKUP($A346,Weighting!$D$26:$G$30,MATCH(Segmented!$C$282,Weighting!$E$26:$H$26,0)+1,FALSE)+VLOOKUP($B346&amp;$D$282&amp;$G346,$E$6:$U$275,H$279,FALSE)*VLOOKUP($A346,Weighting!$D$26:$G$30,MATCH(Segmented!$D$282,Weighting!$E$26:$H$26,0)+1,FALSE)+VLOOKUP($B346&amp;$E$282&amp;$G346,$E$6:$U$275,H$279,FALSE)*VLOOKUP($A346,Weighting!$D$26:$G$30,MATCH(Segmented!$E$282,Weighting!$E$26:$H$26,0)+1,FALSE)</f>
        <v>11.692669002264317</v>
      </c>
      <c r="I346">
        <f t="shared" si="23"/>
        <v>45</v>
      </c>
      <c r="J346" s="31">
        <f>VLOOKUP($B346&amp;$C$282&amp;$G346,$E$6:$U$275,J$279,FALSE)*VLOOKUP($A346,Weighting!$D$26:$G$30,MATCH(Segmented!$C$282,Weighting!$E$26:$H$26,0)+1,FALSE)+VLOOKUP($B346&amp;$D$282&amp;$G346,$E$6:$U$275,J$279,FALSE)*VLOOKUP($A346,Weighting!$D$26:$G$30,MATCH(Segmented!$D$282,Weighting!$E$26:$H$26,0)+1,FALSE)+VLOOKUP($B346&amp;$E$282&amp;$G346,$E$6:$U$275,J$279,FALSE)*VLOOKUP($A346,Weighting!$D$26:$G$30,MATCH(Segmented!$E$282,Weighting!$E$26:$H$26,0)+1,FALSE)</f>
        <v>0</v>
      </c>
      <c r="K346" s="31">
        <f>VLOOKUP($B346&amp;$C$282&amp;$G346,$E$6:$U$275,K$279,FALSE)*VLOOKUP($A346,Weighting!$D$26:$G$30,MATCH(Segmented!$C$282,Weighting!$E$26:$H$26,0)+1,FALSE)+VLOOKUP($B346&amp;$D$282&amp;$G346,$E$6:$U$275,K$279,FALSE)*VLOOKUP($A346,Weighting!$D$26:$G$30,MATCH(Segmented!$D$282,Weighting!$E$26:$H$26,0)+1,FALSE)+VLOOKUP($B346&amp;$E$282&amp;$G346,$E$6:$U$275,K$279,FALSE)*VLOOKUP($A346,Weighting!$D$26:$G$30,MATCH(Segmented!$E$282,Weighting!$E$26:$H$26,0)+1,FALSE)</f>
        <v>0</v>
      </c>
      <c r="L346" t="str">
        <f t="shared" si="24"/>
        <v>ResSpHtBBZ2</v>
      </c>
      <c r="M346" s="31">
        <f>VLOOKUP($B346&amp;$C$282&amp;$G346,$E$6:$U$275,M$279,FALSE)*VLOOKUP($A346,Weighting!$D$26:$G$30,MATCH(Segmented!$C$282,Weighting!$E$26:$H$26,0)+1,FALSE)+VLOOKUP($B346&amp;$D$282&amp;$G346,$E$6:$U$275,M$279,FALSE)*VLOOKUP($A346,Weighting!$D$26:$G$30,MATCH(Segmented!$D$282,Weighting!$E$26:$H$26,0)+1,FALSE)+VLOOKUP($B346&amp;$E$282&amp;$G346,$E$6:$U$275,M$279,FALSE)*VLOOKUP($A346,Weighting!$D$26:$G$30,MATCH(Segmented!$E$282,Weighting!$E$26:$H$26,0)+1,FALSE)</f>
        <v>0</v>
      </c>
      <c r="N346" s="31">
        <f>VLOOKUP($B346&amp;$C$282&amp;$G346,$E$6:$U$275,N$279,FALSE)*VLOOKUP($A346,Weighting!$D$26:$G$30,MATCH(Segmented!$C$282,Weighting!$E$26:$H$26,0)+1,FALSE)+VLOOKUP($B346&amp;$D$282&amp;$G346,$E$6:$U$275,N$279,FALSE)*VLOOKUP($A346,Weighting!$D$26:$G$30,MATCH(Segmented!$D$282,Weighting!$E$26:$H$26,0)+1,FALSE)+VLOOKUP($B346&amp;$E$282&amp;$G346,$E$6:$U$275,N$279,FALSE)*VLOOKUP($A346,Weighting!$D$26:$G$30,MATCH(Segmented!$E$282,Weighting!$E$26:$H$26,0)+1,FALSE)</f>
        <v>0</v>
      </c>
      <c r="O346">
        <f t="shared" si="25"/>
        <v>0</v>
      </c>
      <c r="P346" s="31">
        <f>VLOOKUP($B346&amp;$C$282&amp;$G346,$E$6:$U$275,P$279,FALSE)*VLOOKUP($A346,Weighting!$D$26:$G$30,MATCH(Segmented!$C$282,Weighting!$E$26:$H$26,0)+1,FALSE)+VLOOKUP($B346&amp;$D$282&amp;$G346,$E$6:$U$275,P$279,FALSE)*VLOOKUP($A346,Weighting!$D$26:$G$30,MATCH(Segmented!$D$282,Weighting!$E$26:$H$26,0)+1,FALSE)+VLOOKUP($B346&amp;$E$282&amp;$G346,$E$6:$U$275,P$279,FALSE)*VLOOKUP($A346,Weighting!$D$26:$G$30,MATCH(Segmented!$E$282,Weighting!$E$26:$H$26,0)+1,FALSE)</f>
        <v>0</v>
      </c>
      <c r="Q346">
        <f t="shared" si="26"/>
        <v>0</v>
      </c>
      <c r="R346" s="31">
        <f>VLOOKUP($B346&amp;$C$282&amp;$G346,$E$6:$U$275,R$279,FALSE)*VLOOKUP($A346,Weighting!$D$26:$G$30,MATCH(Segmented!$C$282,Weighting!$E$26:$H$26,0)+1,FALSE)+VLOOKUP($B346&amp;$D$282&amp;$G346,$E$6:$U$275,R$279,FALSE)*VLOOKUP($A346,Weighting!$D$26:$G$30,MATCH(Segmented!$D$282,Weighting!$E$26:$H$26,0)+1,FALSE)+VLOOKUP($B346&amp;$E$282&amp;$G346,$E$6:$U$275,R$279,FALSE)*VLOOKUP($A346,Weighting!$D$26:$G$30,MATCH(Segmented!$E$282,Weighting!$E$26:$H$26,0)+1,FALSE)</f>
        <v>0</v>
      </c>
      <c r="S346">
        <f t="shared" si="27"/>
        <v>0</v>
      </c>
      <c r="T346" s="31">
        <f>VLOOKUP($B346&amp;$C$282&amp;$G346,$E$6:$U$275,T$279,FALSE)*VLOOKUP($A346,Weighting!$D$26:$G$30,MATCH(Segmented!$C$282,Weighting!$E$26:$H$26,0)+1,FALSE)+VLOOKUP($B346&amp;$D$282&amp;$G346,$E$6:$U$275,T$279,FALSE)*VLOOKUP($A346,Weighting!$D$26:$G$30,MATCH(Segmented!$D$282,Weighting!$E$26:$H$26,0)+1,FALSE)+VLOOKUP($B346&amp;$E$282&amp;$G346,$E$6:$U$275,T$279,FALSE)*VLOOKUP($A346,Weighting!$D$26:$G$30,MATCH(Segmented!$E$282,Weighting!$E$26:$H$26,0)+1,FALSE)</f>
        <v>0</v>
      </c>
    </row>
    <row r="347" spans="1:20">
      <c r="A347" t="s">
        <v>227</v>
      </c>
      <c r="B347" t="s">
        <v>227</v>
      </c>
      <c r="F347" s="55" t="str">
        <f t="shared" si="28"/>
        <v>ATTIC R19 - R49_Electric FAF</v>
      </c>
      <c r="G347" s="54" t="s">
        <v>214</v>
      </c>
      <c r="H347" s="31">
        <f>VLOOKUP($B347&amp;$C$282&amp;$G347,$E$6:$U$275,H$279,FALSE)*VLOOKUP($A347,Weighting!$D$26:$G$30,MATCH(Segmented!$C$282,Weighting!$E$26:$H$26,0)+1,FALSE)+VLOOKUP($B347&amp;$D$282&amp;$G347,$E$6:$U$275,H$279,FALSE)*VLOOKUP($A347,Weighting!$D$26:$G$30,MATCH(Segmented!$D$282,Weighting!$E$26:$H$26,0)+1,FALSE)+VLOOKUP($B347&amp;$E$282&amp;$G347,$E$6:$U$275,H$279,FALSE)*VLOOKUP($A347,Weighting!$D$26:$G$30,MATCH(Segmented!$E$282,Weighting!$E$26:$H$26,0)+1,FALSE)</f>
        <v>14.035690124571275</v>
      </c>
      <c r="I347">
        <f t="shared" si="23"/>
        <v>45</v>
      </c>
      <c r="J347" s="31">
        <f>VLOOKUP($B347&amp;$C$282&amp;$G347,$E$6:$U$275,J$279,FALSE)*VLOOKUP($A347,Weighting!$D$26:$G$30,MATCH(Segmented!$C$282,Weighting!$E$26:$H$26,0)+1,FALSE)+VLOOKUP($B347&amp;$D$282&amp;$G347,$E$6:$U$275,J$279,FALSE)*VLOOKUP($A347,Weighting!$D$26:$G$30,MATCH(Segmented!$D$282,Weighting!$E$26:$H$26,0)+1,FALSE)+VLOOKUP($B347&amp;$E$282&amp;$G347,$E$6:$U$275,J$279,FALSE)*VLOOKUP($A347,Weighting!$D$26:$G$30,MATCH(Segmented!$E$282,Weighting!$E$26:$H$26,0)+1,FALSE)</f>
        <v>0</v>
      </c>
      <c r="K347" s="31">
        <f>VLOOKUP($B347&amp;$C$282&amp;$G347,$E$6:$U$275,K$279,FALSE)*VLOOKUP($A347,Weighting!$D$26:$G$30,MATCH(Segmented!$C$282,Weighting!$E$26:$H$26,0)+1,FALSE)+VLOOKUP($B347&amp;$D$282&amp;$G347,$E$6:$U$275,K$279,FALSE)*VLOOKUP($A347,Weighting!$D$26:$G$30,MATCH(Segmented!$D$282,Weighting!$E$26:$H$26,0)+1,FALSE)+VLOOKUP($B347&amp;$E$282&amp;$G347,$E$6:$U$275,K$279,FALSE)*VLOOKUP($A347,Weighting!$D$26:$G$30,MATCH(Segmented!$E$282,Weighting!$E$26:$H$26,0)+1,FALSE)</f>
        <v>0</v>
      </c>
      <c r="L347" t="str">
        <f t="shared" si="24"/>
        <v>ResSpHtBBZ2</v>
      </c>
      <c r="M347" s="31">
        <f>VLOOKUP($B347&amp;$C$282&amp;$G347,$E$6:$U$275,M$279,FALSE)*VLOOKUP($A347,Weighting!$D$26:$G$30,MATCH(Segmented!$C$282,Weighting!$E$26:$H$26,0)+1,FALSE)+VLOOKUP($B347&amp;$D$282&amp;$G347,$E$6:$U$275,M$279,FALSE)*VLOOKUP($A347,Weighting!$D$26:$G$30,MATCH(Segmented!$D$282,Weighting!$E$26:$H$26,0)+1,FALSE)+VLOOKUP($B347&amp;$E$282&amp;$G347,$E$6:$U$275,M$279,FALSE)*VLOOKUP($A347,Weighting!$D$26:$G$30,MATCH(Segmented!$E$282,Weighting!$E$26:$H$26,0)+1,FALSE)</f>
        <v>0</v>
      </c>
      <c r="N347" s="31">
        <f>VLOOKUP($B347&amp;$C$282&amp;$G347,$E$6:$U$275,N$279,FALSE)*VLOOKUP($A347,Weighting!$D$26:$G$30,MATCH(Segmented!$C$282,Weighting!$E$26:$H$26,0)+1,FALSE)+VLOOKUP($B347&amp;$D$282&amp;$G347,$E$6:$U$275,N$279,FALSE)*VLOOKUP($A347,Weighting!$D$26:$G$30,MATCH(Segmented!$D$282,Weighting!$E$26:$H$26,0)+1,FALSE)+VLOOKUP($B347&amp;$E$282&amp;$G347,$E$6:$U$275,N$279,FALSE)*VLOOKUP($A347,Weighting!$D$26:$G$30,MATCH(Segmented!$E$282,Weighting!$E$26:$H$26,0)+1,FALSE)</f>
        <v>0</v>
      </c>
      <c r="O347">
        <f t="shared" si="25"/>
        <v>0</v>
      </c>
      <c r="P347" s="31">
        <f>VLOOKUP($B347&amp;$C$282&amp;$G347,$E$6:$U$275,P$279,FALSE)*VLOOKUP($A347,Weighting!$D$26:$G$30,MATCH(Segmented!$C$282,Weighting!$E$26:$H$26,0)+1,FALSE)+VLOOKUP($B347&amp;$D$282&amp;$G347,$E$6:$U$275,P$279,FALSE)*VLOOKUP($A347,Weighting!$D$26:$G$30,MATCH(Segmented!$D$282,Weighting!$E$26:$H$26,0)+1,FALSE)+VLOOKUP($B347&amp;$E$282&amp;$G347,$E$6:$U$275,P$279,FALSE)*VLOOKUP($A347,Weighting!$D$26:$G$30,MATCH(Segmented!$E$282,Weighting!$E$26:$H$26,0)+1,FALSE)</f>
        <v>0</v>
      </c>
      <c r="Q347">
        <f t="shared" si="26"/>
        <v>0</v>
      </c>
      <c r="R347" s="31">
        <f>VLOOKUP($B347&amp;$C$282&amp;$G347,$E$6:$U$275,R$279,FALSE)*VLOOKUP($A347,Weighting!$D$26:$G$30,MATCH(Segmented!$C$282,Weighting!$E$26:$H$26,0)+1,FALSE)+VLOOKUP($B347&amp;$D$282&amp;$G347,$E$6:$U$275,R$279,FALSE)*VLOOKUP($A347,Weighting!$D$26:$G$30,MATCH(Segmented!$D$282,Weighting!$E$26:$H$26,0)+1,FALSE)+VLOOKUP($B347&amp;$E$282&amp;$G347,$E$6:$U$275,R$279,FALSE)*VLOOKUP($A347,Weighting!$D$26:$G$30,MATCH(Segmented!$E$282,Weighting!$E$26:$H$26,0)+1,FALSE)</f>
        <v>0</v>
      </c>
      <c r="S347">
        <f t="shared" si="27"/>
        <v>0</v>
      </c>
      <c r="T347" s="31">
        <f>VLOOKUP($B347&amp;$C$282&amp;$G347,$E$6:$U$275,T$279,FALSE)*VLOOKUP($A347,Weighting!$D$26:$G$30,MATCH(Segmented!$C$282,Weighting!$E$26:$H$26,0)+1,FALSE)+VLOOKUP($B347&amp;$D$282&amp;$G347,$E$6:$U$275,T$279,FALSE)*VLOOKUP($A347,Weighting!$D$26:$G$30,MATCH(Segmented!$D$282,Weighting!$E$26:$H$26,0)+1,FALSE)+VLOOKUP($B347&amp;$E$282&amp;$G347,$E$6:$U$275,T$279,FALSE)*VLOOKUP($A347,Weighting!$D$26:$G$30,MATCH(Segmented!$E$282,Weighting!$E$26:$H$26,0)+1,FALSE)</f>
        <v>0</v>
      </c>
    </row>
    <row r="348" spans="1:20">
      <c r="A348" t="s">
        <v>227</v>
      </c>
      <c r="B348" t="s">
        <v>227</v>
      </c>
      <c r="F348" s="55" t="str">
        <f t="shared" si="28"/>
        <v>WALL R0 - R11_Electric FAF</v>
      </c>
      <c r="G348" s="54" t="s">
        <v>217</v>
      </c>
      <c r="H348" s="31">
        <f>VLOOKUP($B348&amp;$C$282&amp;$G348,$E$6:$U$275,H$279,FALSE)*VLOOKUP($A348,Weighting!$D$26:$G$30,MATCH(Segmented!$C$282,Weighting!$E$26:$H$26,0)+1,FALSE)+VLOOKUP($B348&amp;$D$282&amp;$G348,$E$6:$U$275,H$279,FALSE)*VLOOKUP($A348,Weighting!$D$26:$G$30,MATCH(Segmented!$D$282,Weighting!$E$26:$H$26,0)+1,FALSE)+VLOOKUP($B348&amp;$E$282&amp;$G348,$E$6:$U$275,H$279,FALSE)*VLOOKUP($A348,Weighting!$D$26:$G$30,MATCH(Segmented!$E$282,Weighting!$E$26:$H$26,0)+1,FALSE)</f>
        <v>29.793268943788341</v>
      </c>
      <c r="I348">
        <f t="shared" si="23"/>
        <v>45</v>
      </c>
      <c r="J348" s="31">
        <f>VLOOKUP($B348&amp;$C$282&amp;$G348,$E$6:$U$275,J$279,FALSE)*VLOOKUP($A348,Weighting!$D$26:$G$30,MATCH(Segmented!$C$282,Weighting!$E$26:$H$26,0)+1,FALSE)+VLOOKUP($B348&amp;$D$282&amp;$G348,$E$6:$U$275,J$279,FALSE)*VLOOKUP($A348,Weighting!$D$26:$G$30,MATCH(Segmented!$D$282,Weighting!$E$26:$H$26,0)+1,FALSE)+VLOOKUP($B348&amp;$E$282&amp;$G348,$E$6:$U$275,J$279,FALSE)*VLOOKUP($A348,Weighting!$D$26:$G$30,MATCH(Segmented!$E$282,Weighting!$E$26:$H$26,0)+1,FALSE)</f>
        <v>0</v>
      </c>
      <c r="K348" s="31">
        <f>VLOOKUP($B348&amp;$C$282&amp;$G348,$E$6:$U$275,K$279,FALSE)*VLOOKUP($A348,Weighting!$D$26:$G$30,MATCH(Segmented!$C$282,Weighting!$E$26:$H$26,0)+1,FALSE)+VLOOKUP($B348&amp;$D$282&amp;$G348,$E$6:$U$275,K$279,FALSE)*VLOOKUP($A348,Weighting!$D$26:$G$30,MATCH(Segmented!$D$282,Weighting!$E$26:$H$26,0)+1,FALSE)+VLOOKUP($B348&amp;$E$282&amp;$G348,$E$6:$U$275,K$279,FALSE)*VLOOKUP($A348,Weighting!$D$26:$G$30,MATCH(Segmented!$E$282,Weighting!$E$26:$H$26,0)+1,FALSE)</f>
        <v>0</v>
      </c>
      <c r="L348" t="str">
        <f t="shared" si="24"/>
        <v>ResSpHtBBZ2</v>
      </c>
      <c r="M348" s="31">
        <f>VLOOKUP($B348&amp;$C$282&amp;$G348,$E$6:$U$275,M$279,FALSE)*VLOOKUP($A348,Weighting!$D$26:$G$30,MATCH(Segmented!$C$282,Weighting!$E$26:$H$26,0)+1,FALSE)+VLOOKUP($B348&amp;$D$282&amp;$G348,$E$6:$U$275,M$279,FALSE)*VLOOKUP($A348,Weighting!$D$26:$G$30,MATCH(Segmented!$D$282,Weighting!$E$26:$H$26,0)+1,FALSE)+VLOOKUP($B348&amp;$E$282&amp;$G348,$E$6:$U$275,M$279,FALSE)*VLOOKUP($A348,Weighting!$D$26:$G$30,MATCH(Segmented!$E$282,Weighting!$E$26:$H$26,0)+1,FALSE)</f>
        <v>0</v>
      </c>
      <c r="N348" s="31">
        <f>VLOOKUP($B348&amp;$C$282&amp;$G348,$E$6:$U$275,N$279,FALSE)*VLOOKUP($A348,Weighting!$D$26:$G$30,MATCH(Segmented!$C$282,Weighting!$E$26:$H$26,0)+1,FALSE)+VLOOKUP($B348&amp;$D$282&amp;$G348,$E$6:$U$275,N$279,FALSE)*VLOOKUP($A348,Weighting!$D$26:$G$30,MATCH(Segmented!$D$282,Weighting!$E$26:$H$26,0)+1,FALSE)+VLOOKUP($B348&amp;$E$282&amp;$G348,$E$6:$U$275,N$279,FALSE)*VLOOKUP($A348,Weighting!$D$26:$G$30,MATCH(Segmented!$E$282,Weighting!$E$26:$H$26,0)+1,FALSE)</f>
        <v>0</v>
      </c>
      <c r="O348">
        <f t="shared" si="25"/>
        <v>0</v>
      </c>
      <c r="P348" s="31">
        <f>VLOOKUP($B348&amp;$C$282&amp;$G348,$E$6:$U$275,P$279,FALSE)*VLOOKUP($A348,Weighting!$D$26:$G$30,MATCH(Segmented!$C$282,Weighting!$E$26:$H$26,0)+1,FALSE)+VLOOKUP($B348&amp;$D$282&amp;$G348,$E$6:$U$275,P$279,FALSE)*VLOOKUP($A348,Weighting!$D$26:$G$30,MATCH(Segmented!$D$282,Weighting!$E$26:$H$26,0)+1,FALSE)+VLOOKUP($B348&amp;$E$282&amp;$G348,$E$6:$U$275,P$279,FALSE)*VLOOKUP($A348,Weighting!$D$26:$G$30,MATCH(Segmented!$E$282,Weighting!$E$26:$H$26,0)+1,FALSE)</f>
        <v>0</v>
      </c>
      <c r="Q348">
        <f t="shared" si="26"/>
        <v>0</v>
      </c>
      <c r="R348" s="31">
        <f>VLOOKUP($B348&amp;$C$282&amp;$G348,$E$6:$U$275,R$279,FALSE)*VLOOKUP($A348,Weighting!$D$26:$G$30,MATCH(Segmented!$C$282,Weighting!$E$26:$H$26,0)+1,FALSE)+VLOOKUP($B348&amp;$D$282&amp;$G348,$E$6:$U$275,R$279,FALSE)*VLOOKUP($A348,Weighting!$D$26:$G$30,MATCH(Segmented!$D$282,Weighting!$E$26:$H$26,0)+1,FALSE)+VLOOKUP($B348&amp;$E$282&amp;$G348,$E$6:$U$275,R$279,FALSE)*VLOOKUP($A348,Weighting!$D$26:$G$30,MATCH(Segmented!$E$282,Weighting!$E$26:$H$26,0)+1,FALSE)</f>
        <v>0</v>
      </c>
      <c r="S348">
        <f t="shared" si="27"/>
        <v>0</v>
      </c>
      <c r="T348" s="31">
        <f>VLOOKUP($B348&amp;$C$282&amp;$G348,$E$6:$U$275,T$279,FALSE)*VLOOKUP($A348,Weighting!$D$26:$G$30,MATCH(Segmented!$C$282,Weighting!$E$26:$H$26,0)+1,FALSE)+VLOOKUP($B348&amp;$D$282&amp;$G348,$E$6:$U$275,T$279,FALSE)*VLOOKUP($A348,Weighting!$D$26:$G$30,MATCH(Segmented!$D$282,Weighting!$E$26:$H$26,0)+1,FALSE)+VLOOKUP($B348&amp;$E$282&amp;$G348,$E$6:$U$275,T$279,FALSE)*VLOOKUP($A348,Weighting!$D$26:$G$30,MATCH(Segmented!$E$282,Weighting!$E$26:$H$26,0)+1,FALSE)</f>
        <v>0</v>
      </c>
    </row>
    <row r="349" spans="1:20">
      <c r="A349" t="s">
        <v>227</v>
      </c>
      <c r="B349" t="s">
        <v>227</v>
      </c>
      <c r="F349" s="55" t="str">
        <f t="shared" si="28"/>
        <v>FLOOR R0 - R19_Electric FAF</v>
      </c>
      <c r="G349" s="54" t="s">
        <v>218</v>
      </c>
      <c r="H349" s="31">
        <f>VLOOKUP($B349&amp;$C$282&amp;$G349,$E$6:$U$275,H$279,FALSE)*VLOOKUP($A349,Weighting!$D$26:$G$30,MATCH(Segmented!$C$282,Weighting!$E$26:$H$26,0)+1,FALSE)+VLOOKUP($B349&amp;$D$282&amp;$G349,$E$6:$U$275,H$279,FALSE)*VLOOKUP($A349,Weighting!$D$26:$G$30,MATCH(Segmented!$D$282,Weighting!$E$26:$H$26,0)+1,FALSE)+VLOOKUP($B349&amp;$E$282&amp;$G349,$E$6:$U$275,H$279,FALSE)*VLOOKUP($A349,Weighting!$D$26:$G$30,MATCH(Segmented!$E$282,Weighting!$E$26:$H$26,0)+1,FALSE)</f>
        <v>-30.731756814566555</v>
      </c>
      <c r="I349">
        <f t="shared" si="23"/>
        <v>45</v>
      </c>
      <c r="J349" s="31">
        <f>VLOOKUP($B349&amp;$C$282&amp;$G349,$E$6:$U$275,J$279,FALSE)*VLOOKUP($A349,Weighting!$D$26:$G$30,MATCH(Segmented!$C$282,Weighting!$E$26:$H$26,0)+1,FALSE)+VLOOKUP($B349&amp;$D$282&amp;$G349,$E$6:$U$275,J$279,FALSE)*VLOOKUP($A349,Weighting!$D$26:$G$30,MATCH(Segmented!$D$282,Weighting!$E$26:$H$26,0)+1,FALSE)+VLOOKUP($B349&amp;$E$282&amp;$G349,$E$6:$U$275,J$279,FALSE)*VLOOKUP($A349,Weighting!$D$26:$G$30,MATCH(Segmented!$E$282,Weighting!$E$26:$H$26,0)+1,FALSE)</f>
        <v>0</v>
      </c>
      <c r="K349" s="31">
        <f>VLOOKUP($B349&amp;$C$282&amp;$G349,$E$6:$U$275,K$279,FALSE)*VLOOKUP($A349,Weighting!$D$26:$G$30,MATCH(Segmented!$C$282,Weighting!$E$26:$H$26,0)+1,FALSE)+VLOOKUP($B349&amp;$D$282&amp;$G349,$E$6:$U$275,K$279,FALSE)*VLOOKUP($A349,Weighting!$D$26:$G$30,MATCH(Segmented!$D$282,Weighting!$E$26:$H$26,0)+1,FALSE)+VLOOKUP($B349&amp;$E$282&amp;$G349,$E$6:$U$275,K$279,FALSE)*VLOOKUP($A349,Weighting!$D$26:$G$30,MATCH(Segmented!$E$282,Weighting!$E$26:$H$26,0)+1,FALSE)</f>
        <v>0</v>
      </c>
      <c r="L349" t="str">
        <f t="shared" si="24"/>
        <v>ResSpHtBBZ2</v>
      </c>
      <c r="M349" s="31">
        <f>VLOOKUP($B349&amp;$C$282&amp;$G349,$E$6:$U$275,M$279,FALSE)*VLOOKUP($A349,Weighting!$D$26:$G$30,MATCH(Segmented!$C$282,Weighting!$E$26:$H$26,0)+1,FALSE)+VLOOKUP($B349&amp;$D$282&amp;$G349,$E$6:$U$275,M$279,FALSE)*VLOOKUP($A349,Weighting!$D$26:$G$30,MATCH(Segmented!$D$282,Weighting!$E$26:$H$26,0)+1,FALSE)+VLOOKUP($B349&amp;$E$282&amp;$G349,$E$6:$U$275,M$279,FALSE)*VLOOKUP($A349,Weighting!$D$26:$G$30,MATCH(Segmented!$E$282,Weighting!$E$26:$H$26,0)+1,FALSE)</f>
        <v>0</v>
      </c>
      <c r="N349" s="31">
        <f>VLOOKUP($B349&amp;$C$282&amp;$G349,$E$6:$U$275,N$279,FALSE)*VLOOKUP($A349,Weighting!$D$26:$G$30,MATCH(Segmented!$C$282,Weighting!$E$26:$H$26,0)+1,FALSE)+VLOOKUP($B349&amp;$D$282&amp;$G349,$E$6:$U$275,N$279,FALSE)*VLOOKUP($A349,Weighting!$D$26:$G$30,MATCH(Segmented!$D$282,Weighting!$E$26:$H$26,0)+1,FALSE)+VLOOKUP($B349&amp;$E$282&amp;$G349,$E$6:$U$275,N$279,FALSE)*VLOOKUP($A349,Weighting!$D$26:$G$30,MATCH(Segmented!$E$282,Weighting!$E$26:$H$26,0)+1,FALSE)</f>
        <v>0</v>
      </c>
      <c r="O349">
        <f t="shared" si="25"/>
        <v>0</v>
      </c>
      <c r="P349" s="31">
        <f>VLOOKUP($B349&amp;$C$282&amp;$G349,$E$6:$U$275,P$279,FALSE)*VLOOKUP($A349,Weighting!$D$26:$G$30,MATCH(Segmented!$C$282,Weighting!$E$26:$H$26,0)+1,FALSE)+VLOOKUP($B349&amp;$D$282&amp;$G349,$E$6:$U$275,P$279,FALSE)*VLOOKUP($A349,Weighting!$D$26:$G$30,MATCH(Segmented!$D$282,Weighting!$E$26:$H$26,0)+1,FALSE)+VLOOKUP($B349&amp;$E$282&amp;$G349,$E$6:$U$275,P$279,FALSE)*VLOOKUP($A349,Weighting!$D$26:$G$30,MATCH(Segmented!$E$282,Weighting!$E$26:$H$26,0)+1,FALSE)</f>
        <v>0</v>
      </c>
      <c r="Q349">
        <f t="shared" si="26"/>
        <v>0</v>
      </c>
      <c r="R349" s="31">
        <f>VLOOKUP($B349&amp;$C$282&amp;$G349,$E$6:$U$275,R$279,FALSE)*VLOOKUP($A349,Weighting!$D$26:$G$30,MATCH(Segmented!$C$282,Weighting!$E$26:$H$26,0)+1,FALSE)+VLOOKUP($B349&amp;$D$282&amp;$G349,$E$6:$U$275,R$279,FALSE)*VLOOKUP($A349,Weighting!$D$26:$G$30,MATCH(Segmented!$D$282,Weighting!$E$26:$H$26,0)+1,FALSE)+VLOOKUP($B349&amp;$E$282&amp;$G349,$E$6:$U$275,R$279,FALSE)*VLOOKUP($A349,Weighting!$D$26:$G$30,MATCH(Segmented!$E$282,Weighting!$E$26:$H$26,0)+1,FALSE)</f>
        <v>0</v>
      </c>
      <c r="S349">
        <f t="shared" si="27"/>
        <v>0</v>
      </c>
      <c r="T349" s="31">
        <f>VLOOKUP($B349&amp;$C$282&amp;$G349,$E$6:$U$275,T$279,FALSE)*VLOOKUP($A349,Weighting!$D$26:$G$30,MATCH(Segmented!$C$282,Weighting!$E$26:$H$26,0)+1,FALSE)+VLOOKUP($B349&amp;$D$282&amp;$G349,$E$6:$U$275,T$279,FALSE)*VLOOKUP($A349,Weighting!$D$26:$G$30,MATCH(Segmented!$D$282,Weighting!$E$26:$H$26,0)+1,FALSE)+VLOOKUP($B349&amp;$E$282&amp;$G349,$E$6:$U$275,T$279,FALSE)*VLOOKUP($A349,Weighting!$D$26:$G$30,MATCH(Segmented!$E$282,Weighting!$E$26:$H$26,0)+1,FALSE)</f>
        <v>0</v>
      </c>
    </row>
    <row r="350" spans="1:20">
      <c r="A350" t="s">
        <v>227</v>
      </c>
      <c r="B350" t="s">
        <v>227</v>
      </c>
      <c r="F350" s="55" t="str">
        <f t="shared" si="28"/>
        <v>FLOOR R0 - R25_Electric FAF</v>
      </c>
      <c r="G350" s="54" t="s">
        <v>219</v>
      </c>
      <c r="H350" s="31">
        <f>VLOOKUP($B350&amp;$C$282&amp;$G350,$E$6:$U$275,H$279,FALSE)*VLOOKUP($A350,Weighting!$D$26:$G$30,MATCH(Segmented!$C$282,Weighting!$E$26:$H$26,0)+1,FALSE)+VLOOKUP($B350&amp;$D$282&amp;$G350,$E$6:$U$275,H$279,FALSE)*VLOOKUP($A350,Weighting!$D$26:$G$30,MATCH(Segmented!$D$282,Weighting!$E$26:$H$26,0)+1,FALSE)+VLOOKUP($B350&amp;$E$282&amp;$G350,$E$6:$U$275,H$279,FALSE)*VLOOKUP($A350,Weighting!$D$26:$G$30,MATCH(Segmented!$E$282,Weighting!$E$26:$H$26,0)+1,FALSE)</f>
        <v>-34.371513422843577</v>
      </c>
      <c r="I350">
        <f t="shared" si="23"/>
        <v>45</v>
      </c>
      <c r="J350" s="31">
        <f>VLOOKUP($B350&amp;$C$282&amp;$G350,$E$6:$U$275,J$279,FALSE)*VLOOKUP($A350,Weighting!$D$26:$G$30,MATCH(Segmented!$C$282,Weighting!$E$26:$H$26,0)+1,FALSE)+VLOOKUP($B350&amp;$D$282&amp;$G350,$E$6:$U$275,J$279,FALSE)*VLOOKUP($A350,Weighting!$D$26:$G$30,MATCH(Segmented!$D$282,Weighting!$E$26:$H$26,0)+1,FALSE)+VLOOKUP($B350&amp;$E$282&amp;$G350,$E$6:$U$275,J$279,FALSE)*VLOOKUP($A350,Weighting!$D$26:$G$30,MATCH(Segmented!$E$282,Weighting!$E$26:$H$26,0)+1,FALSE)</f>
        <v>0</v>
      </c>
      <c r="K350" s="31">
        <f>VLOOKUP($B350&amp;$C$282&amp;$G350,$E$6:$U$275,K$279,FALSE)*VLOOKUP($A350,Weighting!$D$26:$G$30,MATCH(Segmented!$C$282,Weighting!$E$26:$H$26,0)+1,FALSE)+VLOOKUP($B350&amp;$D$282&amp;$G350,$E$6:$U$275,K$279,FALSE)*VLOOKUP($A350,Weighting!$D$26:$G$30,MATCH(Segmented!$D$282,Weighting!$E$26:$H$26,0)+1,FALSE)+VLOOKUP($B350&amp;$E$282&amp;$G350,$E$6:$U$275,K$279,FALSE)*VLOOKUP($A350,Weighting!$D$26:$G$30,MATCH(Segmented!$E$282,Weighting!$E$26:$H$26,0)+1,FALSE)</f>
        <v>0</v>
      </c>
      <c r="L350" t="str">
        <f t="shared" si="24"/>
        <v>ResSpHtBBZ2</v>
      </c>
      <c r="M350" s="31">
        <f>VLOOKUP($B350&amp;$C$282&amp;$G350,$E$6:$U$275,M$279,FALSE)*VLOOKUP($A350,Weighting!$D$26:$G$30,MATCH(Segmented!$C$282,Weighting!$E$26:$H$26,0)+1,FALSE)+VLOOKUP($B350&amp;$D$282&amp;$G350,$E$6:$U$275,M$279,FALSE)*VLOOKUP($A350,Weighting!$D$26:$G$30,MATCH(Segmented!$D$282,Weighting!$E$26:$H$26,0)+1,FALSE)+VLOOKUP($B350&amp;$E$282&amp;$G350,$E$6:$U$275,M$279,FALSE)*VLOOKUP($A350,Weighting!$D$26:$G$30,MATCH(Segmented!$E$282,Weighting!$E$26:$H$26,0)+1,FALSE)</f>
        <v>0</v>
      </c>
      <c r="N350" s="31">
        <f>VLOOKUP($B350&amp;$C$282&amp;$G350,$E$6:$U$275,N$279,FALSE)*VLOOKUP($A350,Weighting!$D$26:$G$30,MATCH(Segmented!$C$282,Weighting!$E$26:$H$26,0)+1,FALSE)+VLOOKUP($B350&amp;$D$282&amp;$G350,$E$6:$U$275,N$279,FALSE)*VLOOKUP($A350,Weighting!$D$26:$G$30,MATCH(Segmented!$D$282,Weighting!$E$26:$H$26,0)+1,FALSE)+VLOOKUP($B350&amp;$E$282&amp;$G350,$E$6:$U$275,N$279,FALSE)*VLOOKUP($A350,Weighting!$D$26:$G$30,MATCH(Segmented!$E$282,Weighting!$E$26:$H$26,0)+1,FALSE)</f>
        <v>0</v>
      </c>
      <c r="O350">
        <f t="shared" si="25"/>
        <v>0</v>
      </c>
      <c r="P350" s="31">
        <f>VLOOKUP($B350&amp;$C$282&amp;$G350,$E$6:$U$275,P$279,FALSE)*VLOOKUP($A350,Weighting!$D$26:$G$30,MATCH(Segmented!$C$282,Weighting!$E$26:$H$26,0)+1,FALSE)+VLOOKUP($B350&amp;$D$282&amp;$G350,$E$6:$U$275,P$279,FALSE)*VLOOKUP($A350,Weighting!$D$26:$G$30,MATCH(Segmented!$D$282,Weighting!$E$26:$H$26,0)+1,FALSE)+VLOOKUP($B350&amp;$E$282&amp;$G350,$E$6:$U$275,P$279,FALSE)*VLOOKUP($A350,Weighting!$D$26:$G$30,MATCH(Segmented!$E$282,Weighting!$E$26:$H$26,0)+1,FALSE)</f>
        <v>0</v>
      </c>
      <c r="Q350">
        <f t="shared" si="26"/>
        <v>0</v>
      </c>
      <c r="R350" s="31">
        <f>VLOOKUP($B350&amp;$C$282&amp;$G350,$E$6:$U$275,R$279,FALSE)*VLOOKUP($A350,Weighting!$D$26:$G$30,MATCH(Segmented!$C$282,Weighting!$E$26:$H$26,0)+1,FALSE)+VLOOKUP($B350&amp;$D$282&amp;$G350,$E$6:$U$275,R$279,FALSE)*VLOOKUP($A350,Weighting!$D$26:$G$30,MATCH(Segmented!$D$282,Weighting!$E$26:$H$26,0)+1,FALSE)+VLOOKUP($B350&amp;$E$282&amp;$G350,$E$6:$U$275,R$279,FALSE)*VLOOKUP($A350,Weighting!$D$26:$G$30,MATCH(Segmented!$E$282,Weighting!$E$26:$H$26,0)+1,FALSE)</f>
        <v>0</v>
      </c>
      <c r="S350">
        <f t="shared" si="27"/>
        <v>0</v>
      </c>
      <c r="T350" s="31">
        <f>VLOOKUP($B350&amp;$C$282&amp;$G350,$E$6:$U$275,T$279,FALSE)*VLOOKUP($A350,Weighting!$D$26:$G$30,MATCH(Segmented!$C$282,Weighting!$E$26:$H$26,0)+1,FALSE)+VLOOKUP($B350&amp;$D$282&amp;$G350,$E$6:$U$275,T$279,FALSE)*VLOOKUP($A350,Weighting!$D$26:$G$30,MATCH(Segmented!$D$282,Weighting!$E$26:$H$26,0)+1,FALSE)+VLOOKUP($B350&amp;$E$282&amp;$G350,$E$6:$U$275,T$279,FALSE)*VLOOKUP($A350,Weighting!$D$26:$G$30,MATCH(Segmented!$E$282,Weighting!$E$26:$H$26,0)+1,FALSE)</f>
        <v>0</v>
      </c>
    </row>
    <row r="351" spans="1:20">
      <c r="A351" t="s">
        <v>227</v>
      </c>
      <c r="B351" t="s">
        <v>227</v>
      </c>
      <c r="F351" s="55" t="str">
        <f t="shared" si="28"/>
        <v>FLOOR R0 - R30_Electric FAF</v>
      </c>
      <c r="G351" s="54" t="s">
        <v>220</v>
      </c>
      <c r="H351" s="31">
        <f>VLOOKUP($B351&amp;$C$282&amp;$G351,$E$6:$U$275,H$279,FALSE)*VLOOKUP($A351,Weighting!$D$26:$G$30,MATCH(Segmented!$C$282,Weighting!$E$26:$H$26,0)+1,FALSE)+VLOOKUP($B351&amp;$D$282&amp;$G351,$E$6:$U$275,H$279,FALSE)*VLOOKUP($A351,Weighting!$D$26:$G$30,MATCH(Segmented!$D$282,Weighting!$E$26:$H$26,0)+1,FALSE)+VLOOKUP($B351&amp;$E$282&amp;$G351,$E$6:$U$275,H$279,FALSE)*VLOOKUP($A351,Weighting!$D$26:$G$30,MATCH(Segmented!$E$282,Weighting!$E$26:$H$26,0)+1,FALSE)</f>
        <v>-36.771949730535425</v>
      </c>
      <c r="I351">
        <f t="shared" si="23"/>
        <v>45</v>
      </c>
      <c r="J351" s="31">
        <f>VLOOKUP($B351&amp;$C$282&amp;$G351,$E$6:$U$275,J$279,FALSE)*VLOOKUP($A351,Weighting!$D$26:$G$30,MATCH(Segmented!$C$282,Weighting!$E$26:$H$26,0)+1,FALSE)+VLOOKUP($B351&amp;$D$282&amp;$G351,$E$6:$U$275,J$279,FALSE)*VLOOKUP($A351,Weighting!$D$26:$G$30,MATCH(Segmented!$D$282,Weighting!$E$26:$H$26,0)+1,FALSE)+VLOOKUP($B351&amp;$E$282&amp;$G351,$E$6:$U$275,J$279,FALSE)*VLOOKUP($A351,Weighting!$D$26:$G$30,MATCH(Segmented!$E$282,Weighting!$E$26:$H$26,0)+1,FALSE)</f>
        <v>0</v>
      </c>
      <c r="K351" s="31">
        <f>VLOOKUP($B351&amp;$C$282&amp;$G351,$E$6:$U$275,K$279,FALSE)*VLOOKUP($A351,Weighting!$D$26:$G$30,MATCH(Segmented!$C$282,Weighting!$E$26:$H$26,0)+1,FALSE)+VLOOKUP($B351&amp;$D$282&amp;$G351,$E$6:$U$275,K$279,FALSE)*VLOOKUP($A351,Weighting!$D$26:$G$30,MATCH(Segmented!$D$282,Weighting!$E$26:$H$26,0)+1,FALSE)+VLOOKUP($B351&amp;$E$282&amp;$G351,$E$6:$U$275,K$279,FALSE)*VLOOKUP($A351,Weighting!$D$26:$G$30,MATCH(Segmented!$E$282,Weighting!$E$26:$H$26,0)+1,FALSE)</f>
        <v>0</v>
      </c>
      <c r="L351" t="str">
        <f t="shared" si="24"/>
        <v>ResSpHtBBZ2</v>
      </c>
      <c r="M351" s="31">
        <f>VLOOKUP($B351&amp;$C$282&amp;$G351,$E$6:$U$275,M$279,FALSE)*VLOOKUP($A351,Weighting!$D$26:$G$30,MATCH(Segmented!$C$282,Weighting!$E$26:$H$26,0)+1,FALSE)+VLOOKUP($B351&amp;$D$282&amp;$G351,$E$6:$U$275,M$279,FALSE)*VLOOKUP($A351,Weighting!$D$26:$G$30,MATCH(Segmented!$D$282,Weighting!$E$26:$H$26,0)+1,FALSE)+VLOOKUP($B351&amp;$E$282&amp;$G351,$E$6:$U$275,M$279,FALSE)*VLOOKUP($A351,Weighting!$D$26:$G$30,MATCH(Segmented!$E$282,Weighting!$E$26:$H$26,0)+1,FALSE)</f>
        <v>0</v>
      </c>
      <c r="N351" s="31">
        <f>VLOOKUP($B351&amp;$C$282&amp;$G351,$E$6:$U$275,N$279,FALSE)*VLOOKUP($A351,Weighting!$D$26:$G$30,MATCH(Segmented!$C$282,Weighting!$E$26:$H$26,0)+1,FALSE)+VLOOKUP($B351&amp;$D$282&amp;$G351,$E$6:$U$275,N$279,FALSE)*VLOOKUP($A351,Weighting!$D$26:$G$30,MATCH(Segmented!$D$282,Weighting!$E$26:$H$26,0)+1,FALSE)+VLOOKUP($B351&amp;$E$282&amp;$G351,$E$6:$U$275,N$279,FALSE)*VLOOKUP($A351,Weighting!$D$26:$G$30,MATCH(Segmented!$E$282,Weighting!$E$26:$H$26,0)+1,FALSE)</f>
        <v>0</v>
      </c>
      <c r="O351">
        <f t="shared" si="25"/>
        <v>0</v>
      </c>
      <c r="P351" s="31">
        <f>VLOOKUP($B351&amp;$C$282&amp;$G351,$E$6:$U$275,P$279,FALSE)*VLOOKUP($A351,Weighting!$D$26:$G$30,MATCH(Segmented!$C$282,Weighting!$E$26:$H$26,0)+1,FALSE)+VLOOKUP($B351&amp;$D$282&amp;$G351,$E$6:$U$275,P$279,FALSE)*VLOOKUP($A351,Weighting!$D$26:$G$30,MATCH(Segmented!$D$282,Weighting!$E$26:$H$26,0)+1,FALSE)+VLOOKUP($B351&amp;$E$282&amp;$G351,$E$6:$U$275,P$279,FALSE)*VLOOKUP($A351,Weighting!$D$26:$G$30,MATCH(Segmented!$E$282,Weighting!$E$26:$H$26,0)+1,FALSE)</f>
        <v>0</v>
      </c>
      <c r="Q351">
        <f t="shared" si="26"/>
        <v>0</v>
      </c>
      <c r="R351" s="31">
        <f>VLOOKUP($B351&amp;$C$282&amp;$G351,$E$6:$U$275,R$279,FALSE)*VLOOKUP($A351,Weighting!$D$26:$G$30,MATCH(Segmented!$C$282,Weighting!$E$26:$H$26,0)+1,FALSE)+VLOOKUP($B351&amp;$D$282&amp;$G351,$E$6:$U$275,R$279,FALSE)*VLOOKUP($A351,Weighting!$D$26:$G$30,MATCH(Segmented!$D$282,Weighting!$E$26:$H$26,0)+1,FALSE)+VLOOKUP($B351&amp;$E$282&amp;$G351,$E$6:$U$275,R$279,FALSE)*VLOOKUP($A351,Weighting!$D$26:$G$30,MATCH(Segmented!$E$282,Weighting!$E$26:$H$26,0)+1,FALSE)</f>
        <v>0</v>
      </c>
      <c r="S351">
        <f t="shared" si="27"/>
        <v>0</v>
      </c>
      <c r="T351" s="31">
        <f>VLOOKUP($B351&amp;$C$282&amp;$G351,$E$6:$U$275,T$279,FALSE)*VLOOKUP($A351,Weighting!$D$26:$G$30,MATCH(Segmented!$C$282,Weighting!$E$26:$H$26,0)+1,FALSE)+VLOOKUP($B351&amp;$D$282&amp;$G351,$E$6:$U$275,T$279,FALSE)*VLOOKUP($A351,Weighting!$D$26:$G$30,MATCH(Segmented!$D$282,Weighting!$E$26:$H$26,0)+1,FALSE)+VLOOKUP($B351&amp;$E$282&amp;$G351,$E$6:$U$275,T$279,FALSE)*VLOOKUP($A351,Weighting!$D$26:$G$30,MATCH(Segmented!$E$282,Weighting!$E$26:$H$26,0)+1,FALSE)</f>
        <v>0</v>
      </c>
    </row>
    <row r="352" spans="1:20" ht="25.5">
      <c r="A352" t="s">
        <v>227</v>
      </c>
      <c r="B352" t="s">
        <v>227</v>
      </c>
      <c r="F352" s="55" t="str">
        <f t="shared" si="28"/>
        <v>WINDOW CL30 Prime Window Replacement of Single Pane Base_Electric FAF</v>
      </c>
      <c r="G352" s="54" t="s">
        <v>221</v>
      </c>
      <c r="H352" s="31">
        <f>VLOOKUP($B352&amp;$C$282&amp;$G352,$E$6:$U$275,H$279,FALSE)*VLOOKUP($A352,Weighting!$D$26:$G$30,MATCH(Segmented!$C$282,Weighting!$E$26:$H$26,0)+1,FALSE)+VLOOKUP($B352&amp;$D$282&amp;$G352,$E$6:$U$275,H$279,FALSE)*VLOOKUP($A352,Weighting!$D$26:$G$30,MATCH(Segmented!$D$282,Weighting!$E$26:$H$26,0)+1,FALSE)+VLOOKUP($B352&amp;$E$282&amp;$G352,$E$6:$U$275,H$279,FALSE)*VLOOKUP($A352,Weighting!$D$26:$G$30,MATCH(Segmented!$E$282,Weighting!$E$26:$H$26,0)+1,FALSE)</f>
        <v>62.43268657262869</v>
      </c>
      <c r="I352">
        <f t="shared" si="23"/>
        <v>45</v>
      </c>
      <c r="J352" s="31">
        <f>VLOOKUP($B352&amp;$C$282&amp;$G352,$E$6:$U$275,J$279,FALSE)*VLOOKUP($A352,Weighting!$D$26:$G$30,MATCH(Segmented!$C$282,Weighting!$E$26:$H$26,0)+1,FALSE)+VLOOKUP($B352&amp;$D$282&amp;$G352,$E$6:$U$275,J$279,FALSE)*VLOOKUP($A352,Weighting!$D$26:$G$30,MATCH(Segmented!$D$282,Weighting!$E$26:$H$26,0)+1,FALSE)+VLOOKUP($B352&amp;$E$282&amp;$G352,$E$6:$U$275,J$279,FALSE)*VLOOKUP($A352,Weighting!$D$26:$G$30,MATCH(Segmented!$E$282,Weighting!$E$26:$H$26,0)+1,FALSE)</f>
        <v>0</v>
      </c>
      <c r="K352" s="31">
        <f>VLOOKUP($B352&amp;$C$282&amp;$G352,$E$6:$U$275,K$279,FALSE)*VLOOKUP($A352,Weighting!$D$26:$G$30,MATCH(Segmented!$C$282,Weighting!$E$26:$H$26,0)+1,FALSE)+VLOOKUP($B352&amp;$D$282&amp;$G352,$E$6:$U$275,K$279,FALSE)*VLOOKUP($A352,Weighting!$D$26:$G$30,MATCH(Segmented!$D$282,Weighting!$E$26:$H$26,0)+1,FALSE)+VLOOKUP($B352&amp;$E$282&amp;$G352,$E$6:$U$275,K$279,FALSE)*VLOOKUP($A352,Weighting!$D$26:$G$30,MATCH(Segmented!$E$282,Weighting!$E$26:$H$26,0)+1,FALSE)</f>
        <v>0</v>
      </c>
      <c r="L352" t="str">
        <f t="shared" si="24"/>
        <v>ResSpHtBBZ2</v>
      </c>
      <c r="M352" s="31">
        <f>VLOOKUP($B352&amp;$C$282&amp;$G352,$E$6:$U$275,M$279,FALSE)*VLOOKUP($A352,Weighting!$D$26:$G$30,MATCH(Segmented!$C$282,Weighting!$E$26:$H$26,0)+1,FALSE)+VLOOKUP($B352&amp;$D$282&amp;$G352,$E$6:$U$275,M$279,FALSE)*VLOOKUP($A352,Weighting!$D$26:$G$30,MATCH(Segmented!$D$282,Weighting!$E$26:$H$26,0)+1,FALSE)+VLOOKUP($B352&amp;$E$282&amp;$G352,$E$6:$U$275,M$279,FALSE)*VLOOKUP($A352,Weighting!$D$26:$G$30,MATCH(Segmented!$E$282,Weighting!$E$26:$H$26,0)+1,FALSE)</f>
        <v>0</v>
      </c>
      <c r="N352" s="31">
        <f>VLOOKUP($B352&amp;$C$282&amp;$G352,$E$6:$U$275,N$279,FALSE)*VLOOKUP($A352,Weighting!$D$26:$G$30,MATCH(Segmented!$C$282,Weighting!$E$26:$H$26,0)+1,FALSE)+VLOOKUP($B352&amp;$D$282&amp;$G352,$E$6:$U$275,N$279,FALSE)*VLOOKUP($A352,Weighting!$D$26:$G$30,MATCH(Segmented!$D$282,Weighting!$E$26:$H$26,0)+1,FALSE)+VLOOKUP($B352&amp;$E$282&amp;$G352,$E$6:$U$275,N$279,FALSE)*VLOOKUP($A352,Weighting!$D$26:$G$30,MATCH(Segmented!$E$282,Weighting!$E$26:$H$26,0)+1,FALSE)</f>
        <v>0</v>
      </c>
      <c r="O352">
        <f t="shared" si="25"/>
        <v>0</v>
      </c>
      <c r="P352" s="31">
        <f>VLOOKUP($B352&amp;$C$282&amp;$G352,$E$6:$U$275,P$279,FALSE)*VLOOKUP($A352,Weighting!$D$26:$G$30,MATCH(Segmented!$C$282,Weighting!$E$26:$H$26,0)+1,FALSE)+VLOOKUP($B352&amp;$D$282&amp;$G352,$E$6:$U$275,P$279,FALSE)*VLOOKUP($A352,Weighting!$D$26:$G$30,MATCH(Segmented!$D$282,Weighting!$E$26:$H$26,0)+1,FALSE)+VLOOKUP($B352&amp;$E$282&amp;$G352,$E$6:$U$275,P$279,FALSE)*VLOOKUP($A352,Weighting!$D$26:$G$30,MATCH(Segmented!$E$282,Weighting!$E$26:$H$26,0)+1,FALSE)</f>
        <v>0</v>
      </c>
      <c r="Q352">
        <f t="shared" si="26"/>
        <v>0</v>
      </c>
      <c r="R352" s="31">
        <f>VLOOKUP($B352&amp;$C$282&amp;$G352,$E$6:$U$275,R$279,FALSE)*VLOOKUP($A352,Weighting!$D$26:$G$30,MATCH(Segmented!$C$282,Weighting!$E$26:$H$26,0)+1,FALSE)+VLOOKUP($B352&amp;$D$282&amp;$G352,$E$6:$U$275,R$279,FALSE)*VLOOKUP($A352,Weighting!$D$26:$G$30,MATCH(Segmented!$D$282,Weighting!$E$26:$H$26,0)+1,FALSE)+VLOOKUP($B352&amp;$E$282&amp;$G352,$E$6:$U$275,R$279,FALSE)*VLOOKUP($A352,Weighting!$D$26:$G$30,MATCH(Segmented!$E$282,Weighting!$E$26:$H$26,0)+1,FALSE)</f>
        <v>0</v>
      </c>
      <c r="S352">
        <f t="shared" si="27"/>
        <v>0</v>
      </c>
      <c r="T352" s="31">
        <f>VLOOKUP($B352&amp;$C$282&amp;$G352,$E$6:$U$275,T$279,FALSE)*VLOOKUP($A352,Weighting!$D$26:$G$30,MATCH(Segmented!$C$282,Weighting!$E$26:$H$26,0)+1,FALSE)+VLOOKUP($B352&amp;$D$282&amp;$G352,$E$6:$U$275,T$279,FALSE)*VLOOKUP($A352,Weighting!$D$26:$G$30,MATCH(Segmented!$D$282,Weighting!$E$26:$H$26,0)+1,FALSE)+VLOOKUP($B352&amp;$E$282&amp;$G352,$E$6:$U$275,T$279,FALSE)*VLOOKUP($A352,Weighting!$D$26:$G$30,MATCH(Segmented!$E$282,Weighting!$E$26:$H$26,0)+1,FALSE)</f>
        <v>0</v>
      </c>
    </row>
    <row r="353" spans="1:20" ht="25.5">
      <c r="A353" t="s">
        <v>227</v>
      </c>
      <c r="B353" t="s">
        <v>227</v>
      </c>
      <c r="F353" s="55" t="str">
        <f t="shared" si="28"/>
        <v>WINDOW CL30 Prime Window Replacement of Double Pane Base_Electric FAF</v>
      </c>
      <c r="G353" s="54" t="s">
        <v>222</v>
      </c>
      <c r="H353" s="31">
        <f>VLOOKUP($B353&amp;$C$282&amp;$G353,$E$6:$U$275,H$279,FALSE)*VLOOKUP($A353,Weighting!$D$26:$G$30,MATCH(Segmented!$C$282,Weighting!$E$26:$H$26,0)+1,FALSE)+VLOOKUP($B353&amp;$D$282&amp;$G353,$E$6:$U$275,H$279,FALSE)*VLOOKUP($A353,Weighting!$D$26:$G$30,MATCH(Segmented!$D$282,Weighting!$E$26:$H$26,0)+1,FALSE)+VLOOKUP($B353&amp;$E$282&amp;$G353,$E$6:$U$275,H$279,FALSE)*VLOOKUP($A353,Weighting!$D$26:$G$30,MATCH(Segmented!$E$282,Weighting!$E$26:$H$26,0)+1,FALSE)</f>
        <v>80.735407065541963</v>
      </c>
      <c r="I353">
        <f t="shared" si="23"/>
        <v>45</v>
      </c>
      <c r="J353" s="31">
        <f>VLOOKUP($B353&amp;$C$282&amp;$G353,$E$6:$U$275,J$279,FALSE)*VLOOKUP($A353,Weighting!$D$26:$G$30,MATCH(Segmented!$C$282,Weighting!$E$26:$H$26,0)+1,FALSE)+VLOOKUP($B353&amp;$D$282&amp;$G353,$E$6:$U$275,J$279,FALSE)*VLOOKUP($A353,Weighting!$D$26:$G$30,MATCH(Segmented!$D$282,Weighting!$E$26:$H$26,0)+1,FALSE)+VLOOKUP($B353&amp;$E$282&amp;$G353,$E$6:$U$275,J$279,FALSE)*VLOOKUP($A353,Weighting!$D$26:$G$30,MATCH(Segmented!$E$282,Weighting!$E$26:$H$26,0)+1,FALSE)</f>
        <v>0</v>
      </c>
      <c r="K353" s="31">
        <f>VLOOKUP($B353&amp;$C$282&amp;$G353,$E$6:$U$275,K$279,FALSE)*VLOOKUP($A353,Weighting!$D$26:$G$30,MATCH(Segmented!$C$282,Weighting!$E$26:$H$26,0)+1,FALSE)+VLOOKUP($B353&amp;$D$282&amp;$G353,$E$6:$U$275,K$279,FALSE)*VLOOKUP($A353,Weighting!$D$26:$G$30,MATCH(Segmented!$D$282,Weighting!$E$26:$H$26,0)+1,FALSE)+VLOOKUP($B353&amp;$E$282&amp;$G353,$E$6:$U$275,K$279,FALSE)*VLOOKUP($A353,Weighting!$D$26:$G$30,MATCH(Segmented!$E$282,Weighting!$E$26:$H$26,0)+1,FALSE)</f>
        <v>0</v>
      </c>
      <c r="L353" t="str">
        <f t="shared" si="24"/>
        <v>ResSpHtBBZ2</v>
      </c>
      <c r="M353" s="31">
        <f>VLOOKUP($B353&amp;$C$282&amp;$G353,$E$6:$U$275,M$279,FALSE)*VLOOKUP($A353,Weighting!$D$26:$G$30,MATCH(Segmented!$C$282,Weighting!$E$26:$H$26,0)+1,FALSE)+VLOOKUP($B353&amp;$D$282&amp;$G353,$E$6:$U$275,M$279,FALSE)*VLOOKUP($A353,Weighting!$D$26:$G$30,MATCH(Segmented!$D$282,Weighting!$E$26:$H$26,0)+1,FALSE)+VLOOKUP($B353&amp;$E$282&amp;$G353,$E$6:$U$275,M$279,FALSE)*VLOOKUP($A353,Weighting!$D$26:$G$30,MATCH(Segmented!$E$282,Weighting!$E$26:$H$26,0)+1,FALSE)</f>
        <v>0</v>
      </c>
      <c r="N353" s="31">
        <f>VLOOKUP($B353&amp;$C$282&amp;$G353,$E$6:$U$275,N$279,FALSE)*VLOOKUP($A353,Weighting!$D$26:$G$30,MATCH(Segmented!$C$282,Weighting!$E$26:$H$26,0)+1,FALSE)+VLOOKUP($B353&amp;$D$282&amp;$G353,$E$6:$U$275,N$279,FALSE)*VLOOKUP($A353,Weighting!$D$26:$G$30,MATCH(Segmented!$D$282,Weighting!$E$26:$H$26,0)+1,FALSE)+VLOOKUP($B353&amp;$E$282&amp;$G353,$E$6:$U$275,N$279,FALSE)*VLOOKUP($A353,Weighting!$D$26:$G$30,MATCH(Segmented!$E$282,Weighting!$E$26:$H$26,0)+1,FALSE)</f>
        <v>0</v>
      </c>
      <c r="O353">
        <f t="shared" si="25"/>
        <v>0</v>
      </c>
      <c r="P353" s="31">
        <f>VLOOKUP($B353&amp;$C$282&amp;$G353,$E$6:$U$275,P$279,FALSE)*VLOOKUP($A353,Weighting!$D$26:$G$30,MATCH(Segmented!$C$282,Weighting!$E$26:$H$26,0)+1,FALSE)+VLOOKUP($B353&amp;$D$282&amp;$G353,$E$6:$U$275,P$279,FALSE)*VLOOKUP($A353,Weighting!$D$26:$G$30,MATCH(Segmented!$D$282,Weighting!$E$26:$H$26,0)+1,FALSE)+VLOOKUP($B353&amp;$E$282&amp;$G353,$E$6:$U$275,P$279,FALSE)*VLOOKUP($A353,Weighting!$D$26:$G$30,MATCH(Segmented!$E$282,Weighting!$E$26:$H$26,0)+1,FALSE)</f>
        <v>0</v>
      </c>
      <c r="Q353">
        <f t="shared" si="26"/>
        <v>0</v>
      </c>
      <c r="R353" s="31">
        <f>VLOOKUP($B353&amp;$C$282&amp;$G353,$E$6:$U$275,R$279,FALSE)*VLOOKUP($A353,Weighting!$D$26:$G$30,MATCH(Segmented!$C$282,Weighting!$E$26:$H$26,0)+1,FALSE)+VLOOKUP($B353&amp;$D$282&amp;$G353,$E$6:$U$275,R$279,FALSE)*VLOOKUP($A353,Weighting!$D$26:$G$30,MATCH(Segmented!$D$282,Weighting!$E$26:$H$26,0)+1,FALSE)+VLOOKUP($B353&amp;$E$282&amp;$G353,$E$6:$U$275,R$279,FALSE)*VLOOKUP($A353,Weighting!$D$26:$G$30,MATCH(Segmented!$E$282,Weighting!$E$26:$H$26,0)+1,FALSE)</f>
        <v>0</v>
      </c>
      <c r="S353">
        <f t="shared" si="27"/>
        <v>0</v>
      </c>
      <c r="T353" s="31">
        <f>VLOOKUP($B353&amp;$C$282&amp;$G353,$E$6:$U$275,T$279,FALSE)*VLOOKUP($A353,Weighting!$D$26:$G$30,MATCH(Segmented!$C$282,Weighting!$E$26:$H$26,0)+1,FALSE)+VLOOKUP($B353&amp;$D$282&amp;$G353,$E$6:$U$275,T$279,FALSE)*VLOOKUP($A353,Weighting!$D$26:$G$30,MATCH(Segmented!$D$282,Weighting!$E$26:$H$26,0)+1,FALSE)+VLOOKUP($B353&amp;$E$282&amp;$G353,$E$6:$U$275,T$279,FALSE)*VLOOKUP($A353,Weighting!$D$26:$G$30,MATCH(Segmented!$E$282,Weighting!$E$26:$H$26,0)+1,FALSE)</f>
        <v>0</v>
      </c>
    </row>
    <row r="354" spans="1:20" ht="25.5">
      <c r="A354" t="s">
        <v>227</v>
      </c>
      <c r="B354" t="s">
        <v>227</v>
      </c>
      <c r="F354" s="55" t="str">
        <f t="shared" si="28"/>
        <v>WINDOW CL22 Prime Window Replacement of Single Pane Base_Electric FAF</v>
      </c>
      <c r="G354" s="54" t="s">
        <v>224</v>
      </c>
      <c r="H354" s="31">
        <f>VLOOKUP($B354&amp;$C$282&amp;$G354,$E$6:$U$275,H$279,FALSE)*VLOOKUP($A354,Weighting!$D$26:$G$30,MATCH(Segmented!$C$282,Weighting!$E$26:$H$26,0)+1,FALSE)+VLOOKUP($B354&amp;$D$282&amp;$G354,$E$6:$U$275,H$279,FALSE)*VLOOKUP($A354,Weighting!$D$26:$G$30,MATCH(Segmented!$D$282,Weighting!$E$26:$H$26,0)+1,FALSE)+VLOOKUP($B354&amp;$E$282&amp;$G354,$E$6:$U$275,H$279,FALSE)*VLOOKUP($A354,Weighting!$D$26:$G$30,MATCH(Segmented!$E$282,Weighting!$E$26:$H$26,0)+1,FALSE)</f>
        <v>67.054277068763767</v>
      </c>
      <c r="I354">
        <f t="shared" si="23"/>
        <v>45</v>
      </c>
      <c r="J354" s="31">
        <f>VLOOKUP($B354&amp;$C$282&amp;$G354,$E$6:$U$275,J$279,FALSE)*VLOOKUP($A354,Weighting!$D$26:$G$30,MATCH(Segmented!$C$282,Weighting!$E$26:$H$26,0)+1,FALSE)+VLOOKUP($B354&amp;$D$282&amp;$G354,$E$6:$U$275,J$279,FALSE)*VLOOKUP($A354,Weighting!$D$26:$G$30,MATCH(Segmented!$D$282,Weighting!$E$26:$H$26,0)+1,FALSE)+VLOOKUP($B354&amp;$E$282&amp;$G354,$E$6:$U$275,J$279,FALSE)*VLOOKUP($A354,Weighting!$D$26:$G$30,MATCH(Segmented!$E$282,Weighting!$E$26:$H$26,0)+1,FALSE)</f>
        <v>0</v>
      </c>
      <c r="K354" s="31">
        <f>VLOOKUP($B354&amp;$C$282&amp;$G354,$E$6:$U$275,K$279,FALSE)*VLOOKUP($A354,Weighting!$D$26:$G$30,MATCH(Segmented!$C$282,Weighting!$E$26:$H$26,0)+1,FALSE)+VLOOKUP($B354&amp;$D$282&amp;$G354,$E$6:$U$275,K$279,FALSE)*VLOOKUP($A354,Weighting!$D$26:$G$30,MATCH(Segmented!$D$282,Weighting!$E$26:$H$26,0)+1,FALSE)+VLOOKUP($B354&amp;$E$282&amp;$G354,$E$6:$U$275,K$279,FALSE)*VLOOKUP($A354,Weighting!$D$26:$G$30,MATCH(Segmented!$E$282,Weighting!$E$26:$H$26,0)+1,FALSE)</f>
        <v>0</v>
      </c>
      <c r="L354" t="str">
        <f t="shared" si="24"/>
        <v>ResSpHtBBZ2</v>
      </c>
      <c r="M354" s="31">
        <f>VLOOKUP($B354&amp;$C$282&amp;$G354,$E$6:$U$275,M$279,FALSE)*VLOOKUP($A354,Weighting!$D$26:$G$30,MATCH(Segmented!$C$282,Weighting!$E$26:$H$26,0)+1,FALSE)+VLOOKUP($B354&amp;$D$282&amp;$G354,$E$6:$U$275,M$279,FALSE)*VLOOKUP($A354,Weighting!$D$26:$G$30,MATCH(Segmented!$D$282,Weighting!$E$26:$H$26,0)+1,FALSE)+VLOOKUP($B354&amp;$E$282&amp;$G354,$E$6:$U$275,M$279,FALSE)*VLOOKUP($A354,Weighting!$D$26:$G$30,MATCH(Segmented!$E$282,Weighting!$E$26:$H$26,0)+1,FALSE)</f>
        <v>0</v>
      </c>
      <c r="N354" s="31">
        <f>VLOOKUP($B354&amp;$C$282&amp;$G354,$E$6:$U$275,N$279,FALSE)*VLOOKUP($A354,Weighting!$D$26:$G$30,MATCH(Segmented!$C$282,Weighting!$E$26:$H$26,0)+1,FALSE)+VLOOKUP($B354&amp;$D$282&amp;$G354,$E$6:$U$275,N$279,FALSE)*VLOOKUP($A354,Weighting!$D$26:$G$30,MATCH(Segmented!$D$282,Weighting!$E$26:$H$26,0)+1,FALSE)+VLOOKUP($B354&amp;$E$282&amp;$G354,$E$6:$U$275,N$279,FALSE)*VLOOKUP($A354,Weighting!$D$26:$G$30,MATCH(Segmented!$E$282,Weighting!$E$26:$H$26,0)+1,FALSE)</f>
        <v>0</v>
      </c>
      <c r="O354">
        <f t="shared" si="25"/>
        <v>0</v>
      </c>
      <c r="P354" s="31">
        <f>VLOOKUP($B354&amp;$C$282&amp;$G354,$E$6:$U$275,P$279,FALSE)*VLOOKUP($A354,Weighting!$D$26:$G$30,MATCH(Segmented!$C$282,Weighting!$E$26:$H$26,0)+1,FALSE)+VLOOKUP($B354&amp;$D$282&amp;$G354,$E$6:$U$275,P$279,FALSE)*VLOOKUP($A354,Weighting!$D$26:$G$30,MATCH(Segmented!$D$282,Weighting!$E$26:$H$26,0)+1,FALSE)+VLOOKUP($B354&amp;$E$282&amp;$G354,$E$6:$U$275,P$279,FALSE)*VLOOKUP($A354,Weighting!$D$26:$G$30,MATCH(Segmented!$E$282,Weighting!$E$26:$H$26,0)+1,FALSE)</f>
        <v>0</v>
      </c>
      <c r="Q354">
        <f t="shared" si="26"/>
        <v>0</v>
      </c>
      <c r="R354" s="31">
        <f>VLOOKUP($B354&amp;$C$282&amp;$G354,$E$6:$U$275,R$279,FALSE)*VLOOKUP($A354,Weighting!$D$26:$G$30,MATCH(Segmented!$C$282,Weighting!$E$26:$H$26,0)+1,FALSE)+VLOOKUP($B354&amp;$D$282&amp;$G354,$E$6:$U$275,R$279,FALSE)*VLOOKUP($A354,Weighting!$D$26:$G$30,MATCH(Segmented!$D$282,Weighting!$E$26:$H$26,0)+1,FALSE)+VLOOKUP($B354&amp;$E$282&amp;$G354,$E$6:$U$275,R$279,FALSE)*VLOOKUP($A354,Weighting!$D$26:$G$30,MATCH(Segmented!$E$282,Weighting!$E$26:$H$26,0)+1,FALSE)</f>
        <v>0</v>
      </c>
      <c r="S354">
        <f t="shared" si="27"/>
        <v>0</v>
      </c>
      <c r="T354" s="31">
        <f>VLOOKUP($B354&amp;$C$282&amp;$G354,$E$6:$U$275,T$279,FALSE)*VLOOKUP($A354,Weighting!$D$26:$G$30,MATCH(Segmented!$C$282,Weighting!$E$26:$H$26,0)+1,FALSE)+VLOOKUP($B354&amp;$D$282&amp;$G354,$E$6:$U$275,T$279,FALSE)*VLOOKUP($A354,Weighting!$D$26:$G$30,MATCH(Segmented!$D$282,Weighting!$E$26:$H$26,0)+1,FALSE)+VLOOKUP($B354&amp;$E$282&amp;$G354,$E$6:$U$275,T$279,FALSE)*VLOOKUP($A354,Weighting!$D$26:$G$30,MATCH(Segmented!$E$282,Weighting!$E$26:$H$26,0)+1,FALSE)</f>
        <v>0</v>
      </c>
    </row>
    <row r="355" spans="1:20" ht="25.5">
      <c r="A355" t="s">
        <v>227</v>
      </c>
      <c r="B355" t="s">
        <v>227</v>
      </c>
      <c r="F355" s="55" t="str">
        <f t="shared" si="28"/>
        <v>WINDOW CL22 Prime Window Replacement of Double Pane Base_Electric FAF</v>
      </c>
      <c r="G355" s="54" t="s">
        <v>225</v>
      </c>
      <c r="H355" s="31">
        <f>VLOOKUP($B355&amp;$C$282&amp;$G355,$E$6:$U$275,H$279,FALSE)*VLOOKUP($A355,Weighting!$D$26:$G$30,MATCH(Segmented!$C$282,Weighting!$E$26:$H$26,0)+1,FALSE)+VLOOKUP($B355&amp;$D$282&amp;$G355,$E$6:$U$275,H$279,FALSE)*VLOOKUP($A355,Weighting!$D$26:$G$30,MATCH(Segmented!$D$282,Weighting!$E$26:$H$26,0)+1,FALSE)+VLOOKUP($B355&amp;$E$282&amp;$G355,$E$6:$U$275,H$279,FALSE)*VLOOKUP($A355,Weighting!$D$26:$G$30,MATCH(Segmented!$E$282,Weighting!$E$26:$H$26,0)+1,FALSE)</f>
        <v>85.356997561677034</v>
      </c>
      <c r="I355">
        <f t="shared" si="23"/>
        <v>45</v>
      </c>
      <c r="J355" s="31">
        <f>VLOOKUP($B355&amp;$C$282&amp;$G355,$E$6:$U$275,J$279,FALSE)*VLOOKUP($A355,Weighting!$D$26:$G$30,MATCH(Segmented!$C$282,Weighting!$E$26:$H$26,0)+1,FALSE)+VLOOKUP($B355&amp;$D$282&amp;$G355,$E$6:$U$275,J$279,FALSE)*VLOOKUP($A355,Weighting!$D$26:$G$30,MATCH(Segmented!$D$282,Weighting!$E$26:$H$26,0)+1,FALSE)+VLOOKUP($B355&amp;$E$282&amp;$G355,$E$6:$U$275,J$279,FALSE)*VLOOKUP($A355,Weighting!$D$26:$G$30,MATCH(Segmented!$E$282,Weighting!$E$26:$H$26,0)+1,FALSE)</f>
        <v>0</v>
      </c>
      <c r="K355" s="31">
        <f>VLOOKUP($B355&amp;$C$282&amp;$G355,$E$6:$U$275,K$279,FALSE)*VLOOKUP($A355,Weighting!$D$26:$G$30,MATCH(Segmented!$C$282,Weighting!$E$26:$H$26,0)+1,FALSE)+VLOOKUP($B355&amp;$D$282&amp;$G355,$E$6:$U$275,K$279,FALSE)*VLOOKUP($A355,Weighting!$D$26:$G$30,MATCH(Segmented!$D$282,Weighting!$E$26:$H$26,0)+1,FALSE)+VLOOKUP($B355&amp;$E$282&amp;$G355,$E$6:$U$275,K$279,FALSE)*VLOOKUP($A355,Weighting!$D$26:$G$30,MATCH(Segmented!$E$282,Weighting!$E$26:$H$26,0)+1,FALSE)</f>
        <v>0</v>
      </c>
      <c r="L355" t="str">
        <f t="shared" si="24"/>
        <v>ResSpHtBBZ2</v>
      </c>
      <c r="M355" s="31">
        <f>VLOOKUP($B355&amp;$C$282&amp;$G355,$E$6:$U$275,M$279,FALSE)*VLOOKUP($A355,Weighting!$D$26:$G$30,MATCH(Segmented!$C$282,Weighting!$E$26:$H$26,0)+1,FALSE)+VLOOKUP($B355&amp;$D$282&amp;$G355,$E$6:$U$275,M$279,FALSE)*VLOOKUP($A355,Weighting!$D$26:$G$30,MATCH(Segmented!$D$282,Weighting!$E$26:$H$26,0)+1,FALSE)+VLOOKUP($B355&amp;$E$282&amp;$G355,$E$6:$U$275,M$279,FALSE)*VLOOKUP($A355,Weighting!$D$26:$G$30,MATCH(Segmented!$E$282,Weighting!$E$26:$H$26,0)+1,FALSE)</f>
        <v>0</v>
      </c>
      <c r="N355" s="31">
        <f>VLOOKUP($B355&amp;$C$282&amp;$G355,$E$6:$U$275,N$279,FALSE)*VLOOKUP($A355,Weighting!$D$26:$G$30,MATCH(Segmented!$C$282,Weighting!$E$26:$H$26,0)+1,FALSE)+VLOOKUP($B355&amp;$D$282&amp;$G355,$E$6:$U$275,N$279,FALSE)*VLOOKUP($A355,Weighting!$D$26:$G$30,MATCH(Segmented!$D$282,Weighting!$E$26:$H$26,0)+1,FALSE)+VLOOKUP($B355&amp;$E$282&amp;$G355,$E$6:$U$275,N$279,FALSE)*VLOOKUP($A355,Weighting!$D$26:$G$30,MATCH(Segmented!$E$282,Weighting!$E$26:$H$26,0)+1,FALSE)</f>
        <v>0</v>
      </c>
      <c r="O355">
        <f t="shared" si="25"/>
        <v>0</v>
      </c>
      <c r="P355" s="31">
        <f>VLOOKUP($B355&amp;$C$282&amp;$G355,$E$6:$U$275,P$279,FALSE)*VLOOKUP($A355,Weighting!$D$26:$G$30,MATCH(Segmented!$C$282,Weighting!$E$26:$H$26,0)+1,FALSE)+VLOOKUP($B355&amp;$D$282&amp;$G355,$E$6:$U$275,P$279,FALSE)*VLOOKUP($A355,Weighting!$D$26:$G$30,MATCH(Segmented!$D$282,Weighting!$E$26:$H$26,0)+1,FALSE)+VLOOKUP($B355&amp;$E$282&amp;$G355,$E$6:$U$275,P$279,FALSE)*VLOOKUP($A355,Weighting!$D$26:$G$30,MATCH(Segmented!$E$282,Weighting!$E$26:$H$26,0)+1,FALSE)</f>
        <v>0</v>
      </c>
      <c r="Q355">
        <f t="shared" si="26"/>
        <v>0</v>
      </c>
      <c r="R355" s="31">
        <f>VLOOKUP($B355&amp;$C$282&amp;$G355,$E$6:$U$275,R$279,FALSE)*VLOOKUP($A355,Weighting!$D$26:$G$30,MATCH(Segmented!$C$282,Weighting!$E$26:$H$26,0)+1,FALSE)+VLOOKUP($B355&amp;$D$282&amp;$G355,$E$6:$U$275,R$279,FALSE)*VLOOKUP($A355,Weighting!$D$26:$G$30,MATCH(Segmented!$D$282,Weighting!$E$26:$H$26,0)+1,FALSE)+VLOOKUP($B355&amp;$E$282&amp;$G355,$E$6:$U$275,R$279,FALSE)*VLOOKUP($A355,Weighting!$D$26:$G$30,MATCH(Segmented!$E$282,Weighting!$E$26:$H$26,0)+1,FALSE)</f>
        <v>0</v>
      </c>
      <c r="S355">
        <f t="shared" si="27"/>
        <v>0</v>
      </c>
      <c r="T355" s="31">
        <f>VLOOKUP($B355&amp;$C$282&amp;$G355,$E$6:$U$275,T$279,FALSE)*VLOOKUP($A355,Weighting!$D$26:$G$30,MATCH(Segmented!$C$282,Weighting!$E$26:$H$26,0)+1,FALSE)+VLOOKUP($B355&amp;$D$282&amp;$G355,$E$6:$U$275,T$279,FALSE)*VLOOKUP($A355,Weighting!$D$26:$G$30,MATCH(Segmented!$D$282,Weighting!$E$26:$H$26,0)+1,FALSE)+VLOOKUP($B355&amp;$E$282&amp;$G355,$E$6:$U$275,T$279,FALSE)*VLOOKUP($A355,Weighting!$D$26:$G$30,MATCH(Segmented!$E$282,Weighting!$E$26:$H$26,0)+1,FALSE)</f>
        <v>0</v>
      </c>
    </row>
    <row r="356" spans="1:20">
      <c r="A356" t="s">
        <v>227</v>
      </c>
      <c r="B356" t="s">
        <v>227</v>
      </c>
      <c r="F356" s="55" t="str">
        <f t="shared" si="28"/>
        <v>CFM50 Infiltration Reduction_Electric FAF</v>
      </c>
      <c r="G356" s="307" t="s">
        <v>890</v>
      </c>
      <c r="H356" s="31">
        <f>VLOOKUP($B356&amp;$C$282&amp;$G356,$E$6:$U$275,H$279,FALSE)*VLOOKUP($A356,Weighting!$D$26:$G$30,MATCH(Segmented!$C$282,Weighting!$E$26:$H$26,0)+1,FALSE)+VLOOKUP($B356&amp;$D$282&amp;$G356,$E$6:$U$275,H$279,FALSE)*VLOOKUP($A356,Weighting!$D$26:$G$30,MATCH(Segmented!$D$282,Weighting!$E$26:$H$26,0)+1,FALSE)+VLOOKUP($B356&amp;$E$282&amp;$G356,$E$6:$U$275,H$279,FALSE)*VLOOKUP($A356,Weighting!$D$26:$G$30,MATCH(Segmented!$E$282,Weighting!$E$26:$H$26,0)+1,FALSE)</f>
        <v>1.8236122501655805</v>
      </c>
      <c r="I356">
        <f t="shared" si="23"/>
        <v>15</v>
      </c>
      <c r="J356" s="31">
        <f>VLOOKUP($B356&amp;$C$282&amp;$G356,$E$6:$U$275,J$279,FALSE)*VLOOKUP($A356,Weighting!$D$26:$G$30,MATCH(Segmented!$C$282,Weighting!$E$26:$H$26,0)+1,FALSE)+VLOOKUP($B356&amp;$D$282&amp;$G356,$E$6:$U$275,J$279,FALSE)*VLOOKUP($A356,Weighting!$D$26:$G$30,MATCH(Segmented!$D$282,Weighting!$E$26:$H$26,0)+1,FALSE)+VLOOKUP($B356&amp;$E$282&amp;$G356,$E$6:$U$275,J$279,FALSE)*VLOOKUP($A356,Weighting!$D$26:$G$30,MATCH(Segmented!$E$282,Weighting!$E$26:$H$26,0)+1,FALSE)</f>
        <v>0</v>
      </c>
      <c r="K356" s="31">
        <f>VLOOKUP($B356&amp;$C$282&amp;$G356,$E$6:$U$275,K$279,FALSE)*VLOOKUP($A356,Weighting!$D$26:$G$30,MATCH(Segmented!$C$282,Weighting!$E$26:$H$26,0)+1,FALSE)+VLOOKUP($B356&amp;$D$282&amp;$G356,$E$6:$U$275,K$279,FALSE)*VLOOKUP($A356,Weighting!$D$26:$G$30,MATCH(Segmented!$D$282,Weighting!$E$26:$H$26,0)+1,FALSE)+VLOOKUP($B356&amp;$E$282&amp;$G356,$E$6:$U$275,K$279,FALSE)*VLOOKUP($A356,Weighting!$D$26:$G$30,MATCH(Segmented!$E$282,Weighting!$E$26:$H$26,0)+1,FALSE)</f>
        <v>0</v>
      </c>
      <c r="L356" t="str">
        <f t="shared" si="24"/>
        <v>ResSpHtBBZ2</v>
      </c>
      <c r="M356" s="31">
        <f>VLOOKUP($B356&amp;$C$282&amp;$G356,$E$6:$U$275,M$279,FALSE)*VLOOKUP($A356,Weighting!$D$26:$G$30,MATCH(Segmented!$C$282,Weighting!$E$26:$H$26,0)+1,FALSE)+VLOOKUP($B356&amp;$D$282&amp;$G356,$E$6:$U$275,M$279,FALSE)*VLOOKUP($A356,Weighting!$D$26:$G$30,MATCH(Segmented!$D$282,Weighting!$E$26:$H$26,0)+1,FALSE)+VLOOKUP($B356&amp;$E$282&amp;$G356,$E$6:$U$275,M$279,FALSE)*VLOOKUP($A356,Weighting!$D$26:$G$30,MATCH(Segmented!$E$282,Weighting!$E$26:$H$26,0)+1,FALSE)</f>
        <v>0</v>
      </c>
      <c r="N356" s="31">
        <f>VLOOKUP($B356&amp;$C$282&amp;$G356,$E$6:$U$275,N$279,FALSE)*VLOOKUP($A356,Weighting!$D$26:$G$30,MATCH(Segmented!$C$282,Weighting!$E$26:$H$26,0)+1,FALSE)+VLOOKUP($B356&amp;$D$282&amp;$G356,$E$6:$U$275,N$279,FALSE)*VLOOKUP($A356,Weighting!$D$26:$G$30,MATCH(Segmented!$D$282,Weighting!$E$26:$H$26,0)+1,FALSE)+VLOOKUP($B356&amp;$E$282&amp;$G356,$E$6:$U$275,N$279,FALSE)*VLOOKUP($A356,Weighting!$D$26:$G$30,MATCH(Segmented!$E$282,Weighting!$E$26:$H$26,0)+1,FALSE)</f>
        <v>0</v>
      </c>
      <c r="O356">
        <f t="shared" si="25"/>
        <v>0</v>
      </c>
      <c r="P356" s="31">
        <f>VLOOKUP($B356&amp;$C$282&amp;$G356,$E$6:$U$275,P$279,FALSE)*VLOOKUP($A356,Weighting!$D$26:$G$30,MATCH(Segmented!$C$282,Weighting!$E$26:$H$26,0)+1,FALSE)+VLOOKUP($B356&amp;$D$282&amp;$G356,$E$6:$U$275,P$279,FALSE)*VLOOKUP($A356,Weighting!$D$26:$G$30,MATCH(Segmented!$D$282,Weighting!$E$26:$H$26,0)+1,FALSE)+VLOOKUP($B356&amp;$E$282&amp;$G356,$E$6:$U$275,P$279,FALSE)*VLOOKUP($A356,Weighting!$D$26:$G$30,MATCH(Segmented!$E$282,Weighting!$E$26:$H$26,0)+1,FALSE)</f>
        <v>0</v>
      </c>
      <c r="Q356">
        <f t="shared" si="26"/>
        <v>0</v>
      </c>
      <c r="R356" s="31">
        <f>VLOOKUP($B356&amp;$C$282&amp;$G356,$E$6:$U$275,R$279,FALSE)*VLOOKUP($A356,Weighting!$D$26:$G$30,MATCH(Segmented!$C$282,Weighting!$E$26:$H$26,0)+1,FALSE)+VLOOKUP($B356&amp;$D$282&amp;$G356,$E$6:$U$275,R$279,FALSE)*VLOOKUP($A356,Weighting!$D$26:$G$30,MATCH(Segmented!$D$282,Weighting!$E$26:$H$26,0)+1,FALSE)+VLOOKUP($B356&amp;$E$282&amp;$G356,$E$6:$U$275,R$279,FALSE)*VLOOKUP($A356,Weighting!$D$26:$G$30,MATCH(Segmented!$E$282,Weighting!$E$26:$H$26,0)+1,FALSE)</f>
        <v>0</v>
      </c>
      <c r="S356">
        <f t="shared" si="27"/>
        <v>0</v>
      </c>
      <c r="T356" s="31">
        <f>VLOOKUP($B356&amp;$C$282&amp;$G356,$E$6:$U$275,T$279,FALSE)*VLOOKUP($A356,Weighting!$D$26:$G$30,MATCH(Segmented!$C$282,Weighting!$E$26:$H$26,0)+1,FALSE)+VLOOKUP($B356&amp;$D$282&amp;$G356,$E$6:$U$275,T$279,FALSE)*VLOOKUP($A356,Weighting!$D$26:$G$30,MATCH(Segmented!$D$282,Weighting!$E$26:$H$26,0)+1,FALSE)+VLOOKUP($B356&amp;$E$282&amp;$G356,$E$6:$U$275,T$279,FALSE)*VLOOKUP($A356,Weighting!$D$26:$G$30,MATCH(Segmented!$E$282,Weighting!$E$26:$H$26,0)+1,FALSE)</f>
        <v>0</v>
      </c>
    </row>
    <row r="357" spans="1:20">
      <c r="A357" t="s">
        <v>228</v>
      </c>
      <c r="B357" t="s">
        <v>1359</v>
      </c>
      <c r="F357" s="55" t="str">
        <f t="shared" si="28"/>
        <v>ATTIC R0 - R38_Electric Zonal</v>
      </c>
      <c r="G357" s="54" t="s">
        <v>208</v>
      </c>
      <c r="H357" s="31">
        <f>VLOOKUP($B357&amp;$C$282&amp;$G357,$E$6:$U$275,H$279,FALSE)*VLOOKUP($A357,Weighting!$D$26:$G$30,MATCH(Segmented!$C$282,Weighting!$E$26:$H$26,0)+1,FALSE)+VLOOKUP($B357&amp;$D$282&amp;$G357,$E$6:$U$275,H$279,FALSE)*VLOOKUP($A357,Weighting!$D$26:$G$30,MATCH(Segmented!$D$282,Weighting!$E$26:$H$26,0)+1,FALSE)+VLOOKUP($B357&amp;$E$282&amp;$G357,$E$6:$U$275,H$279,FALSE)*VLOOKUP($A357,Weighting!$D$26:$G$30,MATCH(Segmented!$E$282,Weighting!$E$26:$H$26,0)+1,FALSE)</f>
        <v>143.82421446881312</v>
      </c>
      <c r="I357">
        <f t="shared" si="23"/>
        <v>45</v>
      </c>
      <c r="J357" s="31">
        <f>VLOOKUP($B357&amp;$C$282&amp;$G357,$E$6:$U$275,J$279,FALSE)*VLOOKUP($A357,Weighting!$D$26:$G$30,MATCH(Segmented!$C$282,Weighting!$E$26:$H$26,0)+1,FALSE)+VLOOKUP($B357&amp;$D$282&amp;$G357,$E$6:$U$275,J$279,FALSE)*VLOOKUP($A357,Weighting!$D$26:$G$30,MATCH(Segmented!$D$282,Weighting!$E$26:$H$26,0)+1,FALSE)+VLOOKUP($B357&amp;$E$282&amp;$G357,$E$6:$U$275,J$279,FALSE)*VLOOKUP($A357,Weighting!$D$26:$G$30,MATCH(Segmented!$E$282,Weighting!$E$26:$H$26,0)+1,FALSE)</f>
        <v>0</v>
      </c>
      <c r="K357" s="31">
        <f>VLOOKUP($B357&amp;$C$282&amp;$G357,$E$6:$U$275,K$279,FALSE)*VLOOKUP($A357,Weighting!$D$26:$G$30,MATCH(Segmented!$C$282,Weighting!$E$26:$H$26,0)+1,FALSE)+VLOOKUP($B357&amp;$D$282&amp;$G357,$E$6:$U$275,K$279,FALSE)*VLOOKUP($A357,Weighting!$D$26:$G$30,MATCH(Segmented!$D$282,Weighting!$E$26:$H$26,0)+1,FALSE)+VLOOKUP($B357&amp;$E$282&amp;$G357,$E$6:$U$275,K$279,FALSE)*VLOOKUP($A357,Weighting!$D$26:$G$30,MATCH(Segmented!$E$282,Weighting!$E$26:$H$26,0)+1,FALSE)</f>
        <v>0</v>
      </c>
      <c r="L357" t="str">
        <f t="shared" si="24"/>
        <v>ResSpHtBBZ3</v>
      </c>
      <c r="M357" s="31">
        <f>VLOOKUP($B357&amp;$C$282&amp;$G357,$E$6:$U$275,M$279,FALSE)*VLOOKUP($A357,Weighting!$D$26:$G$30,MATCH(Segmented!$C$282,Weighting!$E$26:$H$26,0)+1,FALSE)+VLOOKUP($B357&amp;$D$282&amp;$G357,$E$6:$U$275,M$279,FALSE)*VLOOKUP($A357,Weighting!$D$26:$G$30,MATCH(Segmented!$D$282,Weighting!$E$26:$H$26,0)+1,FALSE)+VLOOKUP($B357&amp;$E$282&amp;$G357,$E$6:$U$275,M$279,FALSE)*VLOOKUP($A357,Weighting!$D$26:$G$30,MATCH(Segmented!$E$282,Weighting!$E$26:$H$26,0)+1,FALSE)</f>
        <v>0</v>
      </c>
      <c r="N357" s="31">
        <f>VLOOKUP($B357&amp;$C$282&amp;$G357,$E$6:$U$275,N$279,FALSE)*VLOOKUP($A357,Weighting!$D$26:$G$30,MATCH(Segmented!$C$282,Weighting!$E$26:$H$26,0)+1,FALSE)+VLOOKUP($B357&amp;$D$282&amp;$G357,$E$6:$U$275,N$279,FALSE)*VLOOKUP($A357,Weighting!$D$26:$G$30,MATCH(Segmented!$D$282,Weighting!$E$26:$H$26,0)+1,FALSE)+VLOOKUP($B357&amp;$E$282&amp;$G357,$E$6:$U$275,N$279,FALSE)*VLOOKUP($A357,Weighting!$D$26:$G$30,MATCH(Segmented!$E$282,Weighting!$E$26:$H$26,0)+1,FALSE)</f>
        <v>0</v>
      </c>
      <c r="O357">
        <f t="shared" si="25"/>
        <v>0</v>
      </c>
      <c r="P357" s="31">
        <f>VLOOKUP($B357&amp;$C$282&amp;$G357,$E$6:$U$275,P$279,FALSE)*VLOOKUP($A357,Weighting!$D$26:$G$30,MATCH(Segmented!$C$282,Weighting!$E$26:$H$26,0)+1,FALSE)+VLOOKUP($B357&amp;$D$282&amp;$G357,$E$6:$U$275,P$279,FALSE)*VLOOKUP($A357,Weighting!$D$26:$G$30,MATCH(Segmented!$D$282,Weighting!$E$26:$H$26,0)+1,FALSE)+VLOOKUP($B357&amp;$E$282&amp;$G357,$E$6:$U$275,P$279,FALSE)*VLOOKUP($A357,Weighting!$D$26:$G$30,MATCH(Segmented!$E$282,Weighting!$E$26:$H$26,0)+1,FALSE)</f>
        <v>0</v>
      </c>
      <c r="Q357">
        <f t="shared" si="26"/>
        <v>0</v>
      </c>
      <c r="R357" s="31">
        <f>VLOOKUP($B357&amp;$C$282&amp;$G357,$E$6:$U$275,R$279,FALSE)*VLOOKUP($A357,Weighting!$D$26:$G$30,MATCH(Segmented!$C$282,Weighting!$E$26:$H$26,0)+1,FALSE)+VLOOKUP($B357&amp;$D$282&amp;$G357,$E$6:$U$275,R$279,FALSE)*VLOOKUP($A357,Weighting!$D$26:$G$30,MATCH(Segmented!$D$282,Weighting!$E$26:$H$26,0)+1,FALSE)+VLOOKUP($B357&amp;$E$282&amp;$G357,$E$6:$U$275,R$279,FALSE)*VLOOKUP($A357,Weighting!$D$26:$G$30,MATCH(Segmented!$E$282,Weighting!$E$26:$H$26,0)+1,FALSE)</f>
        <v>0</v>
      </c>
      <c r="S357">
        <f t="shared" si="27"/>
        <v>0</v>
      </c>
      <c r="T357" s="31">
        <f>VLOOKUP($B357&amp;$C$282&amp;$G357,$E$6:$U$275,T$279,FALSE)*VLOOKUP($A357,Weighting!$D$26:$G$30,MATCH(Segmented!$C$282,Weighting!$E$26:$H$26,0)+1,FALSE)+VLOOKUP($B357&amp;$D$282&amp;$G357,$E$6:$U$275,T$279,FALSE)*VLOOKUP($A357,Weighting!$D$26:$G$30,MATCH(Segmented!$D$282,Weighting!$E$26:$H$26,0)+1,FALSE)+VLOOKUP($B357&amp;$E$282&amp;$G357,$E$6:$U$275,T$279,FALSE)*VLOOKUP($A357,Weighting!$D$26:$G$30,MATCH(Segmented!$E$282,Weighting!$E$26:$H$26,0)+1,FALSE)</f>
        <v>0</v>
      </c>
    </row>
    <row r="358" spans="1:20">
      <c r="A358" t="s">
        <v>228</v>
      </c>
      <c r="B358" t="s">
        <v>1359</v>
      </c>
      <c r="F358" s="55" t="str">
        <f t="shared" si="28"/>
        <v>ATTIC R0 - R49_Electric Zonal</v>
      </c>
      <c r="G358" s="54" t="s">
        <v>210</v>
      </c>
      <c r="H358" s="31">
        <f>VLOOKUP($B358&amp;$C$282&amp;$G358,$E$6:$U$275,H$279,FALSE)*VLOOKUP($A358,Weighting!$D$26:$G$30,MATCH(Segmented!$C$282,Weighting!$E$26:$H$26,0)+1,FALSE)+VLOOKUP($B358&amp;$D$282&amp;$G358,$E$6:$U$275,H$279,FALSE)*VLOOKUP($A358,Weighting!$D$26:$G$30,MATCH(Segmented!$D$282,Weighting!$E$26:$H$26,0)+1,FALSE)+VLOOKUP($B358&amp;$E$282&amp;$G358,$E$6:$U$275,H$279,FALSE)*VLOOKUP($A358,Weighting!$D$26:$G$30,MATCH(Segmented!$E$282,Weighting!$E$26:$H$26,0)+1,FALSE)</f>
        <v>145.52520439309671</v>
      </c>
      <c r="I358">
        <f t="shared" si="23"/>
        <v>45</v>
      </c>
      <c r="J358" s="31">
        <f>VLOOKUP($B358&amp;$C$282&amp;$G358,$E$6:$U$275,J$279,FALSE)*VLOOKUP($A358,Weighting!$D$26:$G$30,MATCH(Segmented!$C$282,Weighting!$E$26:$H$26,0)+1,FALSE)+VLOOKUP($B358&amp;$D$282&amp;$G358,$E$6:$U$275,J$279,FALSE)*VLOOKUP($A358,Weighting!$D$26:$G$30,MATCH(Segmented!$D$282,Weighting!$E$26:$H$26,0)+1,FALSE)+VLOOKUP($B358&amp;$E$282&amp;$G358,$E$6:$U$275,J$279,FALSE)*VLOOKUP($A358,Weighting!$D$26:$G$30,MATCH(Segmented!$E$282,Weighting!$E$26:$H$26,0)+1,FALSE)</f>
        <v>0</v>
      </c>
      <c r="K358" s="31">
        <f>VLOOKUP($B358&amp;$C$282&amp;$G358,$E$6:$U$275,K$279,FALSE)*VLOOKUP($A358,Weighting!$D$26:$G$30,MATCH(Segmented!$C$282,Weighting!$E$26:$H$26,0)+1,FALSE)+VLOOKUP($B358&amp;$D$282&amp;$G358,$E$6:$U$275,K$279,FALSE)*VLOOKUP($A358,Weighting!$D$26:$G$30,MATCH(Segmented!$D$282,Weighting!$E$26:$H$26,0)+1,FALSE)+VLOOKUP($B358&amp;$E$282&amp;$G358,$E$6:$U$275,K$279,FALSE)*VLOOKUP($A358,Weighting!$D$26:$G$30,MATCH(Segmented!$E$282,Weighting!$E$26:$H$26,0)+1,FALSE)</f>
        <v>0</v>
      </c>
      <c r="L358" t="str">
        <f t="shared" si="24"/>
        <v>ResSpHtBBZ3</v>
      </c>
      <c r="M358" s="31">
        <f>VLOOKUP($B358&amp;$C$282&amp;$G358,$E$6:$U$275,M$279,FALSE)*VLOOKUP($A358,Weighting!$D$26:$G$30,MATCH(Segmented!$C$282,Weighting!$E$26:$H$26,0)+1,FALSE)+VLOOKUP($B358&amp;$D$282&amp;$G358,$E$6:$U$275,M$279,FALSE)*VLOOKUP($A358,Weighting!$D$26:$G$30,MATCH(Segmented!$D$282,Weighting!$E$26:$H$26,0)+1,FALSE)+VLOOKUP($B358&amp;$E$282&amp;$G358,$E$6:$U$275,M$279,FALSE)*VLOOKUP($A358,Weighting!$D$26:$G$30,MATCH(Segmented!$E$282,Weighting!$E$26:$H$26,0)+1,FALSE)</f>
        <v>0</v>
      </c>
      <c r="N358" s="31">
        <f>VLOOKUP($B358&amp;$C$282&amp;$G358,$E$6:$U$275,N$279,FALSE)*VLOOKUP($A358,Weighting!$D$26:$G$30,MATCH(Segmented!$C$282,Weighting!$E$26:$H$26,0)+1,FALSE)+VLOOKUP($B358&amp;$D$282&amp;$G358,$E$6:$U$275,N$279,FALSE)*VLOOKUP($A358,Weighting!$D$26:$G$30,MATCH(Segmented!$D$282,Weighting!$E$26:$H$26,0)+1,FALSE)+VLOOKUP($B358&amp;$E$282&amp;$G358,$E$6:$U$275,N$279,FALSE)*VLOOKUP($A358,Weighting!$D$26:$G$30,MATCH(Segmented!$E$282,Weighting!$E$26:$H$26,0)+1,FALSE)</f>
        <v>0</v>
      </c>
      <c r="O358">
        <f t="shared" si="25"/>
        <v>0</v>
      </c>
      <c r="P358" s="31">
        <f>VLOOKUP($B358&amp;$C$282&amp;$G358,$E$6:$U$275,P$279,FALSE)*VLOOKUP($A358,Weighting!$D$26:$G$30,MATCH(Segmented!$C$282,Weighting!$E$26:$H$26,0)+1,FALSE)+VLOOKUP($B358&amp;$D$282&amp;$G358,$E$6:$U$275,P$279,FALSE)*VLOOKUP($A358,Weighting!$D$26:$G$30,MATCH(Segmented!$D$282,Weighting!$E$26:$H$26,0)+1,FALSE)+VLOOKUP($B358&amp;$E$282&amp;$G358,$E$6:$U$275,P$279,FALSE)*VLOOKUP($A358,Weighting!$D$26:$G$30,MATCH(Segmented!$E$282,Weighting!$E$26:$H$26,0)+1,FALSE)</f>
        <v>0</v>
      </c>
      <c r="Q358">
        <f t="shared" si="26"/>
        <v>0</v>
      </c>
      <c r="R358" s="31">
        <f>VLOOKUP($B358&amp;$C$282&amp;$G358,$E$6:$U$275,R$279,FALSE)*VLOOKUP($A358,Weighting!$D$26:$G$30,MATCH(Segmented!$C$282,Weighting!$E$26:$H$26,0)+1,FALSE)+VLOOKUP($B358&amp;$D$282&amp;$G358,$E$6:$U$275,R$279,FALSE)*VLOOKUP($A358,Weighting!$D$26:$G$30,MATCH(Segmented!$D$282,Weighting!$E$26:$H$26,0)+1,FALSE)+VLOOKUP($B358&amp;$E$282&amp;$G358,$E$6:$U$275,R$279,FALSE)*VLOOKUP($A358,Weighting!$D$26:$G$30,MATCH(Segmented!$E$282,Weighting!$E$26:$H$26,0)+1,FALSE)</f>
        <v>0</v>
      </c>
      <c r="S358">
        <f t="shared" si="27"/>
        <v>0</v>
      </c>
      <c r="T358" s="31">
        <f>VLOOKUP($B358&amp;$C$282&amp;$G358,$E$6:$U$275,T$279,FALSE)*VLOOKUP($A358,Weighting!$D$26:$G$30,MATCH(Segmented!$C$282,Weighting!$E$26:$H$26,0)+1,FALSE)+VLOOKUP($B358&amp;$D$282&amp;$G358,$E$6:$U$275,T$279,FALSE)*VLOOKUP($A358,Weighting!$D$26:$G$30,MATCH(Segmented!$D$282,Weighting!$E$26:$H$26,0)+1,FALSE)+VLOOKUP($B358&amp;$E$282&amp;$G358,$E$6:$U$275,T$279,FALSE)*VLOOKUP($A358,Weighting!$D$26:$G$30,MATCH(Segmented!$E$282,Weighting!$E$26:$H$26,0)+1,FALSE)</f>
        <v>0</v>
      </c>
    </row>
    <row r="359" spans="1:20">
      <c r="A359" t="s">
        <v>228</v>
      </c>
      <c r="B359" t="s">
        <v>1359</v>
      </c>
      <c r="F359" s="55" t="str">
        <f t="shared" si="28"/>
        <v>ATTIC R11 - R38_Electric Zonal</v>
      </c>
      <c r="G359" s="54" t="s">
        <v>211</v>
      </c>
      <c r="H359" s="31">
        <f>VLOOKUP($B359&amp;$C$282&amp;$G359,$E$6:$U$275,H$279,FALSE)*VLOOKUP($A359,Weighting!$D$26:$G$30,MATCH(Segmented!$C$282,Weighting!$E$26:$H$26,0)+1,FALSE)+VLOOKUP($B359&amp;$D$282&amp;$G359,$E$6:$U$275,H$279,FALSE)*VLOOKUP($A359,Weighting!$D$26:$G$30,MATCH(Segmented!$D$282,Weighting!$E$26:$H$26,0)+1,FALSE)+VLOOKUP($B359&amp;$E$282&amp;$G359,$E$6:$U$275,H$279,FALSE)*VLOOKUP($A359,Weighting!$D$26:$G$30,MATCH(Segmented!$E$282,Weighting!$E$26:$H$26,0)+1,FALSE)</f>
        <v>20.682562801409109</v>
      </c>
      <c r="I359">
        <f t="shared" si="23"/>
        <v>45</v>
      </c>
      <c r="J359" s="31">
        <f>VLOOKUP($B359&amp;$C$282&amp;$G359,$E$6:$U$275,J$279,FALSE)*VLOOKUP($A359,Weighting!$D$26:$G$30,MATCH(Segmented!$C$282,Weighting!$E$26:$H$26,0)+1,FALSE)+VLOOKUP($B359&amp;$D$282&amp;$G359,$E$6:$U$275,J$279,FALSE)*VLOOKUP($A359,Weighting!$D$26:$G$30,MATCH(Segmented!$D$282,Weighting!$E$26:$H$26,0)+1,FALSE)+VLOOKUP($B359&amp;$E$282&amp;$G359,$E$6:$U$275,J$279,FALSE)*VLOOKUP($A359,Weighting!$D$26:$G$30,MATCH(Segmented!$E$282,Weighting!$E$26:$H$26,0)+1,FALSE)</f>
        <v>0</v>
      </c>
      <c r="K359" s="31">
        <f>VLOOKUP($B359&amp;$C$282&amp;$G359,$E$6:$U$275,K$279,FALSE)*VLOOKUP($A359,Weighting!$D$26:$G$30,MATCH(Segmented!$C$282,Weighting!$E$26:$H$26,0)+1,FALSE)+VLOOKUP($B359&amp;$D$282&amp;$G359,$E$6:$U$275,K$279,FALSE)*VLOOKUP($A359,Weighting!$D$26:$G$30,MATCH(Segmented!$D$282,Weighting!$E$26:$H$26,0)+1,FALSE)+VLOOKUP($B359&amp;$E$282&amp;$G359,$E$6:$U$275,K$279,FALSE)*VLOOKUP($A359,Weighting!$D$26:$G$30,MATCH(Segmented!$E$282,Weighting!$E$26:$H$26,0)+1,FALSE)</f>
        <v>0</v>
      </c>
      <c r="L359" t="str">
        <f t="shared" si="24"/>
        <v>ResSpHtBBZ3</v>
      </c>
      <c r="M359" s="31">
        <f>VLOOKUP($B359&amp;$C$282&amp;$G359,$E$6:$U$275,M$279,FALSE)*VLOOKUP($A359,Weighting!$D$26:$G$30,MATCH(Segmented!$C$282,Weighting!$E$26:$H$26,0)+1,FALSE)+VLOOKUP($B359&amp;$D$282&amp;$G359,$E$6:$U$275,M$279,FALSE)*VLOOKUP($A359,Weighting!$D$26:$G$30,MATCH(Segmented!$D$282,Weighting!$E$26:$H$26,0)+1,FALSE)+VLOOKUP($B359&amp;$E$282&amp;$G359,$E$6:$U$275,M$279,FALSE)*VLOOKUP($A359,Weighting!$D$26:$G$30,MATCH(Segmented!$E$282,Weighting!$E$26:$H$26,0)+1,FALSE)</f>
        <v>0</v>
      </c>
      <c r="N359" s="31">
        <f>VLOOKUP($B359&amp;$C$282&amp;$G359,$E$6:$U$275,N$279,FALSE)*VLOOKUP($A359,Weighting!$D$26:$G$30,MATCH(Segmented!$C$282,Weighting!$E$26:$H$26,0)+1,FALSE)+VLOOKUP($B359&amp;$D$282&amp;$G359,$E$6:$U$275,N$279,FALSE)*VLOOKUP($A359,Weighting!$D$26:$G$30,MATCH(Segmented!$D$282,Weighting!$E$26:$H$26,0)+1,FALSE)+VLOOKUP($B359&amp;$E$282&amp;$G359,$E$6:$U$275,N$279,FALSE)*VLOOKUP($A359,Weighting!$D$26:$G$30,MATCH(Segmented!$E$282,Weighting!$E$26:$H$26,0)+1,FALSE)</f>
        <v>0</v>
      </c>
      <c r="O359">
        <f t="shared" si="25"/>
        <v>0</v>
      </c>
      <c r="P359" s="31">
        <f>VLOOKUP($B359&amp;$C$282&amp;$G359,$E$6:$U$275,P$279,FALSE)*VLOOKUP($A359,Weighting!$D$26:$G$30,MATCH(Segmented!$C$282,Weighting!$E$26:$H$26,0)+1,FALSE)+VLOOKUP($B359&amp;$D$282&amp;$G359,$E$6:$U$275,P$279,FALSE)*VLOOKUP($A359,Weighting!$D$26:$G$30,MATCH(Segmented!$D$282,Weighting!$E$26:$H$26,0)+1,FALSE)+VLOOKUP($B359&amp;$E$282&amp;$G359,$E$6:$U$275,P$279,FALSE)*VLOOKUP($A359,Weighting!$D$26:$G$30,MATCH(Segmented!$E$282,Weighting!$E$26:$H$26,0)+1,FALSE)</f>
        <v>0</v>
      </c>
      <c r="Q359">
        <f t="shared" si="26"/>
        <v>0</v>
      </c>
      <c r="R359" s="31">
        <f>VLOOKUP($B359&amp;$C$282&amp;$G359,$E$6:$U$275,R$279,FALSE)*VLOOKUP($A359,Weighting!$D$26:$G$30,MATCH(Segmented!$C$282,Weighting!$E$26:$H$26,0)+1,FALSE)+VLOOKUP($B359&amp;$D$282&amp;$G359,$E$6:$U$275,R$279,FALSE)*VLOOKUP($A359,Weighting!$D$26:$G$30,MATCH(Segmented!$D$282,Weighting!$E$26:$H$26,0)+1,FALSE)+VLOOKUP($B359&amp;$E$282&amp;$G359,$E$6:$U$275,R$279,FALSE)*VLOOKUP($A359,Weighting!$D$26:$G$30,MATCH(Segmented!$E$282,Weighting!$E$26:$H$26,0)+1,FALSE)</f>
        <v>0</v>
      </c>
      <c r="S359">
        <f t="shared" si="27"/>
        <v>0</v>
      </c>
      <c r="T359" s="31">
        <f>VLOOKUP($B359&amp;$C$282&amp;$G359,$E$6:$U$275,T$279,FALSE)*VLOOKUP($A359,Weighting!$D$26:$G$30,MATCH(Segmented!$C$282,Weighting!$E$26:$H$26,0)+1,FALSE)+VLOOKUP($B359&amp;$D$282&amp;$G359,$E$6:$U$275,T$279,FALSE)*VLOOKUP($A359,Weighting!$D$26:$G$30,MATCH(Segmented!$D$282,Weighting!$E$26:$H$26,0)+1,FALSE)+VLOOKUP($B359&amp;$E$282&amp;$G359,$E$6:$U$275,T$279,FALSE)*VLOOKUP($A359,Weighting!$D$26:$G$30,MATCH(Segmented!$E$282,Weighting!$E$26:$H$26,0)+1,FALSE)</f>
        <v>0</v>
      </c>
    </row>
    <row r="360" spans="1:20">
      <c r="A360" t="s">
        <v>228</v>
      </c>
      <c r="B360" t="s">
        <v>1359</v>
      </c>
      <c r="F360" s="55" t="str">
        <f t="shared" si="28"/>
        <v>ATTIC R11 - R49_Electric Zonal</v>
      </c>
      <c r="G360" s="54" t="s">
        <v>212</v>
      </c>
      <c r="H360" s="31">
        <f>VLOOKUP($B360&amp;$C$282&amp;$G360,$E$6:$U$275,H$279,FALSE)*VLOOKUP($A360,Weighting!$D$26:$G$30,MATCH(Segmented!$C$282,Weighting!$E$26:$H$26,0)+1,FALSE)+VLOOKUP($B360&amp;$D$282&amp;$G360,$E$6:$U$275,H$279,FALSE)*VLOOKUP($A360,Weighting!$D$26:$G$30,MATCH(Segmented!$D$282,Weighting!$E$26:$H$26,0)+1,FALSE)+VLOOKUP($B360&amp;$E$282&amp;$G360,$E$6:$U$275,H$279,FALSE)*VLOOKUP($A360,Weighting!$D$26:$G$30,MATCH(Segmented!$E$282,Weighting!$E$26:$H$26,0)+1,FALSE)</f>
        <v>22.383552725692695</v>
      </c>
      <c r="I360">
        <f t="shared" si="23"/>
        <v>45</v>
      </c>
      <c r="J360" s="31">
        <f>VLOOKUP($B360&amp;$C$282&amp;$G360,$E$6:$U$275,J$279,FALSE)*VLOOKUP($A360,Weighting!$D$26:$G$30,MATCH(Segmented!$C$282,Weighting!$E$26:$H$26,0)+1,FALSE)+VLOOKUP($B360&amp;$D$282&amp;$G360,$E$6:$U$275,J$279,FALSE)*VLOOKUP($A360,Weighting!$D$26:$G$30,MATCH(Segmented!$D$282,Weighting!$E$26:$H$26,0)+1,FALSE)+VLOOKUP($B360&amp;$E$282&amp;$G360,$E$6:$U$275,J$279,FALSE)*VLOOKUP($A360,Weighting!$D$26:$G$30,MATCH(Segmented!$E$282,Weighting!$E$26:$H$26,0)+1,FALSE)</f>
        <v>0</v>
      </c>
      <c r="K360" s="31">
        <f>VLOOKUP($B360&amp;$C$282&amp;$G360,$E$6:$U$275,K$279,FALSE)*VLOOKUP($A360,Weighting!$D$26:$G$30,MATCH(Segmented!$C$282,Weighting!$E$26:$H$26,0)+1,FALSE)+VLOOKUP($B360&amp;$D$282&amp;$G360,$E$6:$U$275,K$279,FALSE)*VLOOKUP($A360,Weighting!$D$26:$G$30,MATCH(Segmented!$D$282,Weighting!$E$26:$H$26,0)+1,FALSE)+VLOOKUP($B360&amp;$E$282&amp;$G360,$E$6:$U$275,K$279,FALSE)*VLOOKUP($A360,Weighting!$D$26:$G$30,MATCH(Segmented!$E$282,Weighting!$E$26:$H$26,0)+1,FALSE)</f>
        <v>0</v>
      </c>
      <c r="L360" t="str">
        <f t="shared" si="24"/>
        <v>ResSpHtBBZ3</v>
      </c>
      <c r="M360" s="31">
        <f>VLOOKUP($B360&amp;$C$282&amp;$G360,$E$6:$U$275,M$279,FALSE)*VLOOKUP($A360,Weighting!$D$26:$G$30,MATCH(Segmented!$C$282,Weighting!$E$26:$H$26,0)+1,FALSE)+VLOOKUP($B360&amp;$D$282&amp;$G360,$E$6:$U$275,M$279,FALSE)*VLOOKUP($A360,Weighting!$D$26:$G$30,MATCH(Segmented!$D$282,Weighting!$E$26:$H$26,0)+1,FALSE)+VLOOKUP($B360&amp;$E$282&amp;$G360,$E$6:$U$275,M$279,FALSE)*VLOOKUP($A360,Weighting!$D$26:$G$30,MATCH(Segmented!$E$282,Weighting!$E$26:$H$26,0)+1,FALSE)</f>
        <v>0</v>
      </c>
      <c r="N360" s="31">
        <f>VLOOKUP($B360&amp;$C$282&amp;$G360,$E$6:$U$275,N$279,FALSE)*VLOOKUP($A360,Weighting!$D$26:$G$30,MATCH(Segmented!$C$282,Weighting!$E$26:$H$26,0)+1,FALSE)+VLOOKUP($B360&amp;$D$282&amp;$G360,$E$6:$U$275,N$279,FALSE)*VLOOKUP($A360,Weighting!$D$26:$G$30,MATCH(Segmented!$D$282,Weighting!$E$26:$H$26,0)+1,FALSE)+VLOOKUP($B360&amp;$E$282&amp;$G360,$E$6:$U$275,N$279,FALSE)*VLOOKUP($A360,Weighting!$D$26:$G$30,MATCH(Segmented!$E$282,Weighting!$E$26:$H$26,0)+1,FALSE)</f>
        <v>0</v>
      </c>
      <c r="O360">
        <f t="shared" si="25"/>
        <v>0</v>
      </c>
      <c r="P360" s="31">
        <f>VLOOKUP($B360&amp;$C$282&amp;$G360,$E$6:$U$275,P$279,FALSE)*VLOOKUP($A360,Weighting!$D$26:$G$30,MATCH(Segmented!$C$282,Weighting!$E$26:$H$26,0)+1,FALSE)+VLOOKUP($B360&amp;$D$282&amp;$G360,$E$6:$U$275,P$279,FALSE)*VLOOKUP($A360,Weighting!$D$26:$G$30,MATCH(Segmented!$D$282,Weighting!$E$26:$H$26,0)+1,FALSE)+VLOOKUP($B360&amp;$E$282&amp;$G360,$E$6:$U$275,P$279,FALSE)*VLOOKUP($A360,Weighting!$D$26:$G$30,MATCH(Segmented!$E$282,Weighting!$E$26:$H$26,0)+1,FALSE)</f>
        <v>0</v>
      </c>
      <c r="Q360">
        <f t="shared" si="26"/>
        <v>0</v>
      </c>
      <c r="R360" s="31">
        <f>VLOOKUP($B360&amp;$C$282&amp;$G360,$E$6:$U$275,R$279,FALSE)*VLOOKUP($A360,Weighting!$D$26:$G$30,MATCH(Segmented!$C$282,Weighting!$E$26:$H$26,0)+1,FALSE)+VLOOKUP($B360&amp;$D$282&amp;$G360,$E$6:$U$275,R$279,FALSE)*VLOOKUP($A360,Weighting!$D$26:$G$30,MATCH(Segmented!$D$282,Weighting!$E$26:$H$26,0)+1,FALSE)+VLOOKUP($B360&amp;$E$282&amp;$G360,$E$6:$U$275,R$279,FALSE)*VLOOKUP($A360,Weighting!$D$26:$G$30,MATCH(Segmented!$E$282,Weighting!$E$26:$H$26,0)+1,FALSE)</f>
        <v>0</v>
      </c>
      <c r="S360">
        <f t="shared" si="27"/>
        <v>0</v>
      </c>
      <c r="T360" s="31">
        <f>VLOOKUP($B360&amp;$C$282&amp;$G360,$E$6:$U$275,T$279,FALSE)*VLOOKUP($A360,Weighting!$D$26:$G$30,MATCH(Segmented!$C$282,Weighting!$E$26:$H$26,0)+1,FALSE)+VLOOKUP($B360&amp;$D$282&amp;$G360,$E$6:$U$275,T$279,FALSE)*VLOOKUP($A360,Weighting!$D$26:$G$30,MATCH(Segmented!$D$282,Weighting!$E$26:$H$26,0)+1,FALSE)+VLOOKUP($B360&amp;$E$282&amp;$G360,$E$6:$U$275,T$279,FALSE)*VLOOKUP($A360,Weighting!$D$26:$G$30,MATCH(Segmented!$E$282,Weighting!$E$26:$H$26,0)+1,FALSE)</f>
        <v>0</v>
      </c>
    </row>
    <row r="361" spans="1:20">
      <c r="A361" t="s">
        <v>228</v>
      </c>
      <c r="B361" t="s">
        <v>1359</v>
      </c>
      <c r="F361" s="55" t="str">
        <f t="shared" si="28"/>
        <v>ATTIC R19 - R38_Electric Zonal</v>
      </c>
      <c r="G361" s="54" t="s">
        <v>213</v>
      </c>
      <c r="H361" s="31">
        <f>VLOOKUP($B361&amp;$C$282&amp;$G361,$E$6:$U$275,H$279,FALSE)*VLOOKUP($A361,Weighting!$D$26:$G$30,MATCH(Segmented!$C$282,Weighting!$E$26:$H$26,0)+1,FALSE)+VLOOKUP($B361&amp;$D$282&amp;$G361,$E$6:$U$275,H$279,FALSE)*VLOOKUP($A361,Weighting!$D$26:$G$30,MATCH(Segmented!$D$282,Weighting!$E$26:$H$26,0)+1,FALSE)+VLOOKUP($B361&amp;$E$282&amp;$G361,$E$6:$U$275,H$279,FALSE)*VLOOKUP($A361,Weighting!$D$26:$G$30,MATCH(Segmented!$E$282,Weighting!$E$26:$H$26,0)+1,FALSE)</f>
        <v>8.4280084048355715</v>
      </c>
      <c r="I361">
        <f t="shared" si="23"/>
        <v>45</v>
      </c>
      <c r="J361" s="31">
        <f>VLOOKUP($B361&amp;$C$282&amp;$G361,$E$6:$U$275,J$279,FALSE)*VLOOKUP($A361,Weighting!$D$26:$G$30,MATCH(Segmented!$C$282,Weighting!$E$26:$H$26,0)+1,FALSE)+VLOOKUP($B361&amp;$D$282&amp;$G361,$E$6:$U$275,J$279,FALSE)*VLOOKUP($A361,Weighting!$D$26:$G$30,MATCH(Segmented!$D$282,Weighting!$E$26:$H$26,0)+1,FALSE)+VLOOKUP($B361&amp;$E$282&amp;$G361,$E$6:$U$275,J$279,FALSE)*VLOOKUP($A361,Weighting!$D$26:$G$30,MATCH(Segmented!$E$282,Weighting!$E$26:$H$26,0)+1,FALSE)</f>
        <v>0</v>
      </c>
      <c r="K361" s="31">
        <f>VLOOKUP($B361&amp;$C$282&amp;$G361,$E$6:$U$275,K$279,FALSE)*VLOOKUP($A361,Weighting!$D$26:$G$30,MATCH(Segmented!$C$282,Weighting!$E$26:$H$26,0)+1,FALSE)+VLOOKUP($B361&amp;$D$282&amp;$G361,$E$6:$U$275,K$279,FALSE)*VLOOKUP($A361,Weighting!$D$26:$G$30,MATCH(Segmented!$D$282,Weighting!$E$26:$H$26,0)+1,FALSE)+VLOOKUP($B361&amp;$E$282&amp;$G361,$E$6:$U$275,K$279,FALSE)*VLOOKUP($A361,Weighting!$D$26:$G$30,MATCH(Segmented!$E$282,Weighting!$E$26:$H$26,0)+1,FALSE)</f>
        <v>0</v>
      </c>
      <c r="L361" t="str">
        <f t="shared" si="24"/>
        <v>ResSpHtBBZ3</v>
      </c>
      <c r="M361" s="31">
        <f>VLOOKUP($B361&amp;$C$282&amp;$G361,$E$6:$U$275,M$279,FALSE)*VLOOKUP($A361,Weighting!$D$26:$G$30,MATCH(Segmented!$C$282,Weighting!$E$26:$H$26,0)+1,FALSE)+VLOOKUP($B361&amp;$D$282&amp;$G361,$E$6:$U$275,M$279,FALSE)*VLOOKUP($A361,Weighting!$D$26:$G$30,MATCH(Segmented!$D$282,Weighting!$E$26:$H$26,0)+1,FALSE)+VLOOKUP($B361&amp;$E$282&amp;$G361,$E$6:$U$275,M$279,FALSE)*VLOOKUP($A361,Weighting!$D$26:$G$30,MATCH(Segmented!$E$282,Weighting!$E$26:$H$26,0)+1,FALSE)</f>
        <v>0</v>
      </c>
      <c r="N361" s="31">
        <f>VLOOKUP($B361&amp;$C$282&amp;$G361,$E$6:$U$275,N$279,FALSE)*VLOOKUP($A361,Weighting!$D$26:$G$30,MATCH(Segmented!$C$282,Weighting!$E$26:$H$26,0)+1,FALSE)+VLOOKUP($B361&amp;$D$282&amp;$G361,$E$6:$U$275,N$279,FALSE)*VLOOKUP($A361,Weighting!$D$26:$G$30,MATCH(Segmented!$D$282,Weighting!$E$26:$H$26,0)+1,FALSE)+VLOOKUP($B361&amp;$E$282&amp;$G361,$E$6:$U$275,N$279,FALSE)*VLOOKUP($A361,Weighting!$D$26:$G$30,MATCH(Segmented!$E$282,Weighting!$E$26:$H$26,0)+1,FALSE)</f>
        <v>0</v>
      </c>
      <c r="O361">
        <f t="shared" si="25"/>
        <v>0</v>
      </c>
      <c r="P361" s="31">
        <f>VLOOKUP($B361&amp;$C$282&amp;$G361,$E$6:$U$275,P$279,FALSE)*VLOOKUP($A361,Weighting!$D$26:$G$30,MATCH(Segmented!$C$282,Weighting!$E$26:$H$26,0)+1,FALSE)+VLOOKUP($B361&amp;$D$282&amp;$G361,$E$6:$U$275,P$279,FALSE)*VLOOKUP($A361,Weighting!$D$26:$G$30,MATCH(Segmented!$D$282,Weighting!$E$26:$H$26,0)+1,FALSE)+VLOOKUP($B361&amp;$E$282&amp;$G361,$E$6:$U$275,P$279,FALSE)*VLOOKUP($A361,Weighting!$D$26:$G$30,MATCH(Segmented!$E$282,Weighting!$E$26:$H$26,0)+1,FALSE)</f>
        <v>0</v>
      </c>
      <c r="Q361">
        <f t="shared" si="26"/>
        <v>0</v>
      </c>
      <c r="R361" s="31">
        <f>VLOOKUP($B361&amp;$C$282&amp;$G361,$E$6:$U$275,R$279,FALSE)*VLOOKUP($A361,Weighting!$D$26:$G$30,MATCH(Segmented!$C$282,Weighting!$E$26:$H$26,0)+1,FALSE)+VLOOKUP($B361&amp;$D$282&amp;$G361,$E$6:$U$275,R$279,FALSE)*VLOOKUP($A361,Weighting!$D$26:$G$30,MATCH(Segmented!$D$282,Weighting!$E$26:$H$26,0)+1,FALSE)+VLOOKUP($B361&amp;$E$282&amp;$G361,$E$6:$U$275,R$279,FALSE)*VLOOKUP($A361,Weighting!$D$26:$G$30,MATCH(Segmented!$E$282,Weighting!$E$26:$H$26,0)+1,FALSE)</f>
        <v>0</v>
      </c>
      <c r="S361">
        <f t="shared" si="27"/>
        <v>0</v>
      </c>
      <c r="T361" s="31">
        <f>VLOOKUP($B361&amp;$C$282&amp;$G361,$E$6:$U$275,T$279,FALSE)*VLOOKUP($A361,Weighting!$D$26:$G$30,MATCH(Segmented!$C$282,Weighting!$E$26:$H$26,0)+1,FALSE)+VLOOKUP($B361&amp;$D$282&amp;$G361,$E$6:$U$275,T$279,FALSE)*VLOOKUP($A361,Weighting!$D$26:$G$30,MATCH(Segmented!$D$282,Weighting!$E$26:$H$26,0)+1,FALSE)+VLOOKUP($B361&amp;$E$282&amp;$G361,$E$6:$U$275,T$279,FALSE)*VLOOKUP($A361,Weighting!$D$26:$G$30,MATCH(Segmented!$E$282,Weighting!$E$26:$H$26,0)+1,FALSE)</f>
        <v>0</v>
      </c>
    </row>
    <row r="362" spans="1:20">
      <c r="A362" t="s">
        <v>228</v>
      </c>
      <c r="B362" t="s">
        <v>1359</v>
      </c>
      <c r="F362" s="55" t="str">
        <f t="shared" si="28"/>
        <v>ATTIC R19 - R49_Electric Zonal</v>
      </c>
      <c r="G362" s="54" t="s">
        <v>214</v>
      </c>
      <c r="H362" s="31">
        <f>VLOOKUP($B362&amp;$C$282&amp;$G362,$E$6:$U$275,H$279,FALSE)*VLOOKUP($A362,Weighting!$D$26:$G$30,MATCH(Segmented!$C$282,Weighting!$E$26:$H$26,0)+1,FALSE)+VLOOKUP($B362&amp;$D$282&amp;$G362,$E$6:$U$275,H$279,FALSE)*VLOOKUP($A362,Weighting!$D$26:$G$30,MATCH(Segmented!$D$282,Weighting!$E$26:$H$26,0)+1,FALSE)+VLOOKUP($B362&amp;$E$282&amp;$G362,$E$6:$U$275,H$279,FALSE)*VLOOKUP($A362,Weighting!$D$26:$G$30,MATCH(Segmented!$E$282,Weighting!$E$26:$H$26,0)+1,FALSE)</f>
        <v>10.128998329119161</v>
      </c>
      <c r="I362">
        <f t="shared" si="23"/>
        <v>45</v>
      </c>
      <c r="J362" s="31">
        <f>VLOOKUP($B362&amp;$C$282&amp;$G362,$E$6:$U$275,J$279,FALSE)*VLOOKUP($A362,Weighting!$D$26:$G$30,MATCH(Segmented!$C$282,Weighting!$E$26:$H$26,0)+1,FALSE)+VLOOKUP($B362&amp;$D$282&amp;$G362,$E$6:$U$275,J$279,FALSE)*VLOOKUP($A362,Weighting!$D$26:$G$30,MATCH(Segmented!$D$282,Weighting!$E$26:$H$26,0)+1,FALSE)+VLOOKUP($B362&amp;$E$282&amp;$G362,$E$6:$U$275,J$279,FALSE)*VLOOKUP($A362,Weighting!$D$26:$G$30,MATCH(Segmented!$E$282,Weighting!$E$26:$H$26,0)+1,FALSE)</f>
        <v>0</v>
      </c>
      <c r="K362" s="31">
        <f>VLOOKUP($B362&amp;$C$282&amp;$G362,$E$6:$U$275,K$279,FALSE)*VLOOKUP($A362,Weighting!$D$26:$G$30,MATCH(Segmented!$C$282,Weighting!$E$26:$H$26,0)+1,FALSE)+VLOOKUP($B362&amp;$D$282&amp;$G362,$E$6:$U$275,K$279,FALSE)*VLOOKUP($A362,Weighting!$D$26:$G$30,MATCH(Segmented!$D$282,Weighting!$E$26:$H$26,0)+1,FALSE)+VLOOKUP($B362&amp;$E$282&amp;$G362,$E$6:$U$275,K$279,FALSE)*VLOOKUP($A362,Weighting!$D$26:$G$30,MATCH(Segmented!$E$282,Weighting!$E$26:$H$26,0)+1,FALSE)</f>
        <v>0</v>
      </c>
      <c r="L362" t="str">
        <f t="shared" si="24"/>
        <v>ResSpHtBBZ3</v>
      </c>
      <c r="M362" s="31">
        <f>VLOOKUP($B362&amp;$C$282&amp;$G362,$E$6:$U$275,M$279,FALSE)*VLOOKUP($A362,Weighting!$D$26:$G$30,MATCH(Segmented!$C$282,Weighting!$E$26:$H$26,0)+1,FALSE)+VLOOKUP($B362&amp;$D$282&amp;$G362,$E$6:$U$275,M$279,FALSE)*VLOOKUP($A362,Weighting!$D$26:$G$30,MATCH(Segmented!$D$282,Weighting!$E$26:$H$26,0)+1,FALSE)+VLOOKUP($B362&amp;$E$282&amp;$G362,$E$6:$U$275,M$279,FALSE)*VLOOKUP($A362,Weighting!$D$26:$G$30,MATCH(Segmented!$E$282,Weighting!$E$26:$H$26,0)+1,FALSE)</f>
        <v>0</v>
      </c>
      <c r="N362" s="31">
        <f>VLOOKUP($B362&amp;$C$282&amp;$G362,$E$6:$U$275,N$279,FALSE)*VLOOKUP($A362,Weighting!$D$26:$G$30,MATCH(Segmented!$C$282,Weighting!$E$26:$H$26,0)+1,FALSE)+VLOOKUP($B362&amp;$D$282&amp;$G362,$E$6:$U$275,N$279,FALSE)*VLOOKUP($A362,Weighting!$D$26:$G$30,MATCH(Segmented!$D$282,Weighting!$E$26:$H$26,0)+1,FALSE)+VLOOKUP($B362&amp;$E$282&amp;$G362,$E$6:$U$275,N$279,FALSE)*VLOOKUP($A362,Weighting!$D$26:$G$30,MATCH(Segmented!$E$282,Weighting!$E$26:$H$26,0)+1,FALSE)</f>
        <v>0</v>
      </c>
      <c r="O362">
        <f t="shared" si="25"/>
        <v>0</v>
      </c>
      <c r="P362" s="31">
        <f>VLOOKUP($B362&amp;$C$282&amp;$G362,$E$6:$U$275,P$279,FALSE)*VLOOKUP($A362,Weighting!$D$26:$G$30,MATCH(Segmented!$C$282,Weighting!$E$26:$H$26,0)+1,FALSE)+VLOOKUP($B362&amp;$D$282&amp;$G362,$E$6:$U$275,P$279,FALSE)*VLOOKUP($A362,Weighting!$D$26:$G$30,MATCH(Segmented!$D$282,Weighting!$E$26:$H$26,0)+1,FALSE)+VLOOKUP($B362&amp;$E$282&amp;$G362,$E$6:$U$275,P$279,FALSE)*VLOOKUP($A362,Weighting!$D$26:$G$30,MATCH(Segmented!$E$282,Weighting!$E$26:$H$26,0)+1,FALSE)</f>
        <v>0</v>
      </c>
      <c r="Q362">
        <f t="shared" si="26"/>
        <v>0</v>
      </c>
      <c r="R362" s="31">
        <f>VLOOKUP($B362&amp;$C$282&amp;$G362,$E$6:$U$275,R$279,FALSE)*VLOOKUP($A362,Weighting!$D$26:$G$30,MATCH(Segmented!$C$282,Weighting!$E$26:$H$26,0)+1,FALSE)+VLOOKUP($B362&amp;$D$282&amp;$G362,$E$6:$U$275,R$279,FALSE)*VLOOKUP($A362,Weighting!$D$26:$G$30,MATCH(Segmented!$D$282,Weighting!$E$26:$H$26,0)+1,FALSE)+VLOOKUP($B362&amp;$E$282&amp;$G362,$E$6:$U$275,R$279,FALSE)*VLOOKUP($A362,Weighting!$D$26:$G$30,MATCH(Segmented!$E$282,Weighting!$E$26:$H$26,0)+1,FALSE)</f>
        <v>0</v>
      </c>
      <c r="S362">
        <f t="shared" si="27"/>
        <v>0</v>
      </c>
      <c r="T362" s="31">
        <f>VLOOKUP($B362&amp;$C$282&amp;$G362,$E$6:$U$275,T$279,FALSE)*VLOOKUP($A362,Weighting!$D$26:$G$30,MATCH(Segmented!$C$282,Weighting!$E$26:$H$26,0)+1,FALSE)+VLOOKUP($B362&amp;$D$282&amp;$G362,$E$6:$U$275,T$279,FALSE)*VLOOKUP($A362,Weighting!$D$26:$G$30,MATCH(Segmented!$D$282,Weighting!$E$26:$H$26,0)+1,FALSE)+VLOOKUP($B362&amp;$E$282&amp;$G362,$E$6:$U$275,T$279,FALSE)*VLOOKUP($A362,Weighting!$D$26:$G$30,MATCH(Segmented!$E$282,Weighting!$E$26:$H$26,0)+1,FALSE)</f>
        <v>0</v>
      </c>
    </row>
    <row r="363" spans="1:20">
      <c r="A363" t="s">
        <v>228</v>
      </c>
      <c r="B363" t="s">
        <v>1359</v>
      </c>
      <c r="F363" s="55" t="str">
        <f t="shared" si="28"/>
        <v>WALL R0 - R11_Electric Zonal</v>
      </c>
      <c r="G363" s="54" t="s">
        <v>217</v>
      </c>
      <c r="H363" s="31">
        <f>VLOOKUP($B363&amp;$C$282&amp;$G363,$E$6:$U$275,H$279,FALSE)*VLOOKUP($A363,Weighting!$D$26:$G$30,MATCH(Segmented!$C$282,Weighting!$E$26:$H$26,0)+1,FALSE)+VLOOKUP($B363&amp;$D$282&amp;$G363,$E$6:$U$275,H$279,FALSE)*VLOOKUP($A363,Weighting!$D$26:$G$30,MATCH(Segmented!$D$282,Weighting!$E$26:$H$26,0)+1,FALSE)+VLOOKUP($B363&amp;$E$282&amp;$G363,$E$6:$U$275,H$279,FALSE)*VLOOKUP($A363,Weighting!$D$26:$G$30,MATCH(Segmented!$E$282,Weighting!$E$26:$H$26,0)+1,FALSE)</f>
        <v>25.175910559281874</v>
      </c>
      <c r="I363">
        <f t="shared" si="23"/>
        <v>45</v>
      </c>
      <c r="J363" s="31">
        <f>VLOOKUP($B363&amp;$C$282&amp;$G363,$E$6:$U$275,J$279,FALSE)*VLOOKUP($A363,Weighting!$D$26:$G$30,MATCH(Segmented!$C$282,Weighting!$E$26:$H$26,0)+1,FALSE)+VLOOKUP($B363&amp;$D$282&amp;$G363,$E$6:$U$275,J$279,FALSE)*VLOOKUP($A363,Weighting!$D$26:$G$30,MATCH(Segmented!$D$282,Weighting!$E$26:$H$26,0)+1,FALSE)+VLOOKUP($B363&amp;$E$282&amp;$G363,$E$6:$U$275,J$279,FALSE)*VLOOKUP($A363,Weighting!$D$26:$G$30,MATCH(Segmented!$E$282,Weighting!$E$26:$H$26,0)+1,FALSE)</f>
        <v>0</v>
      </c>
      <c r="K363" s="31">
        <f>VLOOKUP($B363&amp;$C$282&amp;$G363,$E$6:$U$275,K$279,FALSE)*VLOOKUP($A363,Weighting!$D$26:$G$30,MATCH(Segmented!$C$282,Weighting!$E$26:$H$26,0)+1,FALSE)+VLOOKUP($B363&amp;$D$282&amp;$G363,$E$6:$U$275,K$279,FALSE)*VLOOKUP($A363,Weighting!$D$26:$G$30,MATCH(Segmented!$D$282,Weighting!$E$26:$H$26,0)+1,FALSE)+VLOOKUP($B363&amp;$E$282&amp;$G363,$E$6:$U$275,K$279,FALSE)*VLOOKUP($A363,Weighting!$D$26:$G$30,MATCH(Segmented!$E$282,Weighting!$E$26:$H$26,0)+1,FALSE)</f>
        <v>0</v>
      </c>
      <c r="L363" t="str">
        <f t="shared" si="24"/>
        <v>ResSpHtBBZ3</v>
      </c>
      <c r="M363" s="31">
        <f>VLOOKUP($B363&amp;$C$282&amp;$G363,$E$6:$U$275,M$279,FALSE)*VLOOKUP($A363,Weighting!$D$26:$G$30,MATCH(Segmented!$C$282,Weighting!$E$26:$H$26,0)+1,FALSE)+VLOOKUP($B363&amp;$D$282&amp;$G363,$E$6:$U$275,M$279,FALSE)*VLOOKUP($A363,Weighting!$D$26:$G$30,MATCH(Segmented!$D$282,Weighting!$E$26:$H$26,0)+1,FALSE)+VLOOKUP($B363&amp;$E$282&amp;$G363,$E$6:$U$275,M$279,FALSE)*VLOOKUP($A363,Weighting!$D$26:$G$30,MATCH(Segmented!$E$282,Weighting!$E$26:$H$26,0)+1,FALSE)</f>
        <v>0</v>
      </c>
      <c r="N363" s="31">
        <f>VLOOKUP($B363&amp;$C$282&amp;$G363,$E$6:$U$275,N$279,FALSE)*VLOOKUP($A363,Weighting!$D$26:$G$30,MATCH(Segmented!$C$282,Weighting!$E$26:$H$26,0)+1,FALSE)+VLOOKUP($B363&amp;$D$282&amp;$G363,$E$6:$U$275,N$279,FALSE)*VLOOKUP($A363,Weighting!$D$26:$G$30,MATCH(Segmented!$D$282,Weighting!$E$26:$H$26,0)+1,FALSE)+VLOOKUP($B363&amp;$E$282&amp;$G363,$E$6:$U$275,N$279,FALSE)*VLOOKUP($A363,Weighting!$D$26:$G$30,MATCH(Segmented!$E$282,Weighting!$E$26:$H$26,0)+1,FALSE)</f>
        <v>0</v>
      </c>
      <c r="O363">
        <f t="shared" si="25"/>
        <v>0</v>
      </c>
      <c r="P363" s="31">
        <f>VLOOKUP($B363&amp;$C$282&amp;$G363,$E$6:$U$275,P$279,FALSE)*VLOOKUP($A363,Weighting!$D$26:$G$30,MATCH(Segmented!$C$282,Weighting!$E$26:$H$26,0)+1,FALSE)+VLOOKUP($B363&amp;$D$282&amp;$G363,$E$6:$U$275,P$279,FALSE)*VLOOKUP($A363,Weighting!$D$26:$G$30,MATCH(Segmented!$D$282,Weighting!$E$26:$H$26,0)+1,FALSE)+VLOOKUP($B363&amp;$E$282&amp;$G363,$E$6:$U$275,P$279,FALSE)*VLOOKUP($A363,Weighting!$D$26:$G$30,MATCH(Segmented!$E$282,Weighting!$E$26:$H$26,0)+1,FALSE)</f>
        <v>0</v>
      </c>
      <c r="Q363">
        <f t="shared" si="26"/>
        <v>0</v>
      </c>
      <c r="R363" s="31">
        <f>VLOOKUP($B363&amp;$C$282&amp;$G363,$E$6:$U$275,R$279,FALSE)*VLOOKUP($A363,Weighting!$D$26:$G$30,MATCH(Segmented!$C$282,Weighting!$E$26:$H$26,0)+1,FALSE)+VLOOKUP($B363&amp;$D$282&amp;$G363,$E$6:$U$275,R$279,FALSE)*VLOOKUP($A363,Weighting!$D$26:$G$30,MATCH(Segmented!$D$282,Weighting!$E$26:$H$26,0)+1,FALSE)+VLOOKUP($B363&amp;$E$282&amp;$G363,$E$6:$U$275,R$279,FALSE)*VLOOKUP($A363,Weighting!$D$26:$G$30,MATCH(Segmented!$E$282,Weighting!$E$26:$H$26,0)+1,FALSE)</f>
        <v>0</v>
      </c>
      <c r="S363">
        <f t="shared" si="27"/>
        <v>0</v>
      </c>
      <c r="T363" s="31">
        <f>VLOOKUP($B363&amp;$C$282&amp;$G363,$E$6:$U$275,T$279,FALSE)*VLOOKUP($A363,Weighting!$D$26:$G$30,MATCH(Segmented!$C$282,Weighting!$E$26:$H$26,0)+1,FALSE)+VLOOKUP($B363&amp;$D$282&amp;$G363,$E$6:$U$275,T$279,FALSE)*VLOOKUP($A363,Weighting!$D$26:$G$30,MATCH(Segmented!$D$282,Weighting!$E$26:$H$26,0)+1,FALSE)+VLOOKUP($B363&amp;$E$282&amp;$G363,$E$6:$U$275,T$279,FALSE)*VLOOKUP($A363,Weighting!$D$26:$G$30,MATCH(Segmented!$E$282,Weighting!$E$26:$H$26,0)+1,FALSE)</f>
        <v>0</v>
      </c>
    </row>
    <row r="364" spans="1:20">
      <c r="A364" t="s">
        <v>228</v>
      </c>
      <c r="B364" t="s">
        <v>1359</v>
      </c>
      <c r="F364" s="55" t="str">
        <f t="shared" si="28"/>
        <v>FLOOR R0 - R19_Electric Zonal</v>
      </c>
      <c r="G364" s="54" t="s">
        <v>218</v>
      </c>
      <c r="H364" s="31">
        <f>VLOOKUP($B364&amp;$C$282&amp;$G364,$E$6:$U$275,H$279,FALSE)*VLOOKUP($A364,Weighting!$D$26:$G$30,MATCH(Segmented!$C$282,Weighting!$E$26:$H$26,0)+1,FALSE)+VLOOKUP($B364&amp;$D$282&amp;$G364,$E$6:$U$275,H$279,FALSE)*VLOOKUP($A364,Weighting!$D$26:$G$30,MATCH(Segmented!$D$282,Weighting!$E$26:$H$26,0)+1,FALSE)+VLOOKUP($B364&amp;$E$282&amp;$G364,$E$6:$U$275,H$279,FALSE)*VLOOKUP($A364,Weighting!$D$26:$G$30,MATCH(Segmented!$E$282,Weighting!$E$26:$H$26,0)+1,FALSE)</f>
        <v>-20.191751362951553</v>
      </c>
      <c r="I364">
        <f t="shared" si="23"/>
        <v>45</v>
      </c>
      <c r="J364" s="31">
        <f>VLOOKUP($B364&amp;$C$282&amp;$G364,$E$6:$U$275,J$279,FALSE)*VLOOKUP($A364,Weighting!$D$26:$G$30,MATCH(Segmented!$C$282,Weighting!$E$26:$H$26,0)+1,FALSE)+VLOOKUP($B364&amp;$D$282&amp;$G364,$E$6:$U$275,J$279,FALSE)*VLOOKUP($A364,Weighting!$D$26:$G$30,MATCH(Segmented!$D$282,Weighting!$E$26:$H$26,0)+1,FALSE)+VLOOKUP($B364&amp;$E$282&amp;$G364,$E$6:$U$275,J$279,FALSE)*VLOOKUP($A364,Weighting!$D$26:$G$30,MATCH(Segmented!$E$282,Weighting!$E$26:$H$26,0)+1,FALSE)</f>
        <v>0</v>
      </c>
      <c r="K364" s="31">
        <f>VLOOKUP($B364&amp;$C$282&amp;$G364,$E$6:$U$275,K$279,FALSE)*VLOOKUP($A364,Weighting!$D$26:$G$30,MATCH(Segmented!$C$282,Weighting!$E$26:$H$26,0)+1,FALSE)+VLOOKUP($B364&amp;$D$282&amp;$G364,$E$6:$U$275,K$279,FALSE)*VLOOKUP($A364,Weighting!$D$26:$G$30,MATCH(Segmented!$D$282,Weighting!$E$26:$H$26,0)+1,FALSE)+VLOOKUP($B364&amp;$E$282&amp;$G364,$E$6:$U$275,K$279,FALSE)*VLOOKUP($A364,Weighting!$D$26:$G$30,MATCH(Segmented!$E$282,Weighting!$E$26:$H$26,0)+1,FALSE)</f>
        <v>0</v>
      </c>
      <c r="L364" t="str">
        <f t="shared" si="24"/>
        <v>ResSpHtBBZ3</v>
      </c>
      <c r="M364" s="31">
        <f>VLOOKUP($B364&amp;$C$282&amp;$G364,$E$6:$U$275,M$279,FALSE)*VLOOKUP($A364,Weighting!$D$26:$G$30,MATCH(Segmented!$C$282,Weighting!$E$26:$H$26,0)+1,FALSE)+VLOOKUP($B364&amp;$D$282&amp;$G364,$E$6:$U$275,M$279,FALSE)*VLOOKUP($A364,Weighting!$D$26:$G$30,MATCH(Segmented!$D$282,Weighting!$E$26:$H$26,0)+1,FALSE)+VLOOKUP($B364&amp;$E$282&amp;$G364,$E$6:$U$275,M$279,FALSE)*VLOOKUP($A364,Weighting!$D$26:$G$30,MATCH(Segmented!$E$282,Weighting!$E$26:$H$26,0)+1,FALSE)</f>
        <v>0</v>
      </c>
      <c r="N364" s="31">
        <f>VLOOKUP($B364&amp;$C$282&amp;$G364,$E$6:$U$275,N$279,FALSE)*VLOOKUP($A364,Weighting!$D$26:$G$30,MATCH(Segmented!$C$282,Weighting!$E$26:$H$26,0)+1,FALSE)+VLOOKUP($B364&amp;$D$282&amp;$G364,$E$6:$U$275,N$279,FALSE)*VLOOKUP($A364,Weighting!$D$26:$G$30,MATCH(Segmented!$D$282,Weighting!$E$26:$H$26,0)+1,FALSE)+VLOOKUP($B364&amp;$E$282&amp;$G364,$E$6:$U$275,N$279,FALSE)*VLOOKUP($A364,Weighting!$D$26:$G$30,MATCH(Segmented!$E$282,Weighting!$E$26:$H$26,0)+1,FALSE)</f>
        <v>0</v>
      </c>
      <c r="O364">
        <f t="shared" si="25"/>
        <v>0</v>
      </c>
      <c r="P364" s="31">
        <f>VLOOKUP($B364&amp;$C$282&amp;$G364,$E$6:$U$275,P$279,FALSE)*VLOOKUP($A364,Weighting!$D$26:$G$30,MATCH(Segmented!$C$282,Weighting!$E$26:$H$26,0)+1,FALSE)+VLOOKUP($B364&amp;$D$282&amp;$G364,$E$6:$U$275,P$279,FALSE)*VLOOKUP($A364,Weighting!$D$26:$G$30,MATCH(Segmented!$D$282,Weighting!$E$26:$H$26,0)+1,FALSE)+VLOOKUP($B364&amp;$E$282&amp;$G364,$E$6:$U$275,P$279,FALSE)*VLOOKUP($A364,Weighting!$D$26:$G$30,MATCH(Segmented!$E$282,Weighting!$E$26:$H$26,0)+1,FALSE)</f>
        <v>0</v>
      </c>
      <c r="Q364">
        <f t="shared" si="26"/>
        <v>0</v>
      </c>
      <c r="R364" s="31">
        <f>VLOOKUP($B364&amp;$C$282&amp;$G364,$E$6:$U$275,R$279,FALSE)*VLOOKUP($A364,Weighting!$D$26:$G$30,MATCH(Segmented!$C$282,Weighting!$E$26:$H$26,0)+1,FALSE)+VLOOKUP($B364&amp;$D$282&amp;$G364,$E$6:$U$275,R$279,FALSE)*VLOOKUP($A364,Weighting!$D$26:$G$30,MATCH(Segmented!$D$282,Weighting!$E$26:$H$26,0)+1,FALSE)+VLOOKUP($B364&amp;$E$282&amp;$G364,$E$6:$U$275,R$279,FALSE)*VLOOKUP($A364,Weighting!$D$26:$G$30,MATCH(Segmented!$E$282,Weighting!$E$26:$H$26,0)+1,FALSE)</f>
        <v>0</v>
      </c>
      <c r="S364">
        <f t="shared" si="27"/>
        <v>0</v>
      </c>
      <c r="T364" s="31">
        <f>VLOOKUP($B364&amp;$C$282&amp;$G364,$E$6:$U$275,T$279,FALSE)*VLOOKUP($A364,Weighting!$D$26:$G$30,MATCH(Segmented!$C$282,Weighting!$E$26:$H$26,0)+1,FALSE)+VLOOKUP($B364&amp;$D$282&amp;$G364,$E$6:$U$275,T$279,FALSE)*VLOOKUP($A364,Weighting!$D$26:$G$30,MATCH(Segmented!$D$282,Weighting!$E$26:$H$26,0)+1,FALSE)+VLOOKUP($B364&amp;$E$282&amp;$G364,$E$6:$U$275,T$279,FALSE)*VLOOKUP($A364,Weighting!$D$26:$G$30,MATCH(Segmented!$E$282,Weighting!$E$26:$H$26,0)+1,FALSE)</f>
        <v>0</v>
      </c>
    </row>
    <row r="365" spans="1:20">
      <c r="A365" t="s">
        <v>228</v>
      </c>
      <c r="B365" t="s">
        <v>1359</v>
      </c>
      <c r="F365" s="55" t="str">
        <f t="shared" si="28"/>
        <v>FLOOR R0 - R25_Electric Zonal</v>
      </c>
      <c r="G365" s="54" t="s">
        <v>219</v>
      </c>
      <c r="H365" s="31">
        <f>VLOOKUP($B365&amp;$C$282&amp;$G365,$E$6:$U$275,H$279,FALSE)*VLOOKUP($A365,Weighting!$D$26:$G$30,MATCH(Segmented!$C$282,Weighting!$E$26:$H$26,0)+1,FALSE)+VLOOKUP($B365&amp;$D$282&amp;$G365,$E$6:$U$275,H$279,FALSE)*VLOOKUP($A365,Weighting!$D$26:$G$30,MATCH(Segmented!$D$282,Weighting!$E$26:$H$26,0)+1,FALSE)+VLOOKUP($B365&amp;$E$282&amp;$G365,$E$6:$U$275,H$279,FALSE)*VLOOKUP($A365,Weighting!$D$26:$G$30,MATCH(Segmented!$E$282,Weighting!$E$26:$H$26,0)+1,FALSE)</f>
        <v>-22.42799887323461</v>
      </c>
      <c r="I365">
        <f t="shared" si="23"/>
        <v>45</v>
      </c>
      <c r="J365" s="31">
        <f>VLOOKUP($B365&amp;$C$282&amp;$G365,$E$6:$U$275,J$279,FALSE)*VLOOKUP($A365,Weighting!$D$26:$G$30,MATCH(Segmented!$C$282,Weighting!$E$26:$H$26,0)+1,FALSE)+VLOOKUP($B365&amp;$D$282&amp;$G365,$E$6:$U$275,J$279,FALSE)*VLOOKUP($A365,Weighting!$D$26:$G$30,MATCH(Segmented!$D$282,Weighting!$E$26:$H$26,0)+1,FALSE)+VLOOKUP($B365&amp;$E$282&amp;$G365,$E$6:$U$275,J$279,FALSE)*VLOOKUP($A365,Weighting!$D$26:$G$30,MATCH(Segmented!$E$282,Weighting!$E$26:$H$26,0)+1,FALSE)</f>
        <v>0</v>
      </c>
      <c r="K365" s="31">
        <f>VLOOKUP($B365&amp;$C$282&amp;$G365,$E$6:$U$275,K$279,FALSE)*VLOOKUP($A365,Weighting!$D$26:$G$30,MATCH(Segmented!$C$282,Weighting!$E$26:$H$26,0)+1,FALSE)+VLOOKUP($B365&amp;$D$282&amp;$G365,$E$6:$U$275,K$279,FALSE)*VLOOKUP($A365,Weighting!$D$26:$G$30,MATCH(Segmented!$D$282,Weighting!$E$26:$H$26,0)+1,FALSE)+VLOOKUP($B365&amp;$E$282&amp;$G365,$E$6:$U$275,K$279,FALSE)*VLOOKUP($A365,Weighting!$D$26:$G$30,MATCH(Segmented!$E$282,Weighting!$E$26:$H$26,0)+1,FALSE)</f>
        <v>0</v>
      </c>
      <c r="L365" t="str">
        <f t="shared" si="24"/>
        <v>ResSpHtBBZ3</v>
      </c>
      <c r="M365" s="31">
        <f>VLOOKUP($B365&amp;$C$282&amp;$G365,$E$6:$U$275,M$279,FALSE)*VLOOKUP($A365,Weighting!$D$26:$G$30,MATCH(Segmented!$C$282,Weighting!$E$26:$H$26,0)+1,FALSE)+VLOOKUP($B365&amp;$D$282&amp;$G365,$E$6:$U$275,M$279,FALSE)*VLOOKUP($A365,Weighting!$D$26:$G$30,MATCH(Segmented!$D$282,Weighting!$E$26:$H$26,0)+1,FALSE)+VLOOKUP($B365&amp;$E$282&amp;$G365,$E$6:$U$275,M$279,FALSE)*VLOOKUP($A365,Weighting!$D$26:$G$30,MATCH(Segmented!$E$282,Weighting!$E$26:$H$26,0)+1,FALSE)</f>
        <v>0</v>
      </c>
      <c r="N365" s="31">
        <f>VLOOKUP($B365&amp;$C$282&amp;$G365,$E$6:$U$275,N$279,FALSE)*VLOOKUP($A365,Weighting!$D$26:$G$30,MATCH(Segmented!$C$282,Weighting!$E$26:$H$26,0)+1,FALSE)+VLOOKUP($B365&amp;$D$282&amp;$G365,$E$6:$U$275,N$279,FALSE)*VLOOKUP($A365,Weighting!$D$26:$G$30,MATCH(Segmented!$D$282,Weighting!$E$26:$H$26,0)+1,FALSE)+VLOOKUP($B365&amp;$E$282&amp;$G365,$E$6:$U$275,N$279,FALSE)*VLOOKUP($A365,Weighting!$D$26:$G$30,MATCH(Segmented!$E$282,Weighting!$E$26:$H$26,0)+1,FALSE)</f>
        <v>0</v>
      </c>
      <c r="O365">
        <f t="shared" si="25"/>
        <v>0</v>
      </c>
      <c r="P365" s="31">
        <f>VLOOKUP($B365&amp;$C$282&amp;$G365,$E$6:$U$275,P$279,FALSE)*VLOOKUP($A365,Weighting!$D$26:$G$30,MATCH(Segmented!$C$282,Weighting!$E$26:$H$26,0)+1,FALSE)+VLOOKUP($B365&amp;$D$282&amp;$G365,$E$6:$U$275,P$279,FALSE)*VLOOKUP($A365,Weighting!$D$26:$G$30,MATCH(Segmented!$D$282,Weighting!$E$26:$H$26,0)+1,FALSE)+VLOOKUP($B365&amp;$E$282&amp;$G365,$E$6:$U$275,P$279,FALSE)*VLOOKUP($A365,Weighting!$D$26:$G$30,MATCH(Segmented!$E$282,Weighting!$E$26:$H$26,0)+1,FALSE)</f>
        <v>0</v>
      </c>
      <c r="Q365">
        <f t="shared" si="26"/>
        <v>0</v>
      </c>
      <c r="R365" s="31">
        <f>VLOOKUP($B365&amp;$C$282&amp;$G365,$E$6:$U$275,R$279,FALSE)*VLOOKUP($A365,Weighting!$D$26:$G$30,MATCH(Segmented!$C$282,Weighting!$E$26:$H$26,0)+1,FALSE)+VLOOKUP($B365&amp;$D$282&amp;$G365,$E$6:$U$275,R$279,FALSE)*VLOOKUP($A365,Weighting!$D$26:$G$30,MATCH(Segmented!$D$282,Weighting!$E$26:$H$26,0)+1,FALSE)+VLOOKUP($B365&amp;$E$282&amp;$G365,$E$6:$U$275,R$279,FALSE)*VLOOKUP($A365,Weighting!$D$26:$G$30,MATCH(Segmented!$E$282,Weighting!$E$26:$H$26,0)+1,FALSE)</f>
        <v>0</v>
      </c>
      <c r="S365">
        <f t="shared" si="27"/>
        <v>0</v>
      </c>
      <c r="T365" s="31">
        <f>VLOOKUP($B365&amp;$C$282&amp;$G365,$E$6:$U$275,T$279,FALSE)*VLOOKUP($A365,Weighting!$D$26:$G$30,MATCH(Segmented!$C$282,Weighting!$E$26:$H$26,0)+1,FALSE)+VLOOKUP($B365&amp;$D$282&amp;$G365,$E$6:$U$275,T$279,FALSE)*VLOOKUP($A365,Weighting!$D$26:$G$30,MATCH(Segmented!$D$282,Weighting!$E$26:$H$26,0)+1,FALSE)+VLOOKUP($B365&amp;$E$282&amp;$G365,$E$6:$U$275,T$279,FALSE)*VLOOKUP($A365,Weighting!$D$26:$G$30,MATCH(Segmented!$E$282,Weighting!$E$26:$H$26,0)+1,FALSE)</f>
        <v>0</v>
      </c>
    </row>
    <row r="366" spans="1:20">
      <c r="A366" t="s">
        <v>228</v>
      </c>
      <c r="B366" t="s">
        <v>1359</v>
      </c>
      <c r="F366" s="55" t="str">
        <f t="shared" si="28"/>
        <v>FLOOR R0 - R30_Electric Zonal</v>
      </c>
      <c r="G366" s="54" t="s">
        <v>220</v>
      </c>
      <c r="H366" s="31">
        <f>VLOOKUP($B366&amp;$C$282&amp;$G366,$E$6:$U$275,H$279,FALSE)*VLOOKUP($A366,Weighting!$D$26:$G$30,MATCH(Segmented!$C$282,Weighting!$E$26:$H$26,0)+1,FALSE)+VLOOKUP($B366&amp;$D$282&amp;$G366,$E$6:$U$275,H$279,FALSE)*VLOOKUP($A366,Weighting!$D$26:$G$30,MATCH(Segmented!$D$282,Weighting!$E$26:$H$26,0)+1,FALSE)+VLOOKUP($B366&amp;$E$282&amp;$G366,$E$6:$U$275,H$279,FALSE)*VLOOKUP($A366,Weighting!$D$26:$G$30,MATCH(Segmented!$E$282,Weighting!$E$26:$H$26,0)+1,FALSE)</f>
        <v>-23.889936030509713</v>
      </c>
      <c r="I366">
        <f t="shared" si="23"/>
        <v>45</v>
      </c>
      <c r="J366" s="31">
        <f>VLOOKUP($B366&amp;$C$282&amp;$G366,$E$6:$U$275,J$279,FALSE)*VLOOKUP($A366,Weighting!$D$26:$G$30,MATCH(Segmented!$C$282,Weighting!$E$26:$H$26,0)+1,FALSE)+VLOOKUP($B366&amp;$D$282&amp;$G366,$E$6:$U$275,J$279,FALSE)*VLOOKUP($A366,Weighting!$D$26:$G$30,MATCH(Segmented!$D$282,Weighting!$E$26:$H$26,0)+1,FALSE)+VLOOKUP($B366&amp;$E$282&amp;$G366,$E$6:$U$275,J$279,FALSE)*VLOOKUP($A366,Weighting!$D$26:$G$30,MATCH(Segmented!$E$282,Weighting!$E$26:$H$26,0)+1,FALSE)</f>
        <v>0</v>
      </c>
      <c r="K366" s="31">
        <f>VLOOKUP($B366&amp;$C$282&amp;$G366,$E$6:$U$275,K$279,FALSE)*VLOOKUP($A366,Weighting!$D$26:$G$30,MATCH(Segmented!$C$282,Weighting!$E$26:$H$26,0)+1,FALSE)+VLOOKUP($B366&amp;$D$282&amp;$G366,$E$6:$U$275,K$279,FALSE)*VLOOKUP($A366,Weighting!$D$26:$G$30,MATCH(Segmented!$D$282,Weighting!$E$26:$H$26,0)+1,FALSE)+VLOOKUP($B366&amp;$E$282&amp;$G366,$E$6:$U$275,K$279,FALSE)*VLOOKUP($A366,Weighting!$D$26:$G$30,MATCH(Segmented!$E$282,Weighting!$E$26:$H$26,0)+1,FALSE)</f>
        <v>0</v>
      </c>
      <c r="L366" t="str">
        <f t="shared" si="24"/>
        <v>ResSpHtBBZ3</v>
      </c>
      <c r="M366" s="31">
        <f>VLOOKUP($B366&amp;$C$282&amp;$G366,$E$6:$U$275,M$279,FALSE)*VLOOKUP($A366,Weighting!$D$26:$G$30,MATCH(Segmented!$C$282,Weighting!$E$26:$H$26,0)+1,FALSE)+VLOOKUP($B366&amp;$D$282&amp;$G366,$E$6:$U$275,M$279,FALSE)*VLOOKUP($A366,Weighting!$D$26:$G$30,MATCH(Segmented!$D$282,Weighting!$E$26:$H$26,0)+1,FALSE)+VLOOKUP($B366&amp;$E$282&amp;$G366,$E$6:$U$275,M$279,FALSE)*VLOOKUP($A366,Weighting!$D$26:$G$30,MATCH(Segmented!$E$282,Weighting!$E$26:$H$26,0)+1,FALSE)</f>
        <v>0</v>
      </c>
      <c r="N366" s="31">
        <f>VLOOKUP($B366&amp;$C$282&amp;$G366,$E$6:$U$275,N$279,FALSE)*VLOOKUP($A366,Weighting!$D$26:$G$30,MATCH(Segmented!$C$282,Weighting!$E$26:$H$26,0)+1,FALSE)+VLOOKUP($B366&amp;$D$282&amp;$G366,$E$6:$U$275,N$279,FALSE)*VLOOKUP($A366,Weighting!$D$26:$G$30,MATCH(Segmented!$D$282,Weighting!$E$26:$H$26,0)+1,FALSE)+VLOOKUP($B366&amp;$E$282&amp;$G366,$E$6:$U$275,N$279,FALSE)*VLOOKUP($A366,Weighting!$D$26:$G$30,MATCH(Segmented!$E$282,Weighting!$E$26:$H$26,0)+1,FALSE)</f>
        <v>0</v>
      </c>
      <c r="O366">
        <f t="shared" si="25"/>
        <v>0</v>
      </c>
      <c r="P366" s="31">
        <f>VLOOKUP($B366&amp;$C$282&amp;$G366,$E$6:$U$275,P$279,FALSE)*VLOOKUP($A366,Weighting!$D$26:$G$30,MATCH(Segmented!$C$282,Weighting!$E$26:$H$26,0)+1,FALSE)+VLOOKUP($B366&amp;$D$282&amp;$G366,$E$6:$U$275,P$279,FALSE)*VLOOKUP($A366,Weighting!$D$26:$G$30,MATCH(Segmented!$D$282,Weighting!$E$26:$H$26,0)+1,FALSE)+VLOOKUP($B366&amp;$E$282&amp;$G366,$E$6:$U$275,P$279,FALSE)*VLOOKUP($A366,Weighting!$D$26:$G$30,MATCH(Segmented!$E$282,Weighting!$E$26:$H$26,0)+1,FALSE)</f>
        <v>0</v>
      </c>
      <c r="Q366">
        <f t="shared" si="26"/>
        <v>0</v>
      </c>
      <c r="R366" s="31">
        <f>VLOOKUP($B366&amp;$C$282&amp;$G366,$E$6:$U$275,R$279,FALSE)*VLOOKUP($A366,Weighting!$D$26:$G$30,MATCH(Segmented!$C$282,Weighting!$E$26:$H$26,0)+1,FALSE)+VLOOKUP($B366&amp;$D$282&amp;$G366,$E$6:$U$275,R$279,FALSE)*VLOOKUP($A366,Weighting!$D$26:$G$30,MATCH(Segmented!$D$282,Weighting!$E$26:$H$26,0)+1,FALSE)+VLOOKUP($B366&amp;$E$282&amp;$G366,$E$6:$U$275,R$279,FALSE)*VLOOKUP($A366,Weighting!$D$26:$G$30,MATCH(Segmented!$E$282,Weighting!$E$26:$H$26,0)+1,FALSE)</f>
        <v>0</v>
      </c>
      <c r="S366">
        <f t="shared" si="27"/>
        <v>0</v>
      </c>
      <c r="T366" s="31">
        <f>VLOOKUP($B366&amp;$C$282&amp;$G366,$E$6:$U$275,T$279,FALSE)*VLOOKUP($A366,Weighting!$D$26:$G$30,MATCH(Segmented!$C$282,Weighting!$E$26:$H$26,0)+1,FALSE)+VLOOKUP($B366&amp;$D$282&amp;$G366,$E$6:$U$275,T$279,FALSE)*VLOOKUP($A366,Weighting!$D$26:$G$30,MATCH(Segmented!$D$282,Weighting!$E$26:$H$26,0)+1,FALSE)+VLOOKUP($B366&amp;$E$282&amp;$G366,$E$6:$U$275,T$279,FALSE)*VLOOKUP($A366,Weighting!$D$26:$G$30,MATCH(Segmented!$E$282,Weighting!$E$26:$H$26,0)+1,FALSE)</f>
        <v>0</v>
      </c>
    </row>
    <row r="367" spans="1:20" ht="25.5">
      <c r="A367" t="s">
        <v>228</v>
      </c>
      <c r="B367" t="s">
        <v>1359</v>
      </c>
      <c r="F367" s="55" t="str">
        <f t="shared" si="28"/>
        <v>WINDOW CL30 Prime Window Replacement of Single Pane Base_Electric Zonal</v>
      </c>
      <c r="G367" s="54" t="s">
        <v>221</v>
      </c>
      <c r="H367" s="31">
        <f>VLOOKUP($B367&amp;$C$282&amp;$G367,$E$6:$U$275,H$279,FALSE)*VLOOKUP($A367,Weighting!$D$26:$G$30,MATCH(Segmented!$C$282,Weighting!$E$26:$H$26,0)+1,FALSE)+VLOOKUP($B367&amp;$D$282&amp;$G367,$E$6:$U$275,H$279,FALSE)*VLOOKUP($A367,Weighting!$D$26:$G$30,MATCH(Segmented!$D$282,Weighting!$E$26:$H$26,0)+1,FALSE)+VLOOKUP($B367&amp;$E$282&amp;$G367,$E$6:$U$275,H$279,FALSE)*VLOOKUP($A367,Weighting!$D$26:$G$30,MATCH(Segmented!$E$282,Weighting!$E$26:$H$26,0)+1,FALSE)</f>
        <v>44.79437559091857</v>
      </c>
      <c r="I367">
        <f t="shared" si="23"/>
        <v>45</v>
      </c>
      <c r="J367" s="31">
        <f>VLOOKUP($B367&amp;$C$282&amp;$G367,$E$6:$U$275,J$279,FALSE)*VLOOKUP($A367,Weighting!$D$26:$G$30,MATCH(Segmented!$C$282,Weighting!$E$26:$H$26,0)+1,FALSE)+VLOOKUP($B367&amp;$D$282&amp;$G367,$E$6:$U$275,J$279,FALSE)*VLOOKUP($A367,Weighting!$D$26:$G$30,MATCH(Segmented!$D$282,Weighting!$E$26:$H$26,0)+1,FALSE)+VLOOKUP($B367&amp;$E$282&amp;$G367,$E$6:$U$275,J$279,FALSE)*VLOOKUP($A367,Weighting!$D$26:$G$30,MATCH(Segmented!$E$282,Weighting!$E$26:$H$26,0)+1,FALSE)</f>
        <v>0</v>
      </c>
      <c r="K367" s="31">
        <f>VLOOKUP($B367&amp;$C$282&amp;$G367,$E$6:$U$275,K$279,FALSE)*VLOOKUP($A367,Weighting!$D$26:$G$30,MATCH(Segmented!$C$282,Weighting!$E$26:$H$26,0)+1,FALSE)+VLOOKUP($B367&amp;$D$282&amp;$G367,$E$6:$U$275,K$279,FALSE)*VLOOKUP($A367,Weighting!$D$26:$G$30,MATCH(Segmented!$D$282,Weighting!$E$26:$H$26,0)+1,FALSE)+VLOOKUP($B367&amp;$E$282&amp;$G367,$E$6:$U$275,K$279,FALSE)*VLOOKUP($A367,Weighting!$D$26:$G$30,MATCH(Segmented!$E$282,Weighting!$E$26:$H$26,0)+1,FALSE)</f>
        <v>0</v>
      </c>
      <c r="L367" t="str">
        <f t="shared" si="24"/>
        <v>ResSpHtBBZ3</v>
      </c>
      <c r="M367" s="31">
        <f>VLOOKUP($B367&amp;$C$282&amp;$G367,$E$6:$U$275,M$279,FALSE)*VLOOKUP($A367,Weighting!$D$26:$G$30,MATCH(Segmented!$C$282,Weighting!$E$26:$H$26,0)+1,FALSE)+VLOOKUP($B367&amp;$D$282&amp;$G367,$E$6:$U$275,M$279,FALSE)*VLOOKUP($A367,Weighting!$D$26:$G$30,MATCH(Segmented!$D$282,Weighting!$E$26:$H$26,0)+1,FALSE)+VLOOKUP($B367&amp;$E$282&amp;$G367,$E$6:$U$275,M$279,FALSE)*VLOOKUP($A367,Weighting!$D$26:$G$30,MATCH(Segmented!$E$282,Weighting!$E$26:$H$26,0)+1,FALSE)</f>
        <v>0</v>
      </c>
      <c r="N367" s="31">
        <f>VLOOKUP($B367&amp;$C$282&amp;$G367,$E$6:$U$275,N$279,FALSE)*VLOOKUP($A367,Weighting!$D$26:$G$30,MATCH(Segmented!$C$282,Weighting!$E$26:$H$26,0)+1,FALSE)+VLOOKUP($B367&amp;$D$282&amp;$G367,$E$6:$U$275,N$279,FALSE)*VLOOKUP($A367,Weighting!$D$26:$G$30,MATCH(Segmented!$D$282,Weighting!$E$26:$H$26,0)+1,FALSE)+VLOOKUP($B367&amp;$E$282&amp;$G367,$E$6:$U$275,N$279,FALSE)*VLOOKUP($A367,Weighting!$D$26:$G$30,MATCH(Segmented!$E$282,Weighting!$E$26:$H$26,0)+1,FALSE)</f>
        <v>0</v>
      </c>
      <c r="O367">
        <f t="shared" si="25"/>
        <v>0</v>
      </c>
      <c r="P367" s="31">
        <f>VLOOKUP($B367&amp;$C$282&amp;$G367,$E$6:$U$275,P$279,FALSE)*VLOOKUP($A367,Weighting!$D$26:$G$30,MATCH(Segmented!$C$282,Weighting!$E$26:$H$26,0)+1,FALSE)+VLOOKUP($B367&amp;$D$282&amp;$G367,$E$6:$U$275,P$279,FALSE)*VLOOKUP($A367,Weighting!$D$26:$G$30,MATCH(Segmented!$D$282,Weighting!$E$26:$H$26,0)+1,FALSE)+VLOOKUP($B367&amp;$E$282&amp;$G367,$E$6:$U$275,P$279,FALSE)*VLOOKUP($A367,Weighting!$D$26:$G$30,MATCH(Segmented!$E$282,Weighting!$E$26:$H$26,0)+1,FALSE)</f>
        <v>0</v>
      </c>
      <c r="Q367">
        <f t="shared" si="26"/>
        <v>0</v>
      </c>
      <c r="R367" s="31">
        <f>VLOOKUP($B367&amp;$C$282&amp;$G367,$E$6:$U$275,R$279,FALSE)*VLOOKUP($A367,Weighting!$D$26:$G$30,MATCH(Segmented!$C$282,Weighting!$E$26:$H$26,0)+1,FALSE)+VLOOKUP($B367&amp;$D$282&amp;$G367,$E$6:$U$275,R$279,FALSE)*VLOOKUP($A367,Weighting!$D$26:$G$30,MATCH(Segmented!$D$282,Weighting!$E$26:$H$26,0)+1,FALSE)+VLOOKUP($B367&amp;$E$282&amp;$G367,$E$6:$U$275,R$279,FALSE)*VLOOKUP($A367,Weighting!$D$26:$G$30,MATCH(Segmented!$E$282,Weighting!$E$26:$H$26,0)+1,FALSE)</f>
        <v>0</v>
      </c>
      <c r="S367">
        <f t="shared" si="27"/>
        <v>0</v>
      </c>
      <c r="T367" s="31">
        <f>VLOOKUP($B367&amp;$C$282&amp;$G367,$E$6:$U$275,T$279,FALSE)*VLOOKUP($A367,Weighting!$D$26:$G$30,MATCH(Segmented!$C$282,Weighting!$E$26:$H$26,0)+1,FALSE)+VLOOKUP($B367&amp;$D$282&amp;$G367,$E$6:$U$275,T$279,FALSE)*VLOOKUP($A367,Weighting!$D$26:$G$30,MATCH(Segmented!$D$282,Weighting!$E$26:$H$26,0)+1,FALSE)+VLOOKUP($B367&amp;$E$282&amp;$G367,$E$6:$U$275,T$279,FALSE)*VLOOKUP($A367,Weighting!$D$26:$G$30,MATCH(Segmented!$E$282,Weighting!$E$26:$H$26,0)+1,FALSE)</f>
        <v>0</v>
      </c>
    </row>
    <row r="368" spans="1:20" ht="25.5">
      <c r="A368" t="s">
        <v>228</v>
      </c>
      <c r="B368" t="s">
        <v>1359</v>
      </c>
      <c r="F368" s="55" t="str">
        <f t="shared" si="28"/>
        <v>WINDOW CL30 Prime Window Replacement of Double Pane Base_Electric Zonal</v>
      </c>
      <c r="G368" s="54" t="s">
        <v>222</v>
      </c>
      <c r="H368" s="31">
        <f>VLOOKUP($B368&amp;$C$282&amp;$G368,$E$6:$U$275,H$279,FALSE)*VLOOKUP($A368,Weighting!$D$26:$G$30,MATCH(Segmented!$C$282,Weighting!$E$26:$H$26,0)+1,FALSE)+VLOOKUP($B368&amp;$D$282&amp;$G368,$E$6:$U$275,H$279,FALSE)*VLOOKUP($A368,Weighting!$D$26:$G$30,MATCH(Segmented!$D$282,Weighting!$E$26:$H$26,0)+1,FALSE)+VLOOKUP($B368&amp;$E$282&amp;$G368,$E$6:$U$275,H$279,FALSE)*VLOOKUP($A368,Weighting!$D$26:$G$30,MATCH(Segmented!$E$282,Weighting!$E$26:$H$26,0)+1,FALSE)</f>
        <v>55.41066356235681</v>
      </c>
      <c r="I368">
        <f t="shared" si="23"/>
        <v>45</v>
      </c>
      <c r="J368" s="31">
        <f>VLOOKUP($B368&amp;$C$282&amp;$G368,$E$6:$U$275,J$279,FALSE)*VLOOKUP($A368,Weighting!$D$26:$G$30,MATCH(Segmented!$C$282,Weighting!$E$26:$H$26,0)+1,FALSE)+VLOOKUP($B368&amp;$D$282&amp;$G368,$E$6:$U$275,J$279,FALSE)*VLOOKUP($A368,Weighting!$D$26:$G$30,MATCH(Segmented!$D$282,Weighting!$E$26:$H$26,0)+1,FALSE)+VLOOKUP($B368&amp;$E$282&amp;$G368,$E$6:$U$275,J$279,FALSE)*VLOOKUP($A368,Weighting!$D$26:$G$30,MATCH(Segmented!$E$282,Weighting!$E$26:$H$26,0)+1,FALSE)</f>
        <v>0</v>
      </c>
      <c r="K368" s="31">
        <f>VLOOKUP($B368&amp;$C$282&amp;$G368,$E$6:$U$275,K$279,FALSE)*VLOOKUP($A368,Weighting!$D$26:$G$30,MATCH(Segmented!$C$282,Weighting!$E$26:$H$26,0)+1,FALSE)+VLOOKUP($B368&amp;$D$282&amp;$G368,$E$6:$U$275,K$279,FALSE)*VLOOKUP($A368,Weighting!$D$26:$G$30,MATCH(Segmented!$D$282,Weighting!$E$26:$H$26,0)+1,FALSE)+VLOOKUP($B368&amp;$E$282&amp;$G368,$E$6:$U$275,K$279,FALSE)*VLOOKUP($A368,Weighting!$D$26:$G$30,MATCH(Segmented!$E$282,Weighting!$E$26:$H$26,0)+1,FALSE)</f>
        <v>0</v>
      </c>
      <c r="L368" t="str">
        <f t="shared" si="24"/>
        <v>ResSpHtBBZ3</v>
      </c>
      <c r="M368" s="31">
        <f>VLOOKUP($B368&amp;$C$282&amp;$G368,$E$6:$U$275,M$279,FALSE)*VLOOKUP($A368,Weighting!$D$26:$G$30,MATCH(Segmented!$C$282,Weighting!$E$26:$H$26,0)+1,FALSE)+VLOOKUP($B368&amp;$D$282&amp;$G368,$E$6:$U$275,M$279,FALSE)*VLOOKUP($A368,Weighting!$D$26:$G$30,MATCH(Segmented!$D$282,Weighting!$E$26:$H$26,0)+1,FALSE)+VLOOKUP($B368&amp;$E$282&amp;$G368,$E$6:$U$275,M$279,FALSE)*VLOOKUP($A368,Weighting!$D$26:$G$30,MATCH(Segmented!$E$282,Weighting!$E$26:$H$26,0)+1,FALSE)</f>
        <v>0</v>
      </c>
      <c r="N368" s="31">
        <f>VLOOKUP($B368&amp;$C$282&amp;$G368,$E$6:$U$275,N$279,FALSE)*VLOOKUP($A368,Weighting!$D$26:$G$30,MATCH(Segmented!$C$282,Weighting!$E$26:$H$26,0)+1,FALSE)+VLOOKUP($B368&amp;$D$282&amp;$G368,$E$6:$U$275,N$279,FALSE)*VLOOKUP($A368,Weighting!$D$26:$G$30,MATCH(Segmented!$D$282,Weighting!$E$26:$H$26,0)+1,FALSE)+VLOOKUP($B368&amp;$E$282&amp;$G368,$E$6:$U$275,N$279,FALSE)*VLOOKUP($A368,Weighting!$D$26:$G$30,MATCH(Segmented!$E$282,Weighting!$E$26:$H$26,0)+1,FALSE)</f>
        <v>0</v>
      </c>
      <c r="O368">
        <f t="shared" si="25"/>
        <v>0</v>
      </c>
      <c r="P368" s="31">
        <f>VLOOKUP($B368&amp;$C$282&amp;$G368,$E$6:$U$275,P$279,FALSE)*VLOOKUP($A368,Weighting!$D$26:$G$30,MATCH(Segmented!$C$282,Weighting!$E$26:$H$26,0)+1,FALSE)+VLOOKUP($B368&amp;$D$282&amp;$G368,$E$6:$U$275,P$279,FALSE)*VLOOKUP($A368,Weighting!$D$26:$G$30,MATCH(Segmented!$D$282,Weighting!$E$26:$H$26,0)+1,FALSE)+VLOOKUP($B368&amp;$E$282&amp;$G368,$E$6:$U$275,P$279,FALSE)*VLOOKUP($A368,Weighting!$D$26:$G$30,MATCH(Segmented!$E$282,Weighting!$E$26:$H$26,0)+1,FALSE)</f>
        <v>0</v>
      </c>
      <c r="Q368">
        <f t="shared" si="26"/>
        <v>0</v>
      </c>
      <c r="R368" s="31">
        <f>VLOOKUP($B368&amp;$C$282&amp;$G368,$E$6:$U$275,R$279,FALSE)*VLOOKUP($A368,Weighting!$D$26:$G$30,MATCH(Segmented!$C$282,Weighting!$E$26:$H$26,0)+1,FALSE)+VLOOKUP($B368&amp;$D$282&amp;$G368,$E$6:$U$275,R$279,FALSE)*VLOOKUP($A368,Weighting!$D$26:$G$30,MATCH(Segmented!$D$282,Weighting!$E$26:$H$26,0)+1,FALSE)+VLOOKUP($B368&amp;$E$282&amp;$G368,$E$6:$U$275,R$279,FALSE)*VLOOKUP($A368,Weighting!$D$26:$G$30,MATCH(Segmented!$E$282,Weighting!$E$26:$H$26,0)+1,FALSE)</f>
        <v>0</v>
      </c>
      <c r="S368">
        <f t="shared" si="27"/>
        <v>0</v>
      </c>
      <c r="T368" s="31">
        <f>VLOOKUP($B368&amp;$C$282&amp;$G368,$E$6:$U$275,T$279,FALSE)*VLOOKUP($A368,Weighting!$D$26:$G$30,MATCH(Segmented!$C$282,Weighting!$E$26:$H$26,0)+1,FALSE)+VLOOKUP($B368&amp;$D$282&amp;$G368,$E$6:$U$275,T$279,FALSE)*VLOOKUP($A368,Weighting!$D$26:$G$30,MATCH(Segmented!$D$282,Weighting!$E$26:$H$26,0)+1,FALSE)+VLOOKUP($B368&amp;$E$282&amp;$G368,$E$6:$U$275,T$279,FALSE)*VLOOKUP($A368,Weighting!$D$26:$G$30,MATCH(Segmented!$E$282,Weighting!$E$26:$H$26,0)+1,FALSE)</f>
        <v>0</v>
      </c>
    </row>
    <row r="369" spans="1:20" ht="25.5">
      <c r="A369" t="s">
        <v>228</v>
      </c>
      <c r="B369" t="s">
        <v>1359</v>
      </c>
      <c r="F369" s="55" t="str">
        <f t="shared" si="28"/>
        <v>WINDOW CL22 Prime Window Replacement of Single Pane Base_Electric Zonal</v>
      </c>
      <c r="G369" s="54" t="s">
        <v>224</v>
      </c>
      <c r="H369" s="31">
        <f>VLOOKUP($B369&amp;$C$282&amp;$G369,$E$6:$U$275,H$279,FALSE)*VLOOKUP($A369,Weighting!$D$26:$G$30,MATCH(Segmented!$C$282,Weighting!$E$26:$H$26,0)+1,FALSE)+VLOOKUP($B369&amp;$D$282&amp;$G369,$E$6:$U$275,H$279,FALSE)*VLOOKUP($A369,Weighting!$D$26:$G$30,MATCH(Segmented!$D$282,Weighting!$E$26:$H$26,0)+1,FALSE)+VLOOKUP($B369&amp;$E$282&amp;$G369,$E$6:$U$275,H$279,FALSE)*VLOOKUP($A369,Weighting!$D$26:$G$30,MATCH(Segmented!$E$282,Weighting!$E$26:$H$26,0)+1,FALSE)</f>
        <v>48.26588532536595</v>
      </c>
      <c r="I369">
        <f t="shared" si="23"/>
        <v>45</v>
      </c>
      <c r="J369" s="31">
        <f>VLOOKUP($B369&amp;$C$282&amp;$G369,$E$6:$U$275,J$279,FALSE)*VLOOKUP($A369,Weighting!$D$26:$G$30,MATCH(Segmented!$C$282,Weighting!$E$26:$H$26,0)+1,FALSE)+VLOOKUP($B369&amp;$D$282&amp;$G369,$E$6:$U$275,J$279,FALSE)*VLOOKUP($A369,Weighting!$D$26:$G$30,MATCH(Segmented!$D$282,Weighting!$E$26:$H$26,0)+1,FALSE)+VLOOKUP($B369&amp;$E$282&amp;$G369,$E$6:$U$275,J$279,FALSE)*VLOOKUP($A369,Weighting!$D$26:$G$30,MATCH(Segmented!$E$282,Weighting!$E$26:$H$26,0)+1,FALSE)</f>
        <v>0</v>
      </c>
      <c r="K369" s="31">
        <f>VLOOKUP($B369&amp;$C$282&amp;$G369,$E$6:$U$275,K$279,FALSE)*VLOOKUP($A369,Weighting!$D$26:$G$30,MATCH(Segmented!$C$282,Weighting!$E$26:$H$26,0)+1,FALSE)+VLOOKUP($B369&amp;$D$282&amp;$G369,$E$6:$U$275,K$279,FALSE)*VLOOKUP($A369,Weighting!$D$26:$G$30,MATCH(Segmented!$D$282,Weighting!$E$26:$H$26,0)+1,FALSE)+VLOOKUP($B369&amp;$E$282&amp;$G369,$E$6:$U$275,K$279,FALSE)*VLOOKUP($A369,Weighting!$D$26:$G$30,MATCH(Segmented!$E$282,Weighting!$E$26:$H$26,0)+1,FALSE)</f>
        <v>0</v>
      </c>
      <c r="L369" t="str">
        <f t="shared" si="24"/>
        <v>ResSpHtBBZ3</v>
      </c>
      <c r="M369" s="31">
        <f>VLOOKUP($B369&amp;$C$282&amp;$G369,$E$6:$U$275,M$279,FALSE)*VLOOKUP($A369,Weighting!$D$26:$G$30,MATCH(Segmented!$C$282,Weighting!$E$26:$H$26,0)+1,FALSE)+VLOOKUP($B369&amp;$D$282&amp;$G369,$E$6:$U$275,M$279,FALSE)*VLOOKUP($A369,Weighting!$D$26:$G$30,MATCH(Segmented!$D$282,Weighting!$E$26:$H$26,0)+1,FALSE)+VLOOKUP($B369&amp;$E$282&amp;$G369,$E$6:$U$275,M$279,FALSE)*VLOOKUP($A369,Weighting!$D$26:$G$30,MATCH(Segmented!$E$282,Weighting!$E$26:$H$26,0)+1,FALSE)</f>
        <v>0</v>
      </c>
      <c r="N369" s="31">
        <f>VLOOKUP($B369&amp;$C$282&amp;$G369,$E$6:$U$275,N$279,FALSE)*VLOOKUP($A369,Weighting!$D$26:$G$30,MATCH(Segmented!$C$282,Weighting!$E$26:$H$26,0)+1,FALSE)+VLOOKUP($B369&amp;$D$282&amp;$G369,$E$6:$U$275,N$279,FALSE)*VLOOKUP($A369,Weighting!$D$26:$G$30,MATCH(Segmented!$D$282,Weighting!$E$26:$H$26,0)+1,FALSE)+VLOOKUP($B369&amp;$E$282&amp;$G369,$E$6:$U$275,N$279,FALSE)*VLOOKUP($A369,Weighting!$D$26:$G$30,MATCH(Segmented!$E$282,Weighting!$E$26:$H$26,0)+1,FALSE)</f>
        <v>0</v>
      </c>
      <c r="O369">
        <f t="shared" si="25"/>
        <v>0</v>
      </c>
      <c r="P369" s="31">
        <f>VLOOKUP($B369&amp;$C$282&amp;$G369,$E$6:$U$275,P$279,FALSE)*VLOOKUP($A369,Weighting!$D$26:$G$30,MATCH(Segmented!$C$282,Weighting!$E$26:$H$26,0)+1,FALSE)+VLOOKUP($B369&amp;$D$282&amp;$G369,$E$6:$U$275,P$279,FALSE)*VLOOKUP($A369,Weighting!$D$26:$G$30,MATCH(Segmented!$D$282,Weighting!$E$26:$H$26,0)+1,FALSE)+VLOOKUP($B369&amp;$E$282&amp;$G369,$E$6:$U$275,P$279,FALSE)*VLOOKUP($A369,Weighting!$D$26:$G$30,MATCH(Segmented!$E$282,Weighting!$E$26:$H$26,0)+1,FALSE)</f>
        <v>0</v>
      </c>
      <c r="Q369">
        <f t="shared" si="26"/>
        <v>0</v>
      </c>
      <c r="R369" s="31">
        <f>VLOOKUP($B369&amp;$C$282&amp;$G369,$E$6:$U$275,R$279,FALSE)*VLOOKUP($A369,Weighting!$D$26:$G$30,MATCH(Segmented!$C$282,Weighting!$E$26:$H$26,0)+1,FALSE)+VLOOKUP($B369&amp;$D$282&amp;$G369,$E$6:$U$275,R$279,FALSE)*VLOOKUP($A369,Weighting!$D$26:$G$30,MATCH(Segmented!$D$282,Weighting!$E$26:$H$26,0)+1,FALSE)+VLOOKUP($B369&amp;$E$282&amp;$G369,$E$6:$U$275,R$279,FALSE)*VLOOKUP($A369,Weighting!$D$26:$G$30,MATCH(Segmented!$E$282,Weighting!$E$26:$H$26,0)+1,FALSE)</f>
        <v>0</v>
      </c>
      <c r="S369">
        <f t="shared" si="27"/>
        <v>0</v>
      </c>
      <c r="T369" s="31">
        <f>VLOOKUP($B369&amp;$C$282&amp;$G369,$E$6:$U$275,T$279,FALSE)*VLOOKUP($A369,Weighting!$D$26:$G$30,MATCH(Segmented!$C$282,Weighting!$E$26:$H$26,0)+1,FALSE)+VLOOKUP($B369&amp;$D$282&amp;$G369,$E$6:$U$275,T$279,FALSE)*VLOOKUP($A369,Weighting!$D$26:$G$30,MATCH(Segmented!$D$282,Weighting!$E$26:$H$26,0)+1,FALSE)+VLOOKUP($B369&amp;$E$282&amp;$G369,$E$6:$U$275,T$279,FALSE)*VLOOKUP($A369,Weighting!$D$26:$G$30,MATCH(Segmented!$E$282,Weighting!$E$26:$H$26,0)+1,FALSE)</f>
        <v>0</v>
      </c>
    </row>
    <row r="370" spans="1:20" ht="25.5">
      <c r="A370" t="s">
        <v>228</v>
      </c>
      <c r="B370" t="s">
        <v>1359</v>
      </c>
      <c r="F370" s="55" t="str">
        <f t="shared" si="28"/>
        <v>WINDOW CL22 Prime Window Replacement of Double Pane Base_Electric Zonal</v>
      </c>
      <c r="G370" s="54" t="s">
        <v>225</v>
      </c>
      <c r="H370" s="31">
        <f>VLOOKUP($B370&amp;$C$282&amp;$G370,$E$6:$U$275,H$279,FALSE)*VLOOKUP($A370,Weighting!$D$26:$G$30,MATCH(Segmented!$C$282,Weighting!$E$26:$H$26,0)+1,FALSE)+VLOOKUP($B370&amp;$D$282&amp;$G370,$E$6:$U$275,H$279,FALSE)*VLOOKUP($A370,Weighting!$D$26:$G$30,MATCH(Segmented!$D$282,Weighting!$E$26:$H$26,0)+1,FALSE)+VLOOKUP($B370&amp;$E$282&amp;$G370,$E$6:$U$275,H$279,FALSE)*VLOOKUP($A370,Weighting!$D$26:$G$30,MATCH(Segmented!$E$282,Weighting!$E$26:$H$26,0)+1,FALSE)</f>
        <v>58.88217329680419</v>
      </c>
      <c r="I370">
        <f t="shared" si="23"/>
        <v>45</v>
      </c>
      <c r="J370" s="31">
        <f>VLOOKUP($B370&amp;$C$282&amp;$G370,$E$6:$U$275,J$279,FALSE)*VLOOKUP($A370,Weighting!$D$26:$G$30,MATCH(Segmented!$C$282,Weighting!$E$26:$H$26,0)+1,FALSE)+VLOOKUP($B370&amp;$D$282&amp;$G370,$E$6:$U$275,J$279,FALSE)*VLOOKUP($A370,Weighting!$D$26:$G$30,MATCH(Segmented!$D$282,Weighting!$E$26:$H$26,0)+1,FALSE)+VLOOKUP($B370&amp;$E$282&amp;$G370,$E$6:$U$275,J$279,FALSE)*VLOOKUP($A370,Weighting!$D$26:$G$30,MATCH(Segmented!$E$282,Weighting!$E$26:$H$26,0)+1,FALSE)</f>
        <v>0</v>
      </c>
      <c r="K370" s="31">
        <f>VLOOKUP($B370&amp;$C$282&amp;$G370,$E$6:$U$275,K$279,FALSE)*VLOOKUP($A370,Weighting!$D$26:$G$30,MATCH(Segmented!$C$282,Weighting!$E$26:$H$26,0)+1,FALSE)+VLOOKUP($B370&amp;$D$282&amp;$G370,$E$6:$U$275,K$279,FALSE)*VLOOKUP($A370,Weighting!$D$26:$G$30,MATCH(Segmented!$D$282,Weighting!$E$26:$H$26,0)+1,FALSE)+VLOOKUP($B370&amp;$E$282&amp;$G370,$E$6:$U$275,K$279,FALSE)*VLOOKUP($A370,Weighting!$D$26:$G$30,MATCH(Segmented!$E$282,Weighting!$E$26:$H$26,0)+1,FALSE)</f>
        <v>0</v>
      </c>
      <c r="L370" t="str">
        <f t="shared" si="24"/>
        <v>ResSpHtBBZ3</v>
      </c>
      <c r="M370" s="31">
        <f>VLOOKUP($B370&amp;$C$282&amp;$G370,$E$6:$U$275,M$279,FALSE)*VLOOKUP($A370,Weighting!$D$26:$G$30,MATCH(Segmented!$C$282,Weighting!$E$26:$H$26,0)+1,FALSE)+VLOOKUP($B370&amp;$D$282&amp;$G370,$E$6:$U$275,M$279,FALSE)*VLOOKUP($A370,Weighting!$D$26:$G$30,MATCH(Segmented!$D$282,Weighting!$E$26:$H$26,0)+1,FALSE)+VLOOKUP($B370&amp;$E$282&amp;$G370,$E$6:$U$275,M$279,FALSE)*VLOOKUP($A370,Weighting!$D$26:$G$30,MATCH(Segmented!$E$282,Weighting!$E$26:$H$26,0)+1,FALSE)</f>
        <v>0</v>
      </c>
      <c r="N370" s="31">
        <f>VLOOKUP($B370&amp;$C$282&amp;$G370,$E$6:$U$275,N$279,FALSE)*VLOOKUP($A370,Weighting!$D$26:$G$30,MATCH(Segmented!$C$282,Weighting!$E$26:$H$26,0)+1,FALSE)+VLOOKUP($B370&amp;$D$282&amp;$G370,$E$6:$U$275,N$279,FALSE)*VLOOKUP($A370,Weighting!$D$26:$G$30,MATCH(Segmented!$D$282,Weighting!$E$26:$H$26,0)+1,FALSE)+VLOOKUP($B370&amp;$E$282&amp;$G370,$E$6:$U$275,N$279,FALSE)*VLOOKUP($A370,Weighting!$D$26:$G$30,MATCH(Segmented!$E$282,Weighting!$E$26:$H$26,0)+1,FALSE)</f>
        <v>0</v>
      </c>
      <c r="O370">
        <f t="shared" si="25"/>
        <v>0</v>
      </c>
      <c r="P370" s="31">
        <f>VLOOKUP($B370&amp;$C$282&amp;$G370,$E$6:$U$275,P$279,FALSE)*VLOOKUP($A370,Weighting!$D$26:$G$30,MATCH(Segmented!$C$282,Weighting!$E$26:$H$26,0)+1,FALSE)+VLOOKUP($B370&amp;$D$282&amp;$G370,$E$6:$U$275,P$279,FALSE)*VLOOKUP($A370,Weighting!$D$26:$G$30,MATCH(Segmented!$D$282,Weighting!$E$26:$H$26,0)+1,FALSE)+VLOOKUP($B370&amp;$E$282&amp;$G370,$E$6:$U$275,P$279,FALSE)*VLOOKUP($A370,Weighting!$D$26:$G$30,MATCH(Segmented!$E$282,Weighting!$E$26:$H$26,0)+1,FALSE)</f>
        <v>0</v>
      </c>
      <c r="Q370">
        <f t="shared" si="26"/>
        <v>0</v>
      </c>
      <c r="R370" s="31">
        <f>VLOOKUP($B370&amp;$C$282&amp;$G370,$E$6:$U$275,R$279,FALSE)*VLOOKUP($A370,Weighting!$D$26:$G$30,MATCH(Segmented!$C$282,Weighting!$E$26:$H$26,0)+1,FALSE)+VLOOKUP($B370&amp;$D$282&amp;$G370,$E$6:$U$275,R$279,FALSE)*VLOOKUP($A370,Weighting!$D$26:$G$30,MATCH(Segmented!$D$282,Weighting!$E$26:$H$26,0)+1,FALSE)+VLOOKUP($B370&amp;$E$282&amp;$G370,$E$6:$U$275,R$279,FALSE)*VLOOKUP($A370,Weighting!$D$26:$G$30,MATCH(Segmented!$E$282,Weighting!$E$26:$H$26,0)+1,FALSE)</f>
        <v>0</v>
      </c>
      <c r="S370">
        <f t="shared" si="27"/>
        <v>0</v>
      </c>
      <c r="T370" s="31">
        <f>VLOOKUP($B370&amp;$C$282&amp;$G370,$E$6:$U$275,T$279,FALSE)*VLOOKUP($A370,Weighting!$D$26:$G$30,MATCH(Segmented!$C$282,Weighting!$E$26:$H$26,0)+1,FALSE)+VLOOKUP($B370&amp;$D$282&amp;$G370,$E$6:$U$275,T$279,FALSE)*VLOOKUP($A370,Weighting!$D$26:$G$30,MATCH(Segmented!$D$282,Weighting!$E$26:$H$26,0)+1,FALSE)+VLOOKUP($B370&amp;$E$282&amp;$G370,$E$6:$U$275,T$279,FALSE)*VLOOKUP($A370,Weighting!$D$26:$G$30,MATCH(Segmented!$E$282,Weighting!$E$26:$H$26,0)+1,FALSE)</f>
        <v>0</v>
      </c>
    </row>
    <row r="371" spans="1:20">
      <c r="A371" t="s">
        <v>228</v>
      </c>
      <c r="B371" t="s">
        <v>1359</v>
      </c>
      <c r="F371" s="55" t="str">
        <f t="shared" si="28"/>
        <v>CFM50 Infiltration Reduction_Electric Zonal</v>
      </c>
      <c r="G371" s="307" t="s">
        <v>890</v>
      </c>
      <c r="H371" s="31">
        <f>VLOOKUP($B371&amp;$C$282&amp;$G371,$E$6:$U$275,H$279,FALSE)*VLOOKUP($A371,Weighting!$D$26:$G$30,MATCH(Segmented!$C$282,Weighting!$E$26:$H$26,0)+1,FALSE)+VLOOKUP($B371&amp;$D$282&amp;$G371,$E$6:$U$275,H$279,FALSE)*VLOOKUP($A371,Weighting!$D$26:$G$30,MATCH(Segmented!$D$282,Weighting!$E$26:$H$26,0)+1,FALSE)+VLOOKUP($B371&amp;$E$282&amp;$G371,$E$6:$U$275,H$279,FALSE)*VLOOKUP($A371,Weighting!$D$26:$G$30,MATCH(Segmented!$E$282,Weighting!$E$26:$H$26,0)+1,FALSE)</f>
        <v>3.9477513161705269</v>
      </c>
      <c r="I371">
        <f t="shared" si="23"/>
        <v>15</v>
      </c>
      <c r="J371" s="31">
        <f>VLOOKUP($B371&amp;$C$282&amp;$G371,$E$6:$U$275,J$279,FALSE)*VLOOKUP($A371,Weighting!$D$26:$G$30,MATCH(Segmented!$C$282,Weighting!$E$26:$H$26,0)+1,FALSE)+VLOOKUP($B371&amp;$D$282&amp;$G371,$E$6:$U$275,J$279,FALSE)*VLOOKUP($A371,Weighting!$D$26:$G$30,MATCH(Segmented!$D$282,Weighting!$E$26:$H$26,0)+1,FALSE)+VLOOKUP($B371&amp;$E$282&amp;$G371,$E$6:$U$275,J$279,FALSE)*VLOOKUP($A371,Weighting!$D$26:$G$30,MATCH(Segmented!$E$282,Weighting!$E$26:$H$26,0)+1,FALSE)</f>
        <v>0</v>
      </c>
      <c r="K371" s="31">
        <f>VLOOKUP($B371&amp;$C$282&amp;$G371,$E$6:$U$275,K$279,FALSE)*VLOOKUP($A371,Weighting!$D$26:$G$30,MATCH(Segmented!$C$282,Weighting!$E$26:$H$26,0)+1,FALSE)+VLOOKUP($B371&amp;$D$282&amp;$G371,$E$6:$U$275,K$279,FALSE)*VLOOKUP($A371,Weighting!$D$26:$G$30,MATCH(Segmented!$D$282,Weighting!$E$26:$H$26,0)+1,FALSE)+VLOOKUP($B371&amp;$E$282&amp;$G371,$E$6:$U$275,K$279,FALSE)*VLOOKUP($A371,Weighting!$D$26:$G$30,MATCH(Segmented!$E$282,Weighting!$E$26:$H$26,0)+1,FALSE)</f>
        <v>0</v>
      </c>
      <c r="L371" t="str">
        <f t="shared" si="24"/>
        <v>ResSpHtBBZ3</v>
      </c>
      <c r="M371" s="31">
        <f>VLOOKUP($B371&amp;$C$282&amp;$G371,$E$6:$U$275,M$279,FALSE)*VLOOKUP($A371,Weighting!$D$26:$G$30,MATCH(Segmented!$C$282,Weighting!$E$26:$H$26,0)+1,FALSE)+VLOOKUP($B371&amp;$D$282&amp;$G371,$E$6:$U$275,M$279,FALSE)*VLOOKUP($A371,Weighting!$D$26:$G$30,MATCH(Segmented!$D$282,Weighting!$E$26:$H$26,0)+1,FALSE)+VLOOKUP($B371&amp;$E$282&amp;$G371,$E$6:$U$275,M$279,FALSE)*VLOOKUP($A371,Weighting!$D$26:$G$30,MATCH(Segmented!$E$282,Weighting!$E$26:$H$26,0)+1,FALSE)</f>
        <v>0</v>
      </c>
      <c r="N371" s="31">
        <f>VLOOKUP($B371&amp;$C$282&amp;$G371,$E$6:$U$275,N$279,FALSE)*VLOOKUP($A371,Weighting!$D$26:$G$30,MATCH(Segmented!$C$282,Weighting!$E$26:$H$26,0)+1,FALSE)+VLOOKUP($B371&amp;$D$282&amp;$G371,$E$6:$U$275,N$279,FALSE)*VLOOKUP($A371,Weighting!$D$26:$G$30,MATCH(Segmented!$D$282,Weighting!$E$26:$H$26,0)+1,FALSE)+VLOOKUP($B371&amp;$E$282&amp;$G371,$E$6:$U$275,N$279,FALSE)*VLOOKUP($A371,Weighting!$D$26:$G$30,MATCH(Segmented!$E$282,Weighting!$E$26:$H$26,0)+1,FALSE)</f>
        <v>0</v>
      </c>
      <c r="O371">
        <f t="shared" si="25"/>
        <v>0</v>
      </c>
      <c r="P371" s="31">
        <f>VLOOKUP($B371&amp;$C$282&amp;$G371,$E$6:$U$275,P$279,FALSE)*VLOOKUP($A371,Weighting!$D$26:$G$30,MATCH(Segmented!$C$282,Weighting!$E$26:$H$26,0)+1,FALSE)+VLOOKUP($B371&amp;$D$282&amp;$G371,$E$6:$U$275,P$279,FALSE)*VLOOKUP($A371,Weighting!$D$26:$G$30,MATCH(Segmented!$D$282,Weighting!$E$26:$H$26,0)+1,FALSE)+VLOOKUP($B371&amp;$E$282&amp;$G371,$E$6:$U$275,P$279,FALSE)*VLOOKUP($A371,Weighting!$D$26:$G$30,MATCH(Segmented!$E$282,Weighting!$E$26:$H$26,0)+1,FALSE)</f>
        <v>0</v>
      </c>
      <c r="Q371">
        <f t="shared" si="26"/>
        <v>0</v>
      </c>
      <c r="R371" s="31">
        <f>VLOOKUP($B371&amp;$C$282&amp;$G371,$E$6:$U$275,R$279,FALSE)*VLOOKUP($A371,Weighting!$D$26:$G$30,MATCH(Segmented!$C$282,Weighting!$E$26:$H$26,0)+1,FALSE)+VLOOKUP($B371&amp;$D$282&amp;$G371,$E$6:$U$275,R$279,FALSE)*VLOOKUP($A371,Weighting!$D$26:$G$30,MATCH(Segmented!$D$282,Weighting!$E$26:$H$26,0)+1,FALSE)+VLOOKUP($B371&amp;$E$282&amp;$G371,$E$6:$U$275,R$279,FALSE)*VLOOKUP($A371,Weighting!$D$26:$G$30,MATCH(Segmented!$E$282,Weighting!$E$26:$H$26,0)+1,FALSE)</f>
        <v>0</v>
      </c>
      <c r="S371">
        <f t="shared" si="27"/>
        <v>0</v>
      </c>
      <c r="T371" s="31">
        <f>VLOOKUP($B371&amp;$C$282&amp;$G371,$E$6:$U$275,T$279,FALSE)*VLOOKUP($A371,Weighting!$D$26:$G$30,MATCH(Segmented!$C$282,Weighting!$E$26:$H$26,0)+1,FALSE)+VLOOKUP($B371&amp;$D$282&amp;$G371,$E$6:$U$275,T$279,FALSE)*VLOOKUP($A371,Weighting!$D$26:$G$30,MATCH(Segmented!$D$282,Weighting!$E$26:$H$26,0)+1,FALSE)+VLOOKUP($B371&amp;$E$282&amp;$G371,$E$6:$U$275,T$279,FALSE)*VLOOKUP($A371,Weighting!$D$26:$G$30,MATCH(Segmented!$E$282,Weighting!$E$26:$H$26,0)+1,FALSE)</f>
        <v>0</v>
      </c>
    </row>
    <row r="372" spans="1:20">
      <c r="A372" t="s">
        <v>229</v>
      </c>
      <c r="B372" t="s">
        <v>229</v>
      </c>
      <c r="F372" s="55" t="str">
        <f t="shared" si="28"/>
        <v>ATTIC R0 - R38_Heat Pump</v>
      </c>
      <c r="G372" s="54" t="s">
        <v>208</v>
      </c>
      <c r="H372" s="31">
        <f>VLOOKUP($B372&amp;$C$282&amp;$G372,$E$6:$U$275,H$279,FALSE)*VLOOKUP($A372,Weighting!$D$26:$G$30,MATCH(Segmented!$C$282,Weighting!$E$26:$H$26,0)+1,FALSE)+VLOOKUP($B372&amp;$D$282&amp;$G372,$E$6:$U$275,H$279,FALSE)*VLOOKUP($A372,Weighting!$D$26:$G$30,MATCH(Segmented!$D$282,Weighting!$E$26:$H$26,0)+1,FALSE)+VLOOKUP($B372&amp;$E$282&amp;$G372,$E$6:$U$275,H$279,FALSE)*VLOOKUP($A372,Weighting!$D$26:$G$30,MATCH(Segmented!$E$282,Weighting!$E$26:$H$26,0)+1,FALSE)</f>
        <v>71.096344239180198</v>
      </c>
      <c r="I372">
        <f t="shared" si="23"/>
        <v>45</v>
      </c>
      <c r="J372" s="31">
        <f>VLOOKUP($B372&amp;$C$282&amp;$G372,$E$6:$U$275,J$279,FALSE)*VLOOKUP($A372,Weighting!$D$26:$G$30,MATCH(Segmented!$C$282,Weighting!$E$26:$H$26,0)+1,FALSE)+VLOOKUP($B372&amp;$D$282&amp;$G372,$E$6:$U$275,J$279,FALSE)*VLOOKUP($A372,Weighting!$D$26:$G$30,MATCH(Segmented!$D$282,Weighting!$E$26:$H$26,0)+1,FALSE)+VLOOKUP($B372&amp;$E$282&amp;$G372,$E$6:$U$275,J$279,FALSE)*VLOOKUP($A372,Weighting!$D$26:$G$30,MATCH(Segmented!$E$282,Weighting!$E$26:$H$26,0)+1,FALSE)</f>
        <v>0</v>
      </c>
      <c r="K372" s="31">
        <f>VLOOKUP($B372&amp;$C$282&amp;$G372,$E$6:$U$275,K$279,FALSE)*VLOOKUP($A372,Weighting!$D$26:$G$30,MATCH(Segmented!$C$282,Weighting!$E$26:$H$26,0)+1,FALSE)+VLOOKUP($B372&amp;$D$282&amp;$G372,$E$6:$U$275,K$279,FALSE)*VLOOKUP($A372,Weighting!$D$26:$G$30,MATCH(Segmented!$D$282,Weighting!$E$26:$H$26,0)+1,FALSE)+VLOOKUP($B372&amp;$E$282&amp;$G372,$E$6:$U$275,K$279,FALSE)*VLOOKUP($A372,Weighting!$D$26:$G$30,MATCH(Segmented!$E$282,Weighting!$E$26:$H$26,0)+1,FALSE)</f>
        <v>0</v>
      </c>
      <c r="L372" t="str">
        <f t="shared" si="24"/>
        <v>ResSpHtHPZ1</v>
      </c>
      <c r="M372" s="31">
        <f>VLOOKUP($B372&amp;$C$282&amp;$G372,$E$6:$U$275,M$279,FALSE)*VLOOKUP($A372,Weighting!$D$26:$G$30,MATCH(Segmented!$C$282,Weighting!$E$26:$H$26,0)+1,FALSE)+VLOOKUP($B372&amp;$D$282&amp;$G372,$E$6:$U$275,M$279,FALSE)*VLOOKUP($A372,Weighting!$D$26:$G$30,MATCH(Segmented!$D$282,Weighting!$E$26:$H$26,0)+1,FALSE)+VLOOKUP($B372&amp;$E$282&amp;$G372,$E$6:$U$275,M$279,FALSE)*VLOOKUP($A372,Weighting!$D$26:$G$30,MATCH(Segmented!$E$282,Weighting!$E$26:$H$26,0)+1,FALSE)</f>
        <v>0</v>
      </c>
      <c r="N372" s="31">
        <f>VLOOKUP($B372&amp;$C$282&amp;$G372,$E$6:$U$275,N$279,FALSE)*VLOOKUP($A372,Weighting!$D$26:$G$30,MATCH(Segmented!$C$282,Weighting!$E$26:$H$26,0)+1,FALSE)+VLOOKUP($B372&amp;$D$282&amp;$G372,$E$6:$U$275,N$279,FALSE)*VLOOKUP($A372,Weighting!$D$26:$G$30,MATCH(Segmented!$D$282,Weighting!$E$26:$H$26,0)+1,FALSE)+VLOOKUP($B372&amp;$E$282&amp;$G372,$E$6:$U$275,N$279,FALSE)*VLOOKUP($A372,Weighting!$D$26:$G$30,MATCH(Segmented!$E$282,Weighting!$E$26:$H$26,0)+1,FALSE)</f>
        <v>0</v>
      </c>
      <c r="O372">
        <f t="shared" si="25"/>
        <v>0</v>
      </c>
      <c r="P372" s="31">
        <f>VLOOKUP($B372&amp;$C$282&amp;$G372,$E$6:$U$275,P$279,FALSE)*VLOOKUP($A372,Weighting!$D$26:$G$30,MATCH(Segmented!$C$282,Weighting!$E$26:$H$26,0)+1,FALSE)+VLOOKUP($B372&amp;$D$282&amp;$G372,$E$6:$U$275,P$279,FALSE)*VLOOKUP($A372,Weighting!$D$26:$G$30,MATCH(Segmented!$D$282,Weighting!$E$26:$H$26,0)+1,FALSE)+VLOOKUP($B372&amp;$E$282&amp;$G372,$E$6:$U$275,P$279,FALSE)*VLOOKUP($A372,Weighting!$D$26:$G$30,MATCH(Segmented!$E$282,Weighting!$E$26:$H$26,0)+1,FALSE)</f>
        <v>0</v>
      </c>
      <c r="Q372">
        <f t="shared" si="26"/>
        <v>0</v>
      </c>
      <c r="R372" s="31">
        <f>VLOOKUP($B372&amp;$C$282&amp;$G372,$E$6:$U$275,R$279,FALSE)*VLOOKUP($A372,Weighting!$D$26:$G$30,MATCH(Segmented!$C$282,Weighting!$E$26:$H$26,0)+1,FALSE)+VLOOKUP($B372&amp;$D$282&amp;$G372,$E$6:$U$275,R$279,FALSE)*VLOOKUP($A372,Weighting!$D$26:$G$30,MATCH(Segmented!$D$282,Weighting!$E$26:$H$26,0)+1,FALSE)+VLOOKUP($B372&amp;$E$282&amp;$G372,$E$6:$U$275,R$279,FALSE)*VLOOKUP($A372,Weighting!$D$26:$G$30,MATCH(Segmented!$E$282,Weighting!$E$26:$H$26,0)+1,FALSE)</f>
        <v>0</v>
      </c>
      <c r="S372">
        <f t="shared" si="27"/>
        <v>0</v>
      </c>
      <c r="T372" s="31">
        <f>VLOOKUP($B372&amp;$C$282&amp;$G372,$E$6:$U$275,T$279,FALSE)*VLOOKUP($A372,Weighting!$D$26:$G$30,MATCH(Segmented!$C$282,Weighting!$E$26:$H$26,0)+1,FALSE)+VLOOKUP($B372&amp;$D$282&amp;$G372,$E$6:$U$275,T$279,FALSE)*VLOOKUP($A372,Weighting!$D$26:$G$30,MATCH(Segmented!$D$282,Weighting!$E$26:$H$26,0)+1,FALSE)+VLOOKUP($B372&amp;$E$282&amp;$G372,$E$6:$U$275,T$279,FALSE)*VLOOKUP($A372,Weighting!$D$26:$G$30,MATCH(Segmented!$E$282,Weighting!$E$26:$H$26,0)+1,FALSE)</f>
        <v>0</v>
      </c>
    </row>
    <row r="373" spans="1:20">
      <c r="A373" t="s">
        <v>229</v>
      </c>
      <c r="B373" t="s">
        <v>229</v>
      </c>
      <c r="F373" s="55" t="str">
        <f t="shared" si="28"/>
        <v>ATTIC R0 - R49_Heat Pump</v>
      </c>
      <c r="G373" s="54" t="s">
        <v>210</v>
      </c>
      <c r="H373" s="31">
        <f>VLOOKUP($B373&amp;$C$282&amp;$G373,$E$6:$U$275,H$279,FALSE)*VLOOKUP($A373,Weighting!$D$26:$G$30,MATCH(Segmented!$C$282,Weighting!$E$26:$H$26,0)+1,FALSE)+VLOOKUP($B373&amp;$D$282&amp;$G373,$E$6:$U$275,H$279,FALSE)*VLOOKUP($A373,Weighting!$D$26:$G$30,MATCH(Segmented!$D$282,Weighting!$E$26:$H$26,0)+1,FALSE)+VLOOKUP($B373&amp;$E$282&amp;$G373,$E$6:$U$275,H$279,FALSE)*VLOOKUP($A373,Weighting!$D$26:$G$30,MATCH(Segmented!$E$282,Weighting!$E$26:$H$26,0)+1,FALSE)</f>
        <v>71.946163512247395</v>
      </c>
      <c r="I373">
        <f t="shared" si="23"/>
        <v>45</v>
      </c>
      <c r="J373" s="31">
        <f>VLOOKUP($B373&amp;$C$282&amp;$G373,$E$6:$U$275,J$279,FALSE)*VLOOKUP($A373,Weighting!$D$26:$G$30,MATCH(Segmented!$C$282,Weighting!$E$26:$H$26,0)+1,FALSE)+VLOOKUP($B373&amp;$D$282&amp;$G373,$E$6:$U$275,J$279,FALSE)*VLOOKUP($A373,Weighting!$D$26:$G$30,MATCH(Segmented!$D$282,Weighting!$E$26:$H$26,0)+1,FALSE)+VLOOKUP($B373&amp;$E$282&amp;$G373,$E$6:$U$275,J$279,FALSE)*VLOOKUP($A373,Weighting!$D$26:$G$30,MATCH(Segmented!$E$282,Weighting!$E$26:$H$26,0)+1,FALSE)</f>
        <v>0</v>
      </c>
      <c r="K373" s="31">
        <f>VLOOKUP($B373&amp;$C$282&amp;$G373,$E$6:$U$275,K$279,FALSE)*VLOOKUP($A373,Weighting!$D$26:$G$30,MATCH(Segmented!$C$282,Weighting!$E$26:$H$26,0)+1,FALSE)+VLOOKUP($B373&amp;$D$282&amp;$G373,$E$6:$U$275,K$279,FALSE)*VLOOKUP($A373,Weighting!$D$26:$G$30,MATCH(Segmented!$D$282,Weighting!$E$26:$H$26,0)+1,FALSE)+VLOOKUP($B373&amp;$E$282&amp;$G373,$E$6:$U$275,K$279,FALSE)*VLOOKUP($A373,Weighting!$D$26:$G$30,MATCH(Segmented!$E$282,Weighting!$E$26:$H$26,0)+1,FALSE)</f>
        <v>0</v>
      </c>
      <c r="L373" t="str">
        <f t="shared" si="24"/>
        <v>ResSpHtHPZ1</v>
      </c>
      <c r="M373" s="31">
        <f>VLOOKUP($B373&amp;$C$282&amp;$G373,$E$6:$U$275,M$279,FALSE)*VLOOKUP($A373,Weighting!$D$26:$G$30,MATCH(Segmented!$C$282,Weighting!$E$26:$H$26,0)+1,FALSE)+VLOOKUP($B373&amp;$D$282&amp;$G373,$E$6:$U$275,M$279,FALSE)*VLOOKUP($A373,Weighting!$D$26:$G$30,MATCH(Segmented!$D$282,Weighting!$E$26:$H$26,0)+1,FALSE)+VLOOKUP($B373&amp;$E$282&amp;$G373,$E$6:$U$275,M$279,FALSE)*VLOOKUP($A373,Weighting!$D$26:$G$30,MATCH(Segmented!$E$282,Weighting!$E$26:$H$26,0)+1,FALSE)</f>
        <v>0</v>
      </c>
      <c r="N373" s="31">
        <f>VLOOKUP($B373&amp;$C$282&amp;$G373,$E$6:$U$275,N$279,FALSE)*VLOOKUP($A373,Weighting!$D$26:$G$30,MATCH(Segmented!$C$282,Weighting!$E$26:$H$26,0)+1,FALSE)+VLOOKUP($B373&amp;$D$282&amp;$G373,$E$6:$U$275,N$279,FALSE)*VLOOKUP($A373,Weighting!$D$26:$G$30,MATCH(Segmented!$D$282,Weighting!$E$26:$H$26,0)+1,FALSE)+VLOOKUP($B373&amp;$E$282&amp;$G373,$E$6:$U$275,N$279,FALSE)*VLOOKUP($A373,Weighting!$D$26:$G$30,MATCH(Segmented!$E$282,Weighting!$E$26:$H$26,0)+1,FALSE)</f>
        <v>0</v>
      </c>
      <c r="O373">
        <f t="shared" si="25"/>
        <v>0</v>
      </c>
      <c r="P373" s="31">
        <f>VLOOKUP($B373&amp;$C$282&amp;$G373,$E$6:$U$275,P$279,FALSE)*VLOOKUP($A373,Weighting!$D$26:$G$30,MATCH(Segmented!$C$282,Weighting!$E$26:$H$26,0)+1,FALSE)+VLOOKUP($B373&amp;$D$282&amp;$G373,$E$6:$U$275,P$279,FALSE)*VLOOKUP($A373,Weighting!$D$26:$G$30,MATCH(Segmented!$D$282,Weighting!$E$26:$H$26,0)+1,FALSE)+VLOOKUP($B373&amp;$E$282&amp;$G373,$E$6:$U$275,P$279,FALSE)*VLOOKUP($A373,Weighting!$D$26:$G$30,MATCH(Segmented!$E$282,Weighting!$E$26:$H$26,0)+1,FALSE)</f>
        <v>0</v>
      </c>
      <c r="Q373">
        <f t="shared" si="26"/>
        <v>0</v>
      </c>
      <c r="R373" s="31">
        <f>VLOOKUP($B373&amp;$C$282&amp;$G373,$E$6:$U$275,R$279,FALSE)*VLOOKUP($A373,Weighting!$D$26:$G$30,MATCH(Segmented!$C$282,Weighting!$E$26:$H$26,0)+1,FALSE)+VLOOKUP($B373&amp;$D$282&amp;$G373,$E$6:$U$275,R$279,FALSE)*VLOOKUP($A373,Weighting!$D$26:$G$30,MATCH(Segmented!$D$282,Weighting!$E$26:$H$26,0)+1,FALSE)+VLOOKUP($B373&amp;$E$282&amp;$G373,$E$6:$U$275,R$279,FALSE)*VLOOKUP($A373,Weighting!$D$26:$G$30,MATCH(Segmented!$E$282,Weighting!$E$26:$H$26,0)+1,FALSE)</f>
        <v>0</v>
      </c>
      <c r="S373">
        <f t="shared" si="27"/>
        <v>0</v>
      </c>
      <c r="T373" s="31">
        <f>VLOOKUP($B373&amp;$C$282&amp;$G373,$E$6:$U$275,T$279,FALSE)*VLOOKUP($A373,Weighting!$D$26:$G$30,MATCH(Segmented!$C$282,Weighting!$E$26:$H$26,0)+1,FALSE)+VLOOKUP($B373&amp;$D$282&amp;$G373,$E$6:$U$275,T$279,FALSE)*VLOOKUP($A373,Weighting!$D$26:$G$30,MATCH(Segmented!$D$282,Weighting!$E$26:$H$26,0)+1,FALSE)+VLOOKUP($B373&amp;$E$282&amp;$G373,$E$6:$U$275,T$279,FALSE)*VLOOKUP($A373,Weighting!$D$26:$G$30,MATCH(Segmented!$E$282,Weighting!$E$26:$H$26,0)+1,FALSE)</f>
        <v>0</v>
      </c>
    </row>
    <row r="374" spans="1:20">
      <c r="A374" t="s">
        <v>229</v>
      </c>
      <c r="B374" t="s">
        <v>229</v>
      </c>
      <c r="F374" s="55" t="str">
        <f t="shared" si="28"/>
        <v>ATTIC R11 - R38_Heat Pump</v>
      </c>
      <c r="G374" s="54" t="s">
        <v>211</v>
      </c>
      <c r="H374" s="31">
        <f>VLOOKUP($B374&amp;$C$282&amp;$G374,$E$6:$U$275,H$279,FALSE)*VLOOKUP($A374,Weighting!$D$26:$G$30,MATCH(Segmented!$C$282,Weighting!$E$26:$H$26,0)+1,FALSE)+VLOOKUP($B374&amp;$D$282&amp;$G374,$E$6:$U$275,H$279,FALSE)*VLOOKUP($A374,Weighting!$D$26:$G$30,MATCH(Segmented!$D$282,Weighting!$E$26:$H$26,0)+1,FALSE)+VLOOKUP($B374&amp;$E$282&amp;$G374,$E$6:$U$275,H$279,FALSE)*VLOOKUP($A374,Weighting!$D$26:$G$30,MATCH(Segmented!$E$282,Weighting!$E$26:$H$26,0)+1,FALSE)</f>
        <v>10.311257462214382</v>
      </c>
      <c r="I374">
        <f t="shared" si="23"/>
        <v>45</v>
      </c>
      <c r="J374" s="31">
        <f>VLOOKUP($B374&amp;$C$282&amp;$G374,$E$6:$U$275,J$279,FALSE)*VLOOKUP($A374,Weighting!$D$26:$G$30,MATCH(Segmented!$C$282,Weighting!$E$26:$H$26,0)+1,FALSE)+VLOOKUP($B374&amp;$D$282&amp;$G374,$E$6:$U$275,J$279,FALSE)*VLOOKUP($A374,Weighting!$D$26:$G$30,MATCH(Segmented!$D$282,Weighting!$E$26:$H$26,0)+1,FALSE)+VLOOKUP($B374&amp;$E$282&amp;$G374,$E$6:$U$275,J$279,FALSE)*VLOOKUP($A374,Weighting!$D$26:$G$30,MATCH(Segmented!$E$282,Weighting!$E$26:$H$26,0)+1,FALSE)</f>
        <v>0</v>
      </c>
      <c r="K374" s="31">
        <f>VLOOKUP($B374&amp;$C$282&amp;$G374,$E$6:$U$275,K$279,FALSE)*VLOOKUP($A374,Weighting!$D$26:$G$30,MATCH(Segmented!$C$282,Weighting!$E$26:$H$26,0)+1,FALSE)+VLOOKUP($B374&amp;$D$282&amp;$G374,$E$6:$U$275,K$279,FALSE)*VLOOKUP($A374,Weighting!$D$26:$G$30,MATCH(Segmented!$D$282,Weighting!$E$26:$H$26,0)+1,FALSE)+VLOOKUP($B374&amp;$E$282&amp;$G374,$E$6:$U$275,K$279,FALSE)*VLOOKUP($A374,Weighting!$D$26:$G$30,MATCH(Segmented!$E$282,Weighting!$E$26:$H$26,0)+1,FALSE)</f>
        <v>0</v>
      </c>
      <c r="L374" t="str">
        <f t="shared" si="24"/>
        <v>ResSpHtHPZ1</v>
      </c>
      <c r="M374" s="31">
        <f>VLOOKUP($B374&amp;$C$282&amp;$G374,$E$6:$U$275,M$279,FALSE)*VLOOKUP($A374,Weighting!$D$26:$G$30,MATCH(Segmented!$C$282,Weighting!$E$26:$H$26,0)+1,FALSE)+VLOOKUP($B374&amp;$D$282&amp;$G374,$E$6:$U$275,M$279,FALSE)*VLOOKUP($A374,Weighting!$D$26:$G$30,MATCH(Segmented!$D$282,Weighting!$E$26:$H$26,0)+1,FALSE)+VLOOKUP($B374&amp;$E$282&amp;$G374,$E$6:$U$275,M$279,FALSE)*VLOOKUP($A374,Weighting!$D$26:$G$30,MATCH(Segmented!$E$282,Weighting!$E$26:$H$26,0)+1,FALSE)</f>
        <v>0</v>
      </c>
      <c r="N374" s="31">
        <f>VLOOKUP($B374&amp;$C$282&amp;$G374,$E$6:$U$275,N$279,FALSE)*VLOOKUP($A374,Weighting!$D$26:$G$30,MATCH(Segmented!$C$282,Weighting!$E$26:$H$26,0)+1,FALSE)+VLOOKUP($B374&amp;$D$282&amp;$G374,$E$6:$U$275,N$279,FALSE)*VLOOKUP($A374,Weighting!$D$26:$G$30,MATCH(Segmented!$D$282,Weighting!$E$26:$H$26,0)+1,FALSE)+VLOOKUP($B374&amp;$E$282&amp;$G374,$E$6:$U$275,N$279,FALSE)*VLOOKUP($A374,Weighting!$D$26:$G$30,MATCH(Segmented!$E$282,Weighting!$E$26:$H$26,0)+1,FALSE)</f>
        <v>0</v>
      </c>
      <c r="O374">
        <f t="shared" si="25"/>
        <v>0</v>
      </c>
      <c r="P374" s="31">
        <f>VLOOKUP($B374&amp;$C$282&amp;$G374,$E$6:$U$275,P$279,FALSE)*VLOOKUP($A374,Weighting!$D$26:$G$30,MATCH(Segmented!$C$282,Weighting!$E$26:$H$26,0)+1,FALSE)+VLOOKUP($B374&amp;$D$282&amp;$G374,$E$6:$U$275,P$279,FALSE)*VLOOKUP($A374,Weighting!$D$26:$G$30,MATCH(Segmented!$D$282,Weighting!$E$26:$H$26,0)+1,FALSE)+VLOOKUP($B374&amp;$E$282&amp;$G374,$E$6:$U$275,P$279,FALSE)*VLOOKUP($A374,Weighting!$D$26:$G$30,MATCH(Segmented!$E$282,Weighting!$E$26:$H$26,0)+1,FALSE)</f>
        <v>0</v>
      </c>
      <c r="Q374">
        <f t="shared" si="26"/>
        <v>0</v>
      </c>
      <c r="R374" s="31">
        <f>VLOOKUP($B374&amp;$C$282&amp;$G374,$E$6:$U$275,R$279,FALSE)*VLOOKUP($A374,Weighting!$D$26:$G$30,MATCH(Segmented!$C$282,Weighting!$E$26:$H$26,0)+1,FALSE)+VLOOKUP($B374&amp;$D$282&amp;$G374,$E$6:$U$275,R$279,FALSE)*VLOOKUP($A374,Weighting!$D$26:$G$30,MATCH(Segmented!$D$282,Weighting!$E$26:$H$26,0)+1,FALSE)+VLOOKUP($B374&amp;$E$282&amp;$G374,$E$6:$U$275,R$279,FALSE)*VLOOKUP($A374,Weighting!$D$26:$G$30,MATCH(Segmented!$E$282,Weighting!$E$26:$H$26,0)+1,FALSE)</f>
        <v>0</v>
      </c>
      <c r="S374">
        <f t="shared" si="27"/>
        <v>0</v>
      </c>
      <c r="T374" s="31">
        <f>VLOOKUP($B374&amp;$C$282&amp;$G374,$E$6:$U$275,T$279,FALSE)*VLOOKUP($A374,Weighting!$D$26:$G$30,MATCH(Segmented!$C$282,Weighting!$E$26:$H$26,0)+1,FALSE)+VLOOKUP($B374&amp;$D$282&amp;$G374,$E$6:$U$275,T$279,FALSE)*VLOOKUP($A374,Weighting!$D$26:$G$30,MATCH(Segmented!$D$282,Weighting!$E$26:$H$26,0)+1,FALSE)+VLOOKUP($B374&amp;$E$282&amp;$G374,$E$6:$U$275,T$279,FALSE)*VLOOKUP($A374,Weighting!$D$26:$G$30,MATCH(Segmented!$E$282,Weighting!$E$26:$H$26,0)+1,FALSE)</f>
        <v>0</v>
      </c>
    </row>
    <row r="375" spans="1:20">
      <c r="A375" t="s">
        <v>229</v>
      </c>
      <c r="B375" t="s">
        <v>229</v>
      </c>
      <c r="F375" s="55" t="str">
        <f t="shared" si="28"/>
        <v>ATTIC R11 - R49_Heat Pump</v>
      </c>
      <c r="G375" s="54" t="s">
        <v>212</v>
      </c>
      <c r="H375" s="31">
        <f>VLOOKUP($B375&amp;$C$282&amp;$G375,$E$6:$U$275,H$279,FALSE)*VLOOKUP($A375,Weighting!$D$26:$G$30,MATCH(Segmented!$C$282,Weighting!$E$26:$H$26,0)+1,FALSE)+VLOOKUP($B375&amp;$D$282&amp;$G375,$E$6:$U$275,H$279,FALSE)*VLOOKUP($A375,Weighting!$D$26:$G$30,MATCH(Segmented!$D$282,Weighting!$E$26:$H$26,0)+1,FALSE)+VLOOKUP($B375&amp;$E$282&amp;$G375,$E$6:$U$275,H$279,FALSE)*VLOOKUP($A375,Weighting!$D$26:$G$30,MATCH(Segmented!$E$282,Weighting!$E$26:$H$26,0)+1,FALSE)</f>
        <v>11.161076735281577</v>
      </c>
      <c r="I375">
        <f t="shared" si="23"/>
        <v>45</v>
      </c>
      <c r="J375" s="31">
        <f>VLOOKUP($B375&amp;$C$282&amp;$G375,$E$6:$U$275,J$279,FALSE)*VLOOKUP($A375,Weighting!$D$26:$G$30,MATCH(Segmented!$C$282,Weighting!$E$26:$H$26,0)+1,FALSE)+VLOOKUP($B375&amp;$D$282&amp;$G375,$E$6:$U$275,J$279,FALSE)*VLOOKUP($A375,Weighting!$D$26:$G$30,MATCH(Segmented!$D$282,Weighting!$E$26:$H$26,0)+1,FALSE)+VLOOKUP($B375&amp;$E$282&amp;$G375,$E$6:$U$275,J$279,FALSE)*VLOOKUP($A375,Weighting!$D$26:$G$30,MATCH(Segmented!$E$282,Weighting!$E$26:$H$26,0)+1,FALSE)</f>
        <v>0</v>
      </c>
      <c r="K375" s="31">
        <f>VLOOKUP($B375&amp;$C$282&amp;$G375,$E$6:$U$275,K$279,FALSE)*VLOOKUP($A375,Weighting!$D$26:$G$30,MATCH(Segmented!$C$282,Weighting!$E$26:$H$26,0)+1,FALSE)+VLOOKUP($B375&amp;$D$282&amp;$G375,$E$6:$U$275,K$279,FALSE)*VLOOKUP($A375,Weighting!$D$26:$G$30,MATCH(Segmented!$D$282,Weighting!$E$26:$H$26,0)+1,FALSE)+VLOOKUP($B375&amp;$E$282&amp;$G375,$E$6:$U$275,K$279,FALSE)*VLOOKUP($A375,Weighting!$D$26:$G$30,MATCH(Segmented!$E$282,Weighting!$E$26:$H$26,0)+1,FALSE)</f>
        <v>0</v>
      </c>
      <c r="L375" t="str">
        <f t="shared" si="24"/>
        <v>ResSpHtHPZ1</v>
      </c>
      <c r="M375" s="31">
        <f>VLOOKUP($B375&amp;$C$282&amp;$G375,$E$6:$U$275,M$279,FALSE)*VLOOKUP($A375,Weighting!$D$26:$G$30,MATCH(Segmented!$C$282,Weighting!$E$26:$H$26,0)+1,FALSE)+VLOOKUP($B375&amp;$D$282&amp;$G375,$E$6:$U$275,M$279,FALSE)*VLOOKUP($A375,Weighting!$D$26:$G$30,MATCH(Segmented!$D$282,Weighting!$E$26:$H$26,0)+1,FALSE)+VLOOKUP($B375&amp;$E$282&amp;$G375,$E$6:$U$275,M$279,FALSE)*VLOOKUP($A375,Weighting!$D$26:$G$30,MATCH(Segmented!$E$282,Weighting!$E$26:$H$26,0)+1,FALSE)</f>
        <v>0</v>
      </c>
      <c r="N375" s="31">
        <f>VLOOKUP($B375&amp;$C$282&amp;$G375,$E$6:$U$275,N$279,FALSE)*VLOOKUP($A375,Weighting!$D$26:$G$30,MATCH(Segmented!$C$282,Weighting!$E$26:$H$26,0)+1,FALSE)+VLOOKUP($B375&amp;$D$282&amp;$G375,$E$6:$U$275,N$279,FALSE)*VLOOKUP($A375,Weighting!$D$26:$G$30,MATCH(Segmented!$D$282,Weighting!$E$26:$H$26,0)+1,FALSE)+VLOOKUP($B375&amp;$E$282&amp;$G375,$E$6:$U$275,N$279,FALSE)*VLOOKUP($A375,Weighting!$D$26:$G$30,MATCH(Segmented!$E$282,Weighting!$E$26:$H$26,0)+1,FALSE)</f>
        <v>0</v>
      </c>
      <c r="O375">
        <f t="shared" si="25"/>
        <v>0</v>
      </c>
      <c r="P375" s="31">
        <f>VLOOKUP($B375&amp;$C$282&amp;$G375,$E$6:$U$275,P$279,FALSE)*VLOOKUP($A375,Weighting!$D$26:$G$30,MATCH(Segmented!$C$282,Weighting!$E$26:$H$26,0)+1,FALSE)+VLOOKUP($B375&amp;$D$282&amp;$G375,$E$6:$U$275,P$279,FALSE)*VLOOKUP($A375,Weighting!$D$26:$G$30,MATCH(Segmented!$D$282,Weighting!$E$26:$H$26,0)+1,FALSE)+VLOOKUP($B375&amp;$E$282&amp;$G375,$E$6:$U$275,P$279,FALSE)*VLOOKUP($A375,Weighting!$D$26:$G$30,MATCH(Segmented!$E$282,Weighting!$E$26:$H$26,0)+1,FALSE)</f>
        <v>0</v>
      </c>
      <c r="Q375">
        <f t="shared" si="26"/>
        <v>0</v>
      </c>
      <c r="R375" s="31">
        <f>VLOOKUP($B375&amp;$C$282&amp;$G375,$E$6:$U$275,R$279,FALSE)*VLOOKUP($A375,Weighting!$D$26:$G$30,MATCH(Segmented!$C$282,Weighting!$E$26:$H$26,0)+1,FALSE)+VLOOKUP($B375&amp;$D$282&amp;$G375,$E$6:$U$275,R$279,FALSE)*VLOOKUP($A375,Weighting!$D$26:$G$30,MATCH(Segmented!$D$282,Weighting!$E$26:$H$26,0)+1,FALSE)+VLOOKUP($B375&amp;$E$282&amp;$G375,$E$6:$U$275,R$279,FALSE)*VLOOKUP($A375,Weighting!$D$26:$G$30,MATCH(Segmented!$E$282,Weighting!$E$26:$H$26,0)+1,FALSE)</f>
        <v>0</v>
      </c>
      <c r="S375">
        <f t="shared" si="27"/>
        <v>0</v>
      </c>
      <c r="T375" s="31">
        <f>VLOOKUP($B375&amp;$C$282&amp;$G375,$E$6:$U$275,T$279,FALSE)*VLOOKUP($A375,Weighting!$D$26:$G$30,MATCH(Segmented!$C$282,Weighting!$E$26:$H$26,0)+1,FALSE)+VLOOKUP($B375&amp;$D$282&amp;$G375,$E$6:$U$275,T$279,FALSE)*VLOOKUP($A375,Weighting!$D$26:$G$30,MATCH(Segmented!$D$282,Weighting!$E$26:$H$26,0)+1,FALSE)+VLOOKUP($B375&amp;$E$282&amp;$G375,$E$6:$U$275,T$279,FALSE)*VLOOKUP($A375,Weighting!$D$26:$G$30,MATCH(Segmented!$E$282,Weighting!$E$26:$H$26,0)+1,FALSE)</f>
        <v>0</v>
      </c>
    </row>
    <row r="376" spans="1:20">
      <c r="A376" t="s">
        <v>229</v>
      </c>
      <c r="B376" t="s">
        <v>229</v>
      </c>
      <c r="F376" s="55" t="str">
        <f t="shared" si="28"/>
        <v>ATTIC R19 - R38_Heat Pump</v>
      </c>
      <c r="G376" s="54" t="s">
        <v>213</v>
      </c>
      <c r="H376" s="31">
        <f>VLOOKUP($B376&amp;$C$282&amp;$G376,$E$6:$U$275,H$279,FALSE)*VLOOKUP($A376,Weighting!$D$26:$G$30,MATCH(Segmented!$C$282,Weighting!$E$26:$H$26,0)+1,FALSE)+VLOOKUP($B376&amp;$D$282&amp;$G376,$E$6:$U$275,H$279,FALSE)*VLOOKUP($A376,Weighting!$D$26:$G$30,MATCH(Segmented!$D$282,Weighting!$E$26:$H$26,0)+1,FALSE)+VLOOKUP($B376&amp;$E$282&amp;$G376,$E$6:$U$275,H$279,FALSE)*VLOOKUP($A376,Weighting!$D$26:$G$30,MATCH(Segmented!$E$282,Weighting!$E$26:$H$26,0)+1,FALSE)</f>
        <v>4.2068099315057452</v>
      </c>
      <c r="I376">
        <f t="shared" si="23"/>
        <v>45</v>
      </c>
      <c r="J376" s="31">
        <f>VLOOKUP($B376&amp;$C$282&amp;$G376,$E$6:$U$275,J$279,FALSE)*VLOOKUP($A376,Weighting!$D$26:$G$30,MATCH(Segmented!$C$282,Weighting!$E$26:$H$26,0)+1,FALSE)+VLOOKUP($B376&amp;$D$282&amp;$G376,$E$6:$U$275,J$279,FALSE)*VLOOKUP($A376,Weighting!$D$26:$G$30,MATCH(Segmented!$D$282,Weighting!$E$26:$H$26,0)+1,FALSE)+VLOOKUP($B376&amp;$E$282&amp;$G376,$E$6:$U$275,J$279,FALSE)*VLOOKUP($A376,Weighting!$D$26:$G$30,MATCH(Segmented!$E$282,Weighting!$E$26:$H$26,0)+1,FALSE)</f>
        <v>0</v>
      </c>
      <c r="K376" s="31">
        <f>VLOOKUP($B376&amp;$C$282&amp;$G376,$E$6:$U$275,K$279,FALSE)*VLOOKUP($A376,Weighting!$D$26:$G$30,MATCH(Segmented!$C$282,Weighting!$E$26:$H$26,0)+1,FALSE)+VLOOKUP($B376&amp;$D$282&amp;$G376,$E$6:$U$275,K$279,FALSE)*VLOOKUP($A376,Weighting!$D$26:$G$30,MATCH(Segmented!$D$282,Weighting!$E$26:$H$26,0)+1,FALSE)+VLOOKUP($B376&amp;$E$282&amp;$G376,$E$6:$U$275,K$279,FALSE)*VLOOKUP($A376,Weighting!$D$26:$G$30,MATCH(Segmented!$E$282,Weighting!$E$26:$H$26,0)+1,FALSE)</f>
        <v>0</v>
      </c>
      <c r="L376" t="str">
        <f t="shared" si="24"/>
        <v>ResSpHtHPZ1</v>
      </c>
      <c r="M376" s="31">
        <f>VLOOKUP($B376&amp;$C$282&amp;$G376,$E$6:$U$275,M$279,FALSE)*VLOOKUP($A376,Weighting!$D$26:$G$30,MATCH(Segmented!$C$282,Weighting!$E$26:$H$26,0)+1,FALSE)+VLOOKUP($B376&amp;$D$282&amp;$G376,$E$6:$U$275,M$279,FALSE)*VLOOKUP($A376,Weighting!$D$26:$G$30,MATCH(Segmented!$D$282,Weighting!$E$26:$H$26,0)+1,FALSE)+VLOOKUP($B376&amp;$E$282&amp;$G376,$E$6:$U$275,M$279,FALSE)*VLOOKUP($A376,Weighting!$D$26:$G$30,MATCH(Segmented!$E$282,Weighting!$E$26:$H$26,0)+1,FALSE)</f>
        <v>0</v>
      </c>
      <c r="N376" s="31">
        <f>VLOOKUP($B376&amp;$C$282&amp;$G376,$E$6:$U$275,N$279,FALSE)*VLOOKUP($A376,Weighting!$D$26:$G$30,MATCH(Segmented!$C$282,Weighting!$E$26:$H$26,0)+1,FALSE)+VLOOKUP($B376&amp;$D$282&amp;$G376,$E$6:$U$275,N$279,FALSE)*VLOOKUP($A376,Weighting!$D$26:$G$30,MATCH(Segmented!$D$282,Weighting!$E$26:$H$26,0)+1,FALSE)+VLOOKUP($B376&amp;$E$282&amp;$G376,$E$6:$U$275,N$279,FALSE)*VLOOKUP($A376,Weighting!$D$26:$G$30,MATCH(Segmented!$E$282,Weighting!$E$26:$H$26,0)+1,FALSE)</f>
        <v>0</v>
      </c>
      <c r="O376">
        <f t="shared" si="25"/>
        <v>0</v>
      </c>
      <c r="P376" s="31">
        <f>VLOOKUP($B376&amp;$C$282&amp;$G376,$E$6:$U$275,P$279,FALSE)*VLOOKUP($A376,Weighting!$D$26:$G$30,MATCH(Segmented!$C$282,Weighting!$E$26:$H$26,0)+1,FALSE)+VLOOKUP($B376&amp;$D$282&amp;$G376,$E$6:$U$275,P$279,FALSE)*VLOOKUP($A376,Weighting!$D$26:$G$30,MATCH(Segmented!$D$282,Weighting!$E$26:$H$26,0)+1,FALSE)+VLOOKUP($B376&amp;$E$282&amp;$G376,$E$6:$U$275,P$279,FALSE)*VLOOKUP($A376,Weighting!$D$26:$G$30,MATCH(Segmented!$E$282,Weighting!$E$26:$H$26,0)+1,FALSE)</f>
        <v>0</v>
      </c>
      <c r="Q376">
        <f t="shared" si="26"/>
        <v>0</v>
      </c>
      <c r="R376" s="31">
        <f>VLOOKUP($B376&amp;$C$282&amp;$G376,$E$6:$U$275,R$279,FALSE)*VLOOKUP($A376,Weighting!$D$26:$G$30,MATCH(Segmented!$C$282,Weighting!$E$26:$H$26,0)+1,FALSE)+VLOOKUP($B376&amp;$D$282&amp;$G376,$E$6:$U$275,R$279,FALSE)*VLOOKUP($A376,Weighting!$D$26:$G$30,MATCH(Segmented!$D$282,Weighting!$E$26:$H$26,0)+1,FALSE)+VLOOKUP($B376&amp;$E$282&amp;$G376,$E$6:$U$275,R$279,FALSE)*VLOOKUP($A376,Weighting!$D$26:$G$30,MATCH(Segmented!$E$282,Weighting!$E$26:$H$26,0)+1,FALSE)</f>
        <v>0</v>
      </c>
      <c r="S376">
        <f t="shared" si="27"/>
        <v>0</v>
      </c>
      <c r="T376" s="31">
        <f>VLOOKUP($B376&amp;$C$282&amp;$G376,$E$6:$U$275,T$279,FALSE)*VLOOKUP($A376,Weighting!$D$26:$G$30,MATCH(Segmented!$C$282,Weighting!$E$26:$H$26,0)+1,FALSE)+VLOOKUP($B376&amp;$D$282&amp;$G376,$E$6:$U$275,T$279,FALSE)*VLOOKUP($A376,Weighting!$D$26:$G$30,MATCH(Segmented!$D$282,Weighting!$E$26:$H$26,0)+1,FALSE)+VLOOKUP($B376&amp;$E$282&amp;$G376,$E$6:$U$275,T$279,FALSE)*VLOOKUP($A376,Weighting!$D$26:$G$30,MATCH(Segmented!$E$282,Weighting!$E$26:$H$26,0)+1,FALSE)</f>
        <v>0</v>
      </c>
    </row>
    <row r="377" spans="1:20">
      <c r="A377" t="s">
        <v>229</v>
      </c>
      <c r="B377" t="s">
        <v>229</v>
      </c>
      <c r="F377" s="55" t="str">
        <f t="shared" si="28"/>
        <v>ATTIC R19 - R49_Heat Pump</v>
      </c>
      <c r="G377" s="54" t="s">
        <v>214</v>
      </c>
      <c r="H377" s="31">
        <f>VLOOKUP($B377&amp;$C$282&amp;$G377,$E$6:$U$275,H$279,FALSE)*VLOOKUP($A377,Weighting!$D$26:$G$30,MATCH(Segmented!$C$282,Weighting!$E$26:$H$26,0)+1,FALSE)+VLOOKUP($B377&amp;$D$282&amp;$G377,$E$6:$U$275,H$279,FALSE)*VLOOKUP($A377,Weighting!$D$26:$G$30,MATCH(Segmented!$D$282,Weighting!$E$26:$H$26,0)+1,FALSE)+VLOOKUP($B377&amp;$E$282&amp;$G377,$E$6:$U$275,H$279,FALSE)*VLOOKUP($A377,Weighting!$D$26:$G$30,MATCH(Segmented!$E$282,Weighting!$E$26:$H$26,0)+1,FALSE)</f>
        <v>5.0566292045729426</v>
      </c>
      <c r="I377">
        <f t="shared" si="23"/>
        <v>45</v>
      </c>
      <c r="J377" s="31">
        <f>VLOOKUP($B377&amp;$C$282&amp;$G377,$E$6:$U$275,J$279,FALSE)*VLOOKUP($A377,Weighting!$D$26:$G$30,MATCH(Segmented!$C$282,Weighting!$E$26:$H$26,0)+1,FALSE)+VLOOKUP($B377&amp;$D$282&amp;$G377,$E$6:$U$275,J$279,FALSE)*VLOOKUP($A377,Weighting!$D$26:$G$30,MATCH(Segmented!$D$282,Weighting!$E$26:$H$26,0)+1,FALSE)+VLOOKUP($B377&amp;$E$282&amp;$G377,$E$6:$U$275,J$279,FALSE)*VLOOKUP($A377,Weighting!$D$26:$G$30,MATCH(Segmented!$E$282,Weighting!$E$26:$H$26,0)+1,FALSE)</f>
        <v>0</v>
      </c>
      <c r="K377" s="31">
        <f>VLOOKUP($B377&amp;$C$282&amp;$G377,$E$6:$U$275,K$279,FALSE)*VLOOKUP($A377,Weighting!$D$26:$G$30,MATCH(Segmented!$C$282,Weighting!$E$26:$H$26,0)+1,FALSE)+VLOOKUP($B377&amp;$D$282&amp;$G377,$E$6:$U$275,K$279,FALSE)*VLOOKUP($A377,Weighting!$D$26:$G$30,MATCH(Segmented!$D$282,Weighting!$E$26:$H$26,0)+1,FALSE)+VLOOKUP($B377&amp;$E$282&amp;$G377,$E$6:$U$275,K$279,FALSE)*VLOOKUP($A377,Weighting!$D$26:$G$30,MATCH(Segmented!$E$282,Weighting!$E$26:$H$26,0)+1,FALSE)</f>
        <v>0</v>
      </c>
      <c r="L377" t="str">
        <f t="shared" si="24"/>
        <v>ResSpHtHPZ1</v>
      </c>
      <c r="M377" s="31">
        <f>VLOOKUP($B377&amp;$C$282&amp;$G377,$E$6:$U$275,M$279,FALSE)*VLOOKUP($A377,Weighting!$D$26:$G$30,MATCH(Segmented!$C$282,Weighting!$E$26:$H$26,0)+1,FALSE)+VLOOKUP($B377&amp;$D$282&amp;$G377,$E$6:$U$275,M$279,FALSE)*VLOOKUP($A377,Weighting!$D$26:$G$30,MATCH(Segmented!$D$282,Weighting!$E$26:$H$26,0)+1,FALSE)+VLOOKUP($B377&amp;$E$282&amp;$G377,$E$6:$U$275,M$279,FALSE)*VLOOKUP($A377,Weighting!$D$26:$G$30,MATCH(Segmented!$E$282,Weighting!$E$26:$H$26,0)+1,FALSE)</f>
        <v>0</v>
      </c>
      <c r="N377" s="31">
        <f>VLOOKUP($B377&amp;$C$282&amp;$G377,$E$6:$U$275,N$279,FALSE)*VLOOKUP($A377,Weighting!$D$26:$G$30,MATCH(Segmented!$C$282,Weighting!$E$26:$H$26,0)+1,FALSE)+VLOOKUP($B377&amp;$D$282&amp;$G377,$E$6:$U$275,N$279,FALSE)*VLOOKUP($A377,Weighting!$D$26:$G$30,MATCH(Segmented!$D$282,Weighting!$E$26:$H$26,0)+1,FALSE)+VLOOKUP($B377&amp;$E$282&amp;$G377,$E$6:$U$275,N$279,FALSE)*VLOOKUP($A377,Weighting!$D$26:$G$30,MATCH(Segmented!$E$282,Weighting!$E$26:$H$26,0)+1,FALSE)</f>
        <v>0</v>
      </c>
      <c r="O377">
        <f t="shared" si="25"/>
        <v>0</v>
      </c>
      <c r="P377" s="31">
        <f>VLOOKUP($B377&amp;$C$282&amp;$G377,$E$6:$U$275,P$279,FALSE)*VLOOKUP($A377,Weighting!$D$26:$G$30,MATCH(Segmented!$C$282,Weighting!$E$26:$H$26,0)+1,FALSE)+VLOOKUP($B377&amp;$D$282&amp;$G377,$E$6:$U$275,P$279,FALSE)*VLOOKUP($A377,Weighting!$D$26:$G$30,MATCH(Segmented!$D$282,Weighting!$E$26:$H$26,0)+1,FALSE)+VLOOKUP($B377&amp;$E$282&amp;$G377,$E$6:$U$275,P$279,FALSE)*VLOOKUP($A377,Weighting!$D$26:$G$30,MATCH(Segmented!$E$282,Weighting!$E$26:$H$26,0)+1,FALSE)</f>
        <v>0</v>
      </c>
      <c r="Q377">
        <f t="shared" si="26"/>
        <v>0</v>
      </c>
      <c r="R377" s="31">
        <f>VLOOKUP($B377&amp;$C$282&amp;$G377,$E$6:$U$275,R$279,FALSE)*VLOOKUP($A377,Weighting!$D$26:$G$30,MATCH(Segmented!$C$282,Weighting!$E$26:$H$26,0)+1,FALSE)+VLOOKUP($B377&amp;$D$282&amp;$G377,$E$6:$U$275,R$279,FALSE)*VLOOKUP($A377,Weighting!$D$26:$G$30,MATCH(Segmented!$D$282,Weighting!$E$26:$H$26,0)+1,FALSE)+VLOOKUP($B377&amp;$E$282&amp;$G377,$E$6:$U$275,R$279,FALSE)*VLOOKUP($A377,Weighting!$D$26:$G$30,MATCH(Segmented!$E$282,Weighting!$E$26:$H$26,0)+1,FALSE)</f>
        <v>0</v>
      </c>
      <c r="S377">
        <f t="shared" si="27"/>
        <v>0</v>
      </c>
      <c r="T377" s="31">
        <f>VLOOKUP($B377&amp;$C$282&amp;$G377,$E$6:$U$275,T$279,FALSE)*VLOOKUP($A377,Weighting!$D$26:$G$30,MATCH(Segmented!$C$282,Weighting!$E$26:$H$26,0)+1,FALSE)+VLOOKUP($B377&amp;$D$282&amp;$G377,$E$6:$U$275,T$279,FALSE)*VLOOKUP($A377,Weighting!$D$26:$G$30,MATCH(Segmented!$D$282,Weighting!$E$26:$H$26,0)+1,FALSE)+VLOOKUP($B377&amp;$E$282&amp;$G377,$E$6:$U$275,T$279,FALSE)*VLOOKUP($A377,Weighting!$D$26:$G$30,MATCH(Segmented!$E$282,Weighting!$E$26:$H$26,0)+1,FALSE)</f>
        <v>0</v>
      </c>
    </row>
    <row r="378" spans="1:20">
      <c r="A378" t="s">
        <v>229</v>
      </c>
      <c r="B378" t="s">
        <v>229</v>
      </c>
      <c r="F378" s="55" t="str">
        <f t="shared" si="28"/>
        <v>WALL R0 - R11_Heat Pump</v>
      </c>
      <c r="G378" s="54" t="s">
        <v>217</v>
      </c>
      <c r="H378" s="31">
        <f>VLOOKUP($B378&amp;$C$282&amp;$G378,$E$6:$U$275,H$279,FALSE)*VLOOKUP($A378,Weighting!$D$26:$G$30,MATCH(Segmented!$C$282,Weighting!$E$26:$H$26,0)+1,FALSE)+VLOOKUP($B378&amp;$D$282&amp;$G378,$E$6:$U$275,H$279,FALSE)*VLOOKUP($A378,Weighting!$D$26:$G$30,MATCH(Segmented!$D$282,Weighting!$E$26:$H$26,0)+1,FALSE)+VLOOKUP($B378&amp;$E$282&amp;$G378,$E$6:$U$275,H$279,FALSE)*VLOOKUP($A378,Weighting!$D$26:$G$30,MATCH(Segmented!$E$282,Weighting!$E$26:$H$26,0)+1,FALSE)</f>
        <v>12.999913836925906</v>
      </c>
      <c r="I378">
        <f t="shared" si="23"/>
        <v>45</v>
      </c>
      <c r="J378" s="31">
        <f>VLOOKUP($B378&amp;$C$282&amp;$G378,$E$6:$U$275,J$279,FALSE)*VLOOKUP($A378,Weighting!$D$26:$G$30,MATCH(Segmented!$C$282,Weighting!$E$26:$H$26,0)+1,FALSE)+VLOOKUP($B378&amp;$D$282&amp;$G378,$E$6:$U$275,J$279,FALSE)*VLOOKUP($A378,Weighting!$D$26:$G$30,MATCH(Segmented!$D$282,Weighting!$E$26:$H$26,0)+1,FALSE)+VLOOKUP($B378&amp;$E$282&amp;$G378,$E$6:$U$275,J$279,FALSE)*VLOOKUP($A378,Weighting!$D$26:$G$30,MATCH(Segmented!$E$282,Weighting!$E$26:$H$26,0)+1,FALSE)</f>
        <v>0</v>
      </c>
      <c r="K378" s="31">
        <f>VLOOKUP($B378&amp;$C$282&amp;$G378,$E$6:$U$275,K$279,FALSE)*VLOOKUP($A378,Weighting!$D$26:$G$30,MATCH(Segmented!$C$282,Weighting!$E$26:$H$26,0)+1,FALSE)+VLOOKUP($B378&amp;$D$282&amp;$G378,$E$6:$U$275,K$279,FALSE)*VLOOKUP($A378,Weighting!$D$26:$G$30,MATCH(Segmented!$D$282,Weighting!$E$26:$H$26,0)+1,FALSE)+VLOOKUP($B378&amp;$E$282&amp;$G378,$E$6:$U$275,K$279,FALSE)*VLOOKUP($A378,Weighting!$D$26:$G$30,MATCH(Segmented!$E$282,Weighting!$E$26:$H$26,0)+1,FALSE)</f>
        <v>0</v>
      </c>
      <c r="L378" t="str">
        <f t="shared" si="24"/>
        <v>ResSpHtHPZ1</v>
      </c>
      <c r="M378" s="31">
        <f>VLOOKUP($B378&amp;$C$282&amp;$G378,$E$6:$U$275,M$279,FALSE)*VLOOKUP($A378,Weighting!$D$26:$G$30,MATCH(Segmented!$C$282,Weighting!$E$26:$H$26,0)+1,FALSE)+VLOOKUP($B378&amp;$D$282&amp;$G378,$E$6:$U$275,M$279,FALSE)*VLOOKUP($A378,Weighting!$D$26:$G$30,MATCH(Segmented!$D$282,Weighting!$E$26:$H$26,0)+1,FALSE)+VLOOKUP($B378&amp;$E$282&amp;$G378,$E$6:$U$275,M$279,FALSE)*VLOOKUP($A378,Weighting!$D$26:$G$30,MATCH(Segmented!$E$282,Weighting!$E$26:$H$26,0)+1,FALSE)</f>
        <v>0</v>
      </c>
      <c r="N378" s="31">
        <f>VLOOKUP($B378&amp;$C$282&amp;$G378,$E$6:$U$275,N$279,FALSE)*VLOOKUP($A378,Weighting!$D$26:$G$30,MATCH(Segmented!$C$282,Weighting!$E$26:$H$26,0)+1,FALSE)+VLOOKUP($B378&amp;$D$282&amp;$G378,$E$6:$U$275,N$279,FALSE)*VLOOKUP($A378,Weighting!$D$26:$G$30,MATCH(Segmented!$D$282,Weighting!$E$26:$H$26,0)+1,FALSE)+VLOOKUP($B378&amp;$E$282&amp;$G378,$E$6:$U$275,N$279,FALSE)*VLOOKUP($A378,Weighting!$D$26:$G$30,MATCH(Segmented!$E$282,Weighting!$E$26:$H$26,0)+1,FALSE)</f>
        <v>0</v>
      </c>
      <c r="O378">
        <f t="shared" si="25"/>
        <v>0</v>
      </c>
      <c r="P378" s="31">
        <f>VLOOKUP($B378&amp;$C$282&amp;$G378,$E$6:$U$275,P$279,FALSE)*VLOOKUP($A378,Weighting!$D$26:$G$30,MATCH(Segmented!$C$282,Weighting!$E$26:$H$26,0)+1,FALSE)+VLOOKUP($B378&amp;$D$282&amp;$G378,$E$6:$U$275,P$279,FALSE)*VLOOKUP($A378,Weighting!$D$26:$G$30,MATCH(Segmented!$D$282,Weighting!$E$26:$H$26,0)+1,FALSE)+VLOOKUP($B378&amp;$E$282&amp;$G378,$E$6:$U$275,P$279,FALSE)*VLOOKUP($A378,Weighting!$D$26:$G$30,MATCH(Segmented!$E$282,Weighting!$E$26:$H$26,0)+1,FALSE)</f>
        <v>0</v>
      </c>
      <c r="Q378">
        <f t="shared" si="26"/>
        <v>0</v>
      </c>
      <c r="R378" s="31">
        <f>VLOOKUP($B378&amp;$C$282&amp;$G378,$E$6:$U$275,R$279,FALSE)*VLOOKUP($A378,Weighting!$D$26:$G$30,MATCH(Segmented!$C$282,Weighting!$E$26:$H$26,0)+1,FALSE)+VLOOKUP($B378&amp;$D$282&amp;$G378,$E$6:$U$275,R$279,FALSE)*VLOOKUP($A378,Weighting!$D$26:$G$30,MATCH(Segmented!$D$282,Weighting!$E$26:$H$26,0)+1,FALSE)+VLOOKUP($B378&amp;$E$282&amp;$G378,$E$6:$U$275,R$279,FALSE)*VLOOKUP($A378,Weighting!$D$26:$G$30,MATCH(Segmented!$E$282,Weighting!$E$26:$H$26,0)+1,FALSE)</f>
        <v>0</v>
      </c>
      <c r="S378">
        <f t="shared" si="27"/>
        <v>0</v>
      </c>
      <c r="T378" s="31">
        <f>VLOOKUP($B378&amp;$C$282&amp;$G378,$E$6:$U$275,T$279,FALSE)*VLOOKUP($A378,Weighting!$D$26:$G$30,MATCH(Segmented!$C$282,Weighting!$E$26:$H$26,0)+1,FALSE)+VLOOKUP($B378&amp;$D$282&amp;$G378,$E$6:$U$275,T$279,FALSE)*VLOOKUP($A378,Weighting!$D$26:$G$30,MATCH(Segmented!$D$282,Weighting!$E$26:$H$26,0)+1,FALSE)+VLOOKUP($B378&amp;$E$282&amp;$G378,$E$6:$U$275,T$279,FALSE)*VLOOKUP($A378,Weighting!$D$26:$G$30,MATCH(Segmented!$E$282,Weighting!$E$26:$H$26,0)+1,FALSE)</f>
        <v>0</v>
      </c>
    </row>
    <row r="379" spans="1:20">
      <c r="A379" t="s">
        <v>229</v>
      </c>
      <c r="B379" t="s">
        <v>229</v>
      </c>
      <c r="F379" s="55" t="str">
        <f t="shared" si="28"/>
        <v>FLOOR R0 - R19_Heat Pump</v>
      </c>
      <c r="G379" s="54" t="s">
        <v>218</v>
      </c>
      <c r="H379" s="31">
        <f>VLOOKUP($B379&amp;$C$282&amp;$G379,$E$6:$U$275,H$279,FALSE)*VLOOKUP($A379,Weighting!$D$26:$G$30,MATCH(Segmented!$C$282,Weighting!$E$26:$H$26,0)+1,FALSE)+VLOOKUP($B379&amp;$D$282&amp;$G379,$E$6:$U$275,H$279,FALSE)*VLOOKUP($A379,Weighting!$D$26:$G$30,MATCH(Segmented!$D$282,Weighting!$E$26:$H$26,0)+1,FALSE)+VLOOKUP($B379&amp;$E$282&amp;$G379,$E$6:$U$275,H$279,FALSE)*VLOOKUP($A379,Weighting!$D$26:$G$30,MATCH(Segmented!$E$282,Weighting!$E$26:$H$26,0)+1,FALSE)</f>
        <v>-9.6905633573986592</v>
      </c>
      <c r="I379">
        <f t="shared" si="23"/>
        <v>45</v>
      </c>
      <c r="J379" s="31">
        <f>VLOOKUP($B379&amp;$C$282&amp;$G379,$E$6:$U$275,J$279,FALSE)*VLOOKUP($A379,Weighting!$D$26:$G$30,MATCH(Segmented!$C$282,Weighting!$E$26:$H$26,0)+1,FALSE)+VLOOKUP($B379&amp;$D$282&amp;$G379,$E$6:$U$275,J$279,FALSE)*VLOOKUP($A379,Weighting!$D$26:$G$30,MATCH(Segmented!$D$282,Weighting!$E$26:$H$26,0)+1,FALSE)+VLOOKUP($B379&amp;$E$282&amp;$G379,$E$6:$U$275,J$279,FALSE)*VLOOKUP($A379,Weighting!$D$26:$G$30,MATCH(Segmented!$E$282,Weighting!$E$26:$H$26,0)+1,FALSE)</f>
        <v>0</v>
      </c>
      <c r="K379" s="31">
        <f>VLOOKUP($B379&amp;$C$282&amp;$G379,$E$6:$U$275,K$279,FALSE)*VLOOKUP($A379,Weighting!$D$26:$G$30,MATCH(Segmented!$C$282,Weighting!$E$26:$H$26,0)+1,FALSE)+VLOOKUP($B379&amp;$D$282&amp;$G379,$E$6:$U$275,K$279,FALSE)*VLOOKUP($A379,Weighting!$D$26:$G$30,MATCH(Segmented!$D$282,Weighting!$E$26:$H$26,0)+1,FALSE)+VLOOKUP($B379&amp;$E$282&amp;$G379,$E$6:$U$275,K$279,FALSE)*VLOOKUP($A379,Weighting!$D$26:$G$30,MATCH(Segmented!$E$282,Weighting!$E$26:$H$26,0)+1,FALSE)</f>
        <v>0</v>
      </c>
      <c r="L379" t="str">
        <f t="shared" si="24"/>
        <v>ResSpHtHPZ1</v>
      </c>
      <c r="M379" s="31">
        <f>VLOOKUP($B379&amp;$C$282&amp;$G379,$E$6:$U$275,M$279,FALSE)*VLOOKUP($A379,Weighting!$D$26:$G$30,MATCH(Segmented!$C$282,Weighting!$E$26:$H$26,0)+1,FALSE)+VLOOKUP($B379&amp;$D$282&amp;$G379,$E$6:$U$275,M$279,FALSE)*VLOOKUP($A379,Weighting!$D$26:$G$30,MATCH(Segmented!$D$282,Weighting!$E$26:$H$26,0)+1,FALSE)+VLOOKUP($B379&amp;$E$282&amp;$G379,$E$6:$U$275,M$279,FALSE)*VLOOKUP($A379,Weighting!$D$26:$G$30,MATCH(Segmented!$E$282,Weighting!$E$26:$H$26,0)+1,FALSE)</f>
        <v>0</v>
      </c>
      <c r="N379" s="31">
        <f>VLOOKUP($B379&amp;$C$282&amp;$G379,$E$6:$U$275,N$279,FALSE)*VLOOKUP($A379,Weighting!$D$26:$G$30,MATCH(Segmented!$C$282,Weighting!$E$26:$H$26,0)+1,FALSE)+VLOOKUP($B379&amp;$D$282&amp;$G379,$E$6:$U$275,N$279,FALSE)*VLOOKUP($A379,Weighting!$D$26:$G$30,MATCH(Segmented!$D$282,Weighting!$E$26:$H$26,0)+1,FALSE)+VLOOKUP($B379&amp;$E$282&amp;$G379,$E$6:$U$275,N$279,FALSE)*VLOOKUP($A379,Weighting!$D$26:$G$30,MATCH(Segmented!$E$282,Weighting!$E$26:$H$26,0)+1,FALSE)</f>
        <v>0</v>
      </c>
      <c r="O379">
        <f t="shared" si="25"/>
        <v>0</v>
      </c>
      <c r="P379" s="31">
        <f>VLOOKUP($B379&amp;$C$282&amp;$G379,$E$6:$U$275,P$279,FALSE)*VLOOKUP($A379,Weighting!$D$26:$G$30,MATCH(Segmented!$C$282,Weighting!$E$26:$H$26,0)+1,FALSE)+VLOOKUP($B379&amp;$D$282&amp;$G379,$E$6:$U$275,P$279,FALSE)*VLOOKUP($A379,Weighting!$D$26:$G$30,MATCH(Segmented!$D$282,Weighting!$E$26:$H$26,0)+1,FALSE)+VLOOKUP($B379&amp;$E$282&amp;$G379,$E$6:$U$275,P$279,FALSE)*VLOOKUP($A379,Weighting!$D$26:$G$30,MATCH(Segmented!$E$282,Weighting!$E$26:$H$26,0)+1,FALSE)</f>
        <v>0</v>
      </c>
      <c r="Q379">
        <f t="shared" si="26"/>
        <v>0</v>
      </c>
      <c r="R379" s="31">
        <f>VLOOKUP($B379&amp;$C$282&amp;$G379,$E$6:$U$275,R$279,FALSE)*VLOOKUP($A379,Weighting!$D$26:$G$30,MATCH(Segmented!$C$282,Weighting!$E$26:$H$26,0)+1,FALSE)+VLOOKUP($B379&amp;$D$282&amp;$G379,$E$6:$U$275,R$279,FALSE)*VLOOKUP($A379,Weighting!$D$26:$G$30,MATCH(Segmented!$D$282,Weighting!$E$26:$H$26,0)+1,FALSE)+VLOOKUP($B379&amp;$E$282&amp;$G379,$E$6:$U$275,R$279,FALSE)*VLOOKUP($A379,Weighting!$D$26:$G$30,MATCH(Segmented!$E$282,Weighting!$E$26:$H$26,0)+1,FALSE)</f>
        <v>0</v>
      </c>
      <c r="S379">
        <f t="shared" si="27"/>
        <v>0</v>
      </c>
      <c r="T379" s="31">
        <f>VLOOKUP($B379&amp;$C$282&amp;$G379,$E$6:$U$275,T$279,FALSE)*VLOOKUP($A379,Weighting!$D$26:$G$30,MATCH(Segmented!$C$282,Weighting!$E$26:$H$26,0)+1,FALSE)+VLOOKUP($B379&amp;$D$282&amp;$G379,$E$6:$U$275,T$279,FALSE)*VLOOKUP($A379,Weighting!$D$26:$G$30,MATCH(Segmented!$D$282,Weighting!$E$26:$H$26,0)+1,FALSE)+VLOOKUP($B379&amp;$E$282&amp;$G379,$E$6:$U$275,T$279,FALSE)*VLOOKUP($A379,Weighting!$D$26:$G$30,MATCH(Segmented!$E$282,Weighting!$E$26:$H$26,0)+1,FALSE)</f>
        <v>0</v>
      </c>
    </row>
    <row r="380" spans="1:20">
      <c r="A380" t="s">
        <v>229</v>
      </c>
      <c r="B380" t="s">
        <v>229</v>
      </c>
      <c r="F380" s="55" t="str">
        <f t="shared" si="28"/>
        <v>FLOOR R0 - R25_Heat Pump</v>
      </c>
      <c r="G380" s="54" t="s">
        <v>219</v>
      </c>
      <c r="H380" s="31">
        <f>VLOOKUP($B380&amp;$C$282&amp;$G380,$E$6:$U$275,H$279,FALSE)*VLOOKUP($A380,Weighting!$D$26:$G$30,MATCH(Segmented!$C$282,Weighting!$E$26:$H$26,0)+1,FALSE)+VLOOKUP($B380&amp;$D$282&amp;$G380,$E$6:$U$275,H$279,FALSE)*VLOOKUP($A380,Weighting!$D$26:$G$30,MATCH(Segmented!$D$282,Weighting!$E$26:$H$26,0)+1,FALSE)+VLOOKUP($B380&amp;$E$282&amp;$G380,$E$6:$U$275,H$279,FALSE)*VLOOKUP($A380,Weighting!$D$26:$G$30,MATCH(Segmented!$E$282,Weighting!$E$26:$H$26,0)+1,FALSE)</f>
        <v>-10.761087787151384</v>
      </c>
      <c r="I380">
        <f t="shared" si="23"/>
        <v>45</v>
      </c>
      <c r="J380" s="31">
        <f>VLOOKUP($B380&amp;$C$282&amp;$G380,$E$6:$U$275,J$279,FALSE)*VLOOKUP($A380,Weighting!$D$26:$G$30,MATCH(Segmented!$C$282,Weighting!$E$26:$H$26,0)+1,FALSE)+VLOOKUP($B380&amp;$D$282&amp;$G380,$E$6:$U$275,J$279,FALSE)*VLOOKUP($A380,Weighting!$D$26:$G$30,MATCH(Segmented!$D$282,Weighting!$E$26:$H$26,0)+1,FALSE)+VLOOKUP($B380&amp;$E$282&amp;$G380,$E$6:$U$275,J$279,FALSE)*VLOOKUP($A380,Weighting!$D$26:$G$30,MATCH(Segmented!$E$282,Weighting!$E$26:$H$26,0)+1,FALSE)</f>
        <v>0</v>
      </c>
      <c r="K380" s="31">
        <f>VLOOKUP($B380&amp;$C$282&amp;$G380,$E$6:$U$275,K$279,FALSE)*VLOOKUP($A380,Weighting!$D$26:$G$30,MATCH(Segmented!$C$282,Weighting!$E$26:$H$26,0)+1,FALSE)+VLOOKUP($B380&amp;$D$282&amp;$G380,$E$6:$U$275,K$279,FALSE)*VLOOKUP($A380,Weighting!$D$26:$G$30,MATCH(Segmented!$D$282,Weighting!$E$26:$H$26,0)+1,FALSE)+VLOOKUP($B380&amp;$E$282&amp;$G380,$E$6:$U$275,K$279,FALSE)*VLOOKUP($A380,Weighting!$D$26:$G$30,MATCH(Segmented!$E$282,Weighting!$E$26:$H$26,0)+1,FALSE)</f>
        <v>0</v>
      </c>
      <c r="L380" t="str">
        <f t="shared" si="24"/>
        <v>ResSpHtHPZ1</v>
      </c>
      <c r="M380" s="31">
        <f>VLOOKUP($B380&amp;$C$282&amp;$G380,$E$6:$U$275,M$279,FALSE)*VLOOKUP($A380,Weighting!$D$26:$G$30,MATCH(Segmented!$C$282,Weighting!$E$26:$H$26,0)+1,FALSE)+VLOOKUP($B380&amp;$D$282&amp;$G380,$E$6:$U$275,M$279,FALSE)*VLOOKUP($A380,Weighting!$D$26:$G$30,MATCH(Segmented!$D$282,Weighting!$E$26:$H$26,0)+1,FALSE)+VLOOKUP($B380&amp;$E$282&amp;$G380,$E$6:$U$275,M$279,FALSE)*VLOOKUP($A380,Weighting!$D$26:$G$30,MATCH(Segmented!$E$282,Weighting!$E$26:$H$26,0)+1,FALSE)</f>
        <v>0</v>
      </c>
      <c r="N380" s="31">
        <f>VLOOKUP($B380&amp;$C$282&amp;$G380,$E$6:$U$275,N$279,FALSE)*VLOOKUP($A380,Weighting!$D$26:$G$30,MATCH(Segmented!$C$282,Weighting!$E$26:$H$26,0)+1,FALSE)+VLOOKUP($B380&amp;$D$282&amp;$G380,$E$6:$U$275,N$279,FALSE)*VLOOKUP($A380,Weighting!$D$26:$G$30,MATCH(Segmented!$D$282,Weighting!$E$26:$H$26,0)+1,FALSE)+VLOOKUP($B380&amp;$E$282&amp;$G380,$E$6:$U$275,N$279,FALSE)*VLOOKUP($A380,Weighting!$D$26:$G$30,MATCH(Segmented!$E$282,Weighting!$E$26:$H$26,0)+1,FALSE)</f>
        <v>0</v>
      </c>
      <c r="O380">
        <f t="shared" si="25"/>
        <v>0</v>
      </c>
      <c r="P380" s="31">
        <f>VLOOKUP($B380&amp;$C$282&amp;$G380,$E$6:$U$275,P$279,FALSE)*VLOOKUP($A380,Weighting!$D$26:$G$30,MATCH(Segmented!$C$282,Weighting!$E$26:$H$26,0)+1,FALSE)+VLOOKUP($B380&amp;$D$282&amp;$G380,$E$6:$U$275,P$279,FALSE)*VLOOKUP($A380,Weighting!$D$26:$G$30,MATCH(Segmented!$D$282,Weighting!$E$26:$H$26,0)+1,FALSE)+VLOOKUP($B380&amp;$E$282&amp;$G380,$E$6:$U$275,P$279,FALSE)*VLOOKUP($A380,Weighting!$D$26:$G$30,MATCH(Segmented!$E$282,Weighting!$E$26:$H$26,0)+1,FALSE)</f>
        <v>0</v>
      </c>
      <c r="Q380">
        <f t="shared" si="26"/>
        <v>0</v>
      </c>
      <c r="R380" s="31">
        <f>VLOOKUP($B380&amp;$C$282&amp;$G380,$E$6:$U$275,R$279,FALSE)*VLOOKUP($A380,Weighting!$D$26:$G$30,MATCH(Segmented!$C$282,Weighting!$E$26:$H$26,0)+1,FALSE)+VLOOKUP($B380&amp;$D$282&amp;$G380,$E$6:$U$275,R$279,FALSE)*VLOOKUP($A380,Weighting!$D$26:$G$30,MATCH(Segmented!$D$282,Weighting!$E$26:$H$26,0)+1,FALSE)+VLOOKUP($B380&amp;$E$282&amp;$G380,$E$6:$U$275,R$279,FALSE)*VLOOKUP($A380,Weighting!$D$26:$G$30,MATCH(Segmented!$E$282,Weighting!$E$26:$H$26,0)+1,FALSE)</f>
        <v>0</v>
      </c>
      <c r="S380">
        <f t="shared" si="27"/>
        <v>0</v>
      </c>
      <c r="T380" s="31">
        <f>VLOOKUP($B380&amp;$C$282&amp;$G380,$E$6:$U$275,T$279,FALSE)*VLOOKUP($A380,Weighting!$D$26:$G$30,MATCH(Segmented!$C$282,Weighting!$E$26:$H$26,0)+1,FALSE)+VLOOKUP($B380&amp;$D$282&amp;$G380,$E$6:$U$275,T$279,FALSE)*VLOOKUP($A380,Weighting!$D$26:$G$30,MATCH(Segmented!$D$282,Weighting!$E$26:$H$26,0)+1,FALSE)+VLOOKUP($B380&amp;$E$282&amp;$G380,$E$6:$U$275,T$279,FALSE)*VLOOKUP($A380,Weighting!$D$26:$G$30,MATCH(Segmented!$E$282,Weighting!$E$26:$H$26,0)+1,FALSE)</f>
        <v>0</v>
      </c>
    </row>
    <row r="381" spans="1:20">
      <c r="A381" t="s">
        <v>229</v>
      </c>
      <c r="B381" t="s">
        <v>229</v>
      </c>
      <c r="F381" s="55" t="str">
        <f t="shared" si="28"/>
        <v>FLOOR R0 - R30_Heat Pump</v>
      </c>
      <c r="G381" s="54" t="s">
        <v>220</v>
      </c>
      <c r="H381" s="31">
        <f>VLOOKUP($B381&amp;$C$282&amp;$G381,$E$6:$U$275,H$279,FALSE)*VLOOKUP($A381,Weighting!$D$26:$G$30,MATCH(Segmented!$C$282,Weighting!$E$26:$H$26,0)+1,FALSE)+VLOOKUP($B381&amp;$D$282&amp;$G381,$E$6:$U$275,H$279,FALSE)*VLOOKUP($A381,Weighting!$D$26:$G$30,MATCH(Segmented!$D$282,Weighting!$E$26:$H$26,0)+1,FALSE)+VLOOKUP($B381&amp;$E$282&amp;$G381,$E$6:$U$275,H$279,FALSE)*VLOOKUP($A381,Weighting!$D$26:$G$30,MATCH(Segmented!$E$282,Weighting!$E$26:$H$26,0)+1,FALSE)</f>
        <v>-11.461256076474838</v>
      </c>
      <c r="I381">
        <f t="shared" si="23"/>
        <v>45</v>
      </c>
      <c r="J381" s="31">
        <f>VLOOKUP($B381&amp;$C$282&amp;$G381,$E$6:$U$275,J$279,FALSE)*VLOOKUP($A381,Weighting!$D$26:$G$30,MATCH(Segmented!$C$282,Weighting!$E$26:$H$26,0)+1,FALSE)+VLOOKUP($B381&amp;$D$282&amp;$G381,$E$6:$U$275,J$279,FALSE)*VLOOKUP($A381,Weighting!$D$26:$G$30,MATCH(Segmented!$D$282,Weighting!$E$26:$H$26,0)+1,FALSE)+VLOOKUP($B381&amp;$E$282&amp;$G381,$E$6:$U$275,J$279,FALSE)*VLOOKUP($A381,Weighting!$D$26:$G$30,MATCH(Segmented!$E$282,Weighting!$E$26:$H$26,0)+1,FALSE)</f>
        <v>0</v>
      </c>
      <c r="K381" s="31">
        <f>VLOOKUP($B381&amp;$C$282&amp;$G381,$E$6:$U$275,K$279,FALSE)*VLOOKUP($A381,Weighting!$D$26:$G$30,MATCH(Segmented!$C$282,Weighting!$E$26:$H$26,0)+1,FALSE)+VLOOKUP($B381&amp;$D$282&amp;$G381,$E$6:$U$275,K$279,FALSE)*VLOOKUP($A381,Weighting!$D$26:$G$30,MATCH(Segmented!$D$282,Weighting!$E$26:$H$26,0)+1,FALSE)+VLOOKUP($B381&amp;$E$282&amp;$G381,$E$6:$U$275,K$279,FALSE)*VLOOKUP($A381,Weighting!$D$26:$G$30,MATCH(Segmented!$E$282,Weighting!$E$26:$H$26,0)+1,FALSE)</f>
        <v>0</v>
      </c>
      <c r="L381" t="str">
        <f t="shared" si="24"/>
        <v>ResSpHtHPZ1</v>
      </c>
      <c r="M381" s="31">
        <f>VLOOKUP($B381&amp;$C$282&amp;$G381,$E$6:$U$275,M$279,FALSE)*VLOOKUP($A381,Weighting!$D$26:$G$30,MATCH(Segmented!$C$282,Weighting!$E$26:$H$26,0)+1,FALSE)+VLOOKUP($B381&amp;$D$282&amp;$G381,$E$6:$U$275,M$279,FALSE)*VLOOKUP($A381,Weighting!$D$26:$G$30,MATCH(Segmented!$D$282,Weighting!$E$26:$H$26,0)+1,FALSE)+VLOOKUP($B381&amp;$E$282&amp;$G381,$E$6:$U$275,M$279,FALSE)*VLOOKUP($A381,Weighting!$D$26:$G$30,MATCH(Segmented!$E$282,Weighting!$E$26:$H$26,0)+1,FALSE)</f>
        <v>0</v>
      </c>
      <c r="N381" s="31">
        <f>VLOOKUP($B381&amp;$C$282&amp;$G381,$E$6:$U$275,N$279,FALSE)*VLOOKUP($A381,Weighting!$D$26:$G$30,MATCH(Segmented!$C$282,Weighting!$E$26:$H$26,0)+1,FALSE)+VLOOKUP($B381&amp;$D$282&amp;$G381,$E$6:$U$275,N$279,FALSE)*VLOOKUP($A381,Weighting!$D$26:$G$30,MATCH(Segmented!$D$282,Weighting!$E$26:$H$26,0)+1,FALSE)+VLOOKUP($B381&amp;$E$282&amp;$G381,$E$6:$U$275,N$279,FALSE)*VLOOKUP($A381,Weighting!$D$26:$G$30,MATCH(Segmented!$E$282,Weighting!$E$26:$H$26,0)+1,FALSE)</f>
        <v>0</v>
      </c>
      <c r="O381">
        <f t="shared" si="25"/>
        <v>0</v>
      </c>
      <c r="P381" s="31">
        <f>VLOOKUP($B381&amp;$C$282&amp;$G381,$E$6:$U$275,P$279,FALSE)*VLOOKUP($A381,Weighting!$D$26:$G$30,MATCH(Segmented!$C$282,Weighting!$E$26:$H$26,0)+1,FALSE)+VLOOKUP($B381&amp;$D$282&amp;$G381,$E$6:$U$275,P$279,FALSE)*VLOOKUP($A381,Weighting!$D$26:$G$30,MATCH(Segmented!$D$282,Weighting!$E$26:$H$26,0)+1,FALSE)+VLOOKUP($B381&amp;$E$282&amp;$G381,$E$6:$U$275,P$279,FALSE)*VLOOKUP($A381,Weighting!$D$26:$G$30,MATCH(Segmented!$E$282,Weighting!$E$26:$H$26,0)+1,FALSE)</f>
        <v>0</v>
      </c>
      <c r="Q381">
        <f t="shared" si="26"/>
        <v>0</v>
      </c>
      <c r="R381" s="31">
        <f>VLOOKUP($B381&amp;$C$282&amp;$G381,$E$6:$U$275,R$279,FALSE)*VLOOKUP($A381,Weighting!$D$26:$G$30,MATCH(Segmented!$C$282,Weighting!$E$26:$H$26,0)+1,FALSE)+VLOOKUP($B381&amp;$D$282&amp;$G381,$E$6:$U$275,R$279,FALSE)*VLOOKUP($A381,Weighting!$D$26:$G$30,MATCH(Segmented!$D$282,Weighting!$E$26:$H$26,0)+1,FALSE)+VLOOKUP($B381&amp;$E$282&amp;$G381,$E$6:$U$275,R$279,FALSE)*VLOOKUP($A381,Weighting!$D$26:$G$30,MATCH(Segmented!$E$282,Weighting!$E$26:$H$26,0)+1,FALSE)</f>
        <v>0</v>
      </c>
      <c r="S381">
        <f t="shared" si="27"/>
        <v>0</v>
      </c>
      <c r="T381" s="31">
        <f>VLOOKUP($B381&amp;$C$282&amp;$G381,$E$6:$U$275,T$279,FALSE)*VLOOKUP($A381,Weighting!$D$26:$G$30,MATCH(Segmented!$C$282,Weighting!$E$26:$H$26,0)+1,FALSE)+VLOOKUP($B381&amp;$D$282&amp;$G381,$E$6:$U$275,T$279,FALSE)*VLOOKUP($A381,Weighting!$D$26:$G$30,MATCH(Segmented!$D$282,Weighting!$E$26:$H$26,0)+1,FALSE)+VLOOKUP($B381&amp;$E$282&amp;$G381,$E$6:$U$275,T$279,FALSE)*VLOOKUP($A381,Weighting!$D$26:$G$30,MATCH(Segmented!$E$282,Weighting!$E$26:$H$26,0)+1,FALSE)</f>
        <v>0</v>
      </c>
    </row>
    <row r="382" spans="1:20" ht="25.5">
      <c r="A382" t="s">
        <v>229</v>
      </c>
      <c r="B382" t="s">
        <v>229</v>
      </c>
      <c r="F382" s="55" t="str">
        <f t="shared" si="28"/>
        <v>WINDOW CL30 Prime Window Replacement of Single Pane Base_Heat Pump</v>
      </c>
      <c r="G382" s="54" t="s">
        <v>221</v>
      </c>
      <c r="H382" s="31">
        <f>VLOOKUP($B382&amp;$C$282&amp;$G382,$E$6:$U$275,H$279,FALSE)*VLOOKUP($A382,Weighting!$D$26:$G$30,MATCH(Segmented!$C$282,Weighting!$E$26:$H$26,0)+1,FALSE)+VLOOKUP($B382&amp;$D$282&amp;$G382,$E$6:$U$275,H$279,FALSE)*VLOOKUP($A382,Weighting!$D$26:$G$30,MATCH(Segmented!$D$282,Weighting!$E$26:$H$26,0)+1,FALSE)+VLOOKUP($B382&amp;$E$282&amp;$G382,$E$6:$U$275,H$279,FALSE)*VLOOKUP($A382,Weighting!$D$26:$G$30,MATCH(Segmented!$E$282,Weighting!$E$26:$H$26,0)+1,FALSE)</f>
        <v>22.326386216265778</v>
      </c>
      <c r="I382">
        <f t="shared" si="23"/>
        <v>45</v>
      </c>
      <c r="J382" s="31">
        <f>VLOOKUP($B382&amp;$C$282&amp;$G382,$E$6:$U$275,J$279,FALSE)*VLOOKUP($A382,Weighting!$D$26:$G$30,MATCH(Segmented!$C$282,Weighting!$E$26:$H$26,0)+1,FALSE)+VLOOKUP($B382&amp;$D$282&amp;$G382,$E$6:$U$275,J$279,FALSE)*VLOOKUP($A382,Weighting!$D$26:$G$30,MATCH(Segmented!$D$282,Weighting!$E$26:$H$26,0)+1,FALSE)+VLOOKUP($B382&amp;$E$282&amp;$G382,$E$6:$U$275,J$279,FALSE)*VLOOKUP($A382,Weighting!$D$26:$G$30,MATCH(Segmented!$E$282,Weighting!$E$26:$H$26,0)+1,FALSE)</f>
        <v>0</v>
      </c>
      <c r="K382" s="31">
        <f>VLOOKUP($B382&amp;$C$282&amp;$G382,$E$6:$U$275,K$279,FALSE)*VLOOKUP($A382,Weighting!$D$26:$G$30,MATCH(Segmented!$C$282,Weighting!$E$26:$H$26,0)+1,FALSE)+VLOOKUP($B382&amp;$D$282&amp;$G382,$E$6:$U$275,K$279,FALSE)*VLOOKUP($A382,Weighting!$D$26:$G$30,MATCH(Segmented!$D$282,Weighting!$E$26:$H$26,0)+1,FALSE)+VLOOKUP($B382&amp;$E$282&amp;$G382,$E$6:$U$275,K$279,FALSE)*VLOOKUP($A382,Weighting!$D$26:$G$30,MATCH(Segmented!$E$282,Weighting!$E$26:$H$26,0)+1,FALSE)</f>
        <v>0</v>
      </c>
      <c r="L382" t="str">
        <f t="shared" si="24"/>
        <v>ResSpHtHPZ1</v>
      </c>
      <c r="M382" s="31">
        <f>VLOOKUP($B382&amp;$C$282&amp;$G382,$E$6:$U$275,M$279,FALSE)*VLOOKUP($A382,Weighting!$D$26:$G$30,MATCH(Segmented!$C$282,Weighting!$E$26:$H$26,0)+1,FALSE)+VLOOKUP($B382&amp;$D$282&amp;$G382,$E$6:$U$275,M$279,FALSE)*VLOOKUP($A382,Weighting!$D$26:$G$30,MATCH(Segmented!$D$282,Weighting!$E$26:$H$26,0)+1,FALSE)+VLOOKUP($B382&amp;$E$282&amp;$G382,$E$6:$U$275,M$279,FALSE)*VLOOKUP($A382,Weighting!$D$26:$G$30,MATCH(Segmented!$E$282,Weighting!$E$26:$H$26,0)+1,FALSE)</f>
        <v>0</v>
      </c>
      <c r="N382" s="31">
        <f>VLOOKUP($B382&amp;$C$282&amp;$G382,$E$6:$U$275,N$279,FALSE)*VLOOKUP($A382,Weighting!$D$26:$G$30,MATCH(Segmented!$C$282,Weighting!$E$26:$H$26,0)+1,FALSE)+VLOOKUP($B382&amp;$D$282&amp;$G382,$E$6:$U$275,N$279,FALSE)*VLOOKUP($A382,Weighting!$D$26:$G$30,MATCH(Segmented!$D$282,Weighting!$E$26:$H$26,0)+1,FALSE)+VLOOKUP($B382&amp;$E$282&amp;$G382,$E$6:$U$275,N$279,FALSE)*VLOOKUP($A382,Weighting!$D$26:$G$30,MATCH(Segmented!$E$282,Weighting!$E$26:$H$26,0)+1,FALSE)</f>
        <v>0</v>
      </c>
      <c r="O382">
        <f t="shared" si="25"/>
        <v>0</v>
      </c>
      <c r="P382" s="31">
        <f>VLOOKUP($B382&amp;$C$282&amp;$G382,$E$6:$U$275,P$279,FALSE)*VLOOKUP($A382,Weighting!$D$26:$G$30,MATCH(Segmented!$C$282,Weighting!$E$26:$H$26,0)+1,FALSE)+VLOOKUP($B382&amp;$D$282&amp;$G382,$E$6:$U$275,P$279,FALSE)*VLOOKUP($A382,Weighting!$D$26:$G$30,MATCH(Segmented!$D$282,Weighting!$E$26:$H$26,0)+1,FALSE)+VLOOKUP($B382&amp;$E$282&amp;$G382,$E$6:$U$275,P$279,FALSE)*VLOOKUP($A382,Weighting!$D$26:$G$30,MATCH(Segmented!$E$282,Weighting!$E$26:$H$26,0)+1,FALSE)</f>
        <v>0</v>
      </c>
      <c r="Q382">
        <f t="shared" si="26"/>
        <v>0</v>
      </c>
      <c r="R382" s="31">
        <f>VLOOKUP($B382&amp;$C$282&amp;$G382,$E$6:$U$275,R$279,FALSE)*VLOOKUP($A382,Weighting!$D$26:$G$30,MATCH(Segmented!$C$282,Weighting!$E$26:$H$26,0)+1,FALSE)+VLOOKUP($B382&amp;$D$282&amp;$G382,$E$6:$U$275,R$279,FALSE)*VLOOKUP($A382,Weighting!$D$26:$G$30,MATCH(Segmented!$D$282,Weighting!$E$26:$H$26,0)+1,FALSE)+VLOOKUP($B382&amp;$E$282&amp;$G382,$E$6:$U$275,R$279,FALSE)*VLOOKUP($A382,Weighting!$D$26:$G$30,MATCH(Segmented!$E$282,Weighting!$E$26:$H$26,0)+1,FALSE)</f>
        <v>0</v>
      </c>
      <c r="S382">
        <f t="shared" si="27"/>
        <v>0</v>
      </c>
      <c r="T382" s="31">
        <f>VLOOKUP($B382&amp;$C$282&amp;$G382,$E$6:$U$275,T$279,FALSE)*VLOOKUP($A382,Weighting!$D$26:$G$30,MATCH(Segmented!$C$282,Weighting!$E$26:$H$26,0)+1,FALSE)+VLOOKUP($B382&amp;$D$282&amp;$G382,$E$6:$U$275,T$279,FALSE)*VLOOKUP($A382,Weighting!$D$26:$G$30,MATCH(Segmented!$D$282,Weighting!$E$26:$H$26,0)+1,FALSE)+VLOOKUP($B382&amp;$E$282&amp;$G382,$E$6:$U$275,T$279,FALSE)*VLOOKUP($A382,Weighting!$D$26:$G$30,MATCH(Segmented!$E$282,Weighting!$E$26:$H$26,0)+1,FALSE)</f>
        <v>0</v>
      </c>
    </row>
    <row r="383" spans="1:20" ht="25.5">
      <c r="A383" t="s">
        <v>229</v>
      </c>
      <c r="B383" t="s">
        <v>229</v>
      </c>
      <c r="F383" s="55" t="str">
        <f t="shared" si="28"/>
        <v>WINDOW CL30 Prime Window Replacement of Double Pane Base_Heat Pump</v>
      </c>
      <c r="G383" s="54" t="s">
        <v>222</v>
      </c>
      <c r="H383" s="31">
        <f>VLOOKUP($B383&amp;$C$282&amp;$G383,$E$6:$U$275,H$279,FALSE)*VLOOKUP($A383,Weighting!$D$26:$G$30,MATCH(Segmented!$C$282,Weighting!$E$26:$H$26,0)+1,FALSE)+VLOOKUP($B383&amp;$D$282&amp;$G383,$E$6:$U$275,H$279,FALSE)*VLOOKUP($A383,Weighting!$D$26:$G$30,MATCH(Segmented!$D$282,Weighting!$E$26:$H$26,0)+1,FALSE)+VLOOKUP($B383&amp;$E$282&amp;$G383,$E$6:$U$275,H$279,FALSE)*VLOOKUP($A383,Weighting!$D$26:$G$30,MATCH(Segmented!$E$282,Weighting!$E$26:$H$26,0)+1,FALSE)</f>
        <v>27.37138430251478</v>
      </c>
      <c r="I383">
        <f t="shared" si="23"/>
        <v>45</v>
      </c>
      <c r="J383" s="31">
        <f>VLOOKUP($B383&amp;$C$282&amp;$G383,$E$6:$U$275,J$279,FALSE)*VLOOKUP($A383,Weighting!$D$26:$G$30,MATCH(Segmented!$C$282,Weighting!$E$26:$H$26,0)+1,FALSE)+VLOOKUP($B383&amp;$D$282&amp;$G383,$E$6:$U$275,J$279,FALSE)*VLOOKUP($A383,Weighting!$D$26:$G$30,MATCH(Segmented!$D$282,Weighting!$E$26:$H$26,0)+1,FALSE)+VLOOKUP($B383&amp;$E$282&amp;$G383,$E$6:$U$275,J$279,FALSE)*VLOOKUP($A383,Weighting!$D$26:$G$30,MATCH(Segmented!$E$282,Weighting!$E$26:$H$26,0)+1,FALSE)</f>
        <v>0</v>
      </c>
      <c r="K383" s="31">
        <f>VLOOKUP($B383&amp;$C$282&amp;$G383,$E$6:$U$275,K$279,FALSE)*VLOOKUP($A383,Weighting!$D$26:$G$30,MATCH(Segmented!$C$282,Weighting!$E$26:$H$26,0)+1,FALSE)+VLOOKUP($B383&amp;$D$282&amp;$G383,$E$6:$U$275,K$279,FALSE)*VLOOKUP($A383,Weighting!$D$26:$G$30,MATCH(Segmented!$D$282,Weighting!$E$26:$H$26,0)+1,FALSE)+VLOOKUP($B383&amp;$E$282&amp;$G383,$E$6:$U$275,K$279,FALSE)*VLOOKUP($A383,Weighting!$D$26:$G$30,MATCH(Segmented!$E$282,Weighting!$E$26:$H$26,0)+1,FALSE)</f>
        <v>0</v>
      </c>
      <c r="L383" t="str">
        <f t="shared" si="24"/>
        <v>ResSpHtHPZ1</v>
      </c>
      <c r="M383" s="31">
        <f>VLOOKUP($B383&amp;$C$282&amp;$G383,$E$6:$U$275,M$279,FALSE)*VLOOKUP($A383,Weighting!$D$26:$G$30,MATCH(Segmented!$C$282,Weighting!$E$26:$H$26,0)+1,FALSE)+VLOOKUP($B383&amp;$D$282&amp;$G383,$E$6:$U$275,M$279,FALSE)*VLOOKUP($A383,Weighting!$D$26:$G$30,MATCH(Segmented!$D$282,Weighting!$E$26:$H$26,0)+1,FALSE)+VLOOKUP($B383&amp;$E$282&amp;$G383,$E$6:$U$275,M$279,FALSE)*VLOOKUP($A383,Weighting!$D$26:$G$30,MATCH(Segmented!$E$282,Weighting!$E$26:$H$26,0)+1,FALSE)</f>
        <v>0</v>
      </c>
      <c r="N383" s="31">
        <f>VLOOKUP($B383&amp;$C$282&amp;$G383,$E$6:$U$275,N$279,FALSE)*VLOOKUP($A383,Weighting!$D$26:$G$30,MATCH(Segmented!$C$282,Weighting!$E$26:$H$26,0)+1,FALSE)+VLOOKUP($B383&amp;$D$282&amp;$G383,$E$6:$U$275,N$279,FALSE)*VLOOKUP($A383,Weighting!$D$26:$G$30,MATCH(Segmented!$D$282,Weighting!$E$26:$H$26,0)+1,FALSE)+VLOOKUP($B383&amp;$E$282&amp;$G383,$E$6:$U$275,N$279,FALSE)*VLOOKUP($A383,Weighting!$D$26:$G$30,MATCH(Segmented!$E$282,Weighting!$E$26:$H$26,0)+1,FALSE)</f>
        <v>0</v>
      </c>
      <c r="O383">
        <f t="shared" si="25"/>
        <v>0</v>
      </c>
      <c r="P383" s="31">
        <f>VLOOKUP($B383&amp;$C$282&amp;$G383,$E$6:$U$275,P$279,FALSE)*VLOOKUP($A383,Weighting!$D$26:$G$30,MATCH(Segmented!$C$282,Weighting!$E$26:$H$26,0)+1,FALSE)+VLOOKUP($B383&amp;$D$282&amp;$G383,$E$6:$U$275,P$279,FALSE)*VLOOKUP($A383,Weighting!$D$26:$G$30,MATCH(Segmented!$D$282,Weighting!$E$26:$H$26,0)+1,FALSE)+VLOOKUP($B383&amp;$E$282&amp;$G383,$E$6:$U$275,P$279,FALSE)*VLOOKUP($A383,Weighting!$D$26:$G$30,MATCH(Segmented!$E$282,Weighting!$E$26:$H$26,0)+1,FALSE)</f>
        <v>0</v>
      </c>
      <c r="Q383">
        <f t="shared" si="26"/>
        <v>0</v>
      </c>
      <c r="R383" s="31">
        <f>VLOOKUP($B383&amp;$C$282&amp;$G383,$E$6:$U$275,R$279,FALSE)*VLOOKUP($A383,Weighting!$D$26:$G$30,MATCH(Segmented!$C$282,Weighting!$E$26:$H$26,0)+1,FALSE)+VLOOKUP($B383&amp;$D$282&amp;$G383,$E$6:$U$275,R$279,FALSE)*VLOOKUP($A383,Weighting!$D$26:$G$30,MATCH(Segmented!$D$282,Weighting!$E$26:$H$26,0)+1,FALSE)+VLOOKUP($B383&amp;$E$282&amp;$G383,$E$6:$U$275,R$279,FALSE)*VLOOKUP($A383,Weighting!$D$26:$G$30,MATCH(Segmented!$E$282,Weighting!$E$26:$H$26,0)+1,FALSE)</f>
        <v>0</v>
      </c>
      <c r="S383">
        <f t="shared" si="27"/>
        <v>0</v>
      </c>
      <c r="T383" s="31">
        <f>VLOOKUP($B383&amp;$C$282&amp;$G383,$E$6:$U$275,T$279,FALSE)*VLOOKUP($A383,Weighting!$D$26:$G$30,MATCH(Segmented!$C$282,Weighting!$E$26:$H$26,0)+1,FALSE)+VLOOKUP($B383&amp;$D$282&amp;$G383,$E$6:$U$275,T$279,FALSE)*VLOOKUP($A383,Weighting!$D$26:$G$30,MATCH(Segmented!$D$282,Weighting!$E$26:$H$26,0)+1,FALSE)+VLOOKUP($B383&amp;$E$282&amp;$G383,$E$6:$U$275,T$279,FALSE)*VLOOKUP($A383,Weighting!$D$26:$G$30,MATCH(Segmented!$E$282,Weighting!$E$26:$H$26,0)+1,FALSE)</f>
        <v>0</v>
      </c>
    </row>
    <row r="384" spans="1:20" ht="25.5">
      <c r="A384" t="s">
        <v>229</v>
      </c>
      <c r="B384" t="s">
        <v>229</v>
      </c>
      <c r="F384" s="55" t="str">
        <f t="shared" si="28"/>
        <v>WINDOW CL22 Prime Window Replacement of Single Pane Base_Heat Pump</v>
      </c>
      <c r="G384" s="54" t="s">
        <v>224</v>
      </c>
      <c r="H384" s="31">
        <f>VLOOKUP($B384&amp;$C$282&amp;$G384,$E$6:$U$275,H$279,FALSE)*VLOOKUP($A384,Weighting!$D$26:$G$30,MATCH(Segmented!$C$282,Weighting!$E$26:$H$26,0)+1,FALSE)+VLOOKUP($B384&amp;$D$282&amp;$G384,$E$6:$U$275,H$279,FALSE)*VLOOKUP($A384,Weighting!$D$26:$G$30,MATCH(Segmented!$D$282,Weighting!$E$26:$H$26,0)+1,FALSE)+VLOOKUP($B384&amp;$E$282&amp;$G384,$E$6:$U$275,H$279,FALSE)*VLOOKUP($A384,Weighting!$D$26:$G$30,MATCH(Segmented!$E$282,Weighting!$E$26:$H$26,0)+1,FALSE)</f>
        <v>24.068388808939833</v>
      </c>
      <c r="I384">
        <f t="shared" si="23"/>
        <v>45</v>
      </c>
      <c r="J384" s="31">
        <f>VLOOKUP($B384&amp;$C$282&amp;$G384,$E$6:$U$275,J$279,FALSE)*VLOOKUP($A384,Weighting!$D$26:$G$30,MATCH(Segmented!$C$282,Weighting!$E$26:$H$26,0)+1,FALSE)+VLOOKUP($B384&amp;$D$282&amp;$G384,$E$6:$U$275,J$279,FALSE)*VLOOKUP($A384,Weighting!$D$26:$G$30,MATCH(Segmented!$D$282,Weighting!$E$26:$H$26,0)+1,FALSE)+VLOOKUP($B384&amp;$E$282&amp;$G384,$E$6:$U$275,J$279,FALSE)*VLOOKUP($A384,Weighting!$D$26:$G$30,MATCH(Segmented!$E$282,Weighting!$E$26:$H$26,0)+1,FALSE)</f>
        <v>0</v>
      </c>
      <c r="K384" s="31">
        <f>VLOOKUP($B384&amp;$C$282&amp;$G384,$E$6:$U$275,K$279,FALSE)*VLOOKUP($A384,Weighting!$D$26:$G$30,MATCH(Segmented!$C$282,Weighting!$E$26:$H$26,0)+1,FALSE)+VLOOKUP($B384&amp;$D$282&amp;$G384,$E$6:$U$275,K$279,FALSE)*VLOOKUP($A384,Weighting!$D$26:$G$30,MATCH(Segmented!$D$282,Weighting!$E$26:$H$26,0)+1,FALSE)+VLOOKUP($B384&amp;$E$282&amp;$G384,$E$6:$U$275,K$279,FALSE)*VLOOKUP($A384,Weighting!$D$26:$G$30,MATCH(Segmented!$E$282,Weighting!$E$26:$H$26,0)+1,FALSE)</f>
        <v>0</v>
      </c>
      <c r="L384" t="str">
        <f t="shared" si="24"/>
        <v>ResSpHtHPZ1</v>
      </c>
      <c r="M384" s="31">
        <f>VLOOKUP($B384&amp;$C$282&amp;$G384,$E$6:$U$275,M$279,FALSE)*VLOOKUP($A384,Weighting!$D$26:$G$30,MATCH(Segmented!$C$282,Weighting!$E$26:$H$26,0)+1,FALSE)+VLOOKUP($B384&amp;$D$282&amp;$G384,$E$6:$U$275,M$279,FALSE)*VLOOKUP($A384,Weighting!$D$26:$G$30,MATCH(Segmented!$D$282,Weighting!$E$26:$H$26,0)+1,FALSE)+VLOOKUP($B384&amp;$E$282&amp;$G384,$E$6:$U$275,M$279,FALSE)*VLOOKUP($A384,Weighting!$D$26:$G$30,MATCH(Segmented!$E$282,Weighting!$E$26:$H$26,0)+1,FALSE)</f>
        <v>0</v>
      </c>
      <c r="N384" s="31">
        <f>VLOOKUP($B384&amp;$C$282&amp;$G384,$E$6:$U$275,N$279,FALSE)*VLOOKUP($A384,Weighting!$D$26:$G$30,MATCH(Segmented!$C$282,Weighting!$E$26:$H$26,0)+1,FALSE)+VLOOKUP($B384&amp;$D$282&amp;$G384,$E$6:$U$275,N$279,FALSE)*VLOOKUP($A384,Weighting!$D$26:$G$30,MATCH(Segmented!$D$282,Weighting!$E$26:$H$26,0)+1,FALSE)+VLOOKUP($B384&amp;$E$282&amp;$G384,$E$6:$U$275,N$279,FALSE)*VLOOKUP($A384,Weighting!$D$26:$G$30,MATCH(Segmented!$E$282,Weighting!$E$26:$H$26,0)+1,FALSE)</f>
        <v>0</v>
      </c>
      <c r="O384">
        <f t="shared" si="25"/>
        <v>0</v>
      </c>
      <c r="P384" s="31">
        <f>VLOOKUP($B384&amp;$C$282&amp;$G384,$E$6:$U$275,P$279,FALSE)*VLOOKUP($A384,Weighting!$D$26:$G$30,MATCH(Segmented!$C$282,Weighting!$E$26:$H$26,0)+1,FALSE)+VLOOKUP($B384&amp;$D$282&amp;$G384,$E$6:$U$275,P$279,FALSE)*VLOOKUP($A384,Weighting!$D$26:$G$30,MATCH(Segmented!$D$282,Weighting!$E$26:$H$26,0)+1,FALSE)+VLOOKUP($B384&amp;$E$282&amp;$G384,$E$6:$U$275,P$279,FALSE)*VLOOKUP($A384,Weighting!$D$26:$G$30,MATCH(Segmented!$E$282,Weighting!$E$26:$H$26,0)+1,FALSE)</f>
        <v>0</v>
      </c>
      <c r="Q384">
        <f t="shared" si="26"/>
        <v>0</v>
      </c>
      <c r="R384" s="31">
        <f>VLOOKUP($B384&amp;$C$282&amp;$G384,$E$6:$U$275,R$279,FALSE)*VLOOKUP($A384,Weighting!$D$26:$G$30,MATCH(Segmented!$C$282,Weighting!$E$26:$H$26,0)+1,FALSE)+VLOOKUP($B384&amp;$D$282&amp;$G384,$E$6:$U$275,R$279,FALSE)*VLOOKUP($A384,Weighting!$D$26:$G$30,MATCH(Segmented!$D$282,Weighting!$E$26:$H$26,0)+1,FALSE)+VLOOKUP($B384&amp;$E$282&amp;$G384,$E$6:$U$275,R$279,FALSE)*VLOOKUP($A384,Weighting!$D$26:$G$30,MATCH(Segmented!$E$282,Weighting!$E$26:$H$26,0)+1,FALSE)</f>
        <v>0</v>
      </c>
      <c r="S384">
        <f t="shared" si="27"/>
        <v>0</v>
      </c>
      <c r="T384" s="31">
        <f>VLOOKUP($B384&amp;$C$282&amp;$G384,$E$6:$U$275,T$279,FALSE)*VLOOKUP($A384,Weighting!$D$26:$G$30,MATCH(Segmented!$C$282,Weighting!$E$26:$H$26,0)+1,FALSE)+VLOOKUP($B384&amp;$D$282&amp;$G384,$E$6:$U$275,T$279,FALSE)*VLOOKUP($A384,Weighting!$D$26:$G$30,MATCH(Segmented!$D$282,Weighting!$E$26:$H$26,0)+1,FALSE)+VLOOKUP($B384&amp;$E$282&amp;$G384,$E$6:$U$275,T$279,FALSE)*VLOOKUP($A384,Weighting!$D$26:$G$30,MATCH(Segmented!$E$282,Weighting!$E$26:$H$26,0)+1,FALSE)</f>
        <v>0</v>
      </c>
    </row>
    <row r="385" spans="1:20" ht="25.5">
      <c r="A385" t="s">
        <v>229</v>
      </c>
      <c r="B385" t="s">
        <v>229</v>
      </c>
      <c r="F385" s="55" t="str">
        <f t="shared" si="28"/>
        <v>WINDOW CL22 Prime Window Replacement of Double Pane Base_Heat Pump</v>
      </c>
      <c r="G385" s="54" t="s">
        <v>225</v>
      </c>
      <c r="H385" s="31">
        <f>VLOOKUP($B385&amp;$C$282&amp;$G385,$E$6:$U$275,H$279,FALSE)*VLOOKUP($A385,Weighting!$D$26:$G$30,MATCH(Segmented!$C$282,Weighting!$E$26:$H$26,0)+1,FALSE)+VLOOKUP($B385&amp;$D$282&amp;$G385,$E$6:$U$275,H$279,FALSE)*VLOOKUP($A385,Weighting!$D$26:$G$30,MATCH(Segmented!$D$282,Weighting!$E$26:$H$26,0)+1,FALSE)+VLOOKUP($B385&amp;$E$282&amp;$G385,$E$6:$U$275,H$279,FALSE)*VLOOKUP($A385,Weighting!$D$26:$G$30,MATCH(Segmented!$E$282,Weighting!$E$26:$H$26,0)+1,FALSE)</f>
        <v>29.113386895188835</v>
      </c>
      <c r="I385">
        <f t="shared" si="23"/>
        <v>45</v>
      </c>
      <c r="J385" s="31">
        <f>VLOOKUP($B385&amp;$C$282&amp;$G385,$E$6:$U$275,J$279,FALSE)*VLOOKUP($A385,Weighting!$D$26:$G$30,MATCH(Segmented!$C$282,Weighting!$E$26:$H$26,0)+1,FALSE)+VLOOKUP($B385&amp;$D$282&amp;$G385,$E$6:$U$275,J$279,FALSE)*VLOOKUP($A385,Weighting!$D$26:$G$30,MATCH(Segmented!$D$282,Weighting!$E$26:$H$26,0)+1,FALSE)+VLOOKUP($B385&amp;$E$282&amp;$G385,$E$6:$U$275,J$279,FALSE)*VLOOKUP($A385,Weighting!$D$26:$G$30,MATCH(Segmented!$E$282,Weighting!$E$26:$H$26,0)+1,FALSE)</f>
        <v>0</v>
      </c>
      <c r="K385" s="31">
        <f>VLOOKUP($B385&amp;$C$282&amp;$G385,$E$6:$U$275,K$279,FALSE)*VLOOKUP($A385,Weighting!$D$26:$G$30,MATCH(Segmented!$C$282,Weighting!$E$26:$H$26,0)+1,FALSE)+VLOOKUP($B385&amp;$D$282&amp;$G385,$E$6:$U$275,K$279,FALSE)*VLOOKUP($A385,Weighting!$D$26:$G$30,MATCH(Segmented!$D$282,Weighting!$E$26:$H$26,0)+1,FALSE)+VLOOKUP($B385&amp;$E$282&amp;$G385,$E$6:$U$275,K$279,FALSE)*VLOOKUP($A385,Weighting!$D$26:$G$30,MATCH(Segmented!$E$282,Weighting!$E$26:$H$26,0)+1,FALSE)</f>
        <v>0</v>
      </c>
      <c r="L385" t="str">
        <f t="shared" si="24"/>
        <v>ResSpHtHPZ1</v>
      </c>
      <c r="M385" s="31">
        <f>VLOOKUP($B385&amp;$C$282&amp;$G385,$E$6:$U$275,M$279,FALSE)*VLOOKUP($A385,Weighting!$D$26:$G$30,MATCH(Segmented!$C$282,Weighting!$E$26:$H$26,0)+1,FALSE)+VLOOKUP($B385&amp;$D$282&amp;$G385,$E$6:$U$275,M$279,FALSE)*VLOOKUP($A385,Weighting!$D$26:$G$30,MATCH(Segmented!$D$282,Weighting!$E$26:$H$26,0)+1,FALSE)+VLOOKUP($B385&amp;$E$282&amp;$G385,$E$6:$U$275,M$279,FALSE)*VLOOKUP($A385,Weighting!$D$26:$G$30,MATCH(Segmented!$E$282,Weighting!$E$26:$H$26,0)+1,FALSE)</f>
        <v>0</v>
      </c>
      <c r="N385" s="31">
        <f>VLOOKUP($B385&amp;$C$282&amp;$G385,$E$6:$U$275,N$279,FALSE)*VLOOKUP($A385,Weighting!$D$26:$G$30,MATCH(Segmented!$C$282,Weighting!$E$26:$H$26,0)+1,FALSE)+VLOOKUP($B385&amp;$D$282&amp;$G385,$E$6:$U$275,N$279,FALSE)*VLOOKUP($A385,Weighting!$D$26:$G$30,MATCH(Segmented!$D$282,Weighting!$E$26:$H$26,0)+1,FALSE)+VLOOKUP($B385&amp;$E$282&amp;$G385,$E$6:$U$275,N$279,FALSE)*VLOOKUP($A385,Weighting!$D$26:$G$30,MATCH(Segmented!$E$282,Weighting!$E$26:$H$26,0)+1,FALSE)</f>
        <v>0</v>
      </c>
      <c r="O385">
        <f t="shared" si="25"/>
        <v>0</v>
      </c>
      <c r="P385" s="31">
        <f>VLOOKUP($B385&amp;$C$282&amp;$G385,$E$6:$U$275,P$279,FALSE)*VLOOKUP($A385,Weighting!$D$26:$G$30,MATCH(Segmented!$C$282,Weighting!$E$26:$H$26,0)+1,FALSE)+VLOOKUP($B385&amp;$D$282&amp;$G385,$E$6:$U$275,P$279,FALSE)*VLOOKUP($A385,Weighting!$D$26:$G$30,MATCH(Segmented!$D$282,Weighting!$E$26:$H$26,0)+1,FALSE)+VLOOKUP($B385&amp;$E$282&amp;$G385,$E$6:$U$275,P$279,FALSE)*VLOOKUP($A385,Weighting!$D$26:$G$30,MATCH(Segmented!$E$282,Weighting!$E$26:$H$26,0)+1,FALSE)</f>
        <v>0</v>
      </c>
      <c r="Q385">
        <f t="shared" si="26"/>
        <v>0</v>
      </c>
      <c r="R385" s="31">
        <f>VLOOKUP($B385&amp;$C$282&amp;$G385,$E$6:$U$275,R$279,FALSE)*VLOOKUP($A385,Weighting!$D$26:$G$30,MATCH(Segmented!$C$282,Weighting!$E$26:$H$26,0)+1,FALSE)+VLOOKUP($B385&amp;$D$282&amp;$G385,$E$6:$U$275,R$279,FALSE)*VLOOKUP($A385,Weighting!$D$26:$G$30,MATCH(Segmented!$D$282,Weighting!$E$26:$H$26,0)+1,FALSE)+VLOOKUP($B385&amp;$E$282&amp;$G385,$E$6:$U$275,R$279,FALSE)*VLOOKUP($A385,Weighting!$D$26:$G$30,MATCH(Segmented!$E$282,Weighting!$E$26:$H$26,0)+1,FALSE)</f>
        <v>0</v>
      </c>
      <c r="S385">
        <f t="shared" si="27"/>
        <v>0</v>
      </c>
      <c r="T385" s="31">
        <f>VLOOKUP($B385&amp;$C$282&amp;$G385,$E$6:$U$275,T$279,FALSE)*VLOOKUP($A385,Weighting!$D$26:$G$30,MATCH(Segmented!$C$282,Weighting!$E$26:$H$26,0)+1,FALSE)+VLOOKUP($B385&amp;$D$282&amp;$G385,$E$6:$U$275,T$279,FALSE)*VLOOKUP($A385,Weighting!$D$26:$G$30,MATCH(Segmented!$D$282,Weighting!$E$26:$H$26,0)+1,FALSE)+VLOOKUP($B385&amp;$E$282&amp;$G385,$E$6:$U$275,T$279,FALSE)*VLOOKUP($A385,Weighting!$D$26:$G$30,MATCH(Segmented!$E$282,Weighting!$E$26:$H$26,0)+1,FALSE)</f>
        <v>0</v>
      </c>
    </row>
    <row r="386" spans="1:20">
      <c r="A386" t="s">
        <v>229</v>
      </c>
      <c r="B386" t="s">
        <v>229</v>
      </c>
      <c r="F386" s="55" t="str">
        <f t="shared" si="28"/>
        <v>CFM50 Infiltration Reduction_Heat Pump</v>
      </c>
      <c r="G386" s="307" t="s">
        <v>890</v>
      </c>
      <c r="H386" s="31">
        <f>VLOOKUP($B386&amp;$C$282&amp;$G386,$E$6:$U$275,H$279,FALSE)*VLOOKUP($A386,Weighting!$D$26:$G$30,MATCH(Segmented!$C$282,Weighting!$E$26:$H$26,0)+1,FALSE)+VLOOKUP($B386&amp;$D$282&amp;$G386,$E$6:$U$275,H$279,FALSE)*VLOOKUP($A386,Weighting!$D$26:$G$30,MATCH(Segmented!$D$282,Weighting!$E$26:$H$26,0)+1,FALSE)+VLOOKUP($B386&amp;$E$282&amp;$G386,$E$6:$U$275,H$279,FALSE)*VLOOKUP($A386,Weighting!$D$26:$G$30,MATCH(Segmented!$E$282,Weighting!$E$26:$H$26,0)+1,FALSE)</f>
        <v>2.2496018975639354</v>
      </c>
      <c r="I386">
        <f t="shared" ref="I386:I396" si="29">I110</f>
        <v>15</v>
      </c>
      <c r="J386" s="31">
        <f>VLOOKUP($B386&amp;$C$282&amp;$G386,$E$6:$U$275,J$279,FALSE)*VLOOKUP($A386,Weighting!$D$26:$G$30,MATCH(Segmented!$C$282,Weighting!$E$26:$H$26,0)+1,FALSE)+VLOOKUP($B386&amp;$D$282&amp;$G386,$E$6:$U$275,J$279,FALSE)*VLOOKUP($A386,Weighting!$D$26:$G$30,MATCH(Segmented!$D$282,Weighting!$E$26:$H$26,0)+1,FALSE)+VLOOKUP($B386&amp;$E$282&amp;$G386,$E$6:$U$275,J$279,FALSE)*VLOOKUP($A386,Weighting!$D$26:$G$30,MATCH(Segmented!$E$282,Weighting!$E$26:$H$26,0)+1,FALSE)</f>
        <v>0</v>
      </c>
      <c r="K386" s="31">
        <f>VLOOKUP($B386&amp;$C$282&amp;$G386,$E$6:$U$275,K$279,FALSE)*VLOOKUP($A386,Weighting!$D$26:$G$30,MATCH(Segmented!$C$282,Weighting!$E$26:$H$26,0)+1,FALSE)+VLOOKUP($B386&amp;$D$282&amp;$G386,$E$6:$U$275,K$279,FALSE)*VLOOKUP($A386,Weighting!$D$26:$G$30,MATCH(Segmented!$D$282,Weighting!$E$26:$H$26,0)+1,FALSE)+VLOOKUP($B386&amp;$E$282&amp;$G386,$E$6:$U$275,K$279,FALSE)*VLOOKUP($A386,Weighting!$D$26:$G$30,MATCH(Segmented!$E$282,Weighting!$E$26:$H$26,0)+1,FALSE)</f>
        <v>0</v>
      </c>
      <c r="L386" t="str">
        <f t="shared" ref="L386:L396" si="30">L110</f>
        <v>ResSpHtHPZ1</v>
      </c>
      <c r="M386" s="31">
        <f>VLOOKUP($B386&amp;$C$282&amp;$G386,$E$6:$U$275,M$279,FALSE)*VLOOKUP($A386,Weighting!$D$26:$G$30,MATCH(Segmented!$C$282,Weighting!$E$26:$H$26,0)+1,FALSE)+VLOOKUP($B386&amp;$D$282&amp;$G386,$E$6:$U$275,M$279,FALSE)*VLOOKUP($A386,Weighting!$D$26:$G$30,MATCH(Segmented!$D$282,Weighting!$E$26:$H$26,0)+1,FALSE)+VLOOKUP($B386&amp;$E$282&amp;$G386,$E$6:$U$275,M$279,FALSE)*VLOOKUP($A386,Weighting!$D$26:$G$30,MATCH(Segmented!$E$282,Weighting!$E$26:$H$26,0)+1,FALSE)</f>
        <v>0</v>
      </c>
      <c r="N386" s="31">
        <f>VLOOKUP($B386&amp;$C$282&amp;$G386,$E$6:$U$275,N$279,FALSE)*VLOOKUP($A386,Weighting!$D$26:$G$30,MATCH(Segmented!$C$282,Weighting!$E$26:$H$26,0)+1,FALSE)+VLOOKUP($B386&amp;$D$282&amp;$G386,$E$6:$U$275,N$279,FALSE)*VLOOKUP($A386,Weighting!$D$26:$G$30,MATCH(Segmented!$D$282,Weighting!$E$26:$H$26,0)+1,FALSE)+VLOOKUP($B386&amp;$E$282&amp;$G386,$E$6:$U$275,N$279,FALSE)*VLOOKUP($A386,Weighting!$D$26:$G$30,MATCH(Segmented!$E$282,Weighting!$E$26:$H$26,0)+1,FALSE)</f>
        <v>0</v>
      </c>
      <c r="O386">
        <f t="shared" ref="O386:O396" si="31">O110</f>
        <v>0</v>
      </c>
      <c r="P386" s="31">
        <f>VLOOKUP($B386&amp;$C$282&amp;$G386,$E$6:$U$275,P$279,FALSE)*VLOOKUP($A386,Weighting!$D$26:$G$30,MATCH(Segmented!$C$282,Weighting!$E$26:$H$26,0)+1,FALSE)+VLOOKUP($B386&amp;$D$282&amp;$G386,$E$6:$U$275,P$279,FALSE)*VLOOKUP($A386,Weighting!$D$26:$G$30,MATCH(Segmented!$D$282,Weighting!$E$26:$H$26,0)+1,FALSE)+VLOOKUP($B386&amp;$E$282&amp;$G386,$E$6:$U$275,P$279,FALSE)*VLOOKUP($A386,Weighting!$D$26:$G$30,MATCH(Segmented!$E$282,Weighting!$E$26:$H$26,0)+1,FALSE)</f>
        <v>0</v>
      </c>
      <c r="Q386">
        <f t="shared" ref="Q386:Q396" si="32">Q110</f>
        <v>0</v>
      </c>
      <c r="R386" s="31">
        <f>VLOOKUP($B386&amp;$C$282&amp;$G386,$E$6:$U$275,R$279,FALSE)*VLOOKUP($A386,Weighting!$D$26:$G$30,MATCH(Segmented!$C$282,Weighting!$E$26:$H$26,0)+1,FALSE)+VLOOKUP($B386&amp;$D$282&amp;$G386,$E$6:$U$275,R$279,FALSE)*VLOOKUP($A386,Weighting!$D$26:$G$30,MATCH(Segmented!$D$282,Weighting!$E$26:$H$26,0)+1,FALSE)+VLOOKUP($B386&amp;$E$282&amp;$G386,$E$6:$U$275,R$279,FALSE)*VLOOKUP($A386,Weighting!$D$26:$G$30,MATCH(Segmented!$E$282,Weighting!$E$26:$H$26,0)+1,FALSE)</f>
        <v>0</v>
      </c>
      <c r="S386">
        <f t="shared" ref="S386:S396" si="33">S110</f>
        <v>0</v>
      </c>
      <c r="T386" s="31">
        <f>VLOOKUP($B386&amp;$C$282&amp;$G386,$E$6:$U$275,T$279,FALSE)*VLOOKUP($A386,Weighting!$D$26:$G$30,MATCH(Segmented!$C$282,Weighting!$E$26:$H$26,0)+1,FALSE)+VLOOKUP($B386&amp;$D$282&amp;$G386,$E$6:$U$275,T$279,FALSE)*VLOOKUP($A386,Weighting!$D$26:$G$30,MATCH(Segmented!$D$282,Weighting!$E$26:$H$26,0)+1,FALSE)+VLOOKUP($B386&amp;$E$282&amp;$G386,$E$6:$U$275,T$279,FALSE)*VLOOKUP($A386,Weighting!$D$26:$G$30,MATCH(Segmented!$E$282,Weighting!$E$26:$H$26,0)+1,FALSE)</f>
        <v>0</v>
      </c>
    </row>
    <row r="387" spans="1:20">
      <c r="A387" t="s">
        <v>353</v>
      </c>
      <c r="B387" t="s">
        <v>1359</v>
      </c>
      <c r="F387" s="55" t="str">
        <f t="shared" si="28"/>
        <v>ATTIC R0 - R38_DHP</v>
      </c>
      <c r="G387" s="54" t="s">
        <v>208</v>
      </c>
      <c r="H387" s="31">
        <f>VLOOKUP($B387&amp;$C$282&amp;$G387,$E$6:$U$275,H$279,FALSE)*VLOOKUP($A387,Weighting!$D$26:$G$30,MATCH(Segmented!$C$282,Weighting!$E$26:$H$26,0)+1,FALSE)+VLOOKUP($B387&amp;$D$282&amp;$G387,$E$6:$U$275,H$279,FALSE)*VLOOKUP($A387,Weighting!$D$26:$G$30,MATCH(Segmented!$D$282,Weighting!$E$26:$H$26,0)+1,FALSE)+VLOOKUP($B387&amp;$E$282&amp;$G387,$E$6:$U$275,H$279,FALSE)*VLOOKUP($A387,Weighting!$D$26:$G$30,MATCH(Segmented!$E$282,Weighting!$E$26:$H$26,0)+1,FALSE)</f>
        <v>135.30109729700632</v>
      </c>
      <c r="I387">
        <f t="shared" si="29"/>
        <v>45</v>
      </c>
      <c r="J387" s="31">
        <f>VLOOKUP($B387&amp;$C$282&amp;$G387,$E$6:$U$275,J$279,FALSE)*VLOOKUP($A387,Weighting!$D$26:$G$30,MATCH(Segmented!$C$282,Weighting!$E$26:$H$26,0)+1,FALSE)+VLOOKUP($B387&amp;$D$282&amp;$G387,$E$6:$U$275,J$279,FALSE)*VLOOKUP($A387,Weighting!$D$26:$G$30,MATCH(Segmented!$D$282,Weighting!$E$26:$H$26,0)+1,FALSE)+VLOOKUP($B387&amp;$E$282&amp;$G387,$E$6:$U$275,J$279,FALSE)*VLOOKUP($A387,Weighting!$D$26:$G$30,MATCH(Segmented!$E$282,Weighting!$E$26:$H$26,0)+1,FALSE)</f>
        <v>0</v>
      </c>
      <c r="K387" s="31">
        <f>VLOOKUP($B387&amp;$C$282&amp;$G387,$E$6:$U$275,K$279,FALSE)*VLOOKUP($A387,Weighting!$D$26:$G$30,MATCH(Segmented!$C$282,Weighting!$E$26:$H$26,0)+1,FALSE)+VLOOKUP($B387&amp;$D$282&amp;$G387,$E$6:$U$275,K$279,FALSE)*VLOOKUP($A387,Weighting!$D$26:$G$30,MATCH(Segmented!$D$282,Weighting!$E$26:$H$26,0)+1,FALSE)+VLOOKUP($B387&amp;$E$282&amp;$G387,$E$6:$U$275,K$279,FALSE)*VLOOKUP($A387,Weighting!$D$26:$G$30,MATCH(Segmented!$E$282,Weighting!$E$26:$H$26,0)+1,FALSE)</f>
        <v>0</v>
      </c>
      <c r="L387" t="str">
        <f t="shared" si="30"/>
        <v>ResSpHtHPZ2</v>
      </c>
      <c r="M387" s="31">
        <f>VLOOKUP($B387&amp;$C$282&amp;$G387,$E$6:$U$275,M$279,FALSE)*VLOOKUP($A387,Weighting!$D$26:$G$30,MATCH(Segmented!$C$282,Weighting!$E$26:$H$26,0)+1,FALSE)+VLOOKUP($B387&amp;$D$282&amp;$G387,$E$6:$U$275,M$279,FALSE)*VLOOKUP($A387,Weighting!$D$26:$G$30,MATCH(Segmented!$D$282,Weighting!$E$26:$H$26,0)+1,FALSE)+VLOOKUP($B387&amp;$E$282&amp;$G387,$E$6:$U$275,M$279,FALSE)*VLOOKUP($A387,Weighting!$D$26:$G$30,MATCH(Segmented!$E$282,Weighting!$E$26:$H$26,0)+1,FALSE)</f>
        <v>0</v>
      </c>
      <c r="N387" s="31">
        <f>VLOOKUP($B387&amp;$C$282&amp;$G387,$E$6:$U$275,N$279,FALSE)*VLOOKUP($A387,Weighting!$D$26:$G$30,MATCH(Segmented!$C$282,Weighting!$E$26:$H$26,0)+1,FALSE)+VLOOKUP($B387&amp;$D$282&amp;$G387,$E$6:$U$275,N$279,FALSE)*VLOOKUP($A387,Weighting!$D$26:$G$30,MATCH(Segmented!$D$282,Weighting!$E$26:$H$26,0)+1,FALSE)+VLOOKUP($B387&amp;$E$282&amp;$G387,$E$6:$U$275,N$279,FALSE)*VLOOKUP($A387,Weighting!$D$26:$G$30,MATCH(Segmented!$E$282,Weighting!$E$26:$H$26,0)+1,FALSE)</f>
        <v>0</v>
      </c>
      <c r="O387">
        <f t="shared" si="31"/>
        <v>0</v>
      </c>
      <c r="P387" s="31">
        <f>VLOOKUP($B387&amp;$C$282&amp;$G387,$E$6:$U$275,P$279,FALSE)*VLOOKUP($A387,Weighting!$D$26:$G$30,MATCH(Segmented!$C$282,Weighting!$E$26:$H$26,0)+1,FALSE)+VLOOKUP($B387&amp;$D$282&amp;$G387,$E$6:$U$275,P$279,FALSE)*VLOOKUP($A387,Weighting!$D$26:$G$30,MATCH(Segmented!$D$282,Weighting!$E$26:$H$26,0)+1,FALSE)+VLOOKUP($B387&amp;$E$282&amp;$G387,$E$6:$U$275,P$279,FALSE)*VLOOKUP($A387,Weighting!$D$26:$G$30,MATCH(Segmented!$E$282,Weighting!$E$26:$H$26,0)+1,FALSE)</f>
        <v>0</v>
      </c>
      <c r="Q387">
        <f t="shared" si="32"/>
        <v>0</v>
      </c>
      <c r="R387" s="31">
        <f>VLOOKUP($B387&amp;$C$282&amp;$G387,$E$6:$U$275,R$279,FALSE)*VLOOKUP($A387,Weighting!$D$26:$G$30,MATCH(Segmented!$C$282,Weighting!$E$26:$H$26,0)+1,FALSE)+VLOOKUP($B387&amp;$D$282&amp;$G387,$E$6:$U$275,R$279,FALSE)*VLOOKUP($A387,Weighting!$D$26:$G$30,MATCH(Segmented!$D$282,Weighting!$E$26:$H$26,0)+1,FALSE)+VLOOKUP($B387&amp;$E$282&amp;$G387,$E$6:$U$275,R$279,FALSE)*VLOOKUP($A387,Weighting!$D$26:$G$30,MATCH(Segmented!$E$282,Weighting!$E$26:$H$26,0)+1,FALSE)</f>
        <v>0</v>
      </c>
      <c r="S387">
        <f t="shared" si="33"/>
        <v>0</v>
      </c>
      <c r="T387" s="31">
        <f>VLOOKUP($B387&amp;$C$282&amp;$G387,$E$6:$U$275,T$279,FALSE)*VLOOKUP($A387,Weighting!$D$26:$G$30,MATCH(Segmented!$C$282,Weighting!$E$26:$H$26,0)+1,FALSE)+VLOOKUP($B387&amp;$D$282&amp;$G387,$E$6:$U$275,T$279,FALSE)*VLOOKUP($A387,Weighting!$D$26:$G$30,MATCH(Segmented!$D$282,Weighting!$E$26:$H$26,0)+1,FALSE)+VLOOKUP($B387&amp;$E$282&amp;$G387,$E$6:$U$275,T$279,FALSE)*VLOOKUP($A387,Weighting!$D$26:$G$30,MATCH(Segmented!$E$282,Weighting!$E$26:$H$26,0)+1,FALSE)</f>
        <v>0</v>
      </c>
    </row>
    <row r="388" spans="1:20">
      <c r="A388" t="s">
        <v>353</v>
      </c>
      <c r="B388" t="s">
        <v>1359</v>
      </c>
      <c r="F388" s="55" t="str">
        <f t="shared" si="28"/>
        <v>ATTIC R0 - R49_DHP</v>
      </c>
      <c r="G388" s="54" t="s">
        <v>210</v>
      </c>
      <c r="H388" s="31">
        <f>VLOOKUP($B388&amp;$C$282&amp;$G388,$E$6:$U$275,H$279,FALSE)*VLOOKUP($A388,Weighting!$D$26:$G$30,MATCH(Segmented!$C$282,Weighting!$E$26:$H$26,0)+1,FALSE)+VLOOKUP($B388&amp;$D$282&amp;$G388,$E$6:$U$275,H$279,FALSE)*VLOOKUP($A388,Weighting!$D$26:$G$30,MATCH(Segmented!$D$282,Weighting!$E$26:$H$26,0)+1,FALSE)+VLOOKUP($B388&amp;$E$282&amp;$G388,$E$6:$U$275,H$279,FALSE)*VLOOKUP($A388,Weighting!$D$26:$G$30,MATCH(Segmented!$E$282,Weighting!$E$26:$H$26,0)+1,FALSE)</f>
        <v>136.90885094758767</v>
      </c>
      <c r="I388">
        <f t="shared" si="29"/>
        <v>45</v>
      </c>
      <c r="J388" s="31">
        <f>VLOOKUP($B388&amp;$C$282&amp;$G388,$E$6:$U$275,J$279,FALSE)*VLOOKUP($A388,Weighting!$D$26:$G$30,MATCH(Segmented!$C$282,Weighting!$E$26:$H$26,0)+1,FALSE)+VLOOKUP($B388&amp;$D$282&amp;$G388,$E$6:$U$275,J$279,FALSE)*VLOOKUP($A388,Weighting!$D$26:$G$30,MATCH(Segmented!$D$282,Weighting!$E$26:$H$26,0)+1,FALSE)+VLOOKUP($B388&amp;$E$282&amp;$G388,$E$6:$U$275,J$279,FALSE)*VLOOKUP($A388,Weighting!$D$26:$G$30,MATCH(Segmented!$E$282,Weighting!$E$26:$H$26,0)+1,FALSE)</f>
        <v>0</v>
      </c>
      <c r="K388" s="31">
        <f>VLOOKUP($B388&amp;$C$282&amp;$G388,$E$6:$U$275,K$279,FALSE)*VLOOKUP($A388,Weighting!$D$26:$G$30,MATCH(Segmented!$C$282,Weighting!$E$26:$H$26,0)+1,FALSE)+VLOOKUP($B388&amp;$D$282&amp;$G388,$E$6:$U$275,K$279,FALSE)*VLOOKUP($A388,Weighting!$D$26:$G$30,MATCH(Segmented!$D$282,Weighting!$E$26:$H$26,0)+1,FALSE)+VLOOKUP($B388&amp;$E$282&amp;$G388,$E$6:$U$275,K$279,FALSE)*VLOOKUP($A388,Weighting!$D$26:$G$30,MATCH(Segmented!$E$282,Weighting!$E$26:$H$26,0)+1,FALSE)</f>
        <v>0</v>
      </c>
      <c r="L388" t="str">
        <f t="shared" si="30"/>
        <v>ResSpHtHPZ2</v>
      </c>
      <c r="M388" s="31">
        <f>VLOOKUP($B388&amp;$C$282&amp;$G388,$E$6:$U$275,M$279,FALSE)*VLOOKUP($A388,Weighting!$D$26:$G$30,MATCH(Segmented!$C$282,Weighting!$E$26:$H$26,0)+1,FALSE)+VLOOKUP($B388&amp;$D$282&amp;$G388,$E$6:$U$275,M$279,FALSE)*VLOOKUP($A388,Weighting!$D$26:$G$30,MATCH(Segmented!$D$282,Weighting!$E$26:$H$26,0)+1,FALSE)+VLOOKUP($B388&amp;$E$282&amp;$G388,$E$6:$U$275,M$279,FALSE)*VLOOKUP($A388,Weighting!$D$26:$G$30,MATCH(Segmented!$E$282,Weighting!$E$26:$H$26,0)+1,FALSE)</f>
        <v>0</v>
      </c>
      <c r="N388" s="31">
        <f>VLOOKUP($B388&amp;$C$282&amp;$G388,$E$6:$U$275,N$279,FALSE)*VLOOKUP($A388,Weighting!$D$26:$G$30,MATCH(Segmented!$C$282,Weighting!$E$26:$H$26,0)+1,FALSE)+VLOOKUP($B388&amp;$D$282&amp;$G388,$E$6:$U$275,N$279,FALSE)*VLOOKUP($A388,Weighting!$D$26:$G$30,MATCH(Segmented!$D$282,Weighting!$E$26:$H$26,0)+1,FALSE)+VLOOKUP($B388&amp;$E$282&amp;$G388,$E$6:$U$275,N$279,FALSE)*VLOOKUP($A388,Weighting!$D$26:$G$30,MATCH(Segmented!$E$282,Weighting!$E$26:$H$26,0)+1,FALSE)</f>
        <v>0</v>
      </c>
      <c r="O388">
        <f t="shared" si="31"/>
        <v>0</v>
      </c>
      <c r="P388" s="31">
        <f>VLOOKUP($B388&amp;$C$282&amp;$G388,$E$6:$U$275,P$279,FALSE)*VLOOKUP($A388,Weighting!$D$26:$G$30,MATCH(Segmented!$C$282,Weighting!$E$26:$H$26,0)+1,FALSE)+VLOOKUP($B388&amp;$D$282&amp;$G388,$E$6:$U$275,P$279,FALSE)*VLOOKUP($A388,Weighting!$D$26:$G$30,MATCH(Segmented!$D$282,Weighting!$E$26:$H$26,0)+1,FALSE)+VLOOKUP($B388&amp;$E$282&amp;$G388,$E$6:$U$275,P$279,FALSE)*VLOOKUP($A388,Weighting!$D$26:$G$30,MATCH(Segmented!$E$282,Weighting!$E$26:$H$26,0)+1,FALSE)</f>
        <v>0</v>
      </c>
      <c r="Q388">
        <f t="shared" si="32"/>
        <v>0</v>
      </c>
      <c r="R388" s="31">
        <f>VLOOKUP($B388&amp;$C$282&amp;$G388,$E$6:$U$275,R$279,FALSE)*VLOOKUP($A388,Weighting!$D$26:$G$30,MATCH(Segmented!$C$282,Weighting!$E$26:$H$26,0)+1,FALSE)+VLOOKUP($B388&amp;$D$282&amp;$G388,$E$6:$U$275,R$279,FALSE)*VLOOKUP($A388,Weighting!$D$26:$G$30,MATCH(Segmented!$D$282,Weighting!$E$26:$H$26,0)+1,FALSE)+VLOOKUP($B388&amp;$E$282&amp;$G388,$E$6:$U$275,R$279,FALSE)*VLOOKUP($A388,Weighting!$D$26:$G$30,MATCH(Segmented!$E$282,Weighting!$E$26:$H$26,0)+1,FALSE)</f>
        <v>0</v>
      </c>
      <c r="S388">
        <f t="shared" si="33"/>
        <v>0</v>
      </c>
      <c r="T388" s="31">
        <f>VLOOKUP($B388&amp;$C$282&amp;$G388,$E$6:$U$275,T$279,FALSE)*VLOOKUP($A388,Weighting!$D$26:$G$30,MATCH(Segmented!$C$282,Weighting!$E$26:$H$26,0)+1,FALSE)+VLOOKUP($B388&amp;$D$282&amp;$G388,$E$6:$U$275,T$279,FALSE)*VLOOKUP($A388,Weighting!$D$26:$G$30,MATCH(Segmented!$D$282,Weighting!$E$26:$H$26,0)+1,FALSE)+VLOOKUP($B388&amp;$E$282&amp;$G388,$E$6:$U$275,T$279,FALSE)*VLOOKUP($A388,Weighting!$D$26:$G$30,MATCH(Segmented!$E$282,Weighting!$E$26:$H$26,0)+1,FALSE)</f>
        <v>0</v>
      </c>
    </row>
    <row r="389" spans="1:20">
      <c r="A389" t="s">
        <v>353</v>
      </c>
      <c r="B389" t="s">
        <v>1359</v>
      </c>
      <c r="F389" s="55" t="str">
        <f t="shared" si="28"/>
        <v>ATTIC R11 - R38_DHP</v>
      </c>
      <c r="G389" s="54" t="s">
        <v>211</v>
      </c>
      <c r="H389" s="31">
        <f>VLOOKUP($B389&amp;$C$282&amp;$G389,$E$6:$U$275,H$279,FALSE)*VLOOKUP($A389,Weighting!$D$26:$G$30,MATCH(Segmented!$C$282,Weighting!$E$26:$H$26,0)+1,FALSE)+VLOOKUP($B389&amp;$D$282&amp;$G389,$E$6:$U$275,H$279,FALSE)*VLOOKUP($A389,Weighting!$D$26:$G$30,MATCH(Segmented!$D$282,Weighting!$E$26:$H$26,0)+1,FALSE)+VLOOKUP($B389&amp;$E$282&amp;$G389,$E$6:$U$275,H$279,FALSE)*VLOOKUP($A389,Weighting!$D$26:$G$30,MATCH(Segmented!$E$282,Weighting!$E$26:$H$26,0)+1,FALSE)</f>
        <v>19.53022550376431</v>
      </c>
      <c r="I389">
        <f t="shared" si="29"/>
        <v>45</v>
      </c>
      <c r="J389" s="31">
        <f>VLOOKUP($B389&amp;$C$282&amp;$G389,$E$6:$U$275,J$279,FALSE)*VLOOKUP($A389,Weighting!$D$26:$G$30,MATCH(Segmented!$C$282,Weighting!$E$26:$H$26,0)+1,FALSE)+VLOOKUP($B389&amp;$D$282&amp;$G389,$E$6:$U$275,J$279,FALSE)*VLOOKUP($A389,Weighting!$D$26:$G$30,MATCH(Segmented!$D$282,Weighting!$E$26:$H$26,0)+1,FALSE)+VLOOKUP($B389&amp;$E$282&amp;$G389,$E$6:$U$275,J$279,FALSE)*VLOOKUP($A389,Weighting!$D$26:$G$30,MATCH(Segmented!$E$282,Weighting!$E$26:$H$26,0)+1,FALSE)</f>
        <v>0</v>
      </c>
      <c r="K389" s="31">
        <f>VLOOKUP($B389&amp;$C$282&amp;$G389,$E$6:$U$275,K$279,FALSE)*VLOOKUP($A389,Weighting!$D$26:$G$30,MATCH(Segmented!$C$282,Weighting!$E$26:$H$26,0)+1,FALSE)+VLOOKUP($B389&amp;$D$282&amp;$G389,$E$6:$U$275,K$279,FALSE)*VLOOKUP($A389,Weighting!$D$26:$G$30,MATCH(Segmented!$D$282,Weighting!$E$26:$H$26,0)+1,FALSE)+VLOOKUP($B389&amp;$E$282&amp;$G389,$E$6:$U$275,K$279,FALSE)*VLOOKUP($A389,Weighting!$D$26:$G$30,MATCH(Segmented!$E$282,Weighting!$E$26:$H$26,0)+1,FALSE)</f>
        <v>0</v>
      </c>
      <c r="L389" t="str">
        <f t="shared" si="30"/>
        <v>ResSpHtHPZ2</v>
      </c>
      <c r="M389" s="31">
        <f>VLOOKUP($B389&amp;$C$282&amp;$G389,$E$6:$U$275,M$279,FALSE)*VLOOKUP($A389,Weighting!$D$26:$G$30,MATCH(Segmented!$C$282,Weighting!$E$26:$H$26,0)+1,FALSE)+VLOOKUP($B389&amp;$D$282&amp;$G389,$E$6:$U$275,M$279,FALSE)*VLOOKUP($A389,Weighting!$D$26:$G$30,MATCH(Segmented!$D$282,Weighting!$E$26:$H$26,0)+1,FALSE)+VLOOKUP($B389&amp;$E$282&amp;$G389,$E$6:$U$275,M$279,FALSE)*VLOOKUP($A389,Weighting!$D$26:$G$30,MATCH(Segmented!$E$282,Weighting!$E$26:$H$26,0)+1,FALSE)</f>
        <v>0</v>
      </c>
      <c r="N389" s="31">
        <f>VLOOKUP($B389&amp;$C$282&amp;$G389,$E$6:$U$275,N$279,FALSE)*VLOOKUP($A389,Weighting!$D$26:$G$30,MATCH(Segmented!$C$282,Weighting!$E$26:$H$26,0)+1,FALSE)+VLOOKUP($B389&amp;$D$282&amp;$G389,$E$6:$U$275,N$279,FALSE)*VLOOKUP($A389,Weighting!$D$26:$G$30,MATCH(Segmented!$D$282,Weighting!$E$26:$H$26,0)+1,FALSE)+VLOOKUP($B389&amp;$E$282&amp;$G389,$E$6:$U$275,N$279,FALSE)*VLOOKUP($A389,Weighting!$D$26:$G$30,MATCH(Segmented!$E$282,Weighting!$E$26:$H$26,0)+1,FALSE)</f>
        <v>0</v>
      </c>
      <c r="O389">
        <f t="shared" si="31"/>
        <v>0</v>
      </c>
      <c r="P389" s="31">
        <f>VLOOKUP($B389&amp;$C$282&amp;$G389,$E$6:$U$275,P$279,FALSE)*VLOOKUP($A389,Weighting!$D$26:$G$30,MATCH(Segmented!$C$282,Weighting!$E$26:$H$26,0)+1,FALSE)+VLOOKUP($B389&amp;$D$282&amp;$G389,$E$6:$U$275,P$279,FALSE)*VLOOKUP($A389,Weighting!$D$26:$G$30,MATCH(Segmented!$D$282,Weighting!$E$26:$H$26,0)+1,FALSE)+VLOOKUP($B389&amp;$E$282&amp;$G389,$E$6:$U$275,P$279,FALSE)*VLOOKUP($A389,Weighting!$D$26:$G$30,MATCH(Segmented!$E$282,Weighting!$E$26:$H$26,0)+1,FALSE)</f>
        <v>0</v>
      </c>
      <c r="Q389">
        <f t="shared" si="32"/>
        <v>0</v>
      </c>
      <c r="R389" s="31">
        <f>VLOOKUP($B389&amp;$C$282&amp;$G389,$E$6:$U$275,R$279,FALSE)*VLOOKUP($A389,Weighting!$D$26:$G$30,MATCH(Segmented!$C$282,Weighting!$E$26:$H$26,0)+1,FALSE)+VLOOKUP($B389&amp;$D$282&amp;$G389,$E$6:$U$275,R$279,FALSE)*VLOOKUP($A389,Weighting!$D$26:$G$30,MATCH(Segmented!$D$282,Weighting!$E$26:$H$26,0)+1,FALSE)+VLOOKUP($B389&amp;$E$282&amp;$G389,$E$6:$U$275,R$279,FALSE)*VLOOKUP($A389,Weighting!$D$26:$G$30,MATCH(Segmented!$E$282,Weighting!$E$26:$H$26,0)+1,FALSE)</f>
        <v>0</v>
      </c>
      <c r="S389">
        <f t="shared" si="33"/>
        <v>0</v>
      </c>
      <c r="T389" s="31">
        <f>VLOOKUP($B389&amp;$C$282&amp;$G389,$E$6:$U$275,T$279,FALSE)*VLOOKUP($A389,Weighting!$D$26:$G$30,MATCH(Segmented!$C$282,Weighting!$E$26:$H$26,0)+1,FALSE)+VLOOKUP($B389&amp;$D$282&amp;$G389,$E$6:$U$275,T$279,FALSE)*VLOOKUP($A389,Weighting!$D$26:$G$30,MATCH(Segmented!$D$282,Weighting!$E$26:$H$26,0)+1,FALSE)+VLOOKUP($B389&amp;$E$282&amp;$G389,$E$6:$U$275,T$279,FALSE)*VLOOKUP($A389,Weighting!$D$26:$G$30,MATCH(Segmented!$E$282,Weighting!$E$26:$H$26,0)+1,FALSE)</f>
        <v>0</v>
      </c>
    </row>
    <row r="390" spans="1:20">
      <c r="A390" t="s">
        <v>353</v>
      </c>
      <c r="B390" t="s">
        <v>1359</v>
      </c>
      <c r="F390" s="55" t="str">
        <f t="shared" si="28"/>
        <v>ATTIC R11 - R49_DHP</v>
      </c>
      <c r="G390" s="54" t="s">
        <v>212</v>
      </c>
      <c r="H390" s="31">
        <f>VLOOKUP($B390&amp;$C$282&amp;$G390,$E$6:$U$275,H$279,FALSE)*VLOOKUP($A390,Weighting!$D$26:$G$30,MATCH(Segmented!$C$282,Weighting!$E$26:$H$26,0)+1,FALSE)+VLOOKUP($B390&amp;$D$282&amp;$G390,$E$6:$U$275,H$279,FALSE)*VLOOKUP($A390,Weighting!$D$26:$G$30,MATCH(Segmented!$D$282,Weighting!$E$26:$H$26,0)+1,FALSE)+VLOOKUP($B390&amp;$E$282&amp;$G390,$E$6:$U$275,H$279,FALSE)*VLOOKUP($A390,Weighting!$D$26:$G$30,MATCH(Segmented!$E$282,Weighting!$E$26:$H$26,0)+1,FALSE)</f>
        <v>21.137979154345654</v>
      </c>
      <c r="I390">
        <f t="shared" si="29"/>
        <v>45</v>
      </c>
      <c r="J390" s="31">
        <f>VLOOKUP($B390&amp;$C$282&amp;$G390,$E$6:$U$275,J$279,FALSE)*VLOOKUP($A390,Weighting!$D$26:$G$30,MATCH(Segmented!$C$282,Weighting!$E$26:$H$26,0)+1,FALSE)+VLOOKUP($B390&amp;$D$282&amp;$G390,$E$6:$U$275,J$279,FALSE)*VLOOKUP($A390,Weighting!$D$26:$G$30,MATCH(Segmented!$D$282,Weighting!$E$26:$H$26,0)+1,FALSE)+VLOOKUP($B390&amp;$E$282&amp;$G390,$E$6:$U$275,J$279,FALSE)*VLOOKUP($A390,Weighting!$D$26:$G$30,MATCH(Segmented!$E$282,Weighting!$E$26:$H$26,0)+1,FALSE)</f>
        <v>0</v>
      </c>
      <c r="K390" s="31">
        <f>VLOOKUP($B390&amp;$C$282&amp;$G390,$E$6:$U$275,K$279,FALSE)*VLOOKUP($A390,Weighting!$D$26:$G$30,MATCH(Segmented!$C$282,Weighting!$E$26:$H$26,0)+1,FALSE)+VLOOKUP($B390&amp;$D$282&amp;$G390,$E$6:$U$275,K$279,FALSE)*VLOOKUP($A390,Weighting!$D$26:$G$30,MATCH(Segmented!$D$282,Weighting!$E$26:$H$26,0)+1,FALSE)+VLOOKUP($B390&amp;$E$282&amp;$G390,$E$6:$U$275,K$279,FALSE)*VLOOKUP($A390,Weighting!$D$26:$G$30,MATCH(Segmented!$E$282,Weighting!$E$26:$H$26,0)+1,FALSE)</f>
        <v>0</v>
      </c>
      <c r="L390" t="str">
        <f t="shared" si="30"/>
        <v>ResSpHtHPZ2</v>
      </c>
      <c r="M390" s="31">
        <f>VLOOKUP($B390&amp;$C$282&amp;$G390,$E$6:$U$275,M$279,FALSE)*VLOOKUP($A390,Weighting!$D$26:$G$30,MATCH(Segmented!$C$282,Weighting!$E$26:$H$26,0)+1,FALSE)+VLOOKUP($B390&amp;$D$282&amp;$G390,$E$6:$U$275,M$279,FALSE)*VLOOKUP($A390,Weighting!$D$26:$G$30,MATCH(Segmented!$D$282,Weighting!$E$26:$H$26,0)+1,FALSE)+VLOOKUP($B390&amp;$E$282&amp;$G390,$E$6:$U$275,M$279,FALSE)*VLOOKUP($A390,Weighting!$D$26:$G$30,MATCH(Segmented!$E$282,Weighting!$E$26:$H$26,0)+1,FALSE)</f>
        <v>0</v>
      </c>
      <c r="N390" s="31">
        <f>VLOOKUP($B390&amp;$C$282&amp;$G390,$E$6:$U$275,N$279,FALSE)*VLOOKUP($A390,Weighting!$D$26:$G$30,MATCH(Segmented!$C$282,Weighting!$E$26:$H$26,0)+1,FALSE)+VLOOKUP($B390&amp;$D$282&amp;$G390,$E$6:$U$275,N$279,FALSE)*VLOOKUP($A390,Weighting!$D$26:$G$30,MATCH(Segmented!$D$282,Weighting!$E$26:$H$26,0)+1,FALSE)+VLOOKUP($B390&amp;$E$282&amp;$G390,$E$6:$U$275,N$279,FALSE)*VLOOKUP($A390,Weighting!$D$26:$G$30,MATCH(Segmented!$E$282,Weighting!$E$26:$H$26,0)+1,FALSE)</f>
        <v>0</v>
      </c>
      <c r="O390">
        <f t="shared" si="31"/>
        <v>0</v>
      </c>
      <c r="P390" s="31">
        <f>VLOOKUP($B390&amp;$C$282&amp;$G390,$E$6:$U$275,P$279,FALSE)*VLOOKUP($A390,Weighting!$D$26:$G$30,MATCH(Segmented!$C$282,Weighting!$E$26:$H$26,0)+1,FALSE)+VLOOKUP($B390&amp;$D$282&amp;$G390,$E$6:$U$275,P$279,FALSE)*VLOOKUP($A390,Weighting!$D$26:$G$30,MATCH(Segmented!$D$282,Weighting!$E$26:$H$26,0)+1,FALSE)+VLOOKUP($B390&amp;$E$282&amp;$G390,$E$6:$U$275,P$279,FALSE)*VLOOKUP($A390,Weighting!$D$26:$G$30,MATCH(Segmented!$E$282,Weighting!$E$26:$H$26,0)+1,FALSE)</f>
        <v>0</v>
      </c>
      <c r="Q390">
        <f t="shared" si="32"/>
        <v>0</v>
      </c>
      <c r="R390" s="31">
        <f>VLOOKUP($B390&amp;$C$282&amp;$G390,$E$6:$U$275,R$279,FALSE)*VLOOKUP($A390,Weighting!$D$26:$G$30,MATCH(Segmented!$C$282,Weighting!$E$26:$H$26,0)+1,FALSE)+VLOOKUP($B390&amp;$D$282&amp;$G390,$E$6:$U$275,R$279,FALSE)*VLOOKUP($A390,Weighting!$D$26:$G$30,MATCH(Segmented!$D$282,Weighting!$E$26:$H$26,0)+1,FALSE)+VLOOKUP($B390&amp;$E$282&amp;$G390,$E$6:$U$275,R$279,FALSE)*VLOOKUP($A390,Weighting!$D$26:$G$30,MATCH(Segmented!$E$282,Weighting!$E$26:$H$26,0)+1,FALSE)</f>
        <v>0</v>
      </c>
      <c r="S390">
        <f t="shared" si="33"/>
        <v>0</v>
      </c>
      <c r="T390" s="31">
        <f>VLOOKUP($B390&amp;$C$282&amp;$G390,$E$6:$U$275,T$279,FALSE)*VLOOKUP($A390,Weighting!$D$26:$G$30,MATCH(Segmented!$C$282,Weighting!$E$26:$H$26,0)+1,FALSE)+VLOOKUP($B390&amp;$D$282&amp;$G390,$E$6:$U$275,T$279,FALSE)*VLOOKUP($A390,Weighting!$D$26:$G$30,MATCH(Segmented!$D$282,Weighting!$E$26:$H$26,0)+1,FALSE)+VLOOKUP($B390&amp;$E$282&amp;$G390,$E$6:$U$275,T$279,FALSE)*VLOOKUP($A390,Weighting!$D$26:$G$30,MATCH(Segmented!$E$282,Weighting!$E$26:$H$26,0)+1,FALSE)</f>
        <v>0</v>
      </c>
    </row>
    <row r="391" spans="1:20">
      <c r="A391" t="s">
        <v>353</v>
      </c>
      <c r="B391" t="s">
        <v>1359</v>
      </c>
      <c r="F391" s="55" t="str">
        <f t="shared" si="28"/>
        <v>ATTIC R19 - R38_DHP</v>
      </c>
      <c r="G391" s="54" t="s">
        <v>213</v>
      </c>
      <c r="H391" s="31">
        <f>VLOOKUP($B391&amp;$C$282&amp;$G391,$E$6:$U$275,H$279,FALSE)*VLOOKUP($A391,Weighting!$D$26:$G$30,MATCH(Segmented!$C$282,Weighting!$E$26:$H$26,0)+1,FALSE)+VLOOKUP($B391&amp;$D$282&amp;$G391,$E$6:$U$275,H$279,FALSE)*VLOOKUP($A391,Weighting!$D$26:$G$30,MATCH(Segmented!$D$282,Weighting!$E$26:$H$26,0)+1,FALSE)+VLOOKUP($B391&amp;$E$282&amp;$G391,$E$6:$U$275,H$279,FALSE)*VLOOKUP($A391,Weighting!$D$26:$G$30,MATCH(Segmented!$E$282,Weighting!$E$26:$H$26,0)+1,FALSE)</f>
        <v>7.9630286827628565</v>
      </c>
      <c r="I391">
        <f t="shared" si="29"/>
        <v>45</v>
      </c>
      <c r="J391" s="31">
        <f>VLOOKUP($B391&amp;$C$282&amp;$G391,$E$6:$U$275,J$279,FALSE)*VLOOKUP($A391,Weighting!$D$26:$G$30,MATCH(Segmented!$C$282,Weighting!$E$26:$H$26,0)+1,FALSE)+VLOOKUP($B391&amp;$D$282&amp;$G391,$E$6:$U$275,J$279,FALSE)*VLOOKUP($A391,Weighting!$D$26:$G$30,MATCH(Segmented!$D$282,Weighting!$E$26:$H$26,0)+1,FALSE)+VLOOKUP($B391&amp;$E$282&amp;$G391,$E$6:$U$275,J$279,FALSE)*VLOOKUP($A391,Weighting!$D$26:$G$30,MATCH(Segmented!$E$282,Weighting!$E$26:$H$26,0)+1,FALSE)</f>
        <v>0</v>
      </c>
      <c r="K391" s="31">
        <f>VLOOKUP($B391&amp;$C$282&amp;$G391,$E$6:$U$275,K$279,FALSE)*VLOOKUP($A391,Weighting!$D$26:$G$30,MATCH(Segmented!$C$282,Weighting!$E$26:$H$26,0)+1,FALSE)+VLOOKUP($B391&amp;$D$282&amp;$G391,$E$6:$U$275,K$279,FALSE)*VLOOKUP($A391,Weighting!$D$26:$G$30,MATCH(Segmented!$D$282,Weighting!$E$26:$H$26,0)+1,FALSE)+VLOOKUP($B391&amp;$E$282&amp;$G391,$E$6:$U$275,K$279,FALSE)*VLOOKUP($A391,Weighting!$D$26:$G$30,MATCH(Segmented!$E$282,Weighting!$E$26:$H$26,0)+1,FALSE)</f>
        <v>0</v>
      </c>
      <c r="L391" t="str">
        <f t="shared" si="30"/>
        <v>ResSpHtHPZ2</v>
      </c>
      <c r="M391" s="31">
        <f>VLOOKUP($B391&amp;$C$282&amp;$G391,$E$6:$U$275,M$279,FALSE)*VLOOKUP($A391,Weighting!$D$26:$G$30,MATCH(Segmented!$C$282,Weighting!$E$26:$H$26,0)+1,FALSE)+VLOOKUP($B391&amp;$D$282&amp;$G391,$E$6:$U$275,M$279,FALSE)*VLOOKUP($A391,Weighting!$D$26:$G$30,MATCH(Segmented!$D$282,Weighting!$E$26:$H$26,0)+1,FALSE)+VLOOKUP($B391&amp;$E$282&amp;$G391,$E$6:$U$275,M$279,FALSE)*VLOOKUP($A391,Weighting!$D$26:$G$30,MATCH(Segmented!$E$282,Weighting!$E$26:$H$26,0)+1,FALSE)</f>
        <v>0</v>
      </c>
      <c r="N391" s="31">
        <f>VLOOKUP($B391&amp;$C$282&amp;$G391,$E$6:$U$275,N$279,FALSE)*VLOOKUP($A391,Weighting!$D$26:$G$30,MATCH(Segmented!$C$282,Weighting!$E$26:$H$26,0)+1,FALSE)+VLOOKUP($B391&amp;$D$282&amp;$G391,$E$6:$U$275,N$279,FALSE)*VLOOKUP($A391,Weighting!$D$26:$G$30,MATCH(Segmented!$D$282,Weighting!$E$26:$H$26,0)+1,FALSE)+VLOOKUP($B391&amp;$E$282&amp;$G391,$E$6:$U$275,N$279,FALSE)*VLOOKUP($A391,Weighting!$D$26:$G$30,MATCH(Segmented!$E$282,Weighting!$E$26:$H$26,0)+1,FALSE)</f>
        <v>0</v>
      </c>
      <c r="O391">
        <f t="shared" si="31"/>
        <v>0</v>
      </c>
      <c r="P391" s="31">
        <f>VLOOKUP($B391&amp;$C$282&amp;$G391,$E$6:$U$275,P$279,FALSE)*VLOOKUP($A391,Weighting!$D$26:$G$30,MATCH(Segmented!$C$282,Weighting!$E$26:$H$26,0)+1,FALSE)+VLOOKUP($B391&amp;$D$282&amp;$G391,$E$6:$U$275,P$279,FALSE)*VLOOKUP($A391,Weighting!$D$26:$G$30,MATCH(Segmented!$D$282,Weighting!$E$26:$H$26,0)+1,FALSE)+VLOOKUP($B391&amp;$E$282&amp;$G391,$E$6:$U$275,P$279,FALSE)*VLOOKUP($A391,Weighting!$D$26:$G$30,MATCH(Segmented!$E$282,Weighting!$E$26:$H$26,0)+1,FALSE)</f>
        <v>0</v>
      </c>
      <c r="Q391">
        <f t="shared" si="32"/>
        <v>0</v>
      </c>
      <c r="R391" s="31">
        <f>VLOOKUP($B391&amp;$C$282&amp;$G391,$E$6:$U$275,R$279,FALSE)*VLOOKUP($A391,Weighting!$D$26:$G$30,MATCH(Segmented!$C$282,Weighting!$E$26:$H$26,0)+1,FALSE)+VLOOKUP($B391&amp;$D$282&amp;$G391,$E$6:$U$275,R$279,FALSE)*VLOOKUP($A391,Weighting!$D$26:$G$30,MATCH(Segmented!$D$282,Weighting!$E$26:$H$26,0)+1,FALSE)+VLOOKUP($B391&amp;$E$282&amp;$G391,$E$6:$U$275,R$279,FALSE)*VLOOKUP($A391,Weighting!$D$26:$G$30,MATCH(Segmented!$E$282,Weighting!$E$26:$H$26,0)+1,FALSE)</f>
        <v>0</v>
      </c>
      <c r="S391">
        <f t="shared" si="33"/>
        <v>0</v>
      </c>
      <c r="T391" s="31">
        <f>VLOOKUP($B391&amp;$C$282&amp;$G391,$E$6:$U$275,T$279,FALSE)*VLOOKUP($A391,Weighting!$D$26:$G$30,MATCH(Segmented!$C$282,Weighting!$E$26:$H$26,0)+1,FALSE)+VLOOKUP($B391&amp;$D$282&amp;$G391,$E$6:$U$275,T$279,FALSE)*VLOOKUP($A391,Weighting!$D$26:$G$30,MATCH(Segmented!$D$282,Weighting!$E$26:$H$26,0)+1,FALSE)+VLOOKUP($B391&amp;$E$282&amp;$G391,$E$6:$U$275,T$279,FALSE)*VLOOKUP($A391,Weighting!$D$26:$G$30,MATCH(Segmented!$E$282,Weighting!$E$26:$H$26,0)+1,FALSE)</f>
        <v>0</v>
      </c>
    </row>
    <row r="392" spans="1:20">
      <c r="A392" t="s">
        <v>353</v>
      </c>
      <c r="B392" t="s">
        <v>1359</v>
      </c>
      <c r="F392" s="55" t="str">
        <f t="shared" si="28"/>
        <v>ATTIC R19 - R49_DHP</v>
      </c>
      <c r="G392" s="54" t="s">
        <v>214</v>
      </c>
      <c r="H392" s="31">
        <f>VLOOKUP($B392&amp;$C$282&amp;$G392,$E$6:$U$275,H$279,FALSE)*VLOOKUP($A392,Weighting!$D$26:$G$30,MATCH(Segmented!$C$282,Weighting!$E$26:$H$26,0)+1,FALSE)+VLOOKUP($B392&amp;$D$282&amp;$G392,$E$6:$U$275,H$279,FALSE)*VLOOKUP($A392,Weighting!$D$26:$G$30,MATCH(Segmented!$D$282,Weighting!$E$26:$H$26,0)+1,FALSE)+VLOOKUP($B392&amp;$E$282&amp;$G392,$E$6:$U$275,H$279,FALSE)*VLOOKUP($A392,Weighting!$D$26:$G$30,MATCH(Segmented!$E$282,Weighting!$E$26:$H$26,0)+1,FALSE)</f>
        <v>9.5707823333441979</v>
      </c>
      <c r="I392">
        <f t="shared" si="29"/>
        <v>45</v>
      </c>
      <c r="J392" s="31">
        <f>VLOOKUP($B392&amp;$C$282&amp;$G392,$E$6:$U$275,J$279,FALSE)*VLOOKUP($A392,Weighting!$D$26:$G$30,MATCH(Segmented!$C$282,Weighting!$E$26:$H$26,0)+1,FALSE)+VLOOKUP($B392&amp;$D$282&amp;$G392,$E$6:$U$275,J$279,FALSE)*VLOOKUP($A392,Weighting!$D$26:$G$30,MATCH(Segmented!$D$282,Weighting!$E$26:$H$26,0)+1,FALSE)+VLOOKUP($B392&amp;$E$282&amp;$G392,$E$6:$U$275,J$279,FALSE)*VLOOKUP($A392,Weighting!$D$26:$G$30,MATCH(Segmented!$E$282,Weighting!$E$26:$H$26,0)+1,FALSE)</f>
        <v>0</v>
      </c>
      <c r="K392" s="31">
        <f>VLOOKUP($B392&amp;$C$282&amp;$G392,$E$6:$U$275,K$279,FALSE)*VLOOKUP($A392,Weighting!$D$26:$G$30,MATCH(Segmented!$C$282,Weighting!$E$26:$H$26,0)+1,FALSE)+VLOOKUP($B392&amp;$D$282&amp;$G392,$E$6:$U$275,K$279,FALSE)*VLOOKUP($A392,Weighting!$D$26:$G$30,MATCH(Segmented!$D$282,Weighting!$E$26:$H$26,0)+1,FALSE)+VLOOKUP($B392&amp;$E$282&amp;$G392,$E$6:$U$275,K$279,FALSE)*VLOOKUP($A392,Weighting!$D$26:$G$30,MATCH(Segmented!$E$282,Weighting!$E$26:$H$26,0)+1,FALSE)</f>
        <v>0</v>
      </c>
      <c r="L392" t="str">
        <f t="shared" si="30"/>
        <v>ResSpHtHPZ2</v>
      </c>
      <c r="M392" s="31">
        <f>VLOOKUP($B392&amp;$C$282&amp;$G392,$E$6:$U$275,M$279,FALSE)*VLOOKUP($A392,Weighting!$D$26:$G$30,MATCH(Segmented!$C$282,Weighting!$E$26:$H$26,0)+1,FALSE)+VLOOKUP($B392&amp;$D$282&amp;$G392,$E$6:$U$275,M$279,FALSE)*VLOOKUP($A392,Weighting!$D$26:$G$30,MATCH(Segmented!$D$282,Weighting!$E$26:$H$26,0)+1,FALSE)+VLOOKUP($B392&amp;$E$282&amp;$G392,$E$6:$U$275,M$279,FALSE)*VLOOKUP($A392,Weighting!$D$26:$G$30,MATCH(Segmented!$E$282,Weighting!$E$26:$H$26,0)+1,FALSE)</f>
        <v>0</v>
      </c>
      <c r="N392" s="31">
        <f>VLOOKUP($B392&amp;$C$282&amp;$G392,$E$6:$U$275,N$279,FALSE)*VLOOKUP($A392,Weighting!$D$26:$G$30,MATCH(Segmented!$C$282,Weighting!$E$26:$H$26,0)+1,FALSE)+VLOOKUP($B392&amp;$D$282&amp;$G392,$E$6:$U$275,N$279,FALSE)*VLOOKUP($A392,Weighting!$D$26:$G$30,MATCH(Segmented!$D$282,Weighting!$E$26:$H$26,0)+1,FALSE)+VLOOKUP($B392&amp;$E$282&amp;$G392,$E$6:$U$275,N$279,FALSE)*VLOOKUP($A392,Weighting!$D$26:$G$30,MATCH(Segmented!$E$282,Weighting!$E$26:$H$26,0)+1,FALSE)</f>
        <v>0</v>
      </c>
      <c r="O392">
        <f t="shared" si="31"/>
        <v>0</v>
      </c>
      <c r="P392" s="31">
        <f>VLOOKUP($B392&amp;$C$282&amp;$G392,$E$6:$U$275,P$279,FALSE)*VLOOKUP($A392,Weighting!$D$26:$G$30,MATCH(Segmented!$C$282,Weighting!$E$26:$H$26,0)+1,FALSE)+VLOOKUP($B392&amp;$D$282&amp;$G392,$E$6:$U$275,P$279,FALSE)*VLOOKUP($A392,Weighting!$D$26:$G$30,MATCH(Segmented!$D$282,Weighting!$E$26:$H$26,0)+1,FALSE)+VLOOKUP($B392&amp;$E$282&amp;$G392,$E$6:$U$275,P$279,FALSE)*VLOOKUP($A392,Weighting!$D$26:$G$30,MATCH(Segmented!$E$282,Weighting!$E$26:$H$26,0)+1,FALSE)</f>
        <v>0</v>
      </c>
      <c r="Q392">
        <f t="shared" si="32"/>
        <v>0</v>
      </c>
      <c r="R392" s="31">
        <f>VLOOKUP($B392&amp;$C$282&amp;$G392,$E$6:$U$275,R$279,FALSE)*VLOOKUP($A392,Weighting!$D$26:$G$30,MATCH(Segmented!$C$282,Weighting!$E$26:$H$26,0)+1,FALSE)+VLOOKUP($B392&amp;$D$282&amp;$G392,$E$6:$U$275,R$279,FALSE)*VLOOKUP($A392,Weighting!$D$26:$G$30,MATCH(Segmented!$D$282,Weighting!$E$26:$H$26,0)+1,FALSE)+VLOOKUP($B392&amp;$E$282&amp;$G392,$E$6:$U$275,R$279,FALSE)*VLOOKUP($A392,Weighting!$D$26:$G$30,MATCH(Segmented!$E$282,Weighting!$E$26:$H$26,0)+1,FALSE)</f>
        <v>0</v>
      </c>
      <c r="S392">
        <f t="shared" si="33"/>
        <v>0</v>
      </c>
      <c r="T392" s="31">
        <f>VLOOKUP($B392&amp;$C$282&amp;$G392,$E$6:$U$275,T$279,FALSE)*VLOOKUP($A392,Weighting!$D$26:$G$30,MATCH(Segmented!$C$282,Weighting!$E$26:$H$26,0)+1,FALSE)+VLOOKUP($B392&amp;$D$282&amp;$G392,$E$6:$U$275,T$279,FALSE)*VLOOKUP($A392,Weighting!$D$26:$G$30,MATCH(Segmented!$D$282,Weighting!$E$26:$H$26,0)+1,FALSE)+VLOOKUP($B392&amp;$E$282&amp;$G392,$E$6:$U$275,T$279,FALSE)*VLOOKUP($A392,Weighting!$D$26:$G$30,MATCH(Segmented!$E$282,Weighting!$E$26:$H$26,0)+1,FALSE)</f>
        <v>0</v>
      </c>
    </row>
    <row r="393" spans="1:20">
      <c r="A393" t="s">
        <v>353</v>
      </c>
      <c r="B393" t="s">
        <v>1359</v>
      </c>
      <c r="F393" s="55" t="str">
        <f t="shared" si="28"/>
        <v>WALL R0 - R11_DHP</v>
      </c>
      <c r="G393" s="54" t="s">
        <v>217</v>
      </c>
      <c r="H393" s="31">
        <f>VLOOKUP($B393&amp;$C$282&amp;$G393,$E$6:$U$275,H$279,FALSE)*VLOOKUP($A393,Weighting!$D$26:$G$30,MATCH(Segmented!$C$282,Weighting!$E$26:$H$26,0)+1,FALSE)+VLOOKUP($B393&amp;$D$282&amp;$G393,$E$6:$U$275,H$279,FALSE)*VLOOKUP($A393,Weighting!$D$26:$G$30,MATCH(Segmented!$D$282,Weighting!$E$26:$H$26,0)+1,FALSE)+VLOOKUP($B393&amp;$E$282&amp;$G393,$E$6:$U$275,H$279,FALSE)*VLOOKUP($A393,Weighting!$D$26:$G$30,MATCH(Segmented!$E$282,Weighting!$E$26:$H$26,0)+1,FALSE)</f>
        <v>24.270761593175429</v>
      </c>
      <c r="I393">
        <f t="shared" si="29"/>
        <v>45</v>
      </c>
      <c r="J393" s="31">
        <f>VLOOKUP($B393&amp;$C$282&amp;$G393,$E$6:$U$275,J$279,FALSE)*VLOOKUP($A393,Weighting!$D$26:$G$30,MATCH(Segmented!$C$282,Weighting!$E$26:$H$26,0)+1,FALSE)+VLOOKUP($B393&amp;$D$282&amp;$G393,$E$6:$U$275,J$279,FALSE)*VLOOKUP($A393,Weighting!$D$26:$G$30,MATCH(Segmented!$D$282,Weighting!$E$26:$H$26,0)+1,FALSE)+VLOOKUP($B393&amp;$E$282&amp;$G393,$E$6:$U$275,J$279,FALSE)*VLOOKUP($A393,Weighting!$D$26:$G$30,MATCH(Segmented!$E$282,Weighting!$E$26:$H$26,0)+1,FALSE)</f>
        <v>0</v>
      </c>
      <c r="K393" s="31">
        <f>VLOOKUP($B393&amp;$C$282&amp;$G393,$E$6:$U$275,K$279,FALSE)*VLOOKUP($A393,Weighting!$D$26:$G$30,MATCH(Segmented!$C$282,Weighting!$E$26:$H$26,0)+1,FALSE)+VLOOKUP($B393&amp;$D$282&amp;$G393,$E$6:$U$275,K$279,FALSE)*VLOOKUP($A393,Weighting!$D$26:$G$30,MATCH(Segmented!$D$282,Weighting!$E$26:$H$26,0)+1,FALSE)+VLOOKUP($B393&amp;$E$282&amp;$G393,$E$6:$U$275,K$279,FALSE)*VLOOKUP($A393,Weighting!$D$26:$G$30,MATCH(Segmented!$E$282,Weighting!$E$26:$H$26,0)+1,FALSE)</f>
        <v>0</v>
      </c>
      <c r="L393" t="str">
        <f t="shared" si="30"/>
        <v>ResSpHtHPZ2</v>
      </c>
      <c r="M393" s="31">
        <f>VLOOKUP($B393&amp;$C$282&amp;$G393,$E$6:$U$275,M$279,FALSE)*VLOOKUP($A393,Weighting!$D$26:$G$30,MATCH(Segmented!$C$282,Weighting!$E$26:$H$26,0)+1,FALSE)+VLOOKUP($B393&amp;$D$282&amp;$G393,$E$6:$U$275,M$279,FALSE)*VLOOKUP($A393,Weighting!$D$26:$G$30,MATCH(Segmented!$D$282,Weighting!$E$26:$H$26,0)+1,FALSE)+VLOOKUP($B393&amp;$E$282&amp;$G393,$E$6:$U$275,M$279,FALSE)*VLOOKUP($A393,Weighting!$D$26:$G$30,MATCH(Segmented!$E$282,Weighting!$E$26:$H$26,0)+1,FALSE)</f>
        <v>0</v>
      </c>
      <c r="N393" s="31">
        <f>VLOOKUP($B393&amp;$C$282&amp;$G393,$E$6:$U$275,N$279,FALSE)*VLOOKUP($A393,Weighting!$D$26:$G$30,MATCH(Segmented!$C$282,Weighting!$E$26:$H$26,0)+1,FALSE)+VLOOKUP($B393&amp;$D$282&amp;$G393,$E$6:$U$275,N$279,FALSE)*VLOOKUP($A393,Weighting!$D$26:$G$30,MATCH(Segmented!$D$282,Weighting!$E$26:$H$26,0)+1,FALSE)+VLOOKUP($B393&amp;$E$282&amp;$G393,$E$6:$U$275,N$279,FALSE)*VLOOKUP($A393,Weighting!$D$26:$G$30,MATCH(Segmented!$E$282,Weighting!$E$26:$H$26,0)+1,FALSE)</f>
        <v>0</v>
      </c>
      <c r="O393">
        <f t="shared" si="31"/>
        <v>0</v>
      </c>
      <c r="P393" s="31">
        <f>VLOOKUP($B393&amp;$C$282&amp;$G393,$E$6:$U$275,P$279,FALSE)*VLOOKUP($A393,Weighting!$D$26:$G$30,MATCH(Segmented!$C$282,Weighting!$E$26:$H$26,0)+1,FALSE)+VLOOKUP($B393&amp;$D$282&amp;$G393,$E$6:$U$275,P$279,FALSE)*VLOOKUP($A393,Weighting!$D$26:$G$30,MATCH(Segmented!$D$282,Weighting!$E$26:$H$26,0)+1,FALSE)+VLOOKUP($B393&amp;$E$282&amp;$G393,$E$6:$U$275,P$279,FALSE)*VLOOKUP($A393,Weighting!$D$26:$G$30,MATCH(Segmented!$E$282,Weighting!$E$26:$H$26,0)+1,FALSE)</f>
        <v>0</v>
      </c>
      <c r="Q393">
        <f t="shared" si="32"/>
        <v>0</v>
      </c>
      <c r="R393" s="31">
        <f>VLOOKUP($B393&amp;$C$282&amp;$G393,$E$6:$U$275,R$279,FALSE)*VLOOKUP($A393,Weighting!$D$26:$G$30,MATCH(Segmented!$C$282,Weighting!$E$26:$H$26,0)+1,FALSE)+VLOOKUP($B393&amp;$D$282&amp;$G393,$E$6:$U$275,R$279,FALSE)*VLOOKUP($A393,Weighting!$D$26:$G$30,MATCH(Segmented!$D$282,Weighting!$E$26:$H$26,0)+1,FALSE)+VLOOKUP($B393&amp;$E$282&amp;$G393,$E$6:$U$275,R$279,FALSE)*VLOOKUP($A393,Weighting!$D$26:$G$30,MATCH(Segmented!$E$282,Weighting!$E$26:$H$26,0)+1,FALSE)</f>
        <v>0</v>
      </c>
      <c r="S393">
        <f t="shared" si="33"/>
        <v>0</v>
      </c>
      <c r="T393" s="31">
        <f>VLOOKUP($B393&amp;$C$282&amp;$G393,$E$6:$U$275,T$279,FALSE)*VLOOKUP($A393,Weighting!$D$26:$G$30,MATCH(Segmented!$C$282,Weighting!$E$26:$H$26,0)+1,FALSE)+VLOOKUP($B393&amp;$D$282&amp;$G393,$E$6:$U$275,T$279,FALSE)*VLOOKUP($A393,Weighting!$D$26:$G$30,MATCH(Segmented!$D$282,Weighting!$E$26:$H$26,0)+1,FALSE)+VLOOKUP($B393&amp;$E$282&amp;$G393,$E$6:$U$275,T$279,FALSE)*VLOOKUP($A393,Weighting!$D$26:$G$30,MATCH(Segmented!$E$282,Weighting!$E$26:$H$26,0)+1,FALSE)</f>
        <v>0</v>
      </c>
    </row>
    <row r="394" spans="1:20">
      <c r="A394" t="s">
        <v>353</v>
      </c>
      <c r="B394" t="s">
        <v>1359</v>
      </c>
      <c r="F394" s="55" t="str">
        <f t="shared" si="28"/>
        <v>FLOOR R0 - R19_DHP</v>
      </c>
      <c r="G394" s="54" t="s">
        <v>218</v>
      </c>
      <c r="H394" s="31">
        <f>VLOOKUP($B394&amp;$C$282&amp;$G394,$E$6:$U$275,H$279,FALSE)*VLOOKUP($A394,Weighting!$D$26:$G$30,MATCH(Segmented!$C$282,Weighting!$E$26:$H$26,0)+1,FALSE)+VLOOKUP($B394&amp;$D$282&amp;$G394,$E$6:$U$275,H$279,FALSE)*VLOOKUP($A394,Weighting!$D$26:$G$30,MATCH(Segmented!$D$282,Weighting!$E$26:$H$26,0)+1,FALSE)+VLOOKUP($B394&amp;$E$282&amp;$G394,$E$6:$U$275,H$279,FALSE)*VLOOKUP($A394,Weighting!$D$26:$G$30,MATCH(Segmented!$E$282,Weighting!$E$26:$H$26,0)+1,FALSE)</f>
        <v>-18.581376760616067</v>
      </c>
      <c r="I394">
        <f t="shared" si="29"/>
        <v>45</v>
      </c>
      <c r="J394" s="31">
        <f>VLOOKUP($B394&amp;$C$282&amp;$G394,$E$6:$U$275,J$279,FALSE)*VLOOKUP($A394,Weighting!$D$26:$G$30,MATCH(Segmented!$C$282,Weighting!$E$26:$H$26,0)+1,FALSE)+VLOOKUP($B394&amp;$D$282&amp;$G394,$E$6:$U$275,J$279,FALSE)*VLOOKUP($A394,Weighting!$D$26:$G$30,MATCH(Segmented!$D$282,Weighting!$E$26:$H$26,0)+1,FALSE)+VLOOKUP($B394&amp;$E$282&amp;$G394,$E$6:$U$275,J$279,FALSE)*VLOOKUP($A394,Weighting!$D$26:$G$30,MATCH(Segmented!$E$282,Weighting!$E$26:$H$26,0)+1,FALSE)</f>
        <v>0</v>
      </c>
      <c r="K394" s="31">
        <f>VLOOKUP($B394&amp;$C$282&amp;$G394,$E$6:$U$275,K$279,FALSE)*VLOOKUP($A394,Weighting!$D$26:$G$30,MATCH(Segmented!$C$282,Weighting!$E$26:$H$26,0)+1,FALSE)+VLOOKUP($B394&amp;$D$282&amp;$G394,$E$6:$U$275,K$279,FALSE)*VLOOKUP($A394,Weighting!$D$26:$G$30,MATCH(Segmented!$D$282,Weighting!$E$26:$H$26,0)+1,FALSE)+VLOOKUP($B394&amp;$E$282&amp;$G394,$E$6:$U$275,K$279,FALSE)*VLOOKUP($A394,Weighting!$D$26:$G$30,MATCH(Segmented!$E$282,Weighting!$E$26:$H$26,0)+1,FALSE)</f>
        <v>0</v>
      </c>
      <c r="L394" t="str">
        <f t="shared" si="30"/>
        <v>ResSpHtHPZ2</v>
      </c>
      <c r="M394" s="31">
        <f>VLOOKUP($B394&amp;$C$282&amp;$G394,$E$6:$U$275,M$279,FALSE)*VLOOKUP($A394,Weighting!$D$26:$G$30,MATCH(Segmented!$C$282,Weighting!$E$26:$H$26,0)+1,FALSE)+VLOOKUP($B394&amp;$D$282&amp;$G394,$E$6:$U$275,M$279,FALSE)*VLOOKUP($A394,Weighting!$D$26:$G$30,MATCH(Segmented!$D$282,Weighting!$E$26:$H$26,0)+1,FALSE)+VLOOKUP($B394&amp;$E$282&amp;$G394,$E$6:$U$275,M$279,FALSE)*VLOOKUP($A394,Weighting!$D$26:$G$30,MATCH(Segmented!$E$282,Weighting!$E$26:$H$26,0)+1,FALSE)</f>
        <v>0</v>
      </c>
      <c r="N394" s="31">
        <f>VLOOKUP($B394&amp;$C$282&amp;$G394,$E$6:$U$275,N$279,FALSE)*VLOOKUP($A394,Weighting!$D$26:$G$30,MATCH(Segmented!$C$282,Weighting!$E$26:$H$26,0)+1,FALSE)+VLOOKUP($B394&amp;$D$282&amp;$G394,$E$6:$U$275,N$279,FALSE)*VLOOKUP($A394,Weighting!$D$26:$G$30,MATCH(Segmented!$D$282,Weighting!$E$26:$H$26,0)+1,FALSE)+VLOOKUP($B394&amp;$E$282&amp;$G394,$E$6:$U$275,N$279,FALSE)*VLOOKUP($A394,Weighting!$D$26:$G$30,MATCH(Segmented!$E$282,Weighting!$E$26:$H$26,0)+1,FALSE)</f>
        <v>0</v>
      </c>
      <c r="O394">
        <f t="shared" si="31"/>
        <v>0</v>
      </c>
      <c r="P394" s="31">
        <f>VLOOKUP($B394&amp;$C$282&amp;$G394,$E$6:$U$275,P$279,FALSE)*VLOOKUP($A394,Weighting!$D$26:$G$30,MATCH(Segmented!$C$282,Weighting!$E$26:$H$26,0)+1,FALSE)+VLOOKUP($B394&amp;$D$282&amp;$G394,$E$6:$U$275,P$279,FALSE)*VLOOKUP($A394,Weighting!$D$26:$G$30,MATCH(Segmented!$D$282,Weighting!$E$26:$H$26,0)+1,FALSE)+VLOOKUP($B394&amp;$E$282&amp;$G394,$E$6:$U$275,P$279,FALSE)*VLOOKUP($A394,Weighting!$D$26:$G$30,MATCH(Segmented!$E$282,Weighting!$E$26:$H$26,0)+1,FALSE)</f>
        <v>0</v>
      </c>
      <c r="Q394">
        <f t="shared" si="32"/>
        <v>0</v>
      </c>
      <c r="R394" s="31">
        <f>VLOOKUP($B394&amp;$C$282&amp;$G394,$E$6:$U$275,R$279,FALSE)*VLOOKUP($A394,Weighting!$D$26:$G$30,MATCH(Segmented!$C$282,Weighting!$E$26:$H$26,0)+1,FALSE)+VLOOKUP($B394&amp;$D$282&amp;$G394,$E$6:$U$275,R$279,FALSE)*VLOOKUP($A394,Weighting!$D$26:$G$30,MATCH(Segmented!$D$282,Weighting!$E$26:$H$26,0)+1,FALSE)+VLOOKUP($B394&amp;$E$282&amp;$G394,$E$6:$U$275,R$279,FALSE)*VLOOKUP($A394,Weighting!$D$26:$G$30,MATCH(Segmented!$E$282,Weighting!$E$26:$H$26,0)+1,FALSE)</f>
        <v>0</v>
      </c>
      <c r="S394">
        <f t="shared" si="33"/>
        <v>0</v>
      </c>
      <c r="T394" s="31">
        <f>VLOOKUP($B394&amp;$C$282&amp;$G394,$E$6:$U$275,T$279,FALSE)*VLOOKUP($A394,Weighting!$D$26:$G$30,MATCH(Segmented!$C$282,Weighting!$E$26:$H$26,0)+1,FALSE)+VLOOKUP($B394&amp;$D$282&amp;$G394,$E$6:$U$275,T$279,FALSE)*VLOOKUP($A394,Weighting!$D$26:$G$30,MATCH(Segmented!$D$282,Weighting!$E$26:$H$26,0)+1,FALSE)+VLOOKUP($B394&amp;$E$282&amp;$G394,$E$6:$U$275,T$279,FALSE)*VLOOKUP($A394,Weighting!$D$26:$G$30,MATCH(Segmented!$E$282,Weighting!$E$26:$H$26,0)+1,FALSE)</f>
        <v>0</v>
      </c>
    </row>
    <row r="395" spans="1:20">
      <c r="A395" t="s">
        <v>353</v>
      </c>
      <c r="B395" t="s">
        <v>1359</v>
      </c>
      <c r="F395" s="55" t="str">
        <f t="shared" si="28"/>
        <v>FLOOR R0 - R25_DHP</v>
      </c>
      <c r="G395" s="54" t="s">
        <v>219</v>
      </c>
      <c r="H395" s="31">
        <f>VLOOKUP($B395&amp;$C$282&amp;$G395,$E$6:$U$275,H$279,FALSE)*VLOOKUP($A395,Weighting!$D$26:$G$30,MATCH(Segmented!$C$282,Weighting!$E$26:$H$26,0)+1,FALSE)+VLOOKUP($B395&amp;$D$282&amp;$G395,$E$6:$U$275,H$279,FALSE)*VLOOKUP($A395,Weighting!$D$26:$G$30,MATCH(Segmented!$D$282,Weighting!$E$26:$H$26,0)+1,FALSE)+VLOOKUP($B395&amp;$E$282&amp;$G395,$E$6:$U$275,H$279,FALSE)*VLOOKUP($A395,Weighting!$D$26:$G$30,MATCH(Segmented!$E$282,Weighting!$E$26:$H$26,0)+1,FALSE)</f>
        <v>-20.643114197724046</v>
      </c>
      <c r="I395">
        <f t="shared" si="29"/>
        <v>45</v>
      </c>
      <c r="J395" s="31">
        <f>VLOOKUP($B395&amp;$C$282&amp;$G395,$E$6:$U$275,J$279,FALSE)*VLOOKUP($A395,Weighting!$D$26:$G$30,MATCH(Segmented!$C$282,Weighting!$E$26:$H$26,0)+1,FALSE)+VLOOKUP($B395&amp;$D$282&amp;$G395,$E$6:$U$275,J$279,FALSE)*VLOOKUP($A395,Weighting!$D$26:$G$30,MATCH(Segmented!$D$282,Weighting!$E$26:$H$26,0)+1,FALSE)+VLOOKUP($B395&amp;$E$282&amp;$G395,$E$6:$U$275,J$279,FALSE)*VLOOKUP($A395,Weighting!$D$26:$G$30,MATCH(Segmented!$E$282,Weighting!$E$26:$H$26,0)+1,FALSE)</f>
        <v>0</v>
      </c>
      <c r="K395" s="31">
        <f>VLOOKUP($B395&amp;$C$282&amp;$G395,$E$6:$U$275,K$279,FALSE)*VLOOKUP($A395,Weighting!$D$26:$G$30,MATCH(Segmented!$C$282,Weighting!$E$26:$H$26,0)+1,FALSE)+VLOOKUP($B395&amp;$D$282&amp;$G395,$E$6:$U$275,K$279,FALSE)*VLOOKUP($A395,Weighting!$D$26:$G$30,MATCH(Segmented!$D$282,Weighting!$E$26:$H$26,0)+1,FALSE)+VLOOKUP($B395&amp;$E$282&amp;$G395,$E$6:$U$275,K$279,FALSE)*VLOOKUP($A395,Weighting!$D$26:$G$30,MATCH(Segmented!$E$282,Weighting!$E$26:$H$26,0)+1,FALSE)</f>
        <v>0</v>
      </c>
      <c r="L395" t="str">
        <f t="shared" si="30"/>
        <v>ResSpHtHPZ2</v>
      </c>
      <c r="M395" s="31">
        <f>VLOOKUP($B395&amp;$C$282&amp;$G395,$E$6:$U$275,M$279,FALSE)*VLOOKUP($A395,Weighting!$D$26:$G$30,MATCH(Segmented!$C$282,Weighting!$E$26:$H$26,0)+1,FALSE)+VLOOKUP($B395&amp;$D$282&amp;$G395,$E$6:$U$275,M$279,FALSE)*VLOOKUP($A395,Weighting!$D$26:$G$30,MATCH(Segmented!$D$282,Weighting!$E$26:$H$26,0)+1,FALSE)+VLOOKUP($B395&amp;$E$282&amp;$G395,$E$6:$U$275,M$279,FALSE)*VLOOKUP($A395,Weighting!$D$26:$G$30,MATCH(Segmented!$E$282,Weighting!$E$26:$H$26,0)+1,FALSE)</f>
        <v>0</v>
      </c>
      <c r="N395" s="31">
        <f>VLOOKUP($B395&amp;$C$282&amp;$G395,$E$6:$U$275,N$279,FALSE)*VLOOKUP($A395,Weighting!$D$26:$G$30,MATCH(Segmented!$C$282,Weighting!$E$26:$H$26,0)+1,FALSE)+VLOOKUP($B395&amp;$D$282&amp;$G395,$E$6:$U$275,N$279,FALSE)*VLOOKUP($A395,Weighting!$D$26:$G$30,MATCH(Segmented!$D$282,Weighting!$E$26:$H$26,0)+1,FALSE)+VLOOKUP($B395&amp;$E$282&amp;$G395,$E$6:$U$275,N$279,FALSE)*VLOOKUP($A395,Weighting!$D$26:$G$30,MATCH(Segmented!$E$282,Weighting!$E$26:$H$26,0)+1,FALSE)</f>
        <v>0</v>
      </c>
      <c r="O395">
        <f t="shared" si="31"/>
        <v>0</v>
      </c>
      <c r="P395" s="31">
        <f>VLOOKUP($B395&amp;$C$282&amp;$G395,$E$6:$U$275,P$279,FALSE)*VLOOKUP($A395,Weighting!$D$26:$G$30,MATCH(Segmented!$C$282,Weighting!$E$26:$H$26,0)+1,FALSE)+VLOOKUP($B395&amp;$D$282&amp;$G395,$E$6:$U$275,P$279,FALSE)*VLOOKUP($A395,Weighting!$D$26:$G$30,MATCH(Segmented!$D$282,Weighting!$E$26:$H$26,0)+1,FALSE)+VLOOKUP($B395&amp;$E$282&amp;$G395,$E$6:$U$275,P$279,FALSE)*VLOOKUP($A395,Weighting!$D$26:$G$30,MATCH(Segmented!$E$282,Weighting!$E$26:$H$26,0)+1,FALSE)</f>
        <v>0</v>
      </c>
      <c r="Q395">
        <f t="shared" si="32"/>
        <v>0</v>
      </c>
      <c r="R395" s="31">
        <f>VLOOKUP($B395&amp;$C$282&amp;$G395,$E$6:$U$275,R$279,FALSE)*VLOOKUP($A395,Weighting!$D$26:$G$30,MATCH(Segmented!$C$282,Weighting!$E$26:$H$26,0)+1,FALSE)+VLOOKUP($B395&amp;$D$282&amp;$G395,$E$6:$U$275,R$279,FALSE)*VLOOKUP($A395,Weighting!$D$26:$G$30,MATCH(Segmented!$D$282,Weighting!$E$26:$H$26,0)+1,FALSE)+VLOOKUP($B395&amp;$E$282&amp;$G395,$E$6:$U$275,R$279,FALSE)*VLOOKUP($A395,Weighting!$D$26:$G$30,MATCH(Segmented!$E$282,Weighting!$E$26:$H$26,0)+1,FALSE)</f>
        <v>0</v>
      </c>
      <c r="S395">
        <f t="shared" si="33"/>
        <v>0</v>
      </c>
      <c r="T395" s="31">
        <f>VLOOKUP($B395&amp;$C$282&amp;$G395,$E$6:$U$275,T$279,FALSE)*VLOOKUP($A395,Weighting!$D$26:$G$30,MATCH(Segmented!$C$282,Weighting!$E$26:$H$26,0)+1,FALSE)+VLOOKUP($B395&amp;$D$282&amp;$G395,$E$6:$U$275,T$279,FALSE)*VLOOKUP($A395,Weighting!$D$26:$G$30,MATCH(Segmented!$D$282,Weighting!$E$26:$H$26,0)+1,FALSE)+VLOOKUP($B395&amp;$E$282&amp;$G395,$E$6:$U$275,T$279,FALSE)*VLOOKUP($A395,Weighting!$D$26:$G$30,MATCH(Segmented!$E$282,Weighting!$E$26:$H$26,0)+1,FALSE)</f>
        <v>0</v>
      </c>
    </row>
    <row r="396" spans="1:20">
      <c r="A396" t="s">
        <v>353</v>
      </c>
      <c r="B396" t="s">
        <v>1359</v>
      </c>
      <c r="F396" s="55" t="str">
        <f t="shared" si="28"/>
        <v>FLOOR R0 - R30_DHP</v>
      </c>
      <c r="G396" s="54" t="s">
        <v>220</v>
      </c>
      <c r="H396" s="31">
        <f>VLOOKUP($B396&amp;$C$282&amp;$G396,$E$6:$U$275,H$279,FALSE)*VLOOKUP($A396,Weighting!$D$26:$G$30,MATCH(Segmented!$C$282,Weighting!$E$26:$H$26,0)+1,FALSE)+VLOOKUP($B396&amp;$D$282&amp;$G396,$E$6:$U$275,H$279,FALSE)*VLOOKUP($A396,Weighting!$D$26:$G$30,MATCH(Segmented!$D$282,Weighting!$E$26:$H$26,0)+1,FALSE)+VLOOKUP($B396&amp;$E$282&amp;$G396,$E$6:$U$275,H$279,FALSE)*VLOOKUP($A396,Weighting!$D$26:$G$30,MATCH(Segmented!$E$282,Weighting!$E$26:$H$26,0)+1,FALSE)</f>
        <v>-21.992152326043964</v>
      </c>
      <c r="I396">
        <f t="shared" si="29"/>
        <v>45</v>
      </c>
      <c r="J396" s="31">
        <f>VLOOKUP($B396&amp;$C$282&amp;$G396,$E$6:$U$275,J$279,FALSE)*VLOOKUP($A396,Weighting!$D$26:$G$30,MATCH(Segmented!$C$282,Weighting!$E$26:$H$26,0)+1,FALSE)+VLOOKUP($B396&amp;$D$282&amp;$G396,$E$6:$U$275,J$279,FALSE)*VLOOKUP($A396,Weighting!$D$26:$G$30,MATCH(Segmented!$D$282,Weighting!$E$26:$H$26,0)+1,FALSE)+VLOOKUP($B396&amp;$E$282&amp;$G396,$E$6:$U$275,J$279,FALSE)*VLOOKUP($A396,Weighting!$D$26:$G$30,MATCH(Segmented!$E$282,Weighting!$E$26:$H$26,0)+1,FALSE)</f>
        <v>0</v>
      </c>
      <c r="K396" s="31">
        <f>VLOOKUP($B396&amp;$C$282&amp;$G396,$E$6:$U$275,K$279,FALSE)*VLOOKUP($A396,Weighting!$D$26:$G$30,MATCH(Segmented!$C$282,Weighting!$E$26:$H$26,0)+1,FALSE)+VLOOKUP($B396&amp;$D$282&amp;$G396,$E$6:$U$275,K$279,FALSE)*VLOOKUP($A396,Weighting!$D$26:$G$30,MATCH(Segmented!$D$282,Weighting!$E$26:$H$26,0)+1,FALSE)+VLOOKUP($B396&amp;$E$282&amp;$G396,$E$6:$U$275,K$279,FALSE)*VLOOKUP($A396,Weighting!$D$26:$G$30,MATCH(Segmented!$E$282,Weighting!$E$26:$H$26,0)+1,FALSE)</f>
        <v>0</v>
      </c>
      <c r="L396" t="str">
        <f t="shared" si="30"/>
        <v>ResSpHtHPZ2</v>
      </c>
      <c r="M396" s="31">
        <f>VLOOKUP($B396&amp;$C$282&amp;$G396,$E$6:$U$275,M$279,FALSE)*VLOOKUP($A396,Weighting!$D$26:$G$30,MATCH(Segmented!$C$282,Weighting!$E$26:$H$26,0)+1,FALSE)+VLOOKUP($B396&amp;$D$282&amp;$G396,$E$6:$U$275,M$279,FALSE)*VLOOKUP($A396,Weighting!$D$26:$G$30,MATCH(Segmented!$D$282,Weighting!$E$26:$H$26,0)+1,FALSE)+VLOOKUP($B396&amp;$E$282&amp;$G396,$E$6:$U$275,M$279,FALSE)*VLOOKUP($A396,Weighting!$D$26:$G$30,MATCH(Segmented!$E$282,Weighting!$E$26:$H$26,0)+1,FALSE)</f>
        <v>0</v>
      </c>
      <c r="N396" s="31">
        <f>VLOOKUP($B396&amp;$C$282&amp;$G396,$E$6:$U$275,N$279,FALSE)*VLOOKUP($A396,Weighting!$D$26:$G$30,MATCH(Segmented!$C$282,Weighting!$E$26:$H$26,0)+1,FALSE)+VLOOKUP($B396&amp;$D$282&amp;$G396,$E$6:$U$275,N$279,FALSE)*VLOOKUP($A396,Weighting!$D$26:$G$30,MATCH(Segmented!$D$282,Weighting!$E$26:$H$26,0)+1,FALSE)+VLOOKUP($B396&amp;$E$282&amp;$G396,$E$6:$U$275,N$279,FALSE)*VLOOKUP($A396,Weighting!$D$26:$G$30,MATCH(Segmented!$E$282,Weighting!$E$26:$H$26,0)+1,FALSE)</f>
        <v>0</v>
      </c>
      <c r="O396">
        <f t="shared" si="31"/>
        <v>0</v>
      </c>
      <c r="P396" s="31">
        <f>VLOOKUP($B396&amp;$C$282&amp;$G396,$E$6:$U$275,P$279,FALSE)*VLOOKUP($A396,Weighting!$D$26:$G$30,MATCH(Segmented!$C$282,Weighting!$E$26:$H$26,0)+1,FALSE)+VLOOKUP($B396&amp;$D$282&amp;$G396,$E$6:$U$275,P$279,FALSE)*VLOOKUP($A396,Weighting!$D$26:$G$30,MATCH(Segmented!$D$282,Weighting!$E$26:$H$26,0)+1,FALSE)+VLOOKUP($B396&amp;$E$282&amp;$G396,$E$6:$U$275,P$279,FALSE)*VLOOKUP($A396,Weighting!$D$26:$G$30,MATCH(Segmented!$E$282,Weighting!$E$26:$H$26,0)+1,FALSE)</f>
        <v>0</v>
      </c>
      <c r="Q396">
        <f t="shared" si="32"/>
        <v>0</v>
      </c>
      <c r="R396" s="31">
        <f>VLOOKUP($B396&amp;$C$282&amp;$G396,$E$6:$U$275,R$279,FALSE)*VLOOKUP($A396,Weighting!$D$26:$G$30,MATCH(Segmented!$C$282,Weighting!$E$26:$H$26,0)+1,FALSE)+VLOOKUP($B396&amp;$D$282&amp;$G396,$E$6:$U$275,R$279,FALSE)*VLOOKUP($A396,Weighting!$D$26:$G$30,MATCH(Segmented!$D$282,Weighting!$E$26:$H$26,0)+1,FALSE)+VLOOKUP($B396&amp;$E$282&amp;$G396,$E$6:$U$275,R$279,FALSE)*VLOOKUP($A396,Weighting!$D$26:$G$30,MATCH(Segmented!$E$282,Weighting!$E$26:$H$26,0)+1,FALSE)</f>
        <v>0</v>
      </c>
      <c r="S396">
        <f t="shared" si="33"/>
        <v>0</v>
      </c>
      <c r="T396" s="31">
        <f>VLOOKUP($B396&amp;$C$282&amp;$G396,$E$6:$U$275,T$279,FALSE)*VLOOKUP($A396,Weighting!$D$26:$G$30,MATCH(Segmented!$C$282,Weighting!$E$26:$H$26,0)+1,FALSE)+VLOOKUP($B396&amp;$D$282&amp;$G396,$E$6:$U$275,T$279,FALSE)*VLOOKUP($A396,Weighting!$D$26:$G$30,MATCH(Segmented!$D$282,Weighting!$E$26:$H$26,0)+1,FALSE)+VLOOKUP($B396&amp;$E$282&amp;$G396,$E$6:$U$275,T$279,FALSE)*VLOOKUP($A396,Weighting!$D$26:$G$30,MATCH(Segmented!$E$282,Weighting!$E$26:$H$26,0)+1,FALSE)</f>
        <v>0</v>
      </c>
    </row>
    <row r="397" spans="1:20" ht="25.5">
      <c r="A397" t="s">
        <v>353</v>
      </c>
      <c r="B397" t="s">
        <v>1359</v>
      </c>
      <c r="F397" s="55" t="str">
        <f t="shared" si="28"/>
        <v>WINDOW CL30 Prime Window Replacement of Single Pane Base_DHP</v>
      </c>
      <c r="G397" s="54" t="s">
        <v>221</v>
      </c>
      <c r="H397" s="31">
        <f>VLOOKUP($B397&amp;$C$282&amp;$G397,$E$6:$U$275,H$279,FALSE)*VLOOKUP($A397,Weighting!$D$26:$G$30,MATCH(Segmented!$C$282,Weighting!$E$26:$H$26,0)+1,FALSE)+VLOOKUP($B397&amp;$D$282&amp;$G397,$E$6:$U$275,H$279,FALSE)*VLOOKUP($A397,Weighting!$D$26:$G$30,MATCH(Segmented!$D$282,Weighting!$E$26:$H$26,0)+1,FALSE)+VLOOKUP($B397&amp;$E$282&amp;$G397,$E$6:$U$275,H$279,FALSE)*VLOOKUP($A397,Weighting!$D$26:$G$30,MATCH(Segmented!$E$282,Weighting!$E$26:$H$26,0)+1,FALSE)</f>
        <v>42.283357867235111</v>
      </c>
      <c r="I397">
        <f>I121</f>
        <v>45</v>
      </c>
      <c r="J397" s="31">
        <f>VLOOKUP($B397&amp;$C$282&amp;$G397,$E$6:$U$275,J$279,FALSE)*VLOOKUP($A397,Weighting!$D$26:$G$30,MATCH(Segmented!$C$282,Weighting!$E$26:$H$26,0)+1,FALSE)+VLOOKUP($B397&amp;$D$282&amp;$G397,$E$6:$U$275,J$279,FALSE)*VLOOKUP($A397,Weighting!$D$26:$G$30,MATCH(Segmented!$D$282,Weighting!$E$26:$H$26,0)+1,FALSE)+VLOOKUP($B397&amp;$E$282&amp;$G397,$E$6:$U$275,J$279,FALSE)*VLOOKUP($A397,Weighting!$D$26:$G$30,MATCH(Segmented!$E$282,Weighting!$E$26:$H$26,0)+1,FALSE)</f>
        <v>0</v>
      </c>
      <c r="K397" s="31">
        <f>VLOOKUP($B397&amp;$C$282&amp;$G397,$E$6:$U$275,K$279,FALSE)*VLOOKUP($A397,Weighting!$D$26:$G$30,MATCH(Segmented!$C$282,Weighting!$E$26:$H$26,0)+1,FALSE)+VLOOKUP($B397&amp;$D$282&amp;$G397,$E$6:$U$275,K$279,FALSE)*VLOOKUP($A397,Weighting!$D$26:$G$30,MATCH(Segmented!$D$282,Weighting!$E$26:$H$26,0)+1,FALSE)+VLOOKUP($B397&amp;$E$282&amp;$G397,$E$6:$U$275,K$279,FALSE)*VLOOKUP($A397,Weighting!$D$26:$G$30,MATCH(Segmented!$E$282,Weighting!$E$26:$H$26,0)+1,FALSE)</f>
        <v>0</v>
      </c>
      <c r="L397" t="str">
        <f>L121</f>
        <v>ResSpHtHPZ2</v>
      </c>
      <c r="M397" s="31">
        <f>VLOOKUP($B397&amp;$C$282&amp;$G397,$E$6:$U$275,M$279,FALSE)*VLOOKUP($A397,Weighting!$D$26:$G$30,MATCH(Segmented!$C$282,Weighting!$E$26:$H$26,0)+1,FALSE)+VLOOKUP($B397&amp;$D$282&amp;$G397,$E$6:$U$275,M$279,FALSE)*VLOOKUP($A397,Weighting!$D$26:$G$30,MATCH(Segmented!$D$282,Weighting!$E$26:$H$26,0)+1,FALSE)+VLOOKUP($B397&amp;$E$282&amp;$G397,$E$6:$U$275,M$279,FALSE)*VLOOKUP($A397,Weighting!$D$26:$G$30,MATCH(Segmented!$E$282,Weighting!$E$26:$H$26,0)+1,FALSE)</f>
        <v>0</v>
      </c>
      <c r="N397" s="31">
        <f>VLOOKUP($B397&amp;$C$282&amp;$G397,$E$6:$U$275,N$279,FALSE)*VLOOKUP($A397,Weighting!$D$26:$G$30,MATCH(Segmented!$C$282,Weighting!$E$26:$H$26,0)+1,FALSE)+VLOOKUP($B397&amp;$D$282&amp;$G397,$E$6:$U$275,N$279,FALSE)*VLOOKUP($A397,Weighting!$D$26:$G$30,MATCH(Segmented!$D$282,Weighting!$E$26:$H$26,0)+1,FALSE)+VLOOKUP($B397&amp;$E$282&amp;$G397,$E$6:$U$275,N$279,FALSE)*VLOOKUP($A397,Weighting!$D$26:$G$30,MATCH(Segmented!$E$282,Weighting!$E$26:$H$26,0)+1,FALSE)</f>
        <v>0</v>
      </c>
      <c r="O397">
        <f>O121</f>
        <v>0</v>
      </c>
      <c r="P397" s="31">
        <f>VLOOKUP($B397&amp;$C$282&amp;$G397,$E$6:$U$275,P$279,FALSE)*VLOOKUP($A397,Weighting!$D$26:$G$30,MATCH(Segmented!$C$282,Weighting!$E$26:$H$26,0)+1,FALSE)+VLOOKUP($B397&amp;$D$282&amp;$G397,$E$6:$U$275,P$279,FALSE)*VLOOKUP($A397,Weighting!$D$26:$G$30,MATCH(Segmented!$D$282,Weighting!$E$26:$H$26,0)+1,FALSE)+VLOOKUP($B397&amp;$E$282&amp;$G397,$E$6:$U$275,P$279,FALSE)*VLOOKUP($A397,Weighting!$D$26:$G$30,MATCH(Segmented!$E$282,Weighting!$E$26:$H$26,0)+1,FALSE)</f>
        <v>0</v>
      </c>
      <c r="Q397">
        <f>Q121</f>
        <v>0</v>
      </c>
      <c r="R397" s="31">
        <f>VLOOKUP($B397&amp;$C$282&amp;$G397,$E$6:$U$275,R$279,FALSE)*VLOOKUP($A397,Weighting!$D$26:$G$30,MATCH(Segmented!$C$282,Weighting!$E$26:$H$26,0)+1,FALSE)+VLOOKUP($B397&amp;$D$282&amp;$G397,$E$6:$U$275,R$279,FALSE)*VLOOKUP($A397,Weighting!$D$26:$G$30,MATCH(Segmented!$D$282,Weighting!$E$26:$H$26,0)+1,FALSE)+VLOOKUP($B397&amp;$E$282&amp;$G397,$E$6:$U$275,R$279,FALSE)*VLOOKUP($A397,Weighting!$D$26:$G$30,MATCH(Segmented!$E$282,Weighting!$E$26:$H$26,0)+1,FALSE)</f>
        <v>0</v>
      </c>
      <c r="S397">
        <f>S121</f>
        <v>0</v>
      </c>
      <c r="T397" s="31">
        <f>VLOOKUP($B397&amp;$C$282&amp;$G397,$E$6:$U$275,T$279,FALSE)*VLOOKUP($A397,Weighting!$D$26:$G$30,MATCH(Segmented!$C$282,Weighting!$E$26:$H$26,0)+1,FALSE)+VLOOKUP($B397&amp;$D$282&amp;$G397,$E$6:$U$275,T$279,FALSE)*VLOOKUP($A397,Weighting!$D$26:$G$30,MATCH(Segmented!$D$282,Weighting!$E$26:$H$26,0)+1,FALSE)+VLOOKUP($B397&amp;$E$282&amp;$G397,$E$6:$U$275,T$279,FALSE)*VLOOKUP($A397,Weighting!$D$26:$G$30,MATCH(Segmented!$E$282,Weighting!$E$26:$H$26,0)+1,FALSE)</f>
        <v>0</v>
      </c>
    </row>
    <row r="398" spans="1:20" ht="25.5">
      <c r="A398" t="s">
        <v>353</v>
      </c>
      <c r="B398" t="s">
        <v>1359</v>
      </c>
      <c r="F398" s="55" t="str">
        <f t="shared" si="28"/>
        <v>WINDOW CL30 Prime Window Replacement of Double Pane Base_DHP</v>
      </c>
      <c r="G398" s="54" t="s">
        <v>222</v>
      </c>
      <c r="H398" s="31">
        <f>VLOOKUP($B398&amp;$C$282&amp;$G398,$E$6:$U$275,H$279,FALSE)*VLOOKUP($A398,Weighting!$D$26:$G$30,MATCH(Segmented!$C$282,Weighting!$E$26:$H$26,0)+1,FALSE)+VLOOKUP($B398&amp;$D$282&amp;$G398,$E$6:$U$275,H$279,FALSE)*VLOOKUP($A398,Weighting!$D$26:$G$30,MATCH(Segmented!$D$282,Weighting!$E$26:$H$26,0)+1,FALSE)+VLOOKUP($B398&amp;$E$282&amp;$G398,$E$6:$U$275,H$279,FALSE)*VLOOKUP($A398,Weighting!$D$26:$G$30,MATCH(Segmented!$E$282,Weighting!$E$26:$H$26,0)+1,FALSE)</f>
        <v>52.04930292784924</v>
      </c>
      <c r="I398">
        <f>I122</f>
        <v>45</v>
      </c>
      <c r="J398" s="31">
        <f>VLOOKUP($B398&amp;$C$282&amp;$G398,$E$6:$U$275,J$279,FALSE)*VLOOKUP($A398,Weighting!$D$26:$G$30,MATCH(Segmented!$C$282,Weighting!$E$26:$H$26,0)+1,FALSE)+VLOOKUP($B398&amp;$D$282&amp;$G398,$E$6:$U$275,J$279,FALSE)*VLOOKUP($A398,Weighting!$D$26:$G$30,MATCH(Segmented!$D$282,Weighting!$E$26:$H$26,0)+1,FALSE)+VLOOKUP($B398&amp;$E$282&amp;$G398,$E$6:$U$275,J$279,FALSE)*VLOOKUP($A398,Weighting!$D$26:$G$30,MATCH(Segmented!$E$282,Weighting!$E$26:$H$26,0)+1,FALSE)</f>
        <v>0</v>
      </c>
      <c r="K398" s="31">
        <f>VLOOKUP($B398&amp;$C$282&amp;$G398,$E$6:$U$275,K$279,FALSE)*VLOOKUP($A398,Weighting!$D$26:$G$30,MATCH(Segmented!$C$282,Weighting!$E$26:$H$26,0)+1,FALSE)+VLOOKUP($B398&amp;$D$282&amp;$G398,$E$6:$U$275,K$279,FALSE)*VLOOKUP($A398,Weighting!$D$26:$G$30,MATCH(Segmented!$D$282,Weighting!$E$26:$H$26,0)+1,FALSE)+VLOOKUP($B398&amp;$E$282&amp;$G398,$E$6:$U$275,K$279,FALSE)*VLOOKUP($A398,Weighting!$D$26:$G$30,MATCH(Segmented!$E$282,Weighting!$E$26:$H$26,0)+1,FALSE)</f>
        <v>0</v>
      </c>
      <c r="L398" t="str">
        <f>L122</f>
        <v>ResSpHtHPZ2</v>
      </c>
      <c r="M398" s="31">
        <f>VLOOKUP($B398&amp;$C$282&amp;$G398,$E$6:$U$275,M$279,FALSE)*VLOOKUP($A398,Weighting!$D$26:$G$30,MATCH(Segmented!$C$282,Weighting!$E$26:$H$26,0)+1,FALSE)+VLOOKUP($B398&amp;$D$282&amp;$G398,$E$6:$U$275,M$279,FALSE)*VLOOKUP($A398,Weighting!$D$26:$G$30,MATCH(Segmented!$D$282,Weighting!$E$26:$H$26,0)+1,FALSE)+VLOOKUP($B398&amp;$E$282&amp;$G398,$E$6:$U$275,M$279,FALSE)*VLOOKUP($A398,Weighting!$D$26:$G$30,MATCH(Segmented!$E$282,Weighting!$E$26:$H$26,0)+1,FALSE)</f>
        <v>0</v>
      </c>
      <c r="N398" s="31">
        <f>VLOOKUP($B398&amp;$C$282&amp;$G398,$E$6:$U$275,N$279,FALSE)*VLOOKUP($A398,Weighting!$D$26:$G$30,MATCH(Segmented!$C$282,Weighting!$E$26:$H$26,0)+1,FALSE)+VLOOKUP($B398&amp;$D$282&amp;$G398,$E$6:$U$275,N$279,FALSE)*VLOOKUP($A398,Weighting!$D$26:$G$30,MATCH(Segmented!$D$282,Weighting!$E$26:$H$26,0)+1,FALSE)+VLOOKUP($B398&amp;$E$282&amp;$G398,$E$6:$U$275,N$279,FALSE)*VLOOKUP($A398,Weighting!$D$26:$G$30,MATCH(Segmented!$E$282,Weighting!$E$26:$H$26,0)+1,FALSE)</f>
        <v>0</v>
      </c>
      <c r="O398">
        <f>O122</f>
        <v>0</v>
      </c>
      <c r="P398" s="31">
        <f>VLOOKUP($B398&amp;$C$282&amp;$G398,$E$6:$U$275,P$279,FALSE)*VLOOKUP($A398,Weighting!$D$26:$G$30,MATCH(Segmented!$C$282,Weighting!$E$26:$H$26,0)+1,FALSE)+VLOOKUP($B398&amp;$D$282&amp;$G398,$E$6:$U$275,P$279,FALSE)*VLOOKUP($A398,Weighting!$D$26:$G$30,MATCH(Segmented!$D$282,Weighting!$E$26:$H$26,0)+1,FALSE)+VLOOKUP($B398&amp;$E$282&amp;$G398,$E$6:$U$275,P$279,FALSE)*VLOOKUP($A398,Weighting!$D$26:$G$30,MATCH(Segmented!$E$282,Weighting!$E$26:$H$26,0)+1,FALSE)</f>
        <v>0</v>
      </c>
      <c r="Q398">
        <f>Q122</f>
        <v>0</v>
      </c>
      <c r="R398" s="31">
        <f>VLOOKUP($B398&amp;$C$282&amp;$G398,$E$6:$U$275,R$279,FALSE)*VLOOKUP($A398,Weighting!$D$26:$G$30,MATCH(Segmented!$C$282,Weighting!$E$26:$H$26,0)+1,FALSE)+VLOOKUP($B398&amp;$D$282&amp;$G398,$E$6:$U$275,R$279,FALSE)*VLOOKUP($A398,Weighting!$D$26:$G$30,MATCH(Segmented!$D$282,Weighting!$E$26:$H$26,0)+1,FALSE)+VLOOKUP($B398&amp;$E$282&amp;$G398,$E$6:$U$275,R$279,FALSE)*VLOOKUP($A398,Weighting!$D$26:$G$30,MATCH(Segmented!$E$282,Weighting!$E$26:$H$26,0)+1,FALSE)</f>
        <v>0</v>
      </c>
      <c r="S398">
        <f>S122</f>
        <v>0</v>
      </c>
      <c r="T398" s="31">
        <f>VLOOKUP($B398&amp;$C$282&amp;$G398,$E$6:$U$275,T$279,FALSE)*VLOOKUP($A398,Weighting!$D$26:$G$30,MATCH(Segmented!$C$282,Weighting!$E$26:$H$26,0)+1,FALSE)+VLOOKUP($B398&amp;$D$282&amp;$G398,$E$6:$U$275,T$279,FALSE)*VLOOKUP($A398,Weighting!$D$26:$G$30,MATCH(Segmented!$D$282,Weighting!$E$26:$H$26,0)+1,FALSE)+VLOOKUP($B398&amp;$E$282&amp;$G398,$E$6:$U$275,T$279,FALSE)*VLOOKUP($A398,Weighting!$D$26:$G$30,MATCH(Segmented!$E$282,Weighting!$E$26:$H$26,0)+1,FALSE)</f>
        <v>0</v>
      </c>
    </row>
    <row r="399" spans="1:20" ht="25.5">
      <c r="A399" t="s">
        <v>353</v>
      </c>
      <c r="B399" t="s">
        <v>1359</v>
      </c>
      <c r="F399" s="55" t="str">
        <f t="shared" si="28"/>
        <v>WINDOW CL22 Prime Window Replacement of Single Pane Base_DHP</v>
      </c>
      <c r="G399" s="54" t="s">
        <v>224</v>
      </c>
      <c r="H399" s="31">
        <f>VLOOKUP($B399&amp;$C$282&amp;$G399,$E$6:$U$275,H$279,FALSE)*VLOOKUP($A399,Weighting!$D$26:$G$30,MATCH(Segmented!$C$282,Weighting!$E$26:$H$26,0)+1,FALSE)+VLOOKUP($B399&amp;$D$282&amp;$G399,$E$6:$U$275,H$279,FALSE)*VLOOKUP($A399,Weighting!$D$26:$G$30,MATCH(Segmented!$D$282,Weighting!$E$26:$H$26,0)+1,FALSE)+VLOOKUP($B399&amp;$E$282&amp;$G399,$E$6:$U$275,H$279,FALSE)*VLOOKUP($A399,Weighting!$D$26:$G$30,MATCH(Segmented!$E$282,Weighting!$E$26:$H$26,0)+1,FALSE)</f>
        <v>45.570746297895624</v>
      </c>
      <c r="I399">
        <f>I123</f>
        <v>45</v>
      </c>
      <c r="J399" s="31">
        <f>VLOOKUP($B399&amp;$C$282&amp;$G399,$E$6:$U$275,J$279,FALSE)*VLOOKUP($A399,Weighting!$D$26:$G$30,MATCH(Segmented!$C$282,Weighting!$E$26:$H$26,0)+1,FALSE)+VLOOKUP($B399&amp;$D$282&amp;$G399,$E$6:$U$275,J$279,FALSE)*VLOOKUP($A399,Weighting!$D$26:$G$30,MATCH(Segmented!$D$282,Weighting!$E$26:$H$26,0)+1,FALSE)+VLOOKUP($B399&amp;$E$282&amp;$G399,$E$6:$U$275,J$279,FALSE)*VLOOKUP($A399,Weighting!$D$26:$G$30,MATCH(Segmented!$E$282,Weighting!$E$26:$H$26,0)+1,FALSE)</f>
        <v>0</v>
      </c>
      <c r="K399" s="31">
        <f>VLOOKUP($B399&amp;$C$282&amp;$G399,$E$6:$U$275,K$279,FALSE)*VLOOKUP($A399,Weighting!$D$26:$G$30,MATCH(Segmented!$C$282,Weighting!$E$26:$H$26,0)+1,FALSE)+VLOOKUP($B399&amp;$D$282&amp;$G399,$E$6:$U$275,K$279,FALSE)*VLOOKUP($A399,Weighting!$D$26:$G$30,MATCH(Segmented!$D$282,Weighting!$E$26:$H$26,0)+1,FALSE)+VLOOKUP($B399&amp;$E$282&amp;$G399,$E$6:$U$275,K$279,FALSE)*VLOOKUP($A399,Weighting!$D$26:$G$30,MATCH(Segmented!$E$282,Weighting!$E$26:$H$26,0)+1,FALSE)</f>
        <v>0</v>
      </c>
      <c r="L399" t="str">
        <f>L123</f>
        <v>ResSpHtHPZ2</v>
      </c>
      <c r="M399" s="31">
        <f>VLOOKUP($B399&amp;$C$282&amp;$G399,$E$6:$U$275,M$279,FALSE)*VLOOKUP($A399,Weighting!$D$26:$G$30,MATCH(Segmented!$C$282,Weighting!$E$26:$H$26,0)+1,FALSE)+VLOOKUP($B399&amp;$D$282&amp;$G399,$E$6:$U$275,M$279,FALSE)*VLOOKUP($A399,Weighting!$D$26:$G$30,MATCH(Segmented!$D$282,Weighting!$E$26:$H$26,0)+1,FALSE)+VLOOKUP($B399&amp;$E$282&amp;$G399,$E$6:$U$275,M$279,FALSE)*VLOOKUP($A399,Weighting!$D$26:$G$30,MATCH(Segmented!$E$282,Weighting!$E$26:$H$26,0)+1,FALSE)</f>
        <v>0</v>
      </c>
      <c r="N399" s="31">
        <f>VLOOKUP($B399&amp;$C$282&amp;$G399,$E$6:$U$275,N$279,FALSE)*VLOOKUP($A399,Weighting!$D$26:$G$30,MATCH(Segmented!$C$282,Weighting!$E$26:$H$26,0)+1,FALSE)+VLOOKUP($B399&amp;$D$282&amp;$G399,$E$6:$U$275,N$279,FALSE)*VLOOKUP($A399,Weighting!$D$26:$G$30,MATCH(Segmented!$D$282,Weighting!$E$26:$H$26,0)+1,FALSE)+VLOOKUP($B399&amp;$E$282&amp;$G399,$E$6:$U$275,N$279,FALSE)*VLOOKUP($A399,Weighting!$D$26:$G$30,MATCH(Segmented!$E$282,Weighting!$E$26:$H$26,0)+1,FALSE)</f>
        <v>0</v>
      </c>
      <c r="O399">
        <f>O123</f>
        <v>0</v>
      </c>
      <c r="P399" s="31">
        <f>VLOOKUP($B399&amp;$C$282&amp;$G399,$E$6:$U$275,P$279,FALSE)*VLOOKUP($A399,Weighting!$D$26:$G$30,MATCH(Segmented!$C$282,Weighting!$E$26:$H$26,0)+1,FALSE)+VLOOKUP($B399&amp;$D$282&amp;$G399,$E$6:$U$275,P$279,FALSE)*VLOOKUP($A399,Weighting!$D$26:$G$30,MATCH(Segmented!$D$282,Weighting!$E$26:$H$26,0)+1,FALSE)+VLOOKUP($B399&amp;$E$282&amp;$G399,$E$6:$U$275,P$279,FALSE)*VLOOKUP($A399,Weighting!$D$26:$G$30,MATCH(Segmented!$E$282,Weighting!$E$26:$H$26,0)+1,FALSE)</f>
        <v>0</v>
      </c>
      <c r="Q399">
        <f>Q123</f>
        <v>0</v>
      </c>
      <c r="R399" s="31">
        <f>VLOOKUP($B399&amp;$C$282&amp;$G399,$E$6:$U$275,R$279,FALSE)*VLOOKUP($A399,Weighting!$D$26:$G$30,MATCH(Segmented!$C$282,Weighting!$E$26:$H$26,0)+1,FALSE)+VLOOKUP($B399&amp;$D$282&amp;$G399,$E$6:$U$275,R$279,FALSE)*VLOOKUP($A399,Weighting!$D$26:$G$30,MATCH(Segmented!$D$282,Weighting!$E$26:$H$26,0)+1,FALSE)+VLOOKUP($B399&amp;$E$282&amp;$G399,$E$6:$U$275,R$279,FALSE)*VLOOKUP($A399,Weighting!$D$26:$G$30,MATCH(Segmented!$E$282,Weighting!$E$26:$H$26,0)+1,FALSE)</f>
        <v>0</v>
      </c>
      <c r="S399">
        <f>S123</f>
        <v>0</v>
      </c>
      <c r="T399" s="31">
        <f>VLOOKUP($B399&amp;$C$282&amp;$G399,$E$6:$U$275,T$279,FALSE)*VLOOKUP($A399,Weighting!$D$26:$G$30,MATCH(Segmented!$C$282,Weighting!$E$26:$H$26,0)+1,FALSE)+VLOOKUP($B399&amp;$D$282&amp;$G399,$E$6:$U$275,T$279,FALSE)*VLOOKUP($A399,Weighting!$D$26:$G$30,MATCH(Segmented!$D$282,Weighting!$E$26:$H$26,0)+1,FALSE)+VLOOKUP($B399&amp;$E$282&amp;$G399,$E$6:$U$275,T$279,FALSE)*VLOOKUP($A399,Weighting!$D$26:$G$30,MATCH(Segmented!$E$282,Weighting!$E$26:$H$26,0)+1,FALSE)</f>
        <v>0</v>
      </c>
    </row>
    <row r="400" spans="1:20" ht="25.5">
      <c r="A400" t="s">
        <v>353</v>
      </c>
      <c r="B400" t="s">
        <v>1359</v>
      </c>
      <c r="F400" s="55" t="str">
        <f t="shared" ref="F400:F401" si="34">CONCATENATE(LEFT(G400,FIND("(",G400)-2),"_",A400)</f>
        <v>WINDOW CL22 Prime Window Replacement of Double Pane Base_DHP</v>
      </c>
      <c r="G400" s="54" t="s">
        <v>225</v>
      </c>
      <c r="H400" s="31">
        <f>VLOOKUP($B400&amp;$C$282&amp;$G400,$E$6:$U$275,H$279,FALSE)*VLOOKUP($A400,Weighting!$D$26:$G$30,MATCH(Segmented!$C$282,Weighting!$E$26:$H$26,0)+1,FALSE)+VLOOKUP($B400&amp;$D$282&amp;$G400,$E$6:$U$275,H$279,FALSE)*VLOOKUP($A400,Weighting!$D$26:$G$30,MATCH(Segmented!$D$282,Weighting!$E$26:$H$26,0)+1,FALSE)+VLOOKUP($B400&amp;$E$282&amp;$G400,$E$6:$U$275,H$279,FALSE)*VLOOKUP($A400,Weighting!$D$26:$G$30,MATCH(Segmented!$E$282,Weighting!$E$26:$H$26,0)+1,FALSE)</f>
        <v>55.336691358509754</v>
      </c>
      <c r="I400">
        <f>I124</f>
        <v>45</v>
      </c>
      <c r="J400" s="31">
        <f>VLOOKUP($B400&amp;$C$282&amp;$G400,$E$6:$U$275,J$279,FALSE)*VLOOKUP($A400,Weighting!$D$26:$G$30,MATCH(Segmented!$C$282,Weighting!$E$26:$H$26,0)+1,FALSE)+VLOOKUP($B400&amp;$D$282&amp;$G400,$E$6:$U$275,J$279,FALSE)*VLOOKUP($A400,Weighting!$D$26:$G$30,MATCH(Segmented!$D$282,Weighting!$E$26:$H$26,0)+1,FALSE)+VLOOKUP($B400&amp;$E$282&amp;$G400,$E$6:$U$275,J$279,FALSE)*VLOOKUP($A400,Weighting!$D$26:$G$30,MATCH(Segmented!$E$282,Weighting!$E$26:$H$26,0)+1,FALSE)</f>
        <v>0</v>
      </c>
      <c r="K400" s="31">
        <f>VLOOKUP($B400&amp;$C$282&amp;$G400,$E$6:$U$275,K$279,FALSE)*VLOOKUP($A400,Weighting!$D$26:$G$30,MATCH(Segmented!$C$282,Weighting!$E$26:$H$26,0)+1,FALSE)+VLOOKUP($B400&amp;$D$282&amp;$G400,$E$6:$U$275,K$279,FALSE)*VLOOKUP($A400,Weighting!$D$26:$G$30,MATCH(Segmented!$D$282,Weighting!$E$26:$H$26,0)+1,FALSE)+VLOOKUP($B400&amp;$E$282&amp;$G400,$E$6:$U$275,K$279,FALSE)*VLOOKUP($A400,Weighting!$D$26:$G$30,MATCH(Segmented!$E$282,Weighting!$E$26:$H$26,0)+1,FALSE)</f>
        <v>0</v>
      </c>
      <c r="L400" t="str">
        <f>L124</f>
        <v>ResSpHtHPZ2</v>
      </c>
      <c r="M400" s="31">
        <f>VLOOKUP($B400&amp;$C$282&amp;$G400,$E$6:$U$275,M$279,FALSE)*VLOOKUP($A400,Weighting!$D$26:$G$30,MATCH(Segmented!$C$282,Weighting!$E$26:$H$26,0)+1,FALSE)+VLOOKUP($B400&amp;$D$282&amp;$G400,$E$6:$U$275,M$279,FALSE)*VLOOKUP($A400,Weighting!$D$26:$G$30,MATCH(Segmented!$D$282,Weighting!$E$26:$H$26,0)+1,FALSE)+VLOOKUP($B400&amp;$E$282&amp;$G400,$E$6:$U$275,M$279,FALSE)*VLOOKUP($A400,Weighting!$D$26:$G$30,MATCH(Segmented!$E$282,Weighting!$E$26:$H$26,0)+1,FALSE)</f>
        <v>0</v>
      </c>
      <c r="N400" s="31">
        <f>VLOOKUP($B400&amp;$C$282&amp;$G400,$E$6:$U$275,N$279,FALSE)*VLOOKUP($A400,Weighting!$D$26:$G$30,MATCH(Segmented!$C$282,Weighting!$E$26:$H$26,0)+1,FALSE)+VLOOKUP($B400&amp;$D$282&amp;$G400,$E$6:$U$275,N$279,FALSE)*VLOOKUP($A400,Weighting!$D$26:$G$30,MATCH(Segmented!$D$282,Weighting!$E$26:$H$26,0)+1,FALSE)+VLOOKUP($B400&amp;$E$282&amp;$G400,$E$6:$U$275,N$279,FALSE)*VLOOKUP($A400,Weighting!$D$26:$G$30,MATCH(Segmented!$E$282,Weighting!$E$26:$H$26,0)+1,FALSE)</f>
        <v>0</v>
      </c>
      <c r="O400">
        <f>O124</f>
        <v>0</v>
      </c>
      <c r="P400" s="31">
        <f>VLOOKUP($B400&amp;$C$282&amp;$G400,$E$6:$U$275,P$279,FALSE)*VLOOKUP($A400,Weighting!$D$26:$G$30,MATCH(Segmented!$C$282,Weighting!$E$26:$H$26,0)+1,FALSE)+VLOOKUP($B400&amp;$D$282&amp;$G400,$E$6:$U$275,P$279,FALSE)*VLOOKUP($A400,Weighting!$D$26:$G$30,MATCH(Segmented!$D$282,Weighting!$E$26:$H$26,0)+1,FALSE)+VLOOKUP($B400&amp;$E$282&amp;$G400,$E$6:$U$275,P$279,FALSE)*VLOOKUP($A400,Weighting!$D$26:$G$30,MATCH(Segmented!$E$282,Weighting!$E$26:$H$26,0)+1,FALSE)</f>
        <v>0</v>
      </c>
      <c r="Q400">
        <f>Q124</f>
        <v>0</v>
      </c>
      <c r="R400" s="31">
        <f>VLOOKUP($B400&amp;$C$282&amp;$G400,$E$6:$U$275,R$279,FALSE)*VLOOKUP($A400,Weighting!$D$26:$G$30,MATCH(Segmented!$C$282,Weighting!$E$26:$H$26,0)+1,FALSE)+VLOOKUP($B400&amp;$D$282&amp;$G400,$E$6:$U$275,R$279,FALSE)*VLOOKUP($A400,Weighting!$D$26:$G$30,MATCH(Segmented!$D$282,Weighting!$E$26:$H$26,0)+1,FALSE)+VLOOKUP($B400&amp;$E$282&amp;$G400,$E$6:$U$275,R$279,FALSE)*VLOOKUP($A400,Weighting!$D$26:$G$30,MATCH(Segmented!$E$282,Weighting!$E$26:$H$26,0)+1,FALSE)</f>
        <v>0</v>
      </c>
      <c r="S400">
        <f>S124</f>
        <v>0</v>
      </c>
      <c r="T400" s="31">
        <f>VLOOKUP($B400&amp;$C$282&amp;$G400,$E$6:$U$275,T$279,FALSE)*VLOOKUP($A400,Weighting!$D$26:$G$30,MATCH(Segmented!$C$282,Weighting!$E$26:$H$26,0)+1,FALSE)+VLOOKUP($B400&amp;$D$282&amp;$G400,$E$6:$U$275,T$279,FALSE)*VLOOKUP($A400,Weighting!$D$26:$G$30,MATCH(Segmented!$D$282,Weighting!$E$26:$H$26,0)+1,FALSE)+VLOOKUP($B400&amp;$E$282&amp;$G400,$E$6:$U$275,T$279,FALSE)*VLOOKUP($A400,Weighting!$D$26:$G$30,MATCH(Segmented!$E$282,Weighting!$E$26:$H$26,0)+1,FALSE)</f>
        <v>0</v>
      </c>
    </row>
    <row r="401" spans="1:20">
      <c r="A401" t="s">
        <v>353</v>
      </c>
      <c r="B401" t="s">
        <v>1359</v>
      </c>
      <c r="F401" s="55" t="str">
        <f t="shared" si="34"/>
        <v>CFM50 Infiltration Reduction_DHP</v>
      </c>
      <c r="G401" s="307" t="s">
        <v>890</v>
      </c>
      <c r="H401" s="31">
        <f>VLOOKUP($B401&amp;$C$282&amp;$G401,$E$6:$U$275,H$279,FALSE)*VLOOKUP($A401,Weighting!$D$26:$G$30,MATCH(Segmented!$C$282,Weighting!$E$26:$H$26,0)+1,FALSE)+VLOOKUP($B401&amp;$D$282&amp;$G401,$E$6:$U$275,H$279,FALSE)*VLOOKUP($A401,Weighting!$D$26:$G$30,MATCH(Segmented!$D$282,Weighting!$E$26:$H$26,0)+1,FALSE)+VLOOKUP($B401&amp;$E$282&amp;$G401,$E$6:$U$275,H$279,FALSE)*VLOOKUP($A401,Weighting!$D$26:$G$30,MATCH(Segmented!$E$282,Weighting!$E$26:$H$26,0)+1,FALSE)</f>
        <v>4.0298075401408768</v>
      </c>
      <c r="I401">
        <f t="shared" ref="I401" si="35">I125</f>
        <v>15</v>
      </c>
      <c r="J401" s="31">
        <f>VLOOKUP($B401&amp;$C$282&amp;$G401,$E$6:$U$275,J$279,FALSE)*VLOOKUP($A401,Weighting!$D$26:$G$30,MATCH(Segmented!$C$282,Weighting!$E$26:$H$26,0)+1,FALSE)+VLOOKUP($B401&amp;$D$282&amp;$G401,$E$6:$U$275,J$279,FALSE)*VLOOKUP($A401,Weighting!$D$26:$G$30,MATCH(Segmented!$D$282,Weighting!$E$26:$H$26,0)+1,FALSE)+VLOOKUP($B401&amp;$E$282&amp;$G401,$E$6:$U$275,J$279,FALSE)*VLOOKUP($A401,Weighting!$D$26:$G$30,MATCH(Segmented!$E$282,Weighting!$E$26:$H$26,0)+1,FALSE)</f>
        <v>0</v>
      </c>
      <c r="K401" s="31">
        <f>VLOOKUP($B401&amp;$C$282&amp;$G401,$E$6:$U$275,K$279,FALSE)*VLOOKUP($A401,Weighting!$D$26:$G$30,MATCH(Segmented!$C$282,Weighting!$E$26:$H$26,0)+1,FALSE)+VLOOKUP($B401&amp;$D$282&amp;$G401,$E$6:$U$275,K$279,FALSE)*VLOOKUP($A401,Weighting!$D$26:$G$30,MATCH(Segmented!$D$282,Weighting!$E$26:$H$26,0)+1,FALSE)+VLOOKUP($B401&amp;$E$282&amp;$G401,$E$6:$U$275,K$279,FALSE)*VLOOKUP($A401,Weighting!$D$26:$G$30,MATCH(Segmented!$E$282,Weighting!$E$26:$H$26,0)+1,FALSE)</f>
        <v>0</v>
      </c>
      <c r="L401" t="str">
        <f t="shared" ref="L401" si="36">L125</f>
        <v>ResSpHtHPZ2</v>
      </c>
      <c r="M401" s="31">
        <f>VLOOKUP($B401&amp;$C$282&amp;$G401,$E$6:$U$275,M$279,FALSE)*VLOOKUP($A401,Weighting!$D$26:$G$30,MATCH(Segmented!$C$282,Weighting!$E$26:$H$26,0)+1,FALSE)+VLOOKUP($B401&amp;$D$282&amp;$G401,$E$6:$U$275,M$279,FALSE)*VLOOKUP($A401,Weighting!$D$26:$G$30,MATCH(Segmented!$D$282,Weighting!$E$26:$H$26,0)+1,FALSE)+VLOOKUP($B401&amp;$E$282&amp;$G401,$E$6:$U$275,M$279,FALSE)*VLOOKUP($A401,Weighting!$D$26:$G$30,MATCH(Segmented!$E$282,Weighting!$E$26:$H$26,0)+1,FALSE)</f>
        <v>0</v>
      </c>
      <c r="N401" s="31">
        <f>VLOOKUP($B401&amp;$C$282&amp;$G401,$E$6:$U$275,N$279,FALSE)*VLOOKUP($A401,Weighting!$D$26:$G$30,MATCH(Segmented!$C$282,Weighting!$E$26:$H$26,0)+1,FALSE)+VLOOKUP($B401&amp;$D$282&amp;$G401,$E$6:$U$275,N$279,FALSE)*VLOOKUP($A401,Weighting!$D$26:$G$30,MATCH(Segmented!$D$282,Weighting!$E$26:$H$26,0)+1,FALSE)+VLOOKUP($B401&amp;$E$282&amp;$G401,$E$6:$U$275,N$279,FALSE)*VLOOKUP($A401,Weighting!$D$26:$G$30,MATCH(Segmented!$E$282,Weighting!$E$26:$H$26,0)+1,FALSE)</f>
        <v>0</v>
      </c>
      <c r="O401">
        <f t="shared" ref="O401" si="37">O125</f>
        <v>0</v>
      </c>
      <c r="P401" s="31">
        <f>VLOOKUP($B401&amp;$C$282&amp;$G401,$E$6:$U$275,P$279,FALSE)*VLOOKUP($A401,Weighting!$D$26:$G$30,MATCH(Segmented!$C$282,Weighting!$E$26:$H$26,0)+1,FALSE)+VLOOKUP($B401&amp;$D$282&amp;$G401,$E$6:$U$275,P$279,FALSE)*VLOOKUP($A401,Weighting!$D$26:$G$30,MATCH(Segmented!$D$282,Weighting!$E$26:$H$26,0)+1,FALSE)+VLOOKUP($B401&amp;$E$282&amp;$G401,$E$6:$U$275,P$279,FALSE)*VLOOKUP($A401,Weighting!$D$26:$G$30,MATCH(Segmented!$E$282,Weighting!$E$26:$H$26,0)+1,FALSE)</f>
        <v>0</v>
      </c>
      <c r="Q401">
        <f t="shared" ref="Q401" si="38">Q125</f>
        <v>0</v>
      </c>
      <c r="R401" s="31">
        <f>VLOOKUP($B401&amp;$C$282&amp;$G401,$E$6:$U$275,R$279,FALSE)*VLOOKUP($A401,Weighting!$D$26:$G$30,MATCH(Segmented!$C$282,Weighting!$E$26:$H$26,0)+1,FALSE)+VLOOKUP($B401&amp;$D$282&amp;$G401,$E$6:$U$275,R$279,FALSE)*VLOOKUP($A401,Weighting!$D$26:$G$30,MATCH(Segmented!$D$282,Weighting!$E$26:$H$26,0)+1,FALSE)+VLOOKUP($B401&amp;$E$282&amp;$G401,$E$6:$U$275,R$279,FALSE)*VLOOKUP($A401,Weighting!$D$26:$G$30,MATCH(Segmented!$E$282,Weighting!$E$26:$H$26,0)+1,FALSE)</f>
        <v>0</v>
      </c>
      <c r="S401">
        <f t="shared" ref="S401" si="39">S125</f>
        <v>0</v>
      </c>
      <c r="T401" s="31">
        <f>VLOOKUP($B401&amp;$C$282&amp;$G401,$E$6:$U$275,T$279,FALSE)*VLOOKUP($A401,Weighting!$D$26:$G$30,MATCH(Segmented!$C$282,Weighting!$E$26:$H$26,0)+1,FALSE)+VLOOKUP($B401&amp;$D$282&amp;$G401,$E$6:$U$275,T$279,FALSE)*VLOOKUP($A401,Weighting!$D$26:$G$30,MATCH(Segmented!$D$282,Weighting!$E$26:$H$26,0)+1,FALSE)+VLOOKUP($B401&amp;$E$282&amp;$G401,$E$6:$U$275,T$279,FALSE)*VLOOKUP($A401,Weighting!$D$26:$G$30,MATCH(Segmented!$E$282,Weighting!$E$26:$H$26,0)+1,FALSE)</f>
        <v>0</v>
      </c>
    </row>
  </sheetData>
  <mergeCells count="4">
    <mergeCell ref="N4:S4"/>
    <mergeCell ref="T4:U4"/>
    <mergeCell ref="N280:S280"/>
    <mergeCell ref="T280:U280"/>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dimension ref="C1:M30"/>
  <sheetViews>
    <sheetView workbookViewId="0">
      <selection activeCell="E6" sqref="E6"/>
    </sheetView>
  </sheetViews>
  <sheetFormatPr defaultRowHeight="12.75"/>
  <cols>
    <col min="4" max="4" width="51.140625" customWidth="1"/>
    <col min="5" max="5" width="39.140625" customWidth="1"/>
    <col min="6" max="6" width="12.28515625" bestFit="1" customWidth="1"/>
    <col min="7" max="7" width="19.42578125" bestFit="1" customWidth="1"/>
    <col min="8" max="8" width="19.85546875" bestFit="1" customWidth="1"/>
  </cols>
  <sheetData>
    <row r="1" spans="3:13">
      <c r="D1" s="407" t="s">
        <v>1607</v>
      </c>
      <c r="E1" s="408"/>
      <c r="F1" s="51"/>
    </row>
    <row r="2" spans="3:13" ht="13.5" thickBot="1">
      <c r="D2" s="409"/>
      <c r="E2" s="410"/>
      <c r="F2" s="51"/>
    </row>
    <row r="3" spans="3:13" ht="12.75" customHeight="1">
      <c r="F3" s="51"/>
      <c r="M3" t="s">
        <v>1368</v>
      </c>
    </row>
    <row r="4" spans="3:13" ht="13.5" customHeight="1" thickBot="1">
      <c r="C4" s="51"/>
      <c r="D4" s="51"/>
      <c r="E4" s="51" t="s">
        <v>60</v>
      </c>
      <c r="F4" t="s">
        <v>61</v>
      </c>
      <c r="G4" t="s">
        <v>62</v>
      </c>
      <c r="H4" s="51" t="s">
        <v>833</v>
      </c>
      <c r="M4" t="s">
        <v>1609</v>
      </c>
    </row>
    <row r="5" spans="3:13" ht="15">
      <c r="D5" s="51" t="s">
        <v>227</v>
      </c>
      <c r="E5" s="51">
        <f>'[3]SF Estimates'!$AD$22</f>
        <v>0.80224209468952035</v>
      </c>
      <c r="F5" s="52">
        <f>'[3]SF Estimates'!$AD$23</f>
        <v>0.15941900960102018</v>
      </c>
      <c r="G5" s="52">
        <f>'[3]SF Estimates'!$AD$24</f>
        <v>3.8338895709459371E-2</v>
      </c>
      <c r="H5" s="52">
        <f>'[3]SF Estimates'!$AD$8</f>
        <v>0.13435640861978029</v>
      </c>
      <c r="K5" s="336" t="s">
        <v>1365</v>
      </c>
      <c r="L5" s="337">
        <v>1</v>
      </c>
      <c r="M5" s="52">
        <f>'[3]SF Estimates'!$T4</f>
        <v>0.43481214645857158</v>
      </c>
    </row>
    <row r="6" spans="3:13" ht="15">
      <c r="D6" t="s">
        <v>228</v>
      </c>
      <c r="E6" s="51">
        <f>'[3]SF Estimates'!$AE$22</f>
        <v>0.76179626085359942</v>
      </c>
      <c r="F6" s="52">
        <f>'[3]SF Estimates'!$AE$23</f>
        <v>0.18064968069217199</v>
      </c>
      <c r="G6" s="52">
        <f>'[3]SF Estimates'!$AE$24</f>
        <v>5.7554058454228764E-2</v>
      </c>
      <c r="H6" s="52">
        <f>'[3]SF Estimates'!$AE$8</f>
        <v>0.48808309680372453</v>
      </c>
      <c r="K6" s="338"/>
      <c r="L6" s="339">
        <v>2</v>
      </c>
      <c r="M6" s="52">
        <f>'[3]SF Estimates'!$T5</f>
        <v>0.39440447638444176</v>
      </c>
    </row>
    <row r="7" spans="3:13" ht="15">
      <c r="D7" t="s">
        <v>229</v>
      </c>
      <c r="E7" s="51">
        <f>'[3]SF Estimates'!$AB$22</f>
        <v>0.83611093310718865</v>
      </c>
      <c r="F7" s="52">
        <f>'[3]SF Estimates'!$AB$23</f>
        <v>0.14474227363424905</v>
      </c>
      <c r="G7" s="52">
        <f>'[3]SF Estimates'!$AB$24</f>
        <v>1.914679325856198E-2</v>
      </c>
      <c r="H7" s="52">
        <f>'[3]SF Estimates'!$AB$8</f>
        <v>0.34472448382968923</v>
      </c>
      <c r="K7" s="340"/>
      <c r="L7" s="341">
        <v>3</v>
      </c>
      <c r="M7" s="52">
        <f>'[3]SF Estimates'!$T6</f>
        <v>0.1969197238940345</v>
      </c>
    </row>
    <row r="8" spans="3:13" ht="15.75" thickBot="1">
      <c r="D8" s="51" t="s">
        <v>353</v>
      </c>
      <c r="E8" s="51">
        <f>'[3]SF Estimates'!$AC$22</f>
        <v>0.97877448287418678</v>
      </c>
      <c r="F8" s="52">
        <f>'[3]SF Estimates'!$AC$23</f>
        <v>0</v>
      </c>
      <c r="G8" s="52">
        <f>'[3]SF Estimates'!$AC$24</f>
        <v>2.1225517125813099E-2</v>
      </c>
      <c r="H8" s="52">
        <f>'[3]SF Estimates'!$AC$8</f>
        <v>3.2836010746805963E-2</v>
      </c>
      <c r="K8" s="342"/>
      <c r="L8" s="343" t="s">
        <v>1366</v>
      </c>
      <c r="M8" s="52">
        <f>'[3]SF Estimates'!$T7</f>
        <v>0.32778204697463487</v>
      </c>
    </row>
    <row r="9" spans="3:13" ht="15">
      <c r="C9" s="51"/>
      <c r="K9" s="344"/>
      <c r="L9" s="345" t="s">
        <v>1367</v>
      </c>
      <c r="M9" s="52">
        <f>'[3]SF Estimates'!$T8</f>
        <v>0.40815382415645091</v>
      </c>
    </row>
    <row r="12" spans="3:13">
      <c r="C12" s="51"/>
    </row>
    <row r="13" spans="3:13" ht="140.25">
      <c r="C13" s="51"/>
      <c r="D13" s="330" t="s">
        <v>1351</v>
      </c>
    </row>
    <row r="16" spans="3:13">
      <c r="C16" s="51"/>
    </row>
    <row r="17" spans="3:9">
      <c r="C17" s="51"/>
      <c r="D17" t="s">
        <v>1352</v>
      </c>
      <c r="E17">
        <v>3.37</v>
      </c>
      <c r="F17" t="s">
        <v>1619</v>
      </c>
    </row>
    <row r="18" spans="3:9">
      <c r="E18">
        <f>E17*8760*1000</f>
        <v>29521200</v>
      </c>
      <c r="F18" t="s">
        <v>1353</v>
      </c>
    </row>
    <row r="19" spans="3:9">
      <c r="D19" t="s">
        <v>1355</v>
      </c>
      <c r="E19">
        <v>2000</v>
      </c>
      <c r="F19" t="s">
        <v>1354</v>
      </c>
    </row>
    <row r="20" spans="3:9">
      <c r="C20" s="51"/>
      <c r="E20" s="331">
        <f>E18/E19</f>
        <v>14760.6</v>
      </c>
      <c r="F20" t="s">
        <v>1620</v>
      </c>
    </row>
    <row r="21" spans="3:9">
      <c r="D21" t="s">
        <v>1356</v>
      </c>
      <c r="E21" s="51">
        <f>(54000+E20)/54000</f>
        <v>1.2733444444444446</v>
      </c>
      <c r="F21" t="s">
        <v>1608</v>
      </c>
    </row>
    <row r="22" spans="3:9">
      <c r="E22" s="52">
        <f>(802000-E20)/802000</f>
        <v>0.98159526184538659</v>
      </c>
      <c r="F22" t="s">
        <v>1357</v>
      </c>
    </row>
    <row r="24" spans="3:9">
      <c r="D24" s="51"/>
    </row>
    <row r="25" spans="3:9">
      <c r="D25" t="s">
        <v>1369</v>
      </c>
    </row>
    <row r="26" spans="3:9">
      <c r="D26" s="51"/>
      <c r="E26" s="51" t="s">
        <v>60</v>
      </c>
      <c r="F26" t="s">
        <v>61</v>
      </c>
      <c r="G26" t="s">
        <v>62</v>
      </c>
      <c r="H26" s="51" t="s">
        <v>833</v>
      </c>
    </row>
    <row r="27" spans="3:9">
      <c r="D27" s="51" t="s">
        <v>227</v>
      </c>
      <c r="E27" s="51">
        <f>'[3]SF Estimates'!$AD$22*$M$5</f>
        <v>0.34882460717137098</v>
      </c>
      <c r="F27" s="52">
        <f>'[3]SF Estimates'!$AD$23*M6</f>
        <v>6.2875571007416656E-2</v>
      </c>
      <c r="G27" s="52">
        <f>'[3]SF Estimates'!$AD$24*M7</f>
        <v>7.5496847575089237E-3</v>
      </c>
      <c r="H27" s="52">
        <f>'[3]SF Estimates'!$AD$8*M9</f>
        <v>5.4838081978090071E-2</v>
      </c>
    </row>
    <row r="28" spans="3:9">
      <c r="D28" t="s">
        <v>228</v>
      </c>
      <c r="E28" s="51">
        <f>'[3]SF Estimates'!$AE$22*M5</f>
        <v>0.33123826734586748</v>
      </c>
      <c r="F28" s="52">
        <f>'[3]SF Estimates'!$AE$23*M6</f>
        <v>7.1249042722412698E-2</v>
      </c>
      <c r="G28" s="52">
        <f>'[3]SF Estimates'!$AE$24*M7</f>
        <v>1.1333529299787851E-2</v>
      </c>
      <c r="H28" s="332">
        <f>H6*E22*M9</f>
        <v>0.19554651968726669</v>
      </c>
      <c r="I28" t="s">
        <v>1358</v>
      </c>
    </row>
    <row r="29" spans="3:9">
      <c r="D29" t="s">
        <v>229</v>
      </c>
      <c r="E29" s="51">
        <f>'[3]SF Estimates'!$AB$22*M5</f>
        <v>0.36355118950181586</v>
      </c>
      <c r="F29" s="52">
        <f>'[3]SF Estimates'!$AB$23*M6</f>
        <v>5.7087000643409588E-2</v>
      </c>
      <c r="G29" s="52">
        <f>'[3]SF Estimates'!$AB$24*M7</f>
        <v>3.7703812419321863E-3</v>
      </c>
      <c r="H29" s="52">
        <f>'[3]SF Estimates'!$AB$8*M9</f>
        <v>0.14070061635544628</v>
      </c>
    </row>
    <row r="30" spans="3:9">
      <c r="D30" s="51" t="s">
        <v>353</v>
      </c>
      <c r="E30" s="51">
        <f>'[3]SF Estimates'!$AC$22*M5</f>
        <v>0.42558303379740359</v>
      </c>
      <c r="F30" s="52">
        <f>'[3]SF Estimates'!$AC$23*M6</f>
        <v>0</v>
      </c>
      <c r="G30" s="52">
        <f>'[3]SF Estimates'!$AC$24*M7</f>
        <v>4.1797229719232158E-3</v>
      </c>
      <c r="H30" s="332">
        <f>H8*E21*M9</f>
        <v>1.706554478645779E-2</v>
      </c>
      <c r="I30" t="s">
        <v>1358</v>
      </c>
    </row>
  </sheetData>
  <mergeCells count="1">
    <mergeCell ref="D1:E2"/>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DB326"/>
  <sheetViews>
    <sheetView topLeftCell="B270" workbookViewId="0">
      <selection activeCell="D274" sqref="D274"/>
    </sheetView>
  </sheetViews>
  <sheetFormatPr defaultRowHeight="12.75"/>
  <cols>
    <col min="1" max="1" width="73.85546875" customWidth="1"/>
    <col min="2" max="2" width="90.28515625" bestFit="1" customWidth="1"/>
    <col min="3" max="3" width="45" customWidth="1"/>
    <col min="16" max="16" width="10.5703125" customWidth="1"/>
  </cols>
  <sheetData>
    <row r="1" spans="1:106">
      <c r="A1" s="26" t="s">
        <v>1597</v>
      </c>
    </row>
    <row r="3" spans="1:106" s="7" customFormat="1">
      <c r="B3" s="12" t="s">
        <v>2</v>
      </c>
      <c r="C3" s="13"/>
      <c r="D3" s="13"/>
      <c r="E3" s="13"/>
      <c r="F3" s="13"/>
      <c r="G3" s="13"/>
      <c r="H3" s="14"/>
      <c r="I3" s="15"/>
      <c r="J3" s="411" t="s">
        <v>3</v>
      </c>
      <c r="K3" s="412"/>
      <c r="L3" s="412"/>
      <c r="M3" s="412"/>
      <c r="N3" s="412"/>
      <c r="O3" s="413"/>
      <c r="P3" s="414" t="s">
        <v>4</v>
      </c>
      <c r="Q3" s="415"/>
      <c r="R3" s="16"/>
      <c r="S3" s="17"/>
      <c r="T3" s="17"/>
      <c r="U3" s="17"/>
      <c r="V3" s="17"/>
      <c r="W3" s="17"/>
      <c r="X3" s="17"/>
      <c r="Y3" s="18"/>
      <c r="Z3" s="19"/>
      <c r="AA3" s="17"/>
      <c r="AB3" s="17"/>
      <c r="AC3" s="17"/>
      <c r="AD3" s="17"/>
      <c r="AE3" s="17"/>
      <c r="AF3" s="20"/>
      <c r="AG3" s="20"/>
      <c r="AH3" s="20"/>
      <c r="AI3" s="20"/>
      <c r="AJ3" s="20"/>
      <c r="AK3" s="20"/>
      <c r="AL3" s="20"/>
      <c r="AM3" s="20"/>
      <c r="AN3" s="20"/>
      <c r="AO3" s="20"/>
      <c r="AP3" s="20"/>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row>
    <row r="4" spans="1:106" s="7" customFormat="1" ht="25.5">
      <c r="A4" s="7" t="s">
        <v>20</v>
      </c>
      <c r="B4" s="21" t="s">
        <v>5</v>
      </c>
      <c r="C4" s="21" t="s">
        <v>6</v>
      </c>
      <c r="D4" s="21" t="s">
        <v>7</v>
      </c>
      <c r="E4" s="21" t="s">
        <v>8</v>
      </c>
      <c r="F4" s="21" t="s">
        <v>9</v>
      </c>
      <c r="G4" s="21" t="s">
        <v>10</v>
      </c>
      <c r="H4" s="22" t="s">
        <v>11</v>
      </c>
      <c r="I4" s="23" t="s">
        <v>12</v>
      </c>
      <c r="J4" s="23" t="s">
        <v>13</v>
      </c>
      <c r="K4" s="23" t="s">
        <v>14</v>
      </c>
      <c r="L4" s="23" t="s">
        <v>15</v>
      </c>
      <c r="M4" s="23" t="s">
        <v>16</v>
      </c>
      <c r="N4" s="23" t="s">
        <v>17</v>
      </c>
      <c r="O4" s="23" t="s">
        <v>18</v>
      </c>
      <c r="P4" s="24" t="s">
        <v>19</v>
      </c>
      <c r="Q4" s="23" t="s">
        <v>11</v>
      </c>
      <c r="R4" s="25"/>
      <c r="S4" s="25"/>
      <c r="T4" s="25"/>
      <c r="U4" s="25"/>
      <c r="V4" s="25"/>
      <c r="W4" s="25"/>
      <c r="X4" s="25"/>
      <c r="Y4" s="25"/>
      <c r="Z4" s="25"/>
      <c r="AA4" s="25"/>
      <c r="AB4" s="25"/>
      <c r="AC4" s="25"/>
      <c r="AD4" s="25"/>
      <c r="AE4" s="25"/>
      <c r="AF4" s="20"/>
      <c r="AG4" s="20"/>
      <c r="AH4" s="20"/>
      <c r="AI4" s="20"/>
      <c r="AJ4" s="20"/>
      <c r="AK4" s="20"/>
      <c r="AL4" s="20"/>
      <c r="AM4" s="20"/>
      <c r="AN4" s="20"/>
      <c r="AO4" s="20"/>
      <c r="AP4" s="20"/>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row>
    <row r="5" spans="1:106">
      <c r="A5" t="str">
        <f>CONCATENATE(B5,C5)</f>
        <v>Single Family Weatherization - Insulate Attic - R0 to R38 - Heating Zone 1 (Electric FAF)ATTIC R0 - R38</v>
      </c>
      <c r="B5" s="53" t="s">
        <v>67</v>
      </c>
      <c r="C5" s="53" t="s">
        <v>68</v>
      </c>
      <c r="D5">
        <f>VLOOKUP($A5,'Raw RTF'!$A$8:$Q$1000,'Raw RTF'!D$5,FALSE)</f>
        <v>2.5285206405856697</v>
      </c>
      <c r="E5">
        <f>VLOOKUP($A5,'Raw RTF'!$A$8:$Q$1000,'Raw RTF'!E$5,FALSE)</f>
        <v>45</v>
      </c>
      <c r="F5">
        <f>VLOOKUP($A5,'Raw RTF'!$A$8:$Q$1000,'Raw RTF'!F$5,FALSE)</f>
        <v>0.98066043810604342</v>
      </c>
      <c r="G5">
        <f>VLOOKUP($A5,'Raw RTF'!$A$8:$Q$1000,'Raw RTF'!G$5,FALSE)</f>
        <v>0</v>
      </c>
      <c r="H5" t="str">
        <f>VLOOKUP($A5,'Raw RTF'!$A$8:$Q$1000,'Raw RTF'!H$5,FALSE)</f>
        <v>ResSpHtFAFZ1</v>
      </c>
      <c r="I5">
        <f>VLOOKUP($A5,'Raw RTF'!$A$8:$Q$1000,'Raw RTF'!I$5,FALSE)</f>
        <v>9.5166570691198223E-3</v>
      </c>
      <c r="J5">
        <f>VLOOKUP($A5,'Raw RTF'!$A$8:$Q$1000,'Raw RTF'!J$5,FALSE)</f>
        <v>0</v>
      </c>
      <c r="K5">
        <f>VLOOKUP($A5,'Raw RTF'!$A$8:$Q$1000,'Raw RTF'!K$5,FALSE)</f>
        <v>0</v>
      </c>
      <c r="L5">
        <f>VLOOKUP($A5,'Raw RTF'!$A$8:$Q$1000,'Raw RTF'!L$5,FALSE)</f>
        <v>0</v>
      </c>
      <c r="M5">
        <f>VLOOKUP($A5,'Raw RTF'!$A$8:$Q$1000,'Raw RTF'!M$5,FALSE)</f>
        <v>0</v>
      </c>
      <c r="N5">
        <f>VLOOKUP($A5,'Raw RTF'!$A$8:$Q$1000,'Raw RTF'!N$5,FALSE)</f>
        <v>0</v>
      </c>
      <c r="O5">
        <f>VLOOKUP($A5,'Raw RTF'!$A$8:$Q$1000,'Raw RTF'!O$5,FALSE)</f>
        <v>0</v>
      </c>
      <c r="P5">
        <f>VLOOKUP($A5,'Raw RTF'!$A$8:$Q$1000,'Raw RTF'!P$5,FALSE)</f>
        <v>0</v>
      </c>
      <c r="Q5">
        <f>VLOOKUP($A5,'Raw RTF'!$A$8:$Q$1000,'Raw RTF'!Q$5,FALSE)</f>
        <v>0</v>
      </c>
    </row>
    <row r="6" spans="1:106">
      <c r="A6" t="str">
        <f t="shared" ref="A6:A62" si="0">CONCATENATE(B6,C6)</f>
        <v>Single Family Weatherization - Insulate Attic - R0 to R49 - Heating Zone 1 (Electric FAF)ATTIC R0 - R49</v>
      </c>
      <c r="B6" s="53" t="s">
        <v>70</v>
      </c>
      <c r="C6" s="53" t="s">
        <v>71</v>
      </c>
      <c r="D6">
        <f>VLOOKUP($A6,'Raw RTF'!$A$8:$Q$1000,'Raw RTF'!D$5,FALSE)</f>
        <v>2.5650788363255406</v>
      </c>
      <c r="E6">
        <f>VLOOKUP($A6,'Raw RTF'!$A$8:$Q$1000,'Raw RTF'!E$5,FALSE)</f>
        <v>45</v>
      </c>
      <c r="F6">
        <f>VLOOKUP($A6,'Raw RTF'!$A$8:$Q$1000,'Raw RTF'!F$5,FALSE)</f>
        <v>1.1198946019755947</v>
      </c>
      <c r="G6">
        <f>VLOOKUP($A6,'Raw RTF'!$A$8:$Q$1000,'Raw RTF'!G$5,FALSE)</f>
        <v>0</v>
      </c>
      <c r="H6" t="str">
        <f>VLOOKUP($A6,'Raw RTF'!$A$8:$Q$1000,'Raw RTF'!H$5,FALSE)</f>
        <v>ResSpHtFAFZ1</v>
      </c>
      <c r="I6">
        <f>VLOOKUP($A6,'Raw RTF'!$A$8:$Q$1000,'Raw RTF'!I$5,FALSE)</f>
        <v>9.8537616304070277E-3</v>
      </c>
      <c r="J6">
        <f>VLOOKUP($A6,'Raw RTF'!$A$8:$Q$1000,'Raw RTF'!J$5,FALSE)</f>
        <v>0</v>
      </c>
      <c r="K6">
        <f>VLOOKUP($A6,'Raw RTF'!$A$8:$Q$1000,'Raw RTF'!K$5,FALSE)</f>
        <v>0</v>
      </c>
      <c r="L6">
        <f>VLOOKUP($A6,'Raw RTF'!$A$8:$Q$1000,'Raw RTF'!L$5,FALSE)</f>
        <v>0</v>
      </c>
      <c r="M6">
        <f>VLOOKUP($A6,'Raw RTF'!$A$8:$Q$1000,'Raw RTF'!M$5,FALSE)</f>
        <v>0</v>
      </c>
      <c r="N6">
        <f>VLOOKUP($A6,'Raw RTF'!$A$8:$Q$1000,'Raw RTF'!N$5,FALSE)</f>
        <v>0</v>
      </c>
      <c r="O6">
        <f>VLOOKUP($A6,'Raw RTF'!$A$8:$Q$1000,'Raw RTF'!O$5,FALSE)</f>
        <v>0</v>
      </c>
      <c r="P6">
        <f>VLOOKUP($A6,'Raw RTF'!$A$8:$Q$1000,'Raw RTF'!P$5,FALSE)</f>
        <v>0</v>
      </c>
      <c r="Q6">
        <f>VLOOKUP($A6,'Raw RTF'!$A$8:$Q$1000,'Raw RTF'!Q$5,FALSE)</f>
        <v>0</v>
      </c>
    </row>
    <row r="7" spans="1:106">
      <c r="A7" t="str">
        <f t="shared" si="0"/>
        <v>Single Family Weatherization - Insulate Attic - R11 to R38 - Heating Zone 1 (Electric FAF)ATTIC R11 - R38</v>
      </c>
      <c r="B7" s="53" t="s">
        <v>72</v>
      </c>
      <c r="C7" s="53" t="s">
        <v>73</v>
      </c>
      <c r="D7">
        <f>VLOOKUP($A7,'Raw RTF'!$A$8:$Q$1000,'Raw RTF'!D$5,FALSE)</f>
        <v>0.64242347024217905</v>
      </c>
      <c r="E7">
        <f>VLOOKUP($A7,'Raw RTF'!$A$8:$Q$1000,'Raw RTF'!E$5,FALSE)</f>
        <v>45</v>
      </c>
      <c r="F7">
        <f>VLOOKUP($A7,'Raw RTF'!$A$8:$Q$1000,'Raw RTF'!F$5,FALSE)</f>
        <v>0.84142627423649186</v>
      </c>
      <c r="G7">
        <f>VLOOKUP($A7,'Raw RTF'!$A$8:$Q$1000,'Raw RTF'!G$5,FALSE)</f>
        <v>0</v>
      </c>
      <c r="H7" t="str">
        <f>VLOOKUP($A7,'Raw RTF'!$A$8:$Q$1000,'Raw RTF'!H$5,FALSE)</f>
        <v>ResSpHtFAFZ1</v>
      </c>
      <c r="I7">
        <f>VLOOKUP($A7,'Raw RTF'!$A$8:$Q$1000,'Raw RTF'!I$5,FALSE)</f>
        <v>5.3355005970264031E-3</v>
      </c>
      <c r="J7">
        <f>VLOOKUP($A7,'Raw RTF'!$A$8:$Q$1000,'Raw RTF'!J$5,FALSE)</f>
        <v>0</v>
      </c>
      <c r="K7">
        <f>VLOOKUP($A7,'Raw RTF'!$A$8:$Q$1000,'Raw RTF'!K$5,FALSE)</f>
        <v>0</v>
      </c>
      <c r="L7">
        <f>VLOOKUP($A7,'Raw RTF'!$A$8:$Q$1000,'Raw RTF'!L$5,FALSE)</f>
        <v>0</v>
      </c>
      <c r="M7">
        <f>VLOOKUP($A7,'Raw RTF'!$A$8:$Q$1000,'Raw RTF'!M$5,FALSE)</f>
        <v>0</v>
      </c>
      <c r="N7">
        <f>VLOOKUP($A7,'Raw RTF'!$A$8:$Q$1000,'Raw RTF'!N$5,FALSE)</f>
        <v>0</v>
      </c>
      <c r="O7">
        <f>VLOOKUP($A7,'Raw RTF'!$A$8:$Q$1000,'Raw RTF'!O$5,FALSE)</f>
        <v>0</v>
      </c>
      <c r="P7">
        <f>VLOOKUP($A7,'Raw RTF'!$A$8:$Q$1000,'Raw RTF'!P$5,FALSE)</f>
        <v>0</v>
      </c>
      <c r="Q7">
        <f>VLOOKUP($A7,'Raw RTF'!$A$8:$Q$1000,'Raw RTF'!Q$5,FALSE)</f>
        <v>0</v>
      </c>
    </row>
    <row r="8" spans="1:106">
      <c r="A8" t="str">
        <f t="shared" si="0"/>
        <v>Single Family Weatherization - Insulate Attic - R11 to R49 - Heating Zone 1 (Electric FAF)ATTIC R11 - R49</v>
      </c>
      <c r="B8" s="53" t="s">
        <v>74</v>
      </c>
      <c r="C8" s="53" t="s">
        <v>75</v>
      </c>
      <c r="D8">
        <f>VLOOKUP($A8,'Raw RTF'!$A$8:$Q$1000,'Raw RTF'!D$5,FALSE)</f>
        <v>0.69732627189634411</v>
      </c>
      <c r="E8">
        <f>VLOOKUP($A8,'Raw RTF'!$A$8:$Q$1000,'Raw RTF'!E$5,FALSE)</f>
        <v>45</v>
      </c>
      <c r="F8">
        <f>VLOOKUP($A8,'Raw RTF'!$A$8:$Q$1000,'Raw RTF'!F$5,FALSE)</f>
        <v>0.98066043810604342</v>
      </c>
      <c r="G8">
        <f>VLOOKUP($A8,'Raw RTF'!$A$8:$Q$1000,'Raw RTF'!G$5,FALSE)</f>
        <v>0</v>
      </c>
      <c r="H8" t="str">
        <f>VLOOKUP($A8,'Raw RTF'!$A$8:$Q$1000,'Raw RTF'!H$5,FALSE)</f>
        <v>ResSpHtFAFZ1</v>
      </c>
      <c r="I8">
        <f>VLOOKUP($A8,'Raw RTF'!$A$8:$Q$1000,'Raw RTF'!I$5,FALSE)</f>
        <v>5.8467152527629275E-3</v>
      </c>
      <c r="J8">
        <f>VLOOKUP($A8,'Raw RTF'!$A$8:$Q$1000,'Raw RTF'!J$5,FALSE)</f>
        <v>0</v>
      </c>
      <c r="K8">
        <f>VLOOKUP($A8,'Raw RTF'!$A$8:$Q$1000,'Raw RTF'!K$5,FALSE)</f>
        <v>0</v>
      </c>
      <c r="L8">
        <f>VLOOKUP($A8,'Raw RTF'!$A$8:$Q$1000,'Raw RTF'!L$5,FALSE)</f>
        <v>0</v>
      </c>
      <c r="M8">
        <f>VLOOKUP($A8,'Raw RTF'!$A$8:$Q$1000,'Raw RTF'!M$5,FALSE)</f>
        <v>0</v>
      </c>
      <c r="N8">
        <f>VLOOKUP($A8,'Raw RTF'!$A$8:$Q$1000,'Raw RTF'!N$5,FALSE)</f>
        <v>0</v>
      </c>
      <c r="O8">
        <f>VLOOKUP($A8,'Raw RTF'!$A$8:$Q$1000,'Raw RTF'!O$5,FALSE)</f>
        <v>0</v>
      </c>
      <c r="P8">
        <f>VLOOKUP($A8,'Raw RTF'!$A$8:$Q$1000,'Raw RTF'!P$5,FALSE)</f>
        <v>0</v>
      </c>
      <c r="Q8">
        <f>VLOOKUP($A8,'Raw RTF'!$A$8:$Q$1000,'Raw RTF'!Q$5,FALSE)</f>
        <v>0</v>
      </c>
    </row>
    <row r="9" spans="1:106">
      <c r="A9" t="str">
        <f t="shared" si="0"/>
        <v>Single Family Weatherization - Insulate Attic - R19 to R38 - Heating Zone 1 (Electric FAF)ATTIC R19 - R38</v>
      </c>
      <c r="B9" s="53" t="s">
        <v>76</v>
      </c>
      <c r="C9" s="53" t="s">
        <v>77</v>
      </c>
      <c r="D9">
        <f>VLOOKUP($A9,'Raw RTF'!$A$8:$Q$1000,'Raw RTF'!D$5,FALSE)</f>
        <v>0.26304847903549472</v>
      </c>
      <c r="E9">
        <f>VLOOKUP($A9,'Raw RTF'!$A$8:$Q$1000,'Raw RTF'!E$5,FALSE)</f>
        <v>45</v>
      </c>
      <c r="F9">
        <f>VLOOKUP($A9,'Raw RTF'!$A$8:$Q$1000,'Raw RTF'!F$5,FALSE)</f>
        <v>0.7401650641495453</v>
      </c>
      <c r="G9">
        <f>VLOOKUP($A9,'Raw RTF'!$A$8:$Q$1000,'Raw RTF'!G$5,FALSE)</f>
        <v>0</v>
      </c>
      <c r="H9" t="str">
        <f>VLOOKUP($A9,'Raw RTF'!$A$8:$Q$1000,'Raw RTF'!H$5,FALSE)</f>
        <v>ResSpHtFAFZ1</v>
      </c>
      <c r="I9">
        <f>VLOOKUP($A9,'Raw RTF'!$A$8:$Q$1000,'Raw RTF'!I$5,FALSE)</f>
        <v>2.3587111519831937E-3</v>
      </c>
      <c r="J9">
        <f>VLOOKUP($A9,'Raw RTF'!$A$8:$Q$1000,'Raw RTF'!J$5,FALSE)</f>
        <v>0</v>
      </c>
      <c r="K9">
        <f>VLOOKUP($A9,'Raw RTF'!$A$8:$Q$1000,'Raw RTF'!K$5,FALSE)</f>
        <v>0</v>
      </c>
      <c r="L9">
        <f>VLOOKUP($A9,'Raw RTF'!$A$8:$Q$1000,'Raw RTF'!L$5,FALSE)</f>
        <v>0</v>
      </c>
      <c r="M9">
        <f>VLOOKUP($A9,'Raw RTF'!$A$8:$Q$1000,'Raw RTF'!M$5,FALSE)</f>
        <v>0</v>
      </c>
      <c r="N9">
        <f>VLOOKUP($A9,'Raw RTF'!$A$8:$Q$1000,'Raw RTF'!N$5,FALSE)</f>
        <v>0</v>
      </c>
      <c r="O9">
        <f>VLOOKUP($A9,'Raw RTF'!$A$8:$Q$1000,'Raw RTF'!O$5,FALSE)</f>
        <v>0</v>
      </c>
      <c r="P9">
        <f>VLOOKUP($A9,'Raw RTF'!$A$8:$Q$1000,'Raw RTF'!P$5,FALSE)</f>
        <v>0</v>
      </c>
      <c r="Q9">
        <f>VLOOKUP($A9,'Raw RTF'!$A$8:$Q$1000,'Raw RTF'!Q$5,FALSE)</f>
        <v>0</v>
      </c>
    </row>
    <row r="10" spans="1:106">
      <c r="A10" t="str">
        <f t="shared" si="0"/>
        <v>Single Family Weatherization - Insulate Attic - R19 to R49 - Heating Zone 1 (Electric FAF)ATTIC R19 - R49</v>
      </c>
      <c r="B10" s="53" t="s">
        <v>78</v>
      </c>
      <c r="C10" s="53" t="s">
        <v>79</v>
      </c>
      <c r="D10">
        <f>VLOOKUP($A10,'Raw RTF'!$A$8:$Q$1000,'Raw RTF'!D$5,FALSE)</f>
        <v>0.31719447043774529</v>
      </c>
      <c r="E10">
        <f>VLOOKUP($A10,'Raw RTF'!$A$8:$Q$1000,'Raw RTF'!E$5,FALSE)</f>
        <v>45</v>
      </c>
      <c r="F10">
        <f>VLOOKUP($A10,'Raw RTF'!$A$8:$Q$1000,'Raw RTF'!F$5,FALSE)</f>
        <v>0.87939922801909687</v>
      </c>
      <c r="G10">
        <f>VLOOKUP($A10,'Raw RTF'!$A$8:$Q$1000,'Raw RTF'!G$5,FALSE)</f>
        <v>0</v>
      </c>
      <c r="H10" t="str">
        <f>VLOOKUP($A10,'Raw RTF'!$A$8:$Q$1000,'Raw RTF'!H$5,FALSE)</f>
        <v>ResSpHtFAFZ1</v>
      </c>
      <c r="I10">
        <f>VLOOKUP($A10,'Raw RTF'!$A$8:$Q$1000,'Raw RTF'!I$5,FALSE)</f>
        <v>2.870151768252509E-3</v>
      </c>
      <c r="J10">
        <f>VLOOKUP($A10,'Raw RTF'!$A$8:$Q$1000,'Raw RTF'!J$5,FALSE)</f>
        <v>0</v>
      </c>
      <c r="K10">
        <f>VLOOKUP($A10,'Raw RTF'!$A$8:$Q$1000,'Raw RTF'!K$5,FALSE)</f>
        <v>0</v>
      </c>
      <c r="L10">
        <f>VLOOKUP($A10,'Raw RTF'!$A$8:$Q$1000,'Raw RTF'!L$5,FALSE)</f>
        <v>0</v>
      </c>
      <c r="M10">
        <f>VLOOKUP($A10,'Raw RTF'!$A$8:$Q$1000,'Raw RTF'!M$5,FALSE)</f>
        <v>0</v>
      </c>
      <c r="N10">
        <f>VLOOKUP($A10,'Raw RTF'!$A$8:$Q$1000,'Raw RTF'!N$5,FALSE)</f>
        <v>0</v>
      </c>
      <c r="O10">
        <f>VLOOKUP($A10,'Raw RTF'!$A$8:$Q$1000,'Raw RTF'!O$5,FALSE)</f>
        <v>0</v>
      </c>
      <c r="P10">
        <f>VLOOKUP($A10,'Raw RTF'!$A$8:$Q$1000,'Raw RTF'!P$5,FALSE)</f>
        <v>0</v>
      </c>
      <c r="Q10">
        <f>VLOOKUP($A10,'Raw RTF'!$A$8:$Q$1000,'Raw RTF'!Q$5,FALSE)</f>
        <v>0</v>
      </c>
    </row>
    <row r="11" spans="1:106">
      <c r="A11" t="str">
        <f t="shared" si="0"/>
        <v>Single Family Weatherization - Insulate Wall - R0 to R11 - Heating Zone 1 (Electric FAF)WALL R0 - R11</v>
      </c>
      <c r="B11" s="53" t="s">
        <v>84</v>
      </c>
      <c r="C11" s="53" t="s">
        <v>85</v>
      </c>
      <c r="D11">
        <f>VLOOKUP($A11,'Raw RTF'!$A$8:$Q$1000,'Raw RTF'!D$5,FALSE)</f>
        <v>2.6104143645680713</v>
      </c>
      <c r="E11">
        <f>VLOOKUP($A11,'Raw RTF'!$A$8:$Q$1000,'Raw RTF'!E$5,FALSE)</f>
        <v>45</v>
      </c>
      <c r="F11">
        <f>VLOOKUP($A11,'Raw RTF'!$A$8:$Q$1000,'Raw RTF'!F$5,FALSE)</f>
        <v>1.3863525086966677</v>
      </c>
      <c r="G11">
        <f>VLOOKUP($A11,'Raw RTF'!$A$8:$Q$1000,'Raw RTF'!G$5,FALSE)</f>
        <v>0</v>
      </c>
      <c r="H11" t="str">
        <f>VLOOKUP($A11,'Raw RTF'!$A$8:$Q$1000,'Raw RTF'!H$5,FALSE)</f>
        <v>ResSpHtFAFZ1</v>
      </c>
      <c r="I11">
        <f>VLOOKUP($A11,'Raw RTF'!$A$8:$Q$1000,'Raw RTF'!I$5,FALSE)</f>
        <v>1.5658791377909435E-2</v>
      </c>
      <c r="J11">
        <f>VLOOKUP($A11,'Raw RTF'!$A$8:$Q$1000,'Raw RTF'!J$5,FALSE)</f>
        <v>0</v>
      </c>
      <c r="K11">
        <f>VLOOKUP($A11,'Raw RTF'!$A$8:$Q$1000,'Raw RTF'!K$5,FALSE)</f>
        <v>0</v>
      </c>
      <c r="L11">
        <f>VLOOKUP($A11,'Raw RTF'!$A$8:$Q$1000,'Raw RTF'!L$5,FALSE)</f>
        <v>0</v>
      </c>
      <c r="M11">
        <f>VLOOKUP($A11,'Raw RTF'!$A$8:$Q$1000,'Raw RTF'!M$5,FALSE)</f>
        <v>0</v>
      </c>
      <c r="N11">
        <f>VLOOKUP($A11,'Raw RTF'!$A$8:$Q$1000,'Raw RTF'!N$5,FALSE)</f>
        <v>0</v>
      </c>
      <c r="O11">
        <f>VLOOKUP($A11,'Raw RTF'!$A$8:$Q$1000,'Raw RTF'!O$5,FALSE)</f>
        <v>0</v>
      </c>
      <c r="P11">
        <f>VLOOKUP($A11,'Raw RTF'!$A$8:$Q$1000,'Raw RTF'!P$5,FALSE)</f>
        <v>0</v>
      </c>
      <c r="Q11">
        <f>VLOOKUP($A11,'Raw RTF'!$A$8:$Q$1000,'Raw RTF'!Q$5,FALSE)</f>
        <v>0</v>
      </c>
    </row>
    <row r="12" spans="1:106">
      <c r="A12" t="str">
        <f t="shared" si="0"/>
        <v>Single Family Weatherization - Insulate Floor - R0 to R19 - Heating Zone 1 (Electric FAF)FLOOR R0 - R19</v>
      </c>
      <c r="B12" s="53" t="s">
        <v>86</v>
      </c>
      <c r="C12" s="53" t="s">
        <v>87</v>
      </c>
      <c r="D12">
        <f>VLOOKUP($A12,'Raw RTF'!$A$8:$Q$1000,'Raw RTF'!D$5,FALSE)</f>
        <v>1.0874872595328746</v>
      </c>
      <c r="E12">
        <f>VLOOKUP($A12,'Raw RTF'!$A$8:$Q$1000,'Raw RTF'!E$5,FALSE)</f>
        <v>45</v>
      </c>
      <c r="F12">
        <f>VLOOKUP($A12,'Raw RTF'!$A$8:$Q$1000,'Raw RTF'!F$5,FALSE)</f>
        <v>1.2290592529494864</v>
      </c>
      <c r="G12">
        <f>VLOOKUP($A12,'Raw RTF'!$A$8:$Q$1000,'Raw RTF'!G$5,FALSE)</f>
        <v>0</v>
      </c>
      <c r="H12" t="str">
        <f>VLOOKUP($A12,'Raw RTF'!$A$8:$Q$1000,'Raw RTF'!H$5,FALSE)</f>
        <v>ResSpHtFAFZ1</v>
      </c>
      <c r="I12">
        <f>VLOOKUP($A12,'Raw RTF'!$A$8:$Q$1000,'Raw RTF'!I$5,FALSE)</f>
        <v>4.6215591741871464E-3</v>
      </c>
      <c r="J12">
        <f>VLOOKUP($A12,'Raw RTF'!$A$8:$Q$1000,'Raw RTF'!J$5,FALSE)</f>
        <v>0</v>
      </c>
      <c r="K12">
        <f>VLOOKUP($A12,'Raw RTF'!$A$8:$Q$1000,'Raw RTF'!K$5,FALSE)</f>
        <v>0</v>
      </c>
      <c r="L12">
        <f>VLOOKUP($A12,'Raw RTF'!$A$8:$Q$1000,'Raw RTF'!L$5,FALSE)</f>
        <v>0</v>
      </c>
      <c r="M12">
        <f>VLOOKUP($A12,'Raw RTF'!$A$8:$Q$1000,'Raw RTF'!M$5,FALSE)</f>
        <v>0</v>
      </c>
      <c r="N12">
        <f>VLOOKUP($A12,'Raw RTF'!$A$8:$Q$1000,'Raw RTF'!N$5,FALSE)</f>
        <v>0</v>
      </c>
      <c r="O12">
        <f>VLOOKUP($A12,'Raw RTF'!$A$8:$Q$1000,'Raw RTF'!O$5,FALSE)</f>
        <v>0</v>
      </c>
      <c r="P12">
        <f>VLOOKUP($A12,'Raw RTF'!$A$8:$Q$1000,'Raw RTF'!P$5,FALSE)</f>
        <v>0</v>
      </c>
      <c r="Q12">
        <f>VLOOKUP($A12,'Raw RTF'!$A$8:$Q$1000,'Raw RTF'!Q$5,FALSE)</f>
        <v>0</v>
      </c>
    </row>
    <row r="13" spans="1:106" s="26" customFormat="1">
      <c r="A13" t="str">
        <f t="shared" si="0"/>
        <v>Single Family Weatherization - Insulate Floor - R0 to R25 - Heating Zone 1 (Electric FAF)FLOOR R0 - R25</v>
      </c>
      <c r="B13" s="53" t="s">
        <v>88</v>
      </c>
      <c r="C13" s="53" t="s">
        <v>89</v>
      </c>
      <c r="D13">
        <f>VLOOKUP($A13,'Raw RTF'!$A$8:$Q$1000,'Raw RTF'!D$5,FALSE)</f>
        <v>1.1686078879622559</v>
      </c>
      <c r="E13">
        <f>VLOOKUP($A13,'Raw RTF'!$A$8:$Q$1000,'Raw RTF'!E$5,FALSE)</f>
        <v>45</v>
      </c>
      <c r="F13">
        <f>VLOOKUP($A13,'Raw RTF'!$A$8:$Q$1000,'Raw RTF'!F$5,FALSE)</f>
        <v>1.2761252113477823</v>
      </c>
      <c r="G13">
        <f>VLOOKUP($A13,'Raw RTF'!$A$8:$Q$1000,'Raw RTF'!G$5,FALSE)</f>
        <v>0</v>
      </c>
      <c r="H13" t="str">
        <f>VLOOKUP($A13,'Raw RTF'!$A$8:$Q$1000,'Raw RTF'!H$5,FALSE)</f>
        <v>ResSpHtFAFZ1</v>
      </c>
      <c r="I13">
        <f>VLOOKUP($A13,'Raw RTF'!$A$8:$Q$1000,'Raw RTF'!I$5,FALSE)</f>
        <v>5.4203461279518526E-3</v>
      </c>
      <c r="J13">
        <f>VLOOKUP($A13,'Raw RTF'!$A$8:$Q$1000,'Raw RTF'!J$5,FALSE)</f>
        <v>0</v>
      </c>
      <c r="K13">
        <f>VLOOKUP($A13,'Raw RTF'!$A$8:$Q$1000,'Raw RTF'!K$5,FALSE)</f>
        <v>0</v>
      </c>
      <c r="L13">
        <f>VLOOKUP($A13,'Raw RTF'!$A$8:$Q$1000,'Raw RTF'!L$5,FALSE)</f>
        <v>0</v>
      </c>
      <c r="M13">
        <f>VLOOKUP($A13,'Raw RTF'!$A$8:$Q$1000,'Raw RTF'!M$5,FALSE)</f>
        <v>0</v>
      </c>
      <c r="N13">
        <f>VLOOKUP($A13,'Raw RTF'!$A$8:$Q$1000,'Raw RTF'!N$5,FALSE)</f>
        <v>0</v>
      </c>
      <c r="O13">
        <f>VLOOKUP($A13,'Raw RTF'!$A$8:$Q$1000,'Raw RTF'!O$5,FALSE)</f>
        <v>0</v>
      </c>
      <c r="P13">
        <f>VLOOKUP($A13,'Raw RTF'!$A$8:$Q$1000,'Raw RTF'!P$5,FALSE)</f>
        <v>0</v>
      </c>
      <c r="Q13">
        <f>VLOOKUP($A13,'Raw RTF'!$A$8:$Q$1000,'Raw RTF'!Q$5,FALSE)</f>
        <v>0</v>
      </c>
      <c r="R13"/>
      <c r="S13"/>
    </row>
    <row r="14" spans="1:106">
      <c r="A14" t="str">
        <f t="shared" si="0"/>
        <v>Single Family Weatherization - Insulate Floor - R0 to R30 - Heating Zone 1 (Electric FAF)FLOOR R0 - R30</v>
      </c>
      <c r="B14" s="53" t="s">
        <v>90</v>
      </c>
      <c r="C14" s="53" t="s">
        <v>91</v>
      </c>
      <c r="D14">
        <f>VLOOKUP($A14,'Raw RTF'!$A$8:$Q$1000,'Raw RTF'!D$5,FALSE)</f>
        <v>1.2194557746377501</v>
      </c>
      <c r="E14">
        <f>VLOOKUP($A14,'Raw RTF'!$A$8:$Q$1000,'Raw RTF'!E$5,FALSE)</f>
        <v>45</v>
      </c>
      <c r="F14">
        <f>VLOOKUP($A14,'Raw RTF'!$A$8:$Q$1000,'Raw RTF'!F$5,FALSE)</f>
        <v>1.3153468433463626</v>
      </c>
      <c r="G14">
        <f>VLOOKUP($A14,'Raw RTF'!$A$8:$Q$1000,'Raw RTF'!G$5,FALSE)</f>
        <v>0</v>
      </c>
      <c r="H14" t="str">
        <f>VLOOKUP($A14,'Raw RTF'!$A$8:$Q$1000,'Raw RTF'!H$5,FALSE)</f>
        <v>ResSpHtFAFZ1</v>
      </c>
      <c r="I14">
        <f>VLOOKUP($A14,'Raw RTF'!$A$8:$Q$1000,'Raw RTF'!I$5,FALSE)</f>
        <v>5.9460042760808331E-3</v>
      </c>
      <c r="J14">
        <f>VLOOKUP($A14,'Raw RTF'!$A$8:$Q$1000,'Raw RTF'!J$5,FALSE)</f>
        <v>0</v>
      </c>
      <c r="K14">
        <f>VLOOKUP($A14,'Raw RTF'!$A$8:$Q$1000,'Raw RTF'!K$5,FALSE)</f>
        <v>0</v>
      </c>
      <c r="L14">
        <f>VLOOKUP($A14,'Raw RTF'!$A$8:$Q$1000,'Raw RTF'!L$5,FALSE)</f>
        <v>0</v>
      </c>
      <c r="M14">
        <f>VLOOKUP($A14,'Raw RTF'!$A$8:$Q$1000,'Raw RTF'!M$5,FALSE)</f>
        <v>0</v>
      </c>
      <c r="N14">
        <f>VLOOKUP($A14,'Raw RTF'!$A$8:$Q$1000,'Raw RTF'!N$5,FALSE)</f>
        <v>0</v>
      </c>
      <c r="O14">
        <f>VLOOKUP($A14,'Raw RTF'!$A$8:$Q$1000,'Raw RTF'!O$5,FALSE)</f>
        <v>0</v>
      </c>
      <c r="P14">
        <f>VLOOKUP($A14,'Raw RTF'!$A$8:$Q$1000,'Raw RTF'!P$5,FALSE)</f>
        <v>0</v>
      </c>
      <c r="Q14">
        <f>VLOOKUP($A14,'Raw RTF'!$A$8:$Q$1000,'Raw RTF'!Q$5,FALSE)</f>
        <v>0</v>
      </c>
    </row>
    <row r="15" spans="1:106" ht="25.5">
      <c r="A15" t="str">
        <f t="shared" si="0"/>
        <v>Windows - Single Pane to Class 30 - Heating Zone 1 (Electric FAF)WINDOW CL30 Prime Window Replacement of Single Pane Base</v>
      </c>
      <c r="B15" s="53" t="s">
        <v>92</v>
      </c>
      <c r="C15" s="53" t="s">
        <v>93</v>
      </c>
      <c r="D15">
        <f>VLOOKUP($A15,'Raw RTF'!$A$8:$Q$1000,'Raw RTF'!D$5,FALSE)</f>
        <v>16.679742661459432</v>
      </c>
      <c r="E15">
        <f>VLOOKUP($A15,'Raw RTF'!$A$8:$Q$1000,'Raw RTF'!E$5,FALSE)</f>
        <v>45</v>
      </c>
      <c r="F15">
        <f>VLOOKUP($A15,'Raw RTF'!$A$8:$Q$1000,'Raw RTF'!F$5,FALSE)</f>
        <v>18.513985646792214</v>
      </c>
      <c r="G15">
        <f>VLOOKUP($A15,'Raw RTF'!$A$8:$Q$1000,'Raw RTF'!G$5,FALSE)</f>
        <v>0</v>
      </c>
      <c r="H15" t="str">
        <f>VLOOKUP($A15,'Raw RTF'!$A$8:$Q$1000,'Raw RTF'!H$5,FALSE)</f>
        <v>ResSpHtFAFZ1</v>
      </c>
      <c r="I15">
        <f>VLOOKUP($A15,'Raw RTF'!$A$8:$Q$1000,'Raw RTF'!I$5,FALSE)</f>
        <v>0.15994265539248415</v>
      </c>
      <c r="J15">
        <f>VLOOKUP($A15,'Raw RTF'!$A$8:$Q$1000,'Raw RTF'!J$5,FALSE)</f>
        <v>0</v>
      </c>
      <c r="K15">
        <f>VLOOKUP($A15,'Raw RTF'!$A$8:$Q$1000,'Raw RTF'!K$5,FALSE)</f>
        <v>0</v>
      </c>
      <c r="L15">
        <f>VLOOKUP($A15,'Raw RTF'!$A$8:$Q$1000,'Raw RTF'!L$5,FALSE)</f>
        <v>0</v>
      </c>
      <c r="M15">
        <f>VLOOKUP($A15,'Raw RTF'!$A$8:$Q$1000,'Raw RTF'!M$5,FALSE)</f>
        <v>0</v>
      </c>
      <c r="N15">
        <f>VLOOKUP($A15,'Raw RTF'!$A$8:$Q$1000,'Raw RTF'!N$5,FALSE)</f>
        <v>0</v>
      </c>
      <c r="O15">
        <f>VLOOKUP($A15,'Raw RTF'!$A$8:$Q$1000,'Raw RTF'!O$5,FALSE)</f>
        <v>0</v>
      </c>
      <c r="P15">
        <f>VLOOKUP($A15,'Raw RTF'!$A$8:$Q$1000,'Raw RTF'!P$5,FALSE)</f>
        <v>0</v>
      </c>
      <c r="Q15">
        <f>VLOOKUP($A15,'Raw RTF'!$A$8:$Q$1000,'Raw RTF'!Q$5,FALSE)</f>
        <v>0</v>
      </c>
    </row>
    <row r="16" spans="1:106" ht="25.5">
      <c r="A16" t="str">
        <f t="shared" si="0"/>
        <v>Windows - Double Pane to Class 30 - Heating Zone 1 (Electric FAF)WINDOW CL30 Prime Window Replacement of Double Pane Base</v>
      </c>
      <c r="B16" s="53" t="s">
        <v>94</v>
      </c>
      <c r="C16" s="53" t="s">
        <v>95</v>
      </c>
      <c r="D16">
        <f>VLOOKUP($A16,'Raw RTF'!$A$8:$Q$1000,'Raw RTF'!D$5,FALSE)</f>
        <v>5.9621340336589252</v>
      </c>
      <c r="E16">
        <f>VLOOKUP($A16,'Raw RTF'!$A$8:$Q$1000,'Raw RTF'!E$5,FALSE)</f>
        <v>45</v>
      </c>
      <c r="F16">
        <f>VLOOKUP($A16,'Raw RTF'!$A$8:$Q$1000,'Raw RTF'!F$5,FALSE)</f>
        <v>18.513985646792214</v>
      </c>
      <c r="G16">
        <f>VLOOKUP($A16,'Raw RTF'!$A$8:$Q$1000,'Raw RTF'!G$5,FALSE)</f>
        <v>0</v>
      </c>
      <c r="H16" t="str">
        <f>VLOOKUP($A16,'Raw RTF'!$A$8:$Q$1000,'Raw RTF'!H$5,FALSE)</f>
        <v>ResSpHtFAFZ1</v>
      </c>
      <c r="I16">
        <f>VLOOKUP($A16,'Raw RTF'!$A$8:$Q$1000,'Raw RTF'!I$5,FALSE)</f>
        <v>5.3359473010040882E-2</v>
      </c>
      <c r="J16">
        <f>VLOOKUP($A16,'Raw RTF'!$A$8:$Q$1000,'Raw RTF'!J$5,FALSE)</f>
        <v>0</v>
      </c>
      <c r="K16">
        <f>VLOOKUP($A16,'Raw RTF'!$A$8:$Q$1000,'Raw RTF'!K$5,FALSE)</f>
        <v>0</v>
      </c>
      <c r="L16">
        <f>VLOOKUP($A16,'Raw RTF'!$A$8:$Q$1000,'Raw RTF'!L$5,FALSE)</f>
        <v>0</v>
      </c>
      <c r="M16">
        <f>VLOOKUP($A16,'Raw RTF'!$A$8:$Q$1000,'Raw RTF'!M$5,FALSE)</f>
        <v>0</v>
      </c>
      <c r="N16">
        <f>VLOOKUP($A16,'Raw RTF'!$A$8:$Q$1000,'Raw RTF'!N$5,FALSE)</f>
        <v>0</v>
      </c>
      <c r="O16">
        <f>VLOOKUP($A16,'Raw RTF'!$A$8:$Q$1000,'Raw RTF'!O$5,FALSE)</f>
        <v>0</v>
      </c>
      <c r="P16">
        <f>VLOOKUP($A16,'Raw RTF'!$A$8:$Q$1000,'Raw RTF'!P$5,FALSE)</f>
        <v>0</v>
      </c>
      <c r="Q16">
        <f>VLOOKUP($A16,'Raw RTF'!$A$8:$Q$1000,'Raw RTF'!Q$5,FALSE)</f>
        <v>0</v>
      </c>
    </row>
    <row r="17" spans="1:19" ht="25.5">
      <c r="A17" t="str">
        <f t="shared" si="0"/>
        <v>Windows - Single Pane to Class 22 - Heating Zone 1 (Electric FAF)WINDOW CL22 Prime Window Replacement of Single Pane Base</v>
      </c>
      <c r="B17" s="53" t="s">
        <v>98</v>
      </c>
      <c r="C17" s="53" t="s">
        <v>99</v>
      </c>
      <c r="D17">
        <f>VLOOKUP($A17,'Raw RTF'!$A$8:$Q$1000,'Raw RTF'!D$5,FALSE)</f>
        <v>18.199886222428766</v>
      </c>
      <c r="E17">
        <f>VLOOKUP($A17,'Raw RTF'!$A$8:$Q$1000,'Raw RTF'!E$5,FALSE)</f>
        <v>45</v>
      </c>
      <c r="F17">
        <f>VLOOKUP($A17,'Raw RTF'!$A$8:$Q$1000,'Raw RTF'!F$5,FALSE)</f>
        <v>21.803985646792214</v>
      </c>
      <c r="G17">
        <f>VLOOKUP($A17,'Raw RTF'!$A$8:$Q$1000,'Raw RTF'!G$5,FALSE)</f>
        <v>0</v>
      </c>
      <c r="H17" t="str">
        <f>VLOOKUP($A17,'Raw RTF'!$A$8:$Q$1000,'Raw RTF'!H$5,FALSE)</f>
        <v>ResSpHtFAFZ1</v>
      </c>
      <c r="I17">
        <f>VLOOKUP($A17,'Raw RTF'!$A$8:$Q$1000,'Raw RTF'!I$5,FALSE)</f>
        <v>0.17827837017369766</v>
      </c>
      <c r="J17">
        <f>VLOOKUP($A17,'Raw RTF'!$A$8:$Q$1000,'Raw RTF'!J$5,FALSE)</f>
        <v>0</v>
      </c>
      <c r="K17">
        <f>VLOOKUP($A17,'Raw RTF'!$A$8:$Q$1000,'Raw RTF'!K$5,FALSE)</f>
        <v>0</v>
      </c>
      <c r="L17">
        <f>VLOOKUP($A17,'Raw RTF'!$A$8:$Q$1000,'Raw RTF'!L$5,FALSE)</f>
        <v>0</v>
      </c>
      <c r="M17">
        <f>VLOOKUP($A17,'Raw RTF'!$A$8:$Q$1000,'Raw RTF'!M$5,FALSE)</f>
        <v>0</v>
      </c>
      <c r="N17">
        <f>VLOOKUP($A17,'Raw RTF'!$A$8:$Q$1000,'Raw RTF'!N$5,FALSE)</f>
        <v>0</v>
      </c>
      <c r="O17">
        <f>VLOOKUP($A17,'Raw RTF'!$A$8:$Q$1000,'Raw RTF'!O$5,FALSE)</f>
        <v>0</v>
      </c>
      <c r="P17">
        <f>VLOOKUP($A17,'Raw RTF'!$A$8:$Q$1000,'Raw RTF'!P$5,FALSE)</f>
        <v>0</v>
      </c>
      <c r="Q17">
        <f>VLOOKUP($A17,'Raw RTF'!$A$8:$Q$1000,'Raw RTF'!Q$5,FALSE)</f>
        <v>0</v>
      </c>
    </row>
    <row r="18" spans="1:19" ht="25.5">
      <c r="A18" t="str">
        <f t="shared" si="0"/>
        <v>Windows - Double Pane to Class 22 - Heating Zone 1 (Electric FAF)WINDOW CL22 Prime Window Replacement of Double Pane Base</v>
      </c>
      <c r="B18" s="53" t="s">
        <v>100</v>
      </c>
      <c r="C18" s="53" t="s">
        <v>101</v>
      </c>
      <c r="D18">
        <f>VLOOKUP($A18,'Raw RTF'!$A$8:$Q$1000,'Raw RTF'!D$5,FALSE)</f>
        <v>6.9881841989570175</v>
      </c>
      <c r="E18">
        <f>VLOOKUP($A18,'Raw RTF'!$A$8:$Q$1000,'Raw RTF'!E$5,FALSE)</f>
        <v>45</v>
      </c>
      <c r="F18">
        <f>VLOOKUP($A18,'Raw RTF'!$A$8:$Q$1000,'Raw RTF'!F$5,FALSE)</f>
        <v>21.803985646792214</v>
      </c>
      <c r="G18">
        <f>VLOOKUP($A18,'Raw RTF'!$A$8:$Q$1000,'Raw RTF'!G$5,FALSE)</f>
        <v>0</v>
      </c>
      <c r="H18" t="str">
        <f>VLOOKUP($A18,'Raw RTF'!$A$8:$Q$1000,'Raw RTF'!H$5,FALSE)</f>
        <v>ResSpHtFAFZ1</v>
      </c>
      <c r="I18">
        <f>VLOOKUP($A18,'Raw RTF'!$A$8:$Q$1000,'Raw RTF'!I$5,FALSE)</f>
        <v>6.4676997735384406E-2</v>
      </c>
      <c r="J18">
        <f>VLOOKUP($A18,'Raw RTF'!$A$8:$Q$1000,'Raw RTF'!J$5,FALSE)</f>
        <v>0</v>
      </c>
      <c r="K18">
        <f>VLOOKUP($A18,'Raw RTF'!$A$8:$Q$1000,'Raw RTF'!K$5,FALSE)</f>
        <v>0</v>
      </c>
      <c r="L18">
        <f>VLOOKUP($A18,'Raw RTF'!$A$8:$Q$1000,'Raw RTF'!L$5,FALSE)</f>
        <v>0</v>
      </c>
      <c r="M18">
        <f>VLOOKUP($A18,'Raw RTF'!$A$8:$Q$1000,'Raw RTF'!M$5,FALSE)</f>
        <v>0</v>
      </c>
      <c r="N18">
        <f>VLOOKUP($A18,'Raw RTF'!$A$8:$Q$1000,'Raw RTF'!N$5,FALSE)</f>
        <v>0</v>
      </c>
      <c r="O18">
        <f>VLOOKUP($A18,'Raw RTF'!$A$8:$Q$1000,'Raw RTF'!O$5,FALSE)</f>
        <v>0</v>
      </c>
      <c r="P18">
        <f>VLOOKUP($A18,'Raw RTF'!$A$8:$Q$1000,'Raw RTF'!P$5,FALSE)</f>
        <v>0</v>
      </c>
      <c r="Q18">
        <f>VLOOKUP($A18,'Raw RTF'!$A$8:$Q$1000,'Raw RTF'!Q$5,FALSE)</f>
        <v>0</v>
      </c>
    </row>
    <row r="19" spans="1:19">
      <c r="A19" t="str">
        <f t="shared" si="0"/>
        <v>Infiltration Reduction - CFM50 reduction - Heating Zone 1 (Electric FAF)CFM50 Infiltration Reduction</v>
      </c>
      <c r="B19" s="305" t="s">
        <v>104</v>
      </c>
      <c r="C19" s="305" t="s">
        <v>1362</v>
      </c>
      <c r="D19">
        <f>VLOOKUP($A19,'Raw RTF'!$A$8:$Q$1000,'Raw RTF'!D$5,FALSE)</f>
        <v>0.57747934939152656</v>
      </c>
      <c r="E19">
        <f>VLOOKUP($A19,'Raw RTF'!$A$8:$Q$1000,'Raw RTF'!E$5,FALSE)</f>
        <v>15</v>
      </c>
      <c r="F19">
        <f>VLOOKUP($A19,'Raw RTF'!$A$8:$Q$1000,'Raw RTF'!F$5,FALSE)</f>
        <v>0.6607178075171779</v>
      </c>
      <c r="G19">
        <f>VLOOKUP($A19,'Raw RTF'!$A$8:$Q$1000,'Raw RTF'!G$5,FALSE)</f>
        <v>0</v>
      </c>
      <c r="H19" t="str">
        <f>VLOOKUP($A19,'Raw RTF'!$A$8:$Q$1000,'Raw RTF'!H$5,FALSE)</f>
        <v>ResSpHtFAFZ1</v>
      </c>
      <c r="I19">
        <f>VLOOKUP($A19,'Raw RTF'!$A$8:$Q$1000,'Raw RTF'!I$5,FALSE)</f>
        <v>5.6820361477410864E-3</v>
      </c>
      <c r="J19">
        <f>VLOOKUP($A19,'Raw RTF'!$A$8:$Q$1000,'Raw RTF'!J$5,FALSE)</f>
        <v>0</v>
      </c>
      <c r="K19">
        <f>VLOOKUP($A19,'Raw RTF'!$A$8:$Q$1000,'Raw RTF'!K$5,FALSE)</f>
        <v>0</v>
      </c>
      <c r="L19">
        <f>VLOOKUP($A19,'Raw RTF'!$A$8:$Q$1000,'Raw RTF'!L$5,FALSE)</f>
        <v>0</v>
      </c>
      <c r="M19">
        <f>VLOOKUP($A19,'Raw RTF'!$A$8:$Q$1000,'Raw RTF'!M$5,FALSE)</f>
        <v>0</v>
      </c>
      <c r="N19">
        <f>VLOOKUP($A19,'Raw RTF'!$A$8:$Q$1000,'Raw RTF'!N$5,FALSE)</f>
        <v>0</v>
      </c>
      <c r="O19">
        <f>VLOOKUP($A19,'Raw RTF'!$A$8:$Q$1000,'Raw RTF'!O$5,FALSE)</f>
        <v>0</v>
      </c>
      <c r="P19">
        <f>VLOOKUP($A19,'Raw RTF'!$A$8:$Q$1000,'Raw RTF'!P$5,FALSE)</f>
        <v>0</v>
      </c>
      <c r="Q19">
        <f>VLOOKUP($A19,'Raw RTF'!$A$8:$Q$1000,'Raw RTF'!Q$5,FALSE)</f>
        <v>0</v>
      </c>
    </row>
    <row r="20" spans="1:19">
      <c r="A20" t="str">
        <f t="shared" si="0"/>
        <v>Single Family Weatherization - Insulate Attic - R0 to R38 - Heating Zone 2 (Electric FAF)ATTIC R0 - R38</v>
      </c>
      <c r="B20" s="53" t="s">
        <v>105</v>
      </c>
      <c r="C20" s="53" t="s">
        <v>68</v>
      </c>
      <c r="D20">
        <f>VLOOKUP($A20,'Raw RTF'!$A$8:$Q$1000,'Raw RTF'!D$5,FALSE)</f>
        <v>3.5819951449288707</v>
      </c>
      <c r="E20">
        <f>VLOOKUP($A20,'Raw RTF'!$A$8:$Q$1000,'Raw RTF'!E$5,FALSE)</f>
        <v>45</v>
      </c>
      <c r="F20">
        <f>VLOOKUP($A20,'Raw RTF'!$A$8:$Q$1000,'Raw RTF'!F$5,FALSE)</f>
        <v>0.98066043810604342</v>
      </c>
      <c r="G20">
        <f>VLOOKUP($A20,'Raw RTF'!$A$8:$Q$1000,'Raw RTF'!G$5,FALSE)</f>
        <v>0</v>
      </c>
      <c r="H20" t="str">
        <f>VLOOKUP($A20,'Raw RTF'!$A$8:$Q$1000,'Raw RTF'!H$5,FALSE)</f>
        <v>ResSpHtFAFZ2</v>
      </c>
      <c r="I20">
        <f>VLOOKUP($A20,'Raw RTF'!$A$8:$Q$1000,'Raw RTF'!I$5,FALSE)</f>
        <v>1.1869279307586819E-2</v>
      </c>
      <c r="J20">
        <f>VLOOKUP($A20,'Raw RTF'!$A$8:$Q$1000,'Raw RTF'!J$5,FALSE)</f>
        <v>0</v>
      </c>
      <c r="K20">
        <f>VLOOKUP($A20,'Raw RTF'!$A$8:$Q$1000,'Raw RTF'!K$5,FALSE)</f>
        <v>0</v>
      </c>
      <c r="L20">
        <f>VLOOKUP($A20,'Raw RTF'!$A$8:$Q$1000,'Raw RTF'!L$5,FALSE)</f>
        <v>0</v>
      </c>
      <c r="M20">
        <f>VLOOKUP($A20,'Raw RTF'!$A$8:$Q$1000,'Raw RTF'!M$5,FALSE)</f>
        <v>0</v>
      </c>
      <c r="N20">
        <f>VLOOKUP($A20,'Raw RTF'!$A$8:$Q$1000,'Raw RTF'!N$5,FALSE)</f>
        <v>0</v>
      </c>
      <c r="O20">
        <f>VLOOKUP($A20,'Raw RTF'!$A$8:$Q$1000,'Raw RTF'!O$5,FALSE)</f>
        <v>0</v>
      </c>
      <c r="P20">
        <f>VLOOKUP($A20,'Raw RTF'!$A$8:$Q$1000,'Raw RTF'!P$5,FALSE)</f>
        <v>0</v>
      </c>
      <c r="Q20">
        <f>VLOOKUP($A20,'Raw RTF'!$A$8:$Q$1000,'Raw RTF'!Q$5,FALSE)</f>
        <v>0</v>
      </c>
    </row>
    <row r="21" spans="1:19">
      <c r="A21" t="str">
        <f t="shared" si="0"/>
        <v>Single Family Weatherization - Insulate Attic - R0 to R49 - Heating Zone 2 (Electric FAF)ATTIC R0 - R49</v>
      </c>
      <c r="B21" s="53" t="s">
        <v>107</v>
      </c>
      <c r="C21" s="53" t="s">
        <v>71</v>
      </c>
      <c r="D21">
        <f>VLOOKUP($A21,'Raw RTF'!$A$8:$Q$1000,'Raw RTF'!D$5,FALSE)</f>
        <v>3.6355035969087943</v>
      </c>
      <c r="E21">
        <f>VLOOKUP($A21,'Raw RTF'!$A$8:$Q$1000,'Raw RTF'!E$5,FALSE)</f>
        <v>45</v>
      </c>
      <c r="F21">
        <f>VLOOKUP($A21,'Raw RTF'!$A$8:$Q$1000,'Raw RTF'!F$5,FALSE)</f>
        <v>1.1198946019755947</v>
      </c>
      <c r="G21">
        <f>VLOOKUP($A21,'Raw RTF'!$A$8:$Q$1000,'Raw RTF'!G$5,FALSE)</f>
        <v>0</v>
      </c>
      <c r="H21" t="str">
        <f>VLOOKUP($A21,'Raw RTF'!$A$8:$Q$1000,'Raw RTF'!H$5,FALSE)</f>
        <v>ResSpHtFAFZ2</v>
      </c>
      <c r="I21">
        <f>VLOOKUP($A21,'Raw RTF'!$A$8:$Q$1000,'Raw RTF'!I$5,FALSE)</f>
        <v>1.2171005270419975E-2</v>
      </c>
      <c r="J21">
        <f>VLOOKUP($A21,'Raw RTF'!$A$8:$Q$1000,'Raw RTF'!J$5,FALSE)</f>
        <v>0</v>
      </c>
      <c r="K21">
        <f>VLOOKUP($A21,'Raw RTF'!$A$8:$Q$1000,'Raw RTF'!K$5,FALSE)</f>
        <v>0</v>
      </c>
      <c r="L21">
        <f>VLOOKUP($A21,'Raw RTF'!$A$8:$Q$1000,'Raw RTF'!L$5,FALSE)</f>
        <v>0</v>
      </c>
      <c r="M21">
        <f>VLOOKUP($A21,'Raw RTF'!$A$8:$Q$1000,'Raw RTF'!M$5,FALSE)</f>
        <v>0</v>
      </c>
      <c r="N21">
        <f>VLOOKUP($A21,'Raw RTF'!$A$8:$Q$1000,'Raw RTF'!N$5,FALSE)</f>
        <v>0</v>
      </c>
      <c r="O21">
        <f>VLOOKUP($A21,'Raw RTF'!$A$8:$Q$1000,'Raw RTF'!O$5,FALSE)</f>
        <v>0</v>
      </c>
      <c r="P21">
        <f>VLOOKUP($A21,'Raw RTF'!$A$8:$Q$1000,'Raw RTF'!P$5,FALSE)</f>
        <v>0</v>
      </c>
      <c r="Q21">
        <f>VLOOKUP($A21,'Raw RTF'!$A$8:$Q$1000,'Raw RTF'!Q$5,FALSE)</f>
        <v>0</v>
      </c>
    </row>
    <row r="22" spans="1:19">
      <c r="A22" t="str">
        <f t="shared" si="0"/>
        <v>Single Family Weatherization - Insulate Attic - R11 to R38 - Heating Zone 2 (Electric FAF)ATTIC R11 - R38</v>
      </c>
      <c r="B22" s="53" t="s">
        <v>108</v>
      </c>
      <c r="C22" s="53" t="s">
        <v>73</v>
      </c>
      <c r="D22">
        <f>VLOOKUP($A22,'Raw RTF'!$A$8:$Q$1000,'Raw RTF'!D$5,FALSE)</f>
        <v>0.69391305995871599</v>
      </c>
      <c r="E22">
        <f>VLOOKUP($A22,'Raw RTF'!$A$8:$Q$1000,'Raw RTF'!E$5,FALSE)</f>
        <v>45</v>
      </c>
      <c r="F22">
        <f>VLOOKUP($A22,'Raw RTF'!$A$8:$Q$1000,'Raw RTF'!F$5,FALSE)</f>
        <v>0.84142627423649186</v>
      </c>
      <c r="G22">
        <f>VLOOKUP($A22,'Raw RTF'!$A$8:$Q$1000,'Raw RTF'!G$5,FALSE)</f>
        <v>0</v>
      </c>
      <c r="H22" t="str">
        <f>VLOOKUP($A22,'Raw RTF'!$A$8:$Q$1000,'Raw RTF'!H$5,FALSE)</f>
        <v>ResSpHtFAFZ2</v>
      </c>
      <c r="I22">
        <f>VLOOKUP($A22,'Raw RTF'!$A$8:$Q$1000,'Raw RTF'!I$5,FALSE)</f>
        <v>3.5472564867396151E-3</v>
      </c>
      <c r="J22">
        <f>VLOOKUP($A22,'Raw RTF'!$A$8:$Q$1000,'Raw RTF'!J$5,FALSE)</f>
        <v>0</v>
      </c>
      <c r="K22">
        <f>VLOOKUP($A22,'Raw RTF'!$A$8:$Q$1000,'Raw RTF'!K$5,FALSE)</f>
        <v>0</v>
      </c>
      <c r="L22">
        <f>VLOOKUP($A22,'Raw RTF'!$A$8:$Q$1000,'Raw RTF'!L$5,FALSE)</f>
        <v>0</v>
      </c>
      <c r="M22">
        <f>VLOOKUP($A22,'Raw RTF'!$A$8:$Q$1000,'Raw RTF'!M$5,FALSE)</f>
        <v>0</v>
      </c>
      <c r="N22">
        <f>VLOOKUP($A22,'Raw RTF'!$A$8:$Q$1000,'Raw RTF'!N$5,FALSE)</f>
        <v>0</v>
      </c>
      <c r="O22">
        <f>VLOOKUP($A22,'Raw RTF'!$A$8:$Q$1000,'Raw RTF'!O$5,FALSE)</f>
        <v>0</v>
      </c>
      <c r="P22">
        <f>VLOOKUP($A22,'Raw RTF'!$A$8:$Q$1000,'Raw RTF'!P$5,FALSE)</f>
        <v>0</v>
      </c>
      <c r="Q22">
        <f>VLOOKUP($A22,'Raw RTF'!$A$8:$Q$1000,'Raw RTF'!Q$5,FALSE)</f>
        <v>0</v>
      </c>
    </row>
    <row r="23" spans="1:19" s="26" customFormat="1">
      <c r="A23" t="str">
        <f t="shared" si="0"/>
        <v>Single Family Weatherization - Insulate Attic - R11 to R49 - Heating Zone 2 (Electric FAF)ATTIC R11 - R49</v>
      </c>
      <c r="B23" s="53" t="s">
        <v>109</v>
      </c>
      <c r="C23" s="53" t="s">
        <v>75</v>
      </c>
      <c r="D23">
        <f>VLOOKUP($A23,'Raw RTF'!$A$8:$Q$1000,'Raw RTF'!D$5,FALSE)</f>
        <v>0.75347215564750991</v>
      </c>
      <c r="E23">
        <f>VLOOKUP($A23,'Raw RTF'!$A$8:$Q$1000,'Raw RTF'!E$5,FALSE)</f>
        <v>45</v>
      </c>
      <c r="F23">
        <f>VLOOKUP($A23,'Raw RTF'!$A$8:$Q$1000,'Raw RTF'!F$5,FALSE)</f>
        <v>0.98066043810604342</v>
      </c>
      <c r="G23">
        <f>VLOOKUP($A23,'Raw RTF'!$A$8:$Q$1000,'Raw RTF'!G$5,FALSE)</f>
        <v>0</v>
      </c>
      <c r="H23" t="str">
        <f>VLOOKUP($A23,'Raw RTF'!$A$8:$Q$1000,'Raw RTF'!H$5,FALSE)</f>
        <v>ResSpHtFAFZ2</v>
      </c>
      <c r="I23">
        <f>VLOOKUP($A23,'Raw RTF'!$A$8:$Q$1000,'Raw RTF'!I$5,FALSE)</f>
        <v>3.8976528875212541E-3</v>
      </c>
      <c r="J23">
        <f>VLOOKUP($A23,'Raw RTF'!$A$8:$Q$1000,'Raw RTF'!J$5,FALSE)</f>
        <v>0</v>
      </c>
      <c r="K23">
        <f>VLOOKUP($A23,'Raw RTF'!$A$8:$Q$1000,'Raw RTF'!K$5,FALSE)</f>
        <v>0</v>
      </c>
      <c r="L23">
        <f>VLOOKUP($A23,'Raw RTF'!$A$8:$Q$1000,'Raw RTF'!L$5,FALSE)</f>
        <v>0</v>
      </c>
      <c r="M23">
        <f>VLOOKUP($A23,'Raw RTF'!$A$8:$Q$1000,'Raw RTF'!M$5,FALSE)</f>
        <v>0</v>
      </c>
      <c r="N23">
        <f>VLOOKUP($A23,'Raw RTF'!$A$8:$Q$1000,'Raw RTF'!N$5,FALSE)</f>
        <v>0</v>
      </c>
      <c r="O23">
        <f>VLOOKUP($A23,'Raw RTF'!$A$8:$Q$1000,'Raw RTF'!O$5,FALSE)</f>
        <v>0</v>
      </c>
      <c r="P23">
        <f>VLOOKUP($A23,'Raw RTF'!$A$8:$Q$1000,'Raw RTF'!P$5,FALSE)</f>
        <v>0</v>
      </c>
      <c r="Q23">
        <f>VLOOKUP($A23,'Raw RTF'!$A$8:$Q$1000,'Raw RTF'!Q$5,FALSE)</f>
        <v>0</v>
      </c>
      <c r="R23"/>
      <c r="S23"/>
    </row>
    <row r="24" spans="1:19">
      <c r="A24" t="str">
        <f t="shared" si="0"/>
        <v>Single Family Weatherization - Insulate Attic - R19 to R38 - Heating Zone 2 (Electric FAF)ATTIC R19 - R38</v>
      </c>
      <c r="B24" s="53" t="s">
        <v>110</v>
      </c>
      <c r="C24" s="53" t="s">
        <v>77</v>
      </c>
      <c r="D24">
        <f>VLOOKUP($A24,'Raw RTF'!$A$8:$Q$1000,'Raw RTF'!D$5,FALSE)</f>
        <v>0.28981534779948248</v>
      </c>
      <c r="E24">
        <f>VLOOKUP($A24,'Raw RTF'!$A$8:$Q$1000,'Raw RTF'!E$5,FALSE)</f>
        <v>45</v>
      </c>
      <c r="F24">
        <f>VLOOKUP($A24,'Raw RTF'!$A$8:$Q$1000,'Raw RTF'!F$5,FALSE)</f>
        <v>0.7401650641495453</v>
      </c>
      <c r="G24">
        <f>VLOOKUP($A24,'Raw RTF'!$A$8:$Q$1000,'Raw RTF'!G$5,FALSE)</f>
        <v>0</v>
      </c>
      <c r="H24" t="str">
        <f>VLOOKUP($A24,'Raw RTF'!$A$8:$Q$1000,'Raw RTF'!H$5,FALSE)</f>
        <v>ResSpHtFAFZ2</v>
      </c>
      <c r="I24">
        <f>VLOOKUP($A24,'Raw RTF'!$A$8:$Q$1000,'Raw RTF'!I$5,FALSE)</f>
        <v>1.5722869548760988E-3</v>
      </c>
      <c r="J24">
        <f>VLOOKUP($A24,'Raw RTF'!$A$8:$Q$1000,'Raw RTF'!J$5,FALSE)</f>
        <v>0</v>
      </c>
      <c r="K24">
        <f>VLOOKUP($A24,'Raw RTF'!$A$8:$Q$1000,'Raw RTF'!K$5,FALSE)</f>
        <v>0</v>
      </c>
      <c r="L24">
        <f>VLOOKUP($A24,'Raw RTF'!$A$8:$Q$1000,'Raw RTF'!L$5,FALSE)</f>
        <v>0</v>
      </c>
      <c r="M24">
        <f>VLOOKUP($A24,'Raw RTF'!$A$8:$Q$1000,'Raw RTF'!M$5,FALSE)</f>
        <v>0</v>
      </c>
      <c r="N24">
        <f>VLOOKUP($A24,'Raw RTF'!$A$8:$Q$1000,'Raw RTF'!N$5,FALSE)</f>
        <v>0</v>
      </c>
      <c r="O24">
        <f>VLOOKUP($A24,'Raw RTF'!$A$8:$Q$1000,'Raw RTF'!O$5,FALSE)</f>
        <v>0</v>
      </c>
      <c r="P24">
        <f>VLOOKUP($A24,'Raw RTF'!$A$8:$Q$1000,'Raw RTF'!P$5,FALSE)</f>
        <v>0</v>
      </c>
      <c r="Q24">
        <f>VLOOKUP($A24,'Raw RTF'!$A$8:$Q$1000,'Raw RTF'!Q$5,FALSE)</f>
        <v>0</v>
      </c>
    </row>
    <row r="25" spans="1:19">
      <c r="A25" t="str">
        <f t="shared" si="0"/>
        <v>Single Family Weatherization - Insulate Attic - R19 to R49 - Heating Zone 2 (Electric FAF)ATTIC R19 - R49</v>
      </c>
      <c r="B25" s="53" t="s">
        <v>111</v>
      </c>
      <c r="C25" s="53" t="s">
        <v>79</v>
      </c>
      <c r="D25">
        <f>VLOOKUP($A25,'Raw RTF'!$A$8:$Q$1000,'Raw RTF'!D$5,FALSE)</f>
        <v>0.34958911846010282</v>
      </c>
      <c r="E25">
        <f>VLOOKUP($A25,'Raw RTF'!$A$8:$Q$1000,'Raw RTF'!E$5,FALSE)</f>
        <v>45</v>
      </c>
      <c r="F25">
        <f>VLOOKUP($A25,'Raw RTF'!$A$8:$Q$1000,'Raw RTF'!F$5,FALSE)</f>
        <v>0.87939922801909687</v>
      </c>
      <c r="G25">
        <f>VLOOKUP($A25,'Raw RTF'!$A$8:$Q$1000,'Raw RTF'!G$5,FALSE)</f>
        <v>0</v>
      </c>
      <c r="H25" t="str">
        <f>VLOOKUP($A25,'Raw RTF'!$A$8:$Q$1000,'Raw RTF'!H$5,FALSE)</f>
        <v>ResSpHtFAFZ2</v>
      </c>
      <c r="I25">
        <f>VLOOKUP($A25,'Raw RTF'!$A$8:$Q$1000,'Raw RTF'!I$5,FALSE)</f>
        <v>1.9176639868479309E-3</v>
      </c>
      <c r="J25">
        <f>VLOOKUP($A25,'Raw RTF'!$A$8:$Q$1000,'Raw RTF'!J$5,FALSE)</f>
        <v>0</v>
      </c>
      <c r="K25">
        <f>VLOOKUP($A25,'Raw RTF'!$A$8:$Q$1000,'Raw RTF'!K$5,FALSE)</f>
        <v>0</v>
      </c>
      <c r="L25">
        <f>VLOOKUP($A25,'Raw RTF'!$A$8:$Q$1000,'Raw RTF'!L$5,FALSE)</f>
        <v>0</v>
      </c>
      <c r="M25">
        <f>VLOOKUP($A25,'Raw RTF'!$A$8:$Q$1000,'Raw RTF'!M$5,FALSE)</f>
        <v>0</v>
      </c>
      <c r="N25">
        <f>VLOOKUP($A25,'Raw RTF'!$A$8:$Q$1000,'Raw RTF'!N$5,FALSE)</f>
        <v>0</v>
      </c>
      <c r="O25">
        <f>VLOOKUP($A25,'Raw RTF'!$A$8:$Q$1000,'Raw RTF'!O$5,FALSE)</f>
        <v>0</v>
      </c>
      <c r="P25">
        <f>VLOOKUP($A25,'Raw RTF'!$A$8:$Q$1000,'Raw RTF'!P$5,FALSE)</f>
        <v>0</v>
      </c>
      <c r="Q25">
        <f>VLOOKUP($A25,'Raw RTF'!$A$8:$Q$1000,'Raw RTF'!Q$5,FALSE)</f>
        <v>0</v>
      </c>
    </row>
    <row r="26" spans="1:19">
      <c r="A26" t="str">
        <f t="shared" si="0"/>
        <v>Single Family Weatherization - Insulate Wall - R0 to R11 - Heating Zone 2 (Electric FAF)WALL R0 - R11</v>
      </c>
      <c r="B26" s="53" t="s">
        <v>114</v>
      </c>
      <c r="C26" s="53" t="s">
        <v>85</v>
      </c>
      <c r="D26">
        <f>VLOOKUP($A26,'Raw RTF'!$A$8:$Q$1000,'Raw RTF'!D$5,FALSE)</f>
        <v>2.9012561839393505</v>
      </c>
      <c r="E26">
        <f>VLOOKUP($A26,'Raw RTF'!$A$8:$Q$1000,'Raw RTF'!E$5,FALSE)</f>
        <v>45</v>
      </c>
      <c r="F26">
        <f>VLOOKUP($A26,'Raw RTF'!$A$8:$Q$1000,'Raw RTF'!F$5,FALSE)</f>
        <v>1.3863525086966677</v>
      </c>
      <c r="G26">
        <f>VLOOKUP($A26,'Raw RTF'!$A$8:$Q$1000,'Raw RTF'!G$5,FALSE)</f>
        <v>0</v>
      </c>
      <c r="H26" t="str">
        <f>VLOOKUP($A26,'Raw RTF'!$A$8:$Q$1000,'Raw RTF'!H$5,FALSE)</f>
        <v>ResSpHtFAFZ2</v>
      </c>
      <c r="I26">
        <f>VLOOKUP($A26,'Raw RTF'!$A$8:$Q$1000,'Raw RTF'!I$5,FALSE)</f>
        <v>1.0471754266012641E-2</v>
      </c>
      <c r="J26">
        <f>VLOOKUP($A26,'Raw RTF'!$A$8:$Q$1000,'Raw RTF'!J$5,FALSE)</f>
        <v>0</v>
      </c>
      <c r="K26">
        <f>VLOOKUP($A26,'Raw RTF'!$A$8:$Q$1000,'Raw RTF'!K$5,FALSE)</f>
        <v>0</v>
      </c>
      <c r="L26">
        <f>VLOOKUP($A26,'Raw RTF'!$A$8:$Q$1000,'Raw RTF'!L$5,FALSE)</f>
        <v>0</v>
      </c>
      <c r="M26">
        <f>VLOOKUP($A26,'Raw RTF'!$A$8:$Q$1000,'Raw RTF'!M$5,FALSE)</f>
        <v>0</v>
      </c>
      <c r="N26">
        <f>VLOOKUP($A26,'Raw RTF'!$A$8:$Q$1000,'Raw RTF'!N$5,FALSE)</f>
        <v>0</v>
      </c>
      <c r="O26">
        <f>VLOOKUP($A26,'Raw RTF'!$A$8:$Q$1000,'Raw RTF'!O$5,FALSE)</f>
        <v>0</v>
      </c>
      <c r="P26">
        <f>VLOOKUP($A26,'Raw RTF'!$A$8:$Q$1000,'Raw RTF'!P$5,FALSE)</f>
        <v>0</v>
      </c>
      <c r="Q26">
        <f>VLOOKUP($A26,'Raw RTF'!$A$8:$Q$1000,'Raw RTF'!Q$5,FALSE)</f>
        <v>0</v>
      </c>
    </row>
    <row r="27" spans="1:19">
      <c r="A27" t="str">
        <f t="shared" si="0"/>
        <v>Single Family Weatherization - Insulate Floor - R0 to R19 - Heating Zone 2 (Electric FAF)FLOOR R0 - R19</v>
      </c>
      <c r="B27" s="53" t="s">
        <v>115</v>
      </c>
      <c r="C27" s="53" t="s">
        <v>87</v>
      </c>
      <c r="D27">
        <f>VLOOKUP($A27,'Raw RTF'!$A$8:$Q$1000,'Raw RTF'!D$5,FALSE)</f>
        <v>1.2768965812057833</v>
      </c>
      <c r="E27">
        <f>VLOOKUP($A27,'Raw RTF'!$A$8:$Q$1000,'Raw RTF'!E$5,FALSE)</f>
        <v>45</v>
      </c>
      <c r="F27">
        <f>VLOOKUP($A27,'Raw RTF'!$A$8:$Q$1000,'Raw RTF'!F$5,FALSE)</f>
        <v>1.2290592529494864</v>
      </c>
      <c r="G27">
        <f>VLOOKUP($A27,'Raw RTF'!$A$8:$Q$1000,'Raw RTF'!G$5,FALSE)</f>
        <v>0</v>
      </c>
      <c r="H27" t="str">
        <f>VLOOKUP($A27,'Raw RTF'!$A$8:$Q$1000,'Raw RTF'!H$5,FALSE)</f>
        <v>ResSpHtFAFZ2</v>
      </c>
      <c r="I27">
        <f>VLOOKUP($A27,'Raw RTF'!$A$8:$Q$1000,'Raw RTF'!I$5,FALSE)</f>
        <v>1.9077785998243616E-3</v>
      </c>
      <c r="J27">
        <f>VLOOKUP($A27,'Raw RTF'!$A$8:$Q$1000,'Raw RTF'!J$5,FALSE)</f>
        <v>0</v>
      </c>
      <c r="K27">
        <f>VLOOKUP($A27,'Raw RTF'!$A$8:$Q$1000,'Raw RTF'!K$5,FALSE)</f>
        <v>0</v>
      </c>
      <c r="L27">
        <f>VLOOKUP($A27,'Raw RTF'!$A$8:$Q$1000,'Raw RTF'!L$5,FALSE)</f>
        <v>0</v>
      </c>
      <c r="M27">
        <f>VLOOKUP($A27,'Raw RTF'!$A$8:$Q$1000,'Raw RTF'!M$5,FALSE)</f>
        <v>0</v>
      </c>
      <c r="N27">
        <f>VLOOKUP($A27,'Raw RTF'!$A$8:$Q$1000,'Raw RTF'!N$5,FALSE)</f>
        <v>0</v>
      </c>
      <c r="O27">
        <f>VLOOKUP($A27,'Raw RTF'!$A$8:$Q$1000,'Raw RTF'!O$5,FALSE)</f>
        <v>0</v>
      </c>
      <c r="P27">
        <f>VLOOKUP($A27,'Raw RTF'!$A$8:$Q$1000,'Raw RTF'!P$5,FALSE)</f>
        <v>0</v>
      </c>
      <c r="Q27">
        <f>VLOOKUP($A27,'Raw RTF'!$A$8:$Q$1000,'Raw RTF'!Q$5,FALSE)</f>
        <v>0</v>
      </c>
    </row>
    <row r="28" spans="1:19">
      <c r="A28" t="str">
        <f t="shared" si="0"/>
        <v>Single Family Weatherization - Insulate Floor - R0 to R25 - Heating Zone 2 (Electric FAF)FLOOR R0 - R25</v>
      </c>
      <c r="B28" s="53" t="s">
        <v>116</v>
      </c>
      <c r="C28" s="53" t="s">
        <v>89</v>
      </c>
      <c r="D28">
        <f>VLOOKUP($A28,'Raw RTF'!$A$8:$Q$1000,'Raw RTF'!D$5,FALSE)</f>
        <v>1.3753175644476465</v>
      </c>
      <c r="E28">
        <f>VLOOKUP($A28,'Raw RTF'!$A$8:$Q$1000,'Raw RTF'!E$5,FALSE)</f>
        <v>45</v>
      </c>
      <c r="F28">
        <f>VLOOKUP($A28,'Raw RTF'!$A$8:$Q$1000,'Raw RTF'!F$5,FALSE)</f>
        <v>1.2761252113477823</v>
      </c>
      <c r="G28">
        <f>VLOOKUP($A28,'Raw RTF'!$A$8:$Q$1000,'Raw RTF'!G$5,FALSE)</f>
        <v>0</v>
      </c>
      <c r="H28" t="str">
        <f>VLOOKUP($A28,'Raw RTF'!$A$8:$Q$1000,'Raw RTF'!H$5,FALSE)</f>
        <v>ResSpHtFAFZ2</v>
      </c>
      <c r="I28">
        <f>VLOOKUP($A28,'Raw RTF'!$A$8:$Q$1000,'Raw RTF'!I$5,FALSE)</f>
        <v>2.4708678091713231E-3</v>
      </c>
      <c r="J28">
        <f>VLOOKUP($A28,'Raw RTF'!$A$8:$Q$1000,'Raw RTF'!J$5,FALSE)</f>
        <v>0</v>
      </c>
      <c r="K28">
        <f>VLOOKUP($A28,'Raw RTF'!$A$8:$Q$1000,'Raw RTF'!K$5,FALSE)</f>
        <v>0</v>
      </c>
      <c r="L28">
        <f>VLOOKUP($A28,'Raw RTF'!$A$8:$Q$1000,'Raw RTF'!L$5,FALSE)</f>
        <v>0</v>
      </c>
      <c r="M28">
        <f>VLOOKUP($A28,'Raw RTF'!$A$8:$Q$1000,'Raw RTF'!M$5,FALSE)</f>
        <v>0</v>
      </c>
      <c r="N28">
        <f>VLOOKUP($A28,'Raw RTF'!$A$8:$Q$1000,'Raw RTF'!N$5,FALSE)</f>
        <v>0</v>
      </c>
      <c r="O28">
        <f>VLOOKUP($A28,'Raw RTF'!$A$8:$Q$1000,'Raw RTF'!O$5,FALSE)</f>
        <v>0</v>
      </c>
      <c r="P28">
        <f>VLOOKUP($A28,'Raw RTF'!$A$8:$Q$1000,'Raw RTF'!P$5,FALSE)</f>
        <v>0</v>
      </c>
      <c r="Q28">
        <f>VLOOKUP($A28,'Raw RTF'!$A$8:$Q$1000,'Raw RTF'!Q$5,FALSE)</f>
        <v>0</v>
      </c>
    </row>
    <row r="29" spans="1:19">
      <c r="A29" t="str">
        <f t="shared" si="0"/>
        <v>Single Family Weatherization - Insulate Floor - R0 to R30 - Heating Zone 2 (Electric FAF)FLOOR R0 - R30</v>
      </c>
      <c r="B29" s="53" t="s">
        <v>117</v>
      </c>
      <c r="C29" s="53" t="s">
        <v>91</v>
      </c>
      <c r="D29">
        <f>VLOOKUP($A29,'Raw RTF'!$A$8:$Q$1000,'Raw RTF'!D$5,FALSE)</f>
        <v>1.4371811169762547</v>
      </c>
      <c r="E29">
        <f>VLOOKUP($A29,'Raw RTF'!$A$8:$Q$1000,'Raw RTF'!E$5,FALSE)</f>
        <v>45</v>
      </c>
      <c r="F29">
        <f>VLOOKUP($A29,'Raw RTF'!$A$8:$Q$1000,'Raw RTF'!F$5,FALSE)</f>
        <v>1.3153468433463626</v>
      </c>
      <c r="G29">
        <f>VLOOKUP($A29,'Raw RTF'!$A$8:$Q$1000,'Raw RTF'!G$5,FALSE)</f>
        <v>0</v>
      </c>
      <c r="H29" t="str">
        <f>VLOOKUP($A29,'Raw RTF'!$A$8:$Q$1000,'Raw RTF'!H$5,FALSE)</f>
        <v>ResSpHtFAFZ2</v>
      </c>
      <c r="I29">
        <f>VLOOKUP($A29,'Raw RTF'!$A$8:$Q$1000,'Raw RTF'!I$5,FALSE)</f>
        <v>2.8442511427717574E-3</v>
      </c>
      <c r="J29">
        <f>VLOOKUP($A29,'Raw RTF'!$A$8:$Q$1000,'Raw RTF'!J$5,FALSE)</f>
        <v>0</v>
      </c>
      <c r="K29">
        <f>VLOOKUP($A29,'Raw RTF'!$A$8:$Q$1000,'Raw RTF'!K$5,FALSE)</f>
        <v>0</v>
      </c>
      <c r="L29">
        <f>VLOOKUP($A29,'Raw RTF'!$A$8:$Q$1000,'Raw RTF'!L$5,FALSE)</f>
        <v>0</v>
      </c>
      <c r="M29">
        <f>VLOOKUP($A29,'Raw RTF'!$A$8:$Q$1000,'Raw RTF'!M$5,FALSE)</f>
        <v>0</v>
      </c>
      <c r="N29">
        <f>VLOOKUP($A29,'Raw RTF'!$A$8:$Q$1000,'Raw RTF'!N$5,FALSE)</f>
        <v>0</v>
      </c>
      <c r="O29">
        <f>VLOOKUP($A29,'Raw RTF'!$A$8:$Q$1000,'Raw RTF'!O$5,FALSE)</f>
        <v>0</v>
      </c>
      <c r="P29">
        <f>VLOOKUP($A29,'Raw RTF'!$A$8:$Q$1000,'Raw RTF'!P$5,FALSE)</f>
        <v>0</v>
      </c>
      <c r="Q29">
        <f>VLOOKUP($A29,'Raw RTF'!$A$8:$Q$1000,'Raw RTF'!Q$5,FALSE)</f>
        <v>0</v>
      </c>
    </row>
    <row r="30" spans="1:19" ht="25.5">
      <c r="A30" t="str">
        <f t="shared" si="0"/>
        <v>Windows - Single Pane to Class 30 - Heating Zone 2 (Electric FAF)WINDOW CL30 Prime Window Replacement of Single Pane Base</v>
      </c>
      <c r="B30" s="53" t="s">
        <v>118</v>
      </c>
      <c r="C30" s="53" t="s">
        <v>93</v>
      </c>
      <c r="D30">
        <f>VLOOKUP($A30,'Raw RTF'!$A$8:$Q$1000,'Raw RTF'!D$5,FALSE)</f>
        <v>19.219127839046983</v>
      </c>
      <c r="E30">
        <f>VLOOKUP($A30,'Raw RTF'!$A$8:$Q$1000,'Raw RTF'!E$5,FALSE)</f>
        <v>45</v>
      </c>
      <c r="F30">
        <f>VLOOKUP($A30,'Raw RTF'!$A$8:$Q$1000,'Raw RTF'!F$5,FALSE)</f>
        <v>18.513985646792214</v>
      </c>
      <c r="G30">
        <f>VLOOKUP($A30,'Raw RTF'!$A$8:$Q$1000,'Raw RTF'!G$5,FALSE)</f>
        <v>0</v>
      </c>
      <c r="H30" t="str">
        <f>VLOOKUP($A30,'Raw RTF'!$A$8:$Q$1000,'Raw RTF'!H$5,FALSE)</f>
        <v>ResSpHtFAFZ2</v>
      </c>
      <c r="I30">
        <f>VLOOKUP($A30,'Raw RTF'!$A$8:$Q$1000,'Raw RTF'!I$5,FALSE)</f>
        <v>0.11689484374578268</v>
      </c>
      <c r="J30">
        <f>VLOOKUP($A30,'Raw RTF'!$A$8:$Q$1000,'Raw RTF'!J$5,FALSE)</f>
        <v>0</v>
      </c>
      <c r="K30">
        <f>VLOOKUP($A30,'Raw RTF'!$A$8:$Q$1000,'Raw RTF'!K$5,FALSE)</f>
        <v>0</v>
      </c>
      <c r="L30">
        <f>VLOOKUP($A30,'Raw RTF'!$A$8:$Q$1000,'Raw RTF'!L$5,FALSE)</f>
        <v>0</v>
      </c>
      <c r="M30">
        <f>VLOOKUP($A30,'Raw RTF'!$A$8:$Q$1000,'Raw RTF'!M$5,FALSE)</f>
        <v>0</v>
      </c>
      <c r="N30">
        <f>VLOOKUP($A30,'Raw RTF'!$A$8:$Q$1000,'Raw RTF'!N$5,FALSE)</f>
        <v>0</v>
      </c>
      <c r="O30">
        <f>VLOOKUP($A30,'Raw RTF'!$A$8:$Q$1000,'Raw RTF'!O$5,FALSE)</f>
        <v>0</v>
      </c>
      <c r="P30">
        <f>VLOOKUP($A30,'Raw RTF'!$A$8:$Q$1000,'Raw RTF'!P$5,FALSE)</f>
        <v>0</v>
      </c>
      <c r="Q30">
        <f>VLOOKUP($A30,'Raw RTF'!$A$8:$Q$1000,'Raw RTF'!Q$5,FALSE)</f>
        <v>0</v>
      </c>
    </row>
    <row r="31" spans="1:19" ht="25.5">
      <c r="A31" t="str">
        <f t="shared" si="0"/>
        <v>Windows - Double Pane to Class 30 - Heating Zone 2 (Electric FAF)WINDOW CL30 Prime Window Replacement of Double Pane Base</v>
      </c>
      <c r="B31" s="53" t="s">
        <v>119</v>
      </c>
      <c r="C31" s="53" t="s">
        <v>95</v>
      </c>
      <c r="D31">
        <f>VLOOKUP($A31,'Raw RTF'!$A$8:$Q$1000,'Raw RTF'!D$5,FALSE)</f>
        <v>7.4045146614811026</v>
      </c>
      <c r="E31">
        <f>VLOOKUP($A31,'Raw RTF'!$A$8:$Q$1000,'Raw RTF'!E$5,FALSE)</f>
        <v>45</v>
      </c>
      <c r="F31">
        <f>VLOOKUP($A31,'Raw RTF'!$A$8:$Q$1000,'Raw RTF'!F$5,FALSE)</f>
        <v>18.513985646792214</v>
      </c>
      <c r="G31">
        <f>VLOOKUP($A31,'Raw RTF'!$A$8:$Q$1000,'Raw RTF'!G$5,FALSE)</f>
        <v>0</v>
      </c>
      <c r="H31" t="str">
        <f>VLOOKUP($A31,'Raw RTF'!$A$8:$Q$1000,'Raw RTF'!H$5,FALSE)</f>
        <v>ResSpHtFAFZ2</v>
      </c>
      <c r="I31">
        <f>VLOOKUP($A31,'Raw RTF'!$A$8:$Q$1000,'Raw RTF'!I$5,FALSE)</f>
        <v>4.1241053225904545E-2</v>
      </c>
      <c r="J31">
        <f>VLOOKUP($A31,'Raw RTF'!$A$8:$Q$1000,'Raw RTF'!J$5,FALSE)</f>
        <v>0</v>
      </c>
      <c r="K31">
        <f>VLOOKUP($A31,'Raw RTF'!$A$8:$Q$1000,'Raw RTF'!K$5,FALSE)</f>
        <v>0</v>
      </c>
      <c r="L31">
        <f>VLOOKUP($A31,'Raw RTF'!$A$8:$Q$1000,'Raw RTF'!L$5,FALSE)</f>
        <v>0</v>
      </c>
      <c r="M31">
        <f>VLOOKUP($A31,'Raw RTF'!$A$8:$Q$1000,'Raw RTF'!M$5,FALSE)</f>
        <v>0</v>
      </c>
      <c r="N31">
        <f>VLOOKUP($A31,'Raw RTF'!$A$8:$Q$1000,'Raw RTF'!N$5,FALSE)</f>
        <v>0</v>
      </c>
      <c r="O31">
        <f>VLOOKUP($A31,'Raw RTF'!$A$8:$Q$1000,'Raw RTF'!O$5,FALSE)</f>
        <v>0</v>
      </c>
      <c r="P31">
        <f>VLOOKUP($A31,'Raw RTF'!$A$8:$Q$1000,'Raw RTF'!P$5,FALSE)</f>
        <v>0</v>
      </c>
      <c r="Q31">
        <f>VLOOKUP($A31,'Raw RTF'!$A$8:$Q$1000,'Raw RTF'!Q$5,FALSE)</f>
        <v>0</v>
      </c>
    </row>
    <row r="32" spans="1:19" s="26" customFormat="1" ht="25.5">
      <c r="A32" t="str">
        <f t="shared" si="0"/>
        <v>Windows - Single Pane to Class 22 - Heating Zone 2 (Electric FAF)WINDOW CL22 Prime Window Replacement of Single Pane Base</v>
      </c>
      <c r="B32" s="53" t="s">
        <v>121</v>
      </c>
      <c r="C32" s="53" t="s">
        <v>99</v>
      </c>
      <c r="D32">
        <f>VLOOKUP($A32,'Raw RTF'!$A$8:$Q$1000,'Raw RTF'!D$5,FALSE)</f>
        <v>20.983384754476354</v>
      </c>
      <c r="E32">
        <f>VLOOKUP($A32,'Raw RTF'!$A$8:$Q$1000,'Raw RTF'!E$5,FALSE)</f>
        <v>45</v>
      </c>
      <c r="F32">
        <f>VLOOKUP($A32,'Raw RTF'!$A$8:$Q$1000,'Raw RTF'!F$5,FALSE)</f>
        <v>21.803985646792214</v>
      </c>
      <c r="G32">
        <f>VLOOKUP($A32,'Raw RTF'!$A$8:$Q$1000,'Raw RTF'!G$5,FALSE)</f>
        <v>0</v>
      </c>
      <c r="H32" t="str">
        <f>VLOOKUP($A32,'Raw RTF'!$A$8:$Q$1000,'Raw RTF'!H$5,FALSE)</f>
        <v>ResSpHtFAFZ2</v>
      </c>
      <c r="I32">
        <f>VLOOKUP($A32,'Raw RTF'!$A$8:$Q$1000,'Raw RTF'!I$5,FALSE)</f>
        <v>0.13020649838199982</v>
      </c>
      <c r="J32">
        <f>VLOOKUP($A32,'Raw RTF'!$A$8:$Q$1000,'Raw RTF'!J$5,FALSE)</f>
        <v>0</v>
      </c>
      <c r="K32">
        <f>VLOOKUP($A32,'Raw RTF'!$A$8:$Q$1000,'Raw RTF'!K$5,FALSE)</f>
        <v>0</v>
      </c>
      <c r="L32">
        <f>VLOOKUP($A32,'Raw RTF'!$A$8:$Q$1000,'Raw RTF'!L$5,FALSE)</f>
        <v>0</v>
      </c>
      <c r="M32">
        <f>VLOOKUP($A32,'Raw RTF'!$A$8:$Q$1000,'Raw RTF'!M$5,FALSE)</f>
        <v>0</v>
      </c>
      <c r="N32">
        <f>VLOOKUP($A32,'Raw RTF'!$A$8:$Q$1000,'Raw RTF'!N$5,FALSE)</f>
        <v>0</v>
      </c>
      <c r="O32">
        <f>VLOOKUP($A32,'Raw RTF'!$A$8:$Q$1000,'Raw RTF'!O$5,FALSE)</f>
        <v>0</v>
      </c>
      <c r="P32">
        <f>VLOOKUP($A32,'Raw RTF'!$A$8:$Q$1000,'Raw RTF'!P$5,FALSE)</f>
        <v>0</v>
      </c>
      <c r="Q32">
        <f>VLOOKUP($A32,'Raw RTF'!$A$8:$Q$1000,'Raw RTF'!Q$5,FALSE)</f>
        <v>0</v>
      </c>
      <c r="R32"/>
      <c r="S32"/>
    </row>
    <row r="33" spans="1:19" ht="25.5">
      <c r="A33" t="str">
        <f t="shared" si="0"/>
        <v>Windows - Double Pane to Class 22 - Heating Zone 2 (Electric FAF)WINDOW CL22 Prime Window Replacement of Double Pane Base</v>
      </c>
      <c r="B33" s="53" t="s">
        <v>122</v>
      </c>
      <c r="C33" s="53" t="s">
        <v>101</v>
      </c>
      <c r="D33">
        <f>VLOOKUP($A33,'Raw RTF'!$A$8:$Q$1000,'Raw RTF'!D$5,FALSE)</f>
        <v>8.6526143993425269</v>
      </c>
      <c r="E33">
        <f>VLOOKUP($A33,'Raw RTF'!$A$8:$Q$1000,'Raw RTF'!E$5,FALSE)</f>
        <v>45</v>
      </c>
      <c r="F33">
        <f>VLOOKUP($A33,'Raw RTF'!$A$8:$Q$1000,'Raw RTF'!F$5,FALSE)</f>
        <v>21.803985646792214</v>
      </c>
      <c r="G33">
        <f>VLOOKUP($A33,'Raw RTF'!$A$8:$Q$1000,'Raw RTF'!G$5,FALSE)</f>
        <v>0</v>
      </c>
      <c r="H33" t="str">
        <f>VLOOKUP($A33,'Raw RTF'!$A$8:$Q$1000,'Raw RTF'!H$5,FALSE)</f>
        <v>ResSpHtFAFZ2</v>
      </c>
      <c r="I33">
        <f>VLOOKUP($A33,'Raw RTF'!$A$8:$Q$1000,'Raw RTF'!I$5,FALSE)</f>
        <v>4.9815287075665821E-2</v>
      </c>
      <c r="J33">
        <f>VLOOKUP($A33,'Raw RTF'!$A$8:$Q$1000,'Raw RTF'!J$5,FALSE)</f>
        <v>0</v>
      </c>
      <c r="K33">
        <f>VLOOKUP($A33,'Raw RTF'!$A$8:$Q$1000,'Raw RTF'!K$5,FALSE)</f>
        <v>0</v>
      </c>
      <c r="L33">
        <f>VLOOKUP($A33,'Raw RTF'!$A$8:$Q$1000,'Raw RTF'!L$5,FALSE)</f>
        <v>0</v>
      </c>
      <c r="M33">
        <f>VLOOKUP($A33,'Raw RTF'!$A$8:$Q$1000,'Raw RTF'!M$5,FALSE)</f>
        <v>0</v>
      </c>
      <c r="N33">
        <f>VLOOKUP($A33,'Raw RTF'!$A$8:$Q$1000,'Raw RTF'!N$5,FALSE)</f>
        <v>0</v>
      </c>
      <c r="O33">
        <f>VLOOKUP($A33,'Raw RTF'!$A$8:$Q$1000,'Raw RTF'!O$5,FALSE)</f>
        <v>0</v>
      </c>
      <c r="P33">
        <f>VLOOKUP($A33,'Raw RTF'!$A$8:$Q$1000,'Raw RTF'!P$5,FALSE)</f>
        <v>0</v>
      </c>
      <c r="Q33">
        <f>VLOOKUP($A33,'Raw RTF'!$A$8:$Q$1000,'Raw RTF'!Q$5,FALSE)</f>
        <v>0</v>
      </c>
    </row>
    <row r="34" spans="1:19">
      <c r="A34" t="str">
        <f t="shared" si="0"/>
        <v>Infiltration Reduction - CFM50 reduction - Heating Zone 2 (Electric FAF)CFM50 Infiltration Reduction</v>
      </c>
      <c r="B34" s="305" t="s">
        <v>124</v>
      </c>
      <c r="C34" s="305" t="s">
        <v>1362</v>
      </c>
      <c r="D34">
        <f>VLOOKUP($A34,'Raw RTF'!$A$8:$Q$1000,'Raw RTF'!D$5,FALSE)</f>
        <v>0.68344887972469026</v>
      </c>
      <c r="E34">
        <f>VLOOKUP($A34,'Raw RTF'!$A$8:$Q$1000,'Raw RTF'!E$5,FALSE)</f>
        <v>15</v>
      </c>
      <c r="F34">
        <f>VLOOKUP($A34,'Raw RTF'!$A$8:$Q$1000,'Raw RTF'!F$5,FALSE)</f>
        <v>0.6607178075171779</v>
      </c>
      <c r="G34">
        <f>VLOOKUP($A34,'Raw RTF'!$A$8:$Q$1000,'Raw RTF'!G$5,FALSE)</f>
        <v>0</v>
      </c>
      <c r="H34" t="str">
        <f>VLOOKUP($A34,'Raw RTF'!$A$8:$Q$1000,'Raw RTF'!H$5,FALSE)</f>
        <v>ResSpHtFAFZ2</v>
      </c>
      <c r="I34">
        <f>VLOOKUP($A34,'Raw RTF'!$A$8:$Q$1000,'Raw RTF'!I$5,FALSE)</f>
        <v>4.1804979571923974E-3</v>
      </c>
      <c r="J34">
        <f>VLOOKUP($A34,'Raw RTF'!$A$8:$Q$1000,'Raw RTF'!J$5,FALSE)</f>
        <v>0</v>
      </c>
      <c r="K34">
        <f>VLOOKUP($A34,'Raw RTF'!$A$8:$Q$1000,'Raw RTF'!K$5,FALSE)</f>
        <v>0</v>
      </c>
      <c r="L34">
        <f>VLOOKUP($A34,'Raw RTF'!$A$8:$Q$1000,'Raw RTF'!L$5,FALSE)</f>
        <v>0</v>
      </c>
      <c r="M34">
        <f>VLOOKUP($A34,'Raw RTF'!$A$8:$Q$1000,'Raw RTF'!M$5,FALSE)</f>
        <v>0</v>
      </c>
      <c r="N34">
        <f>VLOOKUP($A34,'Raw RTF'!$A$8:$Q$1000,'Raw RTF'!N$5,FALSE)</f>
        <v>0</v>
      </c>
      <c r="O34">
        <f>VLOOKUP($A34,'Raw RTF'!$A$8:$Q$1000,'Raw RTF'!O$5,FALSE)</f>
        <v>0</v>
      </c>
      <c r="P34">
        <f>VLOOKUP($A34,'Raw RTF'!$A$8:$Q$1000,'Raw RTF'!P$5,FALSE)</f>
        <v>0</v>
      </c>
      <c r="Q34">
        <f>VLOOKUP($A34,'Raw RTF'!$A$8:$Q$1000,'Raw RTF'!Q$5,FALSE)</f>
        <v>0</v>
      </c>
    </row>
    <row r="35" spans="1:19">
      <c r="A35" t="str">
        <f t="shared" si="0"/>
        <v>Single Family Weatherization - Insulate Attic - R0 to R38 - Heating Zone 3 (Electric FAF)ATTIC R0 - R38</v>
      </c>
      <c r="B35" s="53" t="s">
        <v>125</v>
      </c>
      <c r="C35" s="53" t="s">
        <v>68</v>
      </c>
      <c r="D35">
        <f>VLOOKUP($A35,'Raw RTF'!$A$8:$Q$1000,'Raw RTF'!D$5,FALSE)</f>
        <v>4.4336301683502883</v>
      </c>
      <c r="E35">
        <f>VLOOKUP($A35,'Raw RTF'!$A$8:$Q$1000,'Raw RTF'!E$5,FALSE)</f>
        <v>45</v>
      </c>
      <c r="F35">
        <f>VLOOKUP($A35,'Raw RTF'!$A$8:$Q$1000,'Raw RTF'!F$5,FALSE)</f>
        <v>0.98066043810604342</v>
      </c>
      <c r="G35">
        <f>VLOOKUP($A35,'Raw RTF'!$A$8:$Q$1000,'Raw RTF'!G$5,FALSE)</f>
        <v>0</v>
      </c>
      <c r="H35" t="str">
        <f>VLOOKUP($A35,'Raw RTF'!$A$8:$Q$1000,'Raw RTF'!H$5,FALSE)</f>
        <v>ResSpHtFAFZ3</v>
      </c>
      <c r="I35">
        <f>VLOOKUP($A35,'Raw RTF'!$A$8:$Q$1000,'Raw RTF'!I$5,FALSE)</f>
        <v>1.7030944366359151E-2</v>
      </c>
      <c r="J35">
        <f>VLOOKUP($A35,'Raw RTF'!$A$8:$Q$1000,'Raw RTF'!J$5,FALSE)</f>
        <v>0</v>
      </c>
      <c r="K35">
        <f>VLOOKUP($A35,'Raw RTF'!$A$8:$Q$1000,'Raw RTF'!K$5,FALSE)</f>
        <v>0</v>
      </c>
      <c r="L35">
        <f>VLOOKUP($A35,'Raw RTF'!$A$8:$Q$1000,'Raw RTF'!L$5,FALSE)</f>
        <v>0</v>
      </c>
      <c r="M35">
        <f>VLOOKUP($A35,'Raw RTF'!$A$8:$Q$1000,'Raw RTF'!M$5,FALSE)</f>
        <v>0</v>
      </c>
      <c r="N35">
        <f>VLOOKUP($A35,'Raw RTF'!$A$8:$Q$1000,'Raw RTF'!N$5,FALSE)</f>
        <v>0</v>
      </c>
      <c r="O35">
        <f>VLOOKUP($A35,'Raw RTF'!$A$8:$Q$1000,'Raw RTF'!O$5,FALSE)</f>
        <v>0</v>
      </c>
      <c r="P35">
        <f>VLOOKUP($A35,'Raw RTF'!$A$8:$Q$1000,'Raw RTF'!P$5,FALSE)</f>
        <v>0</v>
      </c>
      <c r="Q35">
        <f>VLOOKUP($A35,'Raw RTF'!$A$8:$Q$1000,'Raw RTF'!Q$5,FALSE)</f>
        <v>0</v>
      </c>
    </row>
    <row r="36" spans="1:19">
      <c r="A36" t="str">
        <f t="shared" si="0"/>
        <v>Single Family Weatherization - Insulate Attic - R0 to R49 - Heating Zone 3 (Electric FAF)ATTIC R0 - R49</v>
      </c>
      <c r="B36" s="53" t="s">
        <v>127</v>
      </c>
      <c r="C36" s="53" t="s">
        <v>71</v>
      </c>
      <c r="D36">
        <f>VLOOKUP($A36,'Raw RTF'!$A$8:$Q$1000,'Raw RTF'!D$5,FALSE)</f>
        <v>4.5005024283401713</v>
      </c>
      <c r="E36">
        <f>VLOOKUP($A36,'Raw RTF'!$A$8:$Q$1000,'Raw RTF'!E$5,FALSE)</f>
        <v>45</v>
      </c>
      <c r="F36">
        <f>VLOOKUP($A36,'Raw RTF'!$A$8:$Q$1000,'Raw RTF'!F$5,FALSE)</f>
        <v>1.1198946019755947</v>
      </c>
      <c r="G36">
        <f>VLOOKUP($A36,'Raw RTF'!$A$8:$Q$1000,'Raw RTF'!G$5,FALSE)</f>
        <v>0</v>
      </c>
      <c r="H36" t="str">
        <f>VLOOKUP($A36,'Raw RTF'!$A$8:$Q$1000,'Raw RTF'!H$5,FALSE)</f>
        <v>ResSpHtFAFZ3</v>
      </c>
      <c r="I36">
        <f>VLOOKUP($A36,'Raw RTF'!$A$8:$Q$1000,'Raw RTF'!I$5,FALSE)</f>
        <v>1.7325520776461774E-2</v>
      </c>
      <c r="J36">
        <f>VLOOKUP($A36,'Raw RTF'!$A$8:$Q$1000,'Raw RTF'!J$5,FALSE)</f>
        <v>0</v>
      </c>
      <c r="K36">
        <f>VLOOKUP($A36,'Raw RTF'!$A$8:$Q$1000,'Raw RTF'!K$5,FALSE)</f>
        <v>0</v>
      </c>
      <c r="L36">
        <f>VLOOKUP($A36,'Raw RTF'!$A$8:$Q$1000,'Raw RTF'!L$5,FALSE)</f>
        <v>0</v>
      </c>
      <c r="M36">
        <f>VLOOKUP($A36,'Raw RTF'!$A$8:$Q$1000,'Raw RTF'!M$5,FALSE)</f>
        <v>0</v>
      </c>
      <c r="N36">
        <f>VLOOKUP($A36,'Raw RTF'!$A$8:$Q$1000,'Raw RTF'!N$5,FALSE)</f>
        <v>0</v>
      </c>
      <c r="O36">
        <f>VLOOKUP($A36,'Raw RTF'!$A$8:$Q$1000,'Raw RTF'!O$5,FALSE)</f>
        <v>0</v>
      </c>
      <c r="P36">
        <f>VLOOKUP($A36,'Raw RTF'!$A$8:$Q$1000,'Raw RTF'!P$5,FALSE)</f>
        <v>0</v>
      </c>
      <c r="Q36">
        <f>VLOOKUP($A36,'Raw RTF'!$A$8:$Q$1000,'Raw RTF'!Q$5,FALSE)</f>
        <v>0</v>
      </c>
    </row>
    <row r="37" spans="1:19">
      <c r="A37" t="str">
        <f t="shared" si="0"/>
        <v>Single Family Weatherization - Insulate Attic - R11 to R38 - Heating Zone 3 (Electric FAF)ATTIC R11 - R38</v>
      </c>
      <c r="B37" s="53" t="s">
        <v>128</v>
      </c>
      <c r="C37" s="53" t="s">
        <v>73</v>
      </c>
      <c r="D37">
        <f>VLOOKUP($A37,'Raw RTF'!$A$8:$Q$1000,'Raw RTF'!D$5,FALSE)</f>
        <v>0.70663482250910359</v>
      </c>
      <c r="E37">
        <f>VLOOKUP($A37,'Raw RTF'!$A$8:$Q$1000,'Raw RTF'!E$5,FALSE)</f>
        <v>45</v>
      </c>
      <c r="F37">
        <f>VLOOKUP($A37,'Raw RTF'!$A$8:$Q$1000,'Raw RTF'!F$5,FALSE)</f>
        <v>0.84142627423649186</v>
      </c>
      <c r="G37">
        <f>VLOOKUP($A37,'Raw RTF'!$A$8:$Q$1000,'Raw RTF'!G$5,FALSE)</f>
        <v>0</v>
      </c>
      <c r="H37" t="str">
        <f>VLOOKUP($A37,'Raw RTF'!$A$8:$Q$1000,'Raw RTF'!H$5,FALSE)</f>
        <v>ResSpHtFAFZ3</v>
      </c>
      <c r="I37">
        <f>VLOOKUP($A37,'Raw RTF'!$A$8:$Q$1000,'Raw RTF'!I$5,FALSE)</f>
        <v>2.9279419543566166E-3</v>
      </c>
      <c r="J37">
        <f>VLOOKUP($A37,'Raw RTF'!$A$8:$Q$1000,'Raw RTF'!J$5,FALSE)</f>
        <v>0</v>
      </c>
      <c r="K37">
        <f>VLOOKUP($A37,'Raw RTF'!$A$8:$Q$1000,'Raw RTF'!K$5,FALSE)</f>
        <v>0</v>
      </c>
      <c r="L37">
        <f>VLOOKUP($A37,'Raw RTF'!$A$8:$Q$1000,'Raw RTF'!L$5,FALSE)</f>
        <v>0</v>
      </c>
      <c r="M37">
        <f>VLOOKUP($A37,'Raw RTF'!$A$8:$Q$1000,'Raw RTF'!M$5,FALSE)</f>
        <v>0</v>
      </c>
      <c r="N37">
        <f>VLOOKUP($A37,'Raw RTF'!$A$8:$Q$1000,'Raw RTF'!N$5,FALSE)</f>
        <v>0</v>
      </c>
      <c r="O37">
        <f>VLOOKUP($A37,'Raw RTF'!$A$8:$Q$1000,'Raw RTF'!O$5,FALSE)</f>
        <v>0</v>
      </c>
      <c r="P37">
        <f>VLOOKUP($A37,'Raw RTF'!$A$8:$Q$1000,'Raw RTF'!P$5,FALSE)</f>
        <v>0</v>
      </c>
      <c r="Q37">
        <f>VLOOKUP($A37,'Raw RTF'!$A$8:$Q$1000,'Raw RTF'!Q$5,FALSE)</f>
        <v>0</v>
      </c>
    </row>
    <row r="38" spans="1:19">
      <c r="A38" t="str">
        <f t="shared" si="0"/>
        <v>Single Family Weatherization - Insulate Attic - R11 to R49 - Heating Zone 3 (Electric FAF)ATTIC R11 - R49</v>
      </c>
      <c r="B38" s="53" t="s">
        <v>129</v>
      </c>
      <c r="C38" s="53" t="s">
        <v>75</v>
      </c>
      <c r="D38">
        <f>VLOOKUP($A38,'Raw RTF'!$A$8:$Q$1000,'Raw RTF'!D$5,FALSE)</f>
        <v>0.76737257369729062</v>
      </c>
      <c r="E38">
        <f>VLOOKUP($A38,'Raw RTF'!$A$8:$Q$1000,'Raw RTF'!E$5,FALSE)</f>
        <v>45</v>
      </c>
      <c r="F38">
        <f>VLOOKUP($A38,'Raw RTF'!$A$8:$Q$1000,'Raw RTF'!F$5,FALSE)</f>
        <v>0.98066043810604342</v>
      </c>
      <c r="G38">
        <f>VLOOKUP($A38,'Raw RTF'!$A$8:$Q$1000,'Raw RTF'!G$5,FALSE)</f>
        <v>0</v>
      </c>
      <c r="H38" t="str">
        <f>VLOOKUP($A38,'Raw RTF'!$A$8:$Q$1000,'Raw RTF'!H$5,FALSE)</f>
        <v>ResSpHtFAFZ3</v>
      </c>
      <c r="I38">
        <f>VLOOKUP($A38,'Raw RTF'!$A$8:$Q$1000,'Raw RTF'!I$5,FALSE)</f>
        <v>3.2265859209283107E-3</v>
      </c>
      <c r="J38">
        <f>VLOOKUP($A38,'Raw RTF'!$A$8:$Q$1000,'Raw RTF'!J$5,FALSE)</f>
        <v>0</v>
      </c>
      <c r="K38">
        <f>VLOOKUP($A38,'Raw RTF'!$A$8:$Q$1000,'Raw RTF'!K$5,FALSE)</f>
        <v>0</v>
      </c>
      <c r="L38">
        <f>VLOOKUP($A38,'Raw RTF'!$A$8:$Q$1000,'Raw RTF'!L$5,FALSE)</f>
        <v>0</v>
      </c>
      <c r="M38">
        <f>VLOOKUP($A38,'Raw RTF'!$A$8:$Q$1000,'Raw RTF'!M$5,FALSE)</f>
        <v>0</v>
      </c>
      <c r="N38">
        <f>VLOOKUP($A38,'Raw RTF'!$A$8:$Q$1000,'Raw RTF'!N$5,FALSE)</f>
        <v>0</v>
      </c>
      <c r="O38">
        <f>VLOOKUP($A38,'Raw RTF'!$A$8:$Q$1000,'Raw RTF'!O$5,FALSE)</f>
        <v>0</v>
      </c>
      <c r="P38">
        <f>VLOOKUP($A38,'Raw RTF'!$A$8:$Q$1000,'Raw RTF'!P$5,FALSE)</f>
        <v>0</v>
      </c>
      <c r="Q38">
        <f>VLOOKUP($A38,'Raw RTF'!$A$8:$Q$1000,'Raw RTF'!Q$5,FALSE)</f>
        <v>0</v>
      </c>
    </row>
    <row r="39" spans="1:19">
      <c r="A39" t="str">
        <f t="shared" si="0"/>
        <v>Single Family Weatherization - Insulate Attic - R19 to R38 - Heating Zone 3 (Electric FAF)ATTIC R19 - R38</v>
      </c>
      <c r="B39" s="53" t="s">
        <v>130</v>
      </c>
      <c r="C39" s="53" t="s">
        <v>77</v>
      </c>
      <c r="D39">
        <f>VLOOKUP($A39,'Raw RTF'!$A$8:$Q$1000,'Raw RTF'!D$5,FALSE)</f>
        <v>0.30296026043276186</v>
      </c>
      <c r="E39">
        <f>VLOOKUP($A39,'Raw RTF'!$A$8:$Q$1000,'Raw RTF'!E$5,FALSE)</f>
        <v>45</v>
      </c>
      <c r="F39">
        <f>VLOOKUP($A39,'Raw RTF'!$A$8:$Q$1000,'Raw RTF'!F$5,FALSE)</f>
        <v>0.7401650641495453</v>
      </c>
      <c r="G39">
        <f>VLOOKUP($A39,'Raw RTF'!$A$8:$Q$1000,'Raw RTF'!G$5,FALSE)</f>
        <v>0</v>
      </c>
      <c r="H39" t="str">
        <f>VLOOKUP($A39,'Raw RTF'!$A$8:$Q$1000,'Raw RTF'!H$5,FALSE)</f>
        <v>ResSpHtFAFZ3</v>
      </c>
      <c r="I39">
        <f>VLOOKUP($A39,'Raw RTF'!$A$8:$Q$1000,'Raw RTF'!I$5,FALSE)</f>
        <v>1.293775416132974E-3</v>
      </c>
      <c r="J39">
        <f>VLOOKUP($A39,'Raw RTF'!$A$8:$Q$1000,'Raw RTF'!J$5,FALSE)</f>
        <v>0</v>
      </c>
      <c r="K39">
        <f>VLOOKUP($A39,'Raw RTF'!$A$8:$Q$1000,'Raw RTF'!K$5,FALSE)</f>
        <v>0</v>
      </c>
      <c r="L39">
        <f>VLOOKUP($A39,'Raw RTF'!$A$8:$Q$1000,'Raw RTF'!L$5,FALSE)</f>
        <v>0</v>
      </c>
      <c r="M39">
        <f>VLOOKUP($A39,'Raw RTF'!$A$8:$Q$1000,'Raw RTF'!M$5,FALSE)</f>
        <v>0</v>
      </c>
      <c r="N39">
        <f>VLOOKUP($A39,'Raw RTF'!$A$8:$Q$1000,'Raw RTF'!N$5,FALSE)</f>
        <v>0</v>
      </c>
      <c r="O39">
        <f>VLOOKUP($A39,'Raw RTF'!$A$8:$Q$1000,'Raw RTF'!O$5,FALSE)</f>
        <v>0</v>
      </c>
      <c r="P39">
        <f>VLOOKUP($A39,'Raw RTF'!$A$8:$Q$1000,'Raw RTF'!P$5,FALSE)</f>
        <v>0</v>
      </c>
      <c r="Q39">
        <f>VLOOKUP($A39,'Raw RTF'!$A$8:$Q$1000,'Raw RTF'!Q$5,FALSE)</f>
        <v>0</v>
      </c>
    </row>
    <row r="40" spans="1:19" s="26" customFormat="1">
      <c r="A40" t="str">
        <f t="shared" si="0"/>
        <v>Single Family Weatherization - Insulate Attic - R19 to R49 - Heating Zone 3 (Electric FAF)ATTIC R19 - R49</v>
      </c>
      <c r="B40" s="53" t="s">
        <v>131</v>
      </c>
      <c r="C40" s="53" t="s">
        <v>79</v>
      </c>
      <c r="D40">
        <f>VLOOKUP($A40,'Raw RTF'!$A$8:$Q$1000,'Raw RTF'!D$5,FALSE)</f>
        <v>0.36546476287323615</v>
      </c>
      <c r="E40">
        <f>VLOOKUP($A40,'Raw RTF'!$A$8:$Q$1000,'Raw RTF'!E$5,FALSE)</f>
        <v>45</v>
      </c>
      <c r="F40">
        <f>VLOOKUP($A40,'Raw RTF'!$A$8:$Q$1000,'Raw RTF'!F$5,FALSE)</f>
        <v>0.87939922801909687</v>
      </c>
      <c r="G40">
        <f>VLOOKUP($A40,'Raw RTF'!$A$8:$Q$1000,'Raw RTF'!G$5,FALSE)</f>
        <v>0</v>
      </c>
      <c r="H40" t="str">
        <f>VLOOKUP($A40,'Raw RTF'!$A$8:$Q$1000,'Raw RTF'!H$5,FALSE)</f>
        <v>ResSpHtFAFZ3</v>
      </c>
      <c r="I40">
        <f>VLOOKUP($A40,'Raw RTF'!$A$8:$Q$1000,'Raw RTF'!I$5,FALSE)</f>
        <v>1.5827247880383873E-3</v>
      </c>
      <c r="J40">
        <f>VLOOKUP($A40,'Raw RTF'!$A$8:$Q$1000,'Raw RTF'!J$5,FALSE)</f>
        <v>0</v>
      </c>
      <c r="K40">
        <f>VLOOKUP($A40,'Raw RTF'!$A$8:$Q$1000,'Raw RTF'!K$5,FALSE)</f>
        <v>0</v>
      </c>
      <c r="L40">
        <f>VLOOKUP($A40,'Raw RTF'!$A$8:$Q$1000,'Raw RTF'!L$5,FALSE)</f>
        <v>0</v>
      </c>
      <c r="M40">
        <f>VLOOKUP($A40,'Raw RTF'!$A$8:$Q$1000,'Raw RTF'!M$5,FALSE)</f>
        <v>0</v>
      </c>
      <c r="N40">
        <f>VLOOKUP($A40,'Raw RTF'!$A$8:$Q$1000,'Raw RTF'!N$5,FALSE)</f>
        <v>0</v>
      </c>
      <c r="O40">
        <f>VLOOKUP($A40,'Raw RTF'!$A$8:$Q$1000,'Raw RTF'!O$5,FALSE)</f>
        <v>0</v>
      </c>
      <c r="P40">
        <f>VLOOKUP($A40,'Raw RTF'!$A$8:$Q$1000,'Raw RTF'!P$5,FALSE)</f>
        <v>0</v>
      </c>
      <c r="Q40">
        <f>VLOOKUP($A40,'Raw RTF'!$A$8:$Q$1000,'Raw RTF'!Q$5,FALSE)</f>
        <v>0</v>
      </c>
      <c r="R40"/>
      <c r="S40"/>
    </row>
    <row r="41" spans="1:19">
      <c r="A41" t="str">
        <f t="shared" si="0"/>
        <v>Single Family Weatherization - Insulate Wall - R0 to R11 - Heating Zone 3 (Electric FAF)WALL R0 - R11</v>
      </c>
      <c r="B41" s="53" t="s">
        <v>134</v>
      </c>
      <c r="C41" s="53" t="s">
        <v>85</v>
      </c>
      <c r="D41">
        <f>VLOOKUP($A41,'Raw RTF'!$A$8:$Q$1000,'Raw RTF'!D$5,FALSE)</f>
        <v>3.1661456758149531</v>
      </c>
      <c r="E41">
        <f>VLOOKUP($A41,'Raw RTF'!$A$8:$Q$1000,'Raw RTF'!E$5,FALSE)</f>
        <v>45</v>
      </c>
      <c r="F41">
        <f>VLOOKUP($A41,'Raw RTF'!$A$8:$Q$1000,'Raw RTF'!F$5,FALSE)</f>
        <v>1.3863525086966677</v>
      </c>
      <c r="G41">
        <f>VLOOKUP($A41,'Raw RTF'!$A$8:$Q$1000,'Raw RTF'!G$5,FALSE)</f>
        <v>0</v>
      </c>
      <c r="H41" t="str">
        <f>VLOOKUP($A41,'Raw RTF'!$A$8:$Q$1000,'Raw RTF'!H$5,FALSE)</f>
        <v>ResSpHtFAFZ3</v>
      </c>
      <c r="I41">
        <f>VLOOKUP($A41,'Raw RTF'!$A$8:$Q$1000,'Raw RTF'!I$5,FALSE)</f>
        <v>9.0273634467150678E-3</v>
      </c>
      <c r="J41">
        <f>VLOOKUP($A41,'Raw RTF'!$A$8:$Q$1000,'Raw RTF'!J$5,FALSE)</f>
        <v>0</v>
      </c>
      <c r="K41">
        <f>VLOOKUP($A41,'Raw RTF'!$A$8:$Q$1000,'Raw RTF'!K$5,FALSE)</f>
        <v>0</v>
      </c>
      <c r="L41">
        <f>VLOOKUP($A41,'Raw RTF'!$A$8:$Q$1000,'Raw RTF'!L$5,FALSE)</f>
        <v>0</v>
      </c>
      <c r="M41">
        <f>VLOOKUP($A41,'Raw RTF'!$A$8:$Q$1000,'Raw RTF'!M$5,FALSE)</f>
        <v>0</v>
      </c>
      <c r="N41">
        <f>VLOOKUP($A41,'Raw RTF'!$A$8:$Q$1000,'Raw RTF'!N$5,FALSE)</f>
        <v>0</v>
      </c>
      <c r="O41">
        <f>VLOOKUP($A41,'Raw RTF'!$A$8:$Q$1000,'Raw RTF'!O$5,FALSE)</f>
        <v>0</v>
      </c>
      <c r="P41">
        <f>VLOOKUP($A41,'Raw RTF'!$A$8:$Q$1000,'Raw RTF'!P$5,FALSE)</f>
        <v>0</v>
      </c>
      <c r="Q41">
        <f>VLOOKUP($A41,'Raw RTF'!$A$8:$Q$1000,'Raw RTF'!Q$5,FALSE)</f>
        <v>0</v>
      </c>
    </row>
    <row r="42" spans="1:19">
      <c r="A42" t="str">
        <f t="shared" si="0"/>
        <v>Single Family Weatherization - Insulate Floor - R0 to R19 - Heating Zone 3 (Electric FAF)FLOOR R0 - R19</v>
      </c>
      <c r="B42" s="53" t="s">
        <v>135</v>
      </c>
      <c r="C42" s="53" t="s">
        <v>87</v>
      </c>
      <c r="D42">
        <f>VLOOKUP($A42,'Raw RTF'!$A$8:$Q$1000,'Raw RTF'!D$5,FALSE)</f>
        <v>1.6891743042119263</v>
      </c>
      <c r="E42">
        <f>VLOOKUP($A42,'Raw RTF'!$A$8:$Q$1000,'Raw RTF'!E$5,FALSE)</f>
        <v>45</v>
      </c>
      <c r="F42">
        <f>VLOOKUP($A42,'Raw RTF'!$A$8:$Q$1000,'Raw RTF'!F$5,FALSE)</f>
        <v>1.2290592529494864</v>
      </c>
      <c r="G42">
        <f>VLOOKUP($A42,'Raw RTF'!$A$8:$Q$1000,'Raw RTF'!G$5,FALSE)</f>
        <v>0</v>
      </c>
      <c r="H42" t="str">
        <f>VLOOKUP($A42,'Raw RTF'!$A$8:$Q$1000,'Raw RTF'!H$5,FALSE)</f>
        <v>ResSpHtFAFZ3</v>
      </c>
      <c r="I42">
        <f>VLOOKUP($A42,'Raw RTF'!$A$8:$Q$1000,'Raw RTF'!I$5,FALSE)</f>
        <v>2.5022801259706917E-3</v>
      </c>
      <c r="J42">
        <f>VLOOKUP($A42,'Raw RTF'!$A$8:$Q$1000,'Raw RTF'!J$5,FALSE)</f>
        <v>0</v>
      </c>
      <c r="K42">
        <f>VLOOKUP($A42,'Raw RTF'!$A$8:$Q$1000,'Raw RTF'!K$5,FALSE)</f>
        <v>0</v>
      </c>
      <c r="L42">
        <f>VLOOKUP($A42,'Raw RTF'!$A$8:$Q$1000,'Raw RTF'!L$5,FALSE)</f>
        <v>0</v>
      </c>
      <c r="M42">
        <f>VLOOKUP($A42,'Raw RTF'!$A$8:$Q$1000,'Raw RTF'!M$5,FALSE)</f>
        <v>0</v>
      </c>
      <c r="N42">
        <f>VLOOKUP($A42,'Raw RTF'!$A$8:$Q$1000,'Raw RTF'!N$5,FALSE)</f>
        <v>0</v>
      </c>
      <c r="O42">
        <f>VLOOKUP($A42,'Raw RTF'!$A$8:$Q$1000,'Raw RTF'!O$5,FALSE)</f>
        <v>0</v>
      </c>
      <c r="P42">
        <f>VLOOKUP($A42,'Raw RTF'!$A$8:$Q$1000,'Raw RTF'!P$5,FALSE)</f>
        <v>0</v>
      </c>
      <c r="Q42">
        <f>VLOOKUP($A42,'Raw RTF'!$A$8:$Q$1000,'Raw RTF'!Q$5,FALSE)</f>
        <v>0</v>
      </c>
    </row>
    <row r="43" spans="1:19">
      <c r="A43" t="str">
        <f t="shared" si="0"/>
        <v>Single Family Weatherization - Insulate Floor - R0 to R25 - Heating Zone 3 (Electric FAF)FLOOR R0 - R25</v>
      </c>
      <c r="B43" s="53" t="s">
        <v>136</v>
      </c>
      <c r="C43" s="53" t="s">
        <v>89</v>
      </c>
      <c r="D43">
        <f>VLOOKUP($A43,'Raw RTF'!$A$8:$Q$1000,'Raw RTF'!D$5,FALSE)</f>
        <v>1.8202152617175136</v>
      </c>
      <c r="E43">
        <f>VLOOKUP($A43,'Raw RTF'!$A$8:$Q$1000,'Raw RTF'!E$5,FALSE)</f>
        <v>45</v>
      </c>
      <c r="F43">
        <f>VLOOKUP($A43,'Raw RTF'!$A$8:$Q$1000,'Raw RTF'!F$5,FALSE)</f>
        <v>1.2761252113477823</v>
      </c>
      <c r="G43">
        <f>VLOOKUP($A43,'Raw RTF'!$A$8:$Q$1000,'Raw RTF'!G$5,FALSE)</f>
        <v>0</v>
      </c>
      <c r="H43" t="str">
        <f>VLOOKUP($A43,'Raw RTF'!$A$8:$Q$1000,'Raw RTF'!H$5,FALSE)</f>
        <v>ResSpHtFAFZ3</v>
      </c>
      <c r="I43">
        <f>VLOOKUP($A43,'Raw RTF'!$A$8:$Q$1000,'Raw RTF'!I$5,FALSE)</f>
        <v>3.1032825887708426E-3</v>
      </c>
      <c r="J43">
        <f>VLOOKUP($A43,'Raw RTF'!$A$8:$Q$1000,'Raw RTF'!J$5,FALSE)</f>
        <v>0</v>
      </c>
      <c r="K43">
        <f>VLOOKUP($A43,'Raw RTF'!$A$8:$Q$1000,'Raw RTF'!K$5,FALSE)</f>
        <v>0</v>
      </c>
      <c r="L43">
        <f>VLOOKUP($A43,'Raw RTF'!$A$8:$Q$1000,'Raw RTF'!L$5,FALSE)</f>
        <v>0</v>
      </c>
      <c r="M43">
        <f>VLOOKUP($A43,'Raw RTF'!$A$8:$Q$1000,'Raw RTF'!M$5,FALSE)</f>
        <v>0</v>
      </c>
      <c r="N43">
        <f>VLOOKUP($A43,'Raw RTF'!$A$8:$Q$1000,'Raw RTF'!N$5,FALSE)</f>
        <v>0</v>
      </c>
      <c r="O43">
        <f>VLOOKUP($A43,'Raw RTF'!$A$8:$Q$1000,'Raw RTF'!O$5,FALSE)</f>
        <v>0</v>
      </c>
      <c r="P43">
        <f>VLOOKUP($A43,'Raw RTF'!$A$8:$Q$1000,'Raw RTF'!P$5,FALSE)</f>
        <v>0</v>
      </c>
      <c r="Q43">
        <f>VLOOKUP($A43,'Raw RTF'!$A$8:$Q$1000,'Raw RTF'!Q$5,FALSE)</f>
        <v>0</v>
      </c>
    </row>
    <row r="44" spans="1:19">
      <c r="A44" t="str">
        <f t="shared" si="0"/>
        <v>Single Family Weatherization - Insulate Floor - R0 to R30 - Heating Zone 3 (Electric FAF)FLOOR R0 - R30</v>
      </c>
      <c r="B44" s="53" t="s">
        <v>137</v>
      </c>
      <c r="C44" s="53" t="s">
        <v>91</v>
      </c>
      <c r="D44">
        <f>VLOOKUP($A44,'Raw RTF'!$A$8:$Q$1000,'Raw RTF'!D$5,FALSE)</f>
        <v>1.9026265903994455</v>
      </c>
      <c r="E44">
        <f>VLOOKUP($A44,'Raw RTF'!$A$8:$Q$1000,'Raw RTF'!E$5,FALSE)</f>
        <v>45</v>
      </c>
      <c r="F44">
        <f>VLOOKUP($A44,'Raw RTF'!$A$8:$Q$1000,'Raw RTF'!F$5,FALSE)</f>
        <v>1.3153468433463626</v>
      </c>
      <c r="G44">
        <f>VLOOKUP($A44,'Raw RTF'!$A$8:$Q$1000,'Raw RTF'!G$5,FALSE)</f>
        <v>0</v>
      </c>
      <c r="H44" t="str">
        <f>VLOOKUP($A44,'Raw RTF'!$A$8:$Q$1000,'Raw RTF'!H$5,FALSE)</f>
        <v>ResSpHtFAFZ3</v>
      </c>
      <c r="I44">
        <f>VLOOKUP($A44,'Raw RTF'!$A$8:$Q$1000,'Raw RTF'!I$5,FALSE)</f>
        <v>3.5060279297061212E-3</v>
      </c>
      <c r="J44">
        <f>VLOOKUP($A44,'Raw RTF'!$A$8:$Q$1000,'Raw RTF'!J$5,FALSE)</f>
        <v>0</v>
      </c>
      <c r="K44">
        <f>VLOOKUP($A44,'Raw RTF'!$A$8:$Q$1000,'Raw RTF'!K$5,FALSE)</f>
        <v>0</v>
      </c>
      <c r="L44">
        <f>VLOOKUP($A44,'Raw RTF'!$A$8:$Q$1000,'Raw RTF'!L$5,FALSE)</f>
        <v>0</v>
      </c>
      <c r="M44">
        <f>VLOOKUP($A44,'Raw RTF'!$A$8:$Q$1000,'Raw RTF'!M$5,FALSE)</f>
        <v>0</v>
      </c>
      <c r="N44">
        <f>VLOOKUP($A44,'Raw RTF'!$A$8:$Q$1000,'Raw RTF'!N$5,FALSE)</f>
        <v>0</v>
      </c>
      <c r="O44">
        <f>VLOOKUP($A44,'Raw RTF'!$A$8:$Q$1000,'Raw RTF'!O$5,FALSE)</f>
        <v>0</v>
      </c>
      <c r="P44">
        <f>VLOOKUP($A44,'Raw RTF'!$A$8:$Q$1000,'Raw RTF'!P$5,FALSE)</f>
        <v>0</v>
      </c>
      <c r="Q44">
        <f>VLOOKUP($A44,'Raw RTF'!$A$8:$Q$1000,'Raw RTF'!Q$5,FALSE)</f>
        <v>0</v>
      </c>
    </row>
    <row r="45" spans="1:19" ht="25.5">
      <c r="A45" t="str">
        <f t="shared" si="0"/>
        <v>Windows - Single Pane to Class 30 - Heating Zone 3 (Electric FAF)WINDOW CL30 Prime Window Replacement of Single Pane Base</v>
      </c>
      <c r="B45" s="53" t="s">
        <v>138</v>
      </c>
      <c r="C45" s="53" t="s">
        <v>93</v>
      </c>
      <c r="D45">
        <f>VLOOKUP($A45,'Raw RTF'!$A$8:$Q$1000,'Raw RTF'!D$5,FALSE)</f>
        <v>19.765326686541883</v>
      </c>
      <c r="E45">
        <f>VLOOKUP($A45,'Raw RTF'!$A$8:$Q$1000,'Raw RTF'!E$5,FALSE)</f>
        <v>45</v>
      </c>
      <c r="F45">
        <f>VLOOKUP($A45,'Raw RTF'!$A$8:$Q$1000,'Raw RTF'!F$5,FALSE)</f>
        <v>18.513985646792214</v>
      </c>
      <c r="G45">
        <f>VLOOKUP($A45,'Raw RTF'!$A$8:$Q$1000,'Raw RTF'!G$5,FALSE)</f>
        <v>0</v>
      </c>
      <c r="H45" t="str">
        <f>VLOOKUP($A45,'Raw RTF'!$A$8:$Q$1000,'Raw RTF'!H$5,FALSE)</f>
        <v>ResSpHtFAFZ3</v>
      </c>
      <c r="I45">
        <f>VLOOKUP($A45,'Raw RTF'!$A$8:$Q$1000,'Raw RTF'!I$5,FALSE)</f>
        <v>9.8339264521265402E-2</v>
      </c>
      <c r="J45">
        <f>VLOOKUP($A45,'Raw RTF'!$A$8:$Q$1000,'Raw RTF'!J$5,FALSE)</f>
        <v>0</v>
      </c>
      <c r="K45">
        <f>VLOOKUP($A45,'Raw RTF'!$A$8:$Q$1000,'Raw RTF'!K$5,FALSE)</f>
        <v>0</v>
      </c>
      <c r="L45">
        <f>VLOOKUP($A45,'Raw RTF'!$A$8:$Q$1000,'Raw RTF'!L$5,FALSE)</f>
        <v>0</v>
      </c>
      <c r="M45">
        <f>VLOOKUP($A45,'Raw RTF'!$A$8:$Q$1000,'Raw RTF'!M$5,FALSE)</f>
        <v>0</v>
      </c>
      <c r="N45">
        <f>VLOOKUP($A45,'Raw RTF'!$A$8:$Q$1000,'Raw RTF'!N$5,FALSE)</f>
        <v>0</v>
      </c>
      <c r="O45">
        <f>VLOOKUP($A45,'Raw RTF'!$A$8:$Q$1000,'Raw RTF'!O$5,FALSE)</f>
        <v>0</v>
      </c>
      <c r="P45">
        <f>VLOOKUP($A45,'Raw RTF'!$A$8:$Q$1000,'Raw RTF'!P$5,FALSE)</f>
        <v>0</v>
      </c>
      <c r="Q45">
        <f>VLOOKUP($A45,'Raw RTF'!$A$8:$Q$1000,'Raw RTF'!Q$5,FALSE)</f>
        <v>0</v>
      </c>
    </row>
    <row r="46" spans="1:19" ht="25.5">
      <c r="A46" t="str">
        <f t="shared" si="0"/>
        <v>Windows - Double Pane to Class 30 - Heating Zone 3 (Electric FAF)WINDOW CL30 Prime Window Replacement of Double Pane Base</v>
      </c>
      <c r="B46" s="53" t="s">
        <v>139</v>
      </c>
      <c r="C46" s="53" t="s">
        <v>95</v>
      </c>
      <c r="D46">
        <f>VLOOKUP($A46,'Raw RTF'!$A$8:$Q$1000,'Raw RTF'!D$5,FALSE)</f>
        <v>8.7079262401477866</v>
      </c>
      <c r="E46">
        <f>VLOOKUP($A46,'Raw RTF'!$A$8:$Q$1000,'Raw RTF'!E$5,FALSE)</f>
        <v>45</v>
      </c>
      <c r="F46">
        <f>VLOOKUP($A46,'Raw RTF'!$A$8:$Q$1000,'Raw RTF'!F$5,FALSE)</f>
        <v>18.513985646792214</v>
      </c>
      <c r="G46">
        <f>VLOOKUP($A46,'Raw RTF'!$A$8:$Q$1000,'Raw RTF'!G$5,FALSE)</f>
        <v>0</v>
      </c>
      <c r="H46" t="str">
        <f>VLOOKUP($A46,'Raw RTF'!$A$8:$Q$1000,'Raw RTF'!H$5,FALSE)</f>
        <v>ResSpHtFAFZ3</v>
      </c>
      <c r="I46">
        <f>VLOOKUP($A46,'Raw RTF'!$A$8:$Q$1000,'Raw RTF'!I$5,FALSE)</f>
        <v>3.9597909125162409E-2</v>
      </c>
      <c r="J46">
        <f>VLOOKUP($A46,'Raw RTF'!$A$8:$Q$1000,'Raw RTF'!J$5,FALSE)</f>
        <v>0</v>
      </c>
      <c r="K46">
        <f>VLOOKUP($A46,'Raw RTF'!$A$8:$Q$1000,'Raw RTF'!K$5,FALSE)</f>
        <v>0</v>
      </c>
      <c r="L46">
        <f>VLOOKUP($A46,'Raw RTF'!$A$8:$Q$1000,'Raw RTF'!L$5,FALSE)</f>
        <v>0</v>
      </c>
      <c r="M46">
        <f>VLOOKUP($A46,'Raw RTF'!$A$8:$Q$1000,'Raw RTF'!M$5,FALSE)</f>
        <v>0</v>
      </c>
      <c r="N46">
        <f>VLOOKUP($A46,'Raw RTF'!$A$8:$Q$1000,'Raw RTF'!N$5,FALSE)</f>
        <v>0</v>
      </c>
      <c r="O46">
        <f>VLOOKUP($A46,'Raw RTF'!$A$8:$Q$1000,'Raw RTF'!O$5,FALSE)</f>
        <v>0</v>
      </c>
      <c r="P46">
        <f>VLOOKUP($A46,'Raw RTF'!$A$8:$Q$1000,'Raw RTF'!P$5,FALSE)</f>
        <v>0</v>
      </c>
      <c r="Q46">
        <f>VLOOKUP($A46,'Raw RTF'!$A$8:$Q$1000,'Raw RTF'!Q$5,FALSE)</f>
        <v>0</v>
      </c>
    </row>
    <row r="47" spans="1:19" ht="25.5">
      <c r="A47" t="str">
        <f t="shared" si="0"/>
        <v>Windows - Single Pane to Class 22 - Heating Zone 3 (Electric FAF)WINDOW CL22 Prime Window Replacement of Single Pane Base</v>
      </c>
      <c r="B47" s="53" t="s">
        <v>141</v>
      </c>
      <c r="C47" s="53" t="s">
        <v>99</v>
      </c>
      <c r="D47">
        <f>VLOOKUP($A47,'Raw RTF'!$A$8:$Q$1000,'Raw RTF'!D$5,FALSE)</f>
        <v>21.581523463408601</v>
      </c>
      <c r="E47">
        <f>VLOOKUP($A47,'Raw RTF'!$A$8:$Q$1000,'Raw RTF'!E$5,FALSE)</f>
        <v>45</v>
      </c>
      <c r="F47">
        <f>VLOOKUP($A47,'Raw RTF'!$A$8:$Q$1000,'Raw RTF'!F$5,FALSE)</f>
        <v>21.803985646792214</v>
      </c>
      <c r="G47">
        <f>VLOOKUP($A47,'Raw RTF'!$A$8:$Q$1000,'Raw RTF'!G$5,FALSE)</f>
        <v>0</v>
      </c>
      <c r="H47" t="str">
        <f>VLOOKUP($A47,'Raw RTF'!$A$8:$Q$1000,'Raw RTF'!H$5,FALSE)</f>
        <v>ResSpHtFAFZ3</v>
      </c>
      <c r="I47">
        <f>VLOOKUP($A47,'Raw RTF'!$A$8:$Q$1000,'Raw RTF'!I$5,FALSE)</f>
        <v>0.10994941567134746</v>
      </c>
      <c r="J47">
        <f>VLOOKUP($A47,'Raw RTF'!$A$8:$Q$1000,'Raw RTF'!J$5,FALSE)</f>
        <v>0</v>
      </c>
      <c r="K47">
        <f>VLOOKUP($A47,'Raw RTF'!$A$8:$Q$1000,'Raw RTF'!K$5,FALSE)</f>
        <v>0</v>
      </c>
      <c r="L47">
        <f>VLOOKUP($A47,'Raw RTF'!$A$8:$Q$1000,'Raw RTF'!L$5,FALSE)</f>
        <v>0</v>
      </c>
      <c r="M47">
        <f>VLOOKUP($A47,'Raw RTF'!$A$8:$Q$1000,'Raw RTF'!M$5,FALSE)</f>
        <v>0</v>
      </c>
      <c r="N47">
        <f>VLOOKUP($A47,'Raw RTF'!$A$8:$Q$1000,'Raw RTF'!N$5,FALSE)</f>
        <v>0</v>
      </c>
      <c r="O47">
        <f>VLOOKUP($A47,'Raw RTF'!$A$8:$Q$1000,'Raw RTF'!O$5,FALSE)</f>
        <v>0</v>
      </c>
      <c r="P47">
        <f>VLOOKUP($A47,'Raw RTF'!$A$8:$Q$1000,'Raw RTF'!P$5,FALSE)</f>
        <v>0</v>
      </c>
      <c r="Q47">
        <f>VLOOKUP($A47,'Raw RTF'!$A$8:$Q$1000,'Raw RTF'!Q$5,FALSE)</f>
        <v>0</v>
      </c>
    </row>
    <row r="48" spans="1:19" ht="25.5">
      <c r="A48" t="str">
        <f t="shared" si="0"/>
        <v>Windows - Double Pane to Class 22 - Heating Zone 3 (Electric FAF)WINDOW CL22 Prime Window Replacement of Double Pane Base</v>
      </c>
      <c r="B48" s="53" t="s">
        <v>142</v>
      </c>
      <c r="C48" s="53" t="s">
        <v>101</v>
      </c>
      <c r="D48">
        <f>VLOOKUP($A48,'Raw RTF'!$A$8:$Q$1000,'Raw RTF'!D$5,FALSE)</f>
        <v>10.144505448305972</v>
      </c>
      <c r="E48">
        <f>VLOOKUP($A48,'Raw RTF'!$A$8:$Q$1000,'Raw RTF'!E$5,FALSE)</f>
        <v>45</v>
      </c>
      <c r="F48">
        <f>VLOOKUP($A48,'Raw RTF'!$A$8:$Q$1000,'Raw RTF'!F$5,FALSE)</f>
        <v>21.803985646792214</v>
      </c>
      <c r="G48">
        <f>VLOOKUP($A48,'Raw RTF'!$A$8:$Q$1000,'Raw RTF'!G$5,FALSE)</f>
        <v>0</v>
      </c>
      <c r="H48" t="str">
        <f>VLOOKUP($A48,'Raw RTF'!$A$8:$Q$1000,'Raw RTF'!H$5,FALSE)</f>
        <v>ResSpHtFAFZ3</v>
      </c>
      <c r="I48">
        <f>VLOOKUP($A48,'Raw RTF'!$A$8:$Q$1000,'Raw RTF'!I$5,FALSE)</f>
        <v>4.7810787035429674E-2</v>
      </c>
      <c r="J48">
        <f>VLOOKUP($A48,'Raw RTF'!$A$8:$Q$1000,'Raw RTF'!J$5,FALSE)</f>
        <v>0</v>
      </c>
      <c r="K48">
        <f>VLOOKUP($A48,'Raw RTF'!$A$8:$Q$1000,'Raw RTF'!K$5,FALSE)</f>
        <v>0</v>
      </c>
      <c r="L48">
        <f>VLOOKUP($A48,'Raw RTF'!$A$8:$Q$1000,'Raw RTF'!L$5,FALSE)</f>
        <v>0</v>
      </c>
      <c r="M48">
        <f>VLOOKUP($A48,'Raw RTF'!$A$8:$Q$1000,'Raw RTF'!M$5,FALSE)</f>
        <v>0</v>
      </c>
      <c r="N48">
        <f>VLOOKUP($A48,'Raw RTF'!$A$8:$Q$1000,'Raw RTF'!N$5,FALSE)</f>
        <v>0</v>
      </c>
      <c r="O48">
        <f>VLOOKUP($A48,'Raw RTF'!$A$8:$Q$1000,'Raw RTF'!O$5,FALSE)</f>
        <v>0</v>
      </c>
      <c r="P48">
        <f>VLOOKUP($A48,'Raw RTF'!$A$8:$Q$1000,'Raw RTF'!P$5,FALSE)</f>
        <v>0</v>
      </c>
      <c r="Q48">
        <f>VLOOKUP($A48,'Raw RTF'!$A$8:$Q$1000,'Raw RTF'!Q$5,FALSE)</f>
        <v>0</v>
      </c>
    </row>
    <row r="49" spans="1:19">
      <c r="A49" t="str">
        <f t="shared" si="0"/>
        <v>Infiltration Reduction - CFM50 reduction - Heating Zone 3 (Electric FAF)CFM50 Infiltration Reduction</v>
      </c>
      <c r="B49" s="305" t="s">
        <v>144</v>
      </c>
      <c r="C49" s="305" t="s">
        <v>1362</v>
      </c>
      <c r="D49">
        <f>VLOOKUP($A49,'Raw RTF'!$A$8:$Q$1000,'Raw RTF'!D$5,FALSE)</f>
        <v>0.65171761833478148</v>
      </c>
      <c r="E49">
        <f>VLOOKUP($A49,'Raw RTF'!$A$8:$Q$1000,'Raw RTF'!E$5,FALSE)</f>
        <v>15</v>
      </c>
      <c r="F49">
        <f>VLOOKUP($A49,'Raw RTF'!$A$8:$Q$1000,'Raw RTF'!F$5,FALSE)</f>
        <v>0.6607178075171779</v>
      </c>
      <c r="G49">
        <f>VLOOKUP($A49,'Raw RTF'!$A$8:$Q$1000,'Raw RTF'!G$5,FALSE)</f>
        <v>0</v>
      </c>
      <c r="H49" t="str">
        <f>VLOOKUP($A49,'Raw RTF'!$A$8:$Q$1000,'Raw RTF'!H$5,FALSE)</f>
        <v>ResSpHtFAFZ3</v>
      </c>
      <c r="I49">
        <f>VLOOKUP($A49,'Raw RTF'!$A$8:$Q$1000,'Raw RTF'!I$5,FALSE)</f>
        <v>3.2070602772951047E-3</v>
      </c>
      <c r="J49">
        <f>VLOOKUP($A49,'Raw RTF'!$A$8:$Q$1000,'Raw RTF'!J$5,FALSE)</f>
        <v>0</v>
      </c>
      <c r="K49">
        <f>VLOOKUP($A49,'Raw RTF'!$A$8:$Q$1000,'Raw RTF'!K$5,FALSE)</f>
        <v>0</v>
      </c>
      <c r="L49">
        <f>VLOOKUP($A49,'Raw RTF'!$A$8:$Q$1000,'Raw RTF'!L$5,FALSE)</f>
        <v>0</v>
      </c>
      <c r="M49">
        <f>VLOOKUP($A49,'Raw RTF'!$A$8:$Q$1000,'Raw RTF'!M$5,FALSE)</f>
        <v>0</v>
      </c>
      <c r="N49">
        <f>VLOOKUP($A49,'Raw RTF'!$A$8:$Q$1000,'Raw RTF'!N$5,FALSE)</f>
        <v>0</v>
      </c>
      <c r="O49">
        <f>VLOOKUP($A49,'Raw RTF'!$A$8:$Q$1000,'Raw RTF'!O$5,FALSE)</f>
        <v>0</v>
      </c>
      <c r="P49">
        <f>VLOOKUP($A49,'Raw RTF'!$A$8:$Q$1000,'Raw RTF'!P$5,FALSE)</f>
        <v>0</v>
      </c>
      <c r="Q49">
        <f>VLOOKUP($A49,'Raw RTF'!$A$8:$Q$1000,'Raw RTF'!Q$5,FALSE)</f>
        <v>0</v>
      </c>
    </row>
    <row r="50" spans="1:19">
      <c r="A50" t="str">
        <f t="shared" si="0"/>
        <v>Single Family Weatherization - Insulate Attic - R0 to R38 - Heating Zone 1 (Zonal or DHP)ATTIC R0 - R38</v>
      </c>
      <c r="B50" s="305" t="s">
        <v>1256</v>
      </c>
      <c r="C50" s="53" t="s">
        <v>68</v>
      </c>
      <c r="D50">
        <f>VLOOKUP($A50,'Raw RTF'!$A$8:$Q$1000,'Raw RTF'!D$5,FALSE)</f>
        <v>1.8937684767108551</v>
      </c>
      <c r="E50">
        <f>VLOOKUP($A50,'Raw RTF'!$A$8:$Q$1000,'Raw RTF'!E$5,FALSE)</f>
        <v>45</v>
      </c>
      <c r="F50">
        <f>VLOOKUP($A50,'Raw RTF'!$A$8:$Q$1000,'Raw RTF'!F$5,FALSE)</f>
        <v>0.98066043810604342</v>
      </c>
      <c r="G50">
        <f>VLOOKUP($A50,'Raw RTF'!$A$8:$Q$1000,'Raw RTF'!G$5,FALSE)</f>
        <v>0</v>
      </c>
      <c r="H50" t="str">
        <f>VLOOKUP($A50,'Raw RTF'!$A$8:$Q$1000,'Raw RTF'!H$5,FALSE)</f>
        <v>ResSpHtBBZ1</v>
      </c>
      <c r="I50">
        <f>VLOOKUP($A50,'Raw RTF'!$A$8:$Q$1000,'Raw RTF'!I$5,FALSE)</f>
        <v>6.619964120906585E-3</v>
      </c>
      <c r="J50">
        <f>VLOOKUP($A50,'Raw RTF'!$A$8:$Q$1000,'Raw RTF'!J$5,FALSE)</f>
        <v>0</v>
      </c>
      <c r="K50">
        <f>VLOOKUP($A50,'Raw RTF'!$A$8:$Q$1000,'Raw RTF'!K$5,FALSE)</f>
        <v>0</v>
      </c>
      <c r="L50">
        <f>VLOOKUP($A50,'Raw RTF'!$A$8:$Q$1000,'Raw RTF'!L$5,FALSE)</f>
        <v>0</v>
      </c>
      <c r="M50">
        <f>VLOOKUP($A50,'Raw RTF'!$A$8:$Q$1000,'Raw RTF'!M$5,FALSE)</f>
        <v>0</v>
      </c>
      <c r="N50">
        <f>VLOOKUP($A50,'Raw RTF'!$A$8:$Q$1000,'Raw RTF'!N$5,FALSE)</f>
        <v>0</v>
      </c>
      <c r="O50">
        <f>VLOOKUP($A50,'Raw RTF'!$A$8:$Q$1000,'Raw RTF'!O$5,FALSE)</f>
        <v>0</v>
      </c>
      <c r="P50">
        <f>VLOOKUP($A50,'Raw RTF'!$A$8:$Q$1000,'Raw RTF'!P$5,FALSE)</f>
        <v>0</v>
      </c>
      <c r="Q50">
        <f>VLOOKUP($A50,'Raw RTF'!$A$8:$Q$1000,'Raw RTF'!Q$5,FALSE)</f>
        <v>0</v>
      </c>
    </row>
    <row r="51" spans="1:19">
      <c r="A51" t="str">
        <f t="shared" si="0"/>
        <v>Single Family Weatherization - Insulate Attic - R0 to R49 - Heating Zone 1 (Zonal or DHP)ATTIC R0 - R49</v>
      </c>
      <c r="B51" s="305" t="s">
        <v>1257</v>
      </c>
      <c r="C51" s="53" t="s">
        <v>71</v>
      </c>
      <c r="D51">
        <f>VLOOKUP($A51,'Raw RTF'!$A$8:$Q$1000,'Raw RTF'!D$5,FALSE)</f>
        <v>1.9207083028551051</v>
      </c>
      <c r="E51">
        <f>VLOOKUP($A51,'Raw RTF'!$A$8:$Q$1000,'Raw RTF'!E$5,FALSE)</f>
        <v>45</v>
      </c>
      <c r="F51">
        <f>VLOOKUP($A51,'Raw RTF'!$A$8:$Q$1000,'Raw RTF'!F$5,FALSE)</f>
        <v>1.1198946019755947</v>
      </c>
      <c r="G51">
        <f>VLOOKUP($A51,'Raw RTF'!$A$8:$Q$1000,'Raw RTF'!G$5,FALSE)</f>
        <v>0</v>
      </c>
      <c r="H51" t="str">
        <f>VLOOKUP($A51,'Raw RTF'!$A$8:$Q$1000,'Raw RTF'!H$5,FALSE)</f>
        <v>ResSpHtBBZ1</v>
      </c>
      <c r="I51">
        <f>VLOOKUP($A51,'Raw RTF'!$A$8:$Q$1000,'Raw RTF'!I$5,FALSE)</f>
        <v>6.8652441113894831E-3</v>
      </c>
      <c r="J51">
        <f>VLOOKUP($A51,'Raw RTF'!$A$8:$Q$1000,'Raw RTF'!J$5,FALSE)</f>
        <v>0</v>
      </c>
      <c r="K51">
        <f>VLOOKUP($A51,'Raw RTF'!$A$8:$Q$1000,'Raw RTF'!K$5,FALSE)</f>
        <v>0</v>
      </c>
      <c r="L51">
        <f>VLOOKUP($A51,'Raw RTF'!$A$8:$Q$1000,'Raw RTF'!L$5,FALSE)</f>
        <v>0</v>
      </c>
      <c r="M51">
        <f>VLOOKUP($A51,'Raw RTF'!$A$8:$Q$1000,'Raw RTF'!M$5,FALSE)</f>
        <v>0</v>
      </c>
      <c r="N51">
        <f>VLOOKUP($A51,'Raw RTF'!$A$8:$Q$1000,'Raw RTF'!N$5,FALSE)</f>
        <v>0</v>
      </c>
      <c r="O51">
        <f>VLOOKUP($A51,'Raw RTF'!$A$8:$Q$1000,'Raw RTF'!O$5,FALSE)</f>
        <v>0</v>
      </c>
      <c r="P51">
        <f>VLOOKUP($A51,'Raw RTF'!$A$8:$Q$1000,'Raw RTF'!P$5,FALSE)</f>
        <v>0</v>
      </c>
      <c r="Q51">
        <f>VLOOKUP($A51,'Raw RTF'!$A$8:$Q$1000,'Raw RTF'!Q$5,FALSE)</f>
        <v>0</v>
      </c>
    </row>
    <row r="52" spans="1:19">
      <c r="A52" t="str">
        <f t="shared" si="0"/>
        <v>Single Family Weatherization - Insulate Attic - R11 to R38 - Heating Zone 1 (Zonal or DHP)ATTIC R11 - R38</v>
      </c>
      <c r="B52" s="305" t="s">
        <v>1258</v>
      </c>
      <c r="C52" s="53" t="s">
        <v>73</v>
      </c>
      <c r="D52">
        <f>VLOOKUP($A52,'Raw RTF'!$A$8:$Q$1000,'Raw RTF'!D$5,FALSE)</f>
        <v>0.35204078977759573</v>
      </c>
      <c r="E52">
        <f>VLOOKUP($A52,'Raw RTF'!$A$8:$Q$1000,'Raw RTF'!E$5,FALSE)</f>
        <v>45</v>
      </c>
      <c r="F52">
        <f>VLOOKUP($A52,'Raw RTF'!$A$8:$Q$1000,'Raw RTF'!F$5,FALSE)</f>
        <v>0.84142627423649186</v>
      </c>
      <c r="G52">
        <f>VLOOKUP($A52,'Raw RTF'!$A$8:$Q$1000,'Raw RTF'!G$5,FALSE)</f>
        <v>0</v>
      </c>
      <c r="H52" t="str">
        <f>VLOOKUP($A52,'Raw RTF'!$A$8:$Q$1000,'Raw RTF'!H$5,FALSE)</f>
        <v>ResSpHtBBZ1</v>
      </c>
      <c r="I52">
        <f>VLOOKUP($A52,'Raw RTF'!$A$8:$Q$1000,'Raw RTF'!I$5,FALSE)</f>
        <v>2.9816938626825332E-3</v>
      </c>
      <c r="J52">
        <f>VLOOKUP($A52,'Raw RTF'!$A$8:$Q$1000,'Raw RTF'!J$5,FALSE)</f>
        <v>0</v>
      </c>
      <c r="K52">
        <f>VLOOKUP($A52,'Raw RTF'!$A$8:$Q$1000,'Raw RTF'!K$5,FALSE)</f>
        <v>0</v>
      </c>
      <c r="L52">
        <f>VLOOKUP($A52,'Raw RTF'!$A$8:$Q$1000,'Raw RTF'!L$5,FALSE)</f>
        <v>0</v>
      </c>
      <c r="M52">
        <f>VLOOKUP($A52,'Raw RTF'!$A$8:$Q$1000,'Raw RTF'!M$5,FALSE)</f>
        <v>0</v>
      </c>
      <c r="N52">
        <f>VLOOKUP($A52,'Raw RTF'!$A$8:$Q$1000,'Raw RTF'!N$5,FALSE)</f>
        <v>0</v>
      </c>
      <c r="O52">
        <f>VLOOKUP($A52,'Raw RTF'!$A$8:$Q$1000,'Raw RTF'!O$5,FALSE)</f>
        <v>0</v>
      </c>
      <c r="P52">
        <f>VLOOKUP($A52,'Raw RTF'!$A$8:$Q$1000,'Raw RTF'!P$5,FALSE)</f>
        <v>0</v>
      </c>
      <c r="Q52">
        <f>VLOOKUP($A52,'Raw RTF'!$A$8:$Q$1000,'Raw RTF'!Q$5,FALSE)</f>
        <v>0</v>
      </c>
    </row>
    <row r="53" spans="1:19">
      <c r="A53" t="str">
        <f t="shared" si="0"/>
        <v>Single Family Weatherization - Insulate Attic - R11 to R49 - Heating Zone 1 (Zonal or DHP)ATTIC R11 - R49</v>
      </c>
      <c r="B53" s="305" t="s">
        <v>1259</v>
      </c>
      <c r="C53" s="53" t="s">
        <v>75</v>
      </c>
      <c r="D53">
        <f>VLOOKUP($A53,'Raw RTF'!$A$8:$Q$1000,'Raw RTF'!D$5,FALSE)</f>
        <v>0.38200772388696119</v>
      </c>
      <c r="E53">
        <f>VLOOKUP($A53,'Raw RTF'!$A$8:$Q$1000,'Raw RTF'!E$5,FALSE)</f>
        <v>45</v>
      </c>
      <c r="F53">
        <f>VLOOKUP($A53,'Raw RTF'!$A$8:$Q$1000,'Raw RTF'!F$5,FALSE)</f>
        <v>0.98066043810604342</v>
      </c>
      <c r="G53">
        <f>VLOOKUP($A53,'Raw RTF'!$A$8:$Q$1000,'Raw RTF'!G$5,FALSE)</f>
        <v>0</v>
      </c>
      <c r="H53" t="str">
        <f>VLOOKUP($A53,'Raw RTF'!$A$8:$Q$1000,'Raw RTF'!H$5,FALSE)</f>
        <v>ResSpHtBBZ1</v>
      </c>
      <c r="I53">
        <f>VLOOKUP($A53,'Raw RTF'!$A$8:$Q$1000,'Raw RTF'!I$5,FALSE)</f>
        <v>3.2726110513045191E-3</v>
      </c>
      <c r="J53">
        <f>VLOOKUP($A53,'Raw RTF'!$A$8:$Q$1000,'Raw RTF'!J$5,FALSE)</f>
        <v>0</v>
      </c>
      <c r="K53">
        <f>VLOOKUP($A53,'Raw RTF'!$A$8:$Q$1000,'Raw RTF'!K$5,FALSE)</f>
        <v>0</v>
      </c>
      <c r="L53">
        <f>VLOOKUP($A53,'Raw RTF'!$A$8:$Q$1000,'Raw RTF'!L$5,FALSE)</f>
        <v>0</v>
      </c>
      <c r="M53">
        <f>VLOOKUP($A53,'Raw RTF'!$A$8:$Q$1000,'Raw RTF'!M$5,FALSE)</f>
        <v>0</v>
      </c>
      <c r="N53">
        <f>VLOOKUP($A53,'Raw RTF'!$A$8:$Q$1000,'Raw RTF'!N$5,FALSE)</f>
        <v>0</v>
      </c>
      <c r="O53">
        <f>VLOOKUP($A53,'Raw RTF'!$A$8:$Q$1000,'Raw RTF'!O$5,FALSE)</f>
        <v>0</v>
      </c>
      <c r="P53">
        <f>VLOOKUP($A53,'Raw RTF'!$A$8:$Q$1000,'Raw RTF'!P$5,FALSE)</f>
        <v>0</v>
      </c>
      <c r="Q53">
        <f>VLOOKUP($A53,'Raw RTF'!$A$8:$Q$1000,'Raw RTF'!Q$5,FALSE)</f>
        <v>0</v>
      </c>
    </row>
    <row r="54" spans="1:19" s="26" customFormat="1">
      <c r="A54" t="str">
        <f t="shared" si="0"/>
        <v>Single Family Weatherization - Insulate Attic - R19 to R38 - Heating Zone 1 (Zonal or DHP)ATTIC R19 - R38</v>
      </c>
      <c r="B54" s="305" t="s">
        <v>1260</v>
      </c>
      <c r="C54" s="53" t="s">
        <v>77</v>
      </c>
      <c r="D54">
        <f>VLOOKUP($A54,'Raw RTF'!$A$8:$Q$1000,'Raw RTF'!D$5,FALSE)</f>
        <v>0.18749346565429784</v>
      </c>
      <c r="E54">
        <f>VLOOKUP($A54,'Raw RTF'!$A$8:$Q$1000,'Raw RTF'!E$5,FALSE)</f>
        <v>45</v>
      </c>
      <c r="F54">
        <f>VLOOKUP($A54,'Raw RTF'!$A$8:$Q$1000,'Raw RTF'!F$5,FALSE)</f>
        <v>0.7401650641495453</v>
      </c>
      <c r="G54">
        <f>VLOOKUP($A54,'Raw RTF'!$A$8:$Q$1000,'Raw RTF'!G$5,FALSE)</f>
        <v>0</v>
      </c>
      <c r="H54" t="str">
        <f>VLOOKUP($A54,'Raw RTF'!$A$8:$Q$1000,'Raw RTF'!H$5,FALSE)</f>
        <v>ResSpHtBBZ1</v>
      </c>
      <c r="I54">
        <f>VLOOKUP($A54,'Raw RTF'!$A$8:$Q$1000,'Raw RTF'!I$5,FALSE)</f>
        <v>1.6164103334326339E-3</v>
      </c>
      <c r="J54">
        <f>VLOOKUP($A54,'Raw RTF'!$A$8:$Q$1000,'Raw RTF'!J$5,FALSE)</f>
        <v>0</v>
      </c>
      <c r="K54">
        <f>VLOOKUP($A54,'Raw RTF'!$A$8:$Q$1000,'Raw RTF'!K$5,FALSE)</f>
        <v>0</v>
      </c>
      <c r="L54">
        <f>VLOOKUP($A54,'Raw RTF'!$A$8:$Q$1000,'Raw RTF'!L$5,FALSE)</f>
        <v>0</v>
      </c>
      <c r="M54">
        <f>VLOOKUP($A54,'Raw RTF'!$A$8:$Q$1000,'Raw RTF'!M$5,FALSE)</f>
        <v>0</v>
      </c>
      <c r="N54">
        <f>VLOOKUP($A54,'Raw RTF'!$A$8:$Q$1000,'Raw RTF'!N$5,FALSE)</f>
        <v>0</v>
      </c>
      <c r="O54">
        <f>VLOOKUP($A54,'Raw RTF'!$A$8:$Q$1000,'Raw RTF'!O$5,FALSE)</f>
        <v>0</v>
      </c>
      <c r="P54">
        <f>VLOOKUP($A54,'Raw RTF'!$A$8:$Q$1000,'Raw RTF'!P$5,FALSE)</f>
        <v>0</v>
      </c>
      <c r="Q54">
        <f>VLOOKUP($A54,'Raw RTF'!$A$8:$Q$1000,'Raw RTF'!Q$5,FALSE)</f>
        <v>0</v>
      </c>
      <c r="R54"/>
      <c r="S54"/>
    </row>
    <row r="55" spans="1:19">
      <c r="A55" t="str">
        <f t="shared" si="0"/>
        <v>Single Family Weatherization - Insulate Attic - R19 to R49 - Heating Zone 1 (Zonal or DHP)ATTIC R19 - R49</v>
      </c>
      <c r="B55" s="305" t="s">
        <v>1261</v>
      </c>
      <c r="C55" s="53" t="s">
        <v>79</v>
      </c>
      <c r="D55">
        <f>VLOOKUP($A55,'Raw RTF'!$A$8:$Q$1000,'Raw RTF'!D$5,FALSE)</f>
        <v>0.22594294679315699</v>
      </c>
      <c r="E55">
        <f>VLOOKUP($A55,'Raw RTF'!$A$8:$Q$1000,'Raw RTF'!E$5,FALSE)</f>
        <v>45</v>
      </c>
      <c r="F55">
        <f>VLOOKUP($A55,'Raw RTF'!$A$8:$Q$1000,'Raw RTF'!F$5,FALSE)</f>
        <v>0.87939922801909687</v>
      </c>
      <c r="G55">
        <f>VLOOKUP($A55,'Raw RTF'!$A$8:$Q$1000,'Raw RTF'!G$5,FALSE)</f>
        <v>0</v>
      </c>
      <c r="H55" t="str">
        <f>VLOOKUP($A55,'Raw RTF'!$A$8:$Q$1000,'Raw RTF'!H$5,FALSE)</f>
        <v>ResSpHtBBZ1</v>
      </c>
      <c r="I55">
        <f>VLOOKUP($A55,'Raw RTF'!$A$8:$Q$1000,'Raw RTF'!I$5,FALSE)</f>
        <v>1.9698902817858774E-3</v>
      </c>
      <c r="J55">
        <f>VLOOKUP($A55,'Raw RTF'!$A$8:$Q$1000,'Raw RTF'!J$5,FALSE)</f>
        <v>0</v>
      </c>
      <c r="K55">
        <f>VLOOKUP($A55,'Raw RTF'!$A$8:$Q$1000,'Raw RTF'!K$5,FALSE)</f>
        <v>0</v>
      </c>
      <c r="L55">
        <f>VLOOKUP($A55,'Raw RTF'!$A$8:$Q$1000,'Raw RTF'!L$5,FALSE)</f>
        <v>0</v>
      </c>
      <c r="M55">
        <f>VLOOKUP($A55,'Raw RTF'!$A$8:$Q$1000,'Raw RTF'!M$5,FALSE)</f>
        <v>0</v>
      </c>
      <c r="N55">
        <f>VLOOKUP($A55,'Raw RTF'!$A$8:$Q$1000,'Raw RTF'!N$5,FALSE)</f>
        <v>0</v>
      </c>
      <c r="O55">
        <f>VLOOKUP($A55,'Raw RTF'!$A$8:$Q$1000,'Raw RTF'!O$5,FALSE)</f>
        <v>0</v>
      </c>
      <c r="P55">
        <f>VLOOKUP($A55,'Raw RTF'!$A$8:$Q$1000,'Raw RTF'!P$5,FALSE)</f>
        <v>0</v>
      </c>
      <c r="Q55">
        <f>VLOOKUP($A55,'Raw RTF'!$A$8:$Q$1000,'Raw RTF'!Q$5,FALSE)</f>
        <v>0</v>
      </c>
    </row>
    <row r="56" spans="1:19">
      <c r="A56" t="str">
        <f t="shared" si="0"/>
        <v>Single Family Weatherization - Insulate Wall - R0 to R11 - Heating Zone 1 (Zonal or DHP)WALL R0 - R11</v>
      </c>
      <c r="B56" s="305" t="s">
        <v>1265</v>
      </c>
      <c r="C56" s="53" t="s">
        <v>85</v>
      </c>
      <c r="D56">
        <f>VLOOKUP($A56,'Raw RTF'!$A$8:$Q$1000,'Raw RTF'!D$5,FALSE)</f>
        <v>1.4669903321731557</v>
      </c>
      <c r="E56">
        <f>VLOOKUP($A56,'Raw RTF'!$A$8:$Q$1000,'Raw RTF'!E$5,FALSE)</f>
        <v>45</v>
      </c>
      <c r="F56">
        <f>VLOOKUP($A56,'Raw RTF'!$A$8:$Q$1000,'Raw RTF'!F$5,FALSE)</f>
        <v>1.3863525086966677</v>
      </c>
      <c r="G56">
        <f>VLOOKUP($A56,'Raw RTF'!$A$8:$Q$1000,'Raw RTF'!G$5,FALSE)</f>
        <v>0</v>
      </c>
      <c r="H56" t="str">
        <f>VLOOKUP($A56,'Raw RTF'!$A$8:$Q$1000,'Raw RTF'!H$5,FALSE)</f>
        <v>ResSpHtBBZ1</v>
      </c>
      <c r="I56">
        <f>VLOOKUP($A56,'Raw RTF'!$A$8:$Q$1000,'Raw RTF'!I$5,FALSE)</f>
        <v>7.7608766390092135E-3</v>
      </c>
      <c r="J56">
        <f>VLOOKUP($A56,'Raw RTF'!$A$8:$Q$1000,'Raw RTF'!J$5,FALSE)</f>
        <v>0</v>
      </c>
      <c r="K56">
        <f>VLOOKUP($A56,'Raw RTF'!$A$8:$Q$1000,'Raw RTF'!K$5,FALSE)</f>
        <v>0</v>
      </c>
      <c r="L56">
        <f>VLOOKUP($A56,'Raw RTF'!$A$8:$Q$1000,'Raw RTF'!L$5,FALSE)</f>
        <v>0</v>
      </c>
      <c r="M56">
        <f>VLOOKUP($A56,'Raw RTF'!$A$8:$Q$1000,'Raw RTF'!M$5,FALSE)</f>
        <v>0</v>
      </c>
      <c r="N56">
        <f>VLOOKUP($A56,'Raw RTF'!$A$8:$Q$1000,'Raw RTF'!N$5,FALSE)</f>
        <v>0</v>
      </c>
      <c r="O56">
        <f>VLOOKUP($A56,'Raw RTF'!$A$8:$Q$1000,'Raw RTF'!O$5,FALSE)</f>
        <v>0</v>
      </c>
      <c r="P56">
        <f>VLOOKUP($A56,'Raw RTF'!$A$8:$Q$1000,'Raw RTF'!P$5,FALSE)</f>
        <v>0</v>
      </c>
      <c r="Q56">
        <f>VLOOKUP($A56,'Raw RTF'!$A$8:$Q$1000,'Raw RTF'!Q$5,FALSE)</f>
        <v>0</v>
      </c>
    </row>
    <row r="57" spans="1:19">
      <c r="A57" t="str">
        <f t="shared" si="0"/>
        <v>Single Family Weatherization - Insulate Floor - R0 to R19 - Heating Zone 1 (Zonal or DHP)FLOOR R0 - R19</v>
      </c>
      <c r="B57" s="305" t="s">
        <v>1266</v>
      </c>
      <c r="C57" s="53" t="s">
        <v>87</v>
      </c>
      <c r="D57">
        <f>VLOOKUP($A57,'Raw RTF'!$A$8:$Q$1000,'Raw RTF'!D$5,FALSE)</f>
        <v>0.89206476011298963</v>
      </c>
      <c r="E57">
        <f>VLOOKUP($A57,'Raw RTF'!$A$8:$Q$1000,'Raw RTF'!E$5,FALSE)</f>
        <v>45</v>
      </c>
      <c r="F57">
        <f>VLOOKUP($A57,'Raw RTF'!$A$8:$Q$1000,'Raw RTF'!F$5,FALSE)</f>
        <v>1.2290592529494864</v>
      </c>
      <c r="G57">
        <f>VLOOKUP($A57,'Raw RTF'!$A$8:$Q$1000,'Raw RTF'!G$5,FALSE)</f>
        <v>0</v>
      </c>
      <c r="H57" t="str">
        <f>VLOOKUP($A57,'Raw RTF'!$A$8:$Q$1000,'Raw RTF'!H$5,FALSE)</f>
        <v>ResSpHtBBZ1</v>
      </c>
      <c r="I57">
        <f>VLOOKUP($A57,'Raw RTF'!$A$8:$Q$1000,'Raw RTF'!I$5,FALSE)</f>
        <v>4.4071044641923679E-3</v>
      </c>
      <c r="J57">
        <f>VLOOKUP($A57,'Raw RTF'!$A$8:$Q$1000,'Raw RTF'!J$5,FALSE)</f>
        <v>0</v>
      </c>
      <c r="K57">
        <f>VLOOKUP($A57,'Raw RTF'!$A$8:$Q$1000,'Raw RTF'!K$5,FALSE)</f>
        <v>0</v>
      </c>
      <c r="L57">
        <f>VLOOKUP($A57,'Raw RTF'!$A$8:$Q$1000,'Raw RTF'!L$5,FALSE)</f>
        <v>0</v>
      </c>
      <c r="M57">
        <f>VLOOKUP($A57,'Raw RTF'!$A$8:$Q$1000,'Raw RTF'!M$5,FALSE)</f>
        <v>0</v>
      </c>
      <c r="N57">
        <f>VLOOKUP($A57,'Raw RTF'!$A$8:$Q$1000,'Raw RTF'!N$5,FALSE)</f>
        <v>0</v>
      </c>
      <c r="O57">
        <f>VLOOKUP($A57,'Raw RTF'!$A$8:$Q$1000,'Raw RTF'!O$5,FALSE)</f>
        <v>0</v>
      </c>
      <c r="P57">
        <f>VLOOKUP($A57,'Raw RTF'!$A$8:$Q$1000,'Raw RTF'!P$5,FALSE)</f>
        <v>0</v>
      </c>
      <c r="Q57">
        <f>VLOOKUP($A57,'Raw RTF'!$A$8:$Q$1000,'Raw RTF'!Q$5,FALSE)</f>
        <v>0</v>
      </c>
    </row>
    <row r="58" spans="1:19">
      <c r="A58" t="str">
        <f t="shared" si="0"/>
        <v>Single Family Weatherization - Insulate Floor - R0 to R25 - Heating Zone 1 (Zonal or DHP)FLOOR R0 - R25</v>
      </c>
      <c r="B58" s="305" t="s">
        <v>1267</v>
      </c>
      <c r="C58" s="53" t="s">
        <v>89</v>
      </c>
      <c r="D58">
        <f>VLOOKUP($A58,'Raw RTF'!$A$8:$Q$1000,'Raw RTF'!D$5,FALSE)</f>
        <v>0.9552326522228336</v>
      </c>
      <c r="E58">
        <f>VLOOKUP($A58,'Raw RTF'!$A$8:$Q$1000,'Raw RTF'!E$5,FALSE)</f>
        <v>45</v>
      </c>
      <c r="F58">
        <f>VLOOKUP($A58,'Raw RTF'!$A$8:$Q$1000,'Raw RTF'!F$5,FALSE)</f>
        <v>1.2761252113477823</v>
      </c>
      <c r="G58">
        <f>VLOOKUP($A58,'Raw RTF'!$A$8:$Q$1000,'Raw RTF'!G$5,FALSE)</f>
        <v>0</v>
      </c>
      <c r="H58" t="str">
        <f>VLOOKUP($A58,'Raw RTF'!$A$8:$Q$1000,'Raw RTF'!H$5,FALSE)</f>
        <v>ResSpHtBBZ1</v>
      </c>
      <c r="I58">
        <f>VLOOKUP($A58,'Raw RTF'!$A$8:$Q$1000,'Raw RTF'!I$5,FALSE)</f>
        <v>5.0384864868279582E-3</v>
      </c>
      <c r="J58">
        <f>VLOOKUP($A58,'Raw RTF'!$A$8:$Q$1000,'Raw RTF'!J$5,FALSE)</f>
        <v>0</v>
      </c>
      <c r="K58">
        <f>VLOOKUP($A58,'Raw RTF'!$A$8:$Q$1000,'Raw RTF'!K$5,FALSE)</f>
        <v>0</v>
      </c>
      <c r="L58">
        <f>VLOOKUP($A58,'Raw RTF'!$A$8:$Q$1000,'Raw RTF'!L$5,FALSE)</f>
        <v>0</v>
      </c>
      <c r="M58">
        <f>VLOOKUP($A58,'Raw RTF'!$A$8:$Q$1000,'Raw RTF'!M$5,FALSE)</f>
        <v>0</v>
      </c>
      <c r="N58">
        <f>VLOOKUP($A58,'Raw RTF'!$A$8:$Q$1000,'Raw RTF'!N$5,FALSE)</f>
        <v>0</v>
      </c>
      <c r="O58">
        <f>VLOOKUP($A58,'Raw RTF'!$A$8:$Q$1000,'Raw RTF'!O$5,FALSE)</f>
        <v>0</v>
      </c>
      <c r="P58">
        <f>VLOOKUP($A58,'Raw RTF'!$A$8:$Q$1000,'Raw RTF'!P$5,FALSE)</f>
        <v>0</v>
      </c>
      <c r="Q58">
        <f>VLOOKUP($A58,'Raw RTF'!$A$8:$Q$1000,'Raw RTF'!Q$5,FALSE)</f>
        <v>0</v>
      </c>
    </row>
    <row r="59" spans="1:19">
      <c r="A59" t="str">
        <f t="shared" si="0"/>
        <v>Single Family Weatherization - Insulate Floor - R0 to R30 - Heating Zone 1 (Zonal or DHP)FLOOR R0 - R30</v>
      </c>
      <c r="B59" s="305" t="s">
        <v>1268</v>
      </c>
      <c r="C59" s="53" t="s">
        <v>91</v>
      </c>
      <c r="D59">
        <f>VLOOKUP($A59,'Raw RTF'!$A$8:$Q$1000,'Raw RTF'!D$5,FALSE)</f>
        <v>0.9945608660136096</v>
      </c>
      <c r="E59">
        <f>VLOOKUP($A59,'Raw RTF'!$A$8:$Q$1000,'Raw RTF'!E$5,FALSE)</f>
        <v>45</v>
      </c>
      <c r="F59">
        <f>VLOOKUP($A59,'Raw RTF'!$A$8:$Q$1000,'Raw RTF'!F$5,FALSE)</f>
        <v>1.3153468433463626</v>
      </c>
      <c r="G59">
        <f>VLOOKUP($A59,'Raw RTF'!$A$8:$Q$1000,'Raw RTF'!G$5,FALSE)</f>
        <v>0</v>
      </c>
      <c r="H59" t="str">
        <f>VLOOKUP($A59,'Raw RTF'!$A$8:$Q$1000,'Raw RTF'!H$5,FALSE)</f>
        <v>ResSpHtBBZ1</v>
      </c>
      <c r="I59">
        <f>VLOOKUP($A59,'Raw RTF'!$A$8:$Q$1000,'Raw RTF'!I$5,FALSE)</f>
        <v>5.4543204108596227E-3</v>
      </c>
      <c r="J59">
        <f>VLOOKUP($A59,'Raw RTF'!$A$8:$Q$1000,'Raw RTF'!J$5,FALSE)</f>
        <v>0</v>
      </c>
      <c r="K59">
        <f>VLOOKUP($A59,'Raw RTF'!$A$8:$Q$1000,'Raw RTF'!K$5,FALSE)</f>
        <v>0</v>
      </c>
      <c r="L59">
        <f>VLOOKUP($A59,'Raw RTF'!$A$8:$Q$1000,'Raw RTF'!L$5,FALSE)</f>
        <v>0</v>
      </c>
      <c r="M59">
        <f>VLOOKUP($A59,'Raw RTF'!$A$8:$Q$1000,'Raw RTF'!M$5,FALSE)</f>
        <v>0</v>
      </c>
      <c r="N59">
        <f>VLOOKUP($A59,'Raw RTF'!$A$8:$Q$1000,'Raw RTF'!N$5,FALSE)</f>
        <v>0</v>
      </c>
      <c r="O59">
        <f>VLOOKUP($A59,'Raw RTF'!$A$8:$Q$1000,'Raw RTF'!O$5,FALSE)</f>
        <v>0</v>
      </c>
      <c r="P59">
        <f>VLOOKUP($A59,'Raw RTF'!$A$8:$Q$1000,'Raw RTF'!P$5,FALSE)</f>
        <v>0</v>
      </c>
      <c r="Q59">
        <f>VLOOKUP($A59,'Raw RTF'!$A$8:$Q$1000,'Raw RTF'!Q$5,FALSE)</f>
        <v>0</v>
      </c>
    </row>
    <row r="60" spans="1:19" ht="25.5">
      <c r="A60" t="str">
        <f t="shared" si="0"/>
        <v>Windows - Single Pane to Class 30 - Heating Zone 1 (Zonal or DHP)WINDOW CL30 Prime Window Replacement of Single Pane Base</v>
      </c>
      <c r="B60" s="305" t="s">
        <v>1270</v>
      </c>
      <c r="C60" s="53" t="s">
        <v>93</v>
      </c>
      <c r="D60">
        <f>VLOOKUP($A60,'Raw RTF'!$A$8:$Q$1000,'Raw RTF'!D$5,FALSE)</f>
        <v>8.3041304134028255</v>
      </c>
      <c r="E60">
        <f>VLOOKUP($A60,'Raw RTF'!$A$8:$Q$1000,'Raw RTF'!E$5,FALSE)</f>
        <v>45</v>
      </c>
      <c r="F60">
        <f>VLOOKUP($A60,'Raw RTF'!$A$8:$Q$1000,'Raw RTF'!F$5,FALSE)</f>
        <v>18.513985646792214</v>
      </c>
      <c r="G60">
        <f>VLOOKUP($A60,'Raw RTF'!$A$8:$Q$1000,'Raw RTF'!G$5,FALSE)</f>
        <v>0</v>
      </c>
      <c r="H60" t="str">
        <f>VLOOKUP($A60,'Raw RTF'!$A$8:$Q$1000,'Raw RTF'!H$5,FALSE)</f>
        <v>ResSpHtBBZ1</v>
      </c>
      <c r="I60">
        <f>VLOOKUP($A60,'Raw RTF'!$A$8:$Q$1000,'Raw RTF'!I$5,FALSE)</f>
        <v>7.2842646659705773E-2</v>
      </c>
      <c r="J60">
        <f>VLOOKUP($A60,'Raw RTF'!$A$8:$Q$1000,'Raw RTF'!J$5,FALSE)</f>
        <v>0</v>
      </c>
      <c r="K60">
        <f>VLOOKUP($A60,'Raw RTF'!$A$8:$Q$1000,'Raw RTF'!K$5,FALSE)</f>
        <v>0</v>
      </c>
      <c r="L60">
        <f>VLOOKUP($A60,'Raw RTF'!$A$8:$Q$1000,'Raw RTF'!L$5,FALSE)</f>
        <v>0</v>
      </c>
      <c r="M60">
        <f>VLOOKUP($A60,'Raw RTF'!$A$8:$Q$1000,'Raw RTF'!M$5,FALSE)</f>
        <v>0</v>
      </c>
      <c r="N60">
        <f>VLOOKUP($A60,'Raw RTF'!$A$8:$Q$1000,'Raw RTF'!N$5,FALSE)</f>
        <v>0</v>
      </c>
      <c r="O60">
        <f>VLOOKUP($A60,'Raw RTF'!$A$8:$Q$1000,'Raw RTF'!O$5,FALSE)</f>
        <v>0</v>
      </c>
      <c r="P60">
        <f>VLOOKUP($A60,'Raw RTF'!$A$8:$Q$1000,'Raw RTF'!P$5,FALSE)</f>
        <v>0</v>
      </c>
      <c r="Q60">
        <f>VLOOKUP($A60,'Raw RTF'!$A$8:$Q$1000,'Raw RTF'!Q$5,FALSE)</f>
        <v>0</v>
      </c>
    </row>
    <row r="61" spans="1:19" ht="25.5">
      <c r="A61" t="str">
        <f t="shared" si="0"/>
        <v>Windows - Double Pane to Class 30 - Heating Zone 1 (Zonal or DHP)WINDOW CL30 Prime Window Replacement of Double Pane Base</v>
      </c>
      <c r="B61" s="305" t="s">
        <v>1271</v>
      </c>
      <c r="C61" s="53" t="s">
        <v>95</v>
      </c>
      <c r="D61">
        <f>VLOOKUP($A61,'Raw RTF'!$A$8:$Q$1000,'Raw RTF'!D$5,FALSE)</f>
        <v>4.589311806843817</v>
      </c>
      <c r="E61">
        <f>VLOOKUP($A61,'Raw RTF'!$A$8:$Q$1000,'Raw RTF'!E$5,FALSE)</f>
        <v>45</v>
      </c>
      <c r="F61">
        <f>VLOOKUP($A61,'Raw RTF'!$A$8:$Q$1000,'Raw RTF'!F$5,FALSE)</f>
        <v>18.513985646792214</v>
      </c>
      <c r="G61">
        <f>VLOOKUP($A61,'Raw RTF'!$A$8:$Q$1000,'Raw RTF'!G$5,FALSE)</f>
        <v>0</v>
      </c>
      <c r="H61" t="str">
        <f>VLOOKUP($A61,'Raw RTF'!$A$8:$Q$1000,'Raw RTF'!H$5,FALSE)</f>
        <v>ResSpHtBBZ1</v>
      </c>
      <c r="I61">
        <f>VLOOKUP($A61,'Raw RTF'!$A$8:$Q$1000,'Raw RTF'!I$5,FALSE)</f>
        <v>4.0111251188899959E-2</v>
      </c>
      <c r="J61">
        <f>VLOOKUP($A61,'Raw RTF'!$A$8:$Q$1000,'Raw RTF'!J$5,FALSE)</f>
        <v>0</v>
      </c>
      <c r="K61">
        <f>VLOOKUP($A61,'Raw RTF'!$A$8:$Q$1000,'Raw RTF'!K$5,FALSE)</f>
        <v>0</v>
      </c>
      <c r="L61">
        <f>VLOOKUP($A61,'Raw RTF'!$A$8:$Q$1000,'Raw RTF'!L$5,FALSE)</f>
        <v>0</v>
      </c>
      <c r="M61">
        <f>VLOOKUP($A61,'Raw RTF'!$A$8:$Q$1000,'Raw RTF'!M$5,FALSE)</f>
        <v>0</v>
      </c>
      <c r="N61">
        <f>VLOOKUP($A61,'Raw RTF'!$A$8:$Q$1000,'Raw RTF'!N$5,FALSE)</f>
        <v>0</v>
      </c>
      <c r="O61">
        <f>VLOOKUP($A61,'Raw RTF'!$A$8:$Q$1000,'Raw RTF'!O$5,FALSE)</f>
        <v>0</v>
      </c>
      <c r="P61">
        <f>VLOOKUP($A61,'Raw RTF'!$A$8:$Q$1000,'Raw RTF'!P$5,FALSE)</f>
        <v>0</v>
      </c>
      <c r="Q61">
        <f>VLOOKUP($A61,'Raw RTF'!$A$8:$Q$1000,'Raw RTF'!Q$5,FALSE)</f>
        <v>0</v>
      </c>
    </row>
    <row r="62" spans="1:19" ht="25.5">
      <c r="A62" t="str">
        <f t="shared" si="0"/>
        <v>Windows - Single Pane to Class 22 - Heating Zone 1 (Zonal or DHP)WINDOW CL22 Prime Window Replacement of Single Pane Base</v>
      </c>
      <c r="B62" s="305" t="s">
        <v>1273</v>
      </c>
      <c r="C62" s="53" t="s">
        <v>99</v>
      </c>
      <c r="D62">
        <f>VLOOKUP($A62,'Raw RTF'!$A$8:$Q$1000,'Raw RTF'!D$5,FALSE)</f>
        <v>9.0596076451727594</v>
      </c>
      <c r="E62">
        <f>VLOOKUP($A62,'Raw RTF'!$A$8:$Q$1000,'Raw RTF'!E$5,FALSE)</f>
        <v>45</v>
      </c>
      <c r="F62">
        <f>VLOOKUP($A62,'Raw RTF'!$A$8:$Q$1000,'Raw RTF'!F$5,FALSE)</f>
        <v>21.803985646792214</v>
      </c>
      <c r="G62">
        <f>VLOOKUP($A62,'Raw RTF'!$A$8:$Q$1000,'Raw RTF'!G$5,FALSE)</f>
        <v>0</v>
      </c>
      <c r="H62" t="str">
        <f>VLOOKUP($A62,'Raw RTF'!$A$8:$Q$1000,'Raw RTF'!H$5,FALSE)</f>
        <v>ResSpHtBBZ1</v>
      </c>
      <c r="I62">
        <f>VLOOKUP($A62,'Raw RTF'!$A$8:$Q$1000,'Raw RTF'!I$5,FALSE)</f>
        <v>8.1285339704297632E-2</v>
      </c>
      <c r="J62">
        <f>VLOOKUP($A62,'Raw RTF'!$A$8:$Q$1000,'Raw RTF'!J$5,FALSE)</f>
        <v>0</v>
      </c>
      <c r="K62">
        <f>VLOOKUP($A62,'Raw RTF'!$A$8:$Q$1000,'Raw RTF'!K$5,FALSE)</f>
        <v>0</v>
      </c>
      <c r="L62">
        <f>VLOOKUP($A62,'Raw RTF'!$A$8:$Q$1000,'Raw RTF'!L$5,FALSE)</f>
        <v>0</v>
      </c>
      <c r="M62">
        <f>VLOOKUP($A62,'Raw RTF'!$A$8:$Q$1000,'Raw RTF'!M$5,FALSE)</f>
        <v>0</v>
      </c>
      <c r="N62">
        <f>VLOOKUP($A62,'Raw RTF'!$A$8:$Q$1000,'Raw RTF'!N$5,FALSE)</f>
        <v>0</v>
      </c>
      <c r="O62">
        <f>VLOOKUP($A62,'Raw RTF'!$A$8:$Q$1000,'Raw RTF'!O$5,FALSE)</f>
        <v>0</v>
      </c>
      <c r="P62">
        <f>VLOOKUP($A62,'Raw RTF'!$A$8:$Q$1000,'Raw RTF'!P$5,FALSE)</f>
        <v>0</v>
      </c>
      <c r="Q62">
        <f>VLOOKUP($A62,'Raw RTF'!$A$8:$Q$1000,'Raw RTF'!Q$5,FALSE)</f>
        <v>0</v>
      </c>
    </row>
    <row r="63" spans="1:19" ht="25.5">
      <c r="A63" t="str">
        <f t="shared" ref="A63:A119" si="1">CONCATENATE(B63,C63)</f>
        <v>Windows - Double Pane to Class 22 - Heating Zone 1 (Zonal or DHP)WINDOW CL22 Prime Window Replacement of Double Pane Base</v>
      </c>
      <c r="B63" s="305" t="s">
        <v>1274</v>
      </c>
      <c r="C63" s="53" t="s">
        <v>101</v>
      </c>
      <c r="D63">
        <f>VLOOKUP($A63,'Raw RTF'!$A$8:$Q$1000,'Raw RTF'!D$5,FALSE)</f>
        <v>5.3764034911147363</v>
      </c>
      <c r="E63">
        <f>VLOOKUP($A63,'Raw RTF'!$A$8:$Q$1000,'Raw RTF'!E$5,FALSE)</f>
        <v>45</v>
      </c>
      <c r="F63">
        <f>VLOOKUP($A63,'Raw RTF'!$A$8:$Q$1000,'Raw RTF'!F$5,FALSE)</f>
        <v>21.803985646792214</v>
      </c>
      <c r="G63">
        <f>VLOOKUP($A63,'Raw RTF'!$A$8:$Q$1000,'Raw RTF'!G$5,FALSE)</f>
        <v>0</v>
      </c>
      <c r="H63" t="str">
        <f>VLOOKUP($A63,'Raw RTF'!$A$8:$Q$1000,'Raw RTF'!H$5,FALSE)</f>
        <v>ResSpHtBBZ1</v>
      </c>
      <c r="I63">
        <f>VLOOKUP($A63,'Raw RTF'!$A$8:$Q$1000,'Raw RTF'!I$5,FALSE)</f>
        <v>4.8954548107008569E-2</v>
      </c>
      <c r="J63">
        <f>VLOOKUP($A63,'Raw RTF'!$A$8:$Q$1000,'Raw RTF'!J$5,FALSE)</f>
        <v>0</v>
      </c>
      <c r="K63">
        <f>VLOOKUP($A63,'Raw RTF'!$A$8:$Q$1000,'Raw RTF'!K$5,FALSE)</f>
        <v>0</v>
      </c>
      <c r="L63">
        <f>VLOOKUP($A63,'Raw RTF'!$A$8:$Q$1000,'Raw RTF'!L$5,FALSE)</f>
        <v>0</v>
      </c>
      <c r="M63">
        <f>VLOOKUP($A63,'Raw RTF'!$A$8:$Q$1000,'Raw RTF'!M$5,FALSE)</f>
        <v>0</v>
      </c>
      <c r="N63">
        <f>VLOOKUP($A63,'Raw RTF'!$A$8:$Q$1000,'Raw RTF'!N$5,FALSE)</f>
        <v>0</v>
      </c>
      <c r="O63">
        <f>VLOOKUP($A63,'Raw RTF'!$A$8:$Q$1000,'Raw RTF'!O$5,FALSE)</f>
        <v>0</v>
      </c>
      <c r="P63">
        <f>VLOOKUP($A63,'Raw RTF'!$A$8:$Q$1000,'Raw RTF'!P$5,FALSE)</f>
        <v>0</v>
      </c>
      <c r="Q63">
        <f>VLOOKUP($A63,'Raw RTF'!$A$8:$Q$1000,'Raw RTF'!Q$5,FALSE)</f>
        <v>0</v>
      </c>
    </row>
    <row r="64" spans="1:19">
      <c r="A64" t="str">
        <f t="shared" si="1"/>
        <v>Infiltration Reduction - CFM50 reduction - Heating Zone 1 (Zonal or DHP)CFM50 Infiltration Reduction</v>
      </c>
      <c r="B64" s="305" t="s">
        <v>1276</v>
      </c>
      <c r="C64" s="305" t="s">
        <v>1362</v>
      </c>
      <c r="D64">
        <f>VLOOKUP($A64,'Raw RTF'!$A$8:$Q$1000,'Raw RTF'!D$5,FALSE)</f>
        <v>0.46592485048241433</v>
      </c>
      <c r="E64">
        <f>VLOOKUP($A64,'Raw RTF'!$A$8:$Q$1000,'Raw RTF'!E$5,FALSE)</f>
        <v>15</v>
      </c>
      <c r="F64">
        <f>VLOOKUP($A64,'Raw RTF'!$A$8:$Q$1000,'Raw RTF'!F$5,FALSE)</f>
        <v>0.6607178075171779</v>
      </c>
      <c r="G64">
        <f>VLOOKUP($A64,'Raw RTF'!$A$8:$Q$1000,'Raw RTF'!G$5,FALSE)</f>
        <v>0</v>
      </c>
      <c r="H64" t="str">
        <f>VLOOKUP($A64,'Raw RTF'!$A$8:$Q$1000,'Raw RTF'!H$5,FALSE)</f>
        <v>ResSpHtBBZ1</v>
      </c>
      <c r="I64">
        <f>VLOOKUP($A64,'Raw RTF'!$A$8:$Q$1000,'Raw RTF'!I$5,FALSE)</f>
        <v>4.5339444656529058E-3</v>
      </c>
      <c r="J64">
        <f>VLOOKUP($A64,'Raw RTF'!$A$8:$Q$1000,'Raw RTF'!J$5,FALSE)</f>
        <v>0</v>
      </c>
      <c r="K64">
        <f>VLOOKUP($A64,'Raw RTF'!$A$8:$Q$1000,'Raw RTF'!K$5,FALSE)</f>
        <v>0</v>
      </c>
      <c r="L64">
        <f>VLOOKUP($A64,'Raw RTF'!$A$8:$Q$1000,'Raw RTF'!L$5,FALSE)</f>
        <v>0</v>
      </c>
      <c r="M64">
        <f>VLOOKUP($A64,'Raw RTF'!$A$8:$Q$1000,'Raw RTF'!M$5,FALSE)</f>
        <v>0</v>
      </c>
      <c r="N64">
        <f>VLOOKUP($A64,'Raw RTF'!$A$8:$Q$1000,'Raw RTF'!N$5,FALSE)</f>
        <v>0</v>
      </c>
      <c r="O64">
        <f>VLOOKUP($A64,'Raw RTF'!$A$8:$Q$1000,'Raw RTF'!O$5,FALSE)</f>
        <v>0</v>
      </c>
      <c r="P64">
        <f>VLOOKUP($A64,'Raw RTF'!$A$8:$Q$1000,'Raw RTF'!P$5,FALSE)</f>
        <v>0</v>
      </c>
      <c r="Q64">
        <f>VLOOKUP($A64,'Raw RTF'!$A$8:$Q$1000,'Raw RTF'!Q$5,FALSE)</f>
        <v>0</v>
      </c>
    </row>
    <row r="65" spans="1:17">
      <c r="A65" t="str">
        <f t="shared" si="1"/>
        <v>Single Family Weatherization - Insulate Attic - R0 to R38 - Heating Zone 2 (Zonal or DHP)ATTIC R0 - R38</v>
      </c>
      <c r="B65" s="305" t="s">
        <v>1277</v>
      </c>
      <c r="C65" s="53" t="s">
        <v>68</v>
      </c>
      <c r="D65">
        <f>VLOOKUP($A65,'Raw RTF'!$A$8:$Q$1000,'Raw RTF'!D$5,FALSE)</f>
        <v>2.6541602051687212</v>
      </c>
      <c r="E65">
        <f>VLOOKUP($A65,'Raw RTF'!$A$8:$Q$1000,'Raw RTF'!E$5,FALSE)</f>
        <v>45</v>
      </c>
      <c r="F65">
        <f>VLOOKUP($A65,'Raw RTF'!$A$8:$Q$1000,'Raw RTF'!F$5,FALSE)</f>
        <v>0.98066043810604342</v>
      </c>
      <c r="G65">
        <f>VLOOKUP($A65,'Raw RTF'!$A$8:$Q$1000,'Raw RTF'!G$5,FALSE)</f>
        <v>0</v>
      </c>
      <c r="H65" t="str">
        <f>VLOOKUP($A65,'Raw RTF'!$A$8:$Q$1000,'Raw RTF'!H$5,FALSE)</f>
        <v>ResSpHtBBZ2</v>
      </c>
      <c r="I65">
        <f>VLOOKUP($A65,'Raw RTF'!$A$8:$Q$1000,'Raw RTF'!I$5,FALSE)</f>
        <v>8.4688092147161779E-3</v>
      </c>
      <c r="J65">
        <f>VLOOKUP($A65,'Raw RTF'!$A$8:$Q$1000,'Raw RTF'!J$5,FALSE)</f>
        <v>0</v>
      </c>
      <c r="K65">
        <f>VLOOKUP($A65,'Raw RTF'!$A$8:$Q$1000,'Raw RTF'!K$5,FALSE)</f>
        <v>0</v>
      </c>
      <c r="L65">
        <f>VLOOKUP($A65,'Raw RTF'!$A$8:$Q$1000,'Raw RTF'!L$5,FALSE)</f>
        <v>0</v>
      </c>
      <c r="M65">
        <f>VLOOKUP($A65,'Raw RTF'!$A$8:$Q$1000,'Raw RTF'!M$5,FALSE)</f>
        <v>0</v>
      </c>
      <c r="N65">
        <f>VLOOKUP($A65,'Raw RTF'!$A$8:$Q$1000,'Raw RTF'!N$5,FALSE)</f>
        <v>0</v>
      </c>
      <c r="O65">
        <f>VLOOKUP($A65,'Raw RTF'!$A$8:$Q$1000,'Raw RTF'!O$5,FALSE)</f>
        <v>0</v>
      </c>
      <c r="P65">
        <f>VLOOKUP($A65,'Raw RTF'!$A$8:$Q$1000,'Raw RTF'!P$5,FALSE)</f>
        <v>0</v>
      </c>
      <c r="Q65">
        <f>VLOOKUP($A65,'Raw RTF'!$A$8:$Q$1000,'Raw RTF'!Q$5,FALSE)</f>
        <v>0</v>
      </c>
    </row>
    <row r="66" spans="1:17">
      <c r="A66" t="str">
        <f t="shared" si="1"/>
        <v>Single Family Weatherization - Insulate Attic - R0 to R49 - Heating Zone 2 (Zonal or DHP)ATTIC R0 - R49</v>
      </c>
      <c r="B66" s="305" t="s">
        <v>1278</v>
      </c>
      <c r="C66" s="53" t="s">
        <v>71</v>
      </c>
      <c r="D66">
        <f>VLOOKUP($A66,'Raw RTF'!$A$8:$Q$1000,'Raw RTF'!D$5,FALSE)</f>
        <v>2.6929742089662847</v>
      </c>
      <c r="E66">
        <f>VLOOKUP($A66,'Raw RTF'!$A$8:$Q$1000,'Raw RTF'!E$5,FALSE)</f>
        <v>45</v>
      </c>
      <c r="F66">
        <f>VLOOKUP($A66,'Raw RTF'!$A$8:$Q$1000,'Raw RTF'!F$5,FALSE)</f>
        <v>1.1198946019755947</v>
      </c>
      <c r="G66">
        <f>VLOOKUP($A66,'Raw RTF'!$A$8:$Q$1000,'Raw RTF'!G$5,FALSE)</f>
        <v>0</v>
      </c>
      <c r="H66" t="str">
        <f>VLOOKUP($A66,'Raw RTF'!$A$8:$Q$1000,'Raw RTF'!H$5,FALSE)</f>
        <v>ResSpHtBBZ2</v>
      </c>
      <c r="I66">
        <f>VLOOKUP($A66,'Raw RTF'!$A$8:$Q$1000,'Raw RTF'!I$5,FALSE)</f>
        <v>8.6773620996890705E-3</v>
      </c>
      <c r="J66">
        <f>VLOOKUP($A66,'Raw RTF'!$A$8:$Q$1000,'Raw RTF'!J$5,FALSE)</f>
        <v>0</v>
      </c>
      <c r="K66">
        <f>VLOOKUP($A66,'Raw RTF'!$A$8:$Q$1000,'Raw RTF'!K$5,FALSE)</f>
        <v>0</v>
      </c>
      <c r="L66">
        <f>VLOOKUP($A66,'Raw RTF'!$A$8:$Q$1000,'Raw RTF'!L$5,FALSE)</f>
        <v>0</v>
      </c>
      <c r="M66">
        <f>VLOOKUP($A66,'Raw RTF'!$A$8:$Q$1000,'Raw RTF'!M$5,FALSE)</f>
        <v>0</v>
      </c>
      <c r="N66">
        <f>VLOOKUP($A66,'Raw RTF'!$A$8:$Q$1000,'Raw RTF'!N$5,FALSE)</f>
        <v>0</v>
      </c>
      <c r="O66">
        <f>VLOOKUP($A66,'Raw RTF'!$A$8:$Q$1000,'Raw RTF'!O$5,FALSE)</f>
        <v>0</v>
      </c>
      <c r="P66">
        <f>VLOOKUP($A66,'Raw RTF'!$A$8:$Q$1000,'Raw RTF'!P$5,FALSE)</f>
        <v>0</v>
      </c>
      <c r="Q66">
        <f>VLOOKUP($A66,'Raw RTF'!$A$8:$Q$1000,'Raw RTF'!Q$5,FALSE)</f>
        <v>0</v>
      </c>
    </row>
    <row r="67" spans="1:17">
      <c r="A67" t="str">
        <f t="shared" si="1"/>
        <v>Single Family Weatherization - Insulate Attic - R11 to R38 - Heating Zone 2 (Zonal or DHP)ATTIC R11 - R38</v>
      </c>
      <c r="B67" s="305" t="s">
        <v>1279</v>
      </c>
      <c r="C67" s="53" t="s">
        <v>73</v>
      </c>
      <c r="D67">
        <f>VLOOKUP($A67,'Raw RTF'!$A$8:$Q$1000,'Raw RTF'!D$5,FALSE)</f>
        <v>0.3763093564784582</v>
      </c>
      <c r="E67">
        <f>VLOOKUP($A67,'Raw RTF'!$A$8:$Q$1000,'Raw RTF'!E$5,FALSE)</f>
        <v>45</v>
      </c>
      <c r="F67">
        <f>VLOOKUP($A67,'Raw RTF'!$A$8:$Q$1000,'Raw RTF'!F$5,FALSE)</f>
        <v>0.84142627423649186</v>
      </c>
      <c r="G67">
        <f>VLOOKUP($A67,'Raw RTF'!$A$8:$Q$1000,'Raw RTF'!G$5,FALSE)</f>
        <v>0</v>
      </c>
      <c r="H67" t="str">
        <f>VLOOKUP($A67,'Raw RTF'!$A$8:$Q$1000,'Raw RTF'!H$5,FALSE)</f>
        <v>ResSpHtBBZ2</v>
      </c>
      <c r="I67">
        <f>VLOOKUP($A67,'Raw RTF'!$A$8:$Q$1000,'Raw RTF'!I$5,FALSE)</f>
        <v>1.947475908771994E-3</v>
      </c>
      <c r="J67">
        <f>VLOOKUP($A67,'Raw RTF'!$A$8:$Q$1000,'Raw RTF'!J$5,FALSE)</f>
        <v>0</v>
      </c>
      <c r="K67">
        <f>VLOOKUP($A67,'Raw RTF'!$A$8:$Q$1000,'Raw RTF'!K$5,FALSE)</f>
        <v>0</v>
      </c>
      <c r="L67">
        <f>VLOOKUP($A67,'Raw RTF'!$A$8:$Q$1000,'Raw RTF'!L$5,FALSE)</f>
        <v>0</v>
      </c>
      <c r="M67">
        <f>VLOOKUP($A67,'Raw RTF'!$A$8:$Q$1000,'Raw RTF'!M$5,FALSE)</f>
        <v>0</v>
      </c>
      <c r="N67">
        <f>VLOOKUP($A67,'Raw RTF'!$A$8:$Q$1000,'Raw RTF'!N$5,FALSE)</f>
        <v>0</v>
      </c>
      <c r="O67">
        <f>VLOOKUP($A67,'Raw RTF'!$A$8:$Q$1000,'Raw RTF'!O$5,FALSE)</f>
        <v>0</v>
      </c>
      <c r="P67">
        <f>VLOOKUP($A67,'Raw RTF'!$A$8:$Q$1000,'Raw RTF'!P$5,FALSE)</f>
        <v>0</v>
      </c>
      <c r="Q67">
        <f>VLOOKUP($A67,'Raw RTF'!$A$8:$Q$1000,'Raw RTF'!Q$5,FALSE)</f>
        <v>0</v>
      </c>
    </row>
    <row r="68" spans="1:17">
      <c r="A68" t="str">
        <f t="shared" si="1"/>
        <v>Single Family Weatherization - Insulate Attic - R11 to R49 - Heating Zone 2 (Zonal or DHP)ATTIC R11 - R49</v>
      </c>
      <c r="B68" s="305" t="s">
        <v>1280</v>
      </c>
      <c r="C68" s="53" t="s">
        <v>75</v>
      </c>
      <c r="D68">
        <f>VLOOKUP($A68,'Raw RTF'!$A$8:$Q$1000,'Raw RTF'!D$5,FALSE)</f>
        <v>0.40844407457204934</v>
      </c>
      <c r="E68">
        <f>VLOOKUP($A68,'Raw RTF'!$A$8:$Q$1000,'Raw RTF'!E$5,FALSE)</f>
        <v>45</v>
      </c>
      <c r="F68">
        <f>VLOOKUP($A68,'Raw RTF'!$A$8:$Q$1000,'Raw RTF'!F$5,FALSE)</f>
        <v>0.98066043810604342</v>
      </c>
      <c r="G68">
        <f>VLOOKUP($A68,'Raw RTF'!$A$8:$Q$1000,'Raw RTF'!G$5,FALSE)</f>
        <v>0</v>
      </c>
      <c r="H68" t="str">
        <f>VLOOKUP($A68,'Raw RTF'!$A$8:$Q$1000,'Raw RTF'!H$5,FALSE)</f>
        <v>ResSpHtBBZ2</v>
      </c>
      <c r="I68">
        <f>VLOOKUP($A68,'Raw RTF'!$A$8:$Q$1000,'Raw RTF'!I$5,FALSE)</f>
        <v>2.1398370944166016E-3</v>
      </c>
      <c r="J68">
        <f>VLOOKUP($A68,'Raw RTF'!$A$8:$Q$1000,'Raw RTF'!J$5,FALSE)</f>
        <v>0</v>
      </c>
      <c r="K68">
        <f>VLOOKUP($A68,'Raw RTF'!$A$8:$Q$1000,'Raw RTF'!K$5,FALSE)</f>
        <v>0</v>
      </c>
      <c r="L68">
        <f>VLOOKUP($A68,'Raw RTF'!$A$8:$Q$1000,'Raw RTF'!L$5,FALSE)</f>
        <v>0</v>
      </c>
      <c r="M68">
        <f>VLOOKUP($A68,'Raw RTF'!$A$8:$Q$1000,'Raw RTF'!M$5,FALSE)</f>
        <v>0</v>
      </c>
      <c r="N68">
        <f>VLOOKUP($A68,'Raw RTF'!$A$8:$Q$1000,'Raw RTF'!N$5,FALSE)</f>
        <v>0</v>
      </c>
      <c r="O68">
        <f>VLOOKUP($A68,'Raw RTF'!$A$8:$Q$1000,'Raw RTF'!O$5,FALSE)</f>
        <v>0</v>
      </c>
      <c r="P68">
        <f>VLOOKUP($A68,'Raw RTF'!$A$8:$Q$1000,'Raw RTF'!P$5,FALSE)</f>
        <v>0</v>
      </c>
      <c r="Q68">
        <f>VLOOKUP($A68,'Raw RTF'!$A$8:$Q$1000,'Raw RTF'!Q$5,FALSE)</f>
        <v>0</v>
      </c>
    </row>
    <row r="69" spans="1:17">
      <c r="A69" t="str">
        <f t="shared" si="1"/>
        <v>Single Family Weatherization - Insulate Attic - R19 to R38 - Heating Zone 2 (Zonal or DHP)ATTIC R19 - R38</v>
      </c>
      <c r="B69" s="305" t="s">
        <v>1281</v>
      </c>
      <c r="C69" s="53" t="s">
        <v>77</v>
      </c>
      <c r="D69">
        <f>VLOOKUP($A69,'Raw RTF'!$A$8:$Q$1000,'Raw RTF'!D$5,FALSE)</f>
        <v>0.18584099765805315</v>
      </c>
      <c r="E69">
        <f>VLOOKUP($A69,'Raw RTF'!$A$8:$Q$1000,'Raw RTF'!E$5,FALSE)</f>
        <v>45</v>
      </c>
      <c r="F69">
        <f>VLOOKUP($A69,'Raw RTF'!$A$8:$Q$1000,'Raw RTF'!F$5,FALSE)</f>
        <v>0.7401650641495453</v>
      </c>
      <c r="G69">
        <f>VLOOKUP($A69,'Raw RTF'!$A$8:$Q$1000,'Raw RTF'!G$5,FALSE)</f>
        <v>0</v>
      </c>
      <c r="H69" t="str">
        <f>VLOOKUP($A69,'Raw RTF'!$A$8:$Q$1000,'Raw RTF'!H$5,FALSE)</f>
        <v>ResSpHtBBZ2</v>
      </c>
      <c r="I69">
        <f>VLOOKUP($A69,'Raw RTF'!$A$8:$Q$1000,'Raw RTF'!I$5,FALSE)</f>
        <v>1.0002332313341731E-3</v>
      </c>
      <c r="J69">
        <f>VLOOKUP($A69,'Raw RTF'!$A$8:$Q$1000,'Raw RTF'!J$5,FALSE)</f>
        <v>0</v>
      </c>
      <c r="K69">
        <f>VLOOKUP($A69,'Raw RTF'!$A$8:$Q$1000,'Raw RTF'!K$5,FALSE)</f>
        <v>0</v>
      </c>
      <c r="L69">
        <f>VLOOKUP($A69,'Raw RTF'!$A$8:$Q$1000,'Raw RTF'!L$5,FALSE)</f>
        <v>0</v>
      </c>
      <c r="M69">
        <f>VLOOKUP($A69,'Raw RTF'!$A$8:$Q$1000,'Raw RTF'!M$5,FALSE)</f>
        <v>0</v>
      </c>
      <c r="N69">
        <f>VLOOKUP($A69,'Raw RTF'!$A$8:$Q$1000,'Raw RTF'!N$5,FALSE)</f>
        <v>0</v>
      </c>
      <c r="O69">
        <f>VLOOKUP($A69,'Raw RTF'!$A$8:$Q$1000,'Raw RTF'!O$5,FALSE)</f>
        <v>0</v>
      </c>
      <c r="P69">
        <f>VLOOKUP($A69,'Raw RTF'!$A$8:$Q$1000,'Raw RTF'!P$5,FALSE)</f>
        <v>0</v>
      </c>
      <c r="Q69">
        <f>VLOOKUP($A69,'Raw RTF'!$A$8:$Q$1000,'Raw RTF'!Q$5,FALSE)</f>
        <v>0</v>
      </c>
    </row>
    <row r="70" spans="1:17">
      <c r="A70" t="str">
        <f t="shared" si="1"/>
        <v>Single Family Weatherization - Insulate Attic - R19 to R49 - Heating Zone 2 (Zonal or DHP)ATTIC R19 - R49</v>
      </c>
      <c r="B70" s="305" t="s">
        <v>1282</v>
      </c>
      <c r="C70" s="53" t="s">
        <v>79</v>
      </c>
      <c r="D70">
        <f>VLOOKUP($A70,'Raw RTF'!$A$8:$Q$1000,'Raw RTF'!D$5,FALSE)</f>
        <v>0.22401076882363449</v>
      </c>
      <c r="E70">
        <f>VLOOKUP($A70,'Raw RTF'!$A$8:$Q$1000,'Raw RTF'!E$5,FALSE)</f>
        <v>45</v>
      </c>
      <c r="F70">
        <f>VLOOKUP($A70,'Raw RTF'!$A$8:$Q$1000,'Raw RTF'!F$5,FALSE)</f>
        <v>0.87939922801909687</v>
      </c>
      <c r="G70">
        <f>VLOOKUP($A70,'Raw RTF'!$A$8:$Q$1000,'Raw RTF'!G$5,FALSE)</f>
        <v>0</v>
      </c>
      <c r="H70" t="str">
        <f>VLOOKUP($A70,'Raw RTF'!$A$8:$Q$1000,'Raw RTF'!H$5,FALSE)</f>
        <v>ResSpHtBBZ2</v>
      </c>
      <c r="I70">
        <f>VLOOKUP($A70,'Raw RTF'!$A$8:$Q$1000,'Raw RTF'!I$5,FALSE)</f>
        <v>1.2197077920667238E-3</v>
      </c>
      <c r="J70">
        <f>VLOOKUP($A70,'Raw RTF'!$A$8:$Q$1000,'Raw RTF'!J$5,FALSE)</f>
        <v>0</v>
      </c>
      <c r="K70">
        <f>VLOOKUP($A70,'Raw RTF'!$A$8:$Q$1000,'Raw RTF'!K$5,FALSE)</f>
        <v>0</v>
      </c>
      <c r="L70">
        <f>VLOOKUP($A70,'Raw RTF'!$A$8:$Q$1000,'Raw RTF'!L$5,FALSE)</f>
        <v>0</v>
      </c>
      <c r="M70">
        <f>VLOOKUP($A70,'Raw RTF'!$A$8:$Q$1000,'Raw RTF'!M$5,FALSE)</f>
        <v>0</v>
      </c>
      <c r="N70">
        <f>VLOOKUP($A70,'Raw RTF'!$A$8:$Q$1000,'Raw RTF'!N$5,FALSE)</f>
        <v>0</v>
      </c>
      <c r="O70">
        <f>VLOOKUP($A70,'Raw RTF'!$A$8:$Q$1000,'Raw RTF'!O$5,FALSE)</f>
        <v>0</v>
      </c>
      <c r="P70">
        <f>VLOOKUP($A70,'Raw RTF'!$A$8:$Q$1000,'Raw RTF'!P$5,FALSE)</f>
        <v>0</v>
      </c>
      <c r="Q70">
        <f>VLOOKUP($A70,'Raw RTF'!$A$8:$Q$1000,'Raw RTF'!Q$5,FALSE)</f>
        <v>0</v>
      </c>
    </row>
    <row r="71" spans="1:17">
      <c r="A71" t="str">
        <f t="shared" si="1"/>
        <v>Single Family Weatherization - Insulate Wall - R0 to R11 - Heating Zone 2 (Zonal or DHP)WALL R0 - R11</v>
      </c>
      <c r="B71" s="305" t="s">
        <v>1286</v>
      </c>
      <c r="C71" s="53" t="s">
        <v>85</v>
      </c>
      <c r="D71">
        <f>VLOOKUP($A71,'Raw RTF'!$A$8:$Q$1000,'Raw RTF'!D$5,FALSE)</f>
        <v>1.8936172011932983</v>
      </c>
      <c r="E71">
        <f>VLOOKUP($A71,'Raw RTF'!$A$8:$Q$1000,'Raw RTF'!E$5,FALSE)</f>
        <v>45</v>
      </c>
      <c r="F71">
        <f>VLOOKUP($A71,'Raw RTF'!$A$8:$Q$1000,'Raw RTF'!F$5,FALSE)</f>
        <v>1.3863525086966677</v>
      </c>
      <c r="G71">
        <f>VLOOKUP($A71,'Raw RTF'!$A$8:$Q$1000,'Raw RTF'!G$5,FALSE)</f>
        <v>0</v>
      </c>
      <c r="H71" t="str">
        <f>VLOOKUP($A71,'Raw RTF'!$A$8:$Q$1000,'Raw RTF'!H$5,FALSE)</f>
        <v>ResSpHtBBZ2</v>
      </c>
      <c r="I71">
        <f>VLOOKUP($A71,'Raw RTF'!$A$8:$Q$1000,'Raw RTF'!I$5,FALSE)</f>
        <v>5.9406224006312855E-3</v>
      </c>
      <c r="J71">
        <f>VLOOKUP($A71,'Raw RTF'!$A$8:$Q$1000,'Raw RTF'!J$5,FALSE)</f>
        <v>0</v>
      </c>
      <c r="K71">
        <f>VLOOKUP($A71,'Raw RTF'!$A$8:$Q$1000,'Raw RTF'!K$5,FALSE)</f>
        <v>0</v>
      </c>
      <c r="L71">
        <f>VLOOKUP($A71,'Raw RTF'!$A$8:$Q$1000,'Raw RTF'!L$5,FALSE)</f>
        <v>0</v>
      </c>
      <c r="M71">
        <f>VLOOKUP($A71,'Raw RTF'!$A$8:$Q$1000,'Raw RTF'!M$5,FALSE)</f>
        <v>0</v>
      </c>
      <c r="N71">
        <f>VLOOKUP($A71,'Raw RTF'!$A$8:$Q$1000,'Raw RTF'!N$5,FALSE)</f>
        <v>0</v>
      </c>
      <c r="O71">
        <f>VLOOKUP($A71,'Raw RTF'!$A$8:$Q$1000,'Raw RTF'!O$5,FALSE)</f>
        <v>0</v>
      </c>
      <c r="P71">
        <f>VLOOKUP($A71,'Raw RTF'!$A$8:$Q$1000,'Raw RTF'!P$5,FALSE)</f>
        <v>0</v>
      </c>
      <c r="Q71">
        <f>VLOOKUP($A71,'Raw RTF'!$A$8:$Q$1000,'Raw RTF'!Q$5,FALSE)</f>
        <v>0</v>
      </c>
    </row>
    <row r="72" spans="1:17">
      <c r="A72" t="str">
        <f t="shared" si="1"/>
        <v>Single Family Weatherization - Insulate Floor - R0 to R19 - Heating Zone 2 (Zonal or DHP)FLOOR R0 - R19</v>
      </c>
      <c r="B72" s="305" t="s">
        <v>1287</v>
      </c>
      <c r="C72" s="53" t="s">
        <v>87</v>
      </c>
      <c r="D72">
        <f>VLOOKUP($A72,'Raw RTF'!$A$8:$Q$1000,'Raw RTF'!D$5,FALSE)</f>
        <v>1.045661276893403</v>
      </c>
      <c r="E72">
        <f>VLOOKUP($A72,'Raw RTF'!$A$8:$Q$1000,'Raw RTF'!E$5,FALSE)</f>
        <v>45</v>
      </c>
      <c r="F72">
        <f>VLOOKUP($A72,'Raw RTF'!$A$8:$Q$1000,'Raw RTF'!F$5,FALSE)</f>
        <v>1.2290592529494864</v>
      </c>
      <c r="G72">
        <f>VLOOKUP($A72,'Raw RTF'!$A$8:$Q$1000,'Raw RTF'!G$5,FALSE)</f>
        <v>0</v>
      </c>
      <c r="H72" t="str">
        <f>VLOOKUP($A72,'Raw RTF'!$A$8:$Q$1000,'Raw RTF'!H$5,FALSE)</f>
        <v>ResSpHtBBZ2</v>
      </c>
      <c r="I72">
        <f>VLOOKUP($A72,'Raw RTF'!$A$8:$Q$1000,'Raw RTF'!I$5,FALSE)</f>
        <v>2.4112782924554307E-3</v>
      </c>
      <c r="J72">
        <f>VLOOKUP($A72,'Raw RTF'!$A$8:$Q$1000,'Raw RTF'!J$5,FALSE)</f>
        <v>0</v>
      </c>
      <c r="K72">
        <f>VLOOKUP($A72,'Raw RTF'!$A$8:$Q$1000,'Raw RTF'!K$5,FALSE)</f>
        <v>0</v>
      </c>
      <c r="L72">
        <f>VLOOKUP($A72,'Raw RTF'!$A$8:$Q$1000,'Raw RTF'!L$5,FALSE)</f>
        <v>0</v>
      </c>
      <c r="M72">
        <f>VLOOKUP($A72,'Raw RTF'!$A$8:$Q$1000,'Raw RTF'!M$5,FALSE)</f>
        <v>0</v>
      </c>
      <c r="N72">
        <f>VLOOKUP($A72,'Raw RTF'!$A$8:$Q$1000,'Raw RTF'!N$5,FALSE)</f>
        <v>0</v>
      </c>
      <c r="O72">
        <f>VLOOKUP($A72,'Raw RTF'!$A$8:$Q$1000,'Raw RTF'!O$5,FALSE)</f>
        <v>0</v>
      </c>
      <c r="P72">
        <f>VLOOKUP($A72,'Raw RTF'!$A$8:$Q$1000,'Raw RTF'!P$5,FALSE)</f>
        <v>0</v>
      </c>
      <c r="Q72">
        <f>VLOOKUP($A72,'Raw RTF'!$A$8:$Q$1000,'Raw RTF'!Q$5,FALSE)</f>
        <v>0</v>
      </c>
    </row>
    <row r="73" spans="1:17">
      <c r="A73" t="str">
        <f t="shared" si="1"/>
        <v>Single Family Weatherization - Insulate Floor - R0 to R25 - Heating Zone 2 (Zonal or DHP)FLOOR R0 - R25</v>
      </c>
      <c r="B73" s="305" t="s">
        <v>1288</v>
      </c>
      <c r="C73" s="53" t="s">
        <v>89</v>
      </c>
      <c r="D73">
        <f>VLOOKUP($A73,'Raw RTF'!$A$8:$Q$1000,'Raw RTF'!D$5,FALSE)</f>
        <v>1.1218635121521667</v>
      </c>
      <c r="E73">
        <f>VLOOKUP($A73,'Raw RTF'!$A$8:$Q$1000,'Raw RTF'!E$5,FALSE)</f>
        <v>45</v>
      </c>
      <c r="F73">
        <f>VLOOKUP($A73,'Raw RTF'!$A$8:$Q$1000,'Raw RTF'!F$5,FALSE)</f>
        <v>1.2761252113477823</v>
      </c>
      <c r="G73">
        <f>VLOOKUP($A73,'Raw RTF'!$A$8:$Q$1000,'Raw RTF'!G$5,FALSE)</f>
        <v>0</v>
      </c>
      <c r="H73" t="str">
        <f>VLOOKUP($A73,'Raw RTF'!$A$8:$Q$1000,'Raw RTF'!H$5,FALSE)</f>
        <v>ResSpHtBBZ2</v>
      </c>
      <c r="I73">
        <f>VLOOKUP($A73,'Raw RTF'!$A$8:$Q$1000,'Raw RTF'!I$5,FALSE)</f>
        <v>2.8768968012293245E-3</v>
      </c>
      <c r="J73">
        <f>VLOOKUP($A73,'Raw RTF'!$A$8:$Q$1000,'Raw RTF'!J$5,FALSE)</f>
        <v>0</v>
      </c>
      <c r="K73">
        <f>VLOOKUP($A73,'Raw RTF'!$A$8:$Q$1000,'Raw RTF'!K$5,FALSE)</f>
        <v>0</v>
      </c>
      <c r="L73">
        <f>VLOOKUP($A73,'Raw RTF'!$A$8:$Q$1000,'Raw RTF'!L$5,FALSE)</f>
        <v>0</v>
      </c>
      <c r="M73">
        <f>VLOOKUP($A73,'Raw RTF'!$A$8:$Q$1000,'Raw RTF'!M$5,FALSE)</f>
        <v>0</v>
      </c>
      <c r="N73">
        <f>VLOOKUP($A73,'Raw RTF'!$A$8:$Q$1000,'Raw RTF'!N$5,FALSE)</f>
        <v>0</v>
      </c>
      <c r="O73">
        <f>VLOOKUP($A73,'Raw RTF'!$A$8:$Q$1000,'Raw RTF'!O$5,FALSE)</f>
        <v>0</v>
      </c>
      <c r="P73">
        <f>VLOOKUP($A73,'Raw RTF'!$A$8:$Q$1000,'Raw RTF'!P$5,FALSE)</f>
        <v>0</v>
      </c>
      <c r="Q73">
        <f>VLOOKUP($A73,'Raw RTF'!$A$8:$Q$1000,'Raw RTF'!Q$5,FALSE)</f>
        <v>0</v>
      </c>
    </row>
    <row r="74" spans="1:17">
      <c r="A74" t="str">
        <f t="shared" si="1"/>
        <v>Single Family Weatherization - Insulate Floor - R0 to R30 - Heating Zone 2 (Zonal or DHP)FLOOR R0 - R30</v>
      </c>
      <c r="B74" s="305" t="s">
        <v>1289</v>
      </c>
      <c r="C74" s="53" t="s">
        <v>91</v>
      </c>
      <c r="D74">
        <f>VLOOKUP($A74,'Raw RTF'!$A$8:$Q$1000,'Raw RTF'!D$5,FALSE)</f>
        <v>1.1694145777698457</v>
      </c>
      <c r="E74">
        <f>VLOOKUP($A74,'Raw RTF'!$A$8:$Q$1000,'Raw RTF'!E$5,FALSE)</f>
        <v>45</v>
      </c>
      <c r="F74">
        <f>VLOOKUP($A74,'Raw RTF'!$A$8:$Q$1000,'Raw RTF'!F$5,FALSE)</f>
        <v>1.3153468433463626</v>
      </c>
      <c r="G74">
        <f>VLOOKUP($A74,'Raw RTF'!$A$8:$Q$1000,'Raw RTF'!G$5,FALSE)</f>
        <v>0</v>
      </c>
      <c r="H74" t="str">
        <f>VLOOKUP($A74,'Raw RTF'!$A$8:$Q$1000,'Raw RTF'!H$5,FALSE)</f>
        <v>ResSpHtBBZ2</v>
      </c>
      <c r="I74">
        <f>VLOOKUP($A74,'Raw RTF'!$A$8:$Q$1000,'Raw RTF'!I$5,FALSE)</f>
        <v>3.1833475452963194E-3</v>
      </c>
      <c r="J74">
        <f>VLOOKUP($A74,'Raw RTF'!$A$8:$Q$1000,'Raw RTF'!J$5,FALSE)</f>
        <v>0</v>
      </c>
      <c r="K74">
        <f>VLOOKUP($A74,'Raw RTF'!$A$8:$Q$1000,'Raw RTF'!K$5,FALSE)</f>
        <v>0</v>
      </c>
      <c r="L74">
        <f>VLOOKUP($A74,'Raw RTF'!$A$8:$Q$1000,'Raw RTF'!L$5,FALSE)</f>
        <v>0</v>
      </c>
      <c r="M74">
        <f>VLOOKUP($A74,'Raw RTF'!$A$8:$Q$1000,'Raw RTF'!M$5,FALSE)</f>
        <v>0</v>
      </c>
      <c r="N74">
        <f>VLOOKUP($A74,'Raw RTF'!$A$8:$Q$1000,'Raw RTF'!N$5,FALSE)</f>
        <v>0</v>
      </c>
      <c r="O74">
        <f>VLOOKUP($A74,'Raw RTF'!$A$8:$Q$1000,'Raw RTF'!O$5,FALSE)</f>
        <v>0</v>
      </c>
      <c r="P74">
        <f>VLOOKUP($A74,'Raw RTF'!$A$8:$Q$1000,'Raw RTF'!P$5,FALSE)</f>
        <v>0</v>
      </c>
      <c r="Q74">
        <f>VLOOKUP($A74,'Raw RTF'!$A$8:$Q$1000,'Raw RTF'!Q$5,FALSE)</f>
        <v>0</v>
      </c>
    </row>
    <row r="75" spans="1:17" ht="25.5">
      <c r="A75" t="str">
        <f t="shared" si="1"/>
        <v>Windows - Single Pane to Class 30 - Heating Zone 2 (Zonal or DHP)WINDOW CL30 Prime Window Replacement of Single Pane Base</v>
      </c>
      <c r="B75" s="305" t="s">
        <v>1291</v>
      </c>
      <c r="C75" s="53" t="s">
        <v>93</v>
      </c>
      <c r="D75">
        <f>VLOOKUP($A75,'Raw RTF'!$A$8:$Q$1000,'Raw RTF'!D$5,FALSE)</f>
        <v>10.808109849184039</v>
      </c>
      <c r="E75">
        <f>VLOOKUP($A75,'Raw RTF'!$A$8:$Q$1000,'Raw RTF'!E$5,FALSE)</f>
        <v>45</v>
      </c>
      <c r="F75">
        <f>VLOOKUP($A75,'Raw RTF'!$A$8:$Q$1000,'Raw RTF'!F$5,FALSE)</f>
        <v>18.513985646792214</v>
      </c>
      <c r="G75">
        <f>VLOOKUP($A75,'Raw RTF'!$A$8:$Q$1000,'Raw RTF'!G$5,FALSE)</f>
        <v>0</v>
      </c>
      <c r="H75" t="str">
        <f>VLOOKUP($A75,'Raw RTF'!$A$8:$Q$1000,'Raw RTF'!H$5,FALSE)</f>
        <v>ResSpHtBBZ2</v>
      </c>
      <c r="I75">
        <f>VLOOKUP($A75,'Raw RTF'!$A$8:$Q$1000,'Raw RTF'!I$5,FALSE)</f>
        <v>5.7209163081835768E-2</v>
      </c>
      <c r="J75">
        <f>VLOOKUP($A75,'Raw RTF'!$A$8:$Q$1000,'Raw RTF'!J$5,FALSE)</f>
        <v>0</v>
      </c>
      <c r="K75">
        <f>VLOOKUP($A75,'Raw RTF'!$A$8:$Q$1000,'Raw RTF'!K$5,FALSE)</f>
        <v>0</v>
      </c>
      <c r="L75">
        <f>VLOOKUP($A75,'Raw RTF'!$A$8:$Q$1000,'Raw RTF'!L$5,FALSE)</f>
        <v>0</v>
      </c>
      <c r="M75">
        <f>VLOOKUP($A75,'Raw RTF'!$A$8:$Q$1000,'Raw RTF'!M$5,FALSE)</f>
        <v>0</v>
      </c>
      <c r="N75">
        <f>VLOOKUP($A75,'Raw RTF'!$A$8:$Q$1000,'Raw RTF'!N$5,FALSE)</f>
        <v>0</v>
      </c>
      <c r="O75">
        <f>VLOOKUP($A75,'Raw RTF'!$A$8:$Q$1000,'Raw RTF'!O$5,FALSE)</f>
        <v>0</v>
      </c>
      <c r="P75">
        <f>VLOOKUP($A75,'Raw RTF'!$A$8:$Q$1000,'Raw RTF'!P$5,FALSE)</f>
        <v>0</v>
      </c>
      <c r="Q75">
        <f>VLOOKUP($A75,'Raw RTF'!$A$8:$Q$1000,'Raw RTF'!Q$5,FALSE)</f>
        <v>0</v>
      </c>
    </row>
    <row r="76" spans="1:17" ht="25.5">
      <c r="A76" t="str">
        <f t="shared" si="1"/>
        <v>Windows - Double Pane to Class 30 - Heating Zone 2 (Zonal or DHP)WINDOW CL30 Prime Window Replacement of Double Pane Base</v>
      </c>
      <c r="B76" s="305" t="s">
        <v>1292</v>
      </c>
      <c r="C76" s="53" t="s">
        <v>95</v>
      </c>
      <c r="D76">
        <f>VLOOKUP($A76,'Raw RTF'!$A$8:$Q$1000,'Raw RTF'!D$5,FALSE)</f>
        <v>5.302881807217088</v>
      </c>
      <c r="E76">
        <f>VLOOKUP($A76,'Raw RTF'!$A$8:$Q$1000,'Raw RTF'!E$5,FALSE)</f>
        <v>45</v>
      </c>
      <c r="F76">
        <f>VLOOKUP($A76,'Raw RTF'!$A$8:$Q$1000,'Raw RTF'!F$5,FALSE)</f>
        <v>18.513985646792214</v>
      </c>
      <c r="G76">
        <f>VLOOKUP($A76,'Raw RTF'!$A$8:$Q$1000,'Raw RTF'!G$5,FALSE)</f>
        <v>0</v>
      </c>
      <c r="H76" t="str">
        <f>VLOOKUP($A76,'Raw RTF'!$A$8:$Q$1000,'Raw RTF'!H$5,FALSE)</f>
        <v>ResSpHtBBZ2</v>
      </c>
      <c r="I76">
        <f>VLOOKUP($A76,'Raw RTF'!$A$8:$Q$1000,'Raw RTF'!I$5,FALSE)</f>
        <v>2.9508755942055487E-2</v>
      </c>
      <c r="J76">
        <f>VLOOKUP($A76,'Raw RTF'!$A$8:$Q$1000,'Raw RTF'!J$5,FALSE)</f>
        <v>0</v>
      </c>
      <c r="K76">
        <f>VLOOKUP($A76,'Raw RTF'!$A$8:$Q$1000,'Raw RTF'!K$5,FALSE)</f>
        <v>0</v>
      </c>
      <c r="L76">
        <f>VLOOKUP($A76,'Raw RTF'!$A$8:$Q$1000,'Raw RTF'!L$5,FALSE)</f>
        <v>0</v>
      </c>
      <c r="M76">
        <f>VLOOKUP($A76,'Raw RTF'!$A$8:$Q$1000,'Raw RTF'!M$5,FALSE)</f>
        <v>0</v>
      </c>
      <c r="N76">
        <f>VLOOKUP($A76,'Raw RTF'!$A$8:$Q$1000,'Raw RTF'!N$5,FALSE)</f>
        <v>0</v>
      </c>
      <c r="O76">
        <f>VLOOKUP($A76,'Raw RTF'!$A$8:$Q$1000,'Raw RTF'!O$5,FALSE)</f>
        <v>0</v>
      </c>
      <c r="P76">
        <f>VLOOKUP($A76,'Raw RTF'!$A$8:$Q$1000,'Raw RTF'!P$5,FALSE)</f>
        <v>0</v>
      </c>
      <c r="Q76">
        <f>VLOOKUP($A76,'Raw RTF'!$A$8:$Q$1000,'Raw RTF'!Q$5,FALSE)</f>
        <v>0</v>
      </c>
    </row>
    <row r="77" spans="1:17" ht="25.5">
      <c r="A77" t="str">
        <f t="shared" si="1"/>
        <v>Windows - Single Pane to Class 22 - Heating Zone 2 (Zonal or DHP)WINDOW CL22 Prime Window Replacement of Single Pane Base</v>
      </c>
      <c r="B77" s="305" t="s">
        <v>1294</v>
      </c>
      <c r="C77" s="53" t="s">
        <v>99</v>
      </c>
      <c r="D77">
        <f>VLOOKUP($A77,'Raw RTF'!$A$8:$Q$1000,'Raw RTF'!D$5,FALSE)</f>
        <v>11.799522755560073</v>
      </c>
      <c r="E77">
        <f>VLOOKUP($A77,'Raw RTF'!$A$8:$Q$1000,'Raw RTF'!E$5,FALSE)</f>
        <v>45</v>
      </c>
      <c r="F77">
        <f>VLOOKUP($A77,'Raw RTF'!$A$8:$Q$1000,'Raw RTF'!F$5,FALSE)</f>
        <v>21.803985646792214</v>
      </c>
      <c r="G77">
        <f>VLOOKUP($A77,'Raw RTF'!$A$8:$Q$1000,'Raw RTF'!G$5,FALSE)</f>
        <v>0</v>
      </c>
      <c r="H77" t="str">
        <f>VLOOKUP($A77,'Raw RTF'!$A$8:$Q$1000,'Raw RTF'!H$5,FALSE)</f>
        <v>ResSpHtBBZ2</v>
      </c>
      <c r="I77">
        <f>VLOOKUP($A77,'Raw RTF'!$A$8:$Q$1000,'Raw RTF'!I$5,FALSE)</f>
        <v>6.4115212047673245E-2</v>
      </c>
      <c r="J77">
        <f>VLOOKUP($A77,'Raw RTF'!$A$8:$Q$1000,'Raw RTF'!J$5,FALSE)</f>
        <v>0</v>
      </c>
      <c r="K77">
        <f>VLOOKUP($A77,'Raw RTF'!$A$8:$Q$1000,'Raw RTF'!K$5,FALSE)</f>
        <v>0</v>
      </c>
      <c r="L77">
        <f>VLOOKUP($A77,'Raw RTF'!$A$8:$Q$1000,'Raw RTF'!L$5,FALSE)</f>
        <v>0</v>
      </c>
      <c r="M77">
        <f>VLOOKUP($A77,'Raw RTF'!$A$8:$Q$1000,'Raw RTF'!M$5,FALSE)</f>
        <v>0</v>
      </c>
      <c r="N77">
        <f>VLOOKUP($A77,'Raw RTF'!$A$8:$Q$1000,'Raw RTF'!N$5,FALSE)</f>
        <v>0</v>
      </c>
      <c r="O77">
        <f>VLOOKUP($A77,'Raw RTF'!$A$8:$Q$1000,'Raw RTF'!O$5,FALSE)</f>
        <v>0</v>
      </c>
      <c r="P77">
        <f>VLOOKUP($A77,'Raw RTF'!$A$8:$Q$1000,'Raw RTF'!P$5,FALSE)</f>
        <v>0</v>
      </c>
      <c r="Q77">
        <f>VLOOKUP($A77,'Raw RTF'!$A$8:$Q$1000,'Raw RTF'!Q$5,FALSE)</f>
        <v>0</v>
      </c>
    </row>
    <row r="78" spans="1:17" ht="25.5">
      <c r="A78" t="str">
        <f t="shared" si="1"/>
        <v>Windows - Double Pane to Class 22 - Heating Zone 2 (Zonal or DHP)WINDOW CL22 Prime Window Replacement of Double Pane Base</v>
      </c>
      <c r="B78" s="305" t="s">
        <v>1295</v>
      </c>
      <c r="C78" s="53" t="s">
        <v>101</v>
      </c>
      <c r="D78">
        <f>VLOOKUP($A78,'Raw RTF'!$A$8:$Q$1000,'Raw RTF'!D$5,FALSE)</f>
        <v>6.1959679150911589</v>
      </c>
      <c r="E78">
        <f>VLOOKUP($A78,'Raw RTF'!$A$8:$Q$1000,'Raw RTF'!E$5,FALSE)</f>
        <v>45</v>
      </c>
      <c r="F78">
        <f>VLOOKUP($A78,'Raw RTF'!$A$8:$Q$1000,'Raw RTF'!F$5,FALSE)</f>
        <v>21.803985646792214</v>
      </c>
      <c r="G78">
        <f>VLOOKUP($A78,'Raw RTF'!$A$8:$Q$1000,'Raw RTF'!G$5,FALSE)</f>
        <v>0</v>
      </c>
      <c r="H78" t="str">
        <f>VLOOKUP($A78,'Raw RTF'!$A$8:$Q$1000,'Raw RTF'!H$5,FALSE)</f>
        <v>ResSpHtBBZ2</v>
      </c>
      <c r="I78">
        <f>VLOOKUP($A78,'Raw RTF'!$A$8:$Q$1000,'Raw RTF'!I$5,FALSE)</f>
        <v>3.598023033443417E-2</v>
      </c>
      <c r="J78">
        <f>VLOOKUP($A78,'Raw RTF'!$A$8:$Q$1000,'Raw RTF'!J$5,FALSE)</f>
        <v>0</v>
      </c>
      <c r="K78">
        <f>VLOOKUP($A78,'Raw RTF'!$A$8:$Q$1000,'Raw RTF'!K$5,FALSE)</f>
        <v>0</v>
      </c>
      <c r="L78">
        <f>VLOOKUP($A78,'Raw RTF'!$A$8:$Q$1000,'Raw RTF'!L$5,FALSE)</f>
        <v>0</v>
      </c>
      <c r="M78">
        <f>VLOOKUP($A78,'Raw RTF'!$A$8:$Q$1000,'Raw RTF'!M$5,FALSE)</f>
        <v>0</v>
      </c>
      <c r="N78">
        <f>VLOOKUP($A78,'Raw RTF'!$A$8:$Q$1000,'Raw RTF'!N$5,FALSE)</f>
        <v>0</v>
      </c>
      <c r="O78">
        <f>VLOOKUP($A78,'Raw RTF'!$A$8:$Q$1000,'Raw RTF'!O$5,FALSE)</f>
        <v>0</v>
      </c>
      <c r="P78">
        <f>VLOOKUP($A78,'Raw RTF'!$A$8:$Q$1000,'Raw RTF'!P$5,FALSE)</f>
        <v>0</v>
      </c>
      <c r="Q78">
        <f>VLOOKUP($A78,'Raw RTF'!$A$8:$Q$1000,'Raw RTF'!Q$5,FALSE)</f>
        <v>0</v>
      </c>
    </row>
    <row r="79" spans="1:17">
      <c r="A79" t="str">
        <f t="shared" si="1"/>
        <v>Infiltration Reduction - CFM50 reduction - Heating Zone 2 (Zonal or DHP)CFM50 Infiltration Reduction</v>
      </c>
      <c r="B79" s="305" t="s">
        <v>1297</v>
      </c>
      <c r="C79" s="305" t="s">
        <v>1362</v>
      </c>
      <c r="D79">
        <f>VLOOKUP($A79,'Raw RTF'!$A$8:$Q$1000,'Raw RTF'!D$5,FALSE)</f>
        <v>0.5499207123116765</v>
      </c>
      <c r="E79">
        <f>VLOOKUP($A79,'Raw RTF'!$A$8:$Q$1000,'Raw RTF'!E$5,FALSE)</f>
        <v>15</v>
      </c>
      <c r="F79">
        <f>VLOOKUP($A79,'Raw RTF'!$A$8:$Q$1000,'Raw RTF'!F$5,FALSE)</f>
        <v>0.6607178075171779</v>
      </c>
      <c r="G79">
        <f>VLOOKUP($A79,'Raw RTF'!$A$8:$Q$1000,'Raw RTF'!G$5,FALSE)</f>
        <v>0</v>
      </c>
      <c r="H79" t="str">
        <f>VLOOKUP($A79,'Raw RTF'!$A$8:$Q$1000,'Raw RTF'!H$5,FALSE)</f>
        <v>ResSpHtBBZ2</v>
      </c>
      <c r="I79">
        <f>VLOOKUP($A79,'Raw RTF'!$A$8:$Q$1000,'Raw RTF'!I$5,FALSE)</f>
        <v>3.3843917832717236E-3</v>
      </c>
      <c r="J79">
        <f>VLOOKUP($A79,'Raw RTF'!$A$8:$Q$1000,'Raw RTF'!J$5,FALSE)</f>
        <v>0</v>
      </c>
      <c r="K79">
        <f>VLOOKUP($A79,'Raw RTF'!$A$8:$Q$1000,'Raw RTF'!K$5,FALSE)</f>
        <v>0</v>
      </c>
      <c r="L79">
        <f>VLOOKUP($A79,'Raw RTF'!$A$8:$Q$1000,'Raw RTF'!L$5,FALSE)</f>
        <v>0</v>
      </c>
      <c r="M79">
        <f>VLOOKUP($A79,'Raw RTF'!$A$8:$Q$1000,'Raw RTF'!M$5,FALSE)</f>
        <v>0</v>
      </c>
      <c r="N79">
        <f>VLOOKUP($A79,'Raw RTF'!$A$8:$Q$1000,'Raw RTF'!N$5,FALSE)</f>
        <v>0</v>
      </c>
      <c r="O79">
        <f>VLOOKUP($A79,'Raw RTF'!$A$8:$Q$1000,'Raw RTF'!O$5,FALSE)</f>
        <v>0</v>
      </c>
      <c r="P79">
        <f>VLOOKUP($A79,'Raw RTF'!$A$8:$Q$1000,'Raw RTF'!P$5,FALSE)</f>
        <v>0</v>
      </c>
      <c r="Q79">
        <f>VLOOKUP($A79,'Raw RTF'!$A$8:$Q$1000,'Raw RTF'!Q$5,FALSE)</f>
        <v>0</v>
      </c>
    </row>
    <row r="80" spans="1:17">
      <c r="A80" t="str">
        <f t="shared" si="1"/>
        <v>Single Family Weatherization - Insulate Attic - R0 to R38 - Heating Zone 3 (Zonal or DHP)ATTIC R0 - R38</v>
      </c>
      <c r="B80" s="305" t="s">
        <v>1298</v>
      </c>
      <c r="C80" s="53" t="s">
        <v>68</v>
      </c>
      <c r="D80">
        <f>VLOOKUP($A80,'Raw RTF'!$A$8:$Q$1000,'Raw RTF'!D$5,FALSE)</f>
        <v>3.3170145631627981</v>
      </c>
      <c r="E80">
        <f>VLOOKUP($A80,'Raw RTF'!$A$8:$Q$1000,'Raw RTF'!E$5,FALSE)</f>
        <v>45</v>
      </c>
      <c r="F80">
        <f>VLOOKUP($A80,'Raw RTF'!$A$8:$Q$1000,'Raw RTF'!F$5,FALSE)</f>
        <v>0.98066043810604342</v>
      </c>
      <c r="G80">
        <f>VLOOKUP($A80,'Raw RTF'!$A$8:$Q$1000,'Raw RTF'!G$5,FALSE)</f>
        <v>0</v>
      </c>
      <c r="H80" t="str">
        <f>VLOOKUP($A80,'Raw RTF'!$A$8:$Q$1000,'Raw RTF'!H$5,FALSE)</f>
        <v>ResSpHtBBZ3</v>
      </c>
      <c r="I80">
        <f>VLOOKUP($A80,'Raw RTF'!$A$8:$Q$1000,'Raw RTF'!I$5,FALSE)</f>
        <v>1.2712446704693922E-2</v>
      </c>
      <c r="J80">
        <f>VLOOKUP($A80,'Raw RTF'!$A$8:$Q$1000,'Raw RTF'!J$5,FALSE)</f>
        <v>0</v>
      </c>
      <c r="K80">
        <f>VLOOKUP($A80,'Raw RTF'!$A$8:$Q$1000,'Raw RTF'!K$5,FALSE)</f>
        <v>0</v>
      </c>
      <c r="L80">
        <f>VLOOKUP($A80,'Raw RTF'!$A$8:$Q$1000,'Raw RTF'!L$5,FALSE)</f>
        <v>0</v>
      </c>
      <c r="M80">
        <f>VLOOKUP($A80,'Raw RTF'!$A$8:$Q$1000,'Raw RTF'!M$5,FALSE)</f>
        <v>0</v>
      </c>
      <c r="N80">
        <f>VLOOKUP($A80,'Raw RTF'!$A$8:$Q$1000,'Raw RTF'!N$5,FALSE)</f>
        <v>0</v>
      </c>
      <c r="O80">
        <f>VLOOKUP($A80,'Raw RTF'!$A$8:$Q$1000,'Raw RTF'!O$5,FALSE)</f>
        <v>0</v>
      </c>
      <c r="P80">
        <f>VLOOKUP($A80,'Raw RTF'!$A$8:$Q$1000,'Raw RTF'!P$5,FALSE)</f>
        <v>0</v>
      </c>
      <c r="Q80">
        <f>VLOOKUP($A80,'Raw RTF'!$A$8:$Q$1000,'Raw RTF'!Q$5,FALSE)</f>
        <v>0</v>
      </c>
    </row>
    <row r="81" spans="1:17">
      <c r="A81" t="str">
        <f t="shared" si="1"/>
        <v>Single Family Weatherization - Insulate Attic - R0 to R49 - Heating Zone 3 (Zonal or DHP)ATTIC R0 - R49</v>
      </c>
      <c r="B81" s="305" t="s">
        <v>1299</v>
      </c>
      <c r="C81" s="53" t="s">
        <v>71</v>
      </c>
      <c r="D81">
        <f>VLOOKUP($A81,'Raw RTF'!$A$8:$Q$1000,'Raw RTF'!D$5,FALSE)</f>
        <v>3.3659969160687315</v>
      </c>
      <c r="E81">
        <f>VLOOKUP($A81,'Raw RTF'!$A$8:$Q$1000,'Raw RTF'!E$5,FALSE)</f>
        <v>45</v>
      </c>
      <c r="F81">
        <f>VLOOKUP($A81,'Raw RTF'!$A$8:$Q$1000,'Raw RTF'!F$5,FALSE)</f>
        <v>1.1198946019755947</v>
      </c>
      <c r="G81">
        <f>VLOOKUP($A81,'Raw RTF'!$A$8:$Q$1000,'Raw RTF'!G$5,FALSE)</f>
        <v>0</v>
      </c>
      <c r="H81" t="str">
        <f>VLOOKUP($A81,'Raw RTF'!$A$8:$Q$1000,'Raw RTF'!H$5,FALSE)</f>
        <v>ResSpHtBBZ3</v>
      </c>
      <c r="I81">
        <f>VLOOKUP($A81,'Raw RTF'!$A$8:$Q$1000,'Raw RTF'!I$5,FALSE)</f>
        <v>1.2912795641146443E-2</v>
      </c>
      <c r="J81">
        <f>VLOOKUP($A81,'Raw RTF'!$A$8:$Q$1000,'Raw RTF'!J$5,FALSE)</f>
        <v>0</v>
      </c>
      <c r="K81">
        <f>VLOOKUP($A81,'Raw RTF'!$A$8:$Q$1000,'Raw RTF'!K$5,FALSE)</f>
        <v>0</v>
      </c>
      <c r="L81">
        <f>VLOOKUP($A81,'Raw RTF'!$A$8:$Q$1000,'Raw RTF'!L$5,FALSE)</f>
        <v>0</v>
      </c>
      <c r="M81">
        <f>VLOOKUP($A81,'Raw RTF'!$A$8:$Q$1000,'Raw RTF'!M$5,FALSE)</f>
        <v>0</v>
      </c>
      <c r="N81">
        <f>VLOOKUP($A81,'Raw RTF'!$A$8:$Q$1000,'Raw RTF'!N$5,FALSE)</f>
        <v>0</v>
      </c>
      <c r="O81">
        <f>VLOOKUP($A81,'Raw RTF'!$A$8:$Q$1000,'Raw RTF'!O$5,FALSE)</f>
        <v>0</v>
      </c>
      <c r="P81">
        <f>VLOOKUP($A81,'Raw RTF'!$A$8:$Q$1000,'Raw RTF'!P$5,FALSE)</f>
        <v>0</v>
      </c>
      <c r="Q81">
        <f>VLOOKUP($A81,'Raw RTF'!$A$8:$Q$1000,'Raw RTF'!Q$5,FALSE)</f>
        <v>0</v>
      </c>
    </row>
    <row r="82" spans="1:17">
      <c r="A82" t="str">
        <f t="shared" si="1"/>
        <v>Single Family Weatherization - Insulate Attic - R11 to R38 - Heating Zone 3 (Zonal or DHP)ATTIC R11 - R38</v>
      </c>
      <c r="B82" s="305" t="s">
        <v>1300</v>
      </c>
      <c r="C82" s="53" t="s">
        <v>73</v>
      </c>
      <c r="D82">
        <f>VLOOKUP($A82,'Raw RTF'!$A$8:$Q$1000,'Raw RTF'!D$5,FALSE)</f>
        <v>0.41886320795918575</v>
      </c>
      <c r="E82">
        <f>VLOOKUP($A82,'Raw RTF'!$A$8:$Q$1000,'Raw RTF'!E$5,FALSE)</f>
        <v>45</v>
      </c>
      <c r="F82">
        <f>VLOOKUP($A82,'Raw RTF'!$A$8:$Q$1000,'Raw RTF'!F$5,FALSE)</f>
        <v>0.84142627423649186</v>
      </c>
      <c r="G82">
        <f>VLOOKUP($A82,'Raw RTF'!$A$8:$Q$1000,'Raw RTF'!G$5,FALSE)</f>
        <v>0</v>
      </c>
      <c r="H82" t="str">
        <f>VLOOKUP($A82,'Raw RTF'!$A$8:$Q$1000,'Raw RTF'!H$5,FALSE)</f>
        <v>ResSpHtBBZ3</v>
      </c>
      <c r="I82">
        <f>VLOOKUP($A82,'Raw RTF'!$A$8:$Q$1000,'Raw RTF'!I$5,FALSE)</f>
        <v>1.6786856298793389E-3</v>
      </c>
      <c r="J82">
        <f>VLOOKUP($A82,'Raw RTF'!$A$8:$Q$1000,'Raw RTF'!J$5,FALSE)</f>
        <v>0</v>
      </c>
      <c r="K82">
        <f>VLOOKUP($A82,'Raw RTF'!$A$8:$Q$1000,'Raw RTF'!K$5,FALSE)</f>
        <v>0</v>
      </c>
      <c r="L82">
        <f>VLOOKUP($A82,'Raw RTF'!$A$8:$Q$1000,'Raw RTF'!L$5,FALSE)</f>
        <v>0</v>
      </c>
      <c r="M82">
        <f>VLOOKUP($A82,'Raw RTF'!$A$8:$Q$1000,'Raw RTF'!M$5,FALSE)</f>
        <v>0</v>
      </c>
      <c r="N82">
        <f>VLOOKUP($A82,'Raw RTF'!$A$8:$Q$1000,'Raw RTF'!N$5,FALSE)</f>
        <v>0</v>
      </c>
      <c r="O82">
        <f>VLOOKUP($A82,'Raw RTF'!$A$8:$Q$1000,'Raw RTF'!O$5,FALSE)</f>
        <v>0</v>
      </c>
      <c r="P82">
        <f>VLOOKUP($A82,'Raw RTF'!$A$8:$Q$1000,'Raw RTF'!P$5,FALSE)</f>
        <v>0</v>
      </c>
      <c r="Q82">
        <f>VLOOKUP($A82,'Raw RTF'!$A$8:$Q$1000,'Raw RTF'!Q$5,FALSE)</f>
        <v>0</v>
      </c>
    </row>
    <row r="83" spans="1:17">
      <c r="A83" t="str">
        <f t="shared" si="1"/>
        <v>Single Family Weatherization - Insulate Attic - R11 to R49 - Heating Zone 3 (Zonal or DHP)ATTIC R11 - R49</v>
      </c>
      <c r="B83" s="305" t="s">
        <v>1301</v>
      </c>
      <c r="C83" s="53" t="s">
        <v>75</v>
      </c>
      <c r="D83">
        <f>VLOOKUP($A83,'Raw RTF'!$A$8:$Q$1000,'Raw RTF'!D$5,FALSE)</f>
        <v>0.45466555611933918</v>
      </c>
      <c r="E83">
        <f>VLOOKUP($A83,'Raw RTF'!$A$8:$Q$1000,'Raw RTF'!E$5,FALSE)</f>
        <v>45</v>
      </c>
      <c r="F83">
        <f>VLOOKUP($A83,'Raw RTF'!$A$8:$Q$1000,'Raw RTF'!F$5,FALSE)</f>
        <v>0.98066043810604342</v>
      </c>
      <c r="G83">
        <f>VLOOKUP($A83,'Raw RTF'!$A$8:$Q$1000,'Raw RTF'!G$5,FALSE)</f>
        <v>0</v>
      </c>
      <c r="H83" t="str">
        <f>VLOOKUP($A83,'Raw RTF'!$A$8:$Q$1000,'Raw RTF'!H$5,FALSE)</f>
        <v>ResSpHtBBZ3</v>
      </c>
      <c r="I83">
        <f>VLOOKUP($A83,'Raw RTF'!$A$8:$Q$1000,'Raw RTF'!I$5,FALSE)</f>
        <v>1.8512149650550343E-3</v>
      </c>
      <c r="J83">
        <f>VLOOKUP($A83,'Raw RTF'!$A$8:$Q$1000,'Raw RTF'!J$5,FALSE)</f>
        <v>0</v>
      </c>
      <c r="K83">
        <f>VLOOKUP($A83,'Raw RTF'!$A$8:$Q$1000,'Raw RTF'!K$5,FALSE)</f>
        <v>0</v>
      </c>
      <c r="L83">
        <f>VLOOKUP($A83,'Raw RTF'!$A$8:$Q$1000,'Raw RTF'!L$5,FALSE)</f>
        <v>0</v>
      </c>
      <c r="M83">
        <f>VLOOKUP($A83,'Raw RTF'!$A$8:$Q$1000,'Raw RTF'!M$5,FALSE)</f>
        <v>0</v>
      </c>
      <c r="N83">
        <f>VLOOKUP($A83,'Raw RTF'!$A$8:$Q$1000,'Raw RTF'!N$5,FALSE)</f>
        <v>0</v>
      </c>
      <c r="O83">
        <f>VLOOKUP($A83,'Raw RTF'!$A$8:$Q$1000,'Raw RTF'!O$5,FALSE)</f>
        <v>0</v>
      </c>
      <c r="P83">
        <f>VLOOKUP($A83,'Raw RTF'!$A$8:$Q$1000,'Raw RTF'!P$5,FALSE)</f>
        <v>0</v>
      </c>
      <c r="Q83">
        <f>VLOOKUP($A83,'Raw RTF'!$A$8:$Q$1000,'Raw RTF'!Q$5,FALSE)</f>
        <v>0</v>
      </c>
    </row>
    <row r="84" spans="1:17">
      <c r="A84" t="str">
        <f t="shared" si="1"/>
        <v>Single Family Weatherization - Insulate Attic - R19 to R38 - Heating Zone 3 (Zonal or DHP)ATTIC R19 - R38</v>
      </c>
      <c r="B84" s="305" t="s">
        <v>1302</v>
      </c>
      <c r="C84" s="53" t="s">
        <v>77</v>
      </c>
      <c r="D84">
        <f>VLOOKUP($A84,'Raw RTF'!$A$8:$Q$1000,'Raw RTF'!D$5,FALSE)</f>
        <v>0.17953138369391677</v>
      </c>
      <c r="E84">
        <f>VLOOKUP($A84,'Raw RTF'!$A$8:$Q$1000,'Raw RTF'!E$5,FALSE)</f>
        <v>45</v>
      </c>
      <c r="F84">
        <f>VLOOKUP($A84,'Raw RTF'!$A$8:$Q$1000,'Raw RTF'!F$5,FALSE)</f>
        <v>0.7401650641495453</v>
      </c>
      <c r="G84">
        <f>VLOOKUP($A84,'Raw RTF'!$A$8:$Q$1000,'Raw RTF'!G$5,FALSE)</f>
        <v>0</v>
      </c>
      <c r="H84" t="str">
        <f>VLOOKUP($A84,'Raw RTF'!$A$8:$Q$1000,'Raw RTF'!H$5,FALSE)</f>
        <v>ResSpHtBBZ3</v>
      </c>
      <c r="I84">
        <f>VLOOKUP($A84,'Raw RTF'!$A$8:$Q$1000,'Raw RTF'!I$5,FALSE)</f>
        <v>7.8032791926850749E-4</v>
      </c>
      <c r="J84">
        <f>VLOOKUP($A84,'Raw RTF'!$A$8:$Q$1000,'Raw RTF'!J$5,FALSE)</f>
        <v>0</v>
      </c>
      <c r="K84">
        <f>VLOOKUP($A84,'Raw RTF'!$A$8:$Q$1000,'Raw RTF'!K$5,FALSE)</f>
        <v>0</v>
      </c>
      <c r="L84">
        <f>VLOOKUP($A84,'Raw RTF'!$A$8:$Q$1000,'Raw RTF'!L$5,FALSE)</f>
        <v>0</v>
      </c>
      <c r="M84">
        <f>VLOOKUP($A84,'Raw RTF'!$A$8:$Q$1000,'Raw RTF'!M$5,FALSE)</f>
        <v>0</v>
      </c>
      <c r="N84">
        <f>VLOOKUP($A84,'Raw RTF'!$A$8:$Q$1000,'Raw RTF'!N$5,FALSE)</f>
        <v>0</v>
      </c>
      <c r="O84">
        <f>VLOOKUP($A84,'Raw RTF'!$A$8:$Q$1000,'Raw RTF'!O$5,FALSE)</f>
        <v>0</v>
      </c>
      <c r="P84">
        <f>VLOOKUP($A84,'Raw RTF'!$A$8:$Q$1000,'Raw RTF'!P$5,FALSE)</f>
        <v>0</v>
      </c>
      <c r="Q84">
        <f>VLOOKUP($A84,'Raw RTF'!$A$8:$Q$1000,'Raw RTF'!Q$5,FALSE)</f>
        <v>0</v>
      </c>
    </row>
    <row r="85" spans="1:17">
      <c r="A85" t="str">
        <f t="shared" si="1"/>
        <v>Single Family Weatherization - Insulate Attic - R19 to R49 - Heating Zone 3 (Zonal or DHP)ATTIC R19 - R49</v>
      </c>
      <c r="B85" s="305" t="s">
        <v>1303</v>
      </c>
      <c r="C85" s="53" t="s">
        <v>79</v>
      </c>
      <c r="D85">
        <f>VLOOKUP($A85,'Raw RTF'!$A$8:$Q$1000,'Raw RTF'!D$5,FALSE)</f>
        <v>0.21641672487360111</v>
      </c>
      <c r="E85">
        <f>VLOOKUP($A85,'Raw RTF'!$A$8:$Q$1000,'Raw RTF'!E$5,FALSE)</f>
        <v>45</v>
      </c>
      <c r="F85">
        <f>VLOOKUP($A85,'Raw RTF'!$A$8:$Q$1000,'Raw RTF'!F$5,FALSE)</f>
        <v>0.87939922801909687</v>
      </c>
      <c r="G85">
        <f>VLOOKUP($A85,'Raw RTF'!$A$8:$Q$1000,'Raw RTF'!G$5,FALSE)</f>
        <v>0</v>
      </c>
      <c r="H85" t="str">
        <f>VLOOKUP($A85,'Raw RTF'!$A$8:$Q$1000,'Raw RTF'!H$5,FALSE)</f>
        <v>ResSpHtBBZ3</v>
      </c>
      <c r="I85">
        <f>VLOOKUP($A85,'Raw RTF'!$A$8:$Q$1000,'Raw RTF'!I$5,FALSE)</f>
        <v>9.5563454789556227E-4</v>
      </c>
      <c r="J85">
        <f>VLOOKUP($A85,'Raw RTF'!$A$8:$Q$1000,'Raw RTF'!J$5,FALSE)</f>
        <v>0</v>
      </c>
      <c r="K85">
        <f>VLOOKUP($A85,'Raw RTF'!$A$8:$Q$1000,'Raw RTF'!K$5,FALSE)</f>
        <v>0</v>
      </c>
      <c r="L85">
        <f>VLOOKUP($A85,'Raw RTF'!$A$8:$Q$1000,'Raw RTF'!L$5,FALSE)</f>
        <v>0</v>
      </c>
      <c r="M85">
        <f>VLOOKUP($A85,'Raw RTF'!$A$8:$Q$1000,'Raw RTF'!M$5,FALSE)</f>
        <v>0</v>
      </c>
      <c r="N85">
        <f>VLOOKUP($A85,'Raw RTF'!$A$8:$Q$1000,'Raw RTF'!N$5,FALSE)</f>
        <v>0</v>
      </c>
      <c r="O85">
        <f>VLOOKUP($A85,'Raw RTF'!$A$8:$Q$1000,'Raw RTF'!O$5,FALSE)</f>
        <v>0</v>
      </c>
      <c r="P85">
        <f>VLOOKUP($A85,'Raw RTF'!$A$8:$Q$1000,'Raw RTF'!P$5,FALSE)</f>
        <v>0</v>
      </c>
      <c r="Q85">
        <f>VLOOKUP($A85,'Raw RTF'!$A$8:$Q$1000,'Raw RTF'!Q$5,FALSE)</f>
        <v>0</v>
      </c>
    </row>
    <row r="86" spans="1:17">
      <c r="A86" t="str">
        <f t="shared" si="1"/>
        <v>Single Family Weatherization - Insulate Wall - R0 to R11 - Heating Zone 3 (Zonal or DHP)WALL R0 - R11</v>
      </c>
      <c r="B86" s="305" t="s">
        <v>1307</v>
      </c>
      <c r="C86" s="53" t="s">
        <v>85</v>
      </c>
      <c r="D86">
        <f>VLOOKUP($A86,'Raw RTF'!$A$8:$Q$1000,'Raw RTF'!D$5,FALSE)</f>
        <v>2.3744458173074072</v>
      </c>
      <c r="E86">
        <f>VLOOKUP($A86,'Raw RTF'!$A$8:$Q$1000,'Raw RTF'!E$5,FALSE)</f>
        <v>45</v>
      </c>
      <c r="F86">
        <f>VLOOKUP($A86,'Raw RTF'!$A$8:$Q$1000,'Raw RTF'!F$5,FALSE)</f>
        <v>1.3863525086966677</v>
      </c>
      <c r="G86">
        <f>VLOOKUP($A86,'Raw RTF'!$A$8:$Q$1000,'Raw RTF'!G$5,FALSE)</f>
        <v>0</v>
      </c>
      <c r="H86" t="str">
        <f>VLOOKUP($A86,'Raw RTF'!$A$8:$Q$1000,'Raw RTF'!H$5,FALSE)</f>
        <v>ResSpHtBBZ3</v>
      </c>
      <c r="I86">
        <f>VLOOKUP($A86,'Raw RTF'!$A$8:$Q$1000,'Raw RTF'!I$5,FALSE)</f>
        <v>6.6022703615083089E-3</v>
      </c>
      <c r="J86">
        <f>VLOOKUP($A86,'Raw RTF'!$A$8:$Q$1000,'Raw RTF'!J$5,FALSE)</f>
        <v>0</v>
      </c>
      <c r="K86">
        <f>VLOOKUP($A86,'Raw RTF'!$A$8:$Q$1000,'Raw RTF'!K$5,FALSE)</f>
        <v>0</v>
      </c>
      <c r="L86">
        <f>VLOOKUP($A86,'Raw RTF'!$A$8:$Q$1000,'Raw RTF'!L$5,FALSE)</f>
        <v>0</v>
      </c>
      <c r="M86">
        <f>VLOOKUP($A86,'Raw RTF'!$A$8:$Q$1000,'Raw RTF'!M$5,FALSE)</f>
        <v>0</v>
      </c>
      <c r="N86">
        <f>VLOOKUP($A86,'Raw RTF'!$A$8:$Q$1000,'Raw RTF'!N$5,FALSE)</f>
        <v>0</v>
      </c>
      <c r="O86">
        <f>VLOOKUP($A86,'Raw RTF'!$A$8:$Q$1000,'Raw RTF'!O$5,FALSE)</f>
        <v>0</v>
      </c>
      <c r="P86">
        <f>VLOOKUP($A86,'Raw RTF'!$A$8:$Q$1000,'Raw RTF'!P$5,FALSE)</f>
        <v>0</v>
      </c>
      <c r="Q86">
        <f>VLOOKUP($A86,'Raw RTF'!$A$8:$Q$1000,'Raw RTF'!Q$5,FALSE)</f>
        <v>0</v>
      </c>
    </row>
    <row r="87" spans="1:17">
      <c r="A87" t="str">
        <f t="shared" si="1"/>
        <v>Single Family Weatherization - Insulate Floor - R0 to R19 - Heating Zone 3 (Zonal or DHP)FLOOR R0 - R19</v>
      </c>
      <c r="B87" s="305" t="s">
        <v>1308</v>
      </c>
      <c r="C87" s="53" t="s">
        <v>87</v>
      </c>
      <c r="D87">
        <f>VLOOKUP($A87,'Raw RTF'!$A$8:$Q$1000,'Raw RTF'!D$5,FALSE)</f>
        <v>1.412959235360739</v>
      </c>
      <c r="E87">
        <f>VLOOKUP($A87,'Raw RTF'!$A$8:$Q$1000,'Raw RTF'!E$5,FALSE)</f>
        <v>45</v>
      </c>
      <c r="F87">
        <f>VLOOKUP($A87,'Raw RTF'!$A$8:$Q$1000,'Raw RTF'!F$5,FALSE)</f>
        <v>1.2290592529494864</v>
      </c>
      <c r="G87">
        <f>VLOOKUP($A87,'Raw RTF'!$A$8:$Q$1000,'Raw RTF'!G$5,FALSE)</f>
        <v>0</v>
      </c>
      <c r="H87" t="str">
        <f>VLOOKUP($A87,'Raw RTF'!$A$8:$Q$1000,'Raw RTF'!H$5,FALSE)</f>
        <v>ResSpHtBBZ3</v>
      </c>
      <c r="I87">
        <f>VLOOKUP($A87,'Raw RTF'!$A$8:$Q$1000,'Raw RTF'!I$5,FALSE)</f>
        <v>2.9082038674344821E-3</v>
      </c>
      <c r="J87">
        <f>VLOOKUP($A87,'Raw RTF'!$A$8:$Q$1000,'Raw RTF'!J$5,FALSE)</f>
        <v>0</v>
      </c>
      <c r="K87">
        <f>VLOOKUP($A87,'Raw RTF'!$A$8:$Q$1000,'Raw RTF'!K$5,FALSE)</f>
        <v>0</v>
      </c>
      <c r="L87">
        <f>VLOOKUP($A87,'Raw RTF'!$A$8:$Q$1000,'Raw RTF'!L$5,FALSE)</f>
        <v>0</v>
      </c>
      <c r="M87">
        <f>VLOOKUP($A87,'Raw RTF'!$A$8:$Q$1000,'Raw RTF'!M$5,FALSE)</f>
        <v>0</v>
      </c>
      <c r="N87">
        <f>VLOOKUP($A87,'Raw RTF'!$A$8:$Q$1000,'Raw RTF'!N$5,FALSE)</f>
        <v>0</v>
      </c>
      <c r="O87">
        <f>VLOOKUP($A87,'Raw RTF'!$A$8:$Q$1000,'Raw RTF'!O$5,FALSE)</f>
        <v>0</v>
      </c>
      <c r="P87">
        <f>VLOOKUP($A87,'Raw RTF'!$A$8:$Q$1000,'Raw RTF'!P$5,FALSE)</f>
        <v>0</v>
      </c>
      <c r="Q87">
        <f>VLOOKUP($A87,'Raw RTF'!$A$8:$Q$1000,'Raw RTF'!Q$5,FALSE)</f>
        <v>0</v>
      </c>
    </row>
    <row r="88" spans="1:17">
      <c r="A88" t="str">
        <f t="shared" si="1"/>
        <v>Single Family Weatherization - Insulate Floor - R0 to R25 - Heating Zone 3 (Zonal or DHP)FLOOR R0 - R25</v>
      </c>
      <c r="B88" s="305" t="s">
        <v>1309</v>
      </c>
      <c r="C88" s="53" t="s">
        <v>89</v>
      </c>
      <c r="D88">
        <f>VLOOKUP($A88,'Raw RTF'!$A$8:$Q$1000,'Raw RTF'!D$5,FALSE)</f>
        <v>1.5163559081880893</v>
      </c>
      <c r="E88">
        <f>VLOOKUP($A88,'Raw RTF'!$A$8:$Q$1000,'Raw RTF'!E$5,FALSE)</f>
        <v>45</v>
      </c>
      <c r="F88">
        <f>VLOOKUP($A88,'Raw RTF'!$A$8:$Q$1000,'Raw RTF'!F$5,FALSE)</f>
        <v>1.2761252113477823</v>
      </c>
      <c r="G88">
        <f>VLOOKUP($A88,'Raw RTF'!$A$8:$Q$1000,'Raw RTF'!G$5,FALSE)</f>
        <v>0</v>
      </c>
      <c r="H88" t="str">
        <f>VLOOKUP($A88,'Raw RTF'!$A$8:$Q$1000,'Raw RTF'!H$5,FALSE)</f>
        <v>ResSpHtBBZ3</v>
      </c>
      <c r="I88">
        <f>VLOOKUP($A88,'Raw RTF'!$A$8:$Q$1000,'Raw RTF'!I$5,FALSE)</f>
        <v>3.4119539282193062E-3</v>
      </c>
      <c r="J88">
        <f>VLOOKUP($A88,'Raw RTF'!$A$8:$Q$1000,'Raw RTF'!J$5,FALSE)</f>
        <v>0</v>
      </c>
      <c r="K88">
        <f>VLOOKUP($A88,'Raw RTF'!$A$8:$Q$1000,'Raw RTF'!K$5,FALSE)</f>
        <v>0</v>
      </c>
      <c r="L88">
        <f>VLOOKUP($A88,'Raw RTF'!$A$8:$Q$1000,'Raw RTF'!L$5,FALSE)</f>
        <v>0</v>
      </c>
      <c r="M88">
        <f>VLOOKUP($A88,'Raw RTF'!$A$8:$Q$1000,'Raw RTF'!M$5,FALSE)</f>
        <v>0</v>
      </c>
      <c r="N88">
        <f>VLOOKUP($A88,'Raw RTF'!$A$8:$Q$1000,'Raw RTF'!N$5,FALSE)</f>
        <v>0</v>
      </c>
      <c r="O88">
        <f>VLOOKUP($A88,'Raw RTF'!$A$8:$Q$1000,'Raw RTF'!O$5,FALSE)</f>
        <v>0</v>
      </c>
      <c r="P88">
        <f>VLOOKUP($A88,'Raw RTF'!$A$8:$Q$1000,'Raw RTF'!P$5,FALSE)</f>
        <v>0</v>
      </c>
      <c r="Q88">
        <f>VLOOKUP($A88,'Raw RTF'!$A$8:$Q$1000,'Raw RTF'!Q$5,FALSE)</f>
        <v>0</v>
      </c>
    </row>
    <row r="89" spans="1:17">
      <c r="A89" t="str">
        <f t="shared" si="1"/>
        <v>Single Family Weatherization - Insulate Floor - R0 to R30 - Heating Zone 3 (Zonal or DHP)FLOOR R0 - R30</v>
      </c>
      <c r="B89" s="305" t="s">
        <v>1310</v>
      </c>
      <c r="C89" s="53" t="s">
        <v>91</v>
      </c>
      <c r="D89">
        <f>VLOOKUP($A89,'Raw RTF'!$A$8:$Q$1000,'Raw RTF'!D$5,FALSE)</f>
        <v>1.5808946906494854</v>
      </c>
      <c r="E89">
        <f>VLOOKUP($A89,'Raw RTF'!$A$8:$Q$1000,'Raw RTF'!E$5,FALSE)</f>
        <v>45</v>
      </c>
      <c r="F89">
        <f>VLOOKUP($A89,'Raw RTF'!$A$8:$Q$1000,'Raw RTF'!F$5,FALSE)</f>
        <v>1.3153468433463626</v>
      </c>
      <c r="G89">
        <f>VLOOKUP($A89,'Raw RTF'!$A$8:$Q$1000,'Raw RTF'!G$5,FALSE)</f>
        <v>0</v>
      </c>
      <c r="H89" t="str">
        <f>VLOOKUP($A89,'Raw RTF'!$A$8:$Q$1000,'Raw RTF'!H$5,FALSE)</f>
        <v>ResSpHtBBZ3</v>
      </c>
      <c r="I89">
        <f>VLOOKUP($A89,'Raw RTF'!$A$8:$Q$1000,'Raw RTF'!I$5,FALSE)</f>
        <v>3.7504068376697391E-3</v>
      </c>
      <c r="J89">
        <f>VLOOKUP($A89,'Raw RTF'!$A$8:$Q$1000,'Raw RTF'!J$5,FALSE)</f>
        <v>0</v>
      </c>
      <c r="K89">
        <f>VLOOKUP($A89,'Raw RTF'!$A$8:$Q$1000,'Raw RTF'!K$5,FALSE)</f>
        <v>0</v>
      </c>
      <c r="L89">
        <f>VLOOKUP($A89,'Raw RTF'!$A$8:$Q$1000,'Raw RTF'!L$5,FALSE)</f>
        <v>0</v>
      </c>
      <c r="M89">
        <f>VLOOKUP($A89,'Raw RTF'!$A$8:$Q$1000,'Raw RTF'!M$5,FALSE)</f>
        <v>0</v>
      </c>
      <c r="N89">
        <f>VLOOKUP($A89,'Raw RTF'!$A$8:$Q$1000,'Raw RTF'!N$5,FALSE)</f>
        <v>0</v>
      </c>
      <c r="O89">
        <f>VLOOKUP($A89,'Raw RTF'!$A$8:$Q$1000,'Raw RTF'!O$5,FALSE)</f>
        <v>0</v>
      </c>
      <c r="P89">
        <f>VLOOKUP($A89,'Raw RTF'!$A$8:$Q$1000,'Raw RTF'!P$5,FALSE)</f>
        <v>0</v>
      </c>
      <c r="Q89">
        <f>VLOOKUP($A89,'Raw RTF'!$A$8:$Q$1000,'Raw RTF'!Q$5,FALSE)</f>
        <v>0</v>
      </c>
    </row>
    <row r="90" spans="1:17" ht="25.5">
      <c r="A90" t="str">
        <f t="shared" si="1"/>
        <v>Windows - Single Pane to Class 30 - Heating Zone 3 (Zonal or DHP)WINDOW CL30 Prime Window Replacement of Single Pane Base</v>
      </c>
      <c r="B90" s="305" t="s">
        <v>1312</v>
      </c>
      <c r="C90" s="53" t="s">
        <v>93</v>
      </c>
      <c r="D90">
        <f>VLOOKUP($A90,'Raw RTF'!$A$8:$Q$1000,'Raw RTF'!D$5,FALSE)</f>
        <v>12.857573409924006</v>
      </c>
      <c r="E90">
        <f>VLOOKUP($A90,'Raw RTF'!$A$8:$Q$1000,'Raw RTF'!E$5,FALSE)</f>
        <v>45</v>
      </c>
      <c r="F90">
        <f>VLOOKUP($A90,'Raw RTF'!$A$8:$Q$1000,'Raw RTF'!F$5,FALSE)</f>
        <v>18.513985646792214</v>
      </c>
      <c r="G90">
        <f>VLOOKUP($A90,'Raw RTF'!$A$8:$Q$1000,'Raw RTF'!G$5,FALSE)</f>
        <v>0</v>
      </c>
      <c r="H90" t="str">
        <f>VLOOKUP($A90,'Raw RTF'!$A$8:$Q$1000,'Raw RTF'!H$5,FALSE)</f>
        <v>ResSpHtBBZ3</v>
      </c>
      <c r="I90">
        <f>VLOOKUP($A90,'Raw RTF'!$A$8:$Q$1000,'Raw RTF'!I$5,FALSE)</f>
        <v>5.7676293074713794E-2</v>
      </c>
      <c r="J90">
        <f>VLOOKUP($A90,'Raw RTF'!$A$8:$Q$1000,'Raw RTF'!J$5,FALSE)</f>
        <v>0</v>
      </c>
      <c r="K90">
        <f>VLOOKUP($A90,'Raw RTF'!$A$8:$Q$1000,'Raw RTF'!K$5,FALSE)</f>
        <v>0</v>
      </c>
      <c r="L90">
        <f>VLOOKUP($A90,'Raw RTF'!$A$8:$Q$1000,'Raw RTF'!L$5,FALSE)</f>
        <v>0</v>
      </c>
      <c r="M90">
        <f>VLOOKUP($A90,'Raw RTF'!$A$8:$Q$1000,'Raw RTF'!M$5,FALSE)</f>
        <v>0</v>
      </c>
      <c r="N90">
        <f>VLOOKUP($A90,'Raw RTF'!$A$8:$Q$1000,'Raw RTF'!N$5,FALSE)</f>
        <v>0</v>
      </c>
      <c r="O90">
        <f>VLOOKUP($A90,'Raw RTF'!$A$8:$Q$1000,'Raw RTF'!O$5,FALSE)</f>
        <v>0</v>
      </c>
      <c r="P90">
        <f>VLOOKUP($A90,'Raw RTF'!$A$8:$Q$1000,'Raw RTF'!P$5,FALSE)</f>
        <v>0</v>
      </c>
      <c r="Q90">
        <f>VLOOKUP($A90,'Raw RTF'!$A$8:$Q$1000,'Raw RTF'!Q$5,FALSE)</f>
        <v>0</v>
      </c>
    </row>
    <row r="91" spans="1:17" ht="25.5">
      <c r="A91" t="str">
        <f t="shared" si="1"/>
        <v>Windows - Double Pane to Class 30 - Heating Zone 3 (Zonal or DHP)WINDOW CL30 Prime Window Replacement of Double Pane Base</v>
      </c>
      <c r="B91" s="305" t="s">
        <v>1313</v>
      </c>
      <c r="C91" s="53" t="s">
        <v>95</v>
      </c>
      <c r="D91">
        <f>VLOOKUP($A91,'Raw RTF'!$A$8:$Q$1000,'Raw RTF'!D$5,FALSE)</f>
        <v>6.1580045203727858</v>
      </c>
      <c r="E91">
        <f>VLOOKUP($A91,'Raw RTF'!$A$8:$Q$1000,'Raw RTF'!E$5,FALSE)</f>
        <v>45</v>
      </c>
      <c r="F91">
        <f>VLOOKUP($A91,'Raw RTF'!$A$8:$Q$1000,'Raw RTF'!F$5,FALSE)</f>
        <v>18.513985646792214</v>
      </c>
      <c r="G91">
        <f>VLOOKUP($A91,'Raw RTF'!$A$8:$Q$1000,'Raw RTF'!G$5,FALSE)</f>
        <v>0</v>
      </c>
      <c r="H91" t="str">
        <f>VLOOKUP($A91,'Raw RTF'!$A$8:$Q$1000,'Raw RTF'!H$5,FALSE)</f>
        <v>ResSpHtBBZ3</v>
      </c>
      <c r="I91">
        <f>VLOOKUP($A91,'Raw RTF'!$A$8:$Q$1000,'Raw RTF'!I$5,FALSE)</f>
        <v>2.7025746524813078E-2</v>
      </c>
      <c r="J91">
        <f>VLOOKUP($A91,'Raw RTF'!$A$8:$Q$1000,'Raw RTF'!J$5,FALSE)</f>
        <v>0</v>
      </c>
      <c r="K91">
        <f>VLOOKUP($A91,'Raw RTF'!$A$8:$Q$1000,'Raw RTF'!K$5,FALSE)</f>
        <v>0</v>
      </c>
      <c r="L91">
        <f>VLOOKUP($A91,'Raw RTF'!$A$8:$Q$1000,'Raw RTF'!L$5,FALSE)</f>
        <v>0</v>
      </c>
      <c r="M91">
        <f>VLOOKUP($A91,'Raw RTF'!$A$8:$Q$1000,'Raw RTF'!M$5,FALSE)</f>
        <v>0</v>
      </c>
      <c r="N91">
        <f>VLOOKUP($A91,'Raw RTF'!$A$8:$Q$1000,'Raw RTF'!N$5,FALSE)</f>
        <v>0</v>
      </c>
      <c r="O91">
        <f>VLOOKUP($A91,'Raw RTF'!$A$8:$Q$1000,'Raw RTF'!O$5,FALSE)</f>
        <v>0</v>
      </c>
      <c r="P91">
        <f>VLOOKUP($A91,'Raw RTF'!$A$8:$Q$1000,'Raw RTF'!P$5,FALSE)</f>
        <v>0</v>
      </c>
      <c r="Q91">
        <f>VLOOKUP($A91,'Raw RTF'!$A$8:$Q$1000,'Raw RTF'!Q$5,FALSE)</f>
        <v>0</v>
      </c>
    </row>
    <row r="92" spans="1:17" ht="25.5">
      <c r="A92" t="str">
        <f t="shared" si="1"/>
        <v>Windows - Single Pane to Class 22 - Heating Zone 3 (Zonal or DHP)WINDOW CL22 Prime Window Replacement of Single Pane Base</v>
      </c>
      <c r="B92" s="305" t="s">
        <v>1315</v>
      </c>
      <c r="C92" s="53" t="s">
        <v>99</v>
      </c>
      <c r="D92">
        <f>VLOOKUP($A92,'Raw RTF'!$A$8:$Q$1000,'Raw RTF'!D$5,FALSE)</f>
        <v>14.039290219864315</v>
      </c>
      <c r="E92">
        <f>VLOOKUP($A92,'Raw RTF'!$A$8:$Q$1000,'Raw RTF'!E$5,FALSE)</f>
        <v>45</v>
      </c>
      <c r="F92">
        <f>VLOOKUP($A92,'Raw RTF'!$A$8:$Q$1000,'Raw RTF'!F$5,FALSE)</f>
        <v>21.803985646792214</v>
      </c>
      <c r="G92">
        <f>VLOOKUP($A92,'Raw RTF'!$A$8:$Q$1000,'Raw RTF'!G$5,FALSE)</f>
        <v>0</v>
      </c>
      <c r="H92" t="str">
        <f>VLOOKUP($A92,'Raw RTF'!$A$8:$Q$1000,'Raw RTF'!H$5,FALSE)</f>
        <v>ResSpHtBBZ3</v>
      </c>
      <c r="I92">
        <f>VLOOKUP($A92,'Raw RTF'!$A$8:$Q$1000,'Raw RTF'!I$5,FALSE)</f>
        <v>6.4347245365940969E-2</v>
      </c>
      <c r="J92">
        <f>VLOOKUP($A92,'Raw RTF'!$A$8:$Q$1000,'Raw RTF'!J$5,FALSE)</f>
        <v>0</v>
      </c>
      <c r="K92">
        <f>VLOOKUP($A92,'Raw RTF'!$A$8:$Q$1000,'Raw RTF'!K$5,FALSE)</f>
        <v>0</v>
      </c>
      <c r="L92">
        <f>VLOOKUP($A92,'Raw RTF'!$A$8:$Q$1000,'Raw RTF'!L$5,FALSE)</f>
        <v>0</v>
      </c>
      <c r="M92">
        <f>VLOOKUP($A92,'Raw RTF'!$A$8:$Q$1000,'Raw RTF'!M$5,FALSE)</f>
        <v>0</v>
      </c>
      <c r="N92">
        <f>VLOOKUP($A92,'Raw RTF'!$A$8:$Q$1000,'Raw RTF'!N$5,FALSE)</f>
        <v>0</v>
      </c>
      <c r="O92">
        <f>VLOOKUP($A92,'Raw RTF'!$A$8:$Q$1000,'Raw RTF'!O$5,FALSE)</f>
        <v>0</v>
      </c>
      <c r="P92">
        <f>VLOOKUP($A92,'Raw RTF'!$A$8:$Q$1000,'Raw RTF'!P$5,FALSE)</f>
        <v>0</v>
      </c>
      <c r="Q92">
        <f>VLOOKUP($A92,'Raw RTF'!$A$8:$Q$1000,'Raw RTF'!Q$5,FALSE)</f>
        <v>0</v>
      </c>
    </row>
    <row r="93" spans="1:17" ht="25.5">
      <c r="A93" t="str">
        <f t="shared" si="1"/>
        <v>Windows - Double Pane to Class 22 - Heating Zone 3 (Zonal or DHP)WINDOW CL22 Prime Window Replacement of Double Pane Base</v>
      </c>
      <c r="B93" s="305" t="s">
        <v>1316</v>
      </c>
      <c r="C93" s="53" t="s">
        <v>101</v>
      </c>
      <c r="D93">
        <f>VLOOKUP($A93,'Raw RTF'!$A$8:$Q$1000,'Raw RTF'!D$5,FALSE)</f>
        <v>7.1741234089004928</v>
      </c>
      <c r="E93">
        <f>VLOOKUP($A93,'Raw RTF'!$A$8:$Q$1000,'Raw RTF'!E$5,FALSE)</f>
        <v>45</v>
      </c>
      <c r="F93">
        <f>VLOOKUP($A93,'Raw RTF'!$A$8:$Q$1000,'Raw RTF'!F$5,FALSE)</f>
        <v>21.803985646792214</v>
      </c>
      <c r="G93">
        <f>VLOOKUP($A93,'Raw RTF'!$A$8:$Q$1000,'Raw RTF'!G$5,FALSE)</f>
        <v>0</v>
      </c>
      <c r="H93" t="str">
        <f>VLOOKUP($A93,'Raw RTF'!$A$8:$Q$1000,'Raw RTF'!H$5,FALSE)</f>
        <v>ResSpHtBBZ3</v>
      </c>
      <c r="I93">
        <f>VLOOKUP($A93,'Raw RTF'!$A$8:$Q$1000,'Raw RTF'!I$5,FALSE)</f>
        <v>3.3026913245565011E-2</v>
      </c>
      <c r="J93">
        <f>VLOOKUP($A93,'Raw RTF'!$A$8:$Q$1000,'Raw RTF'!J$5,FALSE)</f>
        <v>0</v>
      </c>
      <c r="K93">
        <f>VLOOKUP($A93,'Raw RTF'!$A$8:$Q$1000,'Raw RTF'!K$5,FALSE)</f>
        <v>0</v>
      </c>
      <c r="L93">
        <f>VLOOKUP($A93,'Raw RTF'!$A$8:$Q$1000,'Raw RTF'!L$5,FALSE)</f>
        <v>0</v>
      </c>
      <c r="M93">
        <f>VLOOKUP($A93,'Raw RTF'!$A$8:$Q$1000,'Raw RTF'!M$5,FALSE)</f>
        <v>0</v>
      </c>
      <c r="N93">
        <f>VLOOKUP($A93,'Raw RTF'!$A$8:$Q$1000,'Raw RTF'!N$5,FALSE)</f>
        <v>0</v>
      </c>
      <c r="O93">
        <f>VLOOKUP($A93,'Raw RTF'!$A$8:$Q$1000,'Raw RTF'!O$5,FALSE)</f>
        <v>0</v>
      </c>
      <c r="P93">
        <f>VLOOKUP($A93,'Raw RTF'!$A$8:$Q$1000,'Raw RTF'!P$5,FALSE)</f>
        <v>0</v>
      </c>
      <c r="Q93">
        <f>VLOOKUP($A93,'Raw RTF'!$A$8:$Q$1000,'Raw RTF'!Q$5,FALSE)</f>
        <v>0</v>
      </c>
    </row>
    <row r="94" spans="1:17">
      <c r="A94" t="str">
        <f t="shared" si="1"/>
        <v>Infiltration Reduction - CFM50 reduction - Heating Zone 3 (Zonal or DHP)CFM50 Infiltration Reduction</v>
      </c>
      <c r="B94" s="305" t="s">
        <v>1318</v>
      </c>
      <c r="C94" s="305" t="s">
        <v>1362</v>
      </c>
      <c r="D94">
        <f>VLOOKUP($A94,'Raw RTF'!$A$8:$Q$1000,'Raw RTF'!D$5,FALSE)</f>
        <v>0.54965076267456758</v>
      </c>
      <c r="E94">
        <f>VLOOKUP($A94,'Raw RTF'!$A$8:$Q$1000,'Raw RTF'!E$5,FALSE)</f>
        <v>15</v>
      </c>
      <c r="F94">
        <f>VLOOKUP($A94,'Raw RTF'!$A$8:$Q$1000,'Raw RTF'!F$5,FALSE)</f>
        <v>0.6607178075171779</v>
      </c>
      <c r="G94">
        <f>VLOOKUP($A94,'Raw RTF'!$A$8:$Q$1000,'Raw RTF'!G$5,FALSE)</f>
        <v>0</v>
      </c>
      <c r="H94" t="str">
        <f>VLOOKUP($A94,'Raw RTF'!$A$8:$Q$1000,'Raw RTF'!H$5,FALSE)</f>
        <v>ResSpHtBBZ3</v>
      </c>
      <c r="I94">
        <f>VLOOKUP($A94,'Raw RTF'!$A$8:$Q$1000,'Raw RTF'!I$5,FALSE)</f>
        <v>2.7643415400723072E-3</v>
      </c>
      <c r="J94">
        <f>VLOOKUP($A94,'Raw RTF'!$A$8:$Q$1000,'Raw RTF'!J$5,FALSE)</f>
        <v>0</v>
      </c>
      <c r="K94">
        <f>VLOOKUP($A94,'Raw RTF'!$A$8:$Q$1000,'Raw RTF'!K$5,FALSE)</f>
        <v>0</v>
      </c>
      <c r="L94">
        <f>VLOOKUP($A94,'Raw RTF'!$A$8:$Q$1000,'Raw RTF'!L$5,FALSE)</f>
        <v>0</v>
      </c>
      <c r="M94">
        <f>VLOOKUP($A94,'Raw RTF'!$A$8:$Q$1000,'Raw RTF'!M$5,FALSE)</f>
        <v>0</v>
      </c>
      <c r="N94">
        <f>VLOOKUP($A94,'Raw RTF'!$A$8:$Q$1000,'Raw RTF'!N$5,FALSE)</f>
        <v>0</v>
      </c>
      <c r="O94">
        <f>VLOOKUP($A94,'Raw RTF'!$A$8:$Q$1000,'Raw RTF'!O$5,FALSE)</f>
        <v>0</v>
      </c>
      <c r="P94">
        <f>VLOOKUP($A94,'Raw RTF'!$A$8:$Q$1000,'Raw RTF'!P$5,FALSE)</f>
        <v>0</v>
      </c>
      <c r="Q94">
        <f>VLOOKUP($A94,'Raw RTF'!$A$8:$Q$1000,'Raw RTF'!Q$5,FALSE)</f>
        <v>0</v>
      </c>
    </row>
    <row r="95" spans="1:17">
      <c r="A95" t="str">
        <f t="shared" si="1"/>
        <v>Single Family Weatherization - Insulate Attic - R0 to R38 - Heating Zone 1 (Heat Pump)ATTIC R0 - R38</v>
      </c>
      <c r="B95" s="53" t="s">
        <v>148</v>
      </c>
      <c r="C95" s="53" t="s">
        <v>68</v>
      </c>
      <c r="D95">
        <f>VLOOKUP($A95,'Raw RTF'!$A$8:$Q$1000,'Raw RTF'!D$5,FALSE)</f>
        <v>1.0251421396294926</v>
      </c>
      <c r="E95">
        <f>VLOOKUP($A95,'Raw RTF'!$A$8:$Q$1000,'Raw RTF'!E$5,FALSE)</f>
        <v>45</v>
      </c>
      <c r="F95">
        <f>VLOOKUP($A95,'Raw RTF'!$A$8:$Q$1000,'Raw RTF'!F$5,FALSE)</f>
        <v>0.98066043810604342</v>
      </c>
      <c r="G95">
        <f>VLOOKUP($A95,'Raw RTF'!$A$8:$Q$1000,'Raw RTF'!G$5,FALSE)</f>
        <v>0</v>
      </c>
      <c r="H95" t="str">
        <f>VLOOKUP($A95,'Raw RTF'!$A$8:$Q$1000,'Raw RTF'!H$5,FALSE)</f>
        <v>ResSpHtHPZ1</v>
      </c>
      <c r="I95">
        <f>VLOOKUP($A95,'Raw RTF'!$A$8:$Q$1000,'Raw RTF'!I$5,FALSE)</f>
        <v>4.1111644751649244E-3</v>
      </c>
      <c r="J95">
        <f>VLOOKUP($A95,'Raw RTF'!$A$8:$Q$1000,'Raw RTF'!J$5,FALSE)</f>
        <v>0</v>
      </c>
      <c r="K95">
        <f>VLOOKUP($A95,'Raw RTF'!$A$8:$Q$1000,'Raw RTF'!K$5,FALSE)</f>
        <v>0</v>
      </c>
      <c r="L95">
        <f>VLOOKUP($A95,'Raw RTF'!$A$8:$Q$1000,'Raw RTF'!L$5,FALSE)</f>
        <v>0</v>
      </c>
      <c r="M95">
        <f>VLOOKUP($A95,'Raw RTF'!$A$8:$Q$1000,'Raw RTF'!M$5,FALSE)</f>
        <v>0</v>
      </c>
      <c r="N95">
        <f>VLOOKUP($A95,'Raw RTF'!$A$8:$Q$1000,'Raw RTF'!N$5,FALSE)</f>
        <v>0</v>
      </c>
      <c r="O95">
        <f>VLOOKUP($A95,'Raw RTF'!$A$8:$Q$1000,'Raw RTF'!O$5,FALSE)</f>
        <v>0</v>
      </c>
      <c r="P95">
        <f>VLOOKUP($A95,'Raw RTF'!$A$8:$Q$1000,'Raw RTF'!P$5,FALSE)</f>
        <v>0</v>
      </c>
      <c r="Q95">
        <f>VLOOKUP($A95,'Raw RTF'!$A$8:$Q$1000,'Raw RTF'!Q$5,FALSE)</f>
        <v>0</v>
      </c>
    </row>
    <row r="96" spans="1:17">
      <c r="A96" t="str">
        <f t="shared" si="1"/>
        <v>Single Family Weatherization - Insulate Attic - R0 to R49 - Heating Zone 1 (Heat Pump)ATTIC R0 - R49</v>
      </c>
      <c r="B96" s="53" t="s">
        <v>150</v>
      </c>
      <c r="C96" s="53" t="s">
        <v>71</v>
      </c>
      <c r="D96">
        <f>VLOOKUP($A96,'Raw RTF'!$A$8:$Q$1000,'Raw RTF'!D$5,FALSE)</f>
        <v>1.0390832465027031</v>
      </c>
      <c r="E96">
        <f>VLOOKUP($A96,'Raw RTF'!$A$8:$Q$1000,'Raw RTF'!E$5,FALSE)</f>
        <v>45</v>
      </c>
      <c r="F96">
        <f>VLOOKUP($A96,'Raw RTF'!$A$8:$Q$1000,'Raw RTF'!F$5,FALSE)</f>
        <v>1.1198946019755947</v>
      </c>
      <c r="G96">
        <f>VLOOKUP($A96,'Raw RTF'!$A$8:$Q$1000,'Raw RTF'!G$5,FALSE)</f>
        <v>0</v>
      </c>
      <c r="H96" t="str">
        <f>VLOOKUP($A96,'Raw RTF'!$A$8:$Q$1000,'Raw RTF'!H$5,FALSE)</f>
        <v>ResSpHtHPZ1</v>
      </c>
      <c r="I96">
        <f>VLOOKUP($A96,'Raw RTF'!$A$8:$Q$1000,'Raw RTF'!I$5,FALSE)</f>
        <v>4.2711101578504539E-3</v>
      </c>
      <c r="J96">
        <f>VLOOKUP($A96,'Raw RTF'!$A$8:$Q$1000,'Raw RTF'!J$5,FALSE)</f>
        <v>0</v>
      </c>
      <c r="K96">
        <f>VLOOKUP($A96,'Raw RTF'!$A$8:$Q$1000,'Raw RTF'!K$5,FALSE)</f>
        <v>0</v>
      </c>
      <c r="L96">
        <f>VLOOKUP($A96,'Raw RTF'!$A$8:$Q$1000,'Raw RTF'!L$5,FALSE)</f>
        <v>0</v>
      </c>
      <c r="M96">
        <f>VLOOKUP($A96,'Raw RTF'!$A$8:$Q$1000,'Raw RTF'!M$5,FALSE)</f>
        <v>0</v>
      </c>
      <c r="N96">
        <f>VLOOKUP($A96,'Raw RTF'!$A$8:$Q$1000,'Raw RTF'!N$5,FALSE)</f>
        <v>0</v>
      </c>
      <c r="O96">
        <f>VLOOKUP($A96,'Raw RTF'!$A$8:$Q$1000,'Raw RTF'!O$5,FALSE)</f>
        <v>0</v>
      </c>
      <c r="P96">
        <f>VLOOKUP($A96,'Raw RTF'!$A$8:$Q$1000,'Raw RTF'!P$5,FALSE)</f>
        <v>0</v>
      </c>
      <c r="Q96">
        <f>VLOOKUP($A96,'Raw RTF'!$A$8:$Q$1000,'Raw RTF'!Q$5,FALSE)</f>
        <v>0</v>
      </c>
    </row>
    <row r="97" spans="1:17">
      <c r="A97" t="str">
        <f t="shared" si="1"/>
        <v>Single Family Weatherization - Insulate Attic - R11 to R38 - Heating Zone 1 (Heat Pump)ATTIC R11 - R38</v>
      </c>
      <c r="B97" s="53" t="s">
        <v>151</v>
      </c>
      <c r="C97" s="53" t="s">
        <v>73</v>
      </c>
      <c r="D97">
        <f>VLOOKUP($A97,'Raw RTF'!$A$8:$Q$1000,'Raw RTF'!D$5,FALSE)</f>
        <v>0.20679672924846595</v>
      </c>
      <c r="E97">
        <f>VLOOKUP($A97,'Raw RTF'!$A$8:$Q$1000,'Raw RTF'!E$5,FALSE)</f>
        <v>45</v>
      </c>
      <c r="F97">
        <f>VLOOKUP($A97,'Raw RTF'!$A$8:$Q$1000,'Raw RTF'!F$5,FALSE)</f>
        <v>0.84142627423649186</v>
      </c>
      <c r="G97">
        <f>VLOOKUP($A97,'Raw RTF'!$A$8:$Q$1000,'Raw RTF'!G$5,FALSE)</f>
        <v>0</v>
      </c>
      <c r="H97" t="str">
        <f>VLOOKUP($A97,'Raw RTF'!$A$8:$Q$1000,'Raw RTF'!H$5,FALSE)</f>
        <v>ResSpHtHPZ1</v>
      </c>
      <c r="I97">
        <f>VLOOKUP($A97,'Raw RTF'!$A$8:$Q$1000,'Raw RTF'!I$5,FALSE)</f>
        <v>1.9798063385491117E-3</v>
      </c>
      <c r="J97">
        <f>VLOOKUP($A97,'Raw RTF'!$A$8:$Q$1000,'Raw RTF'!J$5,FALSE)</f>
        <v>0</v>
      </c>
      <c r="K97">
        <f>VLOOKUP($A97,'Raw RTF'!$A$8:$Q$1000,'Raw RTF'!K$5,FALSE)</f>
        <v>0</v>
      </c>
      <c r="L97">
        <f>VLOOKUP($A97,'Raw RTF'!$A$8:$Q$1000,'Raw RTF'!L$5,FALSE)</f>
        <v>0</v>
      </c>
      <c r="M97">
        <f>VLOOKUP($A97,'Raw RTF'!$A$8:$Q$1000,'Raw RTF'!M$5,FALSE)</f>
        <v>0</v>
      </c>
      <c r="N97">
        <f>VLOOKUP($A97,'Raw RTF'!$A$8:$Q$1000,'Raw RTF'!N$5,FALSE)</f>
        <v>0</v>
      </c>
      <c r="O97">
        <f>VLOOKUP($A97,'Raw RTF'!$A$8:$Q$1000,'Raw RTF'!O$5,FALSE)</f>
        <v>0</v>
      </c>
      <c r="P97">
        <f>VLOOKUP($A97,'Raw RTF'!$A$8:$Q$1000,'Raw RTF'!P$5,FALSE)</f>
        <v>0</v>
      </c>
      <c r="Q97">
        <f>VLOOKUP($A97,'Raw RTF'!$A$8:$Q$1000,'Raw RTF'!Q$5,FALSE)</f>
        <v>0</v>
      </c>
    </row>
    <row r="98" spans="1:17">
      <c r="A98" t="str">
        <f t="shared" si="1"/>
        <v>Single Family Weatherization - Insulate Attic - R11 to R49 - Heating Zone 1 (Heat Pump)ATTIC R11 - R49</v>
      </c>
      <c r="B98" s="53" t="s">
        <v>152</v>
      </c>
      <c r="C98" s="53" t="s">
        <v>75</v>
      </c>
      <c r="D98">
        <f>VLOOKUP($A98,'Raw RTF'!$A$8:$Q$1000,'Raw RTF'!D$5,FALSE)</f>
        <v>0.22428573317658493</v>
      </c>
      <c r="E98">
        <f>VLOOKUP($A98,'Raw RTF'!$A$8:$Q$1000,'Raw RTF'!E$5,FALSE)</f>
        <v>45</v>
      </c>
      <c r="F98">
        <f>VLOOKUP($A98,'Raw RTF'!$A$8:$Q$1000,'Raw RTF'!F$5,FALSE)</f>
        <v>0.98066043810604342</v>
      </c>
      <c r="G98">
        <f>VLOOKUP($A98,'Raw RTF'!$A$8:$Q$1000,'Raw RTF'!G$5,FALSE)</f>
        <v>0</v>
      </c>
      <c r="H98" t="str">
        <f>VLOOKUP($A98,'Raw RTF'!$A$8:$Q$1000,'Raw RTF'!H$5,FALSE)</f>
        <v>ResSpHtHPZ1</v>
      </c>
      <c r="I98">
        <f>VLOOKUP($A98,'Raw RTF'!$A$8:$Q$1000,'Raw RTF'!I$5,FALSE)</f>
        <v>2.1712351922584224E-3</v>
      </c>
      <c r="J98">
        <f>VLOOKUP($A98,'Raw RTF'!$A$8:$Q$1000,'Raw RTF'!J$5,FALSE)</f>
        <v>0</v>
      </c>
      <c r="K98">
        <f>VLOOKUP($A98,'Raw RTF'!$A$8:$Q$1000,'Raw RTF'!K$5,FALSE)</f>
        <v>0</v>
      </c>
      <c r="L98">
        <f>VLOOKUP($A98,'Raw RTF'!$A$8:$Q$1000,'Raw RTF'!L$5,FALSE)</f>
        <v>0</v>
      </c>
      <c r="M98">
        <f>VLOOKUP($A98,'Raw RTF'!$A$8:$Q$1000,'Raw RTF'!M$5,FALSE)</f>
        <v>0</v>
      </c>
      <c r="N98">
        <f>VLOOKUP($A98,'Raw RTF'!$A$8:$Q$1000,'Raw RTF'!N$5,FALSE)</f>
        <v>0</v>
      </c>
      <c r="O98">
        <f>VLOOKUP($A98,'Raw RTF'!$A$8:$Q$1000,'Raw RTF'!O$5,FALSE)</f>
        <v>0</v>
      </c>
      <c r="P98">
        <f>VLOOKUP($A98,'Raw RTF'!$A$8:$Q$1000,'Raw RTF'!P$5,FALSE)</f>
        <v>0</v>
      </c>
      <c r="Q98">
        <f>VLOOKUP($A98,'Raw RTF'!$A$8:$Q$1000,'Raw RTF'!Q$5,FALSE)</f>
        <v>0</v>
      </c>
    </row>
    <row r="99" spans="1:17">
      <c r="A99" t="str">
        <f t="shared" si="1"/>
        <v>Single Family Weatherization - Insulate Attic - R19 to R38 - Heating Zone 1 (Heat Pump)ATTIC R19 - R38</v>
      </c>
      <c r="B99" s="53" t="s">
        <v>153</v>
      </c>
      <c r="C99" s="53" t="s">
        <v>77</v>
      </c>
      <c r="D99">
        <f>VLOOKUP($A99,'Raw RTF'!$A$8:$Q$1000,'Raw RTF'!D$5,FALSE)</f>
        <v>0.10665945624832175</v>
      </c>
      <c r="E99">
        <f>VLOOKUP($A99,'Raw RTF'!$A$8:$Q$1000,'Raw RTF'!E$5,FALSE)</f>
        <v>45</v>
      </c>
      <c r="F99">
        <f>VLOOKUP($A99,'Raw RTF'!$A$8:$Q$1000,'Raw RTF'!F$5,FALSE)</f>
        <v>0.7401650641495453</v>
      </c>
      <c r="G99">
        <f>VLOOKUP($A99,'Raw RTF'!$A$8:$Q$1000,'Raw RTF'!G$5,FALSE)</f>
        <v>0</v>
      </c>
      <c r="H99" t="str">
        <f>VLOOKUP($A99,'Raw RTF'!$A$8:$Q$1000,'Raw RTF'!H$5,FALSE)</f>
        <v>ResSpHtHPZ1</v>
      </c>
      <c r="I99">
        <f>VLOOKUP($A99,'Raw RTF'!$A$8:$Q$1000,'Raw RTF'!I$5,FALSE)</f>
        <v>1.103147126035067E-3</v>
      </c>
      <c r="J99">
        <f>VLOOKUP($A99,'Raw RTF'!$A$8:$Q$1000,'Raw RTF'!J$5,FALSE)</f>
        <v>0</v>
      </c>
      <c r="K99">
        <f>VLOOKUP($A99,'Raw RTF'!$A$8:$Q$1000,'Raw RTF'!K$5,FALSE)</f>
        <v>0</v>
      </c>
      <c r="L99">
        <f>VLOOKUP($A99,'Raw RTF'!$A$8:$Q$1000,'Raw RTF'!L$5,FALSE)</f>
        <v>0</v>
      </c>
      <c r="M99">
        <f>VLOOKUP($A99,'Raw RTF'!$A$8:$Q$1000,'Raw RTF'!M$5,FALSE)</f>
        <v>0</v>
      </c>
      <c r="N99">
        <f>VLOOKUP($A99,'Raw RTF'!$A$8:$Q$1000,'Raw RTF'!N$5,FALSE)</f>
        <v>0</v>
      </c>
      <c r="O99">
        <f>VLOOKUP($A99,'Raw RTF'!$A$8:$Q$1000,'Raw RTF'!O$5,FALSE)</f>
        <v>0</v>
      </c>
      <c r="P99">
        <f>VLOOKUP($A99,'Raw RTF'!$A$8:$Q$1000,'Raw RTF'!P$5,FALSE)</f>
        <v>0</v>
      </c>
      <c r="Q99">
        <f>VLOOKUP($A99,'Raw RTF'!$A$8:$Q$1000,'Raw RTF'!Q$5,FALSE)</f>
        <v>0</v>
      </c>
    </row>
    <row r="100" spans="1:17">
      <c r="A100" t="str">
        <f t="shared" si="1"/>
        <v>Single Family Weatherization - Insulate Attic - R19 to R49 - Heating Zone 1 (Heat Pump)ATTIC R19 - R49</v>
      </c>
      <c r="B100" s="53" t="s">
        <v>154</v>
      </c>
      <c r="C100" s="53" t="s">
        <v>79</v>
      </c>
      <c r="D100">
        <f>VLOOKUP($A100,'Raw RTF'!$A$8:$Q$1000,'Raw RTF'!D$5,FALSE)</f>
        <v>0.12847470934687527</v>
      </c>
      <c r="E100">
        <f>VLOOKUP($A100,'Raw RTF'!$A$8:$Q$1000,'Raw RTF'!E$5,FALSE)</f>
        <v>45</v>
      </c>
      <c r="F100">
        <f>VLOOKUP($A100,'Raw RTF'!$A$8:$Q$1000,'Raw RTF'!F$5,FALSE)</f>
        <v>0.87939922801909687</v>
      </c>
      <c r="G100">
        <f>VLOOKUP($A100,'Raw RTF'!$A$8:$Q$1000,'Raw RTF'!G$5,FALSE)</f>
        <v>0</v>
      </c>
      <c r="H100" t="str">
        <f>VLOOKUP($A100,'Raw RTF'!$A$8:$Q$1000,'Raw RTF'!H$5,FALSE)</f>
        <v>ResSpHtHPZ1</v>
      </c>
      <c r="I100">
        <f>VLOOKUP($A100,'Raw RTF'!$A$8:$Q$1000,'Raw RTF'!I$5,FALSE)</f>
        <v>1.3412833648268644E-3</v>
      </c>
      <c r="J100">
        <f>VLOOKUP($A100,'Raw RTF'!$A$8:$Q$1000,'Raw RTF'!J$5,FALSE)</f>
        <v>0</v>
      </c>
      <c r="K100">
        <f>VLOOKUP($A100,'Raw RTF'!$A$8:$Q$1000,'Raw RTF'!K$5,FALSE)</f>
        <v>0</v>
      </c>
      <c r="L100">
        <f>VLOOKUP($A100,'Raw RTF'!$A$8:$Q$1000,'Raw RTF'!L$5,FALSE)</f>
        <v>0</v>
      </c>
      <c r="M100">
        <f>VLOOKUP($A100,'Raw RTF'!$A$8:$Q$1000,'Raw RTF'!M$5,FALSE)</f>
        <v>0</v>
      </c>
      <c r="N100">
        <f>VLOOKUP($A100,'Raw RTF'!$A$8:$Q$1000,'Raw RTF'!N$5,FALSE)</f>
        <v>0</v>
      </c>
      <c r="O100">
        <f>VLOOKUP($A100,'Raw RTF'!$A$8:$Q$1000,'Raw RTF'!O$5,FALSE)</f>
        <v>0</v>
      </c>
      <c r="P100">
        <f>VLOOKUP($A100,'Raw RTF'!$A$8:$Q$1000,'Raw RTF'!P$5,FALSE)</f>
        <v>0</v>
      </c>
      <c r="Q100">
        <f>VLOOKUP($A100,'Raw RTF'!$A$8:$Q$1000,'Raw RTF'!Q$5,FALSE)</f>
        <v>0</v>
      </c>
    </row>
    <row r="101" spans="1:17">
      <c r="A101" t="str">
        <f t="shared" si="1"/>
        <v>Single Family Weatherization - Insulate Wall - R0 to R11 - Heating Zone 1 (Heat Pump)WALL R0 - R11</v>
      </c>
      <c r="B101" s="53" t="s">
        <v>157</v>
      </c>
      <c r="C101" s="53" t="s">
        <v>85</v>
      </c>
      <c r="D101">
        <f>VLOOKUP($A101,'Raw RTF'!$A$8:$Q$1000,'Raw RTF'!D$5,FALSE)</f>
        <v>0.98340962411827126</v>
      </c>
      <c r="E101">
        <f>VLOOKUP($A101,'Raw RTF'!$A$8:$Q$1000,'Raw RTF'!E$5,FALSE)</f>
        <v>45</v>
      </c>
      <c r="F101">
        <f>VLOOKUP($A101,'Raw RTF'!$A$8:$Q$1000,'Raw RTF'!F$5,FALSE)</f>
        <v>1.3863525086966677</v>
      </c>
      <c r="G101">
        <f>VLOOKUP($A101,'Raw RTF'!$A$8:$Q$1000,'Raw RTF'!G$5,FALSE)</f>
        <v>0</v>
      </c>
      <c r="H101" t="str">
        <f>VLOOKUP($A101,'Raw RTF'!$A$8:$Q$1000,'Raw RTF'!H$5,FALSE)</f>
        <v>ResSpHtHPZ1</v>
      </c>
      <c r="I101">
        <f>VLOOKUP($A101,'Raw RTF'!$A$8:$Q$1000,'Raw RTF'!I$5,FALSE)</f>
        <v>6.4981158970168528E-3</v>
      </c>
      <c r="J101">
        <f>VLOOKUP($A101,'Raw RTF'!$A$8:$Q$1000,'Raw RTF'!J$5,FALSE)</f>
        <v>0</v>
      </c>
      <c r="K101">
        <f>VLOOKUP($A101,'Raw RTF'!$A$8:$Q$1000,'Raw RTF'!K$5,FALSE)</f>
        <v>0</v>
      </c>
      <c r="L101">
        <f>VLOOKUP($A101,'Raw RTF'!$A$8:$Q$1000,'Raw RTF'!L$5,FALSE)</f>
        <v>0</v>
      </c>
      <c r="M101">
        <f>VLOOKUP($A101,'Raw RTF'!$A$8:$Q$1000,'Raw RTF'!M$5,FALSE)</f>
        <v>0</v>
      </c>
      <c r="N101">
        <f>VLOOKUP($A101,'Raw RTF'!$A$8:$Q$1000,'Raw RTF'!N$5,FALSE)</f>
        <v>0</v>
      </c>
      <c r="O101">
        <f>VLOOKUP($A101,'Raw RTF'!$A$8:$Q$1000,'Raw RTF'!O$5,FALSE)</f>
        <v>0</v>
      </c>
      <c r="P101">
        <f>VLOOKUP($A101,'Raw RTF'!$A$8:$Q$1000,'Raw RTF'!P$5,FALSE)</f>
        <v>0</v>
      </c>
      <c r="Q101">
        <f>VLOOKUP($A101,'Raw RTF'!$A$8:$Q$1000,'Raw RTF'!Q$5,FALSE)</f>
        <v>0</v>
      </c>
    </row>
    <row r="102" spans="1:17">
      <c r="A102" t="str">
        <f t="shared" si="1"/>
        <v>Single Family Weatherization - Insulate Floor - R0 to R19 - Heating Zone 1 (Heat Pump)FLOOR R0 - R19</v>
      </c>
      <c r="B102" s="53" t="s">
        <v>158</v>
      </c>
      <c r="C102" s="53" t="s">
        <v>87</v>
      </c>
      <c r="D102">
        <f>VLOOKUP($A102,'Raw RTF'!$A$8:$Q$1000,'Raw RTF'!D$5,FALSE)</f>
        <v>0.22239667227741911</v>
      </c>
      <c r="E102">
        <f>VLOOKUP($A102,'Raw RTF'!$A$8:$Q$1000,'Raw RTF'!E$5,FALSE)</f>
        <v>45</v>
      </c>
      <c r="F102">
        <f>VLOOKUP($A102,'Raw RTF'!$A$8:$Q$1000,'Raw RTF'!F$5,FALSE)</f>
        <v>1.2290592529494864</v>
      </c>
      <c r="G102">
        <f>VLOOKUP($A102,'Raw RTF'!$A$8:$Q$1000,'Raw RTF'!G$5,FALSE)</f>
        <v>0</v>
      </c>
      <c r="H102" t="str">
        <f>VLOOKUP($A102,'Raw RTF'!$A$8:$Q$1000,'Raw RTF'!H$5,FALSE)</f>
        <v>ResSpHtHPZ1</v>
      </c>
      <c r="I102">
        <f>VLOOKUP($A102,'Raw RTF'!$A$8:$Q$1000,'Raw RTF'!I$5,FALSE)</f>
        <v>1.8868328063160805E-4</v>
      </c>
      <c r="J102">
        <f>VLOOKUP($A102,'Raw RTF'!$A$8:$Q$1000,'Raw RTF'!J$5,FALSE)</f>
        <v>0</v>
      </c>
      <c r="K102">
        <f>VLOOKUP($A102,'Raw RTF'!$A$8:$Q$1000,'Raw RTF'!K$5,FALSE)</f>
        <v>0</v>
      </c>
      <c r="L102">
        <f>VLOOKUP($A102,'Raw RTF'!$A$8:$Q$1000,'Raw RTF'!L$5,FALSE)</f>
        <v>0</v>
      </c>
      <c r="M102">
        <f>VLOOKUP($A102,'Raw RTF'!$A$8:$Q$1000,'Raw RTF'!M$5,FALSE)</f>
        <v>0</v>
      </c>
      <c r="N102">
        <f>VLOOKUP($A102,'Raw RTF'!$A$8:$Q$1000,'Raw RTF'!N$5,FALSE)</f>
        <v>0</v>
      </c>
      <c r="O102">
        <f>VLOOKUP($A102,'Raw RTF'!$A$8:$Q$1000,'Raw RTF'!O$5,FALSE)</f>
        <v>0</v>
      </c>
      <c r="P102">
        <f>VLOOKUP($A102,'Raw RTF'!$A$8:$Q$1000,'Raw RTF'!P$5,FALSE)</f>
        <v>0</v>
      </c>
      <c r="Q102">
        <f>VLOOKUP($A102,'Raw RTF'!$A$8:$Q$1000,'Raw RTF'!Q$5,FALSE)</f>
        <v>0</v>
      </c>
    </row>
    <row r="103" spans="1:17">
      <c r="A103" t="str">
        <f t="shared" si="1"/>
        <v>Single Family Weatherization - Insulate Floor - R0 to R25 - Heating Zone 1 (Heat Pump)FLOOR R0 - R25</v>
      </c>
      <c r="B103" s="53" t="s">
        <v>159</v>
      </c>
      <c r="C103" s="53" t="s">
        <v>89</v>
      </c>
      <c r="D103">
        <f>VLOOKUP($A103,'Raw RTF'!$A$8:$Q$1000,'Raw RTF'!D$5,FALSE)</f>
        <v>0.23924271309753536</v>
      </c>
      <c r="E103">
        <f>VLOOKUP($A103,'Raw RTF'!$A$8:$Q$1000,'Raw RTF'!E$5,FALSE)</f>
        <v>45</v>
      </c>
      <c r="F103">
        <f>VLOOKUP($A103,'Raw RTF'!$A$8:$Q$1000,'Raw RTF'!F$5,FALSE)</f>
        <v>1.2761252113477823</v>
      </c>
      <c r="G103">
        <f>VLOOKUP($A103,'Raw RTF'!$A$8:$Q$1000,'Raw RTF'!G$5,FALSE)</f>
        <v>0</v>
      </c>
      <c r="H103" t="str">
        <f>VLOOKUP($A103,'Raw RTF'!$A$8:$Q$1000,'Raw RTF'!H$5,FALSE)</f>
        <v>ResSpHtHPZ1</v>
      </c>
      <c r="I103">
        <f>VLOOKUP($A103,'Raw RTF'!$A$8:$Q$1000,'Raw RTF'!I$5,FALSE)</f>
        <v>3.6558425102834949E-4</v>
      </c>
      <c r="J103">
        <f>VLOOKUP($A103,'Raw RTF'!$A$8:$Q$1000,'Raw RTF'!J$5,FALSE)</f>
        <v>0</v>
      </c>
      <c r="K103">
        <f>VLOOKUP($A103,'Raw RTF'!$A$8:$Q$1000,'Raw RTF'!K$5,FALSE)</f>
        <v>0</v>
      </c>
      <c r="L103">
        <f>VLOOKUP($A103,'Raw RTF'!$A$8:$Q$1000,'Raw RTF'!L$5,FALSE)</f>
        <v>0</v>
      </c>
      <c r="M103">
        <f>VLOOKUP($A103,'Raw RTF'!$A$8:$Q$1000,'Raw RTF'!M$5,FALSE)</f>
        <v>0</v>
      </c>
      <c r="N103">
        <f>VLOOKUP($A103,'Raw RTF'!$A$8:$Q$1000,'Raw RTF'!N$5,FALSE)</f>
        <v>0</v>
      </c>
      <c r="O103">
        <f>VLOOKUP($A103,'Raw RTF'!$A$8:$Q$1000,'Raw RTF'!O$5,FALSE)</f>
        <v>0</v>
      </c>
      <c r="P103">
        <f>VLOOKUP($A103,'Raw RTF'!$A$8:$Q$1000,'Raw RTF'!P$5,FALSE)</f>
        <v>0</v>
      </c>
      <c r="Q103">
        <f>VLOOKUP($A103,'Raw RTF'!$A$8:$Q$1000,'Raw RTF'!Q$5,FALSE)</f>
        <v>0</v>
      </c>
    </row>
    <row r="104" spans="1:17">
      <c r="A104" t="str">
        <f t="shared" si="1"/>
        <v>Single Family Weatherization - Insulate Floor - R0 to R30 - Heating Zone 1 (Heat Pump)FLOOR R0 - R30</v>
      </c>
      <c r="B104" s="53" t="s">
        <v>160</v>
      </c>
      <c r="C104" s="53" t="s">
        <v>91</v>
      </c>
      <c r="D104">
        <f>VLOOKUP($A104,'Raw RTF'!$A$8:$Q$1000,'Raw RTF'!D$5,FALSE)</f>
        <v>0.24981822792407882</v>
      </c>
      <c r="E104">
        <f>VLOOKUP($A104,'Raw RTF'!$A$8:$Q$1000,'Raw RTF'!E$5,FALSE)</f>
        <v>45</v>
      </c>
      <c r="F104">
        <f>VLOOKUP($A104,'Raw RTF'!$A$8:$Q$1000,'Raw RTF'!F$5,FALSE)</f>
        <v>1.3153468433463626</v>
      </c>
      <c r="G104">
        <f>VLOOKUP($A104,'Raw RTF'!$A$8:$Q$1000,'Raw RTF'!G$5,FALSE)</f>
        <v>0</v>
      </c>
      <c r="H104" t="str">
        <f>VLOOKUP($A104,'Raw RTF'!$A$8:$Q$1000,'Raw RTF'!H$5,FALSE)</f>
        <v>ResSpHtHPZ1</v>
      </c>
      <c r="I104">
        <f>VLOOKUP($A104,'Raw RTF'!$A$8:$Q$1000,'Raw RTF'!I$5,FALSE)</f>
        <v>4.8295169800857256E-4</v>
      </c>
      <c r="J104">
        <f>VLOOKUP($A104,'Raw RTF'!$A$8:$Q$1000,'Raw RTF'!J$5,FALSE)</f>
        <v>0</v>
      </c>
      <c r="K104">
        <f>VLOOKUP($A104,'Raw RTF'!$A$8:$Q$1000,'Raw RTF'!K$5,FALSE)</f>
        <v>0</v>
      </c>
      <c r="L104">
        <f>VLOOKUP($A104,'Raw RTF'!$A$8:$Q$1000,'Raw RTF'!L$5,FALSE)</f>
        <v>0</v>
      </c>
      <c r="M104">
        <f>VLOOKUP($A104,'Raw RTF'!$A$8:$Q$1000,'Raw RTF'!M$5,FALSE)</f>
        <v>0</v>
      </c>
      <c r="N104">
        <f>VLOOKUP($A104,'Raw RTF'!$A$8:$Q$1000,'Raw RTF'!N$5,FALSE)</f>
        <v>0</v>
      </c>
      <c r="O104">
        <f>VLOOKUP($A104,'Raw RTF'!$A$8:$Q$1000,'Raw RTF'!O$5,FALSE)</f>
        <v>0</v>
      </c>
      <c r="P104">
        <f>VLOOKUP($A104,'Raw RTF'!$A$8:$Q$1000,'Raw RTF'!P$5,FALSE)</f>
        <v>0</v>
      </c>
      <c r="Q104">
        <f>VLOOKUP($A104,'Raw RTF'!$A$8:$Q$1000,'Raw RTF'!Q$5,FALSE)</f>
        <v>0</v>
      </c>
    </row>
    <row r="105" spans="1:17" ht="25.5">
      <c r="A105" t="str">
        <f t="shared" si="1"/>
        <v>Windows - Single Pane to Class 30 - Heating Zone 1 (Heat Pump)WINDOW CL30 Prime Window Replacement of Single Pane Base</v>
      </c>
      <c r="B105" s="53" t="s">
        <v>161</v>
      </c>
      <c r="C105" s="53" t="s">
        <v>93</v>
      </c>
      <c r="D105">
        <f>VLOOKUP($A105,'Raw RTF'!$A$8:$Q$1000,'Raw RTF'!D$5,FALSE)</f>
        <v>6.5784296745911552</v>
      </c>
      <c r="E105">
        <f>VLOOKUP($A105,'Raw RTF'!$A$8:$Q$1000,'Raw RTF'!E$5,FALSE)</f>
        <v>45</v>
      </c>
      <c r="F105">
        <f>VLOOKUP($A105,'Raw RTF'!$A$8:$Q$1000,'Raw RTF'!F$5,FALSE)</f>
        <v>18.513985646792214</v>
      </c>
      <c r="G105">
        <f>VLOOKUP($A105,'Raw RTF'!$A$8:$Q$1000,'Raw RTF'!G$5,FALSE)</f>
        <v>0</v>
      </c>
      <c r="H105" t="str">
        <f>VLOOKUP($A105,'Raw RTF'!$A$8:$Q$1000,'Raw RTF'!H$5,FALSE)</f>
        <v>ResSpHtHPZ1</v>
      </c>
      <c r="I105">
        <f>VLOOKUP($A105,'Raw RTF'!$A$8:$Q$1000,'Raw RTF'!I$5,FALSE)</f>
        <v>7.605849495906479E-2</v>
      </c>
      <c r="J105">
        <f>VLOOKUP($A105,'Raw RTF'!$A$8:$Q$1000,'Raw RTF'!J$5,FALSE)</f>
        <v>0</v>
      </c>
      <c r="K105">
        <f>VLOOKUP($A105,'Raw RTF'!$A$8:$Q$1000,'Raw RTF'!K$5,FALSE)</f>
        <v>0</v>
      </c>
      <c r="L105">
        <f>VLOOKUP($A105,'Raw RTF'!$A$8:$Q$1000,'Raw RTF'!L$5,FALSE)</f>
        <v>0</v>
      </c>
      <c r="M105">
        <f>VLOOKUP($A105,'Raw RTF'!$A$8:$Q$1000,'Raw RTF'!M$5,FALSE)</f>
        <v>0</v>
      </c>
      <c r="N105">
        <f>VLOOKUP($A105,'Raw RTF'!$A$8:$Q$1000,'Raw RTF'!N$5,FALSE)</f>
        <v>0</v>
      </c>
      <c r="O105">
        <f>VLOOKUP($A105,'Raw RTF'!$A$8:$Q$1000,'Raw RTF'!O$5,FALSE)</f>
        <v>0</v>
      </c>
      <c r="P105">
        <f>VLOOKUP($A105,'Raw RTF'!$A$8:$Q$1000,'Raw RTF'!P$5,FALSE)</f>
        <v>0</v>
      </c>
      <c r="Q105">
        <f>VLOOKUP($A105,'Raw RTF'!$A$8:$Q$1000,'Raw RTF'!Q$5,FALSE)</f>
        <v>0</v>
      </c>
    </row>
    <row r="106" spans="1:17" ht="25.5">
      <c r="A106" t="str">
        <f t="shared" si="1"/>
        <v>Windows - Double Pane to Class 30 - Heating Zone 1 (Heat Pump)WINDOW CL30 Prime Window Replacement of Double Pane Base</v>
      </c>
      <c r="B106" s="53" t="s">
        <v>162</v>
      </c>
      <c r="C106" s="53" t="s">
        <v>95</v>
      </c>
      <c r="D106">
        <f>VLOOKUP($A106,'Raw RTF'!$A$8:$Q$1000,'Raw RTF'!D$5,FALSE)</f>
        <v>2.8980026649275898</v>
      </c>
      <c r="E106">
        <f>VLOOKUP($A106,'Raw RTF'!$A$8:$Q$1000,'Raw RTF'!E$5,FALSE)</f>
        <v>45</v>
      </c>
      <c r="F106">
        <f>VLOOKUP($A106,'Raw RTF'!$A$8:$Q$1000,'Raw RTF'!F$5,FALSE)</f>
        <v>18.513985646792214</v>
      </c>
      <c r="G106">
        <f>VLOOKUP($A106,'Raw RTF'!$A$8:$Q$1000,'Raw RTF'!G$5,FALSE)</f>
        <v>0</v>
      </c>
      <c r="H106" t="str">
        <f>VLOOKUP($A106,'Raw RTF'!$A$8:$Q$1000,'Raw RTF'!H$5,FALSE)</f>
        <v>ResSpHtHPZ1</v>
      </c>
      <c r="I106">
        <f>VLOOKUP($A106,'Raw RTF'!$A$8:$Q$1000,'Raw RTF'!I$5,FALSE)</f>
        <v>3.2316032872136434E-2</v>
      </c>
      <c r="J106">
        <f>VLOOKUP($A106,'Raw RTF'!$A$8:$Q$1000,'Raw RTF'!J$5,FALSE)</f>
        <v>0</v>
      </c>
      <c r="K106">
        <f>VLOOKUP($A106,'Raw RTF'!$A$8:$Q$1000,'Raw RTF'!K$5,FALSE)</f>
        <v>0</v>
      </c>
      <c r="L106">
        <f>VLOOKUP($A106,'Raw RTF'!$A$8:$Q$1000,'Raw RTF'!L$5,FALSE)</f>
        <v>0</v>
      </c>
      <c r="M106">
        <f>VLOOKUP($A106,'Raw RTF'!$A$8:$Q$1000,'Raw RTF'!M$5,FALSE)</f>
        <v>0</v>
      </c>
      <c r="N106">
        <f>VLOOKUP($A106,'Raw RTF'!$A$8:$Q$1000,'Raw RTF'!N$5,FALSE)</f>
        <v>0</v>
      </c>
      <c r="O106">
        <f>VLOOKUP($A106,'Raw RTF'!$A$8:$Q$1000,'Raw RTF'!O$5,FALSE)</f>
        <v>0</v>
      </c>
      <c r="P106">
        <f>VLOOKUP($A106,'Raw RTF'!$A$8:$Q$1000,'Raw RTF'!P$5,FALSE)</f>
        <v>0</v>
      </c>
      <c r="Q106">
        <f>VLOOKUP($A106,'Raw RTF'!$A$8:$Q$1000,'Raw RTF'!Q$5,FALSE)</f>
        <v>0</v>
      </c>
    </row>
    <row r="107" spans="1:17" ht="25.5">
      <c r="A107" t="str">
        <f t="shared" si="1"/>
        <v>Windows - Single Pane to Class 22 - Heating Zone 1 (Heat Pump)WINDOW CL22 Prime Window Replacement of Single Pane Base</v>
      </c>
      <c r="B107" s="53" t="s">
        <v>164</v>
      </c>
      <c r="C107" s="53" t="s">
        <v>99</v>
      </c>
      <c r="D107">
        <f>VLOOKUP($A107,'Raw RTF'!$A$8:$Q$1000,'Raw RTF'!D$5,FALSE)</f>
        <v>7.2233616932821576</v>
      </c>
      <c r="E107">
        <f>VLOOKUP($A107,'Raw RTF'!$A$8:$Q$1000,'Raw RTF'!E$5,FALSE)</f>
        <v>45</v>
      </c>
      <c r="F107">
        <f>VLOOKUP($A107,'Raw RTF'!$A$8:$Q$1000,'Raw RTF'!F$5,FALSE)</f>
        <v>21.803985646792214</v>
      </c>
      <c r="G107">
        <f>VLOOKUP($A107,'Raw RTF'!$A$8:$Q$1000,'Raw RTF'!G$5,FALSE)</f>
        <v>0</v>
      </c>
      <c r="H107" t="str">
        <f>VLOOKUP($A107,'Raw RTF'!$A$8:$Q$1000,'Raw RTF'!H$5,FALSE)</f>
        <v>ResSpHtHPZ1</v>
      </c>
      <c r="I107">
        <f>VLOOKUP($A107,'Raw RTF'!$A$8:$Q$1000,'Raw RTF'!I$5,FALSE)</f>
        <v>8.5225161940984853E-2</v>
      </c>
      <c r="J107">
        <f>VLOOKUP($A107,'Raw RTF'!$A$8:$Q$1000,'Raw RTF'!J$5,FALSE)</f>
        <v>0</v>
      </c>
      <c r="K107">
        <f>VLOOKUP($A107,'Raw RTF'!$A$8:$Q$1000,'Raw RTF'!K$5,FALSE)</f>
        <v>0</v>
      </c>
      <c r="L107">
        <f>VLOOKUP($A107,'Raw RTF'!$A$8:$Q$1000,'Raw RTF'!L$5,FALSE)</f>
        <v>0</v>
      </c>
      <c r="M107">
        <f>VLOOKUP($A107,'Raw RTF'!$A$8:$Q$1000,'Raw RTF'!M$5,FALSE)</f>
        <v>0</v>
      </c>
      <c r="N107">
        <f>VLOOKUP($A107,'Raw RTF'!$A$8:$Q$1000,'Raw RTF'!N$5,FALSE)</f>
        <v>0</v>
      </c>
      <c r="O107">
        <f>VLOOKUP($A107,'Raw RTF'!$A$8:$Q$1000,'Raw RTF'!O$5,FALSE)</f>
        <v>0</v>
      </c>
      <c r="P107">
        <f>VLOOKUP($A107,'Raw RTF'!$A$8:$Q$1000,'Raw RTF'!P$5,FALSE)</f>
        <v>0</v>
      </c>
      <c r="Q107">
        <f>VLOOKUP($A107,'Raw RTF'!$A$8:$Q$1000,'Raw RTF'!Q$5,FALSE)</f>
        <v>0</v>
      </c>
    </row>
    <row r="108" spans="1:17" ht="25.5">
      <c r="A108" t="str">
        <f t="shared" si="1"/>
        <v>Windows - Double Pane to Class 22 - Heating Zone 1 (Heat Pump)WINDOW CL22 Prime Window Replacement of Double Pane Base</v>
      </c>
      <c r="B108" s="53" t="s">
        <v>165</v>
      </c>
      <c r="C108" s="53" t="s">
        <v>101</v>
      </c>
      <c r="D108">
        <f>VLOOKUP($A108,'Raw RTF'!$A$8:$Q$1000,'Raw RTF'!D$5,FALSE)</f>
        <v>3.4081433942219848</v>
      </c>
      <c r="E108">
        <f>VLOOKUP($A108,'Raw RTF'!$A$8:$Q$1000,'Raw RTF'!E$5,FALSE)</f>
        <v>45</v>
      </c>
      <c r="F108">
        <f>VLOOKUP($A108,'Raw RTF'!$A$8:$Q$1000,'Raw RTF'!F$5,FALSE)</f>
        <v>21.803985646792214</v>
      </c>
      <c r="G108">
        <f>VLOOKUP($A108,'Raw RTF'!$A$8:$Q$1000,'Raw RTF'!G$5,FALSE)</f>
        <v>0</v>
      </c>
      <c r="H108" t="str">
        <f>VLOOKUP($A108,'Raw RTF'!$A$8:$Q$1000,'Raw RTF'!H$5,FALSE)</f>
        <v>ResSpHtHPZ1</v>
      </c>
      <c r="I108">
        <f>VLOOKUP($A108,'Raw RTF'!$A$8:$Q$1000,'Raw RTF'!I$5,FALSE)</f>
        <v>3.9377146869136161E-2</v>
      </c>
      <c r="J108">
        <f>VLOOKUP($A108,'Raw RTF'!$A$8:$Q$1000,'Raw RTF'!J$5,FALSE)</f>
        <v>0</v>
      </c>
      <c r="K108">
        <f>VLOOKUP($A108,'Raw RTF'!$A$8:$Q$1000,'Raw RTF'!K$5,FALSE)</f>
        <v>0</v>
      </c>
      <c r="L108">
        <f>VLOOKUP($A108,'Raw RTF'!$A$8:$Q$1000,'Raw RTF'!L$5,FALSE)</f>
        <v>0</v>
      </c>
      <c r="M108">
        <f>VLOOKUP($A108,'Raw RTF'!$A$8:$Q$1000,'Raw RTF'!M$5,FALSE)</f>
        <v>0</v>
      </c>
      <c r="N108">
        <f>VLOOKUP($A108,'Raw RTF'!$A$8:$Q$1000,'Raw RTF'!N$5,FALSE)</f>
        <v>0</v>
      </c>
      <c r="O108">
        <f>VLOOKUP($A108,'Raw RTF'!$A$8:$Q$1000,'Raw RTF'!O$5,FALSE)</f>
        <v>0</v>
      </c>
      <c r="P108">
        <f>VLOOKUP($A108,'Raw RTF'!$A$8:$Q$1000,'Raw RTF'!P$5,FALSE)</f>
        <v>0</v>
      </c>
      <c r="Q108">
        <f>VLOOKUP($A108,'Raw RTF'!$A$8:$Q$1000,'Raw RTF'!Q$5,FALSE)</f>
        <v>0</v>
      </c>
    </row>
    <row r="109" spans="1:17">
      <c r="A109" t="str">
        <f t="shared" si="1"/>
        <v>Infiltration Reduction - CFM50 reduction - Heating Zone 1 (Heat Pump)CFM50 Infiltration Reduction</v>
      </c>
      <c r="B109" s="53" t="s">
        <v>167</v>
      </c>
      <c r="C109" s="305" t="s">
        <v>1362</v>
      </c>
      <c r="D109">
        <f>VLOOKUP($A109,'Raw RTF'!$A$8:$Q$1000,'Raw RTF'!D$5,FALSE)</f>
        <v>0.25087993664758929</v>
      </c>
      <c r="E109">
        <f>VLOOKUP($A109,'Raw RTF'!$A$8:$Q$1000,'Raw RTF'!E$5,FALSE)</f>
        <v>15</v>
      </c>
      <c r="F109">
        <f>VLOOKUP($A109,'Raw RTF'!$A$8:$Q$1000,'Raw RTF'!F$5,FALSE)</f>
        <v>0.6607178075171779</v>
      </c>
      <c r="G109">
        <f>VLOOKUP($A109,'Raw RTF'!$A$8:$Q$1000,'Raw RTF'!G$5,FALSE)</f>
        <v>0</v>
      </c>
      <c r="H109" t="str">
        <f>VLOOKUP($A109,'Raw RTF'!$A$8:$Q$1000,'Raw RTF'!H$5,FALSE)</f>
        <v>ResSpHtHPZ1</v>
      </c>
      <c r="I109">
        <f>VLOOKUP($A109,'Raw RTF'!$A$8:$Q$1000,'Raw RTF'!I$5,FALSE)</f>
        <v>3.0462485984745213E-3</v>
      </c>
      <c r="J109">
        <f>VLOOKUP($A109,'Raw RTF'!$A$8:$Q$1000,'Raw RTF'!J$5,FALSE)</f>
        <v>0</v>
      </c>
      <c r="K109">
        <f>VLOOKUP($A109,'Raw RTF'!$A$8:$Q$1000,'Raw RTF'!K$5,FALSE)</f>
        <v>0</v>
      </c>
      <c r="L109">
        <f>VLOOKUP($A109,'Raw RTF'!$A$8:$Q$1000,'Raw RTF'!L$5,FALSE)</f>
        <v>0</v>
      </c>
      <c r="M109">
        <f>VLOOKUP($A109,'Raw RTF'!$A$8:$Q$1000,'Raw RTF'!M$5,FALSE)</f>
        <v>0</v>
      </c>
      <c r="N109">
        <f>VLOOKUP($A109,'Raw RTF'!$A$8:$Q$1000,'Raw RTF'!N$5,FALSE)</f>
        <v>0</v>
      </c>
      <c r="O109">
        <f>VLOOKUP($A109,'Raw RTF'!$A$8:$Q$1000,'Raw RTF'!O$5,FALSE)</f>
        <v>0</v>
      </c>
      <c r="P109">
        <f>VLOOKUP($A109,'Raw RTF'!$A$8:$Q$1000,'Raw RTF'!P$5,FALSE)</f>
        <v>0</v>
      </c>
      <c r="Q109">
        <f>VLOOKUP($A109,'Raw RTF'!$A$8:$Q$1000,'Raw RTF'!Q$5,FALSE)</f>
        <v>0</v>
      </c>
    </row>
    <row r="110" spans="1:17">
      <c r="A110" t="str">
        <f t="shared" si="1"/>
        <v>Single Family Weatherization - Insulate Attic - R0 to R38 - Heating Zone 2 (Heat Pump)ATTIC R0 - R38</v>
      </c>
      <c r="B110" s="53" t="s">
        <v>168</v>
      </c>
      <c r="C110" s="53" t="s">
        <v>68</v>
      </c>
      <c r="D110">
        <f>VLOOKUP($A110,'Raw RTF'!$A$8:$Q$1000,'Raw RTF'!D$5,FALSE)</f>
        <v>1.6613255084456764</v>
      </c>
      <c r="E110">
        <f>VLOOKUP($A110,'Raw RTF'!$A$8:$Q$1000,'Raw RTF'!E$5,FALSE)</f>
        <v>45</v>
      </c>
      <c r="F110">
        <f>VLOOKUP($A110,'Raw RTF'!$A$8:$Q$1000,'Raw RTF'!F$5,FALSE)</f>
        <v>0.98066043810604342</v>
      </c>
      <c r="G110">
        <f>VLOOKUP($A110,'Raw RTF'!$A$8:$Q$1000,'Raw RTF'!G$5,FALSE)</f>
        <v>0</v>
      </c>
      <c r="H110" t="str">
        <f>VLOOKUP($A110,'Raw RTF'!$A$8:$Q$1000,'Raw RTF'!H$5,FALSE)</f>
        <v>ResSpHtHPZ2</v>
      </c>
      <c r="I110">
        <f>VLOOKUP($A110,'Raw RTF'!$A$8:$Q$1000,'Raw RTF'!I$5,FALSE)</f>
        <v>7.7974302231037362E-3</v>
      </c>
      <c r="J110">
        <f>VLOOKUP($A110,'Raw RTF'!$A$8:$Q$1000,'Raw RTF'!J$5,FALSE)</f>
        <v>0</v>
      </c>
      <c r="K110">
        <f>VLOOKUP($A110,'Raw RTF'!$A$8:$Q$1000,'Raw RTF'!K$5,FALSE)</f>
        <v>0</v>
      </c>
      <c r="L110">
        <f>VLOOKUP($A110,'Raw RTF'!$A$8:$Q$1000,'Raw RTF'!L$5,FALSE)</f>
        <v>0</v>
      </c>
      <c r="M110">
        <f>VLOOKUP($A110,'Raw RTF'!$A$8:$Q$1000,'Raw RTF'!M$5,FALSE)</f>
        <v>0</v>
      </c>
      <c r="N110">
        <f>VLOOKUP($A110,'Raw RTF'!$A$8:$Q$1000,'Raw RTF'!N$5,FALSE)</f>
        <v>0</v>
      </c>
      <c r="O110">
        <f>VLOOKUP($A110,'Raw RTF'!$A$8:$Q$1000,'Raw RTF'!O$5,FALSE)</f>
        <v>0</v>
      </c>
      <c r="P110">
        <f>VLOOKUP($A110,'Raw RTF'!$A$8:$Q$1000,'Raw RTF'!P$5,FALSE)</f>
        <v>0</v>
      </c>
      <c r="Q110">
        <f>VLOOKUP($A110,'Raw RTF'!$A$8:$Q$1000,'Raw RTF'!Q$5,FALSE)</f>
        <v>0</v>
      </c>
    </row>
    <row r="111" spans="1:17">
      <c r="A111" t="str">
        <f t="shared" si="1"/>
        <v>Single Family Weatherization - Insulate Attic - R0 to R49 - Heating Zone 2 (Heat Pump)ATTIC R0 - R49</v>
      </c>
      <c r="B111" s="53" t="s">
        <v>170</v>
      </c>
      <c r="C111" s="53" t="s">
        <v>71</v>
      </c>
      <c r="D111">
        <f>VLOOKUP($A111,'Raw RTF'!$A$8:$Q$1000,'Raw RTF'!D$5,FALSE)</f>
        <v>1.6831716645815709</v>
      </c>
      <c r="E111">
        <f>VLOOKUP($A111,'Raw RTF'!$A$8:$Q$1000,'Raw RTF'!E$5,FALSE)</f>
        <v>45</v>
      </c>
      <c r="F111">
        <f>VLOOKUP($A111,'Raw RTF'!$A$8:$Q$1000,'Raw RTF'!F$5,FALSE)</f>
        <v>1.1198946019755947</v>
      </c>
      <c r="G111">
        <f>VLOOKUP($A111,'Raw RTF'!$A$8:$Q$1000,'Raw RTF'!G$5,FALSE)</f>
        <v>0</v>
      </c>
      <c r="H111" t="str">
        <f>VLOOKUP($A111,'Raw RTF'!$A$8:$Q$1000,'Raw RTF'!H$5,FALSE)</f>
        <v>ResSpHtHPZ2</v>
      </c>
      <c r="I111">
        <f>VLOOKUP($A111,'Raw RTF'!$A$8:$Q$1000,'Raw RTF'!I$5,FALSE)</f>
        <v>7.9608993193243625E-3</v>
      </c>
      <c r="J111">
        <f>VLOOKUP($A111,'Raw RTF'!$A$8:$Q$1000,'Raw RTF'!J$5,FALSE)</f>
        <v>0</v>
      </c>
      <c r="K111">
        <f>VLOOKUP($A111,'Raw RTF'!$A$8:$Q$1000,'Raw RTF'!K$5,FALSE)</f>
        <v>0</v>
      </c>
      <c r="L111">
        <f>VLOOKUP($A111,'Raw RTF'!$A$8:$Q$1000,'Raw RTF'!L$5,FALSE)</f>
        <v>0</v>
      </c>
      <c r="M111">
        <f>VLOOKUP($A111,'Raw RTF'!$A$8:$Q$1000,'Raw RTF'!M$5,FALSE)</f>
        <v>0</v>
      </c>
      <c r="N111">
        <f>VLOOKUP($A111,'Raw RTF'!$A$8:$Q$1000,'Raw RTF'!N$5,FALSE)</f>
        <v>0</v>
      </c>
      <c r="O111">
        <f>VLOOKUP($A111,'Raw RTF'!$A$8:$Q$1000,'Raw RTF'!O$5,FALSE)</f>
        <v>0</v>
      </c>
      <c r="P111">
        <f>VLOOKUP($A111,'Raw RTF'!$A$8:$Q$1000,'Raw RTF'!P$5,FALSE)</f>
        <v>0</v>
      </c>
      <c r="Q111">
        <f>VLOOKUP($A111,'Raw RTF'!$A$8:$Q$1000,'Raw RTF'!Q$5,FALSE)</f>
        <v>0</v>
      </c>
    </row>
    <row r="112" spans="1:17">
      <c r="A112" t="str">
        <f t="shared" si="1"/>
        <v>Single Family Weatherization - Insulate Attic - R11 to R38 - Heating Zone 2 (Heat Pump)ATTIC R11 - R38</v>
      </c>
      <c r="B112" s="53" t="s">
        <v>171</v>
      </c>
      <c r="C112" s="53" t="s">
        <v>73</v>
      </c>
      <c r="D112">
        <f>VLOOKUP($A112,'Raw RTF'!$A$8:$Q$1000,'Raw RTF'!D$5,FALSE)</f>
        <v>0.26416951237707259</v>
      </c>
      <c r="E112">
        <f>VLOOKUP($A112,'Raw RTF'!$A$8:$Q$1000,'Raw RTF'!E$5,FALSE)</f>
        <v>45</v>
      </c>
      <c r="F112">
        <f>VLOOKUP($A112,'Raw RTF'!$A$8:$Q$1000,'Raw RTF'!F$5,FALSE)</f>
        <v>0.84142627423649186</v>
      </c>
      <c r="G112">
        <f>VLOOKUP($A112,'Raw RTF'!$A$8:$Q$1000,'Raw RTF'!G$5,FALSE)</f>
        <v>0</v>
      </c>
      <c r="H112" t="str">
        <f>VLOOKUP($A112,'Raw RTF'!$A$8:$Q$1000,'Raw RTF'!H$5,FALSE)</f>
        <v>ResSpHtHPZ2</v>
      </c>
      <c r="I112">
        <f>VLOOKUP($A112,'Raw RTF'!$A$8:$Q$1000,'Raw RTF'!I$5,FALSE)</f>
        <v>1.6042748423969969E-3</v>
      </c>
      <c r="J112">
        <f>VLOOKUP($A112,'Raw RTF'!$A$8:$Q$1000,'Raw RTF'!J$5,FALSE)</f>
        <v>0</v>
      </c>
      <c r="K112">
        <f>VLOOKUP($A112,'Raw RTF'!$A$8:$Q$1000,'Raw RTF'!K$5,FALSE)</f>
        <v>0</v>
      </c>
      <c r="L112">
        <f>VLOOKUP($A112,'Raw RTF'!$A$8:$Q$1000,'Raw RTF'!L$5,FALSE)</f>
        <v>0</v>
      </c>
      <c r="M112">
        <f>VLOOKUP($A112,'Raw RTF'!$A$8:$Q$1000,'Raw RTF'!M$5,FALSE)</f>
        <v>0</v>
      </c>
      <c r="N112">
        <f>VLOOKUP($A112,'Raw RTF'!$A$8:$Q$1000,'Raw RTF'!N$5,FALSE)</f>
        <v>0</v>
      </c>
      <c r="O112">
        <f>VLOOKUP($A112,'Raw RTF'!$A$8:$Q$1000,'Raw RTF'!O$5,FALSE)</f>
        <v>0</v>
      </c>
      <c r="P112">
        <f>VLOOKUP($A112,'Raw RTF'!$A$8:$Q$1000,'Raw RTF'!P$5,FALSE)</f>
        <v>0</v>
      </c>
      <c r="Q112">
        <f>VLOOKUP($A112,'Raw RTF'!$A$8:$Q$1000,'Raw RTF'!Q$5,FALSE)</f>
        <v>0</v>
      </c>
    </row>
    <row r="113" spans="1:17">
      <c r="A113" t="str">
        <f t="shared" si="1"/>
        <v>Single Family Weatherization - Insulate Attic - R11 to R49 - Heating Zone 2 (Heat Pump)ATTIC R11 - R49</v>
      </c>
      <c r="B113" s="53" t="s">
        <v>172</v>
      </c>
      <c r="C113" s="53" t="s">
        <v>75</v>
      </c>
      <c r="D113">
        <f>VLOOKUP($A113,'Raw RTF'!$A$8:$Q$1000,'Raw RTF'!D$5,FALSE)</f>
        <v>0.28631880148634919</v>
      </c>
      <c r="E113">
        <f>VLOOKUP($A113,'Raw RTF'!$A$8:$Q$1000,'Raw RTF'!E$5,FALSE)</f>
        <v>45</v>
      </c>
      <c r="F113">
        <f>VLOOKUP($A113,'Raw RTF'!$A$8:$Q$1000,'Raw RTF'!F$5,FALSE)</f>
        <v>0.98066043810604342</v>
      </c>
      <c r="G113">
        <f>VLOOKUP($A113,'Raw RTF'!$A$8:$Q$1000,'Raw RTF'!G$5,FALSE)</f>
        <v>0</v>
      </c>
      <c r="H113" t="str">
        <f>VLOOKUP($A113,'Raw RTF'!$A$8:$Q$1000,'Raw RTF'!H$5,FALSE)</f>
        <v>ResSpHtHPZ2</v>
      </c>
      <c r="I113">
        <f>VLOOKUP($A113,'Raw RTF'!$A$8:$Q$1000,'Raw RTF'!I$5,FALSE)</f>
        <v>1.7606633154828339E-3</v>
      </c>
      <c r="J113">
        <f>VLOOKUP($A113,'Raw RTF'!$A$8:$Q$1000,'Raw RTF'!J$5,FALSE)</f>
        <v>0</v>
      </c>
      <c r="K113">
        <f>VLOOKUP($A113,'Raw RTF'!$A$8:$Q$1000,'Raw RTF'!K$5,FALSE)</f>
        <v>0</v>
      </c>
      <c r="L113">
        <f>VLOOKUP($A113,'Raw RTF'!$A$8:$Q$1000,'Raw RTF'!L$5,FALSE)</f>
        <v>0</v>
      </c>
      <c r="M113">
        <f>VLOOKUP($A113,'Raw RTF'!$A$8:$Q$1000,'Raw RTF'!M$5,FALSE)</f>
        <v>0</v>
      </c>
      <c r="N113">
        <f>VLOOKUP($A113,'Raw RTF'!$A$8:$Q$1000,'Raw RTF'!N$5,FALSE)</f>
        <v>0</v>
      </c>
      <c r="O113">
        <f>VLOOKUP($A113,'Raw RTF'!$A$8:$Q$1000,'Raw RTF'!O$5,FALSE)</f>
        <v>0</v>
      </c>
      <c r="P113">
        <f>VLOOKUP($A113,'Raw RTF'!$A$8:$Q$1000,'Raw RTF'!P$5,FALSE)</f>
        <v>0</v>
      </c>
      <c r="Q113">
        <f>VLOOKUP($A113,'Raw RTF'!$A$8:$Q$1000,'Raw RTF'!Q$5,FALSE)</f>
        <v>0</v>
      </c>
    </row>
    <row r="114" spans="1:17">
      <c r="A114" t="str">
        <f t="shared" si="1"/>
        <v>Single Family Weatherization - Insulate Attic - R19 to R38 - Heating Zone 2 (Heat Pump)ATTIC R19 - R38</v>
      </c>
      <c r="B114" s="53" t="s">
        <v>173</v>
      </c>
      <c r="C114" s="53" t="s">
        <v>77</v>
      </c>
      <c r="D114">
        <f>VLOOKUP($A114,'Raw RTF'!$A$8:$Q$1000,'Raw RTF'!D$5,FALSE)</f>
        <v>0.13066438233106567</v>
      </c>
      <c r="E114">
        <f>VLOOKUP($A114,'Raw RTF'!$A$8:$Q$1000,'Raw RTF'!E$5,FALSE)</f>
        <v>45</v>
      </c>
      <c r="F114">
        <f>VLOOKUP($A114,'Raw RTF'!$A$8:$Q$1000,'Raw RTF'!F$5,FALSE)</f>
        <v>0.7401650641495453</v>
      </c>
      <c r="G114">
        <f>VLOOKUP($A114,'Raw RTF'!$A$8:$Q$1000,'Raw RTF'!G$5,FALSE)</f>
        <v>0</v>
      </c>
      <c r="H114" t="str">
        <f>VLOOKUP($A114,'Raw RTF'!$A$8:$Q$1000,'Raw RTF'!H$5,FALSE)</f>
        <v>ResSpHtHPZ2</v>
      </c>
      <c r="I114">
        <f>VLOOKUP($A114,'Raw RTF'!$A$8:$Q$1000,'Raw RTF'!I$5,FALSE)</f>
        <v>8.2530249220378932E-4</v>
      </c>
      <c r="J114">
        <f>VLOOKUP($A114,'Raw RTF'!$A$8:$Q$1000,'Raw RTF'!J$5,FALSE)</f>
        <v>0</v>
      </c>
      <c r="K114">
        <f>VLOOKUP($A114,'Raw RTF'!$A$8:$Q$1000,'Raw RTF'!K$5,FALSE)</f>
        <v>0</v>
      </c>
      <c r="L114">
        <f>VLOOKUP($A114,'Raw RTF'!$A$8:$Q$1000,'Raw RTF'!L$5,FALSE)</f>
        <v>0</v>
      </c>
      <c r="M114">
        <f>VLOOKUP($A114,'Raw RTF'!$A$8:$Q$1000,'Raw RTF'!M$5,FALSE)</f>
        <v>0</v>
      </c>
      <c r="N114">
        <f>VLOOKUP($A114,'Raw RTF'!$A$8:$Q$1000,'Raw RTF'!N$5,FALSE)</f>
        <v>0</v>
      </c>
      <c r="O114">
        <f>VLOOKUP($A114,'Raw RTF'!$A$8:$Q$1000,'Raw RTF'!O$5,FALSE)</f>
        <v>0</v>
      </c>
      <c r="P114">
        <f>VLOOKUP($A114,'Raw RTF'!$A$8:$Q$1000,'Raw RTF'!P$5,FALSE)</f>
        <v>0</v>
      </c>
      <c r="Q114">
        <f>VLOOKUP($A114,'Raw RTF'!$A$8:$Q$1000,'Raw RTF'!Q$5,FALSE)</f>
        <v>0</v>
      </c>
    </row>
    <row r="115" spans="1:17">
      <c r="A115" t="str">
        <f t="shared" si="1"/>
        <v>Single Family Weatherization - Insulate Attic - R19 to R49 - Heating Zone 2 (Heat Pump)ATTIC R19 - R49</v>
      </c>
      <c r="B115" s="53" t="s">
        <v>174</v>
      </c>
      <c r="C115" s="53" t="s">
        <v>79</v>
      </c>
      <c r="D115">
        <f>VLOOKUP($A115,'Raw RTF'!$A$8:$Q$1000,'Raw RTF'!D$5,FALSE)</f>
        <v>0.15728980315347826</v>
      </c>
      <c r="E115">
        <f>VLOOKUP($A115,'Raw RTF'!$A$8:$Q$1000,'Raw RTF'!E$5,FALSE)</f>
        <v>45</v>
      </c>
      <c r="F115">
        <f>VLOOKUP($A115,'Raw RTF'!$A$8:$Q$1000,'Raw RTF'!F$5,FALSE)</f>
        <v>0.87939922801909687</v>
      </c>
      <c r="G115">
        <f>VLOOKUP($A115,'Raw RTF'!$A$8:$Q$1000,'Raw RTF'!G$5,FALSE)</f>
        <v>0</v>
      </c>
      <c r="H115" t="str">
        <f>VLOOKUP($A115,'Raw RTF'!$A$8:$Q$1000,'Raw RTF'!H$5,FALSE)</f>
        <v>ResSpHtHPZ2</v>
      </c>
      <c r="I115">
        <f>VLOOKUP($A115,'Raw RTF'!$A$8:$Q$1000,'Raw RTF'!I$5,FALSE)</f>
        <v>1.0037341584987554E-3</v>
      </c>
      <c r="J115">
        <f>VLOOKUP($A115,'Raw RTF'!$A$8:$Q$1000,'Raw RTF'!J$5,FALSE)</f>
        <v>0</v>
      </c>
      <c r="K115">
        <f>VLOOKUP($A115,'Raw RTF'!$A$8:$Q$1000,'Raw RTF'!K$5,FALSE)</f>
        <v>0</v>
      </c>
      <c r="L115">
        <f>VLOOKUP($A115,'Raw RTF'!$A$8:$Q$1000,'Raw RTF'!L$5,FALSE)</f>
        <v>0</v>
      </c>
      <c r="M115">
        <f>VLOOKUP($A115,'Raw RTF'!$A$8:$Q$1000,'Raw RTF'!M$5,FALSE)</f>
        <v>0</v>
      </c>
      <c r="N115">
        <f>VLOOKUP($A115,'Raw RTF'!$A$8:$Q$1000,'Raw RTF'!N$5,FALSE)</f>
        <v>0</v>
      </c>
      <c r="O115">
        <f>VLOOKUP($A115,'Raw RTF'!$A$8:$Q$1000,'Raw RTF'!O$5,FALSE)</f>
        <v>0</v>
      </c>
      <c r="P115">
        <f>VLOOKUP($A115,'Raw RTF'!$A$8:$Q$1000,'Raw RTF'!P$5,FALSE)</f>
        <v>0</v>
      </c>
      <c r="Q115">
        <f>VLOOKUP($A115,'Raw RTF'!$A$8:$Q$1000,'Raw RTF'!Q$5,FALSE)</f>
        <v>0</v>
      </c>
    </row>
    <row r="116" spans="1:17">
      <c r="A116" t="str">
        <f t="shared" si="1"/>
        <v>Single Family Weatherization - Insulate Wall - R0 to R11 - Heating Zone 2 (Heat Pump)WALL R0 - R11</v>
      </c>
      <c r="B116" s="53" t="s">
        <v>177</v>
      </c>
      <c r="C116" s="53" t="s">
        <v>85</v>
      </c>
      <c r="D116">
        <f>VLOOKUP($A116,'Raw RTF'!$A$8:$Q$1000,'Raw RTF'!D$5,FALSE)</f>
        <v>1.3569446612182892</v>
      </c>
      <c r="E116">
        <f>VLOOKUP($A116,'Raw RTF'!$A$8:$Q$1000,'Raw RTF'!E$5,FALSE)</f>
        <v>45</v>
      </c>
      <c r="F116">
        <f>VLOOKUP($A116,'Raw RTF'!$A$8:$Q$1000,'Raw RTF'!F$5,FALSE)</f>
        <v>1.3863525086966677</v>
      </c>
      <c r="G116">
        <f>VLOOKUP($A116,'Raw RTF'!$A$8:$Q$1000,'Raw RTF'!G$5,FALSE)</f>
        <v>0</v>
      </c>
      <c r="H116" t="str">
        <f>VLOOKUP($A116,'Raw RTF'!$A$8:$Q$1000,'Raw RTF'!H$5,FALSE)</f>
        <v>ResSpHtHPZ2</v>
      </c>
      <c r="I116">
        <f>VLOOKUP($A116,'Raw RTF'!$A$8:$Q$1000,'Raw RTF'!I$5,FALSE)</f>
        <v>6.0183435613447682E-3</v>
      </c>
      <c r="J116">
        <f>VLOOKUP($A116,'Raw RTF'!$A$8:$Q$1000,'Raw RTF'!J$5,FALSE)</f>
        <v>0</v>
      </c>
      <c r="K116">
        <f>VLOOKUP($A116,'Raw RTF'!$A$8:$Q$1000,'Raw RTF'!K$5,FALSE)</f>
        <v>0</v>
      </c>
      <c r="L116">
        <f>VLOOKUP($A116,'Raw RTF'!$A$8:$Q$1000,'Raw RTF'!L$5,FALSE)</f>
        <v>0</v>
      </c>
      <c r="M116">
        <f>VLOOKUP($A116,'Raw RTF'!$A$8:$Q$1000,'Raw RTF'!M$5,FALSE)</f>
        <v>0</v>
      </c>
      <c r="N116">
        <f>VLOOKUP($A116,'Raw RTF'!$A$8:$Q$1000,'Raw RTF'!N$5,FALSE)</f>
        <v>0</v>
      </c>
      <c r="O116">
        <f>VLOOKUP($A116,'Raw RTF'!$A$8:$Q$1000,'Raw RTF'!O$5,FALSE)</f>
        <v>0</v>
      </c>
      <c r="P116">
        <f>VLOOKUP($A116,'Raw RTF'!$A$8:$Q$1000,'Raw RTF'!P$5,FALSE)</f>
        <v>0</v>
      </c>
      <c r="Q116">
        <f>VLOOKUP($A116,'Raw RTF'!$A$8:$Q$1000,'Raw RTF'!Q$5,FALSE)</f>
        <v>0</v>
      </c>
    </row>
    <row r="117" spans="1:17">
      <c r="A117" t="str">
        <f t="shared" si="1"/>
        <v>Single Family Weatherization - Insulate Floor - R0 to R19 - Heating Zone 2 (Heat Pump)FLOOR R0 - R19</v>
      </c>
      <c r="B117" s="53" t="s">
        <v>178</v>
      </c>
      <c r="C117" s="53" t="s">
        <v>87</v>
      </c>
      <c r="D117">
        <f>VLOOKUP($A117,'Raw RTF'!$A$8:$Q$1000,'Raw RTF'!D$5,FALSE)</f>
        <v>0.26266939383487053</v>
      </c>
      <c r="E117">
        <f>VLOOKUP($A117,'Raw RTF'!$A$8:$Q$1000,'Raw RTF'!E$5,FALSE)</f>
        <v>45</v>
      </c>
      <c r="F117">
        <f>VLOOKUP($A117,'Raw RTF'!$A$8:$Q$1000,'Raw RTF'!F$5,FALSE)</f>
        <v>1.2290592529494864</v>
      </c>
      <c r="G117">
        <f>VLOOKUP($A117,'Raw RTF'!$A$8:$Q$1000,'Raw RTF'!G$5,FALSE)</f>
        <v>0</v>
      </c>
      <c r="H117" t="str">
        <f>VLOOKUP($A117,'Raw RTF'!$A$8:$Q$1000,'Raw RTF'!H$5,FALSE)</f>
        <v>ResSpHtHPZ2</v>
      </c>
      <c r="I117">
        <f>VLOOKUP($A117,'Raw RTF'!$A$8:$Q$1000,'Raw RTF'!I$5,FALSE)</f>
        <v>-6.622417261784192E-4</v>
      </c>
      <c r="J117">
        <f>VLOOKUP($A117,'Raw RTF'!$A$8:$Q$1000,'Raw RTF'!J$5,FALSE)</f>
        <v>0</v>
      </c>
      <c r="K117">
        <f>VLOOKUP($A117,'Raw RTF'!$A$8:$Q$1000,'Raw RTF'!K$5,FALSE)</f>
        <v>0</v>
      </c>
      <c r="L117">
        <f>VLOOKUP($A117,'Raw RTF'!$A$8:$Q$1000,'Raw RTF'!L$5,FALSE)</f>
        <v>0</v>
      </c>
      <c r="M117">
        <f>VLOOKUP($A117,'Raw RTF'!$A$8:$Q$1000,'Raw RTF'!M$5,FALSE)</f>
        <v>0</v>
      </c>
      <c r="N117">
        <f>VLOOKUP($A117,'Raw RTF'!$A$8:$Q$1000,'Raw RTF'!N$5,FALSE)</f>
        <v>0</v>
      </c>
      <c r="O117">
        <f>VLOOKUP($A117,'Raw RTF'!$A$8:$Q$1000,'Raw RTF'!O$5,FALSE)</f>
        <v>0</v>
      </c>
      <c r="P117">
        <f>VLOOKUP($A117,'Raw RTF'!$A$8:$Q$1000,'Raw RTF'!P$5,FALSE)</f>
        <v>0</v>
      </c>
      <c r="Q117">
        <f>VLOOKUP($A117,'Raw RTF'!$A$8:$Q$1000,'Raw RTF'!Q$5,FALSE)</f>
        <v>0</v>
      </c>
    </row>
    <row r="118" spans="1:17">
      <c r="A118" t="str">
        <f t="shared" si="1"/>
        <v>Single Family Weatherization - Insulate Floor - R0 to R25 - Heating Zone 2 (Heat Pump)FLOOR R0 - R25</v>
      </c>
      <c r="B118" s="53" t="s">
        <v>179</v>
      </c>
      <c r="C118" s="53" t="s">
        <v>89</v>
      </c>
      <c r="D118">
        <f>VLOOKUP($A118,'Raw RTF'!$A$8:$Q$1000,'Raw RTF'!D$5,FALSE)</f>
        <v>0.28243905747720216</v>
      </c>
      <c r="E118">
        <f>VLOOKUP($A118,'Raw RTF'!$A$8:$Q$1000,'Raw RTF'!E$5,FALSE)</f>
        <v>45</v>
      </c>
      <c r="F118">
        <f>VLOOKUP($A118,'Raw RTF'!$A$8:$Q$1000,'Raw RTF'!F$5,FALSE)</f>
        <v>1.2761252113477823</v>
      </c>
      <c r="G118">
        <f>VLOOKUP($A118,'Raw RTF'!$A$8:$Q$1000,'Raw RTF'!G$5,FALSE)</f>
        <v>0</v>
      </c>
      <c r="H118" t="str">
        <f>VLOOKUP($A118,'Raw RTF'!$A$8:$Q$1000,'Raw RTF'!H$5,FALSE)</f>
        <v>ResSpHtHPZ2</v>
      </c>
      <c r="I118">
        <f>VLOOKUP($A118,'Raw RTF'!$A$8:$Q$1000,'Raw RTF'!I$5,FALSE)</f>
        <v>-5.4234802297553771E-4</v>
      </c>
      <c r="J118">
        <f>VLOOKUP($A118,'Raw RTF'!$A$8:$Q$1000,'Raw RTF'!J$5,FALSE)</f>
        <v>0</v>
      </c>
      <c r="K118">
        <f>VLOOKUP($A118,'Raw RTF'!$A$8:$Q$1000,'Raw RTF'!K$5,FALSE)</f>
        <v>0</v>
      </c>
      <c r="L118">
        <f>VLOOKUP($A118,'Raw RTF'!$A$8:$Q$1000,'Raw RTF'!L$5,FALSE)</f>
        <v>0</v>
      </c>
      <c r="M118">
        <f>VLOOKUP($A118,'Raw RTF'!$A$8:$Q$1000,'Raw RTF'!M$5,FALSE)</f>
        <v>0</v>
      </c>
      <c r="N118">
        <f>VLOOKUP($A118,'Raw RTF'!$A$8:$Q$1000,'Raw RTF'!N$5,FALSE)</f>
        <v>0</v>
      </c>
      <c r="O118">
        <f>VLOOKUP($A118,'Raw RTF'!$A$8:$Q$1000,'Raw RTF'!O$5,FALSE)</f>
        <v>0</v>
      </c>
      <c r="P118">
        <f>VLOOKUP($A118,'Raw RTF'!$A$8:$Q$1000,'Raw RTF'!P$5,FALSE)</f>
        <v>0</v>
      </c>
      <c r="Q118">
        <f>VLOOKUP($A118,'Raw RTF'!$A$8:$Q$1000,'Raw RTF'!Q$5,FALSE)</f>
        <v>0</v>
      </c>
    </row>
    <row r="119" spans="1:17">
      <c r="A119" t="str">
        <f t="shared" si="1"/>
        <v>Single Family Weatherization - Insulate Floor - R0 to R30 - Heating Zone 2 (Heat Pump)FLOOR R0 - R30</v>
      </c>
      <c r="B119" s="53" t="s">
        <v>180</v>
      </c>
      <c r="C119" s="53" t="s">
        <v>91</v>
      </c>
      <c r="D119">
        <f>VLOOKUP($A119,'Raw RTF'!$A$8:$Q$1000,'Raw RTF'!D$5,FALSE)</f>
        <v>0.29485273171495308</v>
      </c>
      <c r="E119">
        <f>VLOOKUP($A119,'Raw RTF'!$A$8:$Q$1000,'Raw RTF'!E$5,FALSE)</f>
        <v>45</v>
      </c>
      <c r="F119">
        <f>VLOOKUP($A119,'Raw RTF'!$A$8:$Q$1000,'Raw RTF'!F$5,FALSE)</f>
        <v>1.3153468433463626</v>
      </c>
      <c r="G119">
        <f>VLOOKUP($A119,'Raw RTF'!$A$8:$Q$1000,'Raw RTF'!G$5,FALSE)</f>
        <v>0</v>
      </c>
      <c r="H119" t="str">
        <f>VLOOKUP($A119,'Raw RTF'!$A$8:$Q$1000,'Raw RTF'!H$5,FALSE)</f>
        <v>ResSpHtHPZ2</v>
      </c>
      <c r="I119">
        <f>VLOOKUP($A119,'Raw RTF'!$A$8:$Q$1000,'Raw RTF'!I$5,FALSE)</f>
        <v>-4.6083773378172117E-4</v>
      </c>
      <c r="J119">
        <f>VLOOKUP($A119,'Raw RTF'!$A$8:$Q$1000,'Raw RTF'!J$5,FALSE)</f>
        <v>0</v>
      </c>
      <c r="K119">
        <f>VLOOKUP($A119,'Raw RTF'!$A$8:$Q$1000,'Raw RTF'!K$5,FALSE)</f>
        <v>0</v>
      </c>
      <c r="L119">
        <f>VLOOKUP($A119,'Raw RTF'!$A$8:$Q$1000,'Raw RTF'!L$5,FALSE)</f>
        <v>0</v>
      </c>
      <c r="M119">
        <f>VLOOKUP($A119,'Raw RTF'!$A$8:$Q$1000,'Raw RTF'!M$5,FALSE)</f>
        <v>0</v>
      </c>
      <c r="N119">
        <f>VLOOKUP($A119,'Raw RTF'!$A$8:$Q$1000,'Raw RTF'!N$5,FALSE)</f>
        <v>0</v>
      </c>
      <c r="O119">
        <f>VLOOKUP($A119,'Raw RTF'!$A$8:$Q$1000,'Raw RTF'!O$5,FALSE)</f>
        <v>0</v>
      </c>
      <c r="P119">
        <f>VLOOKUP($A119,'Raw RTF'!$A$8:$Q$1000,'Raw RTF'!P$5,FALSE)</f>
        <v>0</v>
      </c>
      <c r="Q119">
        <f>VLOOKUP($A119,'Raw RTF'!$A$8:$Q$1000,'Raw RTF'!Q$5,FALSE)</f>
        <v>0</v>
      </c>
    </row>
    <row r="120" spans="1:17" ht="25.5">
      <c r="A120" t="str">
        <f t="shared" ref="A120:A139" si="2">CONCATENATE(B120,C120)</f>
        <v>Windows - Single Pane to Class 30 - Heating Zone 2 (Heat Pump)WINDOW CL30 Prime Window Replacement of Single Pane Base</v>
      </c>
      <c r="B120" s="53" t="s">
        <v>181</v>
      </c>
      <c r="C120" s="53" t="s">
        <v>93</v>
      </c>
      <c r="D120">
        <f>VLOOKUP($A120,'Raw RTF'!$A$8:$Q$1000,'Raw RTF'!D$5,FALSE)</f>
        <v>8.147717168062977</v>
      </c>
      <c r="E120">
        <f>VLOOKUP($A120,'Raw RTF'!$A$8:$Q$1000,'Raw RTF'!E$5,FALSE)</f>
        <v>45</v>
      </c>
      <c r="F120">
        <f>VLOOKUP($A120,'Raw RTF'!$A$8:$Q$1000,'Raw RTF'!F$5,FALSE)</f>
        <v>18.513985646792214</v>
      </c>
      <c r="G120">
        <f>VLOOKUP($A120,'Raw RTF'!$A$8:$Q$1000,'Raw RTF'!G$5,FALSE)</f>
        <v>0</v>
      </c>
      <c r="H120" t="str">
        <f>VLOOKUP($A120,'Raw RTF'!$A$8:$Q$1000,'Raw RTF'!H$5,FALSE)</f>
        <v>ResSpHtHPZ2</v>
      </c>
      <c r="I120">
        <f>VLOOKUP($A120,'Raw RTF'!$A$8:$Q$1000,'Raw RTF'!I$5,FALSE)</f>
        <v>6.3519264770743558E-2</v>
      </c>
      <c r="J120">
        <f>VLOOKUP($A120,'Raw RTF'!$A$8:$Q$1000,'Raw RTF'!J$5,FALSE)</f>
        <v>0</v>
      </c>
      <c r="K120">
        <f>VLOOKUP($A120,'Raw RTF'!$A$8:$Q$1000,'Raw RTF'!K$5,FALSE)</f>
        <v>0</v>
      </c>
      <c r="L120">
        <f>VLOOKUP($A120,'Raw RTF'!$A$8:$Q$1000,'Raw RTF'!L$5,FALSE)</f>
        <v>0</v>
      </c>
      <c r="M120">
        <f>VLOOKUP($A120,'Raw RTF'!$A$8:$Q$1000,'Raw RTF'!M$5,FALSE)</f>
        <v>0</v>
      </c>
      <c r="N120">
        <f>VLOOKUP($A120,'Raw RTF'!$A$8:$Q$1000,'Raw RTF'!N$5,FALSE)</f>
        <v>0</v>
      </c>
      <c r="O120">
        <f>VLOOKUP($A120,'Raw RTF'!$A$8:$Q$1000,'Raw RTF'!O$5,FALSE)</f>
        <v>0</v>
      </c>
      <c r="P120">
        <f>VLOOKUP($A120,'Raw RTF'!$A$8:$Q$1000,'Raw RTF'!P$5,FALSE)</f>
        <v>0</v>
      </c>
      <c r="Q120">
        <f>VLOOKUP($A120,'Raw RTF'!$A$8:$Q$1000,'Raw RTF'!Q$5,FALSE)</f>
        <v>0</v>
      </c>
    </row>
    <row r="121" spans="1:17" ht="25.5">
      <c r="A121" t="str">
        <f t="shared" si="2"/>
        <v>Windows - Double Pane to Class 30 - Heating Zone 2 (Heat Pump)WINDOW CL30 Prime Window Replacement of Double Pane Base</v>
      </c>
      <c r="B121" s="53" t="s">
        <v>182</v>
      </c>
      <c r="C121" s="53" t="s">
        <v>95</v>
      </c>
      <c r="D121">
        <f>VLOOKUP($A121,'Raw RTF'!$A$8:$Q$1000,'Raw RTF'!D$5,FALSE)</f>
        <v>4.0691172819627237</v>
      </c>
      <c r="E121">
        <f>VLOOKUP($A121,'Raw RTF'!$A$8:$Q$1000,'Raw RTF'!E$5,FALSE)</f>
        <v>45</v>
      </c>
      <c r="F121">
        <f>VLOOKUP($A121,'Raw RTF'!$A$8:$Q$1000,'Raw RTF'!F$5,FALSE)</f>
        <v>18.513985646792214</v>
      </c>
      <c r="G121">
        <f>VLOOKUP($A121,'Raw RTF'!$A$8:$Q$1000,'Raw RTF'!G$5,FALSE)</f>
        <v>0</v>
      </c>
      <c r="H121" t="str">
        <f>VLOOKUP($A121,'Raw RTF'!$A$8:$Q$1000,'Raw RTF'!H$5,FALSE)</f>
        <v>ResSpHtHPZ2</v>
      </c>
      <c r="I121">
        <f>VLOOKUP($A121,'Raw RTF'!$A$8:$Q$1000,'Raw RTF'!I$5,FALSE)</f>
        <v>3.2195484916686792E-2</v>
      </c>
      <c r="J121">
        <f>VLOOKUP($A121,'Raw RTF'!$A$8:$Q$1000,'Raw RTF'!J$5,FALSE)</f>
        <v>0</v>
      </c>
      <c r="K121">
        <f>VLOOKUP($A121,'Raw RTF'!$A$8:$Q$1000,'Raw RTF'!K$5,FALSE)</f>
        <v>0</v>
      </c>
      <c r="L121">
        <f>VLOOKUP($A121,'Raw RTF'!$A$8:$Q$1000,'Raw RTF'!L$5,FALSE)</f>
        <v>0</v>
      </c>
      <c r="M121">
        <f>VLOOKUP($A121,'Raw RTF'!$A$8:$Q$1000,'Raw RTF'!M$5,FALSE)</f>
        <v>0</v>
      </c>
      <c r="N121">
        <f>VLOOKUP($A121,'Raw RTF'!$A$8:$Q$1000,'Raw RTF'!N$5,FALSE)</f>
        <v>0</v>
      </c>
      <c r="O121">
        <f>VLOOKUP($A121,'Raw RTF'!$A$8:$Q$1000,'Raw RTF'!O$5,FALSE)</f>
        <v>0</v>
      </c>
      <c r="P121">
        <f>VLOOKUP($A121,'Raw RTF'!$A$8:$Q$1000,'Raw RTF'!P$5,FALSE)</f>
        <v>0</v>
      </c>
      <c r="Q121">
        <f>VLOOKUP($A121,'Raw RTF'!$A$8:$Q$1000,'Raw RTF'!Q$5,FALSE)</f>
        <v>0</v>
      </c>
    </row>
    <row r="122" spans="1:17" ht="25.5">
      <c r="A122" t="str">
        <f t="shared" si="2"/>
        <v>Windows - Single Pane to Class 22 - Heating Zone 2 (Heat Pump)WINDOW CL22 Prime Window Replacement of Single Pane Base</v>
      </c>
      <c r="B122" s="53" t="s">
        <v>184</v>
      </c>
      <c r="C122" s="53" t="s">
        <v>99</v>
      </c>
      <c r="D122">
        <f>VLOOKUP($A122,'Raw RTF'!$A$8:$Q$1000,'Raw RTF'!D$5,FALSE)</f>
        <v>8.9069796981229494</v>
      </c>
      <c r="E122">
        <f>VLOOKUP($A122,'Raw RTF'!$A$8:$Q$1000,'Raw RTF'!E$5,FALSE)</f>
        <v>45</v>
      </c>
      <c r="F122">
        <f>VLOOKUP($A122,'Raw RTF'!$A$8:$Q$1000,'Raw RTF'!F$5,FALSE)</f>
        <v>21.803985646792214</v>
      </c>
      <c r="G122">
        <f>VLOOKUP($A122,'Raw RTF'!$A$8:$Q$1000,'Raw RTF'!G$5,FALSE)</f>
        <v>0</v>
      </c>
      <c r="H122" t="str">
        <f>VLOOKUP($A122,'Raw RTF'!$A$8:$Q$1000,'Raw RTF'!H$5,FALSE)</f>
        <v>ResSpHtHPZ2</v>
      </c>
      <c r="I122">
        <f>VLOOKUP($A122,'Raw RTF'!$A$8:$Q$1000,'Raw RTF'!I$5,FALSE)</f>
        <v>7.0876318437722727E-2</v>
      </c>
      <c r="J122">
        <f>VLOOKUP($A122,'Raw RTF'!$A$8:$Q$1000,'Raw RTF'!J$5,FALSE)</f>
        <v>0</v>
      </c>
      <c r="K122">
        <f>VLOOKUP($A122,'Raw RTF'!$A$8:$Q$1000,'Raw RTF'!K$5,FALSE)</f>
        <v>0</v>
      </c>
      <c r="L122">
        <f>VLOOKUP($A122,'Raw RTF'!$A$8:$Q$1000,'Raw RTF'!L$5,FALSE)</f>
        <v>0</v>
      </c>
      <c r="M122">
        <f>VLOOKUP($A122,'Raw RTF'!$A$8:$Q$1000,'Raw RTF'!M$5,FALSE)</f>
        <v>0</v>
      </c>
      <c r="N122">
        <f>VLOOKUP($A122,'Raw RTF'!$A$8:$Q$1000,'Raw RTF'!N$5,FALSE)</f>
        <v>0</v>
      </c>
      <c r="O122">
        <f>VLOOKUP($A122,'Raw RTF'!$A$8:$Q$1000,'Raw RTF'!O$5,FALSE)</f>
        <v>0</v>
      </c>
      <c r="P122">
        <f>VLOOKUP($A122,'Raw RTF'!$A$8:$Q$1000,'Raw RTF'!P$5,FALSE)</f>
        <v>0</v>
      </c>
      <c r="Q122">
        <f>VLOOKUP($A122,'Raw RTF'!$A$8:$Q$1000,'Raw RTF'!Q$5,FALSE)</f>
        <v>0</v>
      </c>
    </row>
    <row r="123" spans="1:17" ht="25.5">
      <c r="A123" t="str">
        <f t="shared" si="2"/>
        <v>Windows - Double Pane to Class 22 - Heating Zone 2 (Heat Pump)WINDOW CL22 Prime Window Replacement of Double Pane Base</v>
      </c>
      <c r="B123" s="53" t="s">
        <v>185</v>
      </c>
      <c r="C123" s="53" t="s">
        <v>101</v>
      </c>
      <c r="D123">
        <f>VLOOKUP($A123,'Raw RTF'!$A$8:$Q$1000,'Raw RTF'!D$5,FALSE)</f>
        <v>4.7356189091152077</v>
      </c>
      <c r="E123">
        <f>VLOOKUP($A123,'Raw RTF'!$A$8:$Q$1000,'Raw RTF'!E$5,FALSE)</f>
        <v>45</v>
      </c>
      <c r="F123">
        <f>VLOOKUP($A123,'Raw RTF'!$A$8:$Q$1000,'Raw RTF'!F$5,FALSE)</f>
        <v>21.803985646792214</v>
      </c>
      <c r="G123">
        <f>VLOOKUP($A123,'Raw RTF'!$A$8:$Q$1000,'Raw RTF'!G$5,FALSE)</f>
        <v>0</v>
      </c>
      <c r="H123" t="str">
        <f>VLOOKUP($A123,'Raw RTF'!$A$8:$Q$1000,'Raw RTF'!H$5,FALSE)</f>
        <v>ResSpHtHPZ2</v>
      </c>
      <c r="I123">
        <f>VLOOKUP($A123,'Raw RTF'!$A$8:$Q$1000,'Raw RTF'!I$5,FALSE)</f>
        <v>3.8646726486070843E-2</v>
      </c>
      <c r="J123">
        <f>VLOOKUP($A123,'Raw RTF'!$A$8:$Q$1000,'Raw RTF'!J$5,FALSE)</f>
        <v>0</v>
      </c>
      <c r="K123">
        <f>VLOOKUP($A123,'Raw RTF'!$A$8:$Q$1000,'Raw RTF'!K$5,FALSE)</f>
        <v>0</v>
      </c>
      <c r="L123">
        <f>VLOOKUP($A123,'Raw RTF'!$A$8:$Q$1000,'Raw RTF'!L$5,FALSE)</f>
        <v>0</v>
      </c>
      <c r="M123">
        <f>VLOOKUP($A123,'Raw RTF'!$A$8:$Q$1000,'Raw RTF'!M$5,FALSE)</f>
        <v>0</v>
      </c>
      <c r="N123">
        <f>VLOOKUP($A123,'Raw RTF'!$A$8:$Q$1000,'Raw RTF'!N$5,FALSE)</f>
        <v>0</v>
      </c>
      <c r="O123">
        <f>VLOOKUP($A123,'Raw RTF'!$A$8:$Q$1000,'Raw RTF'!O$5,FALSE)</f>
        <v>0</v>
      </c>
      <c r="P123">
        <f>VLOOKUP($A123,'Raw RTF'!$A$8:$Q$1000,'Raw RTF'!P$5,FALSE)</f>
        <v>0</v>
      </c>
      <c r="Q123">
        <f>VLOOKUP($A123,'Raw RTF'!$A$8:$Q$1000,'Raw RTF'!Q$5,FALSE)</f>
        <v>0</v>
      </c>
    </row>
    <row r="124" spans="1:17">
      <c r="A124" t="str">
        <f t="shared" si="2"/>
        <v>Infiltration Reduction - CFM50 reduction - Heating Zone 2 (Heat Pump)CFM50 Infiltration Reduction</v>
      </c>
      <c r="B124" s="53" t="s">
        <v>187</v>
      </c>
      <c r="C124" s="305" t="s">
        <v>1362</v>
      </c>
      <c r="D124">
        <f>VLOOKUP($A124,'Raw RTF'!$A$8:$Q$1000,'Raw RTF'!D$5,FALSE)</f>
        <v>0.33008759304911889</v>
      </c>
      <c r="E124">
        <f>VLOOKUP($A124,'Raw RTF'!$A$8:$Q$1000,'Raw RTF'!E$5,FALSE)</f>
        <v>15</v>
      </c>
      <c r="F124">
        <f>VLOOKUP($A124,'Raw RTF'!$A$8:$Q$1000,'Raw RTF'!F$5,FALSE)</f>
        <v>0.6607178075171779</v>
      </c>
      <c r="G124">
        <f>VLOOKUP($A124,'Raw RTF'!$A$8:$Q$1000,'Raw RTF'!G$5,FALSE)</f>
        <v>0</v>
      </c>
      <c r="H124" t="str">
        <f>VLOOKUP($A124,'Raw RTF'!$A$8:$Q$1000,'Raw RTF'!H$5,FALSE)</f>
        <v>ResSpHtHPZ2</v>
      </c>
      <c r="I124">
        <f>VLOOKUP($A124,'Raw RTF'!$A$8:$Q$1000,'Raw RTF'!I$5,FALSE)</f>
        <v>2.4601211555918935E-3</v>
      </c>
      <c r="J124">
        <f>VLOOKUP($A124,'Raw RTF'!$A$8:$Q$1000,'Raw RTF'!J$5,FALSE)</f>
        <v>0</v>
      </c>
      <c r="K124">
        <f>VLOOKUP($A124,'Raw RTF'!$A$8:$Q$1000,'Raw RTF'!K$5,FALSE)</f>
        <v>0</v>
      </c>
      <c r="L124">
        <f>VLOOKUP($A124,'Raw RTF'!$A$8:$Q$1000,'Raw RTF'!L$5,FALSE)</f>
        <v>0</v>
      </c>
      <c r="M124">
        <f>VLOOKUP($A124,'Raw RTF'!$A$8:$Q$1000,'Raw RTF'!M$5,FALSE)</f>
        <v>0</v>
      </c>
      <c r="N124">
        <f>VLOOKUP($A124,'Raw RTF'!$A$8:$Q$1000,'Raw RTF'!N$5,FALSE)</f>
        <v>0</v>
      </c>
      <c r="O124">
        <f>VLOOKUP($A124,'Raw RTF'!$A$8:$Q$1000,'Raw RTF'!O$5,FALSE)</f>
        <v>0</v>
      </c>
      <c r="P124">
        <f>VLOOKUP($A124,'Raw RTF'!$A$8:$Q$1000,'Raw RTF'!P$5,FALSE)</f>
        <v>0</v>
      </c>
      <c r="Q124">
        <f>VLOOKUP($A124,'Raw RTF'!$A$8:$Q$1000,'Raw RTF'!Q$5,FALSE)</f>
        <v>0</v>
      </c>
    </row>
    <row r="125" spans="1:17">
      <c r="A125" t="str">
        <f t="shared" si="2"/>
        <v>Single Family Weatherization - Insulate Attic - R0 to R38 - Heating Zone 3 (Heat Pump)ATTIC R0 - R38</v>
      </c>
      <c r="B125" s="53" t="s">
        <v>188</v>
      </c>
      <c r="C125" s="53" t="s">
        <v>68</v>
      </c>
      <c r="D125">
        <f>VLOOKUP($A125,'Raw RTF'!$A$8:$Q$1000,'Raw RTF'!D$5,FALSE)</f>
        <v>2.2329668139021712</v>
      </c>
      <c r="E125">
        <f>VLOOKUP($A125,'Raw RTF'!$A$8:$Q$1000,'Raw RTF'!E$5,FALSE)</f>
        <v>45</v>
      </c>
      <c r="F125">
        <f>VLOOKUP($A125,'Raw RTF'!$A$8:$Q$1000,'Raw RTF'!F$5,FALSE)</f>
        <v>0.98066043810604342</v>
      </c>
      <c r="G125">
        <f>VLOOKUP($A125,'Raw RTF'!$A$8:$Q$1000,'Raw RTF'!G$5,FALSE)</f>
        <v>0</v>
      </c>
      <c r="H125" t="str">
        <f>VLOOKUP($A125,'Raw RTF'!$A$8:$Q$1000,'Raw RTF'!H$5,FALSE)</f>
        <v>ResSpHtHPZ3</v>
      </c>
      <c r="I125">
        <f>VLOOKUP($A125,'Raw RTF'!$A$8:$Q$1000,'Raw RTF'!I$5,FALSE)</f>
        <v>1.2894637525430573E-2</v>
      </c>
      <c r="J125">
        <f>VLOOKUP($A125,'Raw RTF'!$A$8:$Q$1000,'Raw RTF'!J$5,FALSE)</f>
        <v>0</v>
      </c>
      <c r="K125">
        <f>VLOOKUP($A125,'Raw RTF'!$A$8:$Q$1000,'Raw RTF'!K$5,FALSE)</f>
        <v>0</v>
      </c>
      <c r="L125">
        <f>VLOOKUP($A125,'Raw RTF'!$A$8:$Q$1000,'Raw RTF'!L$5,FALSE)</f>
        <v>0</v>
      </c>
      <c r="M125">
        <f>VLOOKUP($A125,'Raw RTF'!$A$8:$Q$1000,'Raw RTF'!M$5,FALSE)</f>
        <v>0</v>
      </c>
      <c r="N125">
        <f>VLOOKUP($A125,'Raw RTF'!$A$8:$Q$1000,'Raw RTF'!N$5,FALSE)</f>
        <v>0</v>
      </c>
      <c r="O125">
        <f>VLOOKUP($A125,'Raw RTF'!$A$8:$Q$1000,'Raw RTF'!O$5,FALSE)</f>
        <v>0</v>
      </c>
      <c r="P125">
        <f>VLOOKUP($A125,'Raw RTF'!$A$8:$Q$1000,'Raw RTF'!P$5,FALSE)</f>
        <v>0</v>
      </c>
      <c r="Q125">
        <f>VLOOKUP($A125,'Raw RTF'!$A$8:$Q$1000,'Raw RTF'!Q$5,FALSE)</f>
        <v>0</v>
      </c>
    </row>
    <row r="126" spans="1:17">
      <c r="A126" t="str">
        <f t="shared" si="2"/>
        <v>Single Family Weatherization - Insulate Attic - R0 to R49 - Heating Zone 3 (Heat Pump)ATTIC R0 - R49</v>
      </c>
      <c r="B126" s="53" t="s">
        <v>190</v>
      </c>
      <c r="C126" s="53" t="s">
        <v>71</v>
      </c>
      <c r="D126">
        <f>VLOOKUP($A126,'Raw RTF'!$A$8:$Q$1000,'Raw RTF'!D$5,FALSE)</f>
        <v>2.2629031868011782</v>
      </c>
      <c r="E126">
        <f>VLOOKUP($A126,'Raw RTF'!$A$8:$Q$1000,'Raw RTF'!E$5,FALSE)</f>
        <v>45</v>
      </c>
      <c r="F126">
        <f>VLOOKUP($A126,'Raw RTF'!$A$8:$Q$1000,'Raw RTF'!F$5,FALSE)</f>
        <v>1.1198946019755947</v>
      </c>
      <c r="G126">
        <f>VLOOKUP($A126,'Raw RTF'!$A$8:$Q$1000,'Raw RTF'!G$5,FALSE)</f>
        <v>0</v>
      </c>
      <c r="H126" t="str">
        <f>VLOOKUP($A126,'Raw RTF'!$A$8:$Q$1000,'Raw RTF'!H$5,FALSE)</f>
        <v>ResSpHtHPZ3</v>
      </c>
      <c r="I126">
        <f>VLOOKUP($A126,'Raw RTF'!$A$8:$Q$1000,'Raw RTF'!I$5,FALSE)</f>
        <v>1.3076435082650512E-2</v>
      </c>
      <c r="J126">
        <f>VLOOKUP($A126,'Raw RTF'!$A$8:$Q$1000,'Raw RTF'!J$5,FALSE)</f>
        <v>0</v>
      </c>
      <c r="K126">
        <f>VLOOKUP($A126,'Raw RTF'!$A$8:$Q$1000,'Raw RTF'!K$5,FALSE)</f>
        <v>0</v>
      </c>
      <c r="L126">
        <f>VLOOKUP($A126,'Raw RTF'!$A$8:$Q$1000,'Raw RTF'!L$5,FALSE)</f>
        <v>0</v>
      </c>
      <c r="M126">
        <f>VLOOKUP($A126,'Raw RTF'!$A$8:$Q$1000,'Raw RTF'!M$5,FALSE)</f>
        <v>0</v>
      </c>
      <c r="N126">
        <f>VLOOKUP($A126,'Raw RTF'!$A$8:$Q$1000,'Raw RTF'!N$5,FALSE)</f>
        <v>0</v>
      </c>
      <c r="O126">
        <f>VLOOKUP($A126,'Raw RTF'!$A$8:$Q$1000,'Raw RTF'!O$5,FALSE)</f>
        <v>0</v>
      </c>
      <c r="P126">
        <f>VLOOKUP($A126,'Raw RTF'!$A$8:$Q$1000,'Raw RTF'!P$5,FALSE)</f>
        <v>0</v>
      </c>
      <c r="Q126">
        <f>VLOOKUP($A126,'Raw RTF'!$A$8:$Q$1000,'Raw RTF'!Q$5,FALSE)</f>
        <v>0</v>
      </c>
    </row>
    <row r="127" spans="1:17">
      <c r="A127" t="str">
        <f t="shared" si="2"/>
        <v>Single Family Weatherization - Insulate Attic - R11 to R38 - Heating Zone 3 (Heat Pump)ATTIC R11 - R38</v>
      </c>
      <c r="B127" s="53" t="s">
        <v>191</v>
      </c>
      <c r="C127" s="53" t="s">
        <v>73</v>
      </c>
      <c r="D127">
        <f>VLOOKUP($A127,'Raw RTF'!$A$8:$Q$1000,'Raw RTF'!D$5,FALSE)</f>
        <v>0.31530304217526284</v>
      </c>
      <c r="E127">
        <f>VLOOKUP($A127,'Raw RTF'!$A$8:$Q$1000,'Raw RTF'!E$5,FALSE)</f>
        <v>45</v>
      </c>
      <c r="F127">
        <f>VLOOKUP($A127,'Raw RTF'!$A$8:$Q$1000,'Raw RTF'!F$5,FALSE)</f>
        <v>0.84142627423649186</v>
      </c>
      <c r="G127">
        <f>VLOOKUP($A127,'Raw RTF'!$A$8:$Q$1000,'Raw RTF'!G$5,FALSE)</f>
        <v>0</v>
      </c>
      <c r="H127" t="str">
        <f>VLOOKUP($A127,'Raw RTF'!$A$8:$Q$1000,'Raw RTF'!H$5,FALSE)</f>
        <v>ResSpHtHPZ3</v>
      </c>
      <c r="I127">
        <f>VLOOKUP($A127,'Raw RTF'!$A$8:$Q$1000,'Raw RTF'!I$5,FALSE)</f>
        <v>1.498199173634281E-3</v>
      </c>
      <c r="J127">
        <f>VLOOKUP($A127,'Raw RTF'!$A$8:$Q$1000,'Raw RTF'!J$5,FALSE)</f>
        <v>0</v>
      </c>
      <c r="K127">
        <f>VLOOKUP($A127,'Raw RTF'!$A$8:$Q$1000,'Raw RTF'!K$5,FALSE)</f>
        <v>0</v>
      </c>
      <c r="L127">
        <f>VLOOKUP($A127,'Raw RTF'!$A$8:$Q$1000,'Raw RTF'!L$5,FALSE)</f>
        <v>0</v>
      </c>
      <c r="M127">
        <f>VLOOKUP($A127,'Raw RTF'!$A$8:$Q$1000,'Raw RTF'!M$5,FALSE)</f>
        <v>0</v>
      </c>
      <c r="N127">
        <f>VLOOKUP($A127,'Raw RTF'!$A$8:$Q$1000,'Raw RTF'!N$5,FALSE)</f>
        <v>0</v>
      </c>
      <c r="O127">
        <f>VLOOKUP($A127,'Raw RTF'!$A$8:$Q$1000,'Raw RTF'!O$5,FALSE)</f>
        <v>0</v>
      </c>
      <c r="P127">
        <f>VLOOKUP($A127,'Raw RTF'!$A$8:$Q$1000,'Raw RTF'!P$5,FALSE)</f>
        <v>0</v>
      </c>
      <c r="Q127">
        <f>VLOOKUP($A127,'Raw RTF'!$A$8:$Q$1000,'Raw RTF'!Q$5,FALSE)</f>
        <v>0</v>
      </c>
    </row>
    <row r="128" spans="1:17">
      <c r="A128" t="str">
        <f t="shared" si="2"/>
        <v>Single Family Weatherization - Insulate Attic - R11 to R49 - Heating Zone 3 (Heat Pump)ATTIC R11 - R49</v>
      </c>
      <c r="B128" s="53" t="s">
        <v>192</v>
      </c>
      <c r="C128" s="53" t="s">
        <v>75</v>
      </c>
      <c r="D128">
        <f>VLOOKUP($A128,'Raw RTF'!$A$8:$Q$1000,'Raw RTF'!D$5,FALSE)</f>
        <v>0.34172911556623475</v>
      </c>
      <c r="E128">
        <f>VLOOKUP($A128,'Raw RTF'!$A$8:$Q$1000,'Raw RTF'!E$5,FALSE)</f>
        <v>45</v>
      </c>
      <c r="F128">
        <f>VLOOKUP($A128,'Raw RTF'!$A$8:$Q$1000,'Raw RTF'!F$5,FALSE)</f>
        <v>0.98066043810604342</v>
      </c>
      <c r="G128">
        <f>VLOOKUP($A128,'Raw RTF'!$A$8:$Q$1000,'Raw RTF'!G$5,FALSE)</f>
        <v>0</v>
      </c>
      <c r="H128" t="str">
        <f>VLOOKUP($A128,'Raw RTF'!$A$8:$Q$1000,'Raw RTF'!H$5,FALSE)</f>
        <v>ResSpHtHPZ3</v>
      </c>
      <c r="I128">
        <f>VLOOKUP($A128,'Raw RTF'!$A$8:$Q$1000,'Raw RTF'!I$5,FALSE)</f>
        <v>1.6472808464744468E-3</v>
      </c>
      <c r="J128">
        <f>VLOOKUP($A128,'Raw RTF'!$A$8:$Q$1000,'Raw RTF'!J$5,FALSE)</f>
        <v>0</v>
      </c>
      <c r="K128">
        <f>VLOOKUP($A128,'Raw RTF'!$A$8:$Q$1000,'Raw RTF'!K$5,FALSE)</f>
        <v>0</v>
      </c>
      <c r="L128">
        <f>VLOOKUP($A128,'Raw RTF'!$A$8:$Q$1000,'Raw RTF'!L$5,FALSE)</f>
        <v>0</v>
      </c>
      <c r="M128">
        <f>VLOOKUP($A128,'Raw RTF'!$A$8:$Q$1000,'Raw RTF'!M$5,FALSE)</f>
        <v>0</v>
      </c>
      <c r="N128">
        <f>VLOOKUP($A128,'Raw RTF'!$A$8:$Q$1000,'Raw RTF'!N$5,FALSE)</f>
        <v>0</v>
      </c>
      <c r="O128">
        <f>VLOOKUP($A128,'Raw RTF'!$A$8:$Q$1000,'Raw RTF'!O$5,FALSE)</f>
        <v>0</v>
      </c>
      <c r="P128">
        <f>VLOOKUP($A128,'Raw RTF'!$A$8:$Q$1000,'Raw RTF'!P$5,FALSE)</f>
        <v>0</v>
      </c>
      <c r="Q128">
        <f>VLOOKUP($A128,'Raw RTF'!$A$8:$Q$1000,'Raw RTF'!Q$5,FALSE)</f>
        <v>0</v>
      </c>
    </row>
    <row r="129" spans="1:17">
      <c r="A129" t="str">
        <f t="shared" si="2"/>
        <v>Single Family Weatherization - Insulate Attic - R19 to R38 - Heating Zone 3 (Heat Pump)ATTIC R19 - R38</v>
      </c>
      <c r="B129" s="53" t="s">
        <v>193</v>
      </c>
      <c r="C129" s="53" t="s">
        <v>77</v>
      </c>
      <c r="D129">
        <f>VLOOKUP($A129,'Raw RTF'!$A$8:$Q$1000,'Raw RTF'!D$5,FALSE)</f>
        <v>0.14531972072607627</v>
      </c>
      <c r="E129">
        <f>VLOOKUP($A129,'Raw RTF'!$A$8:$Q$1000,'Raw RTF'!E$5,FALSE)</f>
        <v>45</v>
      </c>
      <c r="F129">
        <f>VLOOKUP($A129,'Raw RTF'!$A$8:$Q$1000,'Raw RTF'!F$5,FALSE)</f>
        <v>0.7401650641495453</v>
      </c>
      <c r="G129">
        <f>VLOOKUP($A129,'Raw RTF'!$A$8:$Q$1000,'Raw RTF'!G$5,FALSE)</f>
        <v>0</v>
      </c>
      <c r="H129" t="str">
        <f>VLOOKUP($A129,'Raw RTF'!$A$8:$Q$1000,'Raw RTF'!H$5,FALSE)</f>
        <v>ResSpHtHPZ3</v>
      </c>
      <c r="I129">
        <f>VLOOKUP($A129,'Raw RTF'!$A$8:$Q$1000,'Raw RTF'!I$5,FALSE)</f>
        <v>7.249074035082302E-4</v>
      </c>
      <c r="J129">
        <f>VLOOKUP($A129,'Raw RTF'!$A$8:$Q$1000,'Raw RTF'!J$5,FALSE)</f>
        <v>0</v>
      </c>
      <c r="K129">
        <f>VLOOKUP($A129,'Raw RTF'!$A$8:$Q$1000,'Raw RTF'!K$5,FALSE)</f>
        <v>0</v>
      </c>
      <c r="L129">
        <f>VLOOKUP($A129,'Raw RTF'!$A$8:$Q$1000,'Raw RTF'!L$5,FALSE)</f>
        <v>0</v>
      </c>
      <c r="M129">
        <f>VLOOKUP($A129,'Raw RTF'!$A$8:$Q$1000,'Raw RTF'!M$5,FALSE)</f>
        <v>0</v>
      </c>
      <c r="N129">
        <f>VLOOKUP($A129,'Raw RTF'!$A$8:$Q$1000,'Raw RTF'!N$5,FALSE)</f>
        <v>0</v>
      </c>
      <c r="O129">
        <f>VLOOKUP($A129,'Raw RTF'!$A$8:$Q$1000,'Raw RTF'!O$5,FALSE)</f>
        <v>0</v>
      </c>
      <c r="P129">
        <f>VLOOKUP($A129,'Raw RTF'!$A$8:$Q$1000,'Raw RTF'!P$5,FALSE)</f>
        <v>0</v>
      </c>
      <c r="Q129">
        <f>VLOOKUP($A129,'Raw RTF'!$A$8:$Q$1000,'Raw RTF'!Q$5,FALSE)</f>
        <v>0</v>
      </c>
    </row>
    <row r="130" spans="1:17">
      <c r="A130" t="str">
        <f t="shared" si="2"/>
        <v>Single Family Weatherization - Insulate Attic - R19 to R49 - Heating Zone 3 (Heat Pump)ATTIC R19 - R49</v>
      </c>
      <c r="B130" s="53" t="s">
        <v>194</v>
      </c>
      <c r="C130" s="53" t="s">
        <v>79</v>
      </c>
      <c r="D130">
        <f>VLOOKUP($A130,'Raw RTF'!$A$8:$Q$1000,'Raw RTF'!D$5,FALSE)</f>
        <v>0.17494936644952264</v>
      </c>
      <c r="E130">
        <f>VLOOKUP($A130,'Raw RTF'!$A$8:$Q$1000,'Raw RTF'!E$5,FALSE)</f>
        <v>45</v>
      </c>
      <c r="F130">
        <f>VLOOKUP($A130,'Raw RTF'!$A$8:$Q$1000,'Raw RTF'!F$5,FALSE)</f>
        <v>0.87939922801909687</v>
      </c>
      <c r="G130">
        <f>VLOOKUP($A130,'Raw RTF'!$A$8:$Q$1000,'Raw RTF'!G$5,FALSE)</f>
        <v>0</v>
      </c>
      <c r="H130" t="str">
        <f>VLOOKUP($A130,'Raw RTF'!$A$8:$Q$1000,'Raw RTF'!H$5,FALSE)</f>
        <v>ResSpHtHPZ3</v>
      </c>
      <c r="I130">
        <f>VLOOKUP($A130,'Raw RTF'!$A$8:$Q$1000,'Raw RTF'!I$5,FALSE)</f>
        <v>8.8224133549560122E-4</v>
      </c>
      <c r="J130">
        <f>VLOOKUP($A130,'Raw RTF'!$A$8:$Q$1000,'Raw RTF'!J$5,FALSE)</f>
        <v>0</v>
      </c>
      <c r="K130">
        <f>VLOOKUP($A130,'Raw RTF'!$A$8:$Q$1000,'Raw RTF'!K$5,FALSE)</f>
        <v>0</v>
      </c>
      <c r="L130">
        <f>VLOOKUP($A130,'Raw RTF'!$A$8:$Q$1000,'Raw RTF'!L$5,FALSE)</f>
        <v>0</v>
      </c>
      <c r="M130">
        <f>VLOOKUP($A130,'Raw RTF'!$A$8:$Q$1000,'Raw RTF'!M$5,FALSE)</f>
        <v>0</v>
      </c>
      <c r="N130">
        <f>VLOOKUP($A130,'Raw RTF'!$A$8:$Q$1000,'Raw RTF'!N$5,FALSE)</f>
        <v>0</v>
      </c>
      <c r="O130">
        <f>VLOOKUP($A130,'Raw RTF'!$A$8:$Q$1000,'Raw RTF'!O$5,FALSE)</f>
        <v>0</v>
      </c>
      <c r="P130">
        <f>VLOOKUP($A130,'Raw RTF'!$A$8:$Q$1000,'Raw RTF'!P$5,FALSE)</f>
        <v>0</v>
      </c>
      <c r="Q130">
        <f>VLOOKUP($A130,'Raw RTF'!$A$8:$Q$1000,'Raw RTF'!Q$5,FALSE)</f>
        <v>0</v>
      </c>
    </row>
    <row r="131" spans="1:17">
      <c r="A131" t="str">
        <f t="shared" si="2"/>
        <v>Single Family Weatherization - Insulate Wall - R0 to R11 - Heating Zone 3 (Heat Pump)WALL R0 - R11</v>
      </c>
      <c r="B131" s="53" t="s">
        <v>197</v>
      </c>
      <c r="C131" s="53" t="s">
        <v>85</v>
      </c>
      <c r="D131">
        <f>VLOOKUP($A131,'Raw RTF'!$A$8:$Q$1000,'Raw RTF'!D$5,FALSE)</f>
        <v>1.8791448680996186</v>
      </c>
      <c r="E131">
        <f>VLOOKUP($A131,'Raw RTF'!$A$8:$Q$1000,'Raw RTF'!E$5,FALSE)</f>
        <v>45</v>
      </c>
      <c r="F131">
        <f>VLOOKUP($A131,'Raw RTF'!$A$8:$Q$1000,'Raw RTF'!F$5,FALSE)</f>
        <v>1.3863525086966677</v>
      </c>
      <c r="G131">
        <f>VLOOKUP($A131,'Raw RTF'!$A$8:$Q$1000,'Raw RTF'!G$5,FALSE)</f>
        <v>0</v>
      </c>
      <c r="H131" t="str">
        <f>VLOOKUP($A131,'Raw RTF'!$A$8:$Q$1000,'Raw RTF'!H$5,FALSE)</f>
        <v>ResSpHtHPZ3</v>
      </c>
      <c r="I131">
        <f>VLOOKUP($A131,'Raw RTF'!$A$8:$Q$1000,'Raw RTF'!I$5,FALSE)</f>
        <v>8.232841098739405E-3</v>
      </c>
      <c r="J131">
        <f>VLOOKUP($A131,'Raw RTF'!$A$8:$Q$1000,'Raw RTF'!J$5,FALSE)</f>
        <v>0</v>
      </c>
      <c r="K131">
        <f>VLOOKUP($A131,'Raw RTF'!$A$8:$Q$1000,'Raw RTF'!K$5,FALSE)</f>
        <v>0</v>
      </c>
      <c r="L131">
        <f>VLOOKUP($A131,'Raw RTF'!$A$8:$Q$1000,'Raw RTF'!L$5,FALSE)</f>
        <v>0</v>
      </c>
      <c r="M131">
        <f>VLOOKUP($A131,'Raw RTF'!$A$8:$Q$1000,'Raw RTF'!M$5,FALSE)</f>
        <v>0</v>
      </c>
      <c r="N131">
        <f>VLOOKUP($A131,'Raw RTF'!$A$8:$Q$1000,'Raw RTF'!N$5,FALSE)</f>
        <v>0</v>
      </c>
      <c r="O131">
        <f>VLOOKUP($A131,'Raw RTF'!$A$8:$Q$1000,'Raw RTF'!O$5,FALSE)</f>
        <v>0</v>
      </c>
      <c r="P131">
        <f>VLOOKUP($A131,'Raw RTF'!$A$8:$Q$1000,'Raw RTF'!P$5,FALSE)</f>
        <v>0</v>
      </c>
      <c r="Q131">
        <f>VLOOKUP($A131,'Raw RTF'!$A$8:$Q$1000,'Raw RTF'!Q$5,FALSE)</f>
        <v>0</v>
      </c>
    </row>
    <row r="132" spans="1:17">
      <c r="A132" t="str">
        <f t="shared" si="2"/>
        <v>Single Family Weatherization - Insulate Floor - R0 to R19 - Heating Zone 3 (Heat Pump)FLOOR R0 - R19</v>
      </c>
      <c r="B132" s="53" t="s">
        <v>198</v>
      </c>
      <c r="C132" s="53" t="s">
        <v>87</v>
      </c>
      <c r="D132">
        <f>VLOOKUP($A132,'Raw RTF'!$A$8:$Q$1000,'Raw RTF'!D$5,FALSE)</f>
        <v>0.41368755436508603</v>
      </c>
      <c r="E132">
        <f>VLOOKUP($A132,'Raw RTF'!$A$8:$Q$1000,'Raw RTF'!E$5,FALSE)</f>
        <v>45</v>
      </c>
      <c r="F132">
        <f>VLOOKUP($A132,'Raw RTF'!$A$8:$Q$1000,'Raw RTF'!F$5,FALSE)</f>
        <v>1.2290592529494864</v>
      </c>
      <c r="G132">
        <f>VLOOKUP($A132,'Raw RTF'!$A$8:$Q$1000,'Raw RTF'!G$5,FALSE)</f>
        <v>0</v>
      </c>
      <c r="H132" t="str">
        <f>VLOOKUP($A132,'Raw RTF'!$A$8:$Q$1000,'Raw RTF'!H$5,FALSE)</f>
        <v>ResSpHtHPZ3</v>
      </c>
      <c r="I132">
        <f>VLOOKUP($A132,'Raw RTF'!$A$8:$Q$1000,'Raw RTF'!I$5,FALSE)</f>
        <v>6.307897137064994E-5</v>
      </c>
      <c r="J132">
        <f>VLOOKUP($A132,'Raw RTF'!$A$8:$Q$1000,'Raw RTF'!J$5,FALSE)</f>
        <v>0</v>
      </c>
      <c r="K132">
        <f>VLOOKUP($A132,'Raw RTF'!$A$8:$Q$1000,'Raw RTF'!K$5,FALSE)</f>
        <v>0</v>
      </c>
      <c r="L132">
        <f>VLOOKUP($A132,'Raw RTF'!$A$8:$Q$1000,'Raw RTF'!L$5,FALSE)</f>
        <v>0</v>
      </c>
      <c r="M132">
        <f>VLOOKUP($A132,'Raw RTF'!$A$8:$Q$1000,'Raw RTF'!M$5,FALSE)</f>
        <v>0</v>
      </c>
      <c r="N132">
        <f>VLOOKUP($A132,'Raw RTF'!$A$8:$Q$1000,'Raw RTF'!N$5,FALSE)</f>
        <v>0</v>
      </c>
      <c r="O132">
        <f>VLOOKUP($A132,'Raw RTF'!$A$8:$Q$1000,'Raw RTF'!O$5,FALSE)</f>
        <v>0</v>
      </c>
      <c r="P132">
        <f>VLOOKUP($A132,'Raw RTF'!$A$8:$Q$1000,'Raw RTF'!P$5,FALSE)</f>
        <v>0</v>
      </c>
      <c r="Q132">
        <f>VLOOKUP($A132,'Raw RTF'!$A$8:$Q$1000,'Raw RTF'!Q$5,FALSE)</f>
        <v>0</v>
      </c>
    </row>
    <row r="133" spans="1:17">
      <c r="A133" t="str">
        <f t="shared" si="2"/>
        <v>Single Family Weatherization - Insulate Floor - R0 to R25 - Heating Zone 3 (Heat Pump)FLOOR R0 - R25</v>
      </c>
      <c r="B133" s="53" t="s">
        <v>199</v>
      </c>
      <c r="C133" s="53" t="s">
        <v>89</v>
      </c>
      <c r="D133">
        <f>VLOOKUP($A133,'Raw RTF'!$A$8:$Q$1000,'Raw RTF'!D$5,FALSE)</f>
        <v>0.44432822821852075</v>
      </c>
      <c r="E133">
        <f>VLOOKUP($A133,'Raw RTF'!$A$8:$Q$1000,'Raw RTF'!E$5,FALSE)</f>
        <v>45</v>
      </c>
      <c r="F133">
        <f>VLOOKUP($A133,'Raw RTF'!$A$8:$Q$1000,'Raw RTF'!F$5,FALSE)</f>
        <v>1.2761252113477823</v>
      </c>
      <c r="G133">
        <f>VLOOKUP($A133,'Raw RTF'!$A$8:$Q$1000,'Raw RTF'!G$5,FALSE)</f>
        <v>0</v>
      </c>
      <c r="H133" t="str">
        <f>VLOOKUP($A133,'Raw RTF'!$A$8:$Q$1000,'Raw RTF'!H$5,FALSE)</f>
        <v>ResSpHtHPZ3</v>
      </c>
      <c r="I133">
        <f>VLOOKUP($A133,'Raw RTF'!$A$8:$Q$1000,'Raw RTF'!I$5,FALSE)</f>
        <v>1.8942571440930687E-4</v>
      </c>
      <c r="J133">
        <f>VLOOKUP($A133,'Raw RTF'!$A$8:$Q$1000,'Raw RTF'!J$5,FALSE)</f>
        <v>0</v>
      </c>
      <c r="K133">
        <f>VLOOKUP($A133,'Raw RTF'!$A$8:$Q$1000,'Raw RTF'!K$5,FALSE)</f>
        <v>0</v>
      </c>
      <c r="L133">
        <f>VLOOKUP($A133,'Raw RTF'!$A$8:$Q$1000,'Raw RTF'!L$5,FALSE)</f>
        <v>0</v>
      </c>
      <c r="M133">
        <f>VLOOKUP($A133,'Raw RTF'!$A$8:$Q$1000,'Raw RTF'!M$5,FALSE)</f>
        <v>0</v>
      </c>
      <c r="N133">
        <f>VLOOKUP($A133,'Raw RTF'!$A$8:$Q$1000,'Raw RTF'!N$5,FALSE)</f>
        <v>0</v>
      </c>
      <c r="O133">
        <f>VLOOKUP($A133,'Raw RTF'!$A$8:$Q$1000,'Raw RTF'!O$5,FALSE)</f>
        <v>0</v>
      </c>
      <c r="P133">
        <f>VLOOKUP($A133,'Raw RTF'!$A$8:$Q$1000,'Raw RTF'!P$5,FALSE)</f>
        <v>0</v>
      </c>
      <c r="Q133">
        <f>VLOOKUP($A133,'Raw RTF'!$A$8:$Q$1000,'Raw RTF'!Q$5,FALSE)</f>
        <v>0</v>
      </c>
    </row>
    <row r="134" spans="1:17">
      <c r="A134" t="str">
        <f t="shared" si="2"/>
        <v>Single Family Weatherization - Insulate Floor - R0 to R30 - Heating Zone 3 (Heat Pump)FLOOR R0 - R30</v>
      </c>
      <c r="B134" s="53" t="s">
        <v>200</v>
      </c>
      <c r="C134" s="53" t="s">
        <v>91</v>
      </c>
      <c r="D134">
        <f>VLOOKUP($A134,'Raw RTF'!$A$8:$Q$1000,'Raw RTF'!D$5,FALSE)</f>
        <v>0.46367801409966508</v>
      </c>
      <c r="E134">
        <f>VLOOKUP($A134,'Raw RTF'!$A$8:$Q$1000,'Raw RTF'!E$5,FALSE)</f>
        <v>45</v>
      </c>
      <c r="F134">
        <f>VLOOKUP($A134,'Raw RTF'!$A$8:$Q$1000,'Raw RTF'!F$5,FALSE)</f>
        <v>1.3153468433463626</v>
      </c>
      <c r="G134">
        <f>VLOOKUP($A134,'Raw RTF'!$A$8:$Q$1000,'Raw RTF'!G$5,FALSE)</f>
        <v>0</v>
      </c>
      <c r="H134" t="str">
        <f>VLOOKUP($A134,'Raw RTF'!$A$8:$Q$1000,'Raw RTF'!H$5,FALSE)</f>
        <v>ResSpHtHPZ3</v>
      </c>
      <c r="I134">
        <f>VLOOKUP($A134,'Raw RTF'!$A$8:$Q$1000,'Raw RTF'!I$5,FALSE)</f>
        <v>2.7350668713435519E-4</v>
      </c>
      <c r="J134">
        <f>VLOOKUP($A134,'Raw RTF'!$A$8:$Q$1000,'Raw RTF'!J$5,FALSE)</f>
        <v>0</v>
      </c>
      <c r="K134">
        <f>VLOOKUP($A134,'Raw RTF'!$A$8:$Q$1000,'Raw RTF'!K$5,FALSE)</f>
        <v>0</v>
      </c>
      <c r="L134">
        <f>VLOOKUP($A134,'Raw RTF'!$A$8:$Q$1000,'Raw RTF'!L$5,FALSE)</f>
        <v>0</v>
      </c>
      <c r="M134">
        <f>VLOOKUP($A134,'Raw RTF'!$A$8:$Q$1000,'Raw RTF'!M$5,FALSE)</f>
        <v>0</v>
      </c>
      <c r="N134">
        <f>VLOOKUP($A134,'Raw RTF'!$A$8:$Q$1000,'Raw RTF'!N$5,FALSE)</f>
        <v>0</v>
      </c>
      <c r="O134">
        <f>VLOOKUP($A134,'Raw RTF'!$A$8:$Q$1000,'Raw RTF'!O$5,FALSE)</f>
        <v>0</v>
      </c>
      <c r="P134">
        <f>VLOOKUP($A134,'Raw RTF'!$A$8:$Q$1000,'Raw RTF'!P$5,FALSE)</f>
        <v>0</v>
      </c>
      <c r="Q134">
        <f>VLOOKUP($A134,'Raw RTF'!$A$8:$Q$1000,'Raw RTF'!Q$5,FALSE)</f>
        <v>0</v>
      </c>
    </row>
    <row r="135" spans="1:17" ht="25.5">
      <c r="A135" t="str">
        <f t="shared" si="2"/>
        <v>Windows - Single Pane to Class 30 - Heating Zone 3 (Heat Pump)WINDOW CL30 Prime Window Replacement of Single Pane Base</v>
      </c>
      <c r="B135" s="53" t="s">
        <v>201</v>
      </c>
      <c r="C135" s="53" t="s">
        <v>93</v>
      </c>
      <c r="D135">
        <f>VLOOKUP($A135,'Raw RTF'!$A$8:$Q$1000,'Raw RTF'!D$5,FALSE)</f>
        <v>10.262730739400633</v>
      </c>
      <c r="E135">
        <f>VLOOKUP($A135,'Raw RTF'!$A$8:$Q$1000,'Raw RTF'!E$5,FALSE)</f>
        <v>45</v>
      </c>
      <c r="F135">
        <f>VLOOKUP($A135,'Raw RTF'!$A$8:$Q$1000,'Raw RTF'!F$5,FALSE)</f>
        <v>18.513985646792214</v>
      </c>
      <c r="G135">
        <f>VLOOKUP($A135,'Raw RTF'!$A$8:$Q$1000,'Raw RTF'!G$5,FALSE)</f>
        <v>0</v>
      </c>
      <c r="H135" t="str">
        <f>VLOOKUP($A135,'Raw RTF'!$A$8:$Q$1000,'Raw RTF'!H$5,FALSE)</f>
        <v>ResSpHtHPZ3</v>
      </c>
      <c r="I135">
        <f>VLOOKUP($A135,'Raw RTF'!$A$8:$Q$1000,'Raw RTF'!I$5,FALSE)</f>
        <v>6.5832936377831691E-2</v>
      </c>
      <c r="J135">
        <f>VLOOKUP($A135,'Raw RTF'!$A$8:$Q$1000,'Raw RTF'!J$5,FALSE)</f>
        <v>0</v>
      </c>
      <c r="K135">
        <f>VLOOKUP($A135,'Raw RTF'!$A$8:$Q$1000,'Raw RTF'!K$5,FALSE)</f>
        <v>0</v>
      </c>
      <c r="L135">
        <f>VLOOKUP($A135,'Raw RTF'!$A$8:$Q$1000,'Raw RTF'!L$5,FALSE)</f>
        <v>0</v>
      </c>
      <c r="M135">
        <f>VLOOKUP($A135,'Raw RTF'!$A$8:$Q$1000,'Raw RTF'!M$5,FALSE)</f>
        <v>0</v>
      </c>
      <c r="N135">
        <f>VLOOKUP($A135,'Raw RTF'!$A$8:$Q$1000,'Raw RTF'!N$5,FALSE)</f>
        <v>0</v>
      </c>
      <c r="O135">
        <f>VLOOKUP($A135,'Raw RTF'!$A$8:$Q$1000,'Raw RTF'!O$5,FALSE)</f>
        <v>0</v>
      </c>
      <c r="P135">
        <f>VLOOKUP($A135,'Raw RTF'!$A$8:$Q$1000,'Raw RTF'!P$5,FALSE)</f>
        <v>0</v>
      </c>
      <c r="Q135">
        <f>VLOOKUP($A135,'Raw RTF'!$A$8:$Q$1000,'Raw RTF'!Q$5,FALSE)</f>
        <v>0</v>
      </c>
    </row>
    <row r="136" spans="1:17" ht="25.5">
      <c r="A136" t="str">
        <f t="shared" si="2"/>
        <v>Windows - Double Pane to Class 30 - Heating Zone 3 (Heat Pump)WINDOW CL30 Prime Window Replacement of Double Pane Base</v>
      </c>
      <c r="B136" s="53" t="s">
        <v>202</v>
      </c>
      <c r="C136" s="53" t="s">
        <v>95</v>
      </c>
      <c r="D136">
        <f>VLOOKUP($A136,'Raw RTF'!$A$8:$Q$1000,'Raw RTF'!D$5,FALSE)</f>
        <v>5.251043816602901</v>
      </c>
      <c r="E136">
        <f>VLOOKUP($A136,'Raw RTF'!$A$8:$Q$1000,'Raw RTF'!E$5,FALSE)</f>
        <v>45</v>
      </c>
      <c r="F136">
        <f>VLOOKUP($A136,'Raw RTF'!$A$8:$Q$1000,'Raw RTF'!F$5,FALSE)</f>
        <v>18.513985646792214</v>
      </c>
      <c r="G136">
        <f>VLOOKUP($A136,'Raw RTF'!$A$8:$Q$1000,'Raw RTF'!G$5,FALSE)</f>
        <v>0</v>
      </c>
      <c r="H136" t="str">
        <f>VLOOKUP($A136,'Raw RTF'!$A$8:$Q$1000,'Raw RTF'!H$5,FALSE)</f>
        <v>ResSpHtHPZ3</v>
      </c>
      <c r="I136">
        <f>VLOOKUP($A136,'Raw RTF'!$A$8:$Q$1000,'Raw RTF'!I$5,FALSE)</f>
        <v>3.4794313481409989E-2</v>
      </c>
      <c r="J136">
        <f>VLOOKUP($A136,'Raw RTF'!$A$8:$Q$1000,'Raw RTF'!J$5,FALSE)</f>
        <v>0</v>
      </c>
      <c r="K136">
        <f>VLOOKUP($A136,'Raw RTF'!$A$8:$Q$1000,'Raw RTF'!K$5,FALSE)</f>
        <v>0</v>
      </c>
      <c r="L136">
        <f>VLOOKUP($A136,'Raw RTF'!$A$8:$Q$1000,'Raw RTF'!L$5,FALSE)</f>
        <v>0</v>
      </c>
      <c r="M136">
        <f>VLOOKUP($A136,'Raw RTF'!$A$8:$Q$1000,'Raw RTF'!M$5,FALSE)</f>
        <v>0</v>
      </c>
      <c r="N136">
        <f>VLOOKUP($A136,'Raw RTF'!$A$8:$Q$1000,'Raw RTF'!N$5,FALSE)</f>
        <v>0</v>
      </c>
      <c r="O136">
        <f>VLOOKUP($A136,'Raw RTF'!$A$8:$Q$1000,'Raw RTF'!O$5,FALSE)</f>
        <v>0</v>
      </c>
      <c r="P136">
        <f>VLOOKUP($A136,'Raw RTF'!$A$8:$Q$1000,'Raw RTF'!P$5,FALSE)</f>
        <v>0</v>
      </c>
      <c r="Q136">
        <f>VLOOKUP($A136,'Raw RTF'!$A$8:$Q$1000,'Raw RTF'!Q$5,FALSE)</f>
        <v>0</v>
      </c>
    </row>
    <row r="137" spans="1:17" ht="25.5">
      <c r="A137" t="str">
        <f t="shared" si="2"/>
        <v>Windows - Single Pane to Class 22 - Heating Zone 3 (Heat Pump)WINDOW CL22 Prime Window Replacement of Single Pane Base</v>
      </c>
      <c r="B137" s="53" t="s">
        <v>204</v>
      </c>
      <c r="C137" s="53" t="s">
        <v>99</v>
      </c>
      <c r="D137">
        <f>VLOOKUP($A137,'Raw RTF'!$A$8:$Q$1000,'Raw RTF'!D$5,FALSE)</f>
        <v>11.242461535964848</v>
      </c>
      <c r="E137">
        <f>VLOOKUP($A137,'Raw RTF'!$A$8:$Q$1000,'Raw RTF'!E$5,FALSE)</f>
        <v>45</v>
      </c>
      <c r="F137">
        <f>VLOOKUP($A137,'Raw RTF'!$A$8:$Q$1000,'Raw RTF'!F$5,FALSE)</f>
        <v>21.803985646792214</v>
      </c>
      <c r="G137">
        <f>VLOOKUP($A137,'Raw RTF'!$A$8:$Q$1000,'Raw RTF'!G$5,FALSE)</f>
        <v>0</v>
      </c>
      <c r="H137" t="str">
        <f>VLOOKUP($A137,'Raw RTF'!$A$8:$Q$1000,'Raw RTF'!H$5,FALSE)</f>
        <v>ResSpHtHPZ3</v>
      </c>
      <c r="I137">
        <f>VLOOKUP($A137,'Raw RTF'!$A$8:$Q$1000,'Raw RTF'!I$5,FALSE)</f>
        <v>7.3820547948934917E-2</v>
      </c>
      <c r="J137">
        <f>VLOOKUP($A137,'Raw RTF'!$A$8:$Q$1000,'Raw RTF'!J$5,FALSE)</f>
        <v>0</v>
      </c>
      <c r="K137">
        <f>VLOOKUP($A137,'Raw RTF'!$A$8:$Q$1000,'Raw RTF'!K$5,FALSE)</f>
        <v>0</v>
      </c>
      <c r="L137">
        <f>VLOOKUP($A137,'Raw RTF'!$A$8:$Q$1000,'Raw RTF'!L$5,FALSE)</f>
        <v>0</v>
      </c>
      <c r="M137">
        <f>VLOOKUP($A137,'Raw RTF'!$A$8:$Q$1000,'Raw RTF'!M$5,FALSE)</f>
        <v>0</v>
      </c>
      <c r="N137">
        <f>VLOOKUP($A137,'Raw RTF'!$A$8:$Q$1000,'Raw RTF'!N$5,FALSE)</f>
        <v>0</v>
      </c>
      <c r="O137">
        <f>VLOOKUP($A137,'Raw RTF'!$A$8:$Q$1000,'Raw RTF'!O$5,FALSE)</f>
        <v>0</v>
      </c>
      <c r="P137">
        <f>VLOOKUP($A137,'Raw RTF'!$A$8:$Q$1000,'Raw RTF'!P$5,FALSE)</f>
        <v>0</v>
      </c>
      <c r="Q137">
        <f>VLOOKUP($A137,'Raw RTF'!$A$8:$Q$1000,'Raw RTF'!Q$5,FALSE)</f>
        <v>0</v>
      </c>
    </row>
    <row r="138" spans="1:17" ht="25.5">
      <c r="A138" t="str">
        <f t="shared" si="2"/>
        <v>Windows - Double Pane to Class 22 - Heating Zone 3 (Heat Pump)WINDOW CL22 Prime Window Replacement of Double Pane Base</v>
      </c>
      <c r="B138" s="53" t="s">
        <v>205</v>
      </c>
      <c r="C138" s="53" t="s">
        <v>101</v>
      </c>
      <c r="D138">
        <f>VLOOKUP($A138,'Raw RTF'!$A$8:$Q$1000,'Raw RTF'!D$5,FALSE)</f>
        <v>6.1013202477387702</v>
      </c>
      <c r="E138">
        <f>VLOOKUP($A138,'Raw RTF'!$A$8:$Q$1000,'Raw RTF'!E$5,FALSE)</f>
        <v>45</v>
      </c>
      <c r="F138">
        <f>VLOOKUP($A138,'Raw RTF'!$A$8:$Q$1000,'Raw RTF'!F$5,FALSE)</f>
        <v>21.803985646792214</v>
      </c>
      <c r="G138">
        <f>VLOOKUP($A138,'Raw RTF'!$A$8:$Q$1000,'Raw RTF'!G$5,FALSE)</f>
        <v>0</v>
      </c>
      <c r="H138" t="str">
        <f>VLOOKUP($A138,'Raw RTF'!$A$8:$Q$1000,'Raw RTF'!H$5,FALSE)</f>
        <v>ResSpHtHPZ3</v>
      </c>
      <c r="I138">
        <f>VLOOKUP($A138,'Raw RTF'!$A$8:$Q$1000,'Raw RTF'!I$5,FALSE)</f>
        <v>4.1740261904189009E-2</v>
      </c>
      <c r="J138">
        <f>VLOOKUP($A138,'Raw RTF'!$A$8:$Q$1000,'Raw RTF'!J$5,FALSE)</f>
        <v>0</v>
      </c>
      <c r="K138">
        <f>VLOOKUP($A138,'Raw RTF'!$A$8:$Q$1000,'Raw RTF'!K$5,FALSE)</f>
        <v>0</v>
      </c>
      <c r="L138">
        <f>VLOOKUP($A138,'Raw RTF'!$A$8:$Q$1000,'Raw RTF'!L$5,FALSE)</f>
        <v>0</v>
      </c>
      <c r="M138">
        <f>VLOOKUP($A138,'Raw RTF'!$A$8:$Q$1000,'Raw RTF'!M$5,FALSE)</f>
        <v>0</v>
      </c>
      <c r="N138">
        <f>VLOOKUP($A138,'Raw RTF'!$A$8:$Q$1000,'Raw RTF'!N$5,FALSE)</f>
        <v>0</v>
      </c>
      <c r="O138">
        <f>VLOOKUP($A138,'Raw RTF'!$A$8:$Q$1000,'Raw RTF'!O$5,FALSE)</f>
        <v>0</v>
      </c>
      <c r="P138">
        <f>VLOOKUP($A138,'Raw RTF'!$A$8:$Q$1000,'Raw RTF'!P$5,FALSE)</f>
        <v>0</v>
      </c>
      <c r="Q138">
        <f>VLOOKUP($A138,'Raw RTF'!$A$8:$Q$1000,'Raw RTF'!Q$5,FALSE)</f>
        <v>0</v>
      </c>
    </row>
    <row r="139" spans="1:17">
      <c r="A139" t="str">
        <f t="shared" si="2"/>
        <v>Infiltration Reduction - CFM50 reduction - Heating Zone 3 (Heat Pump)CFM50 Infiltration Reduction</v>
      </c>
      <c r="B139" s="53" t="s">
        <v>207</v>
      </c>
      <c r="C139" s="305" t="s">
        <v>1362</v>
      </c>
      <c r="D139">
        <f>VLOOKUP($A139,'Raw RTF'!$A$8:$Q$1000,'Raw RTF'!D$5,FALSE)</f>
        <v>0.37218003387522014</v>
      </c>
      <c r="E139">
        <f>VLOOKUP($A139,'Raw RTF'!$A$8:$Q$1000,'Raw RTF'!E$5,FALSE)</f>
        <v>15</v>
      </c>
      <c r="F139">
        <f>VLOOKUP($A139,'Raw RTF'!$A$8:$Q$1000,'Raw RTF'!F$5,FALSE)</f>
        <v>0.6607178075171779</v>
      </c>
      <c r="G139">
        <f>VLOOKUP($A139,'Raw RTF'!$A$8:$Q$1000,'Raw RTF'!G$5,FALSE)</f>
        <v>0</v>
      </c>
      <c r="H139" t="str">
        <f>VLOOKUP($A139,'Raw RTF'!$A$8:$Q$1000,'Raw RTF'!H$5,FALSE)</f>
        <v>ResSpHtHPZ3</v>
      </c>
      <c r="I139">
        <f>VLOOKUP($A139,'Raw RTF'!$A$8:$Q$1000,'Raw RTF'!I$5,FALSE)</f>
        <v>2.3088736105038978E-3</v>
      </c>
      <c r="J139">
        <f>VLOOKUP($A139,'Raw RTF'!$A$8:$Q$1000,'Raw RTF'!J$5,FALSE)</f>
        <v>0</v>
      </c>
      <c r="K139">
        <f>VLOOKUP($A139,'Raw RTF'!$A$8:$Q$1000,'Raw RTF'!K$5,FALSE)</f>
        <v>0</v>
      </c>
      <c r="L139">
        <f>VLOOKUP($A139,'Raw RTF'!$A$8:$Q$1000,'Raw RTF'!L$5,FALSE)</f>
        <v>0</v>
      </c>
      <c r="M139">
        <f>VLOOKUP($A139,'Raw RTF'!$A$8:$Q$1000,'Raw RTF'!M$5,FALSE)</f>
        <v>0</v>
      </c>
      <c r="N139">
        <f>VLOOKUP($A139,'Raw RTF'!$A$8:$Q$1000,'Raw RTF'!N$5,FALSE)</f>
        <v>0</v>
      </c>
      <c r="O139">
        <f>VLOOKUP($A139,'Raw RTF'!$A$8:$Q$1000,'Raw RTF'!O$5,FALSE)</f>
        <v>0</v>
      </c>
      <c r="P139">
        <f>VLOOKUP($A139,'Raw RTF'!$A$8:$Q$1000,'Raw RTF'!P$5,FALSE)</f>
        <v>0</v>
      </c>
      <c r="Q139">
        <f>VLOOKUP($A139,'Raw RTF'!$A$8:$Q$1000,'Raw RTF'!Q$5,FALSE)</f>
        <v>0</v>
      </c>
    </row>
    <row r="140" spans="1:17">
      <c r="A140" t="str">
        <f t="shared" ref="A140:A186" si="3">CONCATENATE(B140,C140)</f>
        <v>Single Family Weatherization - Insulate Attic - R0 to R38 - Heating Zone 1 (Electric FAF)ATTIC R0 - R38 (cooling savings)</v>
      </c>
      <c r="B140" s="53" t="s">
        <v>67</v>
      </c>
      <c r="C140" s="54" t="s">
        <v>208</v>
      </c>
      <c r="D140">
        <f>VLOOKUP($A140,'Raw RTF'!$A$8:$Q$1000,'Raw RTF'!D$5,FALSE)</f>
        <v>0.34583589054568942</v>
      </c>
      <c r="E140">
        <f>VLOOKUP($A140,'Raw RTF'!$A$8:$Q$1000,'Raw RTF'!E$5,FALSE)</f>
        <v>45</v>
      </c>
      <c r="F140">
        <f>VLOOKUP($A140,'Raw RTF'!$A$8:$Q$1000,'Raw RTF'!F$5,FALSE)</f>
        <v>0</v>
      </c>
      <c r="G140">
        <f>VLOOKUP($A140,'Raw RTF'!$A$8:$Q$1000,'Raw RTF'!G$5,FALSE)</f>
        <v>0</v>
      </c>
      <c r="H140" t="str">
        <f>VLOOKUP($A140,'Raw RTF'!$A$8:$Q$1000,'Raw RTF'!H$5,FALSE)</f>
        <v>ResCACPNW</v>
      </c>
      <c r="I140">
        <f>VLOOKUP($A140,'Raw RTF'!$A$8:$Q$1000,'Raw RTF'!I$5,FALSE)</f>
        <v>0</v>
      </c>
      <c r="J140">
        <f>VLOOKUP($A140,'Raw RTF'!$A$8:$Q$1000,'Raw RTF'!J$5,FALSE)</f>
        <v>0</v>
      </c>
      <c r="K140">
        <f>VLOOKUP($A140,'Raw RTF'!$A$8:$Q$1000,'Raw RTF'!K$5,FALSE)</f>
        <v>0</v>
      </c>
      <c r="L140">
        <f>VLOOKUP($A140,'Raw RTF'!$A$8:$Q$1000,'Raw RTF'!L$5,FALSE)</f>
        <v>0</v>
      </c>
      <c r="M140">
        <f>VLOOKUP($A140,'Raw RTF'!$A$8:$Q$1000,'Raw RTF'!M$5,FALSE)</f>
        <v>0</v>
      </c>
      <c r="N140">
        <f>VLOOKUP($A140,'Raw RTF'!$A$8:$Q$1000,'Raw RTF'!N$5,FALSE)</f>
        <v>0</v>
      </c>
      <c r="O140">
        <f>VLOOKUP($A140,'Raw RTF'!$A$8:$Q$1000,'Raw RTF'!O$5,FALSE)</f>
        <v>0</v>
      </c>
      <c r="P140">
        <f>VLOOKUP($A140,'Raw RTF'!$A$8:$Q$1000,'Raw RTF'!P$5,FALSE)</f>
        <v>0</v>
      </c>
      <c r="Q140">
        <f>VLOOKUP($A140,'Raw RTF'!$A$8:$Q$1000,'Raw RTF'!Q$5,FALSE)</f>
        <v>0</v>
      </c>
    </row>
    <row r="141" spans="1:17">
      <c r="A141" t="str">
        <f t="shared" si="3"/>
        <v>Single Family Weatherization - Insulate Attic - R0 to R49 - Heating Zone 1 (Electric FAF)ATTIC R0 - R49 (cooling savings)</v>
      </c>
      <c r="B141" s="53" t="s">
        <v>70</v>
      </c>
      <c r="C141" s="54" t="s">
        <v>210</v>
      </c>
      <c r="D141">
        <f>VLOOKUP($A141,'Raw RTF'!$A$8:$Q$1000,'Raw RTF'!D$5,FALSE)</f>
        <v>0.34959656027125696</v>
      </c>
      <c r="E141">
        <f>VLOOKUP($A141,'Raw RTF'!$A$8:$Q$1000,'Raw RTF'!E$5,FALSE)</f>
        <v>45</v>
      </c>
      <c r="F141">
        <f>VLOOKUP($A141,'Raw RTF'!$A$8:$Q$1000,'Raw RTF'!F$5,FALSE)</f>
        <v>0</v>
      </c>
      <c r="G141">
        <f>VLOOKUP($A141,'Raw RTF'!$A$8:$Q$1000,'Raw RTF'!G$5,FALSE)</f>
        <v>0</v>
      </c>
      <c r="H141" t="str">
        <f>VLOOKUP($A141,'Raw RTF'!$A$8:$Q$1000,'Raw RTF'!H$5,FALSE)</f>
        <v>ResCACPNW</v>
      </c>
      <c r="I141">
        <f>VLOOKUP($A141,'Raw RTF'!$A$8:$Q$1000,'Raw RTF'!I$5,FALSE)</f>
        <v>0</v>
      </c>
      <c r="J141">
        <f>VLOOKUP($A141,'Raw RTF'!$A$8:$Q$1000,'Raw RTF'!J$5,FALSE)</f>
        <v>0</v>
      </c>
      <c r="K141">
        <f>VLOOKUP($A141,'Raw RTF'!$A$8:$Q$1000,'Raw RTF'!K$5,FALSE)</f>
        <v>0</v>
      </c>
      <c r="L141">
        <f>VLOOKUP($A141,'Raw RTF'!$A$8:$Q$1000,'Raw RTF'!L$5,FALSE)</f>
        <v>0</v>
      </c>
      <c r="M141">
        <f>VLOOKUP($A141,'Raw RTF'!$A$8:$Q$1000,'Raw RTF'!M$5,FALSE)</f>
        <v>0</v>
      </c>
      <c r="N141">
        <f>VLOOKUP($A141,'Raw RTF'!$A$8:$Q$1000,'Raw RTF'!N$5,FALSE)</f>
        <v>0</v>
      </c>
      <c r="O141">
        <f>VLOOKUP($A141,'Raw RTF'!$A$8:$Q$1000,'Raw RTF'!O$5,FALSE)</f>
        <v>0</v>
      </c>
      <c r="P141">
        <f>VLOOKUP($A141,'Raw RTF'!$A$8:$Q$1000,'Raw RTF'!P$5,FALSE)</f>
        <v>0</v>
      </c>
      <c r="Q141">
        <f>VLOOKUP($A141,'Raw RTF'!$A$8:$Q$1000,'Raw RTF'!Q$5,FALSE)</f>
        <v>0</v>
      </c>
    </row>
    <row r="142" spans="1:17">
      <c r="A142" t="str">
        <f t="shared" si="3"/>
        <v>Single Family Weatherization - Insulate Attic - R11 to R38 - Heating Zone 1 (Electric FAF)ATTIC R11 - R38 (cooling savings)</v>
      </c>
      <c r="B142" s="53" t="s">
        <v>72</v>
      </c>
      <c r="C142" s="54" t="s">
        <v>211</v>
      </c>
      <c r="D142">
        <f>VLOOKUP($A142,'Raw RTF'!$A$8:$Q$1000,'Raw RTF'!D$5,FALSE)</f>
        <v>4.6511172887244608E-2</v>
      </c>
      <c r="E142">
        <f>VLOOKUP($A142,'Raw RTF'!$A$8:$Q$1000,'Raw RTF'!E$5,FALSE)</f>
        <v>45</v>
      </c>
      <c r="F142">
        <f>VLOOKUP($A142,'Raw RTF'!$A$8:$Q$1000,'Raw RTF'!F$5,FALSE)</f>
        <v>0</v>
      </c>
      <c r="G142">
        <f>VLOOKUP($A142,'Raw RTF'!$A$8:$Q$1000,'Raw RTF'!G$5,FALSE)</f>
        <v>0</v>
      </c>
      <c r="H142" t="str">
        <f>VLOOKUP($A142,'Raw RTF'!$A$8:$Q$1000,'Raw RTF'!H$5,FALSE)</f>
        <v>ResCACPNW</v>
      </c>
      <c r="I142">
        <f>VLOOKUP($A142,'Raw RTF'!$A$8:$Q$1000,'Raw RTF'!I$5,FALSE)</f>
        <v>0</v>
      </c>
      <c r="J142">
        <f>VLOOKUP($A142,'Raw RTF'!$A$8:$Q$1000,'Raw RTF'!J$5,FALSE)</f>
        <v>0</v>
      </c>
      <c r="K142">
        <f>VLOOKUP($A142,'Raw RTF'!$A$8:$Q$1000,'Raw RTF'!K$5,FALSE)</f>
        <v>0</v>
      </c>
      <c r="L142">
        <f>VLOOKUP($A142,'Raw RTF'!$A$8:$Q$1000,'Raw RTF'!L$5,FALSE)</f>
        <v>0</v>
      </c>
      <c r="M142">
        <f>VLOOKUP($A142,'Raw RTF'!$A$8:$Q$1000,'Raw RTF'!M$5,FALSE)</f>
        <v>0</v>
      </c>
      <c r="N142">
        <f>VLOOKUP($A142,'Raw RTF'!$A$8:$Q$1000,'Raw RTF'!N$5,FALSE)</f>
        <v>0</v>
      </c>
      <c r="O142">
        <f>VLOOKUP($A142,'Raw RTF'!$A$8:$Q$1000,'Raw RTF'!O$5,FALSE)</f>
        <v>0</v>
      </c>
      <c r="P142">
        <f>VLOOKUP($A142,'Raw RTF'!$A$8:$Q$1000,'Raw RTF'!P$5,FALSE)</f>
        <v>0</v>
      </c>
      <c r="Q142">
        <f>VLOOKUP($A142,'Raw RTF'!$A$8:$Q$1000,'Raw RTF'!Q$5,FALSE)</f>
        <v>0</v>
      </c>
    </row>
    <row r="143" spans="1:17">
      <c r="A143" t="str">
        <f t="shared" si="3"/>
        <v>Single Family Weatherization - Insulate Attic - R11 to R49 - Heating Zone 1 (Electric FAF)ATTIC R11 - R49 (cooling savings)</v>
      </c>
      <c r="B143" s="53" t="s">
        <v>74</v>
      </c>
      <c r="C143" s="54" t="s">
        <v>212</v>
      </c>
      <c r="D143">
        <f>VLOOKUP($A143,'Raw RTF'!$A$8:$Q$1000,'Raw RTF'!D$5,FALSE)</f>
        <v>5.0271842612812208E-2</v>
      </c>
      <c r="E143">
        <f>VLOOKUP($A143,'Raw RTF'!$A$8:$Q$1000,'Raw RTF'!E$5,FALSE)</f>
        <v>45</v>
      </c>
      <c r="F143">
        <f>VLOOKUP($A143,'Raw RTF'!$A$8:$Q$1000,'Raw RTF'!F$5,FALSE)</f>
        <v>0</v>
      </c>
      <c r="G143">
        <f>VLOOKUP($A143,'Raw RTF'!$A$8:$Q$1000,'Raw RTF'!G$5,FALSE)</f>
        <v>0</v>
      </c>
      <c r="H143" t="str">
        <f>VLOOKUP($A143,'Raw RTF'!$A$8:$Q$1000,'Raw RTF'!H$5,FALSE)</f>
        <v>ResCACPNW</v>
      </c>
      <c r="I143">
        <f>VLOOKUP($A143,'Raw RTF'!$A$8:$Q$1000,'Raw RTF'!I$5,FALSE)</f>
        <v>0</v>
      </c>
      <c r="J143">
        <f>VLOOKUP($A143,'Raw RTF'!$A$8:$Q$1000,'Raw RTF'!J$5,FALSE)</f>
        <v>0</v>
      </c>
      <c r="K143">
        <f>VLOOKUP($A143,'Raw RTF'!$A$8:$Q$1000,'Raw RTF'!K$5,FALSE)</f>
        <v>0</v>
      </c>
      <c r="L143">
        <f>VLOOKUP($A143,'Raw RTF'!$A$8:$Q$1000,'Raw RTF'!L$5,FALSE)</f>
        <v>0</v>
      </c>
      <c r="M143">
        <f>VLOOKUP($A143,'Raw RTF'!$A$8:$Q$1000,'Raw RTF'!M$5,FALSE)</f>
        <v>0</v>
      </c>
      <c r="N143">
        <f>VLOOKUP($A143,'Raw RTF'!$A$8:$Q$1000,'Raw RTF'!N$5,FALSE)</f>
        <v>0</v>
      </c>
      <c r="O143">
        <f>VLOOKUP($A143,'Raw RTF'!$A$8:$Q$1000,'Raw RTF'!O$5,FALSE)</f>
        <v>0</v>
      </c>
      <c r="P143">
        <f>VLOOKUP($A143,'Raw RTF'!$A$8:$Q$1000,'Raw RTF'!P$5,FALSE)</f>
        <v>0</v>
      </c>
      <c r="Q143">
        <f>VLOOKUP($A143,'Raw RTF'!$A$8:$Q$1000,'Raw RTF'!Q$5,FALSE)</f>
        <v>0</v>
      </c>
    </row>
    <row r="144" spans="1:17">
      <c r="A144" t="str">
        <f t="shared" si="3"/>
        <v>Single Family Weatherization - Insulate Attic - R19 to R38 - Heating Zone 1 (Electric FAF)ATTIC R19 - R38 (cooling savings)</v>
      </c>
      <c r="B144" s="53" t="s">
        <v>76</v>
      </c>
      <c r="C144" s="54" t="s">
        <v>213</v>
      </c>
      <c r="D144">
        <f>VLOOKUP($A144,'Raw RTF'!$A$8:$Q$1000,'Raw RTF'!D$5,FALSE)</f>
        <v>1.8787817276515864E-2</v>
      </c>
      <c r="E144">
        <f>VLOOKUP($A144,'Raw RTF'!$A$8:$Q$1000,'Raw RTF'!E$5,FALSE)</f>
        <v>45</v>
      </c>
      <c r="F144">
        <f>VLOOKUP($A144,'Raw RTF'!$A$8:$Q$1000,'Raw RTF'!F$5,FALSE)</f>
        <v>0</v>
      </c>
      <c r="G144">
        <f>VLOOKUP($A144,'Raw RTF'!$A$8:$Q$1000,'Raw RTF'!G$5,FALSE)</f>
        <v>0</v>
      </c>
      <c r="H144" t="str">
        <f>VLOOKUP($A144,'Raw RTF'!$A$8:$Q$1000,'Raw RTF'!H$5,FALSE)</f>
        <v>ResCACPNW</v>
      </c>
      <c r="I144">
        <f>VLOOKUP($A144,'Raw RTF'!$A$8:$Q$1000,'Raw RTF'!I$5,FALSE)</f>
        <v>0</v>
      </c>
      <c r="J144">
        <f>VLOOKUP($A144,'Raw RTF'!$A$8:$Q$1000,'Raw RTF'!J$5,FALSE)</f>
        <v>0</v>
      </c>
      <c r="K144">
        <f>VLOOKUP($A144,'Raw RTF'!$A$8:$Q$1000,'Raw RTF'!K$5,FALSE)</f>
        <v>0</v>
      </c>
      <c r="L144">
        <f>VLOOKUP($A144,'Raw RTF'!$A$8:$Q$1000,'Raw RTF'!L$5,FALSE)</f>
        <v>0</v>
      </c>
      <c r="M144">
        <f>VLOOKUP($A144,'Raw RTF'!$A$8:$Q$1000,'Raw RTF'!M$5,FALSE)</f>
        <v>0</v>
      </c>
      <c r="N144">
        <f>VLOOKUP($A144,'Raw RTF'!$A$8:$Q$1000,'Raw RTF'!N$5,FALSE)</f>
        <v>0</v>
      </c>
      <c r="O144">
        <f>VLOOKUP($A144,'Raw RTF'!$A$8:$Q$1000,'Raw RTF'!O$5,FALSE)</f>
        <v>0</v>
      </c>
      <c r="P144">
        <f>VLOOKUP($A144,'Raw RTF'!$A$8:$Q$1000,'Raw RTF'!P$5,FALSE)</f>
        <v>0</v>
      </c>
      <c r="Q144">
        <f>VLOOKUP($A144,'Raw RTF'!$A$8:$Q$1000,'Raw RTF'!Q$5,FALSE)</f>
        <v>0</v>
      </c>
    </row>
    <row r="145" spans="1:17">
      <c r="A145" t="str">
        <f t="shared" si="3"/>
        <v>Single Family Weatherization - Insulate Attic - R19 to R49 - Heating Zone 1 (Electric FAF)ATTIC R19 - R49 (cooling savings)</v>
      </c>
      <c r="B145" s="53" t="s">
        <v>78</v>
      </c>
      <c r="C145" s="54" t="s">
        <v>214</v>
      </c>
      <c r="D145">
        <f>VLOOKUP($A145,'Raw RTF'!$A$8:$Q$1000,'Raw RTF'!D$5,FALSE)</f>
        <v>2.2548487002083464E-2</v>
      </c>
      <c r="E145">
        <f>VLOOKUP($A145,'Raw RTF'!$A$8:$Q$1000,'Raw RTF'!E$5,FALSE)</f>
        <v>45</v>
      </c>
      <c r="F145">
        <f>VLOOKUP($A145,'Raw RTF'!$A$8:$Q$1000,'Raw RTF'!F$5,FALSE)</f>
        <v>0</v>
      </c>
      <c r="G145">
        <f>VLOOKUP($A145,'Raw RTF'!$A$8:$Q$1000,'Raw RTF'!G$5,FALSE)</f>
        <v>0</v>
      </c>
      <c r="H145" t="str">
        <f>VLOOKUP($A145,'Raw RTF'!$A$8:$Q$1000,'Raw RTF'!H$5,FALSE)</f>
        <v>ResCACPNW</v>
      </c>
      <c r="I145">
        <f>VLOOKUP($A145,'Raw RTF'!$A$8:$Q$1000,'Raw RTF'!I$5,FALSE)</f>
        <v>0</v>
      </c>
      <c r="J145">
        <f>VLOOKUP($A145,'Raw RTF'!$A$8:$Q$1000,'Raw RTF'!J$5,FALSE)</f>
        <v>0</v>
      </c>
      <c r="K145">
        <f>VLOOKUP($A145,'Raw RTF'!$A$8:$Q$1000,'Raw RTF'!K$5,FALSE)</f>
        <v>0</v>
      </c>
      <c r="L145">
        <f>VLOOKUP($A145,'Raw RTF'!$A$8:$Q$1000,'Raw RTF'!L$5,FALSE)</f>
        <v>0</v>
      </c>
      <c r="M145">
        <f>VLOOKUP($A145,'Raw RTF'!$A$8:$Q$1000,'Raw RTF'!M$5,FALSE)</f>
        <v>0</v>
      </c>
      <c r="N145">
        <f>VLOOKUP($A145,'Raw RTF'!$A$8:$Q$1000,'Raw RTF'!N$5,FALSE)</f>
        <v>0</v>
      </c>
      <c r="O145">
        <f>VLOOKUP($A145,'Raw RTF'!$A$8:$Q$1000,'Raw RTF'!O$5,FALSE)</f>
        <v>0</v>
      </c>
      <c r="P145">
        <f>VLOOKUP($A145,'Raw RTF'!$A$8:$Q$1000,'Raw RTF'!P$5,FALSE)</f>
        <v>0</v>
      </c>
      <c r="Q145">
        <f>VLOOKUP($A145,'Raw RTF'!$A$8:$Q$1000,'Raw RTF'!Q$5,FALSE)</f>
        <v>0</v>
      </c>
    </row>
    <row r="146" spans="1:17">
      <c r="A146" t="str">
        <f t="shared" si="3"/>
        <v>Single Family Weatherization - Insulate Wall - R0 to R11 - Heating Zone 1 (Electric FAF)WALL R0 - R11 (cooling savings)</v>
      </c>
      <c r="B146" s="53" t="s">
        <v>84</v>
      </c>
      <c r="C146" s="54" t="s">
        <v>217</v>
      </c>
      <c r="D146">
        <f>VLOOKUP($A146,'Raw RTF'!$A$8:$Q$1000,'Raw RTF'!D$5,FALSE)</f>
        <v>3.742187719900527E-2</v>
      </c>
      <c r="E146">
        <f>VLOOKUP($A146,'Raw RTF'!$A$8:$Q$1000,'Raw RTF'!E$5,FALSE)</f>
        <v>45</v>
      </c>
      <c r="F146">
        <f>VLOOKUP($A146,'Raw RTF'!$A$8:$Q$1000,'Raw RTF'!F$5,FALSE)</f>
        <v>0</v>
      </c>
      <c r="G146">
        <f>VLOOKUP($A146,'Raw RTF'!$A$8:$Q$1000,'Raw RTF'!G$5,FALSE)</f>
        <v>0</v>
      </c>
      <c r="H146" t="str">
        <f>VLOOKUP($A146,'Raw RTF'!$A$8:$Q$1000,'Raw RTF'!H$5,FALSE)</f>
        <v>ResCACPNW</v>
      </c>
      <c r="I146">
        <f>VLOOKUP($A146,'Raw RTF'!$A$8:$Q$1000,'Raw RTF'!I$5,FALSE)</f>
        <v>0</v>
      </c>
      <c r="J146">
        <f>VLOOKUP($A146,'Raw RTF'!$A$8:$Q$1000,'Raw RTF'!J$5,FALSE)</f>
        <v>0</v>
      </c>
      <c r="K146">
        <f>VLOOKUP($A146,'Raw RTF'!$A$8:$Q$1000,'Raw RTF'!K$5,FALSE)</f>
        <v>0</v>
      </c>
      <c r="L146">
        <f>VLOOKUP($A146,'Raw RTF'!$A$8:$Q$1000,'Raw RTF'!L$5,FALSE)</f>
        <v>0</v>
      </c>
      <c r="M146">
        <f>VLOOKUP($A146,'Raw RTF'!$A$8:$Q$1000,'Raw RTF'!M$5,FALSE)</f>
        <v>0</v>
      </c>
      <c r="N146">
        <f>VLOOKUP($A146,'Raw RTF'!$A$8:$Q$1000,'Raw RTF'!N$5,FALSE)</f>
        <v>0</v>
      </c>
      <c r="O146">
        <f>VLOOKUP($A146,'Raw RTF'!$A$8:$Q$1000,'Raw RTF'!O$5,FALSE)</f>
        <v>0</v>
      </c>
      <c r="P146">
        <f>VLOOKUP($A146,'Raw RTF'!$A$8:$Q$1000,'Raw RTF'!P$5,FALSE)</f>
        <v>0</v>
      </c>
      <c r="Q146">
        <f>VLOOKUP($A146,'Raw RTF'!$A$8:$Q$1000,'Raw RTF'!Q$5,FALSE)</f>
        <v>0</v>
      </c>
    </row>
    <row r="147" spans="1:17">
      <c r="A147" t="str">
        <f t="shared" si="3"/>
        <v>Single Family Weatherization - Insulate Floor - R0 to R19 - Heating Zone 1 (Electric FAF)FLOOR R0 - R19 (cooling savings)</v>
      </c>
      <c r="B147" s="53" t="s">
        <v>86</v>
      </c>
      <c r="C147" s="54" t="s">
        <v>218</v>
      </c>
      <c r="D147">
        <f>VLOOKUP($A147,'Raw RTF'!$A$8:$Q$1000,'Raw RTF'!D$5,FALSE)</f>
        <v>-4.9359452214712524E-2</v>
      </c>
      <c r="E147">
        <f>VLOOKUP($A147,'Raw RTF'!$A$8:$Q$1000,'Raw RTF'!E$5,FALSE)</f>
        <v>45</v>
      </c>
      <c r="F147">
        <f>VLOOKUP($A147,'Raw RTF'!$A$8:$Q$1000,'Raw RTF'!F$5,FALSE)</f>
        <v>0</v>
      </c>
      <c r="G147">
        <f>VLOOKUP($A147,'Raw RTF'!$A$8:$Q$1000,'Raw RTF'!G$5,FALSE)</f>
        <v>0</v>
      </c>
      <c r="H147" t="str">
        <f>VLOOKUP($A147,'Raw RTF'!$A$8:$Q$1000,'Raw RTF'!H$5,FALSE)</f>
        <v>ResCACPNW</v>
      </c>
      <c r="I147">
        <f>VLOOKUP($A147,'Raw RTF'!$A$8:$Q$1000,'Raw RTF'!I$5,FALSE)</f>
        <v>0</v>
      </c>
      <c r="J147">
        <f>VLOOKUP($A147,'Raw RTF'!$A$8:$Q$1000,'Raw RTF'!J$5,FALSE)</f>
        <v>0</v>
      </c>
      <c r="K147">
        <f>VLOOKUP($A147,'Raw RTF'!$A$8:$Q$1000,'Raw RTF'!K$5,FALSE)</f>
        <v>0</v>
      </c>
      <c r="L147">
        <f>VLOOKUP($A147,'Raw RTF'!$A$8:$Q$1000,'Raw RTF'!L$5,FALSE)</f>
        <v>0</v>
      </c>
      <c r="M147">
        <f>VLOOKUP($A147,'Raw RTF'!$A$8:$Q$1000,'Raw RTF'!M$5,FALSE)</f>
        <v>0</v>
      </c>
      <c r="N147">
        <f>VLOOKUP($A147,'Raw RTF'!$A$8:$Q$1000,'Raw RTF'!N$5,FALSE)</f>
        <v>0</v>
      </c>
      <c r="O147">
        <f>VLOOKUP($A147,'Raw RTF'!$A$8:$Q$1000,'Raw RTF'!O$5,FALSE)</f>
        <v>0</v>
      </c>
      <c r="P147">
        <f>VLOOKUP($A147,'Raw RTF'!$A$8:$Q$1000,'Raw RTF'!P$5,FALSE)</f>
        <v>0</v>
      </c>
      <c r="Q147">
        <f>VLOOKUP($A147,'Raw RTF'!$A$8:$Q$1000,'Raw RTF'!Q$5,FALSE)</f>
        <v>0</v>
      </c>
    </row>
    <row r="148" spans="1:17">
      <c r="A148" t="str">
        <f t="shared" si="3"/>
        <v>Single Family Weatherization - Insulate Floor - R0 to R25 - Heating Zone 1 (Electric FAF)FLOOR R0 - R25 (cooling savings)</v>
      </c>
      <c r="B148" s="53" t="s">
        <v>88</v>
      </c>
      <c r="C148" s="54" t="s">
        <v>219</v>
      </c>
      <c r="D148">
        <f>VLOOKUP($A148,'Raw RTF'!$A$8:$Q$1000,'Raw RTF'!D$5,FALSE)</f>
        <v>-5.5284229557805535E-2</v>
      </c>
      <c r="E148">
        <f>VLOOKUP($A148,'Raw RTF'!$A$8:$Q$1000,'Raw RTF'!E$5,FALSE)</f>
        <v>45</v>
      </c>
      <c r="F148">
        <f>VLOOKUP($A148,'Raw RTF'!$A$8:$Q$1000,'Raw RTF'!F$5,FALSE)</f>
        <v>0</v>
      </c>
      <c r="G148">
        <f>VLOOKUP($A148,'Raw RTF'!$A$8:$Q$1000,'Raw RTF'!G$5,FALSE)</f>
        <v>0</v>
      </c>
      <c r="H148" t="str">
        <f>VLOOKUP($A148,'Raw RTF'!$A$8:$Q$1000,'Raw RTF'!H$5,FALSE)</f>
        <v>ResCACPNW</v>
      </c>
      <c r="I148">
        <f>VLOOKUP($A148,'Raw RTF'!$A$8:$Q$1000,'Raw RTF'!I$5,FALSE)</f>
        <v>0</v>
      </c>
      <c r="J148">
        <f>VLOOKUP($A148,'Raw RTF'!$A$8:$Q$1000,'Raw RTF'!J$5,FALSE)</f>
        <v>0</v>
      </c>
      <c r="K148">
        <f>VLOOKUP($A148,'Raw RTF'!$A$8:$Q$1000,'Raw RTF'!K$5,FALSE)</f>
        <v>0</v>
      </c>
      <c r="L148">
        <f>VLOOKUP($A148,'Raw RTF'!$A$8:$Q$1000,'Raw RTF'!L$5,FALSE)</f>
        <v>0</v>
      </c>
      <c r="M148">
        <f>VLOOKUP($A148,'Raw RTF'!$A$8:$Q$1000,'Raw RTF'!M$5,FALSE)</f>
        <v>0</v>
      </c>
      <c r="N148">
        <f>VLOOKUP($A148,'Raw RTF'!$A$8:$Q$1000,'Raw RTF'!N$5,FALSE)</f>
        <v>0</v>
      </c>
      <c r="O148">
        <f>VLOOKUP($A148,'Raw RTF'!$A$8:$Q$1000,'Raw RTF'!O$5,FALSE)</f>
        <v>0</v>
      </c>
      <c r="P148">
        <f>VLOOKUP($A148,'Raw RTF'!$A$8:$Q$1000,'Raw RTF'!P$5,FALSE)</f>
        <v>0</v>
      </c>
      <c r="Q148">
        <f>VLOOKUP($A148,'Raw RTF'!$A$8:$Q$1000,'Raw RTF'!Q$5,FALSE)</f>
        <v>0</v>
      </c>
    </row>
    <row r="149" spans="1:17">
      <c r="A149" t="str">
        <f t="shared" si="3"/>
        <v>Single Family Weatherization - Insulate Floor - R0 to R30 - Heating Zone 1 (Electric FAF)FLOOR R0 - R30 (cooling savings)</v>
      </c>
      <c r="B149" s="53" t="s">
        <v>90</v>
      </c>
      <c r="C149" s="54" t="s">
        <v>220</v>
      </c>
      <c r="D149">
        <f>VLOOKUP($A149,'Raw RTF'!$A$8:$Q$1000,'Raw RTF'!D$5,FALSE)</f>
        <v>-5.9199636878246947E-2</v>
      </c>
      <c r="E149">
        <f>VLOOKUP($A149,'Raw RTF'!$A$8:$Q$1000,'Raw RTF'!E$5,FALSE)</f>
        <v>45</v>
      </c>
      <c r="F149">
        <f>VLOOKUP($A149,'Raw RTF'!$A$8:$Q$1000,'Raw RTF'!F$5,FALSE)</f>
        <v>0</v>
      </c>
      <c r="G149">
        <f>VLOOKUP($A149,'Raw RTF'!$A$8:$Q$1000,'Raw RTF'!G$5,FALSE)</f>
        <v>0</v>
      </c>
      <c r="H149" t="str">
        <f>VLOOKUP($A149,'Raw RTF'!$A$8:$Q$1000,'Raw RTF'!H$5,FALSE)</f>
        <v>ResCACPNW</v>
      </c>
      <c r="I149">
        <f>VLOOKUP($A149,'Raw RTF'!$A$8:$Q$1000,'Raw RTF'!I$5,FALSE)</f>
        <v>0</v>
      </c>
      <c r="J149">
        <f>VLOOKUP($A149,'Raw RTF'!$A$8:$Q$1000,'Raw RTF'!J$5,FALSE)</f>
        <v>0</v>
      </c>
      <c r="K149">
        <f>VLOOKUP($A149,'Raw RTF'!$A$8:$Q$1000,'Raw RTF'!K$5,FALSE)</f>
        <v>0</v>
      </c>
      <c r="L149">
        <f>VLOOKUP($A149,'Raw RTF'!$A$8:$Q$1000,'Raw RTF'!L$5,FALSE)</f>
        <v>0</v>
      </c>
      <c r="M149">
        <f>VLOOKUP($A149,'Raw RTF'!$A$8:$Q$1000,'Raw RTF'!M$5,FALSE)</f>
        <v>0</v>
      </c>
      <c r="N149">
        <f>VLOOKUP($A149,'Raw RTF'!$A$8:$Q$1000,'Raw RTF'!N$5,FALSE)</f>
        <v>0</v>
      </c>
      <c r="O149">
        <f>VLOOKUP($A149,'Raw RTF'!$A$8:$Q$1000,'Raw RTF'!O$5,FALSE)</f>
        <v>0</v>
      </c>
      <c r="P149">
        <f>VLOOKUP($A149,'Raw RTF'!$A$8:$Q$1000,'Raw RTF'!P$5,FALSE)</f>
        <v>0</v>
      </c>
      <c r="Q149">
        <f>VLOOKUP($A149,'Raw RTF'!$A$8:$Q$1000,'Raw RTF'!Q$5,FALSE)</f>
        <v>0</v>
      </c>
    </row>
    <row r="150" spans="1:17" ht="25.5">
      <c r="A150" t="str">
        <f t="shared" si="3"/>
        <v>Windows - Single Pane to Class 30 - Heating Zone 1 (Electric FAF)WINDOW CL30 Prime Window Replacement of Single Pane Base (cooling savings)</v>
      </c>
      <c r="B150" s="53" t="s">
        <v>92</v>
      </c>
      <c r="C150" s="54" t="s">
        <v>221</v>
      </c>
      <c r="D150">
        <f>VLOOKUP($A150,'Raw RTF'!$A$8:$Q$1000,'Raw RTF'!D$5,FALSE)</f>
        <v>0.80269299041557973</v>
      </c>
      <c r="E150">
        <f>VLOOKUP($A150,'Raw RTF'!$A$8:$Q$1000,'Raw RTF'!E$5,FALSE)</f>
        <v>45</v>
      </c>
      <c r="F150">
        <f>VLOOKUP($A150,'Raw RTF'!$A$8:$Q$1000,'Raw RTF'!F$5,FALSE)</f>
        <v>0</v>
      </c>
      <c r="G150">
        <f>VLOOKUP($A150,'Raw RTF'!$A$8:$Q$1000,'Raw RTF'!G$5,FALSE)</f>
        <v>0</v>
      </c>
      <c r="H150" t="str">
        <f>VLOOKUP($A150,'Raw RTF'!$A$8:$Q$1000,'Raw RTF'!H$5,FALSE)</f>
        <v>ResCACPNW</v>
      </c>
      <c r="I150">
        <f>VLOOKUP($A150,'Raw RTF'!$A$8:$Q$1000,'Raw RTF'!I$5,FALSE)</f>
        <v>0</v>
      </c>
      <c r="J150">
        <f>VLOOKUP($A150,'Raw RTF'!$A$8:$Q$1000,'Raw RTF'!J$5,FALSE)</f>
        <v>0</v>
      </c>
      <c r="K150">
        <f>VLOOKUP($A150,'Raw RTF'!$A$8:$Q$1000,'Raw RTF'!K$5,FALSE)</f>
        <v>0</v>
      </c>
      <c r="L150">
        <f>VLOOKUP($A150,'Raw RTF'!$A$8:$Q$1000,'Raw RTF'!L$5,FALSE)</f>
        <v>0</v>
      </c>
      <c r="M150">
        <f>VLOOKUP($A150,'Raw RTF'!$A$8:$Q$1000,'Raw RTF'!M$5,FALSE)</f>
        <v>0</v>
      </c>
      <c r="N150">
        <f>VLOOKUP($A150,'Raw RTF'!$A$8:$Q$1000,'Raw RTF'!N$5,FALSE)</f>
        <v>0</v>
      </c>
      <c r="O150">
        <f>VLOOKUP($A150,'Raw RTF'!$A$8:$Q$1000,'Raw RTF'!O$5,FALSE)</f>
        <v>0</v>
      </c>
      <c r="P150">
        <f>VLOOKUP($A150,'Raw RTF'!$A$8:$Q$1000,'Raw RTF'!P$5,FALSE)</f>
        <v>0</v>
      </c>
      <c r="Q150">
        <f>VLOOKUP($A150,'Raw RTF'!$A$8:$Q$1000,'Raw RTF'!Q$5,FALSE)</f>
        <v>0</v>
      </c>
    </row>
    <row r="151" spans="1:17" ht="25.5">
      <c r="A151" t="str">
        <f t="shared" si="3"/>
        <v>Windows - Double Pane to Class 30 - Heating Zone 1 (Electric FAF)WINDOW CL30 Prime Window Replacement of Double Pane Base (cooling savings)</v>
      </c>
      <c r="B151" s="53" t="s">
        <v>94</v>
      </c>
      <c r="C151" s="54" t="s">
        <v>222</v>
      </c>
      <c r="D151">
        <f>VLOOKUP($A151,'Raw RTF'!$A$8:$Q$1000,'Raw RTF'!D$5,FALSE)</f>
        <v>1.0430649303716493</v>
      </c>
      <c r="E151">
        <f>VLOOKUP($A151,'Raw RTF'!$A$8:$Q$1000,'Raw RTF'!E$5,FALSE)</f>
        <v>45</v>
      </c>
      <c r="F151">
        <f>VLOOKUP($A151,'Raw RTF'!$A$8:$Q$1000,'Raw RTF'!F$5,FALSE)</f>
        <v>0</v>
      </c>
      <c r="G151">
        <f>VLOOKUP($A151,'Raw RTF'!$A$8:$Q$1000,'Raw RTF'!G$5,FALSE)</f>
        <v>0</v>
      </c>
      <c r="H151" t="str">
        <f>VLOOKUP($A151,'Raw RTF'!$A$8:$Q$1000,'Raw RTF'!H$5,FALSE)</f>
        <v>ResCACPNW</v>
      </c>
      <c r="I151">
        <f>VLOOKUP($A151,'Raw RTF'!$A$8:$Q$1000,'Raw RTF'!I$5,FALSE)</f>
        <v>0</v>
      </c>
      <c r="J151">
        <f>VLOOKUP($A151,'Raw RTF'!$A$8:$Q$1000,'Raw RTF'!J$5,FALSE)</f>
        <v>0</v>
      </c>
      <c r="K151">
        <f>VLOOKUP($A151,'Raw RTF'!$A$8:$Q$1000,'Raw RTF'!K$5,FALSE)</f>
        <v>0</v>
      </c>
      <c r="L151">
        <f>VLOOKUP($A151,'Raw RTF'!$A$8:$Q$1000,'Raw RTF'!L$5,FALSE)</f>
        <v>0</v>
      </c>
      <c r="M151">
        <f>VLOOKUP($A151,'Raw RTF'!$A$8:$Q$1000,'Raw RTF'!M$5,FALSE)</f>
        <v>0</v>
      </c>
      <c r="N151">
        <f>VLOOKUP($A151,'Raw RTF'!$A$8:$Q$1000,'Raw RTF'!N$5,FALSE)</f>
        <v>0</v>
      </c>
      <c r="O151">
        <f>VLOOKUP($A151,'Raw RTF'!$A$8:$Q$1000,'Raw RTF'!O$5,FALSE)</f>
        <v>0</v>
      </c>
      <c r="P151">
        <f>VLOOKUP($A151,'Raw RTF'!$A$8:$Q$1000,'Raw RTF'!P$5,FALSE)</f>
        <v>0</v>
      </c>
      <c r="Q151">
        <f>VLOOKUP($A151,'Raw RTF'!$A$8:$Q$1000,'Raw RTF'!Q$5,FALSE)</f>
        <v>0</v>
      </c>
    </row>
    <row r="152" spans="1:17" ht="25.5">
      <c r="A152" t="str">
        <f t="shared" si="3"/>
        <v>Windows - Single Pane to Class 22 - Heating Zone 1 (Electric FAF)WINDOW CL22 Prime Window Replacement of Single Pane Base (cooling savings)</v>
      </c>
      <c r="B152" s="53" t="s">
        <v>98</v>
      </c>
      <c r="C152" s="54" t="s">
        <v>224</v>
      </c>
      <c r="D152">
        <f>VLOOKUP($A152,'Raw RTF'!$A$8:$Q$1000,'Raw RTF'!D$5,FALSE)</f>
        <v>0.86172708516718166</v>
      </c>
      <c r="E152">
        <f>VLOOKUP($A152,'Raw RTF'!$A$8:$Q$1000,'Raw RTF'!E$5,FALSE)</f>
        <v>45</v>
      </c>
      <c r="F152">
        <f>VLOOKUP($A152,'Raw RTF'!$A$8:$Q$1000,'Raw RTF'!F$5,FALSE)</f>
        <v>0</v>
      </c>
      <c r="G152">
        <f>VLOOKUP($A152,'Raw RTF'!$A$8:$Q$1000,'Raw RTF'!G$5,FALSE)</f>
        <v>0</v>
      </c>
      <c r="H152" t="str">
        <f>VLOOKUP($A152,'Raw RTF'!$A$8:$Q$1000,'Raw RTF'!H$5,FALSE)</f>
        <v>ResCACPNW</v>
      </c>
      <c r="I152">
        <f>VLOOKUP($A152,'Raw RTF'!$A$8:$Q$1000,'Raw RTF'!I$5,FALSE)</f>
        <v>0</v>
      </c>
      <c r="J152">
        <f>VLOOKUP($A152,'Raw RTF'!$A$8:$Q$1000,'Raw RTF'!J$5,FALSE)</f>
        <v>0</v>
      </c>
      <c r="K152">
        <f>VLOOKUP($A152,'Raw RTF'!$A$8:$Q$1000,'Raw RTF'!K$5,FALSE)</f>
        <v>0</v>
      </c>
      <c r="L152">
        <f>VLOOKUP($A152,'Raw RTF'!$A$8:$Q$1000,'Raw RTF'!L$5,FALSE)</f>
        <v>0</v>
      </c>
      <c r="M152">
        <f>VLOOKUP($A152,'Raw RTF'!$A$8:$Q$1000,'Raw RTF'!M$5,FALSE)</f>
        <v>0</v>
      </c>
      <c r="N152">
        <f>VLOOKUP($A152,'Raw RTF'!$A$8:$Q$1000,'Raw RTF'!N$5,FALSE)</f>
        <v>0</v>
      </c>
      <c r="O152">
        <f>VLOOKUP($A152,'Raw RTF'!$A$8:$Q$1000,'Raw RTF'!O$5,FALSE)</f>
        <v>0</v>
      </c>
      <c r="P152">
        <f>VLOOKUP($A152,'Raw RTF'!$A$8:$Q$1000,'Raw RTF'!P$5,FALSE)</f>
        <v>0</v>
      </c>
      <c r="Q152">
        <f>VLOOKUP($A152,'Raw RTF'!$A$8:$Q$1000,'Raw RTF'!Q$5,FALSE)</f>
        <v>0</v>
      </c>
    </row>
    <row r="153" spans="1:17" ht="25.5">
      <c r="A153" t="str">
        <f t="shared" si="3"/>
        <v>Windows - Double Pane to Class 22 - Heating Zone 1 (Electric FAF)WINDOW CL22 Prime Window Replacement of Double Pane Base (cooling savings)</v>
      </c>
      <c r="B153" s="53" t="s">
        <v>100</v>
      </c>
      <c r="C153" s="54" t="s">
        <v>225</v>
      </c>
      <c r="D153">
        <f>VLOOKUP($A153,'Raw RTF'!$A$8:$Q$1000,'Raw RTF'!D$5,FALSE)</f>
        <v>1.1020990251232512</v>
      </c>
      <c r="E153">
        <f>VLOOKUP($A153,'Raw RTF'!$A$8:$Q$1000,'Raw RTF'!E$5,FALSE)</f>
        <v>45</v>
      </c>
      <c r="F153">
        <f>VLOOKUP($A153,'Raw RTF'!$A$8:$Q$1000,'Raw RTF'!F$5,FALSE)</f>
        <v>0</v>
      </c>
      <c r="G153">
        <f>VLOOKUP($A153,'Raw RTF'!$A$8:$Q$1000,'Raw RTF'!G$5,FALSE)</f>
        <v>0</v>
      </c>
      <c r="H153" t="str">
        <f>VLOOKUP($A153,'Raw RTF'!$A$8:$Q$1000,'Raw RTF'!H$5,FALSE)</f>
        <v>ResCACPNW</v>
      </c>
      <c r="I153">
        <f>VLOOKUP($A153,'Raw RTF'!$A$8:$Q$1000,'Raw RTF'!I$5,FALSE)</f>
        <v>0</v>
      </c>
      <c r="J153">
        <f>VLOOKUP($A153,'Raw RTF'!$A$8:$Q$1000,'Raw RTF'!J$5,FALSE)</f>
        <v>0</v>
      </c>
      <c r="K153">
        <f>VLOOKUP($A153,'Raw RTF'!$A$8:$Q$1000,'Raw RTF'!K$5,FALSE)</f>
        <v>0</v>
      </c>
      <c r="L153">
        <f>VLOOKUP($A153,'Raw RTF'!$A$8:$Q$1000,'Raw RTF'!L$5,FALSE)</f>
        <v>0</v>
      </c>
      <c r="M153">
        <f>VLOOKUP($A153,'Raw RTF'!$A$8:$Q$1000,'Raw RTF'!M$5,FALSE)</f>
        <v>0</v>
      </c>
      <c r="N153">
        <f>VLOOKUP($A153,'Raw RTF'!$A$8:$Q$1000,'Raw RTF'!N$5,FALSE)</f>
        <v>0</v>
      </c>
      <c r="O153">
        <f>VLOOKUP($A153,'Raw RTF'!$A$8:$Q$1000,'Raw RTF'!O$5,FALSE)</f>
        <v>0</v>
      </c>
      <c r="P153">
        <f>VLOOKUP($A153,'Raw RTF'!$A$8:$Q$1000,'Raw RTF'!P$5,FALSE)</f>
        <v>0</v>
      </c>
      <c r="Q153">
        <f>VLOOKUP($A153,'Raw RTF'!$A$8:$Q$1000,'Raw RTF'!Q$5,FALSE)</f>
        <v>0</v>
      </c>
    </row>
    <row r="154" spans="1:17">
      <c r="A154" t="str">
        <f t="shared" si="3"/>
        <v>Infiltration Reduction - CFM50 reduction - Heating Zone 1 (Electric FAF)CFM50 Infiltration Reduction (cooling savings)</v>
      </c>
      <c r="B154" s="53" t="s">
        <v>104</v>
      </c>
      <c r="C154" s="307" t="s">
        <v>890</v>
      </c>
      <c r="D154">
        <f>VLOOKUP($A154,'Raw RTF'!$A$8:$Q$1000,'Raw RTF'!D$5,FALSE)</f>
        <v>1.6615864727896664E-3</v>
      </c>
      <c r="E154">
        <f>VLOOKUP($A154,'Raw RTF'!$A$8:$Q$1000,'Raw RTF'!E$5,FALSE)</f>
        <v>15</v>
      </c>
      <c r="F154">
        <f>VLOOKUP($A154,'Raw RTF'!$A$8:$Q$1000,'Raw RTF'!F$5,FALSE)</f>
        <v>0</v>
      </c>
      <c r="G154">
        <f>VLOOKUP($A154,'Raw RTF'!$A$8:$Q$1000,'Raw RTF'!G$5,FALSE)</f>
        <v>0</v>
      </c>
      <c r="H154" t="str">
        <f>VLOOKUP($A154,'Raw RTF'!$A$8:$Q$1000,'Raw RTF'!H$5,FALSE)</f>
        <v>ResCACPNW</v>
      </c>
      <c r="I154">
        <f>VLOOKUP($A154,'Raw RTF'!$A$8:$Q$1000,'Raw RTF'!I$5,FALSE)</f>
        <v>0</v>
      </c>
      <c r="J154">
        <f>VLOOKUP($A154,'Raw RTF'!$A$8:$Q$1000,'Raw RTF'!J$5,FALSE)</f>
        <v>0</v>
      </c>
      <c r="K154">
        <f>VLOOKUP($A154,'Raw RTF'!$A$8:$Q$1000,'Raw RTF'!K$5,FALSE)</f>
        <v>0</v>
      </c>
      <c r="L154">
        <f>VLOOKUP($A154,'Raw RTF'!$A$8:$Q$1000,'Raw RTF'!L$5,FALSE)</f>
        <v>0</v>
      </c>
      <c r="M154">
        <f>VLOOKUP($A154,'Raw RTF'!$A$8:$Q$1000,'Raw RTF'!M$5,FALSE)</f>
        <v>0</v>
      </c>
      <c r="N154">
        <f>VLOOKUP($A154,'Raw RTF'!$A$8:$Q$1000,'Raw RTF'!N$5,FALSE)</f>
        <v>0</v>
      </c>
      <c r="O154">
        <f>VLOOKUP($A154,'Raw RTF'!$A$8:$Q$1000,'Raw RTF'!O$5,FALSE)</f>
        <v>0</v>
      </c>
      <c r="P154">
        <f>VLOOKUP($A154,'Raw RTF'!$A$8:$Q$1000,'Raw RTF'!P$5,FALSE)</f>
        <v>0</v>
      </c>
      <c r="Q154">
        <f>VLOOKUP($A154,'Raw RTF'!$A$8:$Q$1000,'Raw RTF'!Q$5,FALSE)</f>
        <v>0</v>
      </c>
    </row>
    <row r="155" spans="1:17">
      <c r="A155" t="str">
        <f t="shared" si="3"/>
        <v>Single Family Weatherization - Insulate Attic - R0 to R38 - Heating Zone 2 (Electric FAF)ATTIC R0 - R38 (cooling savings)</v>
      </c>
      <c r="B155" s="53" t="s">
        <v>105</v>
      </c>
      <c r="C155" s="54" t="s">
        <v>208</v>
      </c>
      <c r="D155">
        <f>VLOOKUP($A155,'Raw RTF'!$A$8:$Q$1000,'Raw RTF'!D$5,FALSE)</f>
        <v>0.42285282617922487</v>
      </c>
      <c r="E155">
        <f>VLOOKUP($A155,'Raw RTF'!$A$8:$Q$1000,'Raw RTF'!E$5,FALSE)</f>
        <v>45</v>
      </c>
      <c r="F155">
        <f>VLOOKUP($A155,'Raw RTF'!$A$8:$Q$1000,'Raw RTF'!F$5,FALSE)</f>
        <v>0</v>
      </c>
      <c r="G155">
        <f>VLOOKUP($A155,'Raw RTF'!$A$8:$Q$1000,'Raw RTF'!G$5,FALSE)</f>
        <v>0</v>
      </c>
      <c r="H155" t="str">
        <f>VLOOKUP($A155,'Raw RTF'!$A$8:$Q$1000,'Raw RTF'!H$5,FALSE)</f>
        <v>ResCACPNW</v>
      </c>
      <c r="I155">
        <f>VLOOKUP($A155,'Raw RTF'!$A$8:$Q$1000,'Raw RTF'!I$5,FALSE)</f>
        <v>0</v>
      </c>
      <c r="J155">
        <f>VLOOKUP($A155,'Raw RTF'!$A$8:$Q$1000,'Raw RTF'!J$5,FALSE)</f>
        <v>0</v>
      </c>
      <c r="K155">
        <f>VLOOKUP($A155,'Raw RTF'!$A$8:$Q$1000,'Raw RTF'!K$5,FALSE)</f>
        <v>0</v>
      </c>
      <c r="L155">
        <f>VLOOKUP($A155,'Raw RTF'!$A$8:$Q$1000,'Raw RTF'!L$5,FALSE)</f>
        <v>0</v>
      </c>
      <c r="M155">
        <f>VLOOKUP($A155,'Raw RTF'!$A$8:$Q$1000,'Raw RTF'!M$5,FALSE)</f>
        <v>0</v>
      </c>
      <c r="N155">
        <f>VLOOKUP($A155,'Raw RTF'!$A$8:$Q$1000,'Raw RTF'!N$5,FALSE)</f>
        <v>0</v>
      </c>
      <c r="O155">
        <f>VLOOKUP($A155,'Raw RTF'!$A$8:$Q$1000,'Raw RTF'!O$5,FALSE)</f>
        <v>0</v>
      </c>
      <c r="P155">
        <f>VLOOKUP($A155,'Raw RTF'!$A$8:$Q$1000,'Raw RTF'!P$5,FALSE)</f>
        <v>0</v>
      </c>
      <c r="Q155">
        <f>VLOOKUP($A155,'Raw RTF'!$A$8:$Q$1000,'Raw RTF'!Q$5,FALSE)</f>
        <v>0</v>
      </c>
    </row>
    <row r="156" spans="1:17">
      <c r="A156" t="str">
        <f t="shared" si="3"/>
        <v>Single Family Weatherization - Insulate Attic - R0 to R49 - Heating Zone 2 (Electric FAF)ATTIC R0 - R49 (cooling savings)</v>
      </c>
      <c r="B156" s="53" t="s">
        <v>107</v>
      </c>
      <c r="C156" s="54" t="s">
        <v>210</v>
      </c>
      <c r="D156">
        <f>VLOOKUP($A156,'Raw RTF'!$A$8:$Q$1000,'Raw RTF'!D$5,FALSE)</f>
        <v>0.42777689917162087</v>
      </c>
      <c r="E156">
        <f>VLOOKUP($A156,'Raw RTF'!$A$8:$Q$1000,'Raw RTF'!E$5,FALSE)</f>
        <v>45</v>
      </c>
      <c r="F156">
        <f>VLOOKUP($A156,'Raw RTF'!$A$8:$Q$1000,'Raw RTF'!F$5,FALSE)</f>
        <v>0</v>
      </c>
      <c r="G156">
        <f>VLOOKUP($A156,'Raw RTF'!$A$8:$Q$1000,'Raw RTF'!G$5,FALSE)</f>
        <v>0</v>
      </c>
      <c r="H156" t="str">
        <f>VLOOKUP($A156,'Raw RTF'!$A$8:$Q$1000,'Raw RTF'!H$5,FALSE)</f>
        <v>ResCACPNW</v>
      </c>
      <c r="I156">
        <f>VLOOKUP($A156,'Raw RTF'!$A$8:$Q$1000,'Raw RTF'!I$5,FALSE)</f>
        <v>0</v>
      </c>
      <c r="J156">
        <f>VLOOKUP($A156,'Raw RTF'!$A$8:$Q$1000,'Raw RTF'!J$5,FALSE)</f>
        <v>0</v>
      </c>
      <c r="K156">
        <f>VLOOKUP($A156,'Raw RTF'!$A$8:$Q$1000,'Raw RTF'!K$5,FALSE)</f>
        <v>0</v>
      </c>
      <c r="L156">
        <f>VLOOKUP($A156,'Raw RTF'!$A$8:$Q$1000,'Raw RTF'!L$5,FALSE)</f>
        <v>0</v>
      </c>
      <c r="M156">
        <f>VLOOKUP($A156,'Raw RTF'!$A$8:$Q$1000,'Raw RTF'!M$5,FALSE)</f>
        <v>0</v>
      </c>
      <c r="N156">
        <f>VLOOKUP($A156,'Raw RTF'!$A$8:$Q$1000,'Raw RTF'!N$5,FALSE)</f>
        <v>0</v>
      </c>
      <c r="O156">
        <f>VLOOKUP($A156,'Raw RTF'!$A$8:$Q$1000,'Raw RTF'!O$5,FALSE)</f>
        <v>0</v>
      </c>
      <c r="P156">
        <f>VLOOKUP($A156,'Raw RTF'!$A$8:$Q$1000,'Raw RTF'!P$5,FALSE)</f>
        <v>0</v>
      </c>
      <c r="Q156">
        <f>VLOOKUP($A156,'Raw RTF'!$A$8:$Q$1000,'Raw RTF'!Q$5,FALSE)</f>
        <v>0</v>
      </c>
    </row>
    <row r="157" spans="1:17">
      <c r="A157" t="str">
        <f t="shared" si="3"/>
        <v>Single Family Weatherization - Insulate Attic - R11 to R38 - Heating Zone 2 (Electric FAF)ATTIC R11 - R38 (cooling savings)</v>
      </c>
      <c r="B157" s="53" t="s">
        <v>108</v>
      </c>
      <c r="C157" s="54" t="s">
        <v>211</v>
      </c>
      <c r="D157">
        <f>VLOOKUP($A157,'Raw RTF'!$A$8:$Q$1000,'Raw RTF'!D$5,FALSE)</f>
        <v>6.0061992074123736E-2</v>
      </c>
      <c r="E157">
        <f>VLOOKUP($A157,'Raw RTF'!$A$8:$Q$1000,'Raw RTF'!E$5,FALSE)</f>
        <v>45</v>
      </c>
      <c r="F157">
        <f>VLOOKUP($A157,'Raw RTF'!$A$8:$Q$1000,'Raw RTF'!F$5,FALSE)</f>
        <v>0</v>
      </c>
      <c r="G157">
        <f>VLOOKUP($A157,'Raw RTF'!$A$8:$Q$1000,'Raw RTF'!G$5,FALSE)</f>
        <v>0</v>
      </c>
      <c r="H157" t="str">
        <f>VLOOKUP($A157,'Raw RTF'!$A$8:$Q$1000,'Raw RTF'!H$5,FALSE)</f>
        <v>ResCACPNW</v>
      </c>
      <c r="I157">
        <f>VLOOKUP($A157,'Raw RTF'!$A$8:$Q$1000,'Raw RTF'!I$5,FALSE)</f>
        <v>0</v>
      </c>
      <c r="J157">
        <f>VLOOKUP($A157,'Raw RTF'!$A$8:$Q$1000,'Raw RTF'!J$5,FALSE)</f>
        <v>0</v>
      </c>
      <c r="K157">
        <f>VLOOKUP($A157,'Raw RTF'!$A$8:$Q$1000,'Raw RTF'!K$5,FALSE)</f>
        <v>0</v>
      </c>
      <c r="L157">
        <f>VLOOKUP($A157,'Raw RTF'!$A$8:$Q$1000,'Raw RTF'!L$5,FALSE)</f>
        <v>0</v>
      </c>
      <c r="M157">
        <f>VLOOKUP($A157,'Raw RTF'!$A$8:$Q$1000,'Raw RTF'!M$5,FALSE)</f>
        <v>0</v>
      </c>
      <c r="N157">
        <f>VLOOKUP($A157,'Raw RTF'!$A$8:$Q$1000,'Raw RTF'!N$5,FALSE)</f>
        <v>0</v>
      </c>
      <c r="O157">
        <f>VLOOKUP($A157,'Raw RTF'!$A$8:$Q$1000,'Raw RTF'!O$5,FALSE)</f>
        <v>0</v>
      </c>
      <c r="P157">
        <f>VLOOKUP($A157,'Raw RTF'!$A$8:$Q$1000,'Raw RTF'!P$5,FALSE)</f>
        <v>0</v>
      </c>
      <c r="Q157">
        <f>VLOOKUP($A157,'Raw RTF'!$A$8:$Q$1000,'Raw RTF'!Q$5,FALSE)</f>
        <v>0</v>
      </c>
    </row>
    <row r="158" spans="1:17">
      <c r="A158" t="str">
        <f t="shared" si="3"/>
        <v>Single Family Weatherization - Insulate Attic - R11 to R49 - Heating Zone 2 (Electric FAF)ATTIC R11 - R49 (cooling savings)</v>
      </c>
      <c r="B158" s="53" t="s">
        <v>109</v>
      </c>
      <c r="C158" s="54" t="s">
        <v>212</v>
      </c>
      <c r="D158">
        <f>VLOOKUP($A158,'Raw RTF'!$A$8:$Q$1000,'Raw RTF'!D$5,FALSE)</f>
        <v>6.4986065066519771E-2</v>
      </c>
      <c r="E158">
        <f>VLOOKUP($A158,'Raw RTF'!$A$8:$Q$1000,'Raw RTF'!E$5,FALSE)</f>
        <v>45</v>
      </c>
      <c r="F158">
        <f>VLOOKUP($A158,'Raw RTF'!$A$8:$Q$1000,'Raw RTF'!F$5,FALSE)</f>
        <v>0</v>
      </c>
      <c r="G158">
        <f>VLOOKUP($A158,'Raw RTF'!$A$8:$Q$1000,'Raw RTF'!G$5,FALSE)</f>
        <v>0</v>
      </c>
      <c r="H158" t="str">
        <f>VLOOKUP($A158,'Raw RTF'!$A$8:$Q$1000,'Raw RTF'!H$5,FALSE)</f>
        <v>ResCACPNW</v>
      </c>
      <c r="I158">
        <f>VLOOKUP($A158,'Raw RTF'!$A$8:$Q$1000,'Raw RTF'!I$5,FALSE)</f>
        <v>0</v>
      </c>
      <c r="J158">
        <f>VLOOKUP($A158,'Raw RTF'!$A$8:$Q$1000,'Raw RTF'!J$5,FALSE)</f>
        <v>0</v>
      </c>
      <c r="K158">
        <f>VLOOKUP($A158,'Raw RTF'!$A$8:$Q$1000,'Raw RTF'!K$5,FALSE)</f>
        <v>0</v>
      </c>
      <c r="L158">
        <f>VLOOKUP($A158,'Raw RTF'!$A$8:$Q$1000,'Raw RTF'!L$5,FALSE)</f>
        <v>0</v>
      </c>
      <c r="M158">
        <f>VLOOKUP($A158,'Raw RTF'!$A$8:$Q$1000,'Raw RTF'!M$5,FALSE)</f>
        <v>0</v>
      </c>
      <c r="N158">
        <f>VLOOKUP($A158,'Raw RTF'!$A$8:$Q$1000,'Raw RTF'!N$5,FALSE)</f>
        <v>0</v>
      </c>
      <c r="O158">
        <f>VLOOKUP($A158,'Raw RTF'!$A$8:$Q$1000,'Raw RTF'!O$5,FALSE)</f>
        <v>0</v>
      </c>
      <c r="P158">
        <f>VLOOKUP($A158,'Raw RTF'!$A$8:$Q$1000,'Raw RTF'!P$5,FALSE)</f>
        <v>0</v>
      </c>
      <c r="Q158">
        <f>VLOOKUP($A158,'Raw RTF'!$A$8:$Q$1000,'Raw RTF'!Q$5,FALSE)</f>
        <v>0</v>
      </c>
    </row>
    <row r="159" spans="1:17">
      <c r="A159" t="str">
        <f t="shared" si="3"/>
        <v>Single Family Weatherization - Insulate Attic - R19 to R38 - Heating Zone 2 (Electric FAF)ATTIC R19 - R38 (cooling savings)</v>
      </c>
      <c r="B159" s="53" t="s">
        <v>110</v>
      </c>
      <c r="C159" s="54" t="s">
        <v>213</v>
      </c>
      <c r="D159">
        <f>VLOOKUP($A159,'Raw RTF'!$A$8:$Q$1000,'Raw RTF'!D$5,FALSE)</f>
        <v>2.4428567153407514E-2</v>
      </c>
      <c r="E159">
        <f>VLOOKUP($A159,'Raw RTF'!$A$8:$Q$1000,'Raw RTF'!E$5,FALSE)</f>
        <v>45</v>
      </c>
      <c r="F159">
        <f>VLOOKUP($A159,'Raw RTF'!$A$8:$Q$1000,'Raw RTF'!F$5,FALSE)</f>
        <v>0</v>
      </c>
      <c r="G159">
        <f>VLOOKUP($A159,'Raw RTF'!$A$8:$Q$1000,'Raw RTF'!G$5,FALSE)</f>
        <v>0</v>
      </c>
      <c r="H159" t="str">
        <f>VLOOKUP($A159,'Raw RTF'!$A$8:$Q$1000,'Raw RTF'!H$5,FALSE)</f>
        <v>ResCACPNW</v>
      </c>
      <c r="I159">
        <f>VLOOKUP($A159,'Raw RTF'!$A$8:$Q$1000,'Raw RTF'!I$5,FALSE)</f>
        <v>0</v>
      </c>
      <c r="J159">
        <f>VLOOKUP($A159,'Raw RTF'!$A$8:$Q$1000,'Raw RTF'!J$5,FALSE)</f>
        <v>0</v>
      </c>
      <c r="K159">
        <f>VLOOKUP($A159,'Raw RTF'!$A$8:$Q$1000,'Raw RTF'!K$5,FALSE)</f>
        <v>0</v>
      </c>
      <c r="L159">
        <f>VLOOKUP($A159,'Raw RTF'!$A$8:$Q$1000,'Raw RTF'!L$5,FALSE)</f>
        <v>0</v>
      </c>
      <c r="M159">
        <f>VLOOKUP($A159,'Raw RTF'!$A$8:$Q$1000,'Raw RTF'!M$5,FALSE)</f>
        <v>0</v>
      </c>
      <c r="N159">
        <f>VLOOKUP($A159,'Raw RTF'!$A$8:$Q$1000,'Raw RTF'!N$5,FALSE)</f>
        <v>0</v>
      </c>
      <c r="O159">
        <f>VLOOKUP($A159,'Raw RTF'!$A$8:$Q$1000,'Raw RTF'!O$5,FALSE)</f>
        <v>0</v>
      </c>
      <c r="P159">
        <f>VLOOKUP($A159,'Raw RTF'!$A$8:$Q$1000,'Raw RTF'!P$5,FALSE)</f>
        <v>0</v>
      </c>
      <c r="Q159">
        <f>VLOOKUP($A159,'Raw RTF'!$A$8:$Q$1000,'Raw RTF'!Q$5,FALSE)</f>
        <v>0</v>
      </c>
    </row>
    <row r="160" spans="1:17">
      <c r="A160" t="str">
        <f t="shared" si="3"/>
        <v>Single Family Weatherization - Insulate Attic - R19 to R49 - Heating Zone 2 (Electric FAF)ATTIC R19 - R49 (cooling savings)</v>
      </c>
      <c r="B160" s="53" t="s">
        <v>111</v>
      </c>
      <c r="C160" s="54" t="s">
        <v>214</v>
      </c>
      <c r="D160">
        <f>VLOOKUP($A160,'Raw RTF'!$A$8:$Q$1000,'Raw RTF'!D$5,FALSE)</f>
        <v>2.9352640145803539E-2</v>
      </c>
      <c r="E160">
        <f>VLOOKUP($A160,'Raw RTF'!$A$8:$Q$1000,'Raw RTF'!E$5,FALSE)</f>
        <v>45</v>
      </c>
      <c r="F160">
        <f>VLOOKUP($A160,'Raw RTF'!$A$8:$Q$1000,'Raw RTF'!F$5,FALSE)</f>
        <v>0</v>
      </c>
      <c r="G160">
        <f>VLOOKUP($A160,'Raw RTF'!$A$8:$Q$1000,'Raw RTF'!G$5,FALSE)</f>
        <v>0</v>
      </c>
      <c r="H160" t="str">
        <f>VLOOKUP($A160,'Raw RTF'!$A$8:$Q$1000,'Raw RTF'!H$5,FALSE)</f>
        <v>ResCACPNW</v>
      </c>
      <c r="I160">
        <f>VLOOKUP($A160,'Raw RTF'!$A$8:$Q$1000,'Raw RTF'!I$5,FALSE)</f>
        <v>0</v>
      </c>
      <c r="J160">
        <f>VLOOKUP($A160,'Raw RTF'!$A$8:$Q$1000,'Raw RTF'!J$5,FALSE)</f>
        <v>0</v>
      </c>
      <c r="K160">
        <f>VLOOKUP($A160,'Raw RTF'!$A$8:$Q$1000,'Raw RTF'!K$5,FALSE)</f>
        <v>0</v>
      </c>
      <c r="L160">
        <f>VLOOKUP($A160,'Raw RTF'!$A$8:$Q$1000,'Raw RTF'!L$5,FALSE)</f>
        <v>0</v>
      </c>
      <c r="M160">
        <f>VLOOKUP($A160,'Raw RTF'!$A$8:$Q$1000,'Raw RTF'!M$5,FALSE)</f>
        <v>0</v>
      </c>
      <c r="N160">
        <f>VLOOKUP($A160,'Raw RTF'!$A$8:$Q$1000,'Raw RTF'!N$5,FALSE)</f>
        <v>0</v>
      </c>
      <c r="O160">
        <f>VLOOKUP($A160,'Raw RTF'!$A$8:$Q$1000,'Raw RTF'!O$5,FALSE)</f>
        <v>0</v>
      </c>
      <c r="P160">
        <f>VLOOKUP($A160,'Raw RTF'!$A$8:$Q$1000,'Raw RTF'!P$5,FALSE)</f>
        <v>0</v>
      </c>
      <c r="Q160">
        <f>VLOOKUP($A160,'Raw RTF'!$A$8:$Q$1000,'Raw RTF'!Q$5,FALSE)</f>
        <v>0</v>
      </c>
    </row>
    <row r="161" spans="1:17">
      <c r="A161" t="str">
        <f t="shared" si="3"/>
        <v>Single Family Weatherization - Insulate Wall - R0 to R11 - Heating Zone 2 (Electric FAF)WALL R0 - R11 (cooling savings)</v>
      </c>
      <c r="B161" s="53" t="s">
        <v>114</v>
      </c>
      <c r="C161" s="54" t="s">
        <v>217</v>
      </c>
      <c r="D161">
        <f>VLOOKUP($A161,'Raw RTF'!$A$8:$Q$1000,'Raw RTF'!D$5,FALSE)</f>
        <v>5.4136924032225031E-2</v>
      </c>
      <c r="E161">
        <f>VLOOKUP($A161,'Raw RTF'!$A$8:$Q$1000,'Raw RTF'!E$5,FALSE)</f>
        <v>45</v>
      </c>
      <c r="F161">
        <f>VLOOKUP($A161,'Raw RTF'!$A$8:$Q$1000,'Raw RTF'!F$5,FALSE)</f>
        <v>0</v>
      </c>
      <c r="G161">
        <f>VLOOKUP($A161,'Raw RTF'!$A$8:$Q$1000,'Raw RTF'!G$5,FALSE)</f>
        <v>0</v>
      </c>
      <c r="H161" t="str">
        <f>VLOOKUP($A161,'Raw RTF'!$A$8:$Q$1000,'Raw RTF'!H$5,FALSE)</f>
        <v>ResCACPNW</v>
      </c>
      <c r="I161">
        <f>VLOOKUP($A161,'Raw RTF'!$A$8:$Q$1000,'Raw RTF'!I$5,FALSE)</f>
        <v>0</v>
      </c>
      <c r="J161">
        <f>VLOOKUP($A161,'Raw RTF'!$A$8:$Q$1000,'Raw RTF'!J$5,FALSE)</f>
        <v>0</v>
      </c>
      <c r="K161">
        <f>VLOOKUP($A161,'Raw RTF'!$A$8:$Q$1000,'Raw RTF'!K$5,FALSE)</f>
        <v>0</v>
      </c>
      <c r="L161">
        <f>VLOOKUP($A161,'Raw RTF'!$A$8:$Q$1000,'Raw RTF'!L$5,FALSE)</f>
        <v>0</v>
      </c>
      <c r="M161">
        <f>VLOOKUP($A161,'Raw RTF'!$A$8:$Q$1000,'Raw RTF'!M$5,FALSE)</f>
        <v>0</v>
      </c>
      <c r="N161">
        <f>VLOOKUP($A161,'Raw RTF'!$A$8:$Q$1000,'Raw RTF'!N$5,FALSE)</f>
        <v>0</v>
      </c>
      <c r="O161">
        <f>VLOOKUP($A161,'Raw RTF'!$A$8:$Q$1000,'Raw RTF'!O$5,FALSE)</f>
        <v>0</v>
      </c>
      <c r="P161">
        <f>VLOOKUP($A161,'Raw RTF'!$A$8:$Q$1000,'Raw RTF'!P$5,FALSE)</f>
        <v>0</v>
      </c>
      <c r="Q161">
        <f>VLOOKUP($A161,'Raw RTF'!$A$8:$Q$1000,'Raw RTF'!Q$5,FALSE)</f>
        <v>0</v>
      </c>
    </row>
    <row r="162" spans="1:17">
      <c r="A162" t="str">
        <f t="shared" si="3"/>
        <v>Single Family Weatherization - Insulate Floor - R0 to R19 - Heating Zone 2 (Electric FAF)FLOOR R0 - R19 (cooling savings)</v>
      </c>
      <c r="B162" s="53" t="s">
        <v>115</v>
      </c>
      <c r="C162" s="54" t="s">
        <v>218</v>
      </c>
      <c r="D162">
        <f>VLOOKUP($A162,'Raw RTF'!$A$8:$Q$1000,'Raw RTF'!D$5,FALSE)</f>
        <v>-6.3381561014863599E-2</v>
      </c>
      <c r="E162">
        <f>VLOOKUP($A162,'Raw RTF'!$A$8:$Q$1000,'Raw RTF'!E$5,FALSE)</f>
        <v>45</v>
      </c>
      <c r="F162">
        <f>VLOOKUP($A162,'Raw RTF'!$A$8:$Q$1000,'Raw RTF'!F$5,FALSE)</f>
        <v>0</v>
      </c>
      <c r="G162">
        <f>VLOOKUP($A162,'Raw RTF'!$A$8:$Q$1000,'Raw RTF'!G$5,FALSE)</f>
        <v>0</v>
      </c>
      <c r="H162" t="str">
        <f>VLOOKUP($A162,'Raw RTF'!$A$8:$Q$1000,'Raw RTF'!H$5,FALSE)</f>
        <v>ResCACPNW</v>
      </c>
      <c r="I162">
        <f>VLOOKUP($A162,'Raw RTF'!$A$8:$Q$1000,'Raw RTF'!I$5,FALSE)</f>
        <v>0</v>
      </c>
      <c r="J162">
        <f>VLOOKUP($A162,'Raw RTF'!$A$8:$Q$1000,'Raw RTF'!J$5,FALSE)</f>
        <v>0</v>
      </c>
      <c r="K162">
        <f>VLOOKUP($A162,'Raw RTF'!$A$8:$Q$1000,'Raw RTF'!K$5,FALSE)</f>
        <v>0</v>
      </c>
      <c r="L162">
        <f>VLOOKUP($A162,'Raw RTF'!$A$8:$Q$1000,'Raw RTF'!L$5,FALSE)</f>
        <v>0</v>
      </c>
      <c r="M162">
        <f>VLOOKUP($A162,'Raw RTF'!$A$8:$Q$1000,'Raw RTF'!M$5,FALSE)</f>
        <v>0</v>
      </c>
      <c r="N162">
        <f>VLOOKUP($A162,'Raw RTF'!$A$8:$Q$1000,'Raw RTF'!N$5,FALSE)</f>
        <v>0</v>
      </c>
      <c r="O162">
        <f>VLOOKUP($A162,'Raw RTF'!$A$8:$Q$1000,'Raw RTF'!O$5,FALSE)</f>
        <v>0</v>
      </c>
      <c r="P162">
        <f>VLOOKUP($A162,'Raw RTF'!$A$8:$Q$1000,'Raw RTF'!P$5,FALSE)</f>
        <v>0</v>
      </c>
      <c r="Q162">
        <f>VLOOKUP($A162,'Raw RTF'!$A$8:$Q$1000,'Raw RTF'!Q$5,FALSE)</f>
        <v>0</v>
      </c>
    </row>
    <row r="163" spans="1:17">
      <c r="A163" t="str">
        <f t="shared" si="3"/>
        <v>Single Family Weatherization - Insulate Floor - R0 to R25 - Heating Zone 2 (Electric FAF)FLOOR R0 - R25 (cooling savings)</v>
      </c>
      <c r="B163" s="53" t="s">
        <v>116</v>
      </c>
      <c r="C163" s="54" t="s">
        <v>219</v>
      </c>
      <c r="D163">
        <f>VLOOKUP($A163,'Raw RTF'!$A$8:$Q$1000,'Raw RTF'!D$5,FALSE)</f>
        <v>-7.0369038681746418E-2</v>
      </c>
      <c r="E163">
        <f>VLOOKUP($A163,'Raw RTF'!$A$8:$Q$1000,'Raw RTF'!E$5,FALSE)</f>
        <v>45</v>
      </c>
      <c r="F163">
        <f>VLOOKUP($A163,'Raw RTF'!$A$8:$Q$1000,'Raw RTF'!F$5,FALSE)</f>
        <v>0</v>
      </c>
      <c r="G163">
        <f>VLOOKUP($A163,'Raw RTF'!$A$8:$Q$1000,'Raw RTF'!G$5,FALSE)</f>
        <v>0</v>
      </c>
      <c r="H163" t="str">
        <f>VLOOKUP($A163,'Raw RTF'!$A$8:$Q$1000,'Raw RTF'!H$5,FALSE)</f>
        <v>ResCACPNW</v>
      </c>
      <c r="I163">
        <f>VLOOKUP($A163,'Raw RTF'!$A$8:$Q$1000,'Raw RTF'!I$5,FALSE)</f>
        <v>0</v>
      </c>
      <c r="J163">
        <f>VLOOKUP($A163,'Raw RTF'!$A$8:$Q$1000,'Raw RTF'!J$5,FALSE)</f>
        <v>0</v>
      </c>
      <c r="K163">
        <f>VLOOKUP($A163,'Raw RTF'!$A$8:$Q$1000,'Raw RTF'!K$5,FALSE)</f>
        <v>0</v>
      </c>
      <c r="L163">
        <f>VLOOKUP($A163,'Raw RTF'!$A$8:$Q$1000,'Raw RTF'!L$5,FALSE)</f>
        <v>0</v>
      </c>
      <c r="M163">
        <f>VLOOKUP($A163,'Raw RTF'!$A$8:$Q$1000,'Raw RTF'!M$5,FALSE)</f>
        <v>0</v>
      </c>
      <c r="N163">
        <f>VLOOKUP($A163,'Raw RTF'!$A$8:$Q$1000,'Raw RTF'!N$5,FALSE)</f>
        <v>0</v>
      </c>
      <c r="O163">
        <f>VLOOKUP($A163,'Raw RTF'!$A$8:$Q$1000,'Raw RTF'!O$5,FALSE)</f>
        <v>0</v>
      </c>
      <c r="P163">
        <f>VLOOKUP($A163,'Raw RTF'!$A$8:$Q$1000,'Raw RTF'!P$5,FALSE)</f>
        <v>0</v>
      </c>
      <c r="Q163">
        <f>VLOOKUP($A163,'Raw RTF'!$A$8:$Q$1000,'Raw RTF'!Q$5,FALSE)</f>
        <v>0</v>
      </c>
    </row>
    <row r="164" spans="1:17">
      <c r="A164" t="str">
        <f t="shared" si="3"/>
        <v>Single Family Weatherization - Insulate Floor - R0 to R30 - Heating Zone 2 (Electric FAF)FLOOR R0 - R30 (cooling savings)</v>
      </c>
      <c r="B164" s="53" t="s">
        <v>117</v>
      </c>
      <c r="C164" s="54" t="s">
        <v>220</v>
      </c>
      <c r="D164">
        <f>VLOOKUP($A164,'Raw RTF'!$A$8:$Q$1000,'Raw RTF'!D$5,FALSE)</f>
        <v>-7.4926055178553219E-2</v>
      </c>
      <c r="E164">
        <f>VLOOKUP($A164,'Raw RTF'!$A$8:$Q$1000,'Raw RTF'!E$5,FALSE)</f>
        <v>45</v>
      </c>
      <c r="F164">
        <f>VLOOKUP($A164,'Raw RTF'!$A$8:$Q$1000,'Raw RTF'!F$5,FALSE)</f>
        <v>0</v>
      </c>
      <c r="G164">
        <f>VLOOKUP($A164,'Raw RTF'!$A$8:$Q$1000,'Raw RTF'!G$5,FALSE)</f>
        <v>0</v>
      </c>
      <c r="H164" t="str">
        <f>VLOOKUP($A164,'Raw RTF'!$A$8:$Q$1000,'Raw RTF'!H$5,FALSE)</f>
        <v>ResCACPNW</v>
      </c>
      <c r="I164">
        <f>VLOOKUP($A164,'Raw RTF'!$A$8:$Q$1000,'Raw RTF'!I$5,FALSE)</f>
        <v>0</v>
      </c>
      <c r="J164">
        <f>VLOOKUP($A164,'Raw RTF'!$A$8:$Q$1000,'Raw RTF'!J$5,FALSE)</f>
        <v>0</v>
      </c>
      <c r="K164">
        <f>VLOOKUP($A164,'Raw RTF'!$A$8:$Q$1000,'Raw RTF'!K$5,FALSE)</f>
        <v>0</v>
      </c>
      <c r="L164">
        <f>VLOOKUP($A164,'Raw RTF'!$A$8:$Q$1000,'Raw RTF'!L$5,FALSE)</f>
        <v>0</v>
      </c>
      <c r="M164">
        <f>VLOOKUP($A164,'Raw RTF'!$A$8:$Q$1000,'Raw RTF'!M$5,FALSE)</f>
        <v>0</v>
      </c>
      <c r="N164">
        <f>VLOOKUP($A164,'Raw RTF'!$A$8:$Q$1000,'Raw RTF'!N$5,FALSE)</f>
        <v>0</v>
      </c>
      <c r="O164">
        <f>VLOOKUP($A164,'Raw RTF'!$A$8:$Q$1000,'Raw RTF'!O$5,FALSE)</f>
        <v>0</v>
      </c>
      <c r="P164">
        <f>VLOOKUP($A164,'Raw RTF'!$A$8:$Q$1000,'Raw RTF'!P$5,FALSE)</f>
        <v>0</v>
      </c>
      <c r="Q164">
        <f>VLOOKUP($A164,'Raw RTF'!$A$8:$Q$1000,'Raw RTF'!Q$5,FALSE)</f>
        <v>0</v>
      </c>
    </row>
    <row r="165" spans="1:17" ht="25.5">
      <c r="A165" t="str">
        <f t="shared" si="3"/>
        <v>Windows - Single Pane to Class 30 - Heating Zone 2 (Electric FAF)WINDOW CL30 Prime Window Replacement of Single Pane Base (cooling savings)</v>
      </c>
      <c r="B165" s="53" t="s">
        <v>118</v>
      </c>
      <c r="C165" s="54" t="s">
        <v>221</v>
      </c>
      <c r="D165">
        <f>VLOOKUP($A165,'Raw RTF'!$A$8:$Q$1000,'Raw RTF'!D$5,FALSE)</f>
        <v>1.0418083612959532</v>
      </c>
      <c r="E165">
        <f>VLOOKUP($A165,'Raw RTF'!$A$8:$Q$1000,'Raw RTF'!E$5,FALSE)</f>
        <v>45</v>
      </c>
      <c r="F165">
        <f>VLOOKUP($A165,'Raw RTF'!$A$8:$Q$1000,'Raw RTF'!F$5,FALSE)</f>
        <v>0</v>
      </c>
      <c r="G165">
        <f>VLOOKUP($A165,'Raw RTF'!$A$8:$Q$1000,'Raw RTF'!G$5,FALSE)</f>
        <v>0</v>
      </c>
      <c r="H165" t="str">
        <f>VLOOKUP($A165,'Raw RTF'!$A$8:$Q$1000,'Raw RTF'!H$5,FALSE)</f>
        <v>ResCACPNW</v>
      </c>
      <c r="I165">
        <f>VLOOKUP($A165,'Raw RTF'!$A$8:$Q$1000,'Raw RTF'!I$5,FALSE)</f>
        <v>0</v>
      </c>
      <c r="J165">
        <f>VLOOKUP($A165,'Raw RTF'!$A$8:$Q$1000,'Raw RTF'!J$5,FALSE)</f>
        <v>0</v>
      </c>
      <c r="K165">
        <f>VLOOKUP($A165,'Raw RTF'!$A$8:$Q$1000,'Raw RTF'!K$5,FALSE)</f>
        <v>0</v>
      </c>
      <c r="L165">
        <f>VLOOKUP($A165,'Raw RTF'!$A$8:$Q$1000,'Raw RTF'!L$5,FALSE)</f>
        <v>0</v>
      </c>
      <c r="M165">
        <f>VLOOKUP($A165,'Raw RTF'!$A$8:$Q$1000,'Raw RTF'!M$5,FALSE)</f>
        <v>0</v>
      </c>
      <c r="N165">
        <f>VLOOKUP($A165,'Raw RTF'!$A$8:$Q$1000,'Raw RTF'!N$5,FALSE)</f>
        <v>0</v>
      </c>
      <c r="O165">
        <f>VLOOKUP($A165,'Raw RTF'!$A$8:$Q$1000,'Raw RTF'!O$5,FALSE)</f>
        <v>0</v>
      </c>
      <c r="P165">
        <f>VLOOKUP($A165,'Raw RTF'!$A$8:$Q$1000,'Raw RTF'!P$5,FALSE)</f>
        <v>0</v>
      </c>
      <c r="Q165">
        <f>VLOOKUP($A165,'Raw RTF'!$A$8:$Q$1000,'Raw RTF'!Q$5,FALSE)</f>
        <v>0</v>
      </c>
    </row>
    <row r="166" spans="1:17" ht="25.5">
      <c r="A166" t="str">
        <f t="shared" si="3"/>
        <v>Windows - Double Pane to Class 30 - Heating Zone 2 (Electric FAF)WINDOW CL30 Prime Window Replacement of Double Pane Base (cooling savings)</v>
      </c>
      <c r="B166" s="53" t="s">
        <v>119</v>
      </c>
      <c r="C166" s="54" t="s">
        <v>222</v>
      </c>
      <c r="D166">
        <f>VLOOKUP($A166,'Raw RTF'!$A$8:$Q$1000,'Raw RTF'!D$5,FALSE)</f>
        <v>1.3090521212917832</v>
      </c>
      <c r="E166">
        <f>VLOOKUP($A166,'Raw RTF'!$A$8:$Q$1000,'Raw RTF'!E$5,FALSE)</f>
        <v>45</v>
      </c>
      <c r="F166">
        <f>VLOOKUP($A166,'Raw RTF'!$A$8:$Q$1000,'Raw RTF'!F$5,FALSE)</f>
        <v>0</v>
      </c>
      <c r="G166">
        <f>VLOOKUP($A166,'Raw RTF'!$A$8:$Q$1000,'Raw RTF'!G$5,FALSE)</f>
        <v>0</v>
      </c>
      <c r="H166" t="str">
        <f>VLOOKUP($A166,'Raw RTF'!$A$8:$Q$1000,'Raw RTF'!H$5,FALSE)</f>
        <v>ResCACPNW</v>
      </c>
      <c r="I166">
        <f>VLOOKUP($A166,'Raw RTF'!$A$8:$Q$1000,'Raw RTF'!I$5,FALSE)</f>
        <v>0</v>
      </c>
      <c r="J166">
        <f>VLOOKUP($A166,'Raw RTF'!$A$8:$Q$1000,'Raw RTF'!J$5,FALSE)</f>
        <v>0</v>
      </c>
      <c r="K166">
        <f>VLOOKUP($A166,'Raw RTF'!$A$8:$Q$1000,'Raw RTF'!K$5,FALSE)</f>
        <v>0</v>
      </c>
      <c r="L166">
        <f>VLOOKUP($A166,'Raw RTF'!$A$8:$Q$1000,'Raw RTF'!L$5,FALSE)</f>
        <v>0</v>
      </c>
      <c r="M166">
        <f>VLOOKUP($A166,'Raw RTF'!$A$8:$Q$1000,'Raw RTF'!M$5,FALSE)</f>
        <v>0</v>
      </c>
      <c r="N166">
        <f>VLOOKUP($A166,'Raw RTF'!$A$8:$Q$1000,'Raw RTF'!N$5,FALSE)</f>
        <v>0</v>
      </c>
      <c r="O166">
        <f>VLOOKUP($A166,'Raw RTF'!$A$8:$Q$1000,'Raw RTF'!O$5,FALSE)</f>
        <v>0</v>
      </c>
      <c r="P166">
        <f>VLOOKUP($A166,'Raw RTF'!$A$8:$Q$1000,'Raw RTF'!P$5,FALSE)</f>
        <v>0</v>
      </c>
      <c r="Q166">
        <f>VLOOKUP($A166,'Raw RTF'!$A$8:$Q$1000,'Raw RTF'!Q$5,FALSE)</f>
        <v>0</v>
      </c>
    </row>
    <row r="167" spans="1:17" ht="25.5">
      <c r="A167" t="str">
        <f t="shared" si="3"/>
        <v>Windows - Single Pane to Class 22 - Heating Zone 2 (Electric FAF)WINDOW CL22 Prime Window Replacement of Single Pane Base (cooling savings)</v>
      </c>
      <c r="B167" s="53" t="s">
        <v>121</v>
      </c>
      <c r="C167" s="54" t="s">
        <v>224</v>
      </c>
      <c r="D167">
        <f>VLOOKUP($A167,'Raw RTF'!$A$8:$Q$1000,'Raw RTF'!D$5,FALSE)</f>
        <v>1.1216998557750015</v>
      </c>
      <c r="E167">
        <f>VLOOKUP($A167,'Raw RTF'!$A$8:$Q$1000,'Raw RTF'!E$5,FALSE)</f>
        <v>45</v>
      </c>
      <c r="F167">
        <f>VLOOKUP($A167,'Raw RTF'!$A$8:$Q$1000,'Raw RTF'!F$5,FALSE)</f>
        <v>0</v>
      </c>
      <c r="G167">
        <f>VLOOKUP($A167,'Raw RTF'!$A$8:$Q$1000,'Raw RTF'!G$5,FALSE)</f>
        <v>0</v>
      </c>
      <c r="H167" t="str">
        <f>VLOOKUP($A167,'Raw RTF'!$A$8:$Q$1000,'Raw RTF'!H$5,FALSE)</f>
        <v>ResCACPNW</v>
      </c>
      <c r="I167">
        <f>VLOOKUP($A167,'Raw RTF'!$A$8:$Q$1000,'Raw RTF'!I$5,FALSE)</f>
        <v>0</v>
      </c>
      <c r="J167">
        <f>VLOOKUP($A167,'Raw RTF'!$A$8:$Q$1000,'Raw RTF'!J$5,FALSE)</f>
        <v>0</v>
      </c>
      <c r="K167">
        <f>VLOOKUP($A167,'Raw RTF'!$A$8:$Q$1000,'Raw RTF'!K$5,FALSE)</f>
        <v>0</v>
      </c>
      <c r="L167">
        <f>VLOOKUP($A167,'Raw RTF'!$A$8:$Q$1000,'Raw RTF'!L$5,FALSE)</f>
        <v>0</v>
      </c>
      <c r="M167">
        <f>VLOOKUP($A167,'Raw RTF'!$A$8:$Q$1000,'Raw RTF'!M$5,FALSE)</f>
        <v>0</v>
      </c>
      <c r="N167">
        <f>VLOOKUP($A167,'Raw RTF'!$A$8:$Q$1000,'Raw RTF'!N$5,FALSE)</f>
        <v>0</v>
      </c>
      <c r="O167">
        <f>VLOOKUP($A167,'Raw RTF'!$A$8:$Q$1000,'Raw RTF'!O$5,FALSE)</f>
        <v>0</v>
      </c>
      <c r="P167">
        <f>VLOOKUP($A167,'Raw RTF'!$A$8:$Q$1000,'Raw RTF'!P$5,FALSE)</f>
        <v>0</v>
      </c>
      <c r="Q167">
        <f>VLOOKUP($A167,'Raw RTF'!$A$8:$Q$1000,'Raw RTF'!Q$5,FALSE)</f>
        <v>0</v>
      </c>
    </row>
    <row r="168" spans="1:17" ht="25.5">
      <c r="A168" t="str">
        <f t="shared" si="3"/>
        <v>Windows - Double Pane to Class 22 - Heating Zone 2 (Electric FAF)WINDOW CL22 Prime Window Replacement of Double Pane Base (cooling savings)</v>
      </c>
      <c r="B168" s="53" t="s">
        <v>122</v>
      </c>
      <c r="C168" s="54" t="s">
        <v>225</v>
      </c>
      <c r="D168">
        <f>VLOOKUP($A168,'Raw RTF'!$A$8:$Q$1000,'Raw RTF'!D$5,FALSE)</f>
        <v>1.3889436157708315</v>
      </c>
      <c r="E168">
        <f>VLOOKUP($A168,'Raw RTF'!$A$8:$Q$1000,'Raw RTF'!E$5,FALSE)</f>
        <v>45</v>
      </c>
      <c r="F168">
        <f>VLOOKUP($A168,'Raw RTF'!$A$8:$Q$1000,'Raw RTF'!F$5,FALSE)</f>
        <v>0</v>
      </c>
      <c r="G168">
        <f>VLOOKUP($A168,'Raw RTF'!$A$8:$Q$1000,'Raw RTF'!G$5,FALSE)</f>
        <v>0</v>
      </c>
      <c r="H168" t="str">
        <f>VLOOKUP($A168,'Raw RTF'!$A$8:$Q$1000,'Raw RTF'!H$5,FALSE)</f>
        <v>ResCACPNW</v>
      </c>
      <c r="I168">
        <f>VLOOKUP($A168,'Raw RTF'!$A$8:$Q$1000,'Raw RTF'!I$5,FALSE)</f>
        <v>0</v>
      </c>
      <c r="J168">
        <f>VLOOKUP($A168,'Raw RTF'!$A$8:$Q$1000,'Raw RTF'!J$5,FALSE)</f>
        <v>0</v>
      </c>
      <c r="K168">
        <f>VLOOKUP($A168,'Raw RTF'!$A$8:$Q$1000,'Raw RTF'!K$5,FALSE)</f>
        <v>0</v>
      </c>
      <c r="L168">
        <f>VLOOKUP($A168,'Raw RTF'!$A$8:$Q$1000,'Raw RTF'!L$5,FALSE)</f>
        <v>0</v>
      </c>
      <c r="M168">
        <f>VLOOKUP($A168,'Raw RTF'!$A$8:$Q$1000,'Raw RTF'!M$5,FALSE)</f>
        <v>0</v>
      </c>
      <c r="N168">
        <f>VLOOKUP($A168,'Raw RTF'!$A$8:$Q$1000,'Raw RTF'!N$5,FALSE)</f>
        <v>0</v>
      </c>
      <c r="O168">
        <f>VLOOKUP($A168,'Raw RTF'!$A$8:$Q$1000,'Raw RTF'!O$5,FALSE)</f>
        <v>0</v>
      </c>
      <c r="P168">
        <f>VLOOKUP($A168,'Raw RTF'!$A$8:$Q$1000,'Raw RTF'!P$5,FALSE)</f>
        <v>0</v>
      </c>
      <c r="Q168">
        <f>VLOOKUP($A168,'Raw RTF'!$A$8:$Q$1000,'Raw RTF'!Q$5,FALSE)</f>
        <v>0</v>
      </c>
    </row>
    <row r="169" spans="1:17">
      <c r="A169" t="str">
        <f t="shared" si="3"/>
        <v>Infiltration Reduction - CFM50 reduction - Heating Zone 2 (Electric FAF)CFM50 Infiltration Reduction (cooling savings)</v>
      </c>
      <c r="B169" s="53" t="s">
        <v>124</v>
      </c>
      <c r="C169" s="307" t="s">
        <v>890</v>
      </c>
      <c r="D169">
        <f>VLOOKUP($A169,'Raw RTF'!$A$8:$Q$1000,'Raw RTF'!D$5,FALSE)</f>
        <v>6.0408411540371146E-3</v>
      </c>
      <c r="E169">
        <f>VLOOKUP($A169,'Raw RTF'!$A$8:$Q$1000,'Raw RTF'!E$5,FALSE)</f>
        <v>15</v>
      </c>
      <c r="F169">
        <f>VLOOKUP($A169,'Raw RTF'!$A$8:$Q$1000,'Raw RTF'!F$5,FALSE)</f>
        <v>0</v>
      </c>
      <c r="G169">
        <f>VLOOKUP($A169,'Raw RTF'!$A$8:$Q$1000,'Raw RTF'!G$5,FALSE)</f>
        <v>0</v>
      </c>
      <c r="H169" t="str">
        <f>VLOOKUP($A169,'Raw RTF'!$A$8:$Q$1000,'Raw RTF'!H$5,FALSE)</f>
        <v>ResCACPNW</v>
      </c>
      <c r="I169">
        <f>VLOOKUP($A169,'Raw RTF'!$A$8:$Q$1000,'Raw RTF'!I$5,FALSE)</f>
        <v>0</v>
      </c>
      <c r="J169">
        <f>VLOOKUP($A169,'Raw RTF'!$A$8:$Q$1000,'Raw RTF'!J$5,FALSE)</f>
        <v>0</v>
      </c>
      <c r="K169">
        <f>VLOOKUP($A169,'Raw RTF'!$A$8:$Q$1000,'Raw RTF'!K$5,FALSE)</f>
        <v>0</v>
      </c>
      <c r="L169">
        <f>VLOOKUP($A169,'Raw RTF'!$A$8:$Q$1000,'Raw RTF'!L$5,FALSE)</f>
        <v>0</v>
      </c>
      <c r="M169">
        <f>VLOOKUP($A169,'Raw RTF'!$A$8:$Q$1000,'Raw RTF'!M$5,FALSE)</f>
        <v>0</v>
      </c>
      <c r="N169">
        <f>VLOOKUP($A169,'Raw RTF'!$A$8:$Q$1000,'Raw RTF'!N$5,FALSE)</f>
        <v>0</v>
      </c>
      <c r="O169">
        <f>VLOOKUP($A169,'Raw RTF'!$A$8:$Q$1000,'Raw RTF'!O$5,FALSE)</f>
        <v>0</v>
      </c>
      <c r="P169">
        <f>VLOOKUP($A169,'Raw RTF'!$A$8:$Q$1000,'Raw RTF'!P$5,FALSE)</f>
        <v>0</v>
      </c>
      <c r="Q169">
        <f>VLOOKUP($A169,'Raw RTF'!$A$8:$Q$1000,'Raw RTF'!Q$5,FALSE)</f>
        <v>0</v>
      </c>
    </row>
    <row r="170" spans="1:17">
      <c r="A170" t="str">
        <f t="shared" si="3"/>
        <v>Single Family Weatherization - Insulate Attic - R0 to R38 - Heating Zone 3 (Electric FAF)ATTIC R0 - R38 (cooling savings)</v>
      </c>
      <c r="B170" s="53" t="s">
        <v>125</v>
      </c>
      <c r="C170" s="54" t="s">
        <v>208</v>
      </c>
      <c r="D170">
        <f>VLOOKUP($A170,'Raw RTF'!$A$8:$Q$1000,'Raw RTF'!D$5,FALSE)</f>
        <v>0.23408641048372159</v>
      </c>
      <c r="E170">
        <f>VLOOKUP($A170,'Raw RTF'!$A$8:$Q$1000,'Raw RTF'!E$5,FALSE)</f>
        <v>45</v>
      </c>
      <c r="F170">
        <f>VLOOKUP($A170,'Raw RTF'!$A$8:$Q$1000,'Raw RTF'!F$5,FALSE)</f>
        <v>0</v>
      </c>
      <c r="G170">
        <f>VLOOKUP($A170,'Raw RTF'!$A$8:$Q$1000,'Raw RTF'!G$5,FALSE)</f>
        <v>0</v>
      </c>
      <c r="H170" t="str">
        <f>VLOOKUP($A170,'Raw RTF'!$A$8:$Q$1000,'Raw RTF'!H$5,FALSE)</f>
        <v>ResCACPNW</v>
      </c>
      <c r="I170">
        <f>VLOOKUP($A170,'Raw RTF'!$A$8:$Q$1000,'Raw RTF'!I$5,FALSE)</f>
        <v>0</v>
      </c>
      <c r="J170">
        <f>VLOOKUP($A170,'Raw RTF'!$A$8:$Q$1000,'Raw RTF'!J$5,FALSE)</f>
        <v>0</v>
      </c>
      <c r="K170">
        <f>VLOOKUP($A170,'Raw RTF'!$A$8:$Q$1000,'Raw RTF'!K$5,FALSE)</f>
        <v>0</v>
      </c>
      <c r="L170">
        <f>VLOOKUP($A170,'Raw RTF'!$A$8:$Q$1000,'Raw RTF'!L$5,FALSE)</f>
        <v>0</v>
      </c>
      <c r="M170">
        <f>VLOOKUP($A170,'Raw RTF'!$A$8:$Q$1000,'Raw RTF'!M$5,FALSE)</f>
        <v>0</v>
      </c>
      <c r="N170">
        <f>VLOOKUP($A170,'Raw RTF'!$A$8:$Q$1000,'Raw RTF'!N$5,FALSE)</f>
        <v>0</v>
      </c>
      <c r="O170">
        <f>VLOOKUP($A170,'Raw RTF'!$A$8:$Q$1000,'Raw RTF'!O$5,FALSE)</f>
        <v>0</v>
      </c>
      <c r="P170">
        <f>VLOOKUP($A170,'Raw RTF'!$A$8:$Q$1000,'Raw RTF'!P$5,FALSE)</f>
        <v>0</v>
      </c>
      <c r="Q170">
        <f>VLOOKUP($A170,'Raw RTF'!$A$8:$Q$1000,'Raw RTF'!Q$5,FALSE)</f>
        <v>0</v>
      </c>
    </row>
    <row r="171" spans="1:17">
      <c r="A171" t="str">
        <f t="shared" si="3"/>
        <v>Single Family Weatherization - Insulate Attic - R0 to R49 - Heating Zone 3 (Electric FAF)ATTIC R0 - R49 (cooling savings)</v>
      </c>
      <c r="B171" s="53" t="s">
        <v>127</v>
      </c>
      <c r="C171" s="54" t="s">
        <v>210</v>
      </c>
      <c r="D171">
        <f>VLOOKUP($A171,'Raw RTF'!$A$8:$Q$1000,'Raw RTF'!D$5,FALSE)</f>
        <v>0.23614518878380877</v>
      </c>
      <c r="E171">
        <f>VLOOKUP($A171,'Raw RTF'!$A$8:$Q$1000,'Raw RTF'!E$5,FALSE)</f>
        <v>45</v>
      </c>
      <c r="F171">
        <f>VLOOKUP($A171,'Raw RTF'!$A$8:$Q$1000,'Raw RTF'!F$5,FALSE)</f>
        <v>0</v>
      </c>
      <c r="G171">
        <f>VLOOKUP($A171,'Raw RTF'!$A$8:$Q$1000,'Raw RTF'!G$5,FALSE)</f>
        <v>0</v>
      </c>
      <c r="H171" t="str">
        <f>VLOOKUP($A171,'Raw RTF'!$A$8:$Q$1000,'Raw RTF'!H$5,FALSE)</f>
        <v>ResCACPNW</v>
      </c>
      <c r="I171">
        <f>VLOOKUP($A171,'Raw RTF'!$A$8:$Q$1000,'Raw RTF'!I$5,FALSE)</f>
        <v>0</v>
      </c>
      <c r="J171">
        <f>VLOOKUP($A171,'Raw RTF'!$A$8:$Q$1000,'Raw RTF'!J$5,FALSE)</f>
        <v>0</v>
      </c>
      <c r="K171">
        <f>VLOOKUP($A171,'Raw RTF'!$A$8:$Q$1000,'Raw RTF'!K$5,FALSE)</f>
        <v>0</v>
      </c>
      <c r="L171">
        <f>VLOOKUP($A171,'Raw RTF'!$A$8:$Q$1000,'Raw RTF'!L$5,FALSE)</f>
        <v>0</v>
      </c>
      <c r="M171">
        <f>VLOOKUP($A171,'Raw RTF'!$A$8:$Q$1000,'Raw RTF'!M$5,FALSE)</f>
        <v>0</v>
      </c>
      <c r="N171">
        <f>VLOOKUP($A171,'Raw RTF'!$A$8:$Q$1000,'Raw RTF'!N$5,FALSE)</f>
        <v>0</v>
      </c>
      <c r="O171">
        <f>VLOOKUP($A171,'Raw RTF'!$A$8:$Q$1000,'Raw RTF'!O$5,FALSE)</f>
        <v>0</v>
      </c>
      <c r="P171">
        <f>VLOOKUP($A171,'Raw RTF'!$A$8:$Q$1000,'Raw RTF'!P$5,FALSE)</f>
        <v>0</v>
      </c>
      <c r="Q171">
        <f>VLOOKUP($A171,'Raw RTF'!$A$8:$Q$1000,'Raw RTF'!Q$5,FALSE)</f>
        <v>0</v>
      </c>
    </row>
    <row r="172" spans="1:17">
      <c r="A172" t="str">
        <f t="shared" si="3"/>
        <v>Single Family Weatherization - Insulate Attic - R11 to R38 - Heating Zone 3 (Electric FAF)ATTIC R11 - R38 (cooling savings)</v>
      </c>
      <c r="B172" s="53" t="s">
        <v>128</v>
      </c>
      <c r="C172" s="54" t="s">
        <v>211</v>
      </c>
      <c r="D172">
        <f>VLOOKUP($A172,'Raw RTF'!$A$8:$Q$1000,'Raw RTF'!D$5,FALSE)</f>
        <v>2.6724675984842943E-2</v>
      </c>
      <c r="E172">
        <f>VLOOKUP($A172,'Raw RTF'!$A$8:$Q$1000,'Raw RTF'!E$5,FALSE)</f>
        <v>45</v>
      </c>
      <c r="F172">
        <f>VLOOKUP($A172,'Raw RTF'!$A$8:$Q$1000,'Raw RTF'!F$5,FALSE)</f>
        <v>0</v>
      </c>
      <c r="G172">
        <f>VLOOKUP($A172,'Raw RTF'!$A$8:$Q$1000,'Raw RTF'!G$5,FALSE)</f>
        <v>0</v>
      </c>
      <c r="H172" t="str">
        <f>VLOOKUP($A172,'Raw RTF'!$A$8:$Q$1000,'Raw RTF'!H$5,FALSE)</f>
        <v>ResCACPNW</v>
      </c>
      <c r="I172">
        <f>VLOOKUP($A172,'Raw RTF'!$A$8:$Q$1000,'Raw RTF'!I$5,FALSE)</f>
        <v>0</v>
      </c>
      <c r="J172">
        <f>VLOOKUP($A172,'Raw RTF'!$A$8:$Q$1000,'Raw RTF'!J$5,FALSE)</f>
        <v>0</v>
      </c>
      <c r="K172">
        <f>VLOOKUP($A172,'Raw RTF'!$A$8:$Q$1000,'Raw RTF'!K$5,FALSE)</f>
        <v>0</v>
      </c>
      <c r="L172">
        <f>VLOOKUP($A172,'Raw RTF'!$A$8:$Q$1000,'Raw RTF'!L$5,FALSE)</f>
        <v>0</v>
      </c>
      <c r="M172">
        <f>VLOOKUP($A172,'Raw RTF'!$A$8:$Q$1000,'Raw RTF'!M$5,FALSE)</f>
        <v>0</v>
      </c>
      <c r="N172">
        <f>VLOOKUP($A172,'Raw RTF'!$A$8:$Q$1000,'Raw RTF'!N$5,FALSE)</f>
        <v>0</v>
      </c>
      <c r="O172">
        <f>VLOOKUP($A172,'Raw RTF'!$A$8:$Q$1000,'Raw RTF'!O$5,FALSE)</f>
        <v>0</v>
      </c>
      <c r="P172">
        <f>VLOOKUP($A172,'Raw RTF'!$A$8:$Q$1000,'Raw RTF'!P$5,FALSE)</f>
        <v>0</v>
      </c>
      <c r="Q172">
        <f>VLOOKUP($A172,'Raw RTF'!$A$8:$Q$1000,'Raw RTF'!Q$5,FALSE)</f>
        <v>0</v>
      </c>
    </row>
    <row r="173" spans="1:17">
      <c r="A173" t="str">
        <f t="shared" si="3"/>
        <v>Single Family Weatherization - Insulate Attic - R11 to R49 - Heating Zone 3 (Electric FAF)ATTIC R11 - R49 (cooling savings)</v>
      </c>
      <c r="B173" s="53" t="s">
        <v>129</v>
      </c>
      <c r="C173" s="54" t="s">
        <v>212</v>
      </c>
      <c r="D173">
        <f>VLOOKUP($A173,'Raw RTF'!$A$8:$Q$1000,'Raw RTF'!D$5,FALSE)</f>
        <v>2.8783454284930128E-2</v>
      </c>
      <c r="E173">
        <f>VLOOKUP($A173,'Raw RTF'!$A$8:$Q$1000,'Raw RTF'!E$5,FALSE)</f>
        <v>45</v>
      </c>
      <c r="F173">
        <f>VLOOKUP($A173,'Raw RTF'!$A$8:$Q$1000,'Raw RTF'!F$5,FALSE)</f>
        <v>0</v>
      </c>
      <c r="G173">
        <f>VLOOKUP($A173,'Raw RTF'!$A$8:$Q$1000,'Raw RTF'!G$5,FALSE)</f>
        <v>0</v>
      </c>
      <c r="H173" t="str">
        <f>VLOOKUP($A173,'Raw RTF'!$A$8:$Q$1000,'Raw RTF'!H$5,FALSE)</f>
        <v>ResCACPNW</v>
      </c>
      <c r="I173">
        <f>VLOOKUP($A173,'Raw RTF'!$A$8:$Q$1000,'Raw RTF'!I$5,FALSE)</f>
        <v>0</v>
      </c>
      <c r="J173">
        <f>VLOOKUP($A173,'Raw RTF'!$A$8:$Q$1000,'Raw RTF'!J$5,FALSE)</f>
        <v>0</v>
      </c>
      <c r="K173">
        <f>VLOOKUP($A173,'Raw RTF'!$A$8:$Q$1000,'Raw RTF'!K$5,FALSE)</f>
        <v>0</v>
      </c>
      <c r="L173">
        <f>VLOOKUP($A173,'Raw RTF'!$A$8:$Q$1000,'Raw RTF'!L$5,FALSE)</f>
        <v>0</v>
      </c>
      <c r="M173">
        <f>VLOOKUP($A173,'Raw RTF'!$A$8:$Q$1000,'Raw RTF'!M$5,FALSE)</f>
        <v>0</v>
      </c>
      <c r="N173">
        <f>VLOOKUP($A173,'Raw RTF'!$A$8:$Q$1000,'Raw RTF'!N$5,FALSE)</f>
        <v>0</v>
      </c>
      <c r="O173">
        <f>VLOOKUP($A173,'Raw RTF'!$A$8:$Q$1000,'Raw RTF'!O$5,FALSE)</f>
        <v>0</v>
      </c>
      <c r="P173">
        <f>VLOOKUP($A173,'Raw RTF'!$A$8:$Q$1000,'Raw RTF'!P$5,FALSE)</f>
        <v>0</v>
      </c>
      <c r="Q173">
        <f>VLOOKUP($A173,'Raw RTF'!$A$8:$Q$1000,'Raw RTF'!Q$5,FALSE)</f>
        <v>0</v>
      </c>
    </row>
    <row r="174" spans="1:17">
      <c r="A174" t="str">
        <f t="shared" si="3"/>
        <v>Single Family Weatherization - Insulate Attic - R19 to R38 - Heating Zone 3 (Electric FAF)ATTIC R19 - R38 (cooling savings)</v>
      </c>
      <c r="B174" s="53" t="s">
        <v>130</v>
      </c>
      <c r="C174" s="54" t="s">
        <v>213</v>
      </c>
      <c r="D174">
        <f>VLOOKUP($A174,'Raw RTF'!$A$8:$Q$1000,'Raw RTF'!D$5,FALSE)</f>
        <v>1.053253545052537E-2</v>
      </c>
      <c r="E174">
        <f>VLOOKUP($A174,'Raw RTF'!$A$8:$Q$1000,'Raw RTF'!E$5,FALSE)</f>
        <v>45</v>
      </c>
      <c r="F174">
        <f>VLOOKUP($A174,'Raw RTF'!$A$8:$Q$1000,'Raw RTF'!F$5,FALSE)</f>
        <v>0</v>
      </c>
      <c r="G174">
        <f>VLOOKUP($A174,'Raw RTF'!$A$8:$Q$1000,'Raw RTF'!G$5,FALSE)</f>
        <v>0</v>
      </c>
      <c r="H174" t="str">
        <f>VLOOKUP($A174,'Raw RTF'!$A$8:$Q$1000,'Raw RTF'!H$5,FALSE)</f>
        <v>ResCACPNW</v>
      </c>
      <c r="I174">
        <f>VLOOKUP($A174,'Raw RTF'!$A$8:$Q$1000,'Raw RTF'!I$5,FALSE)</f>
        <v>0</v>
      </c>
      <c r="J174">
        <f>VLOOKUP($A174,'Raw RTF'!$A$8:$Q$1000,'Raw RTF'!J$5,FALSE)</f>
        <v>0</v>
      </c>
      <c r="K174">
        <f>VLOOKUP($A174,'Raw RTF'!$A$8:$Q$1000,'Raw RTF'!K$5,FALSE)</f>
        <v>0</v>
      </c>
      <c r="L174">
        <f>VLOOKUP($A174,'Raw RTF'!$A$8:$Q$1000,'Raw RTF'!L$5,FALSE)</f>
        <v>0</v>
      </c>
      <c r="M174">
        <f>VLOOKUP($A174,'Raw RTF'!$A$8:$Q$1000,'Raw RTF'!M$5,FALSE)</f>
        <v>0</v>
      </c>
      <c r="N174">
        <f>VLOOKUP($A174,'Raw RTF'!$A$8:$Q$1000,'Raw RTF'!N$5,FALSE)</f>
        <v>0</v>
      </c>
      <c r="O174">
        <f>VLOOKUP($A174,'Raw RTF'!$A$8:$Q$1000,'Raw RTF'!O$5,FALSE)</f>
        <v>0</v>
      </c>
      <c r="P174">
        <f>VLOOKUP($A174,'Raw RTF'!$A$8:$Q$1000,'Raw RTF'!P$5,FALSE)</f>
        <v>0</v>
      </c>
      <c r="Q174">
        <f>VLOOKUP($A174,'Raw RTF'!$A$8:$Q$1000,'Raw RTF'!Q$5,FALSE)</f>
        <v>0</v>
      </c>
    </row>
    <row r="175" spans="1:17">
      <c r="A175" t="str">
        <f t="shared" si="3"/>
        <v>Single Family Weatherization - Insulate Attic - R19 to R49 - Heating Zone 3 (Electric FAF)ATTIC R19 - R49 (cooling savings)</v>
      </c>
      <c r="B175" s="53" t="s">
        <v>131</v>
      </c>
      <c r="C175" s="54" t="s">
        <v>214</v>
      </c>
      <c r="D175">
        <f>VLOOKUP($A175,'Raw RTF'!$A$8:$Q$1000,'Raw RTF'!D$5,FALSE)</f>
        <v>1.2591313750612555E-2</v>
      </c>
      <c r="E175">
        <f>VLOOKUP($A175,'Raw RTF'!$A$8:$Q$1000,'Raw RTF'!E$5,FALSE)</f>
        <v>45</v>
      </c>
      <c r="F175">
        <f>VLOOKUP($A175,'Raw RTF'!$A$8:$Q$1000,'Raw RTF'!F$5,FALSE)</f>
        <v>0</v>
      </c>
      <c r="G175">
        <f>VLOOKUP($A175,'Raw RTF'!$A$8:$Q$1000,'Raw RTF'!G$5,FALSE)</f>
        <v>0</v>
      </c>
      <c r="H175" t="str">
        <f>VLOOKUP($A175,'Raw RTF'!$A$8:$Q$1000,'Raw RTF'!H$5,FALSE)</f>
        <v>ResCACPNW</v>
      </c>
      <c r="I175">
        <f>VLOOKUP($A175,'Raw RTF'!$A$8:$Q$1000,'Raw RTF'!I$5,FALSE)</f>
        <v>0</v>
      </c>
      <c r="J175">
        <f>VLOOKUP($A175,'Raw RTF'!$A$8:$Q$1000,'Raw RTF'!J$5,FALSE)</f>
        <v>0</v>
      </c>
      <c r="K175">
        <f>VLOOKUP($A175,'Raw RTF'!$A$8:$Q$1000,'Raw RTF'!K$5,FALSE)</f>
        <v>0</v>
      </c>
      <c r="L175">
        <f>VLOOKUP($A175,'Raw RTF'!$A$8:$Q$1000,'Raw RTF'!L$5,FALSE)</f>
        <v>0</v>
      </c>
      <c r="M175">
        <f>VLOOKUP($A175,'Raw RTF'!$A$8:$Q$1000,'Raw RTF'!M$5,FALSE)</f>
        <v>0</v>
      </c>
      <c r="N175">
        <f>VLOOKUP($A175,'Raw RTF'!$A$8:$Q$1000,'Raw RTF'!N$5,FALSE)</f>
        <v>0</v>
      </c>
      <c r="O175">
        <f>VLOOKUP($A175,'Raw RTF'!$A$8:$Q$1000,'Raw RTF'!O$5,FALSE)</f>
        <v>0</v>
      </c>
      <c r="P175">
        <f>VLOOKUP($A175,'Raw RTF'!$A$8:$Q$1000,'Raw RTF'!P$5,FALSE)</f>
        <v>0</v>
      </c>
      <c r="Q175">
        <f>VLOOKUP($A175,'Raw RTF'!$A$8:$Q$1000,'Raw RTF'!Q$5,FALSE)</f>
        <v>0</v>
      </c>
    </row>
    <row r="176" spans="1:17">
      <c r="A176" t="str">
        <f t="shared" si="3"/>
        <v>Single Family Weatherization - Insulate Wall - R0 to R11 - Heating Zone 3 (Electric FAF)WALL R0 - R11 (cooling savings)</v>
      </c>
      <c r="B176" s="53" t="s">
        <v>134</v>
      </c>
      <c r="C176" s="54" t="s">
        <v>217</v>
      </c>
      <c r="D176">
        <f>VLOOKUP($A176,'Raw RTF'!$A$8:$Q$1000,'Raw RTF'!D$5,FALSE)</f>
        <v>9.1128269451804435E-3</v>
      </c>
      <c r="E176">
        <f>VLOOKUP($A176,'Raw RTF'!$A$8:$Q$1000,'Raw RTF'!E$5,FALSE)</f>
        <v>45</v>
      </c>
      <c r="F176">
        <f>VLOOKUP($A176,'Raw RTF'!$A$8:$Q$1000,'Raw RTF'!F$5,FALSE)</f>
        <v>0</v>
      </c>
      <c r="G176">
        <f>VLOOKUP($A176,'Raw RTF'!$A$8:$Q$1000,'Raw RTF'!G$5,FALSE)</f>
        <v>0</v>
      </c>
      <c r="H176" t="str">
        <f>VLOOKUP($A176,'Raw RTF'!$A$8:$Q$1000,'Raw RTF'!H$5,FALSE)</f>
        <v>ResCACPNW</v>
      </c>
      <c r="I176">
        <f>VLOOKUP($A176,'Raw RTF'!$A$8:$Q$1000,'Raw RTF'!I$5,FALSE)</f>
        <v>0</v>
      </c>
      <c r="J176">
        <f>VLOOKUP($A176,'Raw RTF'!$A$8:$Q$1000,'Raw RTF'!J$5,FALSE)</f>
        <v>0</v>
      </c>
      <c r="K176">
        <f>VLOOKUP($A176,'Raw RTF'!$A$8:$Q$1000,'Raw RTF'!K$5,FALSE)</f>
        <v>0</v>
      </c>
      <c r="L176">
        <f>VLOOKUP($A176,'Raw RTF'!$A$8:$Q$1000,'Raw RTF'!L$5,FALSE)</f>
        <v>0</v>
      </c>
      <c r="M176">
        <f>VLOOKUP($A176,'Raw RTF'!$A$8:$Q$1000,'Raw RTF'!M$5,FALSE)</f>
        <v>0</v>
      </c>
      <c r="N176">
        <f>VLOOKUP($A176,'Raw RTF'!$A$8:$Q$1000,'Raw RTF'!N$5,FALSE)</f>
        <v>0</v>
      </c>
      <c r="O176">
        <f>VLOOKUP($A176,'Raw RTF'!$A$8:$Q$1000,'Raw RTF'!O$5,FALSE)</f>
        <v>0</v>
      </c>
      <c r="P176">
        <f>VLOOKUP($A176,'Raw RTF'!$A$8:$Q$1000,'Raw RTF'!P$5,FALSE)</f>
        <v>0</v>
      </c>
      <c r="Q176">
        <f>VLOOKUP($A176,'Raw RTF'!$A$8:$Q$1000,'Raw RTF'!Q$5,FALSE)</f>
        <v>0</v>
      </c>
    </row>
    <row r="177" spans="1:17">
      <c r="A177" t="str">
        <f t="shared" si="3"/>
        <v>Single Family Weatherization - Insulate Floor - R0 to R19 - Heating Zone 3 (Electric FAF)FLOOR R0 - R19 (cooling savings)</v>
      </c>
      <c r="B177" s="53" t="s">
        <v>135</v>
      </c>
      <c r="C177" s="54" t="s">
        <v>218</v>
      </c>
      <c r="D177">
        <f>VLOOKUP($A177,'Raw RTF'!$A$8:$Q$1000,'Raw RTF'!D$5,FALSE)</f>
        <v>-3.5487921588964827E-2</v>
      </c>
      <c r="E177">
        <f>VLOOKUP($A177,'Raw RTF'!$A$8:$Q$1000,'Raw RTF'!E$5,FALSE)</f>
        <v>45</v>
      </c>
      <c r="F177">
        <f>VLOOKUP($A177,'Raw RTF'!$A$8:$Q$1000,'Raw RTF'!F$5,FALSE)</f>
        <v>0</v>
      </c>
      <c r="G177">
        <f>VLOOKUP($A177,'Raw RTF'!$A$8:$Q$1000,'Raw RTF'!G$5,FALSE)</f>
        <v>0</v>
      </c>
      <c r="H177" t="str">
        <f>VLOOKUP($A177,'Raw RTF'!$A$8:$Q$1000,'Raw RTF'!H$5,FALSE)</f>
        <v>ResCACPNW</v>
      </c>
      <c r="I177">
        <f>VLOOKUP($A177,'Raw RTF'!$A$8:$Q$1000,'Raw RTF'!I$5,FALSE)</f>
        <v>0</v>
      </c>
      <c r="J177">
        <f>VLOOKUP($A177,'Raw RTF'!$A$8:$Q$1000,'Raw RTF'!J$5,FALSE)</f>
        <v>0</v>
      </c>
      <c r="K177">
        <f>VLOOKUP($A177,'Raw RTF'!$A$8:$Q$1000,'Raw RTF'!K$5,FALSE)</f>
        <v>0</v>
      </c>
      <c r="L177">
        <f>VLOOKUP($A177,'Raw RTF'!$A$8:$Q$1000,'Raw RTF'!L$5,FALSE)</f>
        <v>0</v>
      </c>
      <c r="M177">
        <f>VLOOKUP($A177,'Raw RTF'!$A$8:$Q$1000,'Raw RTF'!M$5,FALSE)</f>
        <v>0</v>
      </c>
      <c r="N177">
        <f>VLOOKUP($A177,'Raw RTF'!$A$8:$Q$1000,'Raw RTF'!N$5,FALSE)</f>
        <v>0</v>
      </c>
      <c r="O177">
        <f>VLOOKUP($A177,'Raw RTF'!$A$8:$Q$1000,'Raw RTF'!O$5,FALSE)</f>
        <v>0</v>
      </c>
      <c r="P177">
        <f>VLOOKUP($A177,'Raw RTF'!$A$8:$Q$1000,'Raw RTF'!P$5,FALSE)</f>
        <v>0</v>
      </c>
      <c r="Q177">
        <f>VLOOKUP($A177,'Raw RTF'!$A$8:$Q$1000,'Raw RTF'!Q$5,FALSE)</f>
        <v>0</v>
      </c>
    </row>
    <row r="178" spans="1:17">
      <c r="A178" t="str">
        <f t="shared" si="3"/>
        <v>Single Family Weatherization - Insulate Floor - R0 to R25 - Heating Zone 3 (Electric FAF)FLOOR R0 - R25 (cooling savings)</v>
      </c>
      <c r="B178" s="53" t="s">
        <v>136</v>
      </c>
      <c r="C178" s="54" t="s">
        <v>219</v>
      </c>
      <c r="D178">
        <f>VLOOKUP($A178,'Raw RTF'!$A$8:$Q$1000,'Raw RTF'!D$5,FALSE)</f>
        <v>-4.0373009508757371E-2</v>
      </c>
      <c r="E178">
        <f>VLOOKUP($A178,'Raw RTF'!$A$8:$Q$1000,'Raw RTF'!E$5,FALSE)</f>
        <v>45</v>
      </c>
      <c r="F178">
        <f>VLOOKUP($A178,'Raw RTF'!$A$8:$Q$1000,'Raw RTF'!F$5,FALSE)</f>
        <v>0</v>
      </c>
      <c r="G178">
        <f>VLOOKUP($A178,'Raw RTF'!$A$8:$Q$1000,'Raw RTF'!G$5,FALSE)</f>
        <v>0</v>
      </c>
      <c r="H178" t="str">
        <f>VLOOKUP($A178,'Raw RTF'!$A$8:$Q$1000,'Raw RTF'!H$5,FALSE)</f>
        <v>ResCACPNW</v>
      </c>
      <c r="I178">
        <f>VLOOKUP($A178,'Raw RTF'!$A$8:$Q$1000,'Raw RTF'!I$5,FALSE)</f>
        <v>0</v>
      </c>
      <c r="J178">
        <f>VLOOKUP($A178,'Raw RTF'!$A$8:$Q$1000,'Raw RTF'!J$5,FALSE)</f>
        <v>0</v>
      </c>
      <c r="K178">
        <f>VLOOKUP($A178,'Raw RTF'!$A$8:$Q$1000,'Raw RTF'!K$5,FALSE)</f>
        <v>0</v>
      </c>
      <c r="L178">
        <f>VLOOKUP($A178,'Raw RTF'!$A$8:$Q$1000,'Raw RTF'!L$5,FALSE)</f>
        <v>0</v>
      </c>
      <c r="M178">
        <f>VLOOKUP($A178,'Raw RTF'!$A$8:$Q$1000,'Raw RTF'!M$5,FALSE)</f>
        <v>0</v>
      </c>
      <c r="N178">
        <f>VLOOKUP($A178,'Raw RTF'!$A$8:$Q$1000,'Raw RTF'!N$5,FALSE)</f>
        <v>0</v>
      </c>
      <c r="O178">
        <f>VLOOKUP($A178,'Raw RTF'!$A$8:$Q$1000,'Raw RTF'!O$5,FALSE)</f>
        <v>0</v>
      </c>
      <c r="P178">
        <f>VLOOKUP($A178,'Raw RTF'!$A$8:$Q$1000,'Raw RTF'!P$5,FALSE)</f>
        <v>0</v>
      </c>
      <c r="Q178">
        <f>VLOOKUP($A178,'Raw RTF'!$A$8:$Q$1000,'Raw RTF'!Q$5,FALSE)</f>
        <v>0</v>
      </c>
    </row>
    <row r="179" spans="1:17">
      <c r="A179" t="str">
        <f t="shared" si="3"/>
        <v>Single Family Weatherization - Insulate Floor - R0 to R30 - Heating Zone 3 (Electric FAF)FLOOR R0 - R30 (cooling savings)</v>
      </c>
      <c r="B179" s="53" t="s">
        <v>137</v>
      </c>
      <c r="C179" s="54" t="s">
        <v>220</v>
      </c>
      <c r="D179">
        <f>VLOOKUP($A179,'Raw RTF'!$A$8:$Q$1000,'Raw RTF'!D$5,FALSE)</f>
        <v>-4.3652495349199821E-2</v>
      </c>
      <c r="E179">
        <f>VLOOKUP($A179,'Raw RTF'!$A$8:$Q$1000,'Raw RTF'!E$5,FALSE)</f>
        <v>45</v>
      </c>
      <c r="F179">
        <f>VLOOKUP($A179,'Raw RTF'!$A$8:$Q$1000,'Raw RTF'!F$5,FALSE)</f>
        <v>0</v>
      </c>
      <c r="G179">
        <f>VLOOKUP($A179,'Raw RTF'!$A$8:$Q$1000,'Raw RTF'!G$5,FALSE)</f>
        <v>0</v>
      </c>
      <c r="H179" t="str">
        <f>VLOOKUP($A179,'Raw RTF'!$A$8:$Q$1000,'Raw RTF'!H$5,FALSE)</f>
        <v>ResCACPNW</v>
      </c>
      <c r="I179">
        <f>VLOOKUP($A179,'Raw RTF'!$A$8:$Q$1000,'Raw RTF'!I$5,FALSE)</f>
        <v>0</v>
      </c>
      <c r="J179">
        <f>VLOOKUP($A179,'Raw RTF'!$A$8:$Q$1000,'Raw RTF'!J$5,FALSE)</f>
        <v>0</v>
      </c>
      <c r="K179">
        <f>VLOOKUP($A179,'Raw RTF'!$A$8:$Q$1000,'Raw RTF'!K$5,FALSE)</f>
        <v>0</v>
      </c>
      <c r="L179">
        <f>VLOOKUP($A179,'Raw RTF'!$A$8:$Q$1000,'Raw RTF'!L$5,FALSE)</f>
        <v>0</v>
      </c>
      <c r="M179">
        <f>VLOOKUP($A179,'Raw RTF'!$A$8:$Q$1000,'Raw RTF'!M$5,FALSE)</f>
        <v>0</v>
      </c>
      <c r="N179">
        <f>VLOOKUP($A179,'Raw RTF'!$A$8:$Q$1000,'Raw RTF'!N$5,FALSE)</f>
        <v>0</v>
      </c>
      <c r="O179">
        <f>VLOOKUP($A179,'Raw RTF'!$A$8:$Q$1000,'Raw RTF'!O$5,FALSE)</f>
        <v>0</v>
      </c>
      <c r="P179">
        <f>VLOOKUP($A179,'Raw RTF'!$A$8:$Q$1000,'Raw RTF'!P$5,FALSE)</f>
        <v>0</v>
      </c>
      <c r="Q179">
        <f>VLOOKUP($A179,'Raw RTF'!$A$8:$Q$1000,'Raw RTF'!Q$5,FALSE)</f>
        <v>0</v>
      </c>
    </row>
    <row r="180" spans="1:17" ht="25.5">
      <c r="A180" t="str">
        <f t="shared" si="3"/>
        <v>Windows - Single Pane to Class 30 - Heating Zone 3 (Electric FAF)WINDOW CL30 Prime Window Replacement of Single Pane Base (cooling savings)</v>
      </c>
      <c r="B180" s="53" t="s">
        <v>138</v>
      </c>
      <c r="C180" s="54" t="s">
        <v>221</v>
      </c>
      <c r="D180">
        <f>VLOOKUP($A180,'Raw RTF'!$A$8:$Q$1000,'Raw RTF'!D$5,FALSE)</f>
        <v>0.45663176854298076</v>
      </c>
      <c r="E180">
        <f>VLOOKUP($A180,'Raw RTF'!$A$8:$Q$1000,'Raw RTF'!E$5,FALSE)</f>
        <v>45</v>
      </c>
      <c r="F180">
        <f>VLOOKUP($A180,'Raw RTF'!$A$8:$Q$1000,'Raw RTF'!F$5,FALSE)</f>
        <v>0</v>
      </c>
      <c r="G180">
        <f>VLOOKUP($A180,'Raw RTF'!$A$8:$Q$1000,'Raw RTF'!G$5,FALSE)</f>
        <v>0</v>
      </c>
      <c r="H180" t="str">
        <f>VLOOKUP($A180,'Raw RTF'!$A$8:$Q$1000,'Raw RTF'!H$5,FALSE)</f>
        <v>ResCACPNW</v>
      </c>
      <c r="I180">
        <f>VLOOKUP($A180,'Raw RTF'!$A$8:$Q$1000,'Raw RTF'!I$5,FALSE)</f>
        <v>0</v>
      </c>
      <c r="J180">
        <f>VLOOKUP($A180,'Raw RTF'!$A$8:$Q$1000,'Raw RTF'!J$5,FALSE)</f>
        <v>0</v>
      </c>
      <c r="K180">
        <f>VLOOKUP($A180,'Raw RTF'!$A$8:$Q$1000,'Raw RTF'!K$5,FALSE)</f>
        <v>0</v>
      </c>
      <c r="L180">
        <f>VLOOKUP($A180,'Raw RTF'!$A$8:$Q$1000,'Raw RTF'!L$5,FALSE)</f>
        <v>0</v>
      </c>
      <c r="M180">
        <f>VLOOKUP($A180,'Raw RTF'!$A$8:$Q$1000,'Raw RTF'!M$5,FALSE)</f>
        <v>0</v>
      </c>
      <c r="N180">
        <f>VLOOKUP($A180,'Raw RTF'!$A$8:$Q$1000,'Raw RTF'!N$5,FALSE)</f>
        <v>0</v>
      </c>
      <c r="O180">
        <f>VLOOKUP($A180,'Raw RTF'!$A$8:$Q$1000,'Raw RTF'!O$5,FALSE)</f>
        <v>0</v>
      </c>
      <c r="P180">
        <f>VLOOKUP($A180,'Raw RTF'!$A$8:$Q$1000,'Raw RTF'!P$5,FALSE)</f>
        <v>0</v>
      </c>
      <c r="Q180">
        <f>VLOOKUP($A180,'Raw RTF'!$A$8:$Q$1000,'Raw RTF'!Q$5,FALSE)</f>
        <v>0</v>
      </c>
    </row>
    <row r="181" spans="1:17" ht="25.5">
      <c r="A181" t="str">
        <f t="shared" si="3"/>
        <v>Windows - Double Pane to Class 30 - Heating Zone 3 (Electric FAF)WINDOW CL30 Prime Window Replacement of Double Pane Base (cooling savings)</v>
      </c>
      <c r="B181" s="53" t="s">
        <v>139</v>
      </c>
      <c r="C181" s="54" t="s">
        <v>222</v>
      </c>
      <c r="D181">
        <f>VLOOKUP($A181,'Raw RTF'!$A$8:$Q$1000,'Raw RTF'!D$5,FALSE)</f>
        <v>0.67484022733854121</v>
      </c>
      <c r="E181">
        <f>VLOOKUP($A181,'Raw RTF'!$A$8:$Q$1000,'Raw RTF'!E$5,FALSE)</f>
        <v>45</v>
      </c>
      <c r="F181">
        <f>VLOOKUP($A181,'Raw RTF'!$A$8:$Q$1000,'Raw RTF'!F$5,FALSE)</f>
        <v>0</v>
      </c>
      <c r="G181">
        <f>VLOOKUP($A181,'Raw RTF'!$A$8:$Q$1000,'Raw RTF'!G$5,FALSE)</f>
        <v>0</v>
      </c>
      <c r="H181" t="str">
        <f>VLOOKUP($A181,'Raw RTF'!$A$8:$Q$1000,'Raw RTF'!H$5,FALSE)</f>
        <v>ResCACPNW</v>
      </c>
      <c r="I181">
        <f>VLOOKUP($A181,'Raw RTF'!$A$8:$Q$1000,'Raw RTF'!I$5,FALSE)</f>
        <v>0</v>
      </c>
      <c r="J181">
        <f>VLOOKUP($A181,'Raw RTF'!$A$8:$Q$1000,'Raw RTF'!J$5,FALSE)</f>
        <v>0</v>
      </c>
      <c r="K181">
        <f>VLOOKUP($A181,'Raw RTF'!$A$8:$Q$1000,'Raw RTF'!K$5,FALSE)</f>
        <v>0</v>
      </c>
      <c r="L181">
        <f>VLOOKUP($A181,'Raw RTF'!$A$8:$Q$1000,'Raw RTF'!L$5,FALSE)</f>
        <v>0</v>
      </c>
      <c r="M181">
        <f>VLOOKUP($A181,'Raw RTF'!$A$8:$Q$1000,'Raw RTF'!M$5,FALSE)</f>
        <v>0</v>
      </c>
      <c r="N181">
        <f>VLOOKUP($A181,'Raw RTF'!$A$8:$Q$1000,'Raw RTF'!N$5,FALSE)</f>
        <v>0</v>
      </c>
      <c r="O181">
        <f>VLOOKUP($A181,'Raw RTF'!$A$8:$Q$1000,'Raw RTF'!O$5,FALSE)</f>
        <v>0</v>
      </c>
      <c r="P181">
        <f>VLOOKUP($A181,'Raw RTF'!$A$8:$Q$1000,'Raw RTF'!P$5,FALSE)</f>
        <v>0</v>
      </c>
      <c r="Q181">
        <f>VLOOKUP($A181,'Raw RTF'!$A$8:$Q$1000,'Raw RTF'!Q$5,FALSE)</f>
        <v>0</v>
      </c>
    </row>
    <row r="182" spans="1:17" ht="25.5">
      <c r="A182" t="str">
        <f t="shared" si="3"/>
        <v>Windows - Single Pane to Class 22 - Heating Zone 3 (Electric FAF)WINDOW CL22 Prime Window Replacement of Single Pane Base (cooling savings)</v>
      </c>
      <c r="B182" s="53" t="s">
        <v>141</v>
      </c>
      <c r="C182" s="54" t="s">
        <v>224</v>
      </c>
      <c r="D182">
        <f>VLOOKUP($A182,'Raw RTF'!$A$8:$Q$1000,'Raw RTF'!D$5,FALSE)</f>
        <v>0.48515940302333871</v>
      </c>
      <c r="E182">
        <f>VLOOKUP($A182,'Raw RTF'!$A$8:$Q$1000,'Raw RTF'!E$5,FALSE)</f>
        <v>45</v>
      </c>
      <c r="F182">
        <f>VLOOKUP($A182,'Raw RTF'!$A$8:$Q$1000,'Raw RTF'!F$5,FALSE)</f>
        <v>0</v>
      </c>
      <c r="G182">
        <f>VLOOKUP($A182,'Raw RTF'!$A$8:$Q$1000,'Raw RTF'!G$5,FALSE)</f>
        <v>0</v>
      </c>
      <c r="H182" t="str">
        <f>VLOOKUP($A182,'Raw RTF'!$A$8:$Q$1000,'Raw RTF'!H$5,FALSE)</f>
        <v>ResCACPNW</v>
      </c>
      <c r="I182">
        <f>VLOOKUP($A182,'Raw RTF'!$A$8:$Q$1000,'Raw RTF'!I$5,FALSE)</f>
        <v>0</v>
      </c>
      <c r="J182">
        <f>VLOOKUP($A182,'Raw RTF'!$A$8:$Q$1000,'Raw RTF'!J$5,FALSE)</f>
        <v>0</v>
      </c>
      <c r="K182">
        <f>VLOOKUP($A182,'Raw RTF'!$A$8:$Q$1000,'Raw RTF'!K$5,FALSE)</f>
        <v>0</v>
      </c>
      <c r="L182">
        <f>VLOOKUP($A182,'Raw RTF'!$A$8:$Q$1000,'Raw RTF'!L$5,FALSE)</f>
        <v>0</v>
      </c>
      <c r="M182">
        <f>VLOOKUP($A182,'Raw RTF'!$A$8:$Q$1000,'Raw RTF'!M$5,FALSE)</f>
        <v>0</v>
      </c>
      <c r="N182">
        <f>VLOOKUP($A182,'Raw RTF'!$A$8:$Q$1000,'Raw RTF'!N$5,FALSE)</f>
        <v>0</v>
      </c>
      <c r="O182">
        <f>VLOOKUP($A182,'Raw RTF'!$A$8:$Q$1000,'Raw RTF'!O$5,FALSE)</f>
        <v>0</v>
      </c>
      <c r="P182">
        <f>VLOOKUP($A182,'Raw RTF'!$A$8:$Q$1000,'Raw RTF'!P$5,FALSE)</f>
        <v>0</v>
      </c>
      <c r="Q182">
        <f>VLOOKUP($A182,'Raw RTF'!$A$8:$Q$1000,'Raw RTF'!Q$5,FALSE)</f>
        <v>0</v>
      </c>
    </row>
    <row r="183" spans="1:17" ht="25.5">
      <c r="A183" t="str">
        <f t="shared" si="3"/>
        <v>Windows - Double Pane to Class 22 - Heating Zone 3 (Electric FAF)WINDOW CL22 Prime Window Replacement of Double Pane Base (cooling savings)</v>
      </c>
      <c r="B183" s="53" t="s">
        <v>142</v>
      </c>
      <c r="C183" s="54" t="s">
        <v>225</v>
      </c>
      <c r="D183">
        <f>VLOOKUP($A183,'Raw RTF'!$A$8:$Q$1000,'Raw RTF'!D$5,FALSE)</f>
        <v>0.70336786181889932</v>
      </c>
      <c r="E183">
        <f>VLOOKUP($A183,'Raw RTF'!$A$8:$Q$1000,'Raw RTF'!E$5,FALSE)</f>
        <v>45</v>
      </c>
      <c r="F183">
        <f>VLOOKUP($A183,'Raw RTF'!$A$8:$Q$1000,'Raw RTF'!F$5,FALSE)</f>
        <v>0</v>
      </c>
      <c r="G183">
        <f>VLOOKUP($A183,'Raw RTF'!$A$8:$Q$1000,'Raw RTF'!G$5,FALSE)</f>
        <v>0</v>
      </c>
      <c r="H183" t="str">
        <f>VLOOKUP($A183,'Raw RTF'!$A$8:$Q$1000,'Raw RTF'!H$5,FALSE)</f>
        <v>ResCACPNW</v>
      </c>
      <c r="I183">
        <f>VLOOKUP($A183,'Raw RTF'!$A$8:$Q$1000,'Raw RTF'!I$5,FALSE)</f>
        <v>0</v>
      </c>
      <c r="J183">
        <f>VLOOKUP($A183,'Raw RTF'!$A$8:$Q$1000,'Raw RTF'!J$5,FALSE)</f>
        <v>0</v>
      </c>
      <c r="K183">
        <f>VLOOKUP($A183,'Raw RTF'!$A$8:$Q$1000,'Raw RTF'!K$5,FALSE)</f>
        <v>0</v>
      </c>
      <c r="L183">
        <f>VLOOKUP($A183,'Raw RTF'!$A$8:$Q$1000,'Raw RTF'!L$5,FALSE)</f>
        <v>0</v>
      </c>
      <c r="M183">
        <f>VLOOKUP($A183,'Raw RTF'!$A$8:$Q$1000,'Raw RTF'!M$5,FALSE)</f>
        <v>0</v>
      </c>
      <c r="N183">
        <f>VLOOKUP($A183,'Raw RTF'!$A$8:$Q$1000,'Raw RTF'!N$5,FALSE)</f>
        <v>0</v>
      </c>
      <c r="O183">
        <f>VLOOKUP($A183,'Raw RTF'!$A$8:$Q$1000,'Raw RTF'!O$5,FALSE)</f>
        <v>0</v>
      </c>
      <c r="P183">
        <f>VLOOKUP($A183,'Raw RTF'!$A$8:$Q$1000,'Raw RTF'!P$5,FALSE)</f>
        <v>0</v>
      </c>
      <c r="Q183">
        <f>VLOOKUP($A183,'Raw RTF'!$A$8:$Q$1000,'Raw RTF'!Q$5,FALSE)</f>
        <v>0</v>
      </c>
    </row>
    <row r="184" spans="1:17">
      <c r="A184" t="str">
        <f t="shared" si="3"/>
        <v>Infiltration Reduction - CFM50 reduction - Heating Zone 3 (Electric FAF)CFM50 Infiltration Reduction (cooling savings)</v>
      </c>
      <c r="B184" s="53" t="s">
        <v>144</v>
      </c>
      <c r="C184" s="307" t="s">
        <v>890</v>
      </c>
      <c r="D184">
        <f>VLOOKUP($A184,'Raw RTF'!$A$8:$Q$1000,'Raw RTF'!D$5,FALSE)</f>
        <v>-6.6684502435276193E-3</v>
      </c>
      <c r="E184">
        <f>VLOOKUP($A184,'Raw RTF'!$A$8:$Q$1000,'Raw RTF'!E$5,FALSE)</f>
        <v>15</v>
      </c>
      <c r="F184">
        <f>VLOOKUP($A184,'Raw RTF'!$A$8:$Q$1000,'Raw RTF'!F$5,FALSE)</f>
        <v>0</v>
      </c>
      <c r="G184">
        <f>VLOOKUP($A184,'Raw RTF'!$A$8:$Q$1000,'Raw RTF'!G$5,FALSE)</f>
        <v>0</v>
      </c>
      <c r="H184" t="str">
        <f>VLOOKUP($A184,'Raw RTF'!$A$8:$Q$1000,'Raw RTF'!H$5,FALSE)</f>
        <v>ResCACPNW</v>
      </c>
      <c r="I184">
        <f>VLOOKUP($A184,'Raw RTF'!$A$8:$Q$1000,'Raw RTF'!I$5,FALSE)</f>
        <v>0</v>
      </c>
      <c r="J184">
        <f>VLOOKUP($A184,'Raw RTF'!$A$8:$Q$1000,'Raw RTF'!J$5,FALSE)</f>
        <v>0</v>
      </c>
      <c r="K184">
        <f>VLOOKUP($A184,'Raw RTF'!$A$8:$Q$1000,'Raw RTF'!K$5,FALSE)</f>
        <v>0</v>
      </c>
      <c r="L184">
        <f>VLOOKUP($A184,'Raw RTF'!$A$8:$Q$1000,'Raw RTF'!L$5,FALSE)</f>
        <v>0</v>
      </c>
      <c r="M184">
        <f>VLOOKUP($A184,'Raw RTF'!$A$8:$Q$1000,'Raw RTF'!M$5,FALSE)</f>
        <v>0</v>
      </c>
      <c r="N184">
        <f>VLOOKUP($A184,'Raw RTF'!$A$8:$Q$1000,'Raw RTF'!N$5,FALSE)</f>
        <v>0</v>
      </c>
      <c r="O184">
        <f>VLOOKUP($A184,'Raw RTF'!$A$8:$Q$1000,'Raw RTF'!O$5,FALSE)</f>
        <v>0</v>
      </c>
      <c r="P184">
        <f>VLOOKUP($A184,'Raw RTF'!$A$8:$Q$1000,'Raw RTF'!P$5,FALSE)</f>
        <v>0</v>
      </c>
      <c r="Q184">
        <f>VLOOKUP($A184,'Raw RTF'!$A$8:$Q$1000,'Raw RTF'!Q$5,FALSE)</f>
        <v>0</v>
      </c>
    </row>
    <row r="185" spans="1:17">
      <c r="A185" t="str">
        <f t="shared" si="3"/>
        <v>Single Family Weatherization - Insulate Attic - R0 to R38 - Heating Zone 1 (Zonal or DHP)ATTIC R0 - R38 (cooling savings)</v>
      </c>
      <c r="B185" s="305" t="s">
        <v>1256</v>
      </c>
      <c r="C185" s="54" t="s">
        <v>208</v>
      </c>
      <c r="D185">
        <f>VLOOKUP($A185,'Raw RTF'!$A$8:$Q$1000,'Raw RTF'!D$5,FALSE)</f>
        <v>0.22174864777961026</v>
      </c>
      <c r="E185">
        <f>VLOOKUP($A185,'Raw RTF'!$A$8:$Q$1000,'Raw RTF'!E$5,FALSE)</f>
        <v>45</v>
      </c>
      <c r="F185">
        <f>VLOOKUP($A185,'Raw RTF'!$A$8:$Q$1000,'Raw RTF'!F$5,FALSE)</f>
        <v>0</v>
      </c>
      <c r="G185">
        <f>VLOOKUP($A185,'Raw RTF'!$A$8:$Q$1000,'Raw RTF'!G$5,FALSE)</f>
        <v>0</v>
      </c>
      <c r="H185" t="str">
        <f>VLOOKUP($A185,'Raw RTF'!$A$8:$Q$1000,'Raw RTF'!H$5,FALSE)</f>
        <v>ResCACPNW</v>
      </c>
      <c r="I185">
        <f>VLOOKUP($A185,'Raw RTF'!$A$8:$Q$1000,'Raw RTF'!I$5,FALSE)</f>
        <v>0</v>
      </c>
      <c r="J185">
        <f>VLOOKUP($A185,'Raw RTF'!$A$8:$Q$1000,'Raw RTF'!J$5,FALSE)</f>
        <v>0</v>
      </c>
      <c r="K185">
        <f>VLOOKUP($A185,'Raw RTF'!$A$8:$Q$1000,'Raw RTF'!K$5,FALSE)</f>
        <v>0</v>
      </c>
      <c r="L185">
        <f>VLOOKUP($A185,'Raw RTF'!$A$8:$Q$1000,'Raw RTF'!L$5,FALSE)</f>
        <v>0</v>
      </c>
      <c r="M185">
        <f>VLOOKUP($A185,'Raw RTF'!$A$8:$Q$1000,'Raw RTF'!M$5,FALSE)</f>
        <v>0</v>
      </c>
      <c r="N185">
        <f>VLOOKUP($A185,'Raw RTF'!$A$8:$Q$1000,'Raw RTF'!N$5,FALSE)</f>
        <v>0</v>
      </c>
      <c r="O185">
        <f>VLOOKUP($A185,'Raw RTF'!$A$8:$Q$1000,'Raw RTF'!O$5,FALSE)</f>
        <v>0</v>
      </c>
      <c r="P185">
        <f>VLOOKUP($A185,'Raw RTF'!$A$8:$Q$1000,'Raw RTF'!P$5,FALSE)</f>
        <v>0</v>
      </c>
      <c r="Q185">
        <f>VLOOKUP($A185,'Raw RTF'!$A$8:$Q$1000,'Raw RTF'!Q$5,FALSE)</f>
        <v>0</v>
      </c>
    </row>
    <row r="186" spans="1:17">
      <c r="A186" t="str">
        <f t="shared" si="3"/>
        <v>Single Family Weatherization - Insulate Attic - R0 to R49 - Heating Zone 1 (Zonal or DHP)ATTIC R0 - R49 (cooling savings)</v>
      </c>
      <c r="B186" s="305" t="s">
        <v>1257</v>
      </c>
      <c r="C186" s="54" t="s">
        <v>210</v>
      </c>
      <c r="D186">
        <f>VLOOKUP($A186,'Raw RTF'!$A$8:$Q$1000,'Raw RTF'!D$5,FALSE)</f>
        <v>0.22438477224292669</v>
      </c>
      <c r="E186">
        <f>VLOOKUP($A186,'Raw RTF'!$A$8:$Q$1000,'Raw RTF'!E$5,FALSE)</f>
        <v>45</v>
      </c>
      <c r="F186">
        <f>VLOOKUP($A186,'Raw RTF'!$A$8:$Q$1000,'Raw RTF'!F$5,FALSE)</f>
        <v>0</v>
      </c>
      <c r="G186">
        <f>VLOOKUP($A186,'Raw RTF'!$A$8:$Q$1000,'Raw RTF'!G$5,FALSE)</f>
        <v>0</v>
      </c>
      <c r="H186" t="str">
        <f>VLOOKUP($A186,'Raw RTF'!$A$8:$Q$1000,'Raw RTF'!H$5,FALSE)</f>
        <v>ResCACPNW</v>
      </c>
      <c r="I186">
        <f>VLOOKUP($A186,'Raw RTF'!$A$8:$Q$1000,'Raw RTF'!I$5,FALSE)</f>
        <v>0</v>
      </c>
      <c r="J186">
        <f>VLOOKUP($A186,'Raw RTF'!$A$8:$Q$1000,'Raw RTF'!J$5,FALSE)</f>
        <v>0</v>
      </c>
      <c r="K186">
        <f>VLOOKUP($A186,'Raw RTF'!$A$8:$Q$1000,'Raw RTF'!K$5,FALSE)</f>
        <v>0</v>
      </c>
      <c r="L186">
        <f>VLOOKUP($A186,'Raw RTF'!$A$8:$Q$1000,'Raw RTF'!L$5,FALSE)</f>
        <v>0</v>
      </c>
      <c r="M186">
        <f>VLOOKUP($A186,'Raw RTF'!$A$8:$Q$1000,'Raw RTF'!M$5,FALSE)</f>
        <v>0</v>
      </c>
      <c r="N186">
        <f>VLOOKUP($A186,'Raw RTF'!$A$8:$Q$1000,'Raw RTF'!N$5,FALSE)</f>
        <v>0</v>
      </c>
      <c r="O186">
        <f>VLOOKUP($A186,'Raw RTF'!$A$8:$Q$1000,'Raw RTF'!O$5,FALSE)</f>
        <v>0</v>
      </c>
      <c r="P186">
        <f>VLOOKUP($A186,'Raw RTF'!$A$8:$Q$1000,'Raw RTF'!P$5,FALSE)</f>
        <v>0</v>
      </c>
      <c r="Q186">
        <f>VLOOKUP($A186,'Raw RTF'!$A$8:$Q$1000,'Raw RTF'!Q$5,FALSE)</f>
        <v>0</v>
      </c>
    </row>
    <row r="187" spans="1:17">
      <c r="A187" t="str">
        <f t="shared" ref="A187:A243" si="4">CONCATENATE(B187,C187)</f>
        <v>Single Family Weatherization - Insulate Attic - R11 to R38 - Heating Zone 1 (Zonal or DHP)ATTIC R11 - R38 (cooling savings)</v>
      </c>
      <c r="B187" s="305" t="s">
        <v>1258</v>
      </c>
      <c r="C187" s="54" t="s">
        <v>211</v>
      </c>
      <c r="D187">
        <f>VLOOKUP($A187,'Raw RTF'!$A$8:$Q$1000,'Raw RTF'!D$5,FALSE)</f>
        <v>3.2019694422283855E-2</v>
      </c>
      <c r="E187">
        <f>VLOOKUP($A187,'Raw RTF'!$A$8:$Q$1000,'Raw RTF'!E$5,FALSE)</f>
        <v>45</v>
      </c>
      <c r="F187">
        <f>VLOOKUP($A187,'Raw RTF'!$A$8:$Q$1000,'Raw RTF'!F$5,FALSE)</f>
        <v>0</v>
      </c>
      <c r="G187">
        <f>VLOOKUP($A187,'Raw RTF'!$A$8:$Q$1000,'Raw RTF'!G$5,FALSE)</f>
        <v>0</v>
      </c>
      <c r="H187" t="str">
        <f>VLOOKUP($A187,'Raw RTF'!$A$8:$Q$1000,'Raw RTF'!H$5,FALSE)</f>
        <v>ResCACPNW</v>
      </c>
      <c r="I187">
        <f>VLOOKUP($A187,'Raw RTF'!$A$8:$Q$1000,'Raw RTF'!I$5,FALSE)</f>
        <v>0</v>
      </c>
      <c r="J187">
        <f>VLOOKUP($A187,'Raw RTF'!$A$8:$Q$1000,'Raw RTF'!J$5,FALSE)</f>
        <v>0</v>
      </c>
      <c r="K187">
        <f>VLOOKUP($A187,'Raw RTF'!$A$8:$Q$1000,'Raw RTF'!K$5,FALSE)</f>
        <v>0</v>
      </c>
      <c r="L187">
        <f>VLOOKUP($A187,'Raw RTF'!$A$8:$Q$1000,'Raw RTF'!L$5,FALSE)</f>
        <v>0</v>
      </c>
      <c r="M187">
        <f>VLOOKUP($A187,'Raw RTF'!$A$8:$Q$1000,'Raw RTF'!M$5,FALSE)</f>
        <v>0</v>
      </c>
      <c r="N187">
        <f>VLOOKUP($A187,'Raw RTF'!$A$8:$Q$1000,'Raw RTF'!N$5,FALSE)</f>
        <v>0</v>
      </c>
      <c r="O187">
        <f>VLOOKUP($A187,'Raw RTF'!$A$8:$Q$1000,'Raw RTF'!O$5,FALSE)</f>
        <v>0</v>
      </c>
      <c r="P187">
        <f>VLOOKUP($A187,'Raw RTF'!$A$8:$Q$1000,'Raw RTF'!P$5,FALSE)</f>
        <v>0</v>
      </c>
      <c r="Q187">
        <f>VLOOKUP($A187,'Raw RTF'!$A$8:$Q$1000,'Raw RTF'!Q$5,FALSE)</f>
        <v>0</v>
      </c>
    </row>
    <row r="188" spans="1:17">
      <c r="A188" t="str">
        <f t="shared" si="4"/>
        <v>Single Family Weatherization - Insulate Attic - R11 to R49 - Heating Zone 1 (Zonal or DHP)ATTIC R11 - R49 (cooling savings)</v>
      </c>
      <c r="B188" s="305" t="s">
        <v>1259</v>
      </c>
      <c r="C188" s="54" t="s">
        <v>212</v>
      </c>
      <c r="D188">
        <f>VLOOKUP($A188,'Raw RTF'!$A$8:$Q$1000,'Raw RTF'!D$5,FALSE)</f>
        <v>3.465581888560032E-2</v>
      </c>
      <c r="E188">
        <f>VLOOKUP($A188,'Raw RTF'!$A$8:$Q$1000,'Raw RTF'!E$5,FALSE)</f>
        <v>45</v>
      </c>
      <c r="F188">
        <f>VLOOKUP($A188,'Raw RTF'!$A$8:$Q$1000,'Raw RTF'!F$5,FALSE)</f>
        <v>0</v>
      </c>
      <c r="G188">
        <f>VLOOKUP($A188,'Raw RTF'!$A$8:$Q$1000,'Raw RTF'!G$5,FALSE)</f>
        <v>0</v>
      </c>
      <c r="H188" t="str">
        <f>VLOOKUP($A188,'Raw RTF'!$A$8:$Q$1000,'Raw RTF'!H$5,FALSE)</f>
        <v>ResCACPNW</v>
      </c>
      <c r="I188">
        <f>VLOOKUP($A188,'Raw RTF'!$A$8:$Q$1000,'Raw RTF'!I$5,FALSE)</f>
        <v>0</v>
      </c>
      <c r="J188">
        <f>VLOOKUP($A188,'Raw RTF'!$A$8:$Q$1000,'Raw RTF'!J$5,FALSE)</f>
        <v>0</v>
      </c>
      <c r="K188">
        <f>VLOOKUP($A188,'Raw RTF'!$A$8:$Q$1000,'Raw RTF'!K$5,FALSE)</f>
        <v>0</v>
      </c>
      <c r="L188">
        <f>VLOOKUP($A188,'Raw RTF'!$A$8:$Q$1000,'Raw RTF'!L$5,FALSE)</f>
        <v>0</v>
      </c>
      <c r="M188">
        <f>VLOOKUP($A188,'Raw RTF'!$A$8:$Q$1000,'Raw RTF'!M$5,FALSE)</f>
        <v>0</v>
      </c>
      <c r="N188">
        <f>VLOOKUP($A188,'Raw RTF'!$A$8:$Q$1000,'Raw RTF'!N$5,FALSE)</f>
        <v>0</v>
      </c>
      <c r="O188">
        <f>VLOOKUP($A188,'Raw RTF'!$A$8:$Q$1000,'Raw RTF'!O$5,FALSE)</f>
        <v>0</v>
      </c>
      <c r="P188">
        <f>VLOOKUP($A188,'Raw RTF'!$A$8:$Q$1000,'Raw RTF'!P$5,FALSE)</f>
        <v>0</v>
      </c>
      <c r="Q188">
        <f>VLOOKUP($A188,'Raw RTF'!$A$8:$Q$1000,'Raw RTF'!Q$5,FALSE)</f>
        <v>0</v>
      </c>
    </row>
    <row r="189" spans="1:17">
      <c r="A189" t="str">
        <f t="shared" si="4"/>
        <v>Single Family Weatherization - Insulate Attic - R19 to R38 - Heating Zone 1 (Zonal or DHP)ATTIC R19 - R38 (cooling savings)</v>
      </c>
      <c r="B189" s="305" t="s">
        <v>1260</v>
      </c>
      <c r="C189" s="54" t="s">
        <v>213</v>
      </c>
      <c r="D189">
        <f>VLOOKUP($A189,'Raw RTF'!$A$8:$Q$1000,'Raw RTF'!D$5,FALSE)</f>
        <v>1.3055911063932262E-2</v>
      </c>
      <c r="E189">
        <f>VLOOKUP($A189,'Raw RTF'!$A$8:$Q$1000,'Raw RTF'!E$5,FALSE)</f>
        <v>45</v>
      </c>
      <c r="F189">
        <f>VLOOKUP($A189,'Raw RTF'!$A$8:$Q$1000,'Raw RTF'!F$5,FALSE)</f>
        <v>0</v>
      </c>
      <c r="G189">
        <f>VLOOKUP($A189,'Raw RTF'!$A$8:$Q$1000,'Raw RTF'!G$5,FALSE)</f>
        <v>0</v>
      </c>
      <c r="H189" t="str">
        <f>VLOOKUP($A189,'Raw RTF'!$A$8:$Q$1000,'Raw RTF'!H$5,FALSE)</f>
        <v>ResCACPNW</v>
      </c>
      <c r="I189">
        <f>VLOOKUP($A189,'Raw RTF'!$A$8:$Q$1000,'Raw RTF'!I$5,FALSE)</f>
        <v>0</v>
      </c>
      <c r="J189">
        <f>VLOOKUP($A189,'Raw RTF'!$A$8:$Q$1000,'Raw RTF'!J$5,FALSE)</f>
        <v>0</v>
      </c>
      <c r="K189">
        <f>VLOOKUP($A189,'Raw RTF'!$A$8:$Q$1000,'Raw RTF'!K$5,FALSE)</f>
        <v>0</v>
      </c>
      <c r="L189">
        <f>VLOOKUP($A189,'Raw RTF'!$A$8:$Q$1000,'Raw RTF'!L$5,FALSE)</f>
        <v>0</v>
      </c>
      <c r="M189">
        <f>VLOOKUP($A189,'Raw RTF'!$A$8:$Q$1000,'Raw RTF'!M$5,FALSE)</f>
        <v>0</v>
      </c>
      <c r="N189">
        <f>VLOOKUP($A189,'Raw RTF'!$A$8:$Q$1000,'Raw RTF'!N$5,FALSE)</f>
        <v>0</v>
      </c>
      <c r="O189">
        <f>VLOOKUP($A189,'Raw RTF'!$A$8:$Q$1000,'Raw RTF'!O$5,FALSE)</f>
        <v>0</v>
      </c>
      <c r="P189">
        <f>VLOOKUP($A189,'Raw RTF'!$A$8:$Q$1000,'Raw RTF'!P$5,FALSE)</f>
        <v>0</v>
      </c>
      <c r="Q189">
        <f>VLOOKUP($A189,'Raw RTF'!$A$8:$Q$1000,'Raw RTF'!Q$5,FALSE)</f>
        <v>0</v>
      </c>
    </row>
    <row r="190" spans="1:17">
      <c r="A190" t="str">
        <f t="shared" si="4"/>
        <v>Single Family Weatherization - Insulate Attic - R19 to R49 - Heating Zone 1 (Zonal or DHP)ATTIC R19 - R49 (cooling savings)</v>
      </c>
      <c r="B190" s="305" t="s">
        <v>1261</v>
      </c>
      <c r="C190" s="54" t="s">
        <v>214</v>
      </c>
      <c r="D190">
        <f>VLOOKUP($A190,'Raw RTF'!$A$8:$Q$1000,'Raw RTF'!D$5,FALSE)</f>
        <v>1.5692035527248731E-2</v>
      </c>
      <c r="E190">
        <f>VLOOKUP($A190,'Raw RTF'!$A$8:$Q$1000,'Raw RTF'!E$5,FALSE)</f>
        <v>45</v>
      </c>
      <c r="F190">
        <f>VLOOKUP($A190,'Raw RTF'!$A$8:$Q$1000,'Raw RTF'!F$5,FALSE)</f>
        <v>0</v>
      </c>
      <c r="G190">
        <f>VLOOKUP($A190,'Raw RTF'!$A$8:$Q$1000,'Raw RTF'!G$5,FALSE)</f>
        <v>0</v>
      </c>
      <c r="H190" t="str">
        <f>VLOOKUP($A190,'Raw RTF'!$A$8:$Q$1000,'Raw RTF'!H$5,FALSE)</f>
        <v>ResCACPNW</v>
      </c>
      <c r="I190">
        <f>VLOOKUP($A190,'Raw RTF'!$A$8:$Q$1000,'Raw RTF'!I$5,FALSE)</f>
        <v>0</v>
      </c>
      <c r="J190">
        <f>VLOOKUP($A190,'Raw RTF'!$A$8:$Q$1000,'Raw RTF'!J$5,FALSE)</f>
        <v>0</v>
      </c>
      <c r="K190">
        <f>VLOOKUP($A190,'Raw RTF'!$A$8:$Q$1000,'Raw RTF'!K$5,FALSE)</f>
        <v>0</v>
      </c>
      <c r="L190">
        <f>VLOOKUP($A190,'Raw RTF'!$A$8:$Q$1000,'Raw RTF'!L$5,FALSE)</f>
        <v>0</v>
      </c>
      <c r="M190">
        <f>VLOOKUP($A190,'Raw RTF'!$A$8:$Q$1000,'Raw RTF'!M$5,FALSE)</f>
        <v>0</v>
      </c>
      <c r="N190">
        <f>VLOOKUP($A190,'Raw RTF'!$A$8:$Q$1000,'Raw RTF'!N$5,FALSE)</f>
        <v>0</v>
      </c>
      <c r="O190">
        <f>VLOOKUP($A190,'Raw RTF'!$A$8:$Q$1000,'Raw RTF'!O$5,FALSE)</f>
        <v>0</v>
      </c>
      <c r="P190">
        <f>VLOOKUP($A190,'Raw RTF'!$A$8:$Q$1000,'Raw RTF'!P$5,FALSE)</f>
        <v>0</v>
      </c>
      <c r="Q190">
        <f>VLOOKUP($A190,'Raw RTF'!$A$8:$Q$1000,'Raw RTF'!Q$5,FALSE)</f>
        <v>0</v>
      </c>
    </row>
    <row r="191" spans="1:17">
      <c r="A191" t="str">
        <f t="shared" si="4"/>
        <v>Single Family Weatherization - Insulate Wall - R0 to R11 - Heating Zone 1 (Zonal or DHP)WALL R0 - R11 (cooling savings)</v>
      </c>
      <c r="B191" s="305" t="s">
        <v>1265</v>
      </c>
      <c r="C191" s="54" t="s">
        <v>217</v>
      </c>
      <c r="D191">
        <f>VLOOKUP($A191,'Raw RTF'!$A$8:$Q$1000,'Raw RTF'!D$5,FALSE)</f>
        <v>3.1620007720073277E-2</v>
      </c>
      <c r="E191">
        <f>VLOOKUP($A191,'Raw RTF'!$A$8:$Q$1000,'Raw RTF'!E$5,FALSE)</f>
        <v>45</v>
      </c>
      <c r="F191">
        <f>VLOOKUP($A191,'Raw RTF'!$A$8:$Q$1000,'Raw RTF'!F$5,FALSE)</f>
        <v>0</v>
      </c>
      <c r="G191">
        <f>VLOOKUP($A191,'Raw RTF'!$A$8:$Q$1000,'Raw RTF'!G$5,FALSE)</f>
        <v>0</v>
      </c>
      <c r="H191" t="str">
        <f>VLOOKUP($A191,'Raw RTF'!$A$8:$Q$1000,'Raw RTF'!H$5,FALSE)</f>
        <v>ResCACPNW</v>
      </c>
      <c r="I191">
        <f>VLOOKUP($A191,'Raw RTF'!$A$8:$Q$1000,'Raw RTF'!I$5,FALSE)</f>
        <v>0</v>
      </c>
      <c r="J191">
        <f>VLOOKUP($A191,'Raw RTF'!$A$8:$Q$1000,'Raw RTF'!J$5,FALSE)</f>
        <v>0</v>
      </c>
      <c r="K191">
        <f>VLOOKUP($A191,'Raw RTF'!$A$8:$Q$1000,'Raw RTF'!K$5,FALSE)</f>
        <v>0</v>
      </c>
      <c r="L191">
        <f>VLOOKUP($A191,'Raw RTF'!$A$8:$Q$1000,'Raw RTF'!L$5,FALSE)</f>
        <v>0</v>
      </c>
      <c r="M191">
        <f>VLOOKUP($A191,'Raw RTF'!$A$8:$Q$1000,'Raw RTF'!M$5,FALSE)</f>
        <v>0</v>
      </c>
      <c r="N191">
        <f>VLOOKUP($A191,'Raw RTF'!$A$8:$Q$1000,'Raw RTF'!N$5,FALSE)</f>
        <v>0</v>
      </c>
      <c r="O191">
        <f>VLOOKUP($A191,'Raw RTF'!$A$8:$Q$1000,'Raw RTF'!O$5,FALSE)</f>
        <v>0</v>
      </c>
      <c r="P191">
        <f>VLOOKUP($A191,'Raw RTF'!$A$8:$Q$1000,'Raw RTF'!P$5,FALSE)</f>
        <v>0</v>
      </c>
      <c r="Q191">
        <f>VLOOKUP($A191,'Raw RTF'!$A$8:$Q$1000,'Raw RTF'!Q$5,FALSE)</f>
        <v>0</v>
      </c>
    </row>
    <row r="192" spans="1:17">
      <c r="A192" t="str">
        <f t="shared" si="4"/>
        <v>Single Family Weatherization - Insulate Floor - R0 to R19 - Heating Zone 1 (Zonal or DHP)FLOOR R0 - R19 (cooling savings)</v>
      </c>
      <c r="B192" s="305" t="s">
        <v>1266</v>
      </c>
      <c r="C192" s="54" t="s">
        <v>218</v>
      </c>
      <c r="D192">
        <f>VLOOKUP($A192,'Raw RTF'!$A$8:$Q$1000,'Raw RTF'!D$5,FALSE)</f>
        <v>-3.0448286998100392E-2</v>
      </c>
      <c r="E192">
        <f>VLOOKUP($A192,'Raw RTF'!$A$8:$Q$1000,'Raw RTF'!E$5,FALSE)</f>
        <v>45</v>
      </c>
      <c r="F192">
        <f>VLOOKUP($A192,'Raw RTF'!$A$8:$Q$1000,'Raw RTF'!F$5,FALSE)</f>
        <v>0</v>
      </c>
      <c r="G192">
        <f>VLOOKUP($A192,'Raw RTF'!$A$8:$Q$1000,'Raw RTF'!G$5,FALSE)</f>
        <v>0</v>
      </c>
      <c r="H192" t="str">
        <f>VLOOKUP($A192,'Raw RTF'!$A$8:$Q$1000,'Raw RTF'!H$5,FALSE)</f>
        <v>ResCACPNW</v>
      </c>
      <c r="I192">
        <f>VLOOKUP($A192,'Raw RTF'!$A$8:$Q$1000,'Raw RTF'!I$5,FALSE)</f>
        <v>0</v>
      </c>
      <c r="J192">
        <f>VLOOKUP($A192,'Raw RTF'!$A$8:$Q$1000,'Raw RTF'!J$5,FALSE)</f>
        <v>0</v>
      </c>
      <c r="K192">
        <f>VLOOKUP($A192,'Raw RTF'!$A$8:$Q$1000,'Raw RTF'!K$5,FALSE)</f>
        <v>0</v>
      </c>
      <c r="L192">
        <f>VLOOKUP($A192,'Raw RTF'!$A$8:$Q$1000,'Raw RTF'!L$5,FALSE)</f>
        <v>0</v>
      </c>
      <c r="M192">
        <f>VLOOKUP($A192,'Raw RTF'!$A$8:$Q$1000,'Raw RTF'!M$5,FALSE)</f>
        <v>0</v>
      </c>
      <c r="N192">
        <f>VLOOKUP($A192,'Raw RTF'!$A$8:$Q$1000,'Raw RTF'!N$5,FALSE)</f>
        <v>0</v>
      </c>
      <c r="O192">
        <f>VLOOKUP($A192,'Raw RTF'!$A$8:$Q$1000,'Raw RTF'!O$5,FALSE)</f>
        <v>0</v>
      </c>
      <c r="P192">
        <f>VLOOKUP($A192,'Raw RTF'!$A$8:$Q$1000,'Raw RTF'!P$5,FALSE)</f>
        <v>0</v>
      </c>
      <c r="Q192">
        <f>VLOOKUP($A192,'Raw RTF'!$A$8:$Q$1000,'Raw RTF'!Q$5,FALSE)</f>
        <v>0</v>
      </c>
    </row>
    <row r="193" spans="1:17">
      <c r="A193" t="str">
        <f t="shared" si="4"/>
        <v>Single Family Weatherization - Insulate Floor - R0 to R25 - Heating Zone 1 (Zonal or DHP)FLOOR R0 - R25 (cooling savings)</v>
      </c>
      <c r="B193" s="305" t="s">
        <v>1267</v>
      </c>
      <c r="C193" s="54" t="s">
        <v>219</v>
      </c>
      <c r="D193">
        <f>VLOOKUP($A193,'Raw RTF'!$A$8:$Q$1000,'Raw RTF'!D$5,FALSE)</f>
        <v>-3.38252580340027E-2</v>
      </c>
      <c r="E193">
        <f>VLOOKUP($A193,'Raw RTF'!$A$8:$Q$1000,'Raw RTF'!E$5,FALSE)</f>
        <v>45</v>
      </c>
      <c r="F193">
        <f>VLOOKUP($A193,'Raw RTF'!$A$8:$Q$1000,'Raw RTF'!F$5,FALSE)</f>
        <v>0</v>
      </c>
      <c r="G193">
        <f>VLOOKUP($A193,'Raw RTF'!$A$8:$Q$1000,'Raw RTF'!G$5,FALSE)</f>
        <v>0</v>
      </c>
      <c r="H193" t="str">
        <f>VLOOKUP($A193,'Raw RTF'!$A$8:$Q$1000,'Raw RTF'!H$5,FALSE)</f>
        <v>ResCACPNW</v>
      </c>
      <c r="I193">
        <f>VLOOKUP($A193,'Raw RTF'!$A$8:$Q$1000,'Raw RTF'!I$5,FALSE)</f>
        <v>0</v>
      </c>
      <c r="J193">
        <f>VLOOKUP($A193,'Raw RTF'!$A$8:$Q$1000,'Raw RTF'!J$5,FALSE)</f>
        <v>0</v>
      </c>
      <c r="K193">
        <f>VLOOKUP($A193,'Raw RTF'!$A$8:$Q$1000,'Raw RTF'!K$5,FALSE)</f>
        <v>0</v>
      </c>
      <c r="L193">
        <f>VLOOKUP($A193,'Raw RTF'!$A$8:$Q$1000,'Raw RTF'!L$5,FALSE)</f>
        <v>0</v>
      </c>
      <c r="M193">
        <f>VLOOKUP($A193,'Raw RTF'!$A$8:$Q$1000,'Raw RTF'!M$5,FALSE)</f>
        <v>0</v>
      </c>
      <c r="N193">
        <f>VLOOKUP($A193,'Raw RTF'!$A$8:$Q$1000,'Raw RTF'!N$5,FALSE)</f>
        <v>0</v>
      </c>
      <c r="O193">
        <f>VLOOKUP($A193,'Raw RTF'!$A$8:$Q$1000,'Raw RTF'!O$5,FALSE)</f>
        <v>0</v>
      </c>
      <c r="P193">
        <f>VLOOKUP($A193,'Raw RTF'!$A$8:$Q$1000,'Raw RTF'!P$5,FALSE)</f>
        <v>0</v>
      </c>
      <c r="Q193">
        <f>VLOOKUP($A193,'Raw RTF'!$A$8:$Q$1000,'Raw RTF'!Q$5,FALSE)</f>
        <v>0</v>
      </c>
    </row>
    <row r="194" spans="1:17">
      <c r="A194" t="str">
        <f t="shared" si="4"/>
        <v>Single Family Weatherization - Insulate Floor - R0 to R30 - Heating Zone 1 (Zonal or DHP)FLOOR R0 - R30 (cooling savings)</v>
      </c>
      <c r="B194" s="305" t="s">
        <v>1268</v>
      </c>
      <c r="C194" s="54" t="s">
        <v>220</v>
      </c>
      <c r="D194">
        <f>VLOOKUP($A194,'Raw RTF'!$A$8:$Q$1000,'Raw RTF'!D$5,FALSE)</f>
        <v>-3.6034750900204929E-2</v>
      </c>
      <c r="E194">
        <f>VLOOKUP($A194,'Raw RTF'!$A$8:$Q$1000,'Raw RTF'!E$5,FALSE)</f>
        <v>45</v>
      </c>
      <c r="F194">
        <f>VLOOKUP($A194,'Raw RTF'!$A$8:$Q$1000,'Raw RTF'!F$5,FALSE)</f>
        <v>0</v>
      </c>
      <c r="G194">
        <f>VLOOKUP($A194,'Raw RTF'!$A$8:$Q$1000,'Raw RTF'!G$5,FALSE)</f>
        <v>0</v>
      </c>
      <c r="H194" t="str">
        <f>VLOOKUP($A194,'Raw RTF'!$A$8:$Q$1000,'Raw RTF'!H$5,FALSE)</f>
        <v>ResCACPNW</v>
      </c>
      <c r="I194">
        <f>VLOOKUP($A194,'Raw RTF'!$A$8:$Q$1000,'Raw RTF'!I$5,FALSE)</f>
        <v>0</v>
      </c>
      <c r="J194">
        <f>VLOOKUP($A194,'Raw RTF'!$A$8:$Q$1000,'Raw RTF'!J$5,FALSE)</f>
        <v>0</v>
      </c>
      <c r="K194">
        <f>VLOOKUP($A194,'Raw RTF'!$A$8:$Q$1000,'Raw RTF'!K$5,FALSE)</f>
        <v>0</v>
      </c>
      <c r="L194">
        <f>VLOOKUP($A194,'Raw RTF'!$A$8:$Q$1000,'Raw RTF'!L$5,FALSE)</f>
        <v>0</v>
      </c>
      <c r="M194">
        <f>VLOOKUP($A194,'Raw RTF'!$A$8:$Q$1000,'Raw RTF'!M$5,FALSE)</f>
        <v>0</v>
      </c>
      <c r="N194">
        <f>VLOOKUP($A194,'Raw RTF'!$A$8:$Q$1000,'Raw RTF'!N$5,FALSE)</f>
        <v>0</v>
      </c>
      <c r="O194">
        <f>VLOOKUP($A194,'Raw RTF'!$A$8:$Q$1000,'Raw RTF'!O$5,FALSE)</f>
        <v>0</v>
      </c>
      <c r="P194">
        <f>VLOOKUP($A194,'Raw RTF'!$A$8:$Q$1000,'Raw RTF'!P$5,FALSE)</f>
        <v>0</v>
      </c>
      <c r="Q194">
        <f>VLOOKUP($A194,'Raw RTF'!$A$8:$Q$1000,'Raw RTF'!Q$5,FALSE)</f>
        <v>0</v>
      </c>
    </row>
    <row r="195" spans="1:17" ht="25.5">
      <c r="A195" t="str">
        <f t="shared" si="4"/>
        <v>Windows - Single Pane to Class 30 - Heating Zone 1 (Zonal or DHP)WINDOW CL30 Prime Window Replacement of Single Pane Base (cooling savings)</v>
      </c>
      <c r="B195" s="305" t="s">
        <v>1270</v>
      </c>
      <c r="C195" s="54" t="s">
        <v>221</v>
      </c>
      <c r="D195">
        <f>VLOOKUP($A195,'Raw RTF'!$A$8:$Q$1000,'Raw RTF'!D$5,FALSE)</f>
        <v>0.55459640160630186</v>
      </c>
      <c r="E195">
        <f>VLOOKUP($A195,'Raw RTF'!$A$8:$Q$1000,'Raw RTF'!E$5,FALSE)</f>
        <v>45</v>
      </c>
      <c r="F195">
        <f>VLOOKUP($A195,'Raw RTF'!$A$8:$Q$1000,'Raw RTF'!F$5,FALSE)</f>
        <v>0</v>
      </c>
      <c r="G195">
        <f>VLOOKUP($A195,'Raw RTF'!$A$8:$Q$1000,'Raw RTF'!G$5,FALSE)</f>
        <v>0</v>
      </c>
      <c r="H195" t="str">
        <f>VLOOKUP($A195,'Raw RTF'!$A$8:$Q$1000,'Raw RTF'!H$5,FALSE)</f>
        <v>ResCACPNW</v>
      </c>
      <c r="I195">
        <f>VLOOKUP($A195,'Raw RTF'!$A$8:$Q$1000,'Raw RTF'!I$5,FALSE)</f>
        <v>0</v>
      </c>
      <c r="J195">
        <f>VLOOKUP($A195,'Raw RTF'!$A$8:$Q$1000,'Raw RTF'!J$5,FALSE)</f>
        <v>0</v>
      </c>
      <c r="K195">
        <f>VLOOKUP($A195,'Raw RTF'!$A$8:$Q$1000,'Raw RTF'!K$5,FALSE)</f>
        <v>0</v>
      </c>
      <c r="L195">
        <f>VLOOKUP($A195,'Raw RTF'!$A$8:$Q$1000,'Raw RTF'!L$5,FALSE)</f>
        <v>0</v>
      </c>
      <c r="M195">
        <f>VLOOKUP($A195,'Raw RTF'!$A$8:$Q$1000,'Raw RTF'!M$5,FALSE)</f>
        <v>0</v>
      </c>
      <c r="N195">
        <f>VLOOKUP($A195,'Raw RTF'!$A$8:$Q$1000,'Raw RTF'!N$5,FALSE)</f>
        <v>0</v>
      </c>
      <c r="O195">
        <f>VLOOKUP($A195,'Raw RTF'!$A$8:$Q$1000,'Raw RTF'!O$5,FALSE)</f>
        <v>0</v>
      </c>
      <c r="P195">
        <f>VLOOKUP($A195,'Raw RTF'!$A$8:$Q$1000,'Raw RTF'!P$5,FALSE)</f>
        <v>0</v>
      </c>
      <c r="Q195">
        <f>VLOOKUP($A195,'Raw RTF'!$A$8:$Q$1000,'Raw RTF'!Q$5,FALSE)</f>
        <v>0</v>
      </c>
    </row>
    <row r="196" spans="1:17" ht="25.5">
      <c r="A196" t="str">
        <f t="shared" si="4"/>
        <v>Windows - Double Pane to Class 30 - Heating Zone 1 (Zonal or DHP)WINDOW CL30 Prime Window Replacement of Double Pane Base (cooling savings)</v>
      </c>
      <c r="B196" s="305" t="s">
        <v>1271</v>
      </c>
      <c r="C196" s="54" t="s">
        <v>222</v>
      </c>
      <c r="D196">
        <f>VLOOKUP($A196,'Raw RTF'!$A$8:$Q$1000,'Raw RTF'!D$5,FALSE)</f>
        <v>0.6825115914819051</v>
      </c>
      <c r="E196">
        <f>VLOOKUP($A196,'Raw RTF'!$A$8:$Q$1000,'Raw RTF'!E$5,FALSE)</f>
        <v>45</v>
      </c>
      <c r="F196">
        <f>VLOOKUP($A196,'Raw RTF'!$A$8:$Q$1000,'Raw RTF'!F$5,FALSE)</f>
        <v>0</v>
      </c>
      <c r="G196">
        <f>VLOOKUP($A196,'Raw RTF'!$A$8:$Q$1000,'Raw RTF'!G$5,FALSE)</f>
        <v>0</v>
      </c>
      <c r="H196" t="str">
        <f>VLOOKUP($A196,'Raw RTF'!$A$8:$Q$1000,'Raw RTF'!H$5,FALSE)</f>
        <v>ResCACPNW</v>
      </c>
      <c r="I196">
        <f>VLOOKUP($A196,'Raw RTF'!$A$8:$Q$1000,'Raw RTF'!I$5,FALSE)</f>
        <v>0</v>
      </c>
      <c r="J196">
        <f>VLOOKUP($A196,'Raw RTF'!$A$8:$Q$1000,'Raw RTF'!J$5,FALSE)</f>
        <v>0</v>
      </c>
      <c r="K196">
        <f>VLOOKUP($A196,'Raw RTF'!$A$8:$Q$1000,'Raw RTF'!K$5,FALSE)</f>
        <v>0</v>
      </c>
      <c r="L196">
        <f>VLOOKUP($A196,'Raw RTF'!$A$8:$Q$1000,'Raw RTF'!L$5,FALSE)</f>
        <v>0</v>
      </c>
      <c r="M196">
        <f>VLOOKUP($A196,'Raw RTF'!$A$8:$Q$1000,'Raw RTF'!M$5,FALSE)</f>
        <v>0</v>
      </c>
      <c r="N196">
        <f>VLOOKUP($A196,'Raw RTF'!$A$8:$Q$1000,'Raw RTF'!N$5,FALSE)</f>
        <v>0</v>
      </c>
      <c r="O196">
        <f>VLOOKUP($A196,'Raw RTF'!$A$8:$Q$1000,'Raw RTF'!O$5,FALSE)</f>
        <v>0</v>
      </c>
      <c r="P196">
        <f>VLOOKUP($A196,'Raw RTF'!$A$8:$Q$1000,'Raw RTF'!P$5,FALSE)</f>
        <v>0</v>
      </c>
      <c r="Q196">
        <f>VLOOKUP($A196,'Raw RTF'!$A$8:$Q$1000,'Raw RTF'!Q$5,FALSE)</f>
        <v>0</v>
      </c>
    </row>
    <row r="197" spans="1:17" ht="25.5">
      <c r="A197" t="str">
        <f t="shared" si="4"/>
        <v>Windows - Single Pane to Class 22 - Heating Zone 1 (Zonal or DHP)WINDOW CL22 Prime Window Replacement of Single Pane Base (cooling savings)</v>
      </c>
      <c r="B197" s="305" t="s">
        <v>1273</v>
      </c>
      <c r="C197" s="54" t="s">
        <v>224</v>
      </c>
      <c r="D197">
        <f>VLOOKUP($A197,'Raw RTF'!$A$8:$Q$1000,'Raw RTF'!D$5,FALSE)</f>
        <v>0.59772533509372772</v>
      </c>
      <c r="E197">
        <f>VLOOKUP($A197,'Raw RTF'!$A$8:$Q$1000,'Raw RTF'!E$5,FALSE)</f>
        <v>45</v>
      </c>
      <c r="F197">
        <f>VLOOKUP($A197,'Raw RTF'!$A$8:$Q$1000,'Raw RTF'!F$5,FALSE)</f>
        <v>0</v>
      </c>
      <c r="G197">
        <f>VLOOKUP($A197,'Raw RTF'!$A$8:$Q$1000,'Raw RTF'!G$5,FALSE)</f>
        <v>0</v>
      </c>
      <c r="H197" t="str">
        <f>VLOOKUP($A197,'Raw RTF'!$A$8:$Q$1000,'Raw RTF'!H$5,FALSE)</f>
        <v>ResCACPNW</v>
      </c>
      <c r="I197">
        <f>VLOOKUP($A197,'Raw RTF'!$A$8:$Q$1000,'Raw RTF'!I$5,FALSE)</f>
        <v>0</v>
      </c>
      <c r="J197">
        <f>VLOOKUP($A197,'Raw RTF'!$A$8:$Q$1000,'Raw RTF'!J$5,FALSE)</f>
        <v>0</v>
      </c>
      <c r="K197">
        <f>VLOOKUP($A197,'Raw RTF'!$A$8:$Q$1000,'Raw RTF'!K$5,FALSE)</f>
        <v>0</v>
      </c>
      <c r="L197">
        <f>VLOOKUP($A197,'Raw RTF'!$A$8:$Q$1000,'Raw RTF'!L$5,FALSE)</f>
        <v>0</v>
      </c>
      <c r="M197">
        <f>VLOOKUP($A197,'Raw RTF'!$A$8:$Q$1000,'Raw RTF'!M$5,FALSE)</f>
        <v>0</v>
      </c>
      <c r="N197">
        <f>VLOOKUP($A197,'Raw RTF'!$A$8:$Q$1000,'Raw RTF'!N$5,FALSE)</f>
        <v>0</v>
      </c>
      <c r="O197">
        <f>VLOOKUP($A197,'Raw RTF'!$A$8:$Q$1000,'Raw RTF'!O$5,FALSE)</f>
        <v>0</v>
      </c>
      <c r="P197">
        <f>VLOOKUP($A197,'Raw RTF'!$A$8:$Q$1000,'Raw RTF'!P$5,FALSE)</f>
        <v>0</v>
      </c>
      <c r="Q197">
        <f>VLOOKUP($A197,'Raw RTF'!$A$8:$Q$1000,'Raw RTF'!Q$5,FALSE)</f>
        <v>0</v>
      </c>
    </row>
    <row r="198" spans="1:17" ht="25.5">
      <c r="A198" t="str">
        <f t="shared" si="4"/>
        <v>Windows - Double Pane to Class 22 - Heating Zone 1 (Zonal or DHP)WINDOW CL22 Prime Window Replacement of Double Pane Base (cooling savings)</v>
      </c>
      <c r="B198" s="305" t="s">
        <v>1274</v>
      </c>
      <c r="C198" s="54" t="s">
        <v>225</v>
      </c>
      <c r="D198">
        <f>VLOOKUP($A198,'Raw RTF'!$A$8:$Q$1000,'Raw RTF'!D$5,FALSE)</f>
        <v>0.72564052496933096</v>
      </c>
      <c r="E198">
        <f>VLOOKUP($A198,'Raw RTF'!$A$8:$Q$1000,'Raw RTF'!E$5,FALSE)</f>
        <v>45</v>
      </c>
      <c r="F198">
        <f>VLOOKUP($A198,'Raw RTF'!$A$8:$Q$1000,'Raw RTF'!F$5,FALSE)</f>
        <v>0</v>
      </c>
      <c r="G198">
        <f>VLOOKUP($A198,'Raw RTF'!$A$8:$Q$1000,'Raw RTF'!G$5,FALSE)</f>
        <v>0</v>
      </c>
      <c r="H198" t="str">
        <f>VLOOKUP($A198,'Raw RTF'!$A$8:$Q$1000,'Raw RTF'!H$5,FALSE)</f>
        <v>ResCACPNW</v>
      </c>
      <c r="I198">
        <f>VLOOKUP($A198,'Raw RTF'!$A$8:$Q$1000,'Raw RTF'!I$5,FALSE)</f>
        <v>0</v>
      </c>
      <c r="J198">
        <f>VLOOKUP($A198,'Raw RTF'!$A$8:$Q$1000,'Raw RTF'!J$5,FALSE)</f>
        <v>0</v>
      </c>
      <c r="K198">
        <f>VLOOKUP($A198,'Raw RTF'!$A$8:$Q$1000,'Raw RTF'!K$5,FALSE)</f>
        <v>0</v>
      </c>
      <c r="L198">
        <f>VLOOKUP($A198,'Raw RTF'!$A$8:$Q$1000,'Raw RTF'!L$5,FALSE)</f>
        <v>0</v>
      </c>
      <c r="M198">
        <f>VLOOKUP($A198,'Raw RTF'!$A$8:$Q$1000,'Raw RTF'!M$5,FALSE)</f>
        <v>0</v>
      </c>
      <c r="N198">
        <f>VLOOKUP($A198,'Raw RTF'!$A$8:$Q$1000,'Raw RTF'!N$5,FALSE)</f>
        <v>0</v>
      </c>
      <c r="O198">
        <f>VLOOKUP($A198,'Raw RTF'!$A$8:$Q$1000,'Raw RTF'!O$5,FALSE)</f>
        <v>0</v>
      </c>
      <c r="P198">
        <f>VLOOKUP($A198,'Raw RTF'!$A$8:$Q$1000,'Raw RTF'!P$5,FALSE)</f>
        <v>0</v>
      </c>
      <c r="Q198">
        <f>VLOOKUP($A198,'Raw RTF'!$A$8:$Q$1000,'Raw RTF'!Q$5,FALSE)</f>
        <v>0</v>
      </c>
    </row>
    <row r="199" spans="1:17">
      <c r="A199" t="str">
        <f t="shared" si="4"/>
        <v>Infiltration Reduction - CFM50 reduction - Heating Zone 1 (Zonal or DHP)CFM50 Infiltration Reduction (cooling savings)</v>
      </c>
      <c r="B199" s="305" t="s">
        <v>1276</v>
      </c>
      <c r="C199" s="307" t="s">
        <v>890</v>
      </c>
      <c r="D199">
        <f>VLOOKUP($A199,'Raw RTF'!$A$8:$Q$1000,'Raw RTF'!D$5,FALSE)</f>
        <v>4.7307494565802105E-3</v>
      </c>
      <c r="E199">
        <f>VLOOKUP($A199,'Raw RTF'!$A$8:$Q$1000,'Raw RTF'!E$5,FALSE)</f>
        <v>15</v>
      </c>
      <c r="F199">
        <f>VLOOKUP($A199,'Raw RTF'!$A$8:$Q$1000,'Raw RTF'!F$5,FALSE)</f>
        <v>0</v>
      </c>
      <c r="G199">
        <f>VLOOKUP($A199,'Raw RTF'!$A$8:$Q$1000,'Raw RTF'!G$5,FALSE)</f>
        <v>0</v>
      </c>
      <c r="H199" t="str">
        <f>VLOOKUP($A199,'Raw RTF'!$A$8:$Q$1000,'Raw RTF'!H$5,FALSE)</f>
        <v>ResCACPNW</v>
      </c>
      <c r="I199">
        <f>VLOOKUP($A199,'Raw RTF'!$A$8:$Q$1000,'Raw RTF'!I$5,FALSE)</f>
        <v>0</v>
      </c>
      <c r="J199">
        <f>VLOOKUP($A199,'Raw RTF'!$A$8:$Q$1000,'Raw RTF'!J$5,FALSE)</f>
        <v>0</v>
      </c>
      <c r="K199">
        <f>VLOOKUP($A199,'Raw RTF'!$A$8:$Q$1000,'Raw RTF'!K$5,FALSE)</f>
        <v>0</v>
      </c>
      <c r="L199">
        <f>VLOOKUP($A199,'Raw RTF'!$A$8:$Q$1000,'Raw RTF'!L$5,FALSE)</f>
        <v>0</v>
      </c>
      <c r="M199">
        <f>VLOOKUP($A199,'Raw RTF'!$A$8:$Q$1000,'Raw RTF'!M$5,FALSE)</f>
        <v>0</v>
      </c>
      <c r="N199">
        <f>VLOOKUP($A199,'Raw RTF'!$A$8:$Q$1000,'Raw RTF'!N$5,FALSE)</f>
        <v>0</v>
      </c>
      <c r="O199">
        <f>VLOOKUP($A199,'Raw RTF'!$A$8:$Q$1000,'Raw RTF'!O$5,FALSE)</f>
        <v>0</v>
      </c>
      <c r="P199">
        <f>VLOOKUP($A199,'Raw RTF'!$A$8:$Q$1000,'Raw RTF'!P$5,FALSE)</f>
        <v>0</v>
      </c>
      <c r="Q199">
        <f>VLOOKUP($A199,'Raw RTF'!$A$8:$Q$1000,'Raw RTF'!Q$5,FALSE)</f>
        <v>0</v>
      </c>
    </row>
    <row r="200" spans="1:17">
      <c r="A200" t="str">
        <f t="shared" si="4"/>
        <v>Single Family Weatherization - Insulate Attic - R0 to R38 - Heating Zone 2 (Zonal or DHP)ATTIC R0 - R38 (cooling savings)</v>
      </c>
      <c r="B200" s="305" t="s">
        <v>1277</v>
      </c>
      <c r="C200" s="54" t="s">
        <v>208</v>
      </c>
      <c r="D200">
        <f>VLOOKUP($A200,'Raw RTF'!$A$8:$Q$1000,'Raw RTF'!D$5,FALSE)</f>
        <v>0.37345340793991144</v>
      </c>
      <c r="E200">
        <f>VLOOKUP($A200,'Raw RTF'!$A$8:$Q$1000,'Raw RTF'!E$5,FALSE)</f>
        <v>45</v>
      </c>
      <c r="F200">
        <f>VLOOKUP($A200,'Raw RTF'!$A$8:$Q$1000,'Raw RTF'!F$5,FALSE)</f>
        <v>0</v>
      </c>
      <c r="G200">
        <f>VLOOKUP($A200,'Raw RTF'!$A$8:$Q$1000,'Raw RTF'!G$5,FALSE)</f>
        <v>0</v>
      </c>
      <c r="H200" t="str">
        <f>VLOOKUP($A200,'Raw RTF'!$A$8:$Q$1000,'Raw RTF'!H$5,FALSE)</f>
        <v>ResCACPNW</v>
      </c>
      <c r="I200">
        <f>VLOOKUP($A200,'Raw RTF'!$A$8:$Q$1000,'Raw RTF'!I$5,FALSE)</f>
        <v>0</v>
      </c>
      <c r="J200">
        <f>VLOOKUP($A200,'Raw RTF'!$A$8:$Q$1000,'Raw RTF'!J$5,FALSE)</f>
        <v>0</v>
      </c>
      <c r="K200">
        <f>VLOOKUP($A200,'Raw RTF'!$A$8:$Q$1000,'Raw RTF'!K$5,FALSE)</f>
        <v>0</v>
      </c>
      <c r="L200">
        <f>VLOOKUP($A200,'Raw RTF'!$A$8:$Q$1000,'Raw RTF'!L$5,FALSE)</f>
        <v>0</v>
      </c>
      <c r="M200">
        <f>VLOOKUP($A200,'Raw RTF'!$A$8:$Q$1000,'Raw RTF'!M$5,FALSE)</f>
        <v>0</v>
      </c>
      <c r="N200">
        <f>VLOOKUP($A200,'Raw RTF'!$A$8:$Q$1000,'Raw RTF'!N$5,FALSE)</f>
        <v>0</v>
      </c>
      <c r="O200">
        <f>VLOOKUP($A200,'Raw RTF'!$A$8:$Q$1000,'Raw RTF'!O$5,FALSE)</f>
        <v>0</v>
      </c>
      <c r="P200">
        <f>VLOOKUP($A200,'Raw RTF'!$A$8:$Q$1000,'Raw RTF'!P$5,FALSE)</f>
        <v>0</v>
      </c>
      <c r="Q200">
        <f>VLOOKUP($A200,'Raw RTF'!$A$8:$Q$1000,'Raw RTF'!Q$5,FALSE)</f>
        <v>0</v>
      </c>
    </row>
    <row r="201" spans="1:17">
      <c r="A201" t="str">
        <f t="shared" si="4"/>
        <v>Single Family Weatherization - Insulate Attic - R0 to R49 - Heating Zone 2 (Zonal or DHP)ATTIC R0 - R49 (cooling savings)</v>
      </c>
      <c r="B201" s="305" t="s">
        <v>1278</v>
      </c>
      <c r="C201" s="54" t="s">
        <v>210</v>
      </c>
      <c r="D201">
        <f>VLOOKUP($A201,'Raw RTF'!$A$8:$Q$1000,'Raw RTF'!D$5,FALSE)</f>
        <v>0.37782530151552074</v>
      </c>
      <c r="E201">
        <f>VLOOKUP($A201,'Raw RTF'!$A$8:$Q$1000,'Raw RTF'!E$5,FALSE)</f>
        <v>45</v>
      </c>
      <c r="F201">
        <f>VLOOKUP($A201,'Raw RTF'!$A$8:$Q$1000,'Raw RTF'!F$5,FALSE)</f>
        <v>0</v>
      </c>
      <c r="G201">
        <f>VLOOKUP($A201,'Raw RTF'!$A$8:$Q$1000,'Raw RTF'!G$5,FALSE)</f>
        <v>0</v>
      </c>
      <c r="H201" t="str">
        <f>VLOOKUP($A201,'Raw RTF'!$A$8:$Q$1000,'Raw RTF'!H$5,FALSE)</f>
        <v>ResCACPNW</v>
      </c>
      <c r="I201">
        <f>VLOOKUP($A201,'Raw RTF'!$A$8:$Q$1000,'Raw RTF'!I$5,FALSE)</f>
        <v>0</v>
      </c>
      <c r="J201">
        <f>VLOOKUP($A201,'Raw RTF'!$A$8:$Q$1000,'Raw RTF'!J$5,FALSE)</f>
        <v>0</v>
      </c>
      <c r="K201">
        <f>VLOOKUP($A201,'Raw RTF'!$A$8:$Q$1000,'Raw RTF'!K$5,FALSE)</f>
        <v>0</v>
      </c>
      <c r="L201">
        <f>VLOOKUP($A201,'Raw RTF'!$A$8:$Q$1000,'Raw RTF'!L$5,FALSE)</f>
        <v>0</v>
      </c>
      <c r="M201">
        <f>VLOOKUP($A201,'Raw RTF'!$A$8:$Q$1000,'Raw RTF'!M$5,FALSE)</f>
        <v>0</v>
      </c>
      <c r="N201">
        <f>VLOOKUP($A201,'Raw RTF'!$A$8:$Q$1000,'Raw RTF'!N$5,FALSE)</f>
        <v>0</v>
      </c>
      <c r="O201">
        <f>VLOOKUP($A201,'Raw RTF'!$A$8:$Q$1000,'Raw RTF'!O$5,FALSE)</f>
        <v>0</v>
      </c>
      <c r="P201">
        <f>VLOOKUP($A201,'Raw RTF'!$A$8:$Q$1000,'Raw RTF'!P$5,FALSE)</f>
        <v>0</v>
      </c>
      <c r="Q201">
        <f>VLOOKUP($A201,'Raw RTF'!$A$8:$Q$1000,'Raw RTF'!Q$5,FALSE)</f>
        <v>0</v>
      </c>
    </row>
    <row r="202" spans="1:17">
      <c r="A202" t="str">
        <f t="shared" si="4"/>
        <v>Single Family Weatherization - Insulate Attic - R11 to R38 - Heating Zone 2 (Zonal or DHP)ATTIC R11 - R38 (cooling savings)</v>
      </c>
      <c r="B202" s="305" t="s">
        <v>1279</v>
      </c>
      <c r="C202" s="54" t="s">
        <v>211</v>
      </c>
      <c r="D202">
        <f>VLOOKUP($A202,'Raw RTF'!$A$8:$Q$1000,'Raw RTF'!D$5,FALSE)</f>
        <v>5.3270259056276102E-2</v>
      </c>
      <c r="E202">
        <f>VLOOKUP($A202,'Raw RTF'!$A$8:$Q$1000,'Raw RTF'!E$5,FALSE)</f>
        <v>45</v>
      </c>
      <c r="F202">
        <f>VLOOKUP($A202,'Raw RTF'!$A$8:$Q$1000,'Raw RTF'!F$5,FALSE)</f>
        <v>0</v>
      </c>
      <c r="G202">
        <f>VLOOKUP($A202,'Raw RTF'!$A$8:$Q$1000,'Raw RTF'!G$5,FALSE)</f>
        <v>0</v>
      </c>
      <c r="H202" t="str">
        <f>VLOOKUP($A202,'Raw RTF'!$A$8:$Q$1000,'Raw RTF'!H$5,FALSE)</f>
        <v>ResCACPNW</v>
      </c>
      <c r="I202">
        <f>VLOOKUP($A202,'Raw RTF'!$A$8:$Q$1000,'Raw RTF'!I$5,FALSE)</f>
        <v>0</v>
      </c>
      <c r="J202">
        <f>VLOOKUP($A202,'Raw RTF'!$A$8:$Q$1000,'Raw RTF'!J$5,FALSE)</f>
        <v>0</v>
      </c>
      <c r="K202">
        <f>VLOOKUP($A202,'Raw RTF'!$A$8:$Q$1000,'Raw RTF'!K$5,FALSE)</f>
        <v>0</v>
      </c>
      <c r="L202">
        <f>VLOOKUP($A202,'Raw RTF'!$A$8:$Q$1000,'Raw RTF'!L$5,FALSE)</f>
        <v>0</v>
      </c>
      <c r="M202">
        <f>VLOOKUP($A202,'Raw RTF'!$A$8:$Q$1000,'Raw RTF'!M$5,FALSE)</f>
        <v>0</v>
      </c>
      <c r="N202">
        <f>VLOOKUP($A202,'Raw RTF'!$A$8:$Q$1000,'Raw RTF'!N$5,FALSE)</f>
        <v>0</v>
      </c>
      <c r="O202">
        <f>VLOOKUP($A202,'Raw RTF'!$A$8:$Q$1000,'Raw RTF'!O$5,FALSE)</f>
        <v>0</v>
      </c>
      <c r="P202">
        <f>VLOOKUP($A202,'Raw RTF'!$A$8:$Q$1000,'Raw RTF'!P$5,FALSE)</f>
        <v>0</v>
      </c>
      <c r="Q202">
        <f>VLOOKUP($A202,'Raw RTF'!$A$8:$Q$1000,'Raw RTF'!Q$5,FALSE)</f>
        <v>0</v>
      </c>
    </row>
    <row r="203" spans="1:17">
      <c r="A203" t="str">
        <f t="shared" si="4"/>
        <v>Single Family Weatherization - Insulate Attic - R11 to R49 - Heating Zone 2 (Zonal or DHP)ATTIC R11 - R49 (cooling savings)</v>
      </c>
      <c r="B203" s="305" t="s">
        <v>1280</v>
      </c>
      <c r="C203" s="54" t="s">
        <v>212</v>
      </c>
      <c r="D203">
        <f>VLOOKUP($A203,'Raw RTF'!$A$8:$Q$1000,'Raw RTF'!D$5,FALSE)</f>
        <v>5.7642152631885407E-2</v>
      </c>
      <c r="E203">
        <f>VLOOKUP($A203,'Raw RTF'!$A$8:$Q$1000,'Raw RTF'!E$5,FALSE)</f>
        <v>45</v>
      </c>
      <c r="F203">
        <f>VLOOKUP($A203,'Raw RTF'!$A$8:$Q$1000,'Raw RTF'!F$5,FALSE)</f>
        <v>0</v>
      </c>
      <c r="G203">
        <f>VLOOKUP($A203,'Raw RTF'!$A$8:$Q$1000,'Raw RTF'!G$5,FALSE)</f>
        <v>0</v>
      </c>
      <c r="H203" t="str">
        <f>VLOOKUP($A203,'Raw RTF'!$A$8:$Q$1000,'Raw RTF'!H$5,FALSE)</f>
        <v>ResCACPNW</v>
      </c>
      <c r="I203">
        <f>VLOOKUP($A203,'Raw RTF'!$A$8:$Q$1000,'Raw RTF'!I$5,FALSE)</f>
        <v>0</v>
      </c>
      <c r="J203">
        <f>VLOOKUP($A203,'Raw RTF'!$A$8:$Q$1000,'Raw RTF'!J$5,FALSE)</f>
        <v>0</v>
      </c>
      <c r="K203">
        <f>VLOOKUP($A203,'Raw RTF'!$A$8:$Q$1000,'Raw RTF'!K$5,FALSE)</f>
        <v>0</v>
      </c>
      <c r="L203">
        <f>VLOOKUP($A203,'Raw RTF'!$A$8:$Q$1000,'Raw RTF'!L$5,FALSE)</f>
        <v>0</v>
      </c>
      <c r="M203">
        <f>VLOOKUP($A203,'Raw RTF'!$A$8:$Q$1000,'Raw RTF'!M$5,FALSE)</f>
        <v>0</v>
      </c>
      <c r="N203">
        <f>VLOOKUP($A203,'Raw RTF'!$A$8:$Q$1000,'Raw RTF'!N$5,FALSE)</f>
        <v>0</v>
      </c>
      <c r="O203">
        <f>VLOOKUP($A203,'Raw RTF'!$A$8:$Q$1000,'Raw RTF'!O$5,FALSE)</f>
        <v>0</v>
      </c>
      <c r="P203">
        <f>VLOOKUP($A203,'Raw RTF'!$A$8:$Q$1000,'Raw RTF'!P$5,FALSE)</f>
        <v>0</v>
      </c>
      <c r="Q203">
        <f>VLOOKUP($A203,'Raw RTF'!$A$8:$Q$1000,'Raw RTF'!Q$5,FALSE)</f>
        <v>0</v>
      </c>
    </row>
    <row r="204" spans="1:17">
      <c r="A204" t="str">
        <f t="shared" si="4"/>
        <v>Single Family Weatherization - Insulate Attic - R19 to R38 - Heating Zone 2 (Zonal or DHP)ATTIC R19 - R38 (cooling savings)</v>
      </c>
      <c r="B204" s="305" t="s">
        <v>1281</v>
      </c>
      <c r="C204" s="54" t="s">
        <v>213</v>
      </c>
      <c r="D204">
        <f>VLOOKUP($A204,'Raw RTF'!$A$8:$Q$1000,'Raw RTF'!D$5,FALSE)</f>
        <v>2.1678722560598451E-2</v>
      </c>
      <c r="E204">
        <f>VLOOKUP($A204,'Raw RTF'!$A$8:$Q$1000,'Raw RTF'!E$5,FALSE)</f>
        <v>45</v>
      </c>
      <c r="F204">
        <f>VLOOKUP($A204,'Raw RTF'!$A$8:$Q$1000,'Raw RTF'!F$5,FALSE)</f>
        <v>0</v>
      </c>
      <c r="G204">
        <f>VLOOKUP($A204,'Raw RTF'!$A$8:$Q$1000,'Raw RTF'!G$5,FALSE)</f>
        <v>0</v>
      </c>
      <c r="H204" t="str">
        <f>VLOOKUP($A204,'Raw RTF'!$A$8:$Q$1000,'Raw RTF'!H$5,FALSE)</f>
        <v>ResCACPNW</v>
      </c>
      <c r="I204">
        <f>VLOOKUP($A204,'Raw RTF'!$A$8:$Q$1000,'Raw RTF'!I$5,FALSE)</f>
        <v>0</v>
      </c>
      <c r="J204">
        <f>VLOOKUP($A204,'Raw RTF'!$A$8:$Q$1000,'Raw RTF'!J$5,FALSE)</f>
        <v>0</v>
      </c>
      <c r="K204">
        <f>VLOOKUP($A204,'Raw RTF'!$A$8:$Q$1000,'Raw RTF'!K$5,FALSE)</f>
        <v>0</v>
      </c>
      <c r="L204">
        <f>VLOOKUP($A204,'Raw RTF'!$A$8:$Q$1000,'Raw RTF'!L$5,FALSE)</f>
        <v>0</v>
      </c>
      <c r="M204">
        <f>VLOOKUP($A204,'Raw RTF'!$A$8:$Q$1000,'Raw RTF'!M$5,FALSE)</f>
        <v>0</v>
      </c>
      <c r="N204">
        <f>VLOOKUP($A204,'Raw RTF'!$A$8:$Q$1000,'Raw RTF'!N$5,FALSE)</f>
        <v>0</v>
      </c>
      <c r="O204">
        <f>VLOOKUP($A204,'Raw RTF'!$A$8:$Q$1000,'Raw RTF'!O$5,FALSE)</f>
        <v>0</v>
      </c>
      <c r="P204">
        <f>VLOOKUP($A204,'Raw RTF'!$A$8:$Q$1000,'Raw RTF'!P$5,FALSE)</f>
        <v>0</v>
      </c>
      <c r="Q204">
        <f>VLOOKUP($A204,'Raw RTF'!$A$8:$Q$1000,'Raw RTF'!Q$5,FALSE)</f>
        <v>0</v>
      </c>
    </row>
    <row r="205" spans="1:17">
      <c r="A205" t="str">
        <f t="shared" si="4"/>
        <v>Single Family Weatherization - Insulate Attic - R19 to R49 - Heating Zone 2 (Zonal or DHP)ATTIC R19 - R49 (cooling savings)</v>
      </c>
      <c r="B205" s="305" t="s">
        <v>1282</v>
      </c>
      <c r="C205" s="54" t="s">
        <v>214</v>
      </c>
      <c r="D205">
        <f>VLOOKUP($A205,'Raw RTF'!$A$8:$Q$1000,'Raw RTF'!D$5,FALSE)</f>
        <v>2.6050616136207759E-2</v>
      </c>
      <c r="E205">
        <f>VLOOKUP($A205,'Raw RTF'!$A$8:$Q$1000,'Raw RTF'!E$5,FALSE)</f>
        <v>45</v>
      </c>
      <c r="F205">
        <f>VLOOKUP($A205,'Raw RTF'!$A$8:$Q$1000,'Raw RTF'!F$5,FALSE)</f>
        <v>0</v>
      </c>
      <c r="G205">
        <f>VLOOKUP($A205,'Raw RTF'!$A$8:$Q$1000,'Raw RTF'!G$5,FALSE)</f>
        <v>0</v>
      </c>
      <c r="H205" t="str">
        <f>VLOOKUP($A205,'Raw RTF'!$A$8:$Q$1000,'Raw RTF'!H$5,FALSE)</f>
        <v>ResCACPNW</v>
      </c>
      <c r="I205">
        <f>VLOOKUP($A205,'Raw RTF'!$A$8:$Q$1000,'Raw RTF'!I$5,FALSE)</f>
        <v>0</v>
      </c>
      <c r="J205">
        <f>VLOOKUP($A205,'Raw RTF'!$A$8:$Q$1000,'Raw RTF'!J$5,FALSE)</f>
        <v>0</v>
      </c>
      <c r="K205">
        <f>VLOOKUP($A205,'Raw RTF'!$A$8:$Q$1000,'Raw RTF'!K$5,FALSE)</f>
        <v>0</v>
      </c>
      <c r="L205">
        <f>VLOOKUP($A205,'Raw RTF'!$A$8:$Q$1000,'Raw RTF'!L$5,FALSE)</f>
        <v>0</v>
      </c>
      <c r="M205">
        <f>VLOOKUP($A205,'Raw RTF'!$A$8:$Q$1000,'Raw RTF'!M$5,FALSE)</f>
        <v>0</v>
      </c>
      <c r="N205">
        <f>VLOOKUP($A205,'Raw RTF'!$A$8:$Q$1000,'Raw RTF'!N$5,FALSE)</f>
        <v>0</v>
      </c>
      <c r="O205">
        <f>VLOOKUP($A205,'Raw RTF'!$A$8:$Q$1000,'Raw RTF'!O$5,FALSE)</f>
        <v>0</v>
      </c>
      <c r="P205">
        <f>VLOOKUP($A205,'Raw RTF'!$A$8:$Q$1000,'Raw RTF'!P$5,FALSE)</f>
        <v>0</v>
      </c>
      <c r="Q205">
        <f>VLOOKUP($A205,'Raw RTF'!$A$8:$Q$1000,'Raw RTF'!Q$5,FALSE)</f>
        <v>0</v>
      </c>
    </row>
    <row r="206" spans="1:17">
      <c r="A206" t="str">
        <f t="shared" si="4"/>
        <v>Single Family Weatherization - Insulate Wall - R0 to R11 - Heating Zone 2 (Zonal or DHP)WALL R0 - R11 (cooling savings)</v>
      </c>
      <c r="B206" s="305" t="s">
        <v>1286</v>
      </c>
      <c r="C206" s="54" t="s">
        <v>217</v>
      </c>
      <c r="D206">
        <f>VLOOKUP($A206,'Raw RTF'!$A$8:$Q$1000,'Raw RTF'!D$5,FALSE)</f>
        <v>4.8770650700128849E-2</v>
      </c>
      <c r="E206">
        <f>VLOOKUP($A206,'Raw RTF'!$A$8:$Q$1000,'Raw RTF'!E$5,FALSE)</f>
        <v>45</v>
      </c>
      <c r="F206">
        <f>VLOOKUP($A206,'Raw RTF'!$A$8:$Q$1000,'Raw RTF'!F$5,FALSE)</f>
        <v>0</v>
      </c>
      <c r="G206">
        <f>VLOOKUP($A206,'Raw RTF'!$A$8:$Q$1000,'Raw RTF'!G$5,FALSE)</f>
        <v>0</v>
      </c>
      <c r="H206" t="str">
        <f>VLOOKUP($A206,'Raw RTF'!$A$8:$Q$1000,'Raw RTF'!H$5,FALSE)</f>
        <v>ResCACPNW</v>
      </c>
      <c r="I206">
        <f>VLOOKUP($A206,'Raw RTF'!$A$8:$Q$1000,'Raw RTF'!I$5,FALSE)</f>
        <v>0</v>
      </c>
      <c r="J206">
        <f>VLOOKUP($A206,'Raw RTF'!$A$8:$Q$1000,'Raw RTF'!J$5,FALSE)</f>
        <v>0</v>
      </c>
      <c r="K206">
        <f>VLOOKUP($A206,'Raw RTF'!$A$8:$Q$1000,'Raw RTF'!K$5,FALSE)</f>
        <v>0</v>
      </c>
      <c r="L206">
        <f>VLOOKUP($A206,'Raw RTF'!$A$8:$Q$1000,'Raw RTF'!L$5,FALSE)</f>
        <v>0</v>
      </c>
      <c r="M206">
        <f>VLOOKUP($A206,'Raw RTF'!$A$8:$Q$1000,'Raw RTF'!M$5,FALSE)</f>
        <v>0</v>
      </c>
      <c r="N206">
        <f>VLOOKUP($A206,'Raw RTF'!$A$8:$Q$1000,'Raw RTF'!N$5,FALSE)</f>
        <v>0</v>
      </c>
      <c r="O206">
        <f>VLOOKUP($A206,'Raw RTF'!$A$8:$Q$1000,'Raw RTF'!O$5,FALSE)</f>
        <v>0</v>
      </c>
      <c r="P206">
        <f>VLOOKUP($A206,'Raw RTF'!$A$8:$Q$1000,'Raw RTF'!P$5,FALSE)</f>
        <v>0</v>
      </c>
      <c r="Q206">
        <f>VLOOKUP($A206,'Raw RTF'!$A$8:$Q$1000,'Raw RTF'!Q$5,FALSE)</f>
        <v>0</v>
      </c>
    </row>
    <row r="207" spans="1:17">
      <c r="A207" t="str">
        <f t="shared" si="4"/>
        <v>Single Family Weatherization - Insulate Floor - R0 to R19 - Heating Zone 2 (Zonal or DHP)FLOOR R0 - R19 (cooling savings)</v>
      </c>
      <c r="B207" s="305" t="s">
        <v>1287</v>
      </c>
      <c r="C207" s="54" t="s">
        <v>218</v>
      </c>
      <c r="D207">
        <f>VLOOKUP($A207,'Raw RTF'!$A$8:$Q$1000,'Raw RTF'!D$5,FALSE)</f>
        <v>-5.5540430481118133E-2</v>
      </c>
      <c r="E207">
        <f>VLOOKUP($A207,'Raw RTF'!$A$8:$Q$1000,'Raw RTF'!E$5,FALSE)</f>
        <v>45</v>
      </c>
      <c r="F207">
        <f>VLOOKUP($A207,'Raw RTF'!$A$8:$Q$1000,'Raw RTF'!F$5,FALSE)</f>
        <v>0</v>
      </c>
      <c r="G207">
        <f>VLOOKUP($A207,'Raw RTF'!$A$8:$Q$1000,'Raw RTF'!G$5,FALSE)</f>
        <v>0</v>
      </c>
      <c r="H207" t="str">
        <f>VLOOKUP($A207,'Raw RTF'!$A$8:$Q$1000,'Raw RTF'!H$5,FALSE)</f>
        <v>ResCACPNW</v>
      </c>
      <c r="I207">
        <f>VLOOKUP($A207,'Raw RTF'!$A$8:$Q$1000,'Raw RTF'!I$5,FALSE)</f>
        <v>0</v>
      </c>
      <c r="J207">
        <f>VLOOKUP($A207,'Raw RTF'!$A$8:$Q$1000,'Raw RTF'!J$5,FALSE)</f>
        <v>0</v>
      </c>
      <c r="K207">
        <f>VLOOKUP($A207,'Raw RTF'!$A$8:$Q$1000,'Raw RTF'!K$5,FALSE)</f>
        <v>0</v>
      </c>
      <c r="L207">
        <f>VLOOKUP($A207,'Raw RTF'!$A$8:$Q$1000,'Raw RTF'!L$5,FALSE)</f>
        <v>0</v>
      </c>
      <c r="M207">
        <f>VLOOKUP($A207,'Raw RTF'!$A$8:$Q$1000,'Raw RTF'!M$5,FALSE)</f>
        <v>0</v>
      </c>
      <c r="N207">
        <f>VLOOKUP($A207,'Raw RTF'!$A$8:$Q$1000,'Raw RTF'!N$5,FALSE)</f>
        <v>0</v>
      </c>
      <c r="O207">
        <f>VLOOKUP($A207,'Raw RTF'!$A$8:$Q$1000,'Raw RTF'!O$5,FALSE)</f>
        <v>0</v>
      </c>
      <c r="P207">
        <f>VLOOKUP($A207,'Raw RTF'!$A$8:$Q$1000,'Raw RTF'!P$5,FALSE)</f>
        <v>0</v>
      </c>
      <c r="Q207">
        <f>VLOOKUP($A207,'Raw RTF'!$A$8:$Q$1000,'Raw RTF'!Q$5,FALSE)</f>
        <v>0</v>
      </c>
    </row>
    <row r="208" spans="1:17">
      <c r="A208" t="str">
        <f t="shared" si="4"/>
        <v>Single Family Weatherization - Insulate Floor - R0 to R25 - Heating Zone 2 (Zonal or DHP)FLOOR R0 - R25 (cooling savings)</v>
      </c>
      <c r="B208" s="305" t="s">
        <v>1288</v>
      </c>
      <c r="C208" s="54" t="s">
        <v>219</v>
      </c>
      <c r="D208">
        <f>VLOOKUP($A208,'Raw RTF'!$A$8:$Q$1000,'Raw RTF'!D$5,FALSE)</f>
        <v>-6.1644971859573856E-2</v>
      </c>
      <c r="E208">
        <f>VLOOKUP($A208,'Raw RTF'!$A$8:$Q$1000,'Raw RTF'!E$5,FALSE)</f>
        <v>45</v>
      </c>
      <c r="F208">
        <f>VLOOKUP($A208,'Raw RTF'!$A$8:$Q$1000,'Raw RTF'!F$5,FALSE)</f>
        <v>0</v>
      </c>
      <c r="G208">
        <f>VLOOKUP($A208,'Raw RTF'!$A$8:$Q$1000,'Raw RTF'!G$5,FALSE)</f>
        <v>0</v>
      </c>
      <c r="H208" t="str">
        <f>VLOOKUP($A208,'Raw RTF'!$A$8:$Q$1000,'Raw RTF'!H$5,FALSE)</f>
        <v>ResCACPNW</v>
      </c>
      <c r="I208">
        <f>VLOOKUP($A208,'Raw RTF'!$A$8:$Q$1000,'Raw RTF'!I$5,FALSE)</f>
        <v>0</v>
      </c>
      <c r="J208">
        <f>VLOOKUP($A208,'Raw RTF'!$A$8:$Q$1000,'Raw RTF'!J$5,FALSE)</f>
        <v>0</v>
      </c>
      <c r="K208">
        <f>VLOOKUP($A208,'Raw RTF'!$A$8:$Q$1000,'Raw RTF'!K$5,FALSE)</f>
        <v>0</v>
      </c>
      <c r="L208">
        <f>VLOOKUP($A208,'Raw RTF'!$A$8:$Q$1000,'Raw RTF'!L$5,FALSE)</f>
        <v>0</v>
      </c>
      <c r="M208">
        <f>VLOOKUP($A208,'Raw RTF'!$A$8:$Q$1000,'Raw RTF'!M$5,FALSE)</f>
        <v>0</v>
      </c>
      <c r="N208">
        <f>VLOOKUP($A208,'Raw RTF'!$A$8:$Q$1000,'Raw RTF'!N$5,FALSE)</f>
        <v>0</v>
      </c>
      <c r="O208">
        <f>VLOOKUP($A208,'Raw RTF'!$A$8:$Q$1000,'Raw RTF'!O$5,FALSE)</f>
        <v>0</v>
      </c>
      <c r="P208">
        <f>VLOOKUP($A208,'Raw RTF'!$A$8:$Q$1000,'Raw RTF'!P$5,FALSE)</f>
        <v>0</v>
      </c>
      <c r="Q208">
        <f>VLOOKUP($A208,'Raw RTF'!$A$8:$Q$1000,'Raw RTF'!Q$5,FALSE)</f>
        <v>0</v>
      </c>
    </row>
    <row r="209" spans="1:17">
      <c r="A209" t="str">
        <f t="shared" si="4"/>
        <v>Single Family Weatherization - Insulate Floor - R0 to R30 - Heating Zone 2 (Zonal or DHP)FLOOR R0 - R30 (cooling savings)</v>
      </c>
      <c r="B209" s="305" t="s">
        <v>1289</v>
      </c>
      <c r="C209" s="54" t="s">
        <v>220</v>
      </c>
      <c r="D209">
        <f>VLOOKUP($A209,'Raw RTF'!$A$8:$Q$1000,'Raw RTF'!D$5,FALSE)</f>
        <v>-6.5625181635223254E-2</v>
      </c>
      <c r="E209">
        <f>VLOOKUP($A209,'Raw RTF'!$A$8:$Q$1000,'Raw RTF'!E$5,FALSE)</f>
        <v>45</v>
      </c>
      <c r="F209">
        <f>VLOOKUP($A209,'Raw RTF'!$A$8:$Q$1000,'Raw RTF'!F$5,FALSE)</f>
        <v>0</v>
      </c>
      <c r="G209">
        <f>VLOOKUP($A209,'Raw RTF'!$A$8:$Q$1000,'Raw RTF'!G$5,FALSE)</f>
        <v>0</v>
      </c>
      <c r="H209" t="str">
        <f>VLOOKUP($A209,'Raw RTF'!$A$8:$Q$1000,'Raw RTF'!H$5,FALSE)</f>
        <v>ResCACPNW</v>
      </c>
      <c r="I209">
        <f>VLOOKUP($A209,'Raw RTF'!$A$8:$Q$1000,'Raw RTF'!I$5,FALSE)</f>
        <v>0</v>
      </c>
      <c r="J209">
        <f>VLOOKUP($A209,'Raw RTF'!$A$8:$Q$1000,'Raw RTF'!J$5,FALSE)</f>
        <v>0</v>
      </c>
      <c r="K209">
        <f>VLOOKUP($A209,'Raw RTF'!$A$8:$Q$1000,'Raw RTF'!K$5,FALSE)</f>
        <v>0</v>
      </c>
      <c r="L209">
        <f>VLOOKUP($A209,'Raw RTF'!$A$8:$Q$1000,'Raw RTF'!L$5,FALSE)</f>
        <v>0</v>
      </c>
      <c r="M209">
        <f>VLOOKUP($A209,'Raw RTF'!$A$8:$Q$1000,'Raw RTF'!M$5,FALSE)</f>
        <v>0</v>
      </c>
      <c r="N209">
        <f>VLOOKUP($A209,'Raw RTF'!$A$8:$Q$1000,'Raw RTF'!N$5,FALSE)</f>
        <v>0</v>
      </c>
      <c r="O209">
        <f>VLOOKUP($A209,'Raw RTF'!$A$8:$Q$1000,'Raw RTF'!O$5,FALSE)</f>
        <v>0</v>
      </c>
      <c r="P209">
        <f>VLOOKUP($A209,'Raw RTF'!$A$8:$Q$1000,'Raw RTF'!P$5,FALSE)</f>
        <v>0</v>
      </c>
      <c r="Q209">
        <f>VLOOKUP($A209,'Raw RTF'!$A$8:$Q$1000,'Raw RTF'!Q$5,FALSE)</f>
        <v>0</v>
      </c>
    </row>
    <row r="210" spans="1:17" ht="25.5">
      <c r="A210" t="str">
        <f t="shared" si="4"/>
        <v>Windows - Single Pane to Class 30 - Heating Zone 2 (Zonal or DHP)WINDOW CL30 Prime Window Replacement of Single Pane Base (cooling savings)</v>
      </c>
      <c r="B210" s="305" t="s">
        <v>1291</v>
      </c>
      <c r="C210" s="54" t="s">
        <v>221</v>
      </c>
      <c r="D210">
        <f>VLOOKUP($A210,'Raw RTF'!$A$8:$Q$1000,'Raw RTF'!D$5,FALSE)</f>
        <v>0.92403257127633043</v>
      </c>
      <c r="E210">
        <f>VLOOKUP($A210,'Raw RTF'!$A$8:$Q$1000,'Raw RTF'!E$5,FALSE)</f>
        <v>45</v>
      </c>
      <c r="F210">
        <f>VLOOKUP($A210,'Raw RTF'!$A$8:$Q$1000,'Raw RTF'!F$5,FALSE)</f>
        <v>0</v>
      </c>
      <c r="G210">
        <f>VLOOKUP($A210,'Raw RTF'!$A$8:$Q$1000,'Raw RTF'!G$5,FALSE)</f>
        <v>0</v>
      </c>
      <c r="H210" t="str">
        <f>VLOOKUP($A210,'Raw RTF'!$A$8:$Q$1000,'Raw RTF'!H$5,FALSE)</f>
        <v>ResCACPNW</v>
      </c>
      <c r="I210">
        <f>VLOOKUP($A210,'Raw RTF'!$A$8:$Q$1000,'Raw RTF'!I$5,FALSE)</f>
        <v>0</v>
      </c>
      <c r="J210">
        <f>VLOOKUP($A210,'Raw RTF'!$A$8:$Q$1000,'Raw RTF'!J$5,FALSE)</f>
        <v>0</v>
      </c>
      <c r="K210">
        <f>VLOOKUP($A210,'Raw RTF'!$A$8:$Q$1000,'Raw RTF'!K$5,FALSE)</f>
        <v>0</v>
      </c>
      <c r="L210">
        <f>VLOOKUP($A210,'Raw RTF'!$A$8:$Q$1000,'Raw RTF'!L$5,FALSE)</f>
        <v>0</v>
      </c>
      <c r="M210">
        <f>VLOOKUP($A210,'Raw RTF'!$A$8:$Q$1000,'Raw RTF'!M$5,FALSE)</f>
        <v>0</v>
      </c>
      <c r="N210">
        <f>VLOOKUP($A210,'Raw RTF'!$A$8:$Q$1000,'Raw RTF'!N$5,FALSE)</f>
        <v>0</v>
      </c>
      <c r="O210">
        <f>VLOOKUP($A210,'Raw RTF'!$A$8:$Q$1000,'Raw RTF'!O$5,FALSE)</f>
        <v>0</v>
      </c>
      <c r="P210">
        <f>VLOOKUP($A210,'Raw RTF'!$A$8:$Q$1000,'Raw RTF'!P$5,FALSE)</f>
        <v>0</v>
      </c>
      <c r="Q210">
        <f>VLOOKUP($A210,'Raw RTF'!$A$8:$Q$1000,'Raw RTF'!Q$5,FALSE)</f>
        <v>0</v>
      </c>
    </row>
    <row r="211" spans="1:17" ht="25.5">
      <c r="A211" t="str">
        <f t="shared" si="4"/>
        <v>Windows - Double Pane to Class 30 - Heating Zone 2 (Zonal or DHP)WINDOW CL30 Prime Window Replacement of Double Pane Base (cooling savings)</v>
      </c>
      <c r="B211" s="305" t="s">
        <v>1292</v>
      </c>
      <c r="C211" s="54" t="s">
        <v>222</v>
      </c>
      <c r="D211">
        <f>VLOOKUP($A211,'Raw RTF'!$A$8:$Q$1000,'Raw RTF'!D$5,FALSE)</f>
        <v>1.1566208090688392</v>
      </c>
      <c r="E211">
        <f>VLOOKUP($A211,'Raw RTF'!$A$8:$Q$1000,'Raw RTF'!E$5,FALSE)</f>
        <v>45</v>
      </c>
      <c r="F211">
        <f>VLOOKUP($A211,'Raw RTF'!$A$8:$Q$1000,'Raw RTF'!F$5,FALSE)</f>
        <v>0</v>
      </c>
      <c r="G211">
        <f>VLOOKUP($A211,'Raw RTF'!$A$8:$Q$1000,'Raw RTF'!G$5,FALSE)</f>
        <v>0</v>
      </c>
      <c r="H211" t="str">
        <f>VLOOKUP($A211,'Raw RTF'!$A$8:$Q$1000,'Raw RTF'!H$5,FALSE)</f>
        <v>ResCACPNW</v>
      </c>
      <c r="I211">
        <f>VLOOKUP($A211,'Raw RTF'!$A$8:$Q$1000,'Raw RTF'!I$5,FALSE)</f>
        <v>0</v>
      </c>
      <c r="J211">
        <f>VLOOKUP($A211,'Raw RTF'!$A$8:$Q$1000,'Raw RTF'!J$5,FALSE)</f>
        <v>0</v>
      </c>
      <c r="K211">
        <f>VLOOKUP($A211,'Raw RTF'!$A$8:$Q$1000,'Raw RTF'!K$5,FALSE)</f>
        <v>0</v>
      </c>
      <c r="L211">
        <f>VLOOKUP($A211,'Raw RTF'!$A$8:$Q$1000,'Raw RTF'!L$5,FALSE)</f>
        <v>0</v>
      </c>
      <c r="M211">
        <f>VLOOKUP($A211,'Raw RTF'!$A$8:$Q$1000,'Raw RTF'!M$5,FALSE)</f>
        <v>0</v>
      </c>
      <c r="N211">
        <f>VLOOKUP($A211,'Raw RTF'!$A$8:$Q$1000,'Raw RTF'!N$5,FALSE)</f>
        <v>0</v>
      </c>
      <c r="O211">
        <f>VLOOKUP($A211,'Raw RTF'!$A$8:$Q$1000,'Raw RTF'!O$5,FALSE)</f>
        <v>0</v>
      </c>
      <c r="P211">
        <f>VLOOKUP($A211,'Raw RTF'!$A$8:$Q$1000,'Raw RTF'!P$5,FALSE)</f>
        <v>0</v>
      </c>
      <c r="Q211">
        <f>VLOOKUP($A211,'Raw RTF'!$A$8:$Q$1000,'Raw RTF'!Q$5,FALSE)</f>
        <v>0</v>
      </c>
    </row>
    <row r="212" spans="1:17" ht="25.5">
      <c r="A212" t="str">
        <f t="shared" si="4"/>
        <v>Windows - Single Pane to Class 22 - Heating Zone 2 (Zonal or DHP)WINDOW CL22 Prime Window Replacement of Single Pane Base (cooling savings)</v>
      </c>
      <c r="B212" s="305" t="s">
        <v>1294</v>
      </c>
      <c r="C212" s="54" t="s">
        <v>224</v>
      </c>
      <c r="D212">
        <f>VLOOKUP($A212,'Raw RTF'!$A$8:$Q$1000,'Raw RTF'!D$5,FALSE)</f>
        <v>0.99512834900376601</v>
      </c>
      <c r="E212">
        <f>VLOOKUP($A212,'Raw RTF'!$A$8:$Q$1000,'Raw RTF'!E$5,FALSE)</f>
        <v>45</v>
      </c>
      <c r="F212">
        <f>VLOOKUP($A212,'Raw RTF'!$A$8:$Q$1000,'Raw RTF'!F$5,FALSE)</f>
        <v>0</v>
      </c>
      <c r="G212">
        <f>VLOOKUP($A212,'Raw RTF'!$A$8:$Q$1000,'Raw RTF'!G$5,FALSE)</f>
        <v>0</v>
      </c>
      <c r="H212" t="str">
        <f>VLOOKUP($A212,'Raw RTF'!$A$8:$Q$1000,'Raw RTF'!H$5,FALSE)</f>
        <v>ResCACPNW</v>
      </c>
      <c r="I212">
        <f>VLOOKUP($A212,'Raw RTF'!$A$8:$Q$1000,'Raw RTF'!I$5,FALSE)</f>
        <v>0</v>
      </c>
      <c r="J212">
        <f>VLOOKUP($A212,'Raw RTF'!$A$8:$Q$1000,'Raw RTF'!J$5,FALSE)</f>
        <v>0</v>
      </c>
      <c r="K212">
        <f>VLOOKUP($A212,'Raw RTF'!$A$8:$Q$1000,'Raw RTF'!K$5,FALSE)</f>
        <v>0</v>
      </c>
      <c r="L212">
        <f>VLOOKUP($A212,'Raw RTF'!$A$8:$Q$1000,'Raw RTF'!L$5,FALSE)</f>
        <v>0</v>
      </c>
      <c r="M212">
        <f>VLOOKUP($A212,'Raw RTF'!$A$8:$Q$1000,'Raw RTF'!M$5,FALSE)</f>
        <v>0</v>
      </c>
      <c r="N212">
        <f>VLOOKUP($A212,'Raw RTF'!$A$8:$Q$1000,'Raw RTF'!N$5,FALSE)</f>
        <v>0</v>
      </c>
      <c r="O212">
        <f>VLOOKUP($A212,'Raw RTF'!$A$8:$Q$1000,'Raw RTF'!O$5,FALSE)</f>
        <v>0</v>
      </c>
      <c r="P212">
        <f>VLOOKUP($A212,'Raw RTF'!$A$8:$Q$1000,'Raw RTF'!P$5,FALSE)</f>
        <v>0</v>
      </c>
      <c r="Q212">
        <f>VLOOKUP($A212,'Raw RTF'!$A$8:$Q$1000,'Raw RTF'!Q$5,FALSE)</f>
        <v>0</v>
      </c>
    </row>
    <row r="213" spans="1:17" ht="25.5">
      <c r="A213" t="str">
        <f t="shared" si="4"/>
        <v>Windows - Double Pane to Class 22 - Heating Zone 2 (Zonal or DHP)WINDOW CL22 Prime Window Replacement of Double Pane Base (cooling savings)</v>
      </c>
      <c r="B213" s="305" t="s">
        <v>1295</v>
      </c>
      <c r="C213" s="54" t="s">
        <v>225</v>
      </c>
      <c r="D213">
        <f>VLOOKUP($A213,'Raw RTF'!$A$8:$Q$1000,'Raw RTF'!D$5,FALSE)</f>
        <v>1.2277165867962745</v>
      </c>
      <c r="E213">
        <f>VLOOKUP($A213,'Raw RTF'!$A$8:$Q$1000,'Raw RTF'!E$5,FALSE)</f>
        <v>45</v>
      </c>
      <c r="F213">
        <f>VLOOKUP($A213,'Raw RTF'!$A$8:$Q$1000,'Raw RTF'!F$5,FALSE)</f>
        <v>0</v>
      </c>
      <c r="G213">
        <f>VLOOKUP($A213,'Raw RTF'!$A$8:$Q$1000,'Raw RTF'!G$5,FALSE)</f>
        <v>0</v>
      </c>
      <c r="H213" t="str">
        <f>VLOOKUP($A213,'Raw RTF'!$A$8:$Q$1000,'Raw RTF'!H$5,FALSE)</f>
        <v>ResCACPNW</v>
      </c>
      <c r="I213">
        <f>VLOOKUP($A213,'Raw RTF'!$A$8:$Q$1000,'Raw RTF'!I$5,FALSE)</f>
        <v>0</v>
      </c>
      <c r="J213">
        <f>VLOOKUP($A213,'Raw RTF'!$A$8:$Q$1000,'Raw RTF'!J$5,FALSE)</f>
        <v>0</v>
      </c>
      <c r="K213">
        <f>VLOOKUP($A213,'Raw RTF'!$A$8:$Q$1000,'Raw RTF'!K$5,FALSE)</f>
        <v>0</v>
      </c>
      <c r="L213">
        <f>VLOOKUP($A213,'Raw RTF'!$A$8:$Q$1000,'Raw RTF'!L$5,FALSE)</f>
        <v>0</v>
      </c>
      <c r="M213">
        <f>VLOOKUP($A213,'Raw RTF'!$A$8:$Q$1000,'Raw RTF'!M$5,FALSE)</f>
        <v>0</v>
      </c>
      <c r="N213">
        <f>VLOOKUP($A213,'Raw RTF'!$A$8:$Q$1000,'Raw RTF'!N$5,FALSE)</f>
        <v>0</v>
      </c>
      <c r="O213">
        <f>VLOOKUP($A213,'Raw RTF'!$A$8:$Q$1000,'Raw RTF'!O$5,FALSE)</f>
        <v>0</v>
      </c>
      <c r="P213">
        <f>VLOOKUP($A213,'Raw RTF'!$A$8:$Q$1000,'Raw RTF'!P$5,FALSE)</f>
        <v>0</v>
      </c>
      <c r="Q213">
        <f>VLOOKUP($A213,'Raw RTF'!$A$8:$Q$1000,'Raw RTF'!Q$5,FALSE)</f>
        <v>0</v>
      </c>
    </row>
    <row r="214" spans="1:17">
      <c r="A214" t="str">
        <f t="shared" si="4"/>
        <v>Infiltration Reduction - CFM50 reduction - Heating Zone 2 (Zonal or DHP)CFM50 Infiltration Reduction (cooling savings)</v>
      </c>
      <c r="B214" s="305" t="s">
        <v>1297</v>
      </c>
      <c r="C214" s="307" t="s">
        <v>890</v>
      </c>
      <c r="D214">
        <f>VLOOKUP($A214,'Raw RTF'!$A$8:$Q$1000,'Raw RTF'!D$5,FALSE)</f>
        <v>5.7970142387175124E-3</v>
      </c>
      <c r="E214">
        <f>VLOOKUP($A214,'Raw RTF'!$A$8:$Q$1000,'Raw RTF'!E$5,FALSE)</f>
        <v>15</v>
      </c>
      <c r="F214">
        <f>VLOOKUP($A214,'Raw RTF'!$A$8:$Q$1000,'Raw RTF'!F$5,FALSE)</f>
        <v>0</v>
      </c>
      <c r="G214">
        <f>VLOOKUP($A214,'Raw RTF'!$A$8:$Q$1000,'Raw RTF'!G$5,FALSE)</f>
        <v>0</v>
      </c>
      <c r="H214" t="str">
        <f>VLOOKUP($A214,'Raw RTF'!$A$8:$Q$1000,'Raw RTF'!H$5,FALSE)</f>
        <v>ResCACPNW</v>
      </c>
      <c r="I214">
        <f>VLOOKUP($A214,'Raw RTF'!$A$8:$Q$1000,'Raw RTF'!I$5,FALSE)</f>
        <v>0</v>
      </c>
      <c r="J214">
        <f>VLOOKUP($A214,'Raw RTF'!$A$8:$Q$1000,'Raw RTF'!J$5,FALSE)</f>
        <v>0</v>
      </c>
      <c r="K214">
        <f>VLOOKUP($A214,'Raw RTF'!$A$8:$Q$1000,'Raw RTF'!K$5,FALSE)</f>
        <v>0</v>
      </c>
      <c r="L214">
        <f>VLOOKUP($A214,'Raw RTF'!$A$8:$Q$1000,'Raw RTF'!L$5,FALSE)</f>
        <v>0</v>
      </c>
      <c r="M214">
        <f>VLOOKUP($A214,'Raw RTF'!$A$8:$Q$1000,'Raw RTF'!M$5,FALSE)</f>
        <v>0</v>
      </c>
      <c r="N214">
        <f>VLOOKUP($A214,'Raw RTF'!$A$8:$Q$1000,'Raw RTF'!N$5,FALSE)</f>
        <v>0</v>
      </c>
      <c r="O214">
        <f>VLOOKUP($A214,'Raw RTF'!$A$8:$Q$1000,'Raw RTF'!O$5,FALSE)</f>
        <v>0</v>
      </c>
      <c r="P214">
        <f>VLOOKUP($A214,'Raw RTF'!$A$8:$Q$1000,'Raw RTF'!P$5,FALSE)</f>
        <v>0</v>
      </c>
      <c r="Q214">
        <f>VLOOKUP($A214,'Raw RTF'!$A$8:$Q$1000,'Raw RTF'!Q$5,FALSE)</f>
        <v>0</v>
      </c>
    </row>
    <row r="215" spans="1:17">
      <c r="A215" t="str">
        <f t="shared" si="4"/>
        <v>Single Family Weatherization - Insulate Attic - R0 to R38 - Heating Zone 3 (Zonal or DHP)ATTIC R0 - R38 (cooling savings)</v>
      </c>
      <c r="B215" s="305" t="s">
        <v>1298</v>
      </c>
      <c r="C215" s="54" t="s">
        <v>208</v>
      </c>
      <c r="D215">
        <f>VLOOKUP($A215,'Raw RTF'!$A$8:$Q$1000,'Raw RTF'!D$5,FALSE)</f>
        <v>3.7369867701037021E-2</v>
      </c>
      <c r="E215">
        <f>VLOOKUP($A215,'Raw RTF'!$A$8:$Q$1000,'Raw RTF'!E$5,FALSE)</f>
        <v>45</v>
      </c>
      <c r="F215">
        <f>VLOOKUP($A215,'Raw RTF'!$A$8:$Q$1000,'Raw RTF'!F$5,FALSE)</f>
        <v>0</v>
      </c>
      <c r="G215">
        <f>VLOOKUP($A215,'Raw RTF'!$A$8:$Q$1000,'Raw RTF'!G$5,FALSE)</f>
        <v>0</v>
      </c>
      <c r="H215" t="str">
        <f>VLOOKUP($A215,'Raw RTF'!$A$8:$Q$1000,'Raw RTF'!H$5,FALSE)</f>
        <v>ResCACPNW</v>
      </c>
      <c r="I215">
        <f>VLOOKUP($A215,'Raw RTF'!$A$8:$Q$1000,'Raw RTF'!I$5,FALSE)</f>
        <v>0</v>
      </c>
      <c r="J215">
        <f>VLOOKUP($A215,'Raw RTF'!$A$8:$Q$1000,'Raw RTF'!J$5,FALSE)</f>
        <v>0</v>
      </c>
      <c r="K215">
        <f>VLOOKUP($A215,'Raw RTF'!$A$8:$Q$1000,'Raw RTF'!K$5,FALSE)</f>
        <v>0</v>
      </c>
      <c r="L215">
        <f>VLOOKUP($A215,'Raw RTF'!$A$8:$Q$1000,'Raw RTF'!L$5,FALSE)</f>
        <v>0</v>
      </c>
      <c r="M215">
        <f>VLOOKUP($A215,'Raw RTF'!$A$8:$Q$1000,'Raw RTF'!M$5,FALSE)</f>
        <v>0</v>
      </c>
      <c r="N215">
        <f>VLOOKUP($A215,'Raw RTF'!$A$8:$Q$1000,'Raw RTF'!N$5,FALSE)</f>
        <v>0</v>
      </c>
      <c r="O215">
        <f>VLOOKUP($A215,'Raw RTF'!$A$8:$Q$1000,'Raw RTF'!O$5,FALSE)</f>
        <v>0</v>
      </c>
      <c r="P215">
        <f>VLOOKUP($A215,'Raw RTF'!$A$8:$Q$1000,'Raw RTF'!P$5,FALSE)</f>
        <v>0</v>
      </c>
      <c r="Q215">
        <f>VLOOKUP($A215,'Raw RTF'!$A$8:$Q$1000,'Raw RTF'!Q$5,FALSE)</f>
        <v>0</v>
      </c>
    </row>
    <row r="216" spans="1:17">
      <c r="A216" t="str">
        <f t="shared" si="4"/>
        <v>Single Family Weatherization - Insulate Attic - R0 to R49 - Heating Zone 3 (Zonal or DHP)ATTIC R0 - R49 (cooling savings)</v>
      </c>
      <c r="B216" s="305" t="s">
        <v>1299</v>
      </c>
      <c r="C216" s="54" t="s">
        <v>210</v>
      </c>
      <c r="D216">
        <f>VLOOKUP($A216,'Raw RTF'!$A$8:$Q$1000,'Raw RTF'!D$5,FALSE)</f>
        <v>3.7698533822838116E-2</v>
      </c>
      <c r="E216">
        <f>VLOOKUP($A216,'Raw RTF'!$A$8:$Q$1000,'Raw RTF'!E$5,FALSE)</f>
        <v>45</v>
      </c>
      <c r="F216">
        <f>VLOOKUP($A216,'Raw RTF'!$A$8:$Q$1000,'Raw RTF'!F$5,FALSE)</f>
        <v>0</v>
      </c>
      <c r="G216">
        <f>VLOOKUP($A216,'Raw RTF'!$A$8:$Q$1000,'Raw RTF'!G$5,FALSE)</f>
        <v>0</v>
      </c>
      <c r="H216" t="str">
        <f>VLOOKUP($A216,'Raw RTF'!$A$8:$Q$1000,'Raw RTF'!H$5,FALSE)</f>
        <v>ResCACPNW</v>
      </c>
      <c r="I216">
        <f>VLOOKUP($A216,'Raw RTF'!$A$8:$Q$1000,'Raw RTF'!I$5,FALSE)</f>
        <v>0</v>
      </c>
      <c r="J216">
        <f>VLOOKUP($A216,'Raw RTF'!$A$8:$Q$1000,'Raw RTF'!J$5,FALSE)</f>
        <v>0</v>
      </c>
      <c r="K216">
        <f>VLOOKUP($A216,'Raw RTF'!$A$8:$Q$1000,'Raw RTF'!K$5,FALSE)</f>
        <v>0</v>
      </c>
      <c r="L216">
        <f>VLOOKUP($A216,'Raw RTF'!$A$8:$Q$1000,'Raw RTF'!L$5,FALSE)</f>
        <v>0</v>
      </c>
      <c r="M216">
        <f>VLOOKUP($A216,'Raw RTF'!$A$8:$Q$1000,'Raw RTF'!M$5,FALSE)</f>
        <v>0</v>
      </c>
      <c r="N216">
        <f>VLOOKUP($A216,'Raw RTF'!$A$8:$Q$1000,'Raw RTF'!N$5,FALSE)</f>
        <v>0</v>
      </c>
      <c r="O216">
        <f>VLOOKUP($A216,'Raw RTF'!$A$8:$Q$1000,'Raw RTF'!O$5,FALSE)</f>
        <v>0</v>
      </c>
      <c r="P216">
        <f>VLOOKUP($A216,'Raw RTF'!$A$8:$Q$1000,'Raw RTF'!P$5,FALSE)</f>
        <v>0</v>
      </c>
      <c r="Q216">
        <f>VLOOKUP($A216,'Raw RTF'!$A$8:$Q$1000,'Raw RTF'!Q$5,FALSE)</f>
        <v>0</v>
      </c>
    </row>
    <row r="217" spans="1:17">
      <c r="A217" t="str">
        <f t="shared" si="4"/>
        <v>Single Family Weatherization - Insulate Attic - R11 to R38 - Heating Zone 3 (Zonal or DHP)ATTIC R11 - R38 (cooling savings)</v>
      </c>
      <c r="B217" s="305" t="s">
        <v>1300</v>
      </c>
      <c r="C217" s="54" t="s">
        <v>211</v>
      </c>
      <c r="D217">
        <f>VLOOKUP($A217,'Raw RTF'!$A$8:$Q$1000,'Raw RTF'!D$5,FALSE)</f>
        <v>4.2663630231371836E-3</v>
      </c>
      <c r="E217">
        <f>VLOOKUP($A217,'Raw RTF'!$A$8:$Q$1000,'Raw RTF'!E$5,FALSE)</f>
        <v>45</v>
      </c>
      <c r="F217">
        <f>VLOOKUP($A217,'Raw RTF'!$A$8:$Q$1000,'Raw RTF'!F$5,FALSE)</f>
        <v>0</v>
      </c>
      <c r="G217">
        <f>VLOOKUP($A217,'Raw RTF'!$A$8:$Q$1000,'Raw RTF'!G$5,FALSE)</f>
        <v>0</v>
      </c>
      <c r="H217" t="str">
        <f>VLOOKUP($A217,'Raw RTF'!$A$8:$Q$1000,'Raw RTF'!H$5,FALSE)</f>
        <v>ResCACPNW</v>
      </c>
      <c r="I217">
        <f>VLOOKUP($A217,'Raw RTF'!$A$8:$Q$1000,'Raw RTF'!I$5,FALSE)</f>
        <v>0</v>
      </c>
      <c r="J217">
        <f>VLOOKUP($A217,'Raw RTF'!$A$8:$Q$1000,'Raw RTF'!J$5,FALSE)</f>
        <v>0</v>
      </c>
      <c r="K217">
        <f>VLOOKUP($A217,'Raw RTF'!$A$8:$Q$1000,'Raw RTF'!K$5,FALSE)</f>
        <v>0</v>
      </c>
      <c r="L217">
        <f>VLOOKUP($A217,'Raw RTF'!$A$8:$Q$1000,'Raw RTF'!L$5,FALSE)</f>
        <v>0</v>
      </c>
      <c r="M217">
        <f>VLOOKUP($A217,'Raw RTF'!$A$8:$Q$1000,'Raw RTF'!M$5,FALSE)</f>
        <v>0</v>
      </c>
      <c r="N217">
        <f>VLOOKUP($A217,'Raw RTF'!$A$8:$Q$1000,'Raw RTF'!N$5,FALSE)</f>
        <v>0</v>
      </c>
      <c r="O217">
        <f>VLOOKUP($A217,'Raw RTF'!$A$8:$Q$1000,'Raw RTF'!O$5,FALSE)</f>
        <v>0</v>
      </c>
      <c r="P217">
        <f>VLOOKUP($A217,'Raw RTF'!$A$8:$Q$1000,'Raw RTF'!P$5,FALSE)</f>
        <v>0</v>
      </c>
      <c r="Q217">
        <f>VLOOKUP($A217,'Raw RTF'!$A$8:$Q$1000,'Raw RTF'!Q$5,FALSE)</f>
        <v>0</v>
      </c>
    </row>
    <row r="218" spans="1:17">
      <c r="A218" t="str">
        <f t="shared" si="4"/>
        <v>Single Family Weatherization - Insulate Attic - R11 to R49 - Heating Zone 3 (Zonal or DHP)ATTIC R11 - R49 (cooling savings)</v>
      </c>
      <c r="B218" s="305" t="s">
        <v>1301</v>
      </c>
      <c r="C218" s="54" t="s">
        <v>212</v>
      </c>
      <c r="D218">
        <f>VLOOKUP($A218,'Raw RTF'!$A$8:$Q$1000,'Raw RTF'!D$5,FALSE)</f>
        <v>4.5950291449382789E-3</v>
      </c>
      <c r="E218">
        <f>VLOOKUP($A218,'Raw RTF'!$A$8:$Q$1000,'Raw RTF'!E$5,FALSE)</f>
        <v>45</v>
      </c>
      <c r="F218">
        <f>VLOOKUP($A218,'Raw RTF'!$A$8:$Q$1000,'Raw RTF'!F$5,FALSE)</f>
        <v>0</v>
      </c>
      <c r="G218">
        <f>VLOOKUP($A218,'Raw RTF'!$A$8:$Q$1000,'Raw RTF'!G$5,FALSE)</f>
        <v>0</v>
      </c>
      <c r="H218" t="str">
        <f>VLOOKUP($A218,'Raw RTF'!$A$8:$Q$1000,'Raw RTF'!H$5,FALSE)</f>
        <v>ResCACPNW</v>
      </c>
      <c r="I218">
        <f>VLOOKUP($A218,'Raw RTF'!$A$8:$Q$1000,'Raw RTF'!I$5,FALSE)</f>
        <v>0</v>
      </c>
      <c r="J218">
        <f>VLOOKUP($A218,'Raw RTF'!$A$8:$Q$1000,'Raw RTF'!J$5,FALSE)</f>
        <v>0</v>
      </c>
      <c r="K218">
        <f>VLOOKUP($A218,'Raw RTF'!$A$8:$Q$1000,'Raw RTF'!K$5,FALSE)</f>
        <v>0</v>
      </c>
      <c r="L218">
        <f>VLOOKUP($A218,'Raw RTF'!$A$8:$Q$1000,'Raw RTF'!L$5,FALSE)</f>
        <v>0</v>
      </c>
      <c r="M218">
        <f>VLOOKUP($A218,'Raw RTF'!$A$8:$Q$1000,'Raw RTF'!M$5,FALSE)</f>
        <v>0</v>
      </c>
      <c r="N218">
        <f>VLOOKUP($A218,'Raw RTF'!$A$8:$Q$1000,'Raw RTF'!N$5,FALSE)</f>
        <v>0</v>
      </c>
      <c r="O218">
        <f>VLOOKUP($A218,'Raw RTF'!$A$8:$Q$1000,'Raw RTF'!O$5,FALSE)</f>
        <v>0</v>
      </c>
      <c r="P218">
        <f>VLOOKUP($A218,'Raw RTF'!$A$8:$Q$1000,'Raw RTF'!P$5,FALSE)</f>
        <v>0</v>
      </c>
      <c r="Q218">
        <f>VLOOKUP($A218,'Raw RTF'!$A$8:$Q$1000,'Raw RTF'!Q$5,FALSE)</f>
        <v>0</v>
      </c>
    </row>
    <row r="219" spans="1:17">
      <c r="A219" t="str">
        <f t="shared" si="4"/>
        <v>Single Family Weatherization - Insulate Attic - R19 to R38 - Heating Zone 3 (Zonal or DHP)ATTIC R19 - R38 (cooling savings)</v>
      </c>
      <c r="B219" s="305" t="s">
        <v>1302</v>
      </c>
      <c r="C219" s="54" t="s">
        <v>213</v>
      </c>
      <c r="D219">
        <f>VLOOKUP($A219,'Raw RTF'!$A$8:$Q$1000,'Raw RTF'!D$5,FALSE)</f>
        <v>1.6814280484256749E-3</v>
      </c>
      <c r="E219">
        <f>VLOOKUP($A219,'Raw RTF'!$A$8:$Q$1000,'Raw RTF'!E$5,FALSE)</f>
        <v>45</v>
      </c>
      <c r="F219">
        <f>VLOOKUP($A219,'Raw RTF'!$A$8:$Q$1000,'Raw RTF'!F$5,FALSE)</f>
        <v>0</v>
      </c>
      <c r="G219">
        <f>VLOOKUP($A219,'Raw RTF'!$A$8:$Q$1000,'Raw RTF'!G$5,FALSE)</f>
        <v>0</v>
      </c>
      <c r="H219" t="str">
        <f>VLOOKUP($A219,'Raw RTF'!$A$8:$Q$1000,'Raw RTF'!H$5,FALSE)</f>
        <v>ResCACPNW</v>
      </c>
      <c r="I219">
        <f>VLOOKUP($A219,'Raw RTF'!$A$8:$Q$1000,'Raw RTF'!I$5,FALSE)</f>
        <v>0</v>
      </c>
      <c r="J219">
        <f>VLOOKUP($A219,'Raw RTF'!$A$8:$Q$1000,'Raw RTF'!J$5,FALSE)</f>
        <v>0</v>
      </c>
      <c r="K219">
        <f>VLOOKUP($A219,'Raw RTF'!$A$8:$Q$1000,'Raw RTF'!K$5,FALSE)</f>
        <v>0</v>
      </c>
      <c r="L219">
        <f>VLOOKUP($A219,'Raw RTF'!$A$8:$Q$1000,'Raw RTF'!L$5,FALSE)</f>
        <v>0</v>
      </c>
      <c r="M219">
        <f>VLOOKUP($A219,'Raw RTF'!$A$8:$Q$1000,'Raw RTF'!M$5,FALSE)</f>
        <v>0</v>
      </c>
      <c r="N219">
        <f>VLOOKUP($A219,'Raw RTF'!$A$8:$Q$1000,'Raw RTF'!N$5,FALSE)</f>
        <v>0</v>
      </c>
      <c r="O219">
        <f>VLOOKUP($A219,'Raw RTF'!$A$8:$Q$1000,'Raw RTF'!O$5,FALSE)</f>
        <v>0</v>
      </c>
      <c r="P219">
        <f>VLOOKUP($A219,'Raw RTF'!$A$8:$Q$1000,'Raw RTF'!P$5,FALSE)</f>
        <v>0</v>
      </c>
      <c r="Q219">
        <f>VLOOKUP($A219,'Raw RTF'!$A$8:$Q$1000,'Raw RTF'!Q$5,FALSE)</f>
        <v>0</v>
      </c>
    </row>
    <row r="220" spans="1:17">
      <c r="A220" t="str">
        <f t="shared" si="4"/>
        <v>Single Family Weatherization - Insulate Attic - R19 to R49 - Heating Zone 3 (Zonal or DHP)ATTIC R19 - R49 (cooling savings)</v>
      </c>
      <c r="B220" s="305" t="s">
        <v>1303</v>
      </c>
      <c r="C220" s="54" t="s">
        <v>214</v>
      </c>
      <c r="D220">
        <f>VLOOKUP($A220,'Raw RTF'!$A$8:$Q$1000,'Raw RTF'!D$5,FALSE)</f>
        <v>2.0100941702267702E-3</v>
      </c>
      <c r="E220">
        <f>VLOOKUP($A220,'Raw RTF'!$A$8:$Q$1000,'Raw RTF'!E$5,FALSE)</f>
        <v>45</v>
      </c>
      <c r="F220">
        <f>VLOOKUP($A220,'Raw RTF'!$A$8:$Q$1000,'Raw RTF'!F$5,FALSE)</f>
        <v>0</v>
      </c>
      <c r="G220">
        <f>VLOOKUP($A220,'Raw RTF'!$A$8:$Q$1000,'Raw RTF'!G$5,FALSE)</f>
        <v>0</v>
      </c>
      <c r="H220" t="str">
        <f>VLOOKUP($A220,'Raw RTF'!$A$8:$Q$1000,'Raw RTF'!H$5,FALSE)</f>
        <v>ResCACPNW</v>
      </c>
      <c r="I220">
        <f>VLOOKUP($A220,'Raw RTF'!$A$8:$Q$1000,'Raw RTF'!I$5,FALSE)</f>
        <v>0</v>
      </c>
      <c r="J220">
        <f>VLOOKUP($A220,'Raw RTF'!$A$8:$Q$1000,'Raw RTF'!J$5,FALSE)</f>
        <v>0</v>
      </c>
      <c r="K220">
        <f>VLOOKUP($A220,'Raw RTF'!$A$8:$Q$1000,'Raw RTF'!K$5,FALSE)</f>
        <v>0</v>
      </c>
      <c r="L220">
        <f>VLOOKUP($A220,'Raw RTF'!$A$8:$Q$1000,'Raw RTF'!L$5,FALSE)</f>
        <v>0</v>
      </c>
      <c r="M220">
        <f>VLOOKUP($A220,'Raw RTF'!$A$8:$Q$1000,'Raw RTF'!M$5,FALSE)</f>
        <v>0</v>
      </c>
      <c r="N220">
        <f>VLOOKUP($A220,'Raw RTF'!$A$8:$Q$1000,'Raw RTF'!N$5,FALSE)</f>
        <v>0</v>
      </c>
      <c r="O220">
        <f>VLOOKUP($A220,'Raw RTF'!$A$8:$Q$1000,'Raw RTF'!O$5,FALSE)</f>
        <v>0</v>
      </c>
      <c r="P220">
        <f>VLOOKUP($A220,'Raw RTF'!$A$8:$Q$1000,'Raw RTF'!P$5,FALSE)</f>
        <v>0</v>
      </c>
      <c r="Q220">
        <f>VLOOKUP($A220,'Raw RTF'!$A$8:$Q$1000,'Raw RTF'!Q$5,FALSE)</f>
        <v>0</v>
      </c>
    </row>
    <row r="221" spans="1:17">
      <c r="A221" t="str">
        <f t="shared" si="4"/>
        <v>Single Family Weatherization - Insulate Wall - R0 to R11 - Heating Zone 3 (Zonal or DHP)WALL R0 - R11 (cooling savings)</v>
      </c>
      <c r="B221" s="305" t="s">
        <v>1307</v>
      </c>
      <c r="C221" s="54" t="s">
        <v>217</v>
      </c>
      <c r="D221">
        <f>VLOOKUP($A221,'Raw RTF'!$A$8:$Q$1000,'Raw RTF'!D$5,FALSE)</f>
        <v>1.4547838835245847E-3</v>
      </c>
      <c r="E221">
        <f>VLOOKUP($A221,'Raw RTF'!$A$8:$Q$1000,'Raw RTF'!E$5,FALSE)</f>
        <v>45</v>
      </c>
      <c r="F221">
        <f>VLOOKUP($A221,'Raw RTF'!$A$8:$Q$1000,'Raw RTF'!F$5,FALSE)</f>
        <v>0</v>
      </c>
      <c r="G221">
        <f>VLOOKUP($A221,'Raw RTF'!$A$8:$Q$1000,'Raw RTF'!G$5,FALSE)</f>
        <v>0</v>
      </c>
      <c r="H221" t="str">
        <f>VLOOKUP($A221,'Raw RTF'!$A$8:$Q$1000,'Raw RTF'!H$5,FALSE)</f>
        <v>ResCACPNW</v>
      </c>
      <c r="I221">
        <f>VLOOKUP($A221,'Raw RTF'!$A$8:$Q$1000,'Raw RTF'!I$5,FALSE)</f>
        <v>0</v>
      </c>
      <c r="J221">
        <f>VLOOKUP($A221,'Raw RTF'!$A$8:$Q$1000,'Raw RTF'!J$5,FALSE)</f>
        <v>0</v>
      </c>
      <c r="K221">
        <f>VLOOKUP($A221,'Raw RTF'!$A$8:$Q$1000,'Raw RTF'!K$5,FALSE)</f>
        <v>0</v>
      </c>
      <c r="L221">
        <f>VLOOKUP($A221,'Raw RTF'!$A$8:$Q$1000,'Raw RTF'!L$5,FALSE)</f>
        <v>0</v>
      </c>
      <c r="M221">
        <f>VLOOKUP($A221,'Raw RTF'!$A$8:$Q$1000,'Raw RTF'!M$5,FALSE)</f>
        <v>0</v>
      </c>
      <c r="N221">
        <f>VLOOKUP($A221,'Raw RTF'!$A$8:$Q$1000,'Raw RTF'!N$5,FALSE)</f>
        <v>0</v>
      </c>
      <c r="O221">
        <f>VLOOKUP($A221,'Raw RTF'!$A$8:$Q$1000,'Raw RTF'!O$5,FALSE)</f>
        <v>0</v>
      </c>
      <c r="P221">
        <f>VLOOKUP($A221,'Raw RTF'!$A$8:$Q$1000,'Raw RTF'!P$5,FALSE)</f>
        <v>0</v>
      </c>
      <c r="Q221">
        <f>VLOOKUP($A221,'Raw RTF'!$A$8:$Q$1000,'Raw RTF'!Q$5,FALSE)</f>
        <v>0</v>
      </c>
    </row>
    <row r="222" spans="1:17">
      <c r="A222" t="str">
        <f t="shared" si="4"/>
        <v>Single Family Weatherization - Insulate Floor - R0 to R19 - Heating Zone 3 (Zonal or DHP)FLOOR R0 - R19 (cooling savings)</v>
      </c>
      <c r="B222" s="305" t="s">
        <v>1308</v>
      </c>
      <c r="C222" s="54" t="s">
        <v>218</v>
      </c>
      <c r="D222">
        <f>VLOOKUP($A222,'Raw RTF'!$A$8:$Q$1000,'Raw RTF'!D$5,FALSE)</f>
        <v>-5.6653392737491433E-3</v>
      </c>
      <c r="E222">
        <f>VLOOKUP($A222,'Raw RTF'!$A$8:$Q$1000,'Raw RTF'!E$5,FALSE)</f>
        <v>45</v>
      </c>
      <c r="F222">
        <f>VLOOKUP($A222,'Raw RTF'!$A$8:$Q$1000,'Raw RTF'!F$5,FALSE)</f>
        <v>0</v>
      </c>
      <c r="G222">
        <f>VLOOKUP($A222,'Raw RTF'!$A$8:$Q$1000,'Raw RTF'!G$5,FALSE)</f>
        <v>0</v>
      </c>
      <c r="H222" t="str">
        <f>VLOOKUP($A222,'Raw RTF'!$A$8:$Q$1000,'Raw RTF'!H$5,FALSE)</f>
        <v>ResCACPNW</v>
      </c>
      <c r="I222">
        <f>VLOOKUP($A222,'Raw RTF'!$A$8:$Q$1000,'Raw RTF'!I$5,FALSE)</f>
        <v>0</v>
      </c>
      <c r="J222">
        <f>VLOOKUP($A222,'Raw RTF'!$A$8:$Q$1000,'Raw RTF'!J$5,FALSE)</f>
        <v>0</v>
      </c>
      <c r="K222">
        <f>VLOOKUP($A222,'Raw RTF'!$A$8:$Q$1000,'Raw RTF'!K$5,FALSE)</f>
        <v>0</v>
      </c>
      <c r="L222">
        <f>VLOOKUP($A222,'Raw RTF'!$A$8:$Q$1000,'Raw RTF'!L$5,FALSE)</f>
        <v>0</v>
      </c>
      <c r="M222">
        <f>VLOOKUP($A222,'Raw RTF'!$A$8:$Q$1000,'Raw RTF'!M$5,FALSE)</f>
        <v>0</v>
      </c>
      <c r="N222">
        <f>VLOOKUP($A222,'Raw RTF'!$A$8:$Q$1000,'Raw RTF'!N$5,FALSE)</f>
        <v>0</v>
      </c>
      <c r="O222">
        <f>VLOOKUP($A222,'Raw RTF'!$A$8:$Q$1000,'Raw RTF'!O$5,FALSE)</f>
        <v>0</v>
      </c>
      <c r="P222">
        <f>VLOOKUP($A222,'Raw RTF'!$A$8:$Q$1000,'Raw RTF'!P$5,FALSE)</f>
        <v>0</v>
      </c>
      <c r="Q222">
        <f>VLOOKUP($A222,'Raw RTF'!$A$8:$Q$1000,'Raw RTF'!Q$5,FALSE)</f>
        <v>0</v>
      </c>
    </row>
    <row r="223" spans="1:17">
      <c r="A223" t="str">
        <f t="shared" si="4"/>
        <v>Single Family Weatherization - Insulate Floor - R0 to R25 - Heating Zone 3 (Zonal or DHP)FLOOR R0 - R25 (cooling savings)</v>
      </c>
      <c r="B223" s="305" t="s">
        <v>1309</v>
      </c>
      <c r="C223" s="54" t="s">
        <v>219</v>
      </c>
      <c r="D223">
        <f>VLOOKUP($A223,'Raw RTF'!$A$8:$Q$1000,'Raw RTF'!D$5,FALSE)</f>
        <v>-6.4452012439222325E-3</v>
      </c>
      <c r="E223">
        <f>VLOOKUP($A223,'Raw RTF'!$A$8:$Q$1000,'Raw RTF'!E$5,FALSE)</f>
        <v>45</v>
      </c>
      <c r="F223">
        <f>VLOOKUP($A223,'Raw RTF'!$A$8:$Q$1000,'Raw RTF'!F$5,FALSE)</f>
        <v>0</v>
      </c>
      <c r="G223">
        <f>VLOOKUP($A223,'Raw RTF'!$A$8:$Q$1000,'Raw RTF'!G$5,FALSE)</f>
        <v>0</v>
      </c>
      <c r="H223" t="str">
        <f>VLOOKUP($A223,'Raw RTF'!$A$8:$Q$1000,'Raw RTF'!H$5,FALSE)</f>
        <v>ResCACPNW</v>
      </c>
      <c r="I223">
        <f>VLOOKUP($A223,'Raw RTF'!$A$8:$Q$1000,'Raw RTF'!I$5,FALSE)</f>
        <v>0</v>
      </c>
      <c r="J223">
        <f>VLOOKUP($A223,'Raw RTF'!$A$8:$Q$1000,'Raw RTF'!J$5,FALSE)</f>
        <v>0</v>
      </c>
      <c r="K223">
        <f>VLOOKUP($A223,'Raw RTF'!$A$8:$Q$1000,'Raw RTF'!K$5,FALSE)</f>
        <v>0</v>
      </c>
      <c r="L223">
        <f>VLOOKUP($A223,'Raw RTF'!$A$8:$Q$1000,'Raw RTF'!L$5,FALSE)</f>
        <v>0</v>
      </c>
      <c r="M223">
        <f>VLOOKUP($A223,'Raw RTF'!$A$8:$Q$1000,'Raw RTF'!M$5,FALSE)</f>
        <v>0</v>
      </c>
      <c r="N223">
        <f>VLOOKUP($A223,'Raw RTF'!$A$8:$Q$1000,'Raw RTF'!N$5,FALSE)</f>
        <v>0</v>
      </c>
      <c r="O223">
        <f>VLOOKUP($A223,'Raw RTF'!$A$8:$Q$1000,'Raw RTF'!O$5,FALSE)</f>
        <v>0</v>
      </c>
      <c r="P223">
        <f>VLOOKUP($A223,'Raw RTF'!$A$8:$Q$1000,'Raw RTF'!P$5,FALSE)</f>
        <v>0</v>
      </c>
      <c r="Q223">
        <f>VLOOKUP($A223,'Raw RTF'!$A$8:$Q$1000,'Raw RTF'!Q$5,FALSE)</f>
        <v>0</v>
      </c>
    </row>
    <row r="224" spans="1:17">
      <c r="A224" t="str">
        <f t="shared" si="4"/>
        <v>Single Family Weatherization - Insulate Floor - R0 to R30 - Heating Zone 3 (Zonal or DHP)FLOOR R0 - R30 (cooling savings)</v>
      </c>
      <c r="B224" s="305" t="s">
        <v>1310</v>
      </c>
      <c r="C224" s="54" t="s">
        <v>220</v>
      </c>
      <c r="D224">
        <f>VLOOKUP($A224,'Raw RTF'!$A$8:$Q$1000,'Raw RTF'!D$5,FALSE)</f>
        <v>-6.9687427503749575E-3</v>
      </c>
      <c r="E224">
        <f>VLOOKUP($A224,'Raw RTF'!$A$8:$Q$1000,'Raw RTF'!E$5,FALSE)</f>
        <v>45</v>
      </c>
      <c r="F224">
        <f>VLOOKUP($A224,'Raw RTF'!$A$8:$Q$1000,'Raw RTF'!F$5,FALSE)</f>
        <v>0</v>
      </c>
      <c r="G224">
        <f>VLOOKUP($A224,'Raw RTF'!$A$8:$Q$1000,'Raw RTF'!G$5,FALSE)</f>
        <v>0</v>
      </c>
      <c r="H224" t="str">
        <f>VLOOKUP($A224,'Raw RTF'!$A$8:$Q$1000,'Raw RTF'!H$5,FALSE)</f>
        <v>ResCACPNW</v>
      </c>
      <c r="I224">
        <f>VLOOKUP($A224,'Raw RTF'!$A$8:$Q$1000,'Raw RTF'!I$5,FALSE)</f>
        <v>0</v>
      </c>
      <c r="J224">
        <f>VLOOKUP($A224,'Raw RTF'!$A$8:$Q$1000,'Raw RTF'!J$5,FALSE)</f>
        <v>0</v>
      </c>
      <c r="K224">
        <f>VLOOKUP($A224,'Raw RTF'!$A$8:$Q$1000,'Raw RTF'!K$5,FALSE)</f>
        <v>0</v>
      </c>
      <c r="L224">
        <f>VLOOKUP($A224,'Raw RTF'!$A$8:$Q$1000,'Raw RTF'!L$5,FALSE)</f>
        <v>0</v>
      </c>
      <c r="M224">
        <f>VLOOKUP($A224,'Raw RTF'!$A$8:$Q$1000,'Raw RTF'!M$5,FALSE)</f>
        <v>0</v>
      </c>
      <c r="N224">
        <f>VLOOKUP($A224,'Raw RTF'!$A$8:$Q$1000,'Raw RTF'!N$5,FALSE)</f>
        <v>0</v>
      </c>
      <c r="O224">
        <f>VLOOKUP($A224,'Raw RTF'!$A$8:$Q$1000,'Raw RTF'!O$5,FALSE)</f>
        <v>0</v>
      </c>
      <c r="P224">
        <f>VLOOKUP($A224,'Raw RTF'!$A$8:$Q$1000,'Raw RTF'!P$5,FALSE)</f>
        <v>0</v>
      </c>
      <c r="Q224">
        <f>VLOOKUP($A224,'Raw RTF'!$A$8:$Q$1000,'Raw RTF'!Q$5,FALSE)</f>
        <v>0</v>
      </c>
    </row>
    <row r="225" spans="1:17" ht="25.5">
      <c r="A225" t="str">
        <f t="shared" si="4"/>
        <v>Windows - Single Pane to Class 30 - Heating Zone 3 (Zonal or DHP)WINDOW CL30 Prime Window Replacement of Single Pane Base (cooling savings)</v>
      </c>
      <c r="B225" s="305" t="s">
        <v>1312</v>
      </c>
      <c r="C225" s="54" t="s">
        <v>221</v>
      </c>
      <c r="D225">
        <f>VLOOKUP($A225,'Raw RTF'!$A$8:$Q$1000,'Raw RTF'!D$5,FALSE)</f>
        <v>7.2897306354861649E-2</v>
      </c>
      <c r="E225">
        <f>VLOOKUP($A225,'Raw RTF'!$A$8:$Q$1000,'Raw RTF'!E$5,FALSE)</f>
        <v>45</v>
      </c>
      <c r="F225">
        <f>VLOOKUP($A225,'Raw RTF'!$A$8:$Q$1000,'Raw RTF'!F$5,FALSE)</f>
        <v>0</v>
      </c>
      <c r="G225">
        <f>VLOOKUP($A225,'Raw RTF'!$A$8:$Q$1000,'Raw RTF'!G$5,FALSE)</f>
        <v>0</v>
      </c>
      <c r="H225" t="str">
        <f>VLOOKUP($A225,'Raw RTF'!$A$8:$Q$1000,'Raw RTF'!H$5,FALSE)</f>
        <v>ResCACPNW</v>
      </c>
      <c r="I225">
        <f>VLOOKUP($A225,'Raw RTF'!$A$8:$Q$1000,'Raw RTF'!I$5,FALSE)</f>
        <v>0</v>
      </c>
      <c r="J225">
        <f>VLOOKUP($A225,'Raw RTF'!$A$8:$Q$1000,'Raw RTF'!J$5,FALSE)</f>
        <v>0</v>
      </c>
      <c r="K225">
        <f>VLOOKUP($A225,'Raw RTF'!$A$8:$Q$1000,'Raw RTF'!K$5,FALSE)</f>
        <v>0</v>
      </c>
      <c r="L225">
        <f>VLOOKUP($A225,'Raw RTF'!$A$8:$Q$1000,'Raw RTF'!L$5,FALSE)</f>
        <v>0</v>
      </c>
      <c r="M225">
        <f>VLOOKUP($A225,'Raw RTF'!$A$8:$Q$1000,'Raw RTF'!M$5,FALSE)</f>
        <v>0</v>
      </c>
      <c r="N225">
        <f>VLOOKUP($A225,'Raw RTF'!$A$8:$Q$1000,'Raw RTF'!N$5,FALSE)</f>
        <v>0</v>
      </c>
      <c r="O225">
        <f>VLOOKUP($A225,'Raw RTF'!$A$8:$Q$1000,'Raw RTF'!O$5,FALSE)</f>
        <v>0</v>
      </c>
      <c r="P225">
        <f>VLOOKUP($A225,'Raw RTF'!$A$8:$Q$1000,'Raw RTF'!P$5,FALSE)</f>
        <v>0</v>
      </c>
      <c r="Q225">
        <f>VLOOKUP($A225,'Raw RTF'!$A$8:$Q$1000,'Raw RTF'!Q$5,FALSE)</f>
        <v>0</v>
      </c>
    </row>
    <row r="226" spans="1:17" ht="25.5">
      <c r="A226" t="str">
        <f t="shared" si="4"/>
        <v>Windows - Double Pane to Class 30 - Heating Zone 3 (Zonal or DHP)WINDOW CL30 Prime Window Replacement of Double Pane Base (cooling savings)</v>
      </c>
      <c r="B226" s="305" t="s">
        <v>1313</v>
      </c>
      <c r="C226" s="54" t="s">
        <v>222</v>
      </c>
      <c r="D226">
        <f>VLOOKUP($A226,'Raw RTF'!$A$8:$Q$1000,'Raw RTF'!D$5,FALSE)</f>
        <v>0.10773239660886998</v>
      </c>
      <c r="E226">
        <f>VLOOKUP($A226,'Raw RTF'!$A$8:$Q$1000,'Raw RTF'!E$5,FALSE)</f>
        <v>45</v>
      </c>
      <c r="F226">
        <f>VLOOKUP($A226,'Raw RTF'!$A$8:$Q$1000,'Raw RTF'!F$5,FALSE)</f>
        <v>0</v>
      </c>
      <c r="G226">
        <f>VLOOKUP($A226,'Raw RTF'!$A$8:$Q$1000,'Raw RTF'!G$5,FALSE)</f>
        <v>0</v>
      </c>
      <c r="H226" t="str">
        <f>VLOOKUP($A226,'Raw RTF'!$A$8:$Q$1000,'Raw RTF'!H$5,FALSE)</f>
        <v>ResCACPNW</v>
      </c>
      <c r="I226">
        <f>VLOOKUP($A226,'Raw RTF'!$A$8:$Q$1000,'Raw RTF'!I$5,FALSE)</f>
        <v>0</v>
      </c>
      <c r="J226">
        <f>VLOOKUP($A226,'Raw RTF'!$A$8:$Q$1000,'Raw RTF'!J$5,FALSE)</f>
        <v>0</v>
      </c>
      <c r="K226">
        <f>VLOOKUP($A226,'Raw RTF'!$A$8:$Q$1000,'Raw RTF'!K$5,FALSE)</f>
        <v>0</v>
      </c>
      <c r="L226">
        <f>VLOOKUP($A226,'Raw RTF'!$A$8:$Q$1000,'Raw RTF'!L$5,FALSE)</f>
        <v>0</v>
      </c>
      <c r="M226">
        <f>VLOOKUP($A226,'Raw RTF'!$A$8:$Q$1000,'Raw RTF'!M$5,FALSE)</f>
        <v>0</v>
      </c>
      <c r="N226">
        <f>VLOOKUP($A226,'Raw RTF'!$A$8:$Q$1000,'Raw RTF'!N$5,FALSE)</f>
        <v>0</v>
      </c>
      <c r="O226">
        <f>VLOOKUP($A226,'Raw RTF'!$A$8:$Q$1000,'Raw RTF'!O$5,FALSE)</f>
        <v>0</v>
      </c>
      <c r="P226">
        <f>VLOOKUP($A226,'Raw RTF'!$A$8:$Q$1000,'Raw RTF'!P$5,FALSE)</f>
        <v>0</v>
      </c>
      <c r="Q226">
        <f>VLOOKUP($A226,'Raw RTF'!$A$8:$Q$1000,'Raw RTF'!Q$5,FALSE)</f>
        <v>0</v>
      </c>
    </row>
    <row r="227" spans="1:17" ht="25.5">
      <c r="A227" t="str">
        <f t="shared" si="4"/>
        <v>Windows - Single Pane to Class 22 - Heating Zone 3 (Zonal or DHP)WINDOW CL22 Prime Window Replacement of Single Pane Base (cooling savings)</v>
      </c>
      <c r="B227" s="305" t="s">
        <v>1315</v>
      </c>
      <c r="C227" s="54" t="s">
        <v>224</v>
      </c>
      <c r="D227">
        <f>VLOOKUP($A227,'Raw RTF'!$A$8:$Q$1000,'Raw RTF'!D$5,FALSE)</f>
        <v>7.7451496083994403E-2</v>
      </c>
      <c r="E227">
        <f>VLOOKUP($A227,'Raw RTF'!$A$8:$Q$1000,'Raw RTF'!E$5,FALSE)</f>
        <v>45</v>
      </c>
      <c r="F227">
        <f>VLOOKUP($A227,'Raw RTF'!$A$8:$Q$1000,'Raw RTF'!F$5,FALSE)</f>
        <v>0</v>
      </c>
      <c r="G227">
        <f>VLOOKUP($A227,'Raw RTF'!$A$8:$Q$1000,'Raw RTF'!G$5,FALSE)</f>
        <v>0</v>
      </c>
      <c r="H227" t="str">
        <f>VLOOKUP($A227,'Raw RTF'!$A$8:$Q$1000,'Raw RTF'!H$5,FALSE)</f>
        <v>ResCACPNW</v>
      </c>
      <c r="I227">
        <f>VLOOKUP($A227,'Raw RTF'!$A$8:$Q$1000,'Raw RTF'!I$5,FALSE)</f>
        <v>0</v>
      </c>
      <c r="J227">
        <f>VLOOKUP($A227,'Raw RTF'!$A$8:$Q$1000,'Raw RTF'!J$5,FALSE)</f>
        <v>0</v>
      </c>
      <c r="K227">
        <f>VLOOKUP($A227,'Raw RTF'!$A$8:$Q$1000,'Raw RTF'!K$5,FALSE)</f>
        <v>0</v>
      </c>
      <c r="L227">
        <f>VLOOKUP($A227,'Raw RTF'!$A$8:$Q$1000,'Raw RTF'!L$5,FALSE)</f>
        <v>0</v>
      </c>
      <c r="M227">
        <f>VLOOKUP($A227,'Raw RTF'!$A$8:$Q$1000,'Raw RTF'!M$5,FALSE)</f>
        <v>0</v>
      </c>
      <c r="N227">
        <f>VLOOKUP($A227,'Raw RTF'!$A$8:$Q$1000,'Raw RTF'!N$5,FALSE)</f>
        <v>0</v>
      </c>
      <c r="O227">
        <f>VLOOKUP($A227,'Raw RTF'!$A$8:$Q$1000,'Raw RTF'!O$5,FALSE)</f>
        <v>0</v>
      </c>
      <c r="P227">
        <f>VLOOKUP($A227,'Raw RTF'!$A$8:$Q$1000,'Raw RTF'!P$5,FALSE)</f>
        <v>0</v>
      </c>
      <c r="Q227">
        <f>VLOOKUP($A227,'Raw RTF'!$A$8:$Q$1000,'Raw RTF'!Q$5,FALSE)</f>
        <v>0</v>
      </c>
    </row>
    <row r="228" spans="1:17" ht="25.5">
      <c r="A228" t="str">
        <f t="shared" si="4"/>
        <v>Windows - Double Pane to Class 22 - Heating Zone 3 (Zonal or DHP)WINDOW CL22 Prime Window Replacement of Double Pane Base (cooling savings)</v>
      </c>
      <c r="B228" s="305" t="s">
        <v>1316</v>
      </c>
      <c r="C228" s="54" t="s">
        <v>225</v>
      </c>
      <c r="D228">
        <f>VLOOKUP($A228,'Raw RTF'!$A$8:$Q$1000,'Raw RTF'!D$5,FALSE)</f>
        <v>0.11228658633800276</v>
      </c>
      <c r="E228">
        <f>VLOOKUP($A228,'Raw RTF'!$A$8:$Q$1000,'Raw RTF'!E$5,FALSE)</f>
        <v>45</v>
      </c>
      <c r="F228">
        <f>VLOOKUP($A228,'Raw RTF'!$A$8:$Q$1000,'Raw RTF'!F$5,FALSE)</f>
        <v>0</v>
      </c>
      <c r="G228">
        <f>VLOOKUP($A228,'Raw RTF'!$A$8:$Q$1000,'Raw RTF'!G$5,FALSE)</f>
        <v>0</v>
      </c>
      <c r="H228" t="str">
        <f>VLOOKUP($A228,'Raw RTF'!$A$8:$Q$1000,'Raw RTF'!H$5,FALSE)</f>
        <v>ResCACPNW</v>
      </c>
      <c r="I228">
        <f>VLOOKUP($A228,'Raw RTF'!$A$8:$Q$1000,'Raw RTF'!I$5,FALSE)</f>
        <v>0</v>
      </c>
      <c r="J228">
        <f>VLOOKUP($A228,'Raw RTF'!$A$8:$Q$1000,'Raw RTF'!J$5,FALSE)</f>
        <v>0</v>
      </c>
      <c r="K228">
        <f>VLOOKUP($A228,'Raw RTF'!$A$8:$Q$1000,'Raw RTF'!K$5,FALSE)</f>
        <v>0</v>
      </c>
      <c r="L228">
        <f>VLOOKUP($A228,'Raw RTF'!$A$8:$Q$1000,'Raw RTF'!L$5,FALSE)</f>
        <v>0</v>
      </c>
      <c r="M228">
        <f>VLOOKUP($A228,'Raw RTF'!$A$8:$Q$1000,'Raw RTF'!M$5,FALSE)</f>
        <v>0</v>
      </c>
      <c r="N228">
        <f>VLOOKUP($A228,'Raw RTF'!$A$8:$Q$1000,'Raw RTF'!N$5,FALSE)</f>
        <v>0</v>
      </c>
      <c r="O228">
        <f>VLOOKUP($A228,'Raw RTF'!$A$8:$Q$1000,'Raw RTF'!O$5,FALSE)</f>
        <v>0</v>
      </c>
      <c r="P228">
        <f>VLOOKUP($A228,'Raw RTF'!$A$8:$Q$1000,'Raw RTF'!P$5,FALSE)</f>
        <v>0</v>
      </c>
      <c r="Q228">
        <f>VLOOKUP($A228,'Raw RTF'!$A$8:$Q$1000,'Raw RTF'!Q$5,FALSE)</f>
        <v>0</v>
      </c>
    </row>
    <row r="229" spans="1:17">
      <c r="A229" t="str">
        <f t="shared" si="4"/>
        <v>Infiltration Reduction - CFM50 reduction - Heating Zone 3 (Zonal or DHP)CFM50 Infiltration Reduction (cooling savings)</v>
      </c>
      <c r="B229" s="305" t="s">
        <v>1318</v>
      </c>
      <c r="C229" s="307" t="s">
        <v>890</v>
      </c>
      <c r="D229">
        <f>VLOOKUP($A229,'Raw RTF'!$A$8:$Q$1000,'Raw RTF'!D$5,FALSE)</f>
        <v>-1.0645603170924124E-3</v>
      </c>
      <c r="E229">
        <f>VLOOKUP($A229,'Raw RTF'!$A$8:$Q$1000,'Raw RTF'!E$5,FALSE)</f>
        <v>15</v>
      </c>
      <c r="F229">
        <f>VLOOKUP($A229,'Raw RTF'!$A$8:$Q$1000,'Raw RTF'!F$5,FALSE)</f>
        <v>0</v>
      </c>
      <c r="G229">
        <f>VLOOKUP($A229,'Raw RTF'!$A$8:$Q$1000,'Raw RTF'!G$5,FALSE)</f>
        <v>0</v>
      </c>
      <c r="H229" t="str">
        <f>VLOOKUP($A229,'Raw RTF'!$A$8:$Q$1000,'Raw RTF'!H$5,FALSE)</f>
        <v>ResCACPNW</v>
      </c>
      <c r="I229">
        <f>VLOOKUP($A229,'Raw RTF'!$A$8:$Q$1000,'Raw RTF'!I$5,FALSE)</f>
        <v>0</v>
      </c>
      <c r="J229">
        <f>VLOOKUP($A229,'Raw RTF'!$A$8:$Q$1000,'Raw RTF'!J$5,FALSE)</f>
        <v>0</v>
      </c>
      <c r="K229">
        <f>VLOOKUP($A229,'Raw RTF'!$A$8:$Q$1000,'Raw RTF'!K$5,FALSE)</f>
        <v>0</v>
      </c>
      <c r="L229">
        <f>VLOOKUP($A229,'Raw RTF'!$A$8:$Q$1000,'Raw RTF'!L$5,FALSE)</f>
        <v>0</v>
      </c>
      <c r="M229">
        <f>VLOOKUP($A229,'Raw RTF'!$A$8:$Q$1000,'Raw RTF'!M$5,FALSE)</f>
        <v>0</v>
      </c>
      <c r="N229">
        <f>VLOOKUP($A229,'Raw RTF'!$A$8:$Q$1000,'Raw RTF'!N$5,FALSE)</f>
        <v>0</v>
      </c>
      <c r="O229">
        <f>VLOOKUP($A229,'Raw RTF'!$A$8:$Q$1000,'Raw RTF'!O$5,FALSE)</f>
        <v>0</v>
      </c>
      <c r="P229">
        <f>VLOOKUP($A229,'Raw RTF'!$A$8:$Q$1000,'Raw RTF'!P$5,FALSE)</f>
        <v>0</v>
      </c>
      <c r="Q229">
        <f>VLOOKUP($A229,'Raw RTF'!$A$8:$Q$1000,'Raw RTF'!Q$5,FALSE)</f>
        <v>0</v>
      </c>
    </row>
    <row r="230" spans="1:17">
      <c r="A230" t="str">
        <f t="shared" si="4"/>
        <v>Single Family Weatherization - Insulate Attic - R0 to R38 - Heating Zone 1 (Heat Pump)ATTIC R0 - R38 (cooling savings)</v>
      </c>
      <c r="B230" s="53" t="s">
        <v>148</v>
      </c>
      <c r="C230" s="54" t="s">
        <v>208</v>
      </c>
      <c r="D230">
        <f>VLOOKUP($A230,'Raw RTF'!$A$8:$Q$1000,'Raw RTF'!D$5,FALSE)</f>
        <v>0.11127176961072216</v>
      </c>
      <c r="E230">
        <f>VLOOKUP($A230,'Raw RTF'!$A$8:$Q$1000,'Raw RTF'!E$5,FALSE)</f>
        <v>45</v>
      </c>
      <c r="F230">
        <f>VLOOKUP($A230,'Raw RTF'!$A$8:$Q$1000,'Raw RTF'!F$5,FALSE)</f>
        <v>0</v>
      </c>
      <c r="G230">
        <f>VLOOKUP($A230,'Raw RTF'!$A$8:$Q$1000,'Raw RTF'!G$5,FALSE)</f>
        <v>0</v>
      </c>
      <c r="H230" t="str">
        <f>VLOOKUP($A230,'Raw RTF'!$A$8:$Q$1000,'Raw RTF'!H$5,FALSE)</f>
        <v>ResCACPNW</v>
      </c>
      <c r="I230">
        <f>VLOOKUP($A230,'Raw RTF'!$A$8:$Q$1000,'Raw RTF'!I$5,FALSE)</f>
        <v>0</v>
      </c>
      <c r="J230">
        <f>VLOOKUP($A230,'Raw RTF'!$A$8:$Q$1000,'Raw RTF'!J$5,FALSE)</f>
        <v>0</v>
      </c>
      <c r="K230">
        <f>VLOOKUP($A230,'Raw RTF'!$A$8:$Q$1000,'Raw RTF'!K$5,FALSE)</f>
        <v>0</v>
      </c>
      <c r="L230">
        <f>VLOOKUP($A230,'Raw RTF'!$A$8:$Q$1000,'Raw RTF'!L$5,FALSE)</f>
        <v>0</v>
      </c>
      <c r="M230">
        <f>VLOOKUP($A230,'Raw RTF'!$A$8:$Q$1000,'Raw RTF'!M$5,FALSE)</f>
        <v>0</v>
      </c>
      <c r="N230">
        <f>VLOOKUP($A230,'Raw RTF'!$A$8:$Q$1000,'Raw RTF'!N$5,FALSE)</f>
        <v>0</v>
      </c>
      <c r="O230">
        <f>VLOOKUP($A230,'Raw RTF'!$A$8:$Q$1000,'Raw RTF'!O$5,FALSE)</f>
        <v>0</v>
      </c>
      <c r="P230">
        <f>VLOOKUP($A230,'Raw RTF'!$A$8:$Q$1000,'Raw RTF'!P$5,FALSE)</f>
        <v>0</v>
      </c>
      <c r="Q230">
        <f>VLOOKUP($A230,'Raw RTF'!$A$8:$Q$1000,'Raw RTF'!Q$5,FALSE)</f>
        <v>0</v>
      </c>
    </row>
    <row r="231" spans="1:17">
      <c r="A231" t="str">
        <f t="shared" si="4"/>
        <v>Single Family Weatherization - Insulate Attic - R0 to R49 - Heating Zone 1 (Heat Pump)ATTIC R0 - R49 (cooling savings)</v>
      </c>
      <c r="B231" s="53" t="s">
        <v>150</v>
      </c>
      <c r="C231" s="54" t="s">
        <v>210</v>
      </c>
      <c r="D231">
        <f>VLOOKUP($A231,'Raw RTF'!$A$8:$Q$1000,'Raw RTF'!D$5,FALSE)</f>
        <v>0.11260527715978166</v>
      </c>
      <c r="E231">
        <f>VLOOKUP($A231,'Raw RTF'!$A$8:$Q$1000,'Raw RTF'!E$5,FALSE)</f>
        <v>45</v>
      </c>
      <c r="F231">
        <f>VLOOKUP($A231,'Raw RTF'!$A$8:$Q$1000,'Raw RTF'!F$5,FALSE)</f>
        <v>0</v>
      </c>
      <c r="G231">
        <f>VLOOKUP($A231,'Raw RTF'!$A$8:$Q$1000,'Raw RTF'!G$5,FALSE)</f>
        <v>0</v>
      </c>
      <c r="H231" t="str">
        <f>VLOOKUP($A231,'Raw RTF'!$A$8:$Q$1000,'Raw RTF'!H$5,FALSE)</f>
        <v>ResCACPNW</v>
      </c>
      <c r="I231">
        <f>VLOOKUP($A231,'Raw RTF'!$A$8:$Q$1000,'Raw RTF'!I$5,FALSE)</f>
        <v>0</v>
      </c>
      <c r="J231">
        <f>VLOOKUP($A231,'Raw RTF'!$A$8:$Q$1000,'Raw RTF'!J$5,FALSE)</f>
        <v>0</v>
      </c>
      <c r="K231">
        <f>VLOOKUP($A231,'Raw RTF'!$A$8:$Q$1000,'Raw RTF'!K$5,FALSE)</f>
        <v>0</v>
      </c>
      <c r="L231">
        <f>VLOOKUP($A231,'Raw RTF'!$A$8:$Q$1000,'Raw RTF'!L$5,FALSE)</f>
        <v>0</v>
      </c>
      <c r="M231">
        <f>VLOOKUP($A231,'Raw RTF'!$A$8:$Q$1000,'Raw RTF'!M$5,FALSE)</f>
        <v>0</v>
      </c>
      <c r="N231">
        <f>VLOOKUP($A231,'Raw RTF'!$A$8:$Q$1000,'Raw RTF'!N$5,FALSE)</f>
        <v>0</v>
      </c>
      <c r="O231">
        <f>VLOOKUP($A231,'Raw RTF'!$A$8:$Q$1000,'Raw RTF'!O$5,FALSE)</f>
        <v>0</v>
      </c>
      <c r="P231">
        <f>VLOOKUP($A231,'Raw RTF'!$A$8:$Q$1000,'Raw RTF'!P$5,FALSE)</f>
        <v>0</v>
      </c>
      <c r="Q231">
        <f>VLOOKUP($A231,'Raw RTF'!$A$8:$Q$1000,'Raw RTF'!Q$5,FALSE)</f>
        <v>0</v>
      </c>
    </row>
    <row r="232" spans="1:17">
      <c r="A232" t="str">
        <f t="shared" si="4"/>
        <v>Single Family Weatherization - Insulate Attic - R11 to R38 - Heating Zone 1 (Heat Pump)ATTIC R11 - R38 (cooling savings)</v>
      </c>
      <c r="B232" s="53" t="s">
        <v>151</v>
      </c>
      <c r="C232" s="54" t="s">
        <v>211</v>
      </c>
      <c r="D232">
        <f>VLOOKUP($A232,'Raw RTF'!$A$8:$Q$1000,'Raw RTF'!D$5,FALSE)</f>
        <v>1.6171544078991615E-2</v>
      </c>
      <c r="E232">
        <f>VLOOKUP($A232,'Raw RTF'!$A$8:$Q$1000,'Raw RTF'!E$5,FALSE)</f>
        <v>45</v>
      </c>
      <c r="F232">
        <f>VLOOKUP($A232,'Raw RTF'!$A$8:$Q$1000,'Raw RTF'!F$5,FALSE)</f>
        <v>0</v>
      </c>
      <c r="G232">
        <f>VLOOKUP($A232,'Raw RTF'!$A$8:$Q$1000,'Raw RTF'!G$5,FALSE)</f>
        <v>0</v>
      </c>
      <c r="H232" t="str">
        <f>VLOOKUP($A232,'Raw RTF'!$A$8:$Q$1000,'Raw RTF'!H$5,FALSE)</f>
        <v>ResCACPNW</v>
      </c>
      <c r="I232">
        <f>VLOOKUP($A232,'Raw RTF'!$A$8:$Q$1000,'Raw RTF'!I$5,FALSE)</f>
        <v>0</v>
      </c>
      <c r="J232">
        <f>VLOOKUP($A232,'Raw RTF'!$A$8:$Q$1000,'Raw RTF'!J$5,FALSE)</f>
        <v>0</v>
      </c>
      <c r="K232">
        <f>VLOOKUP($A232,'Raw RTF'!$A$8:$Q$1000,'Raw RTF'!K$5,FALSE)</f>
        <v>0</v>
      </c>
      <c r="L232">
        <f>VLOOKUP($A232,'Raw RTF'!$A$8:$Q$1000,'Raw RTF'!L$5,FALSE)</f>
        <v>0</v>
      </c>
      <c r="M232">
        <f>VLOOKUP($A232,'Raw RTF'!$A$8:$Q$1000,'Raw RTF'!M$5,FALSE)</f>
        <v>0</v>
      </c>
      <c r="N232">
        <f>VLOOKUP($A232,'Raw RTF'!$A$8:$Q$1000,'Raw RTF'!N$5,FALSE)</f>
        <v>0</v>
      </c>
      <c r="O232">
        <f>VLOOKUP($A232,'Raw RTF'!$A$8:$Q$1000,'Raw RTF'!O$5,FALSE)</f>
        <v>0</v>
      </c>
      <c r="P232">
        <f>VLOOKUP($A232,'Raw RTF'!$A$8:$Q$1000,'Raw RTF'!P$5,FALSE)</f>
        <v>0</v>
      </c>
      <c r="Q232">
        <f>VLOOKUP($A232,'Raw RTF'!$A$8:$Q$1000,'Raw RTF'!Q$5,FALSE)</f>
        <v>0</v>
      </c>
    </row>
    <row r="233" spans="1:17">
      <c r="A233" t="str">
        <f t="shared" si="4"/>
        <v>Single Family Weatherization - Insulate Attic - R11 to R49 - Heating Zone 1 (Heat Pump)ATTIC R11 - R49 (cooling savings)</v>
      </c>
      <c r="B233" s="53" t="s">
        <v>152</v>
      </c>
      <c r="C233" s="54" t="s">
        <v>212</v>
      </c>
      <c r="D233">
        <f>VLOOKUP($A233,'Raw RTF'!$A$8:$Q$1000,'Raw RTF'!D$5,FALSE)</f>
        <v>1.7505051628051122E-2</v>
      </c>
      <c r="E233">
        <f>VLOOKUP($A233,'Raw RTF'!$A$8:$Q$1000,'Raw RTF'!E$5,FALSE)</f>
        <v>45</v>
      </c>
      <c r="F233">
        <f>VLOOKUP($A233,'Raw RTF'!$A$8:$Q$1000,'Raw RTF'!F$5,FALSE)</f>
        <v>0</v>
      </c>
      <c r="G233">
        <f>VLOOKUP($A233,'Raw RTF'!$A$8:$Q$1000,'Raw RTF'!G$5,FALSE)</f>
        <v>0</v>
      </c>
      <c r="H233" t="str">
        <f>VLOOKUP($A233,'Raw RTF'!$A$8:$Q$1000,'Raw RTF'!H$5,FALSE)</f>
        <v>ResCACPNW</v>
      </c>
      <c r="I233">
        <f>VLOOKUP($A233,'Raw RTF'!$A$8:$Q$1000,'Raw RTF'!I$5,FALSE)</f>
        <v>0</v>
      </c>
      <c r="J233">
        <f>VLOOKUP($A233,'Raw RTF'!$A$8:$Q$1000,'Raw RTF'!J$5,FALSE)</f>
        <v>0</v>
      </c>
      <c r="K233">
        <f>VLOOKUP($A233,'Raw RTF'!$A$8:$Q$1000,'Raw RTF'!K$5,FALSE)</f>
        <v>0</v>
      </c>
      <c r="L233">
        <f>VLOOKUP($A233,'Raw RTF'!$A$8:$Q$1000,'Raw RTF'!L$5,FALSE)</f>
        <v>0</v>
      </c>
      <c r="M233">
        <f>VLOOKUP($A233,'Raw RTF'!$A$8:$Q$1000,'Raw RTF'!M$5,FALSE)</f>
        <v>0</v>
      </c>
      <c r="N233">
        <f>VLOOKUP($A233,'Raw RTF'!$A$8:$Q$1000,'Raw RTF'!N$5,FALSE)</f>
        <v>0</v>
      </c>
      <c r="O233">
        <f>VLOOKUP($A233,'Raw RTF'!$A$8:$Q$1000,'Raw RTF'!O$5,FALSE)</f>
        <v>0</v>
      </c>
      <c r="P233">
        <f>VLOOKUP($A233,'Raw RTF'!$A$8:$Q$1000,'Raw RTF'!P$5,FALSE)</f>
        <v>0</v>
      </c>
      <c r="Q233">
        <f>VLOOKUP($A233,'Raw RTF'!$A$8:$Q$1000,'Raw RTF'!Q$5,FALSE)</f>
        <v>0</v>
      </c>
    </row>
    <row r="234" spans="1:17">
      <c r="A234" t="str">
        <f t="shared" si="4"/>
        <v>Single Family Weatherization - Insulate Attic - R19 to R38 - Heating Zone 1 (Heat Pump)ATTIC R19 - R38 (cooling savings)</v>
      </c>
      <c r="B234" s="53" t="s">
        <v>153</v>
      </c>
      <c r="C234" s="54" t="s">
        <v>213</v>
      </c>
      <c r="D234">
        <f>VLOOKUP($A234,'Raw RTF'!$A$8:$Q$1000,'Raw RTF'!D$5,FALSE)</f>
        <v>6.5998675175979269E-3</v>
      </c>
      <c r="E234">
        <f>VLOOKUP($A234,'Raw RTF'!$A$8:$Q$1000,'Raw RTF'!E$5,FALSE)</f>
        <v>45</v>
      </c>
      <c r="F234">
        <f>VLOOKUP($A234,'Raw RTF'!$A$8:$Q$1000,'Raw RTF'!F$5,FALSE)</f>
        <v>0</v>
      </c>
      <c r="G234">
        <f>VLOOKUP($A234,'Raw RTF'!$A$8:$Q$1000,'Raw RTF'!G$5,FALSE)</f>
        <v>0</v>
      </c>
      <c r="H234" t="str">
        <f>VLOOKUP($A234,'Raw RTF'!$A$8:$Q$1000,'Raw RTF'!H$5,FALSE)</f>
        <v>ResCACPNW</v>
      </c>
      <c r="I234">
        <f>VLOOKUP($A234,'Raw RTF'!$A$8:$Q$1000,'Raw RTF'!I$5,FALSE)</f>
        <v>0</v>
      </c>
      <c r="J234">
        <f>VLOOKUP($A234,'Raw RTF'!$A$8:$Q$1000,'Raw RTF'!J$5,FALSE)</f>
        <v>0</v>
      </c>
      <c r="K234">
        <f>VLOOKUP($A234,'Raw RTF'!$A$8:$Q$1000,'Raw RTF'!K$5,FALSE)</f>
        <v>0</v>
      </c>
      <c r="L234">
        <f>VLOOKUP($A234,'Raw RTF'!$A$8:$Q$1000,'Raw RTF'!L$5,FALSE)</f>
        <v>0</v>
      </c>
      <c r="M234">
        <f>VLOOKUP($A234,'Raw RTF'!$A$8:$Q$1000,'Raw RTF'!M$5,FALSE)</f>
        <v>0</v>
      </c>
      <c r="N234">
        <f>VLOOKUP($A234,'Raw RTF'!$A$8:$Q$1000,'Raw RTF'!N$5,FALSE)</f>
        <v>0</v>
      </c>
      <c r="O234">
        <f>VLOOKUP($A234,'Raw RTF'!$A$8:$Q$1000,'Raw RTF'!O$5,FALSE)</f>
        <v>0</v>
      </c>
      <c r="P234">
        <f>VLOOKUP($A234,'Raw RTF'!$A$8:$Q$1000,'Raw RTF'!P$5,FALSE)</f>
        <v>0</v>
      </c>
      <c r="Q234">
        <f>VLOOKUP($A234,'Raw RTF'!$A$8:$Q$1000,'Raw RTF'!Q$5,FALSE)</f>
        <v>0</v>
      </c>
    </row>
    <row r="235" spans="1:17">
      <c r="A235" t="str">
        <f t="shared" si="4"/>
        <v>Single Family Weatherization - Insulate Attic - R19 to R49 - Heating Zone 1 (Heat Pump)ATTIC R19 - R49 (cooling savings)</v>
      </c>
      <c r="B235" s="53" t="s">
        <v>154</v>
      </c>
      <c r="C235" s="54" t="s">
        <v>214</v>
      </c>
      <c r="D235">
        <f>VLOOKUP($A235,'Raw RTF'!$A$8:$Q$1000,'Raw RTF'!D$5,FALSE)</f>
        <v>7.9333750666574377E-3</v>
      </c>
      <c r="E235">
        <f>VLOOKUP($A235,'Raw RTF'!$A$8:$Q$1000,'Raw RTF'!E$5,FALSE)</f>
        <v>45</v>
      </c>
      <c r="F235">
        <f>VLOOKUP($A235,'Raw RTF'!$A$8:$Q$1000,'Raw RTF'!F$5,FALSE)</f>
        <v>0</v>
      </c>
      <c r="G235">
        <f>VLOOKUP($A235,'Raw RTF'!$A$8:$Q$1000,'Raw RTF'!G$5,FALSE)</f>
        <v>0</v>
      </c>
      <c r="H235" t="str">
        <f>VLOOKUP($A235,'Raw RTF'!$A$8:$Q$1000,'Raw RTF'!H$5,FALSE)</f>
        <v>ResCACPNW</v>
      </c>
      <c r="I235">
        <f>VLOOKUP($A235,'Raw RTF'!$A$8:$Q$1000,'Raw RTF'!I$5,FALSE)</f>
        <v>0</v>
      </c>
      <c r="J235">
        <f>VLOOKUP($A235,'Raw RTF'!$A$8:$Q$1000,'Raw RTF'!J$5,FALSE)</f>
        <v>0</v>
      </c>
      <c r="K235">
        <f>VLOOKUP($A235,'Raw RTF'!$A$8:$Q$1000,'Raw RTF'!K$5,FALSE)</f>
        <v>0</v>
      </c>
      <c r="L235">
        <f>VLOOKUP($A235,'Raw RTF'!$A$8:$Q$1000,'Raw RTF'!L$5,FALSE)</f>
        <v>0</v>
      </c>
      <c r="M235">
        <f>VLOOKUP($A235,'Raw RTF'!$A$8:$Q$1000,'Raw RTF'!M$5,FALSE)</f>
        <v>0</v>
      </c>
      <c r="N235">
        <f>VLOOKUP($A235,'Raw RTF'!$A$8:$Q$1000,'Raw RTF'!N$5,FALSE)</f>
        <v>0</v>
      </c>
      <c r="O235">
        <f>VLOOKUP($A235,'Raw RTF'!$A$8:$Q$1000,'Raw RTF'!O$5,FALSE)</f>
        <v>0</v>
      </c>
      <c r="P235">
        <f>VLOOKUP($A235,'Raw RTF'!$A$8:$Q$1000,'Raw RTF'!P$5,FALSE)</f>
        <v>0</v>
      </c>
      <c r="Q235">
        <f>VLOOKUP($A235,'Raw RTF'!$A$8:$Q$1000,'Raw RTF'!Q$5,FALSE)</f>
        <v>0</v>
      </c>
    </row>
    <row r="236" spans="1:17">
      <c r="A236" t="str">
        <f t="shared" si="4"/>
        <v>Single Family Weatherization - Insulate Wall - R0 to R11 - Heating Zone 1 (Heat Pump)WALL R0 - R11 (cooling savings)</v>
      </c>
      <c r="B236" s="53" t="s">
        <v>157</v>
      </c>
      <c r="C236" s="54" t="s">
        <v>217</v>
      </c>
      <c r="D236">
        <f>VLOOKUP($A236,'Raw RTF'!$A$8:$Q$1000,'Raw RTF'!D$5,FALSE)</f>
        <v>1.6388687920343571E-2</v>
      </c>
      <c r="E236">
        <f>VLOOKUP($A236,'Raw RTF'!$A$8:$Q$1000,'Raw RTF'!E$5,FALSE)</f>
        <v>45</v>
      </c>
      <c r="F236">
        <f>VLOOKUP($A236,'Raw RTF'!$A$8:$Q$1000,'Raw RTF'!F$5,FALSE)</f>
        <v>0</v>
      </c>
      <c r="G236">
        <f>VLOOKUP($A236,'Raw RTF'!$A$8:$Q$1000,'Raw RTF'!G$5,FALSE)</f>
        <v>0</v>
      </c>
      <c r="H236" t="str">
        <f>VLOOKUP($A236,'Raw RTF'!$A$8:$Q$1000,'Raw RTF'!H$5,FALSE)</f>
        <v>ResCACPNW</v>
      </c>
      <c r="I236">
        <f>VLOOKUP($A236,'Raw RTF'!$A$8:$Q$1000,'Raw RTF'!I$5,FALSE)</f>
        <v>0</v>
      </c>
      <c r="J236">
        <f>VLOOKUP($A236,'Raw RTF'!$A$8:$Q$1000,'Raw RTF'!J$5,FALSE)</f>
        <v>0</v>
      </c>
      <c r="K236">
        <f>VLOOKUP($A236,'Raw RTF'!$A$8:$Q$1000,'Raw RTF'!K$5,FALSE)</f>
        <v>0</v>
      </c>
      <c r="L236">
        <f>VLOOKUP($A236,'Raw RTF'!$A$8:$Q$1000,'Raw RTF'!L$5,FALSE)</f>
        <v>0</v>
      </c>
      <c r="M236">
        <f>VLOOKUP($A236,'Raw RTF'!$A$8:$Q$1000,'Raw RTF'!M$5,FALSE)</f>
        <v>0</v>
      </c>
      <c r="N236">
        <f>VLOOKUP($A236,'Raw RTF'!$A$8:$Q$1000,'Raw RTF'!N$5,FALSE)</f>
        <v>0</v>
      </c>
      <c r="O236">
        <f>VLOOKUP($A236,'Raw RTF'!$A$8:$Q$1000,'Raw RTF'!O$5,FALSE)</f>
        <v>0</v>
      </c>
      <c r="P236">
        <f>VLOOKUP($A236,'Raw RTF'!$A$8:$Q$1000,'Raw RTF'!P$5,FALSE)</f>
        <v>0</v>
      </c>
      <c r="Q236">
        <f>VLOOKUP($A236,'Raw RTF'!$A$8:$Q$1000,'Raw RTF'!Q$5,FALSE)</f>
        <v>0</v>
      </c>
    </row>
    <row r="237" spans="1:17">
      <c r="A237" t="str">
        <f t="shared" si="4"/>
        <v>Single Family Weatherization - Insulate Floor - R0 to R19 - Heating Zone 1 (Heat Pump)FLOOR R0 - R19 (cooling savings)</v>
      </c>
      <c r="B237" s="53" t="s">
        <v>158</v>
      </c>
      <c r="C237" s="54" t="s">
        <v>218</v>
      </c>
      <c r="D237">
        <f>VLOOKUP($A237,'Raw RTF'!$A$8:$Q$1000,'Raw RTF'!D$5,FALSE)</f>
        <v>-1.4938880213715266E-2</v>
      </c>
      <c r="E237">
        <f>VLOOKUP($A237,'Raw RTF'!$A$8:$Q$1000,'Raw RTF'!E$5,FALSE)</f>
        <v>45</v>
      </c>
      <c r="F237">
        <f>VLOOKUP($A237,'Raw RTF'!$A$8:$Q$1000,'Raw RTF'!F$5,FALSE)</f>
        <v>0</v>
      </c>
      <c r="G237">
        <f>VLOOKUP($A237,'Raw RTF'!$A$8:$Q$1000,'Raw RTF'!G$5,FALSE)</f>
        <v>0</v>
      </c>
      <c r="H237" t="str">
        <f>VLOOKUP($A237,'Raw RTF'!$A$8:$Q$1000,'Raw RTF'!H$5,FALSE)</f>
        <v>ResCACPNW</v>
      </c>
      <c r="I237">
        <f>VLOOKUP($A237,'Raw RTF'!$A$8:$Q$1000,'Raw RTF'!I$5,FALSE)</f>
        <v>0</v>
      </c>
      <c r="J237">
        <f>VLOOKUP($A237,'Raw RTF'!$A$8:$Q$1000,'Raw RTF'!J$5,FALSE)</f>
        <v>0</v>
      </c>
      <c r="K237">
        <f>VLOOKUP($A237,'Raw RTF'!$A$8:$Q$1000,'Raw RTF'!K$5,FALSE)</f>
        <v>0</v>
      </c>
      <c r="L237">
        <f>VLOOKUP($A237,'Raw RTF'!$A$8:$Q$1000,'Raw RTF'!L$5,FALSE)</f>
        <v>0</v>
      </c>
      <c r="M237">
        <f>VLOOKUP($A237,'Raw RTF'!$A$8:$Q$1000,'Raw RTF'!M$5,FALSE)</f>
        <v>0</v>
      </c>
      <c r="N237">
        <f>VLOOKUP($A237,'Raw RTF'!$A$8:$Q$1000,'Raw RTF'!N$5,FALSE)</f>
        <v>0</v>
      </c>
      <c r="O237">
        <f>VLOOKUP($A237,'Raw RTF'!$A$8:$Q$1000,'Raw RTF'!O$5,FALSE)</f>
        <v>0</v>
      </c>
      <c r="P237">
        <f>VLOOKUP($A237,'Raw RTF'!$A$8:$Q$1000,'Raw RTF'!P$5,FALSE)</f>
        <v>0</v>
      </c>
      <c r="Q237">
        <f>VLOOKUP($A237,'Raw RTF'!$A$8:$Q$1000,'Raw RTF'!Q$5,FALSE)</f>
        <v>0</v>
      </c>
    </row>
    <row r="238" spans="1:17">
      <c r="A238" t="str">
        <f t="shared" si="4"/>
        <v>Single Family Weatherization - Insulate Floor - R0 to R25 - Heating Zone 1 (Heat Pump)FLOOR R0 - R25 (cooling savings)</v>
      </c>
      <c r="B238" s="53" t="s">
        <v>159</v>
      </c>
      <c r="C238" s="54" t="s">
        <v>219</v>
      </c>
      <c r="D238">
        <f>VLOOKUP($A238,'Raw RTF'!$A$8:$Q$1000,'Raw RTF'!D$5,FALSE)</f>
        <v>-1.6592265806422452E-2</v>
      </c>
      <c r="E238">
        <f>VLOOKUP($A238,'Raw RTF'!$A$8:$Q$1000,'Raw RTF'!E$5,FALSE)</f>
        <v>45</v>
      </c>
      <c r="F238">
        <f>VLOOKUP($A238,'Raw RTF'!$A$8:$Q$1000,'Raw RTF'!F$5,FALSE)</f>
        <v>0</v>
      </c>
      <c r="G238">
        <f>VLOOKUP($A238,'Raw RTF'!$A$8:$Q$1000,'Raw RTF'!G$5,FALSE)</f>
        <v>0</v>
      </c>
      <c r="H238" t="str">
        <f>VLOOKUP($A238,'Raw RTF'!$A$8:$Q$1000,'Raw RTF'!H$5,FALSE)</f>
        <v>ResCACPNW</v>
      </c>
      <c r="I238">
        <f>VLOOKUP($A238,'Raw RTF'!$A$8:$Q$1000,'Raw RTF'!I$5,FALSE)</f>
        <v>0</v>
      </c>
      <c r="J238">
        <f>VLOOKUP($A238,'Raw RTF'!$A$8:$Q$1000,'Raw RTF'!J$5,FALSE)</f>
        <v>0</v>
      </c>
      <c r="K238">
        <f>VLOOKUP($A238,'Raw RTF'!$A$8:$Q$1000,'Raw RTF'!K$5,FALSE)</f>
        <v>0</v>
      </c>
      <c r="L238">
        <f>VLOOKUP($A238,'Raw RTF'!$A$8:$Q$1000,'Raw RTF'!L$5,FALSE)</f>
        <v>0</v>
      </c>
      <c r="M238">
        <f>VLOOKUP($A238,'Raw RTF'!$A$8:$Q$1000,'Raw RTF'!M$5,FALSE)</f>
        <v>0</v>
      </c>
      <c r="N238">
        <f>VLOOKUP($A238,'Raw RTF'!$A$8:$Q$1000,'Raw RTF'!N$5,FALSE)</f>
        <v>0</v>
      </c>
      <c r="O238">
        <f>VLOOKUP($A238,'Raw RTF'!$A$8:$Q$1000,'Raw RTF'!O$5,FALSE)</f>
        <v>0</v>
      </c>
      <c r="P238">
        <f>VLOOKUP($A238,'Raw RTF'!$A$8:$Q$1000,'Raw RTF'!P$5,FALSE)</f>
        <v>0</v>
      </c>
      <c r="Q238">
        <f>VLOOKUP($A238,'Raw RTF'!$A$8:$Q$1000,'Raw RTF'!Q$5,FALSE)</f>
        <v>0</v>
      </c>
    </row>
    <row r="239" spans="1:17">
      <c r="A239" t="str">
        <f t="shared" si="4"/>
        <v>Single Family Weatherization - Insulate Floor - R0 to R30 - Heating Zone 1 (Heat Pump)FLOOR R0 - R30 (cooling savings)</v>
      </c>
      <c r="B239" s="53" t="s">
        <v>160</v>
      </c>
      <c r="C239" s="54" t="s">
        <v>220</v>
      </c>
      <c r="D239">
        <f>VLOOKUP($A239,'Raw RTF'!$A$8:$Q$1000,'Raw RTF'!D$5,FALSE)</f>
        <v>-1.7674407051073371E-2</v>
      </c>
      <c r="E239">
        <f>VLOOKUP($A239,'Raw RTF'!$A$8:$Q$1000,'Raw RTF'!E$5,FALSE)</f>
        <v>45</v>
      </c>
      <c r="F239">
        <f>VLOOKUP($A239,'Raw RTF'!$A$8:$Q$1000,'Raw RTF'!F$5,FALSE)</f>
        <v>0</v>
      </c>
      <c r="G239">
        <f>VLOOKUP($A239,'Raw RTF'!$A$8:$Q$1000,'Raw RTF'!G$5,FALSE)</f>
        <v>0</v>
      </c>
      <c r="H239" t="str">
        <f>VLOOKUP($A239,'Raw RTF'!$A$8:$Q$1000,'Raw RTF'!H$5,FALSE)</f>
        <v>ResCACPNW</v>
      </c>
      <c r="I239">
        <f>VLOOKUP($A239,'Raw RTF'!$A$8:$Q$1000,'Raw RTF'!I$5,FALSE)</f>
        <v>0</v>
      </c>
      <c r="J239">
        <f>VLOOKUP($A239,'Raw RTF'!$A$8:$Q$1000,'Raw RTF'!J$5,FALSE)</f>
        <v>0</v>
      </c>
      <c r="K239">
        <f>VLOOKUP($A239,'Raw RTF'!$A$8:$Q$1000,'Raw RTF'!K$5,FALSE)</f>
        <v>0</v>
      </c>
      <c r="L239">
        <f>VLOOKUP($A239,'Raw RTF'!$A$8:$Q$1000,'Raw RTF'!L$5,FALSE)</f>
        <v>0</v>
      </c>
      <c r="M239">
        <f>VLOOKUP($A239,'Raw RTF'!$A$8:$Q$1000,'Raw RTF'!M$5,FALSE)</f>
        <v>0</v>
      </c>
      <c r="N239">
        <f>VLOOKUP($A239,'Raw RTF'!$A$8:$Q$1000,'Raw RTF'!N$5,FALSE)</f>
        <v>0</v>
      </c>
      <c r="O239">
        <f>VLOOKUP($A239,'Raw RTF'!$A$8:$Q$1000,'Raw RTF'!O$5,FALSE)</f>
        <v>0</v>
      </c>
      <c r="P239">
        <f>VLOOKUP($A239,'Raw RTF'!$A$8:$Q$1000,'Raw RTF'!P$5,FALSE)</f>
        <v>0</v>
      </c>
      <c r="Q239">
        <f>VLOOKUP($A239,'Raw RTF'!$A$8:$Q$1000,'Raw RTF'!Q$5,FALSE)</f>
        <v>0</v>
      </c>
    </row>
    <row r="240" spans="1:17" ht="25.5">
      <c r="A240" t="str">
        <f t="shared" si="4"/>
        <v>Windows - Single Pane to Class 30 - Heating Zone 1 (Heat Pump)WINDOW CL30 Prime Window Replacement of Single Pane Base (cooling savings)</v>
      </c>
      <c r="B240" s="53" t="s">
        <v>161</v>
      </c>
      <c r="C240" s="54" t="s">
        <v>221</v>
      </c>
      <c r="D240">
        <f>VLOOKUP($A240,'Raw RTF'!$A$8:$Q$1000,'Raw RTF'!D$5,FALSE)</f>
        <v>0.28004804014236023</v>
      </c>
      <c r="E240">
        <f>VLOOKUP($A240,'Raw RTF'!$A$8:$Q$1000,'Raw RTF'!E$5,FALSE)</f>
        <v>45</v>
      </c>
      <c r="F240">
        <f>VLOOKUP($A240,'Raw RTF'!$A$8:$Q$1000,'Raw RTF'!F$5,FALSE)</f>
        <v>0</v>
      </c>
      <c r="G240">
        <f>VLOOKUP($A240,'Raw RTF'!$A$8:$Q$1000,'Raw RTF'!G$5,FALSE)</f>
        <v>0</v>
      </c>
      <c r="H240" t="str">
        <f>VLOOKUP($A240,'Raw RTF'!$A$8:$Q$1000,'Raw RTF'!H$5,FALSE)</f>
        <v>ResCACPNW</v>
      </c>
      <c r="I240">
        <f>VLOOKUP($A240,'Raw RTF'!$A$8:$Q$1000,'Raw RTF'!I$5,FALSE)</f>
        <v>0</v>
      </c>
      <c r="J240">
        <f>VLOOKUP($A240,'Raw RTF'!$A$8:$Q$1000,'Raw RTF'!J$5,FALSE)</f>
        <v>0</v>
      </c>
      <c r="K240">
        <f>VLOOKUP($A240,'Raw RTF'!$A$8:$Q$1000,'Raw RTF'!K$5,FALSE)</f>
        <v>0</v>
      </c>
      <c r="L240">
        <f>VLOOKUP($A240,'Raw RTF'!$A$8:$Q$1000,'Raw RTF'!L$5,FALSE)</f>
        <v>0</v>
      </c>
      <c r="M240">
        <f>VLOOKUP($A240,'Raw RTF'!$A$8:$Q$1000,'Raw RTF'!M$5,FALSE)</f>
        <v>0</v>
      </c>
      <c r="N240">
        <f>VLOOKUP($A240,'Raw RTF'!$A$8:$Q$1000,'Raw RTF'!N$5,FALSE)</f>
        <v>0</v>
      </c>
      <c r="O240">
        <f>VLOOKUP($A240,'Raw RTF'!$A$8:$Q$1000,'Raw RTF'!O$5,FALSE)</f>
        <v>0</v>
      </c>
      <c r="P240">
        <f>VLOOKUP($A240,'Raw RTF'!$A$8:$Q$1000,'Raw RTF'!P$5,FALSE)</f>
        <v>0</v>
      </c>
      <c r="Q240">
        <f>VLOOKUP($A240,'Raw RTF'!$A$8:$Q$1000,'Raw RTF'!Q$5,FALSE)</f>
        <v>0</v>
      </c>
    </row>
    <row r="241" spans="1:17" ht="25.5">
      <c r="A241" t="str">
        <f t="shared" si="4"/>
        <v>Windows - Double Pane to Class 30 - Heating Zone 1 (Heat Pump)WINDOW CL30 Prime Window Replacement of Double Pane Base (cooling savings)</v>
      </c>
      <c r="B241" s="53" t="s">
        <v>162</v>
      </c>
      <c r="C241" s="54" t="s">
        <v>222</v>
      </c>
      <c r="D241">
        <f>VLOOKUP($A241,'Raw RTF'!$A$8:$Q$1000,'Raw RTF'!D$5,FALSE)</f>
        <v>0.34231320722843483</v>
      </c>
      <c r="E241">
        <f>VLOOKUP($A241,'Raw RTF'!$A$8:$Q$1000,'Raw RTF'!E$5,FALSE)</f>
        <v>45</v>
      </c>
      <c r="F241">
        <f>VLOOKUP($A241,'Raw RTF'!$A$8:$Q$1000,'Raw RTF'!F$5,FALSE)</f>
        <v>0</v>
      </c>
      <c r="G241">
        <f>VLOOKUP($A241,'Raw RTF'!$A$8:$Q$1000,'Raw RTF'!G$5,FALSE)</f>
        <v>0</v>
      </c>
      <c r="H241" t="str">
        <f>VLOOKUP($A241,'Raw RTF'!$A$8:$Q$1000,'Raw RTF'!H$5,FALSE)</f>
        <v>ResCACPNW</v>
      </c>
      <c r="I241">
        <f>VLOOKUP($A241,'Raw RTF'!$A$8:$Q$1000,'Raw RTF'!I$5,FALSE)</f>
        <v>0</v>
      </c>
      <c r="J241">
        <f>VLOOKUP($A241,'Raw RTF'!$A$8:$Q$1000,'Raw RTF'!J$5,FALSE)</f>
        <v>0</v>
      </c>
      <c r="K241">
        <f>VLOOKUP($A241,'Raw RTF'!$A$8:$Q$1000,'Raw RTF'!K$5,FALSE)</f>
        <v>0</v>
      </c>
      <c r="L241">
        <f>VLOOKUP($A241,'Raw RTF'!$A$8:$Q$1000,'Raw RTF'!L$5,FALSE)</f>
        <v>0</v>
      </c>
      <c r="M241">
        <f>VLOOKUP($A241,'Raw RTF'!$A$8:$Q$1000,'Raw RTF'!M$5,FALSE)</f>
        <v>0</v>
      </c>
      <c r="N241">
        <f>VLOOKUP($A241,'Raw RTF'!$A$8:$Q$1000,'Raw RTF'!N$5,FALSE)</f>
        <v>0</v>
      </c>
      <c r="O241">
        <f>VLOOKUP($A241,'Raw RTF'!$A$8:$Q$1000,'Raw RTF'!O$5,FALSE)</f>
        <v>0</v>
      </c>
      <c r="P241">
        <f>VLOOKUP($A241,'Raw RTF'!$A$8:$Q$1000,'Raw RTF'!P$5,FALSE)</f>
        <v>0</v>
      </c>
      <c r="Q241">
        <f>VLOOKUP($A241,'Raw RTF'!$A$8:$Q$1000,'Raw RTF'!Q$5,FALSE)</f>
        <v>0</v>
      </c>
    </row>
    <row r="242" spans="1:17" ht="25.5">
      <c r="A242" t="str">
        <f t="shared" si="4"/>
        <v>Windows - Single Pane to Class 22 - Heating Zone 1 (Heat Pump)WINDOW CL22 Prime Window Replacement of Single Pane Base (cooling savings)</v>
      </c>
      <c r="B242" s="53" t="s">
        <v>164</v>
      </c>
      <c r="C242" s="54" t="s">
        <v>224</v>
      </c>
      <c r="D242">
        <f>VLOOKUP($A242,'Raw RTF'!$A$8:$Q$1000,'Raw RTF'!D$5,FALSE)</f>
        <v>0.30193784174143135</v>
      </c>
      <c r="E242">
        <f>VLOOKUP($A242,'Raw RTF'!$A$8:$Q$1000,'Raw RTF'!E$5,FALSE)</f>
        <v>45</v>
      </c>
      <c r="F242">
        <f>VLOOKUP($A242,'Raw RTF'!$A$8:$Q$1000,'Raw RTF'!F$5,FALSE)</f>
        <v>0</v>
      </c>
      <c r="G242">
        <f>VLOOKUP($A242,'Raw RTF'!$A$8:$Q$1000,'Raw RTF'!G$5,FALSE)</f>
        <v>0</v>
      </c>
      <c r="H242" t="str">
        <f>VLOOKUP($A242,'Raw RTF'!$A$8:$Q$1000,'Raw RTF'!H$5,FALSE)</f>
        <v>ResCACPNW</v>
      </c>
      <c r="I242">
        <f>VLOOKUP($A242,'Raw RTF'!$A$8:$Q$1000,'Raw RTF'!I$5,FALSE)</f>
        <v>0</v>
      </c>
      <c r="J242">
        <f>VLOOKUP($A242,'Raw RTF'!$A$8:$Q$1000,'Raw RTF'!J$5,FALSE)</f>
        <v>0</v>
      </c>
      <c r="K242">
        <f>VLOOKUP($A242,'Raw RTF'!$A$8:$Q$1000,'Raw RTF'!K$5,FALSE)</f>
        <v>0</v>
      </c>
      <c r="L242">
        <f>VLOOKUP($A242,'Raw RTF'!$A$8:$Q$1000,'Raw RTF'!L$5,FALSE)</f>
        <v>0</v>
      </c>
      <c r="M242">
        <f>VLOOKUP($A242,'Raw RTF'!$A$8:$Q$1000,'Raw RTF'!M$5,FALSE)</f>
        <v>0</v>
      </c>
      <c r="N242">
        <f>VLOOKUP($A242,'Raw RTF'!$A$8:$Q$1000,'Raw RTF'!N$5,FALSE)</f>
        <v>0</v>
      </c>
      <c r="O242">
        <f>VLOOKUP($A242,'Raw RTF'!$A$8:$Q$1000,'Raw RTF'!O$5,FALSE)</f>
        <v>0</v>
      </c>
      <c r="P242">
        <f>VLOOKUP($A242,'Raw RTF'!$A$8:$Q$1000,'Raw RTF'!P$5,FALSE)</f>
        <v>0</v>
      </c>
      <c r="Q242">
        <f>VLOOKUP($A242,'Raw RTF'!$A$8:$Q$1000,'Raw RTF'!Q$5,FALSE)</f>
        <v>0</v>
      </c>
    </row>
    <row r="243" spans="1:17" ht="25.5">
      <c r="A243" t="str">
        <f t="shared" si="4"/>
        <v>Windows - Double Pane to Class 22 - Heating Zone 1 (Heat Pump)WINDOW CL22 Prime Window Replacement of Double Pane Base (cooling savings)</v>
      </c>
      <c r="B243" s="53" t="s">
        <v>165</v>
      </c>
      <c r="C243" s="54" t="s">
        <v>225</v>
      </c>
      <c r="D243">
        <f>VLOOKUP($A243,'Raw RTF'!$A$8:$Q$1000,'Raw RTF'!D$5,FALSE)</f>
        <v>0.364203008827506</v>
      </c>
      <c r="E243">
        <f>VLOOKUP($A243,'Raw RTF'!$A$8:$Q$1000,'Raw RTF'!E$5,FALSE)</f>
        <v>45</v>
      </c>
      <c r="F243">
        <f>VLOOKUP($A243,'Raw RTF'!$A$8:$Q$1000,'Raw RTF'!F$5,FALSE)</f>
        <v>0</v>
      </c>
      <c r="G243">
        <f>VLOOKUP($A243,'Raw RTF'!$A$8:$Q$1000,'Raw RTF'!G$5,FALSE)</f>
        <v>0</v>
      </c>
      <c r="H243" t="str">
        <f>VLOOKUP($A243,'Raw RTF'!$A$8:$Q$1000,'Raw RTF'!H$5,FALSE)</f>
        <v>ResCACPNW</v>
      </c>
      <c r="I243">
        <f>VLOOKUP($A243,'Raw RTF'!$A$8:$Q$1000,'Raw RTF'!I$5,FALSE)</f>
        <v>0</v>
      </c>
      <c r="J243">
        <f>VLOOKUP($A243,'Raw RTF'!$A$8:$Q$1000,'Raw RTF'!J$5,FALSE)</f>
        <v>0</v>
      </c>
      <c r="K243">
        <f>VLOOKUP($A243,'Raw RTF'!$A$8:$Q$1000,'Raw RTF'!K$5,FALSE)</f>
        <v>0</v>
      </c>
      <c r="L243">
        <f>VLOOKUP($A243,'Raw RTF'!$A$8:$Q$1000,'Raw RTF'!L$5,FALSE)</f>
        <v>0</v>
      </c>
      <c r="M243">
        <f>VLOOKUP($A243,'Raw RTF'!$A$8:$Q$1000,'Raw RTF'!M$5,FALSE)</f>
        <v>0</v>
      </c>
      <c r="N243">
        <f>VLOOKUP($A243,'Raw RTF'!$A$8:$Q$1000,'Raw RTF'!N$5,FALSE)</f>
        <v>0</v>
      </c>
      <c r="O243">
        <f>VLOOKUP($A243,'Raw RTF'!$A$8:$Q$1000,'Raw RTF'!O$5,FALSE)</f>
        <v>0</v>
      </c>
      <c r="P243">
        <f>VLOOKUP($A243,'Raw RTF'!$A$8:$Q$1000,'Raw RTF'!P$5,FALSE)</f>
        <v>0</v>
      </c>
      <c r="Q243">
        <f>VLOOKUP($A243,'Raw RTF'!$A$8:$Q$1000,'Raw RTF'!Q$5,FALSE)</f>
        <v>0</v>
      </c>
    </row>
    <row r="244" spans="1:17">
      <c r="A244" t="str">
        <f t="shared" ref="A244:A274" si="5">CONCATENATE(B244,C244)</f>
        <v>Infiltration Reduction - CFM50 reduction - Heating Zone 1 (Heat Pump)CFM50 Infiltration Reduction (cooling savings)</v>
      </c>
      <c r="B244" s="53" t="s">
        <v>167</v>
      </c>
      <c r="C244" s="307" t="s">
        <v>890</v>
      </c>
      <c r="D244">
        <f>VLOOKUP($A244,'Raw RTF'!$A$8:$Q$1000,'Raw RTF'!D$5,FALSE)</f>
        <v>2.6259340480084435E-3</v>
      </c>
      <c r="E244">
        <f>VLOOKUP($A244,'Raw RTF'!$A$8:$Q$1000,'Raw RTF'!E$5,FALSE)</f>
        <v>15</v>
      </c>
      <c r="F244">
        <f>VLOOKUP($A244,'Raw RTF'!$A$8:$Q$1000,'Raw RTF'!F$5,FALSE)</f>
        <v>0</v>
      </c>
      <c r="G244">
        <f>VLOOKUP($A244,'Raw RTF'!$A$8:$Q$1000,'Raw RTF'!G$5,FALSE)</f>
        <v>0</v>
      </c>
      <c r="H244" t="str">
        <f>VLOOKUP($A244,'Raw RTF'!$A$8:$Q$1000,'Raw RTF'!H$5,FALSE)</f>
        <v>ResCACPNW</v>
      </c>
      <c r="I244">
        <f>VLOOKUP($A244,'Raw RTF'!$A$8:$Q$1000,'Raw RTF'!I$5,FALSE)</f>
        <v>0</v>
      </c>
      <c r="J244">
        <f>VLOOKUP($A244,'Raw RTF'!$A$8:$Q$1000,'Raw RTF'!J$5,FALSE)</f>
        <v>0</v>
      </c>
      <c r="K244">
        <f>VLOOKUP($A244,'Raw RTF'!$A$8:$Q$1000,'Raw RTF'!K$5,FALSE)</f>
        <v>0</v>
      </c>
      <c r="L244">
        <f>VLOOKUP($A244,'Raw RTF'!$A$8:$Q$1000,'Raw RTF'!L$5,FALSE)</f>
        <v>0</v>
      </c>
      <c r="M244">
        <f>VLOOKUP($A244,'Raw RTF'!$A$8:$Q$1000,'Raw RTF'!M$5,FALSE)</f>
        <v>0</v>
      </c>
      <c r="N244">
        <f>VLOOKUP($A244,'Raw RTF'!$A$8:$Q$1000,'Raw RTF'!N$5,FALSE)</f>
        <v>0</v>
      </c>
      <c r="O244">
        <f>VLOOKUP($A244,'Raw RTF'!$A$8:$Q$1000,'Raw RTF'!O$5,FALSE)</f>
        <v>0</v>
      </c>
      <c r="P244">
        <f>VLOOKUP($A244,'Raw RTF'!$A$8:$Q$1000,'Raw RTF'!P$5,FALSE)</f>
        <v>0</v>
      </c>
      <c r="Q244">
        <f>VLOOKUP($A244,'Raw RTF'!$A$8:$Q$1000,'Raw RTF'!Q$5,FALSE)</f>
        <v>0</v>
      </c>
    </row>
    <row r="245" spans="1:17">
      <c r="A245" t="str">
        <f t="shared" si="5"/>
        <v>Single Family Weatherization - Insulate Attic - R0 to R38 - Heating Zone 2 (Heat Pump)ATTIC R0 - R38 (cooling savings)</v>
      </c>
      <c r="B245" s="53" t="s">
        <v>168</v>
      </c>
      <c r="C245" s="54" t="s">
        <v>208</v>
      </c>
      <c r="D245">
        <f>VLOOKUP($A245,'Raw RTF'!$A$8:$Q$1000,'Raw RTF'!D$5,FALSE)</f>
        <v>0.16014327630127786</v>
      </c>
      <c r="E245">
        <f>VLOOKUP($A245,'Raw RTF'!$A$8:$Q$1000,'Raw RTF'!E$5,FALSE)</f>
        <v>45</v>
      </c>
      <c r="F245">
        <f>VLOOKUP($A245,'Raw RTF'!$A$8:$Q$1000,'Raw RTF'!F$5,FALSE)</f>
        <v>0</v>
      </c>
      <c r="G245">
        <f>VLOOKUP($A245,'Raw RTF'!$A$8:$Q$1000,'Raw RTF'!G$5,FALSE)</f>
        <v>0</v>
      </c>
      <c r="H245" t="str">
        <f>VLOOKUP($A245,'Raw RTF'!$A$8:$Q$1000,'Raw RTF'!H$5,FALSE)</f>
        <v>ResCACPNW</v>
      </c>
      <c r="I245">
        <f>VLOOKUP($A245,'Raw RTF'!$A$8:$Q$1000,'Raw RTF'!I$5,FALSE)</f>
        <v>0</v>
      </c>
      <c r="J245">
        <f>VLOOKUP($A245,'Raw RTF'!$A$8:$Q$1000,'Raw RTF'!J$5,FALSE)</f>
        <v>0</v>
      </c>
      <c r="K245">
        <f>VLOOKUP($A245,'Raw RTF'!$A$8:$Q$1000,'Raw RTF'!K$5,FALSE)</f>
        <v>0</v>
      </c>
      <c r="L245">
        <f>VLOOKUP($A245,'Raw RTF'!$A$8:$Q$1000,'Raw RTF'!L$5,FALSE)</f>
        <v>0</v>
      </c>
      <c r="M245">
        <f>VLOOKUP($A245,'Raw RTF'!$A$8:$Q$1000,'Raw RTF'!M$5,FALSE)</f>
        <v>0</v>
      </c>
      <c r="N245">
        <f>VLOOKUP($A245,'Raw RTF'!$A$8:$Q$1000,'Raw RTF'!N$5,FALSE)</f>
        <v>0</v>
      </c>
      <c r="O245">
        <f>VLOOKUP($A245,'Raw RTF'!$A$8:$Q$1000,'Raw RTF'!O$5,FALSE)</f>
        <v>0</v>
      </c>
      <c r="P245">
        <f>VLOOKUP($A245,'Raw RTF'!$A$8:$Q$1000,'Raw RTF'!P$5,FALSE)</f>
        <v>0</v>
      </c>
      <c r="Q245">
        <f>VLOOKUP($A245,'Raw RTF'!$A$8:$Q$1000,'Raw RTF'!Q$5,FALSE)</f>
        <v>0</v>
      </c>
    </row>
    <row r="246" spans="1:17">
      <c r="A246" t="str">
        <f t="shared" si="5"/>
        <v>Single Family Weatherization - Insulate Attic - R0 to R49 - Heating Zone 2 (Heat Pump)ATTIC R0 - R49 (cooling savings)</v>
      </c>
      <c r="B246" s="53" t="s">
        <v>170</v>
      </c>
      <c r="C246" s="54" t="s">
        <v>210</v>
      </c>
      <c r="D246">
        <f>VLOOKUP($A246,'Raw RTF'!$A$8:$Q$1000,'Raw RTF'!D$5,FALSE)</f>
        <v>0.16203963010463099</v>
      </c>
      <c r="E246">
        <f>VLOOKUP($A246,'Raw RTF'!$A$8:$Q$1000,'Raw RTF'!E$5,FALSE)</f>
        <v>45</v>
      </c>
      <c r="F246">
        <f>VLOOKUP($A246,'Raw RTF'!$A$8:$Q$1000,'Raw RTF'!F$5,FALSE)</f>
        <v>0</v>
      </c>
      <c r="G246">
        <f>VLOOKUP($A246,'Raw RTF'!$A$8:$Q$1000,'Raw RTF'!G$5,FALSE)</f>
        <v>0</v>
      </c>
      <c r="H246" t="str">
        <f>VLOOKUP($A246,'Raw RTF'!$A$8:$Q$1000,'Raw RTF'!H$5,FALSE)</f>
        <v>ResCACPNW</v>
      </c>
      <c r="I246">
        <f>VLOOKUP($A246,'Raw RTF'!$A$8:$Q$1000,'Raw RTF'!I$5,FALSE)</f>
        <v>0</v>
      </c>
      <c r="J246">
        <f>VLOOKUP($A246,'Raw RTF'!$A$8:$Q$1000,'Raw RTF'!J$5,FALSE)</f>
        <v>0</v>
      </c>
      <c r="K246">
        <f>VLOOKUP($A246,'Raw RTF'!$A$8:$Q$1000,'Raw RTF'!K$5,FALSE)</f>
        <v>0</v>
      </c>
      <c r="L246">
        <f>VLOOKUP($A246,'Raw RTF'!$A$8:$Q$1000,'Raw RTF'!L$5,FALSE)</f>
        <v>0</v>
      </c>
      <c r="M246">
        <f>VLOOKUP($A246,'Raw RTF'!$A$8:$Q$1000,'Raw RTF'!M$5,FALSE)</f>
        <v>0</v>
      </c>
      <c r="N246">
        <f>VLOOKUP($A246,'Raw RTF'!$A$8:$Q$1000,'Raw RTF'!N$5,FALSE)</f>
        <v>0</v>
      </c>
      <c r="O246">
        <f>VLOOKUP($A246,'Raw RTF'!$A$8:$Q$1000,'Raw RTF'!O$5,FALSE)</f>
        <v>0</v>
      </c>
      <c r="P246">
        <f>VLOOKUP($A246,'Raw RTF'!$A$8:$Q$1000,'Raw RTF'!P$5,FALSE)</f>
        <v>0</v>
      </c>
      <c r="Q246">
        <f>VLOOKUP($A246,'Raw RTF'!$A$8:$Q$1000,'Raw RTF'!Q$5,FALSE)</f>
        <v>0</v>
      </c>
    </row>
    <row r="247" spans="1:17">
      <c r="A247" t="str">
        <f t="shared" si="5"/>
        <v>Single Family Weatherization - Insulate Attic - R11 to R38 - Heating Zone 2 (Heat Pump)ATTIC R11 - R38 (cooling savings)</v>
      </c>
      <c r="B247" s="53" t="s">
        <v>171</v>
      </c>
      <c r="C247" s="54" t="s">
        <v>211</v>
      </c>
      <c r="D247">
        <f>VLOOKUP($A247,'Raw RTF'!$A$8:$Q$1000,'Raw RTF'!D$5,FALSE)</f>
        <v>2.3053674154165489E-2</v>
      </c>
      <c r="E247">
        <f>VLOOKUP($A247,'Raw RTF'!$A$8:$Q$1000,'Raw RTF'!E$5,FALSE)</f>
        <v>45</v>
      </c>
      <c r="F247">
        <f>VLOOKUP($A247,'Raw RTF'!$A$8:$Q$1000,'Raw RTF'!F$5,FALSE)</f>
        <v>0</v>
      </c>
      <c r="G247">
        <f>VLOOKUP($A247,'Raw RTF'!$A$8:$Q$1000,'Raw RTF'!G$5,FALSE)</f>
        <v>0</v>
      </c>
      <c r="H247" t="str">
        <f>VLOOKUP($A247,'Raw RTF'!$A$8:$Q$1000,'Raw RTF'!H$5,FALSE)</f>
        <v>ResCACPNW</v>
      </c>
      <c r="I247">
        <f>VLOOKUP($A247,'Raw RTF'!$A$8:$Q$1000,'Raw RTF'!I$5,FALSE)</f>
        <v>0</v>
      </c>
      <c r="J247">
        <f>VLOOKUP($A247,'Raw RTF'!$A$8:$Q$1000,'Raw RTF'!J$5,FALSE)</f>
        <v>0</v>
      </c>
      <c r="K247">
        <f>VLOOKUP($A247,'Raw RTF'!$A$8:$Q$1000,'Raw RTF'!K$5,FALSE)</f>
        <v>0</v>
      </c>
      <c r="L247">
        <f>VLOOKUP($A247,'Raw RTF'!$A$8:$Q$1000,'Raw RTF'!L$5,FALSE)</f>
        <v>0</v>
      </c>
      <c r="M247">
        <f>VLOOKUP($A247,'Raw RTF'!$A$8:$Q$1000,'Raw RTF'!M$5,FALSE)</f>
        <v>0</v>
      </c>
      <c r="N247">
        <f>VLOOKUP($A247,'Raw RTF'!$A$8:$Q$1000,'Raw RTF'!N$5,FALSE)</f>
        <v>0</v>
      </c>
      <c r="O247">
        <f>VLOOKUP($A247,'Raw RTF'!$A$8:$Q$1000,'Raw RTF'!O$5,FALSE)</f>
        <v>0</v>
      </c>
      <c r="P247">
        <f>VLOOKUP($A247,'Raw RTF'!$A$8:$Q$1000,'Raw RTF'!P$5,FALSE)</f>
        <v>0</v>
      </c>
      <c r="Q247">
        <f>VLOOKUP($A247,'Raw RTF'!$A$8:$Q$1000,'Raw RTF'!Q$5,FALSE)</f>
        <v>0</v>
      </c>
    </row>
    <row r="248" spans="1:17">
      <c r="A248" t="str">
        <f t="shared" si="5"/>
        <v>Single Family Weatherization - Insulate Attic - R11 to R49 - Heating Zone 2 (Heat Pump)ATTIC R11 - R49 (cooling savings)</v>
      </c>
      <c r="B248" s="53" t="s">
        <v>172</v>
      </c>
      <c r="C248" s="54" t="s">
        <v>212</v>
      </c>
      <c r="D248">
        <f>VLOOKUP($A248,'Raw RTF'!$A$8:$Q$1000,'Raw RTF'!D$5,FALSE)</f>
        <v>2.4950027957518613E-2</v>
      </c>
      <c r="E248">
        <f>VLOOKUP($A248,'Raw RTF'!$A$8:$Q$1000,'Raw RTF'!E$5,FALSE)</f>
        <v>45</v>
      </c>
      <c r="F248">
        <f>VLOOKUP($A248,'Raw RTF'!$A$8:$Q$1000,'Raw RTF'!F$5,FALSE)</f>
        <v>0</v>
      </c>
      <c r="G248">
        <f>VLOOKUP($A248,'Raw RTF'!$A$8:$Q$1000,'Raw RTF'!G$5,FALSE)</f>
        <v>0</v>
      </c>
      <c r="H248" t="str">
        <f>VLOOKUP($A248,'Raw RTF'!$A$8:$Q$1000,'Raw RTF'!H$5,FALSE)</f>
        <v>ResCACPNW</v>
      </c>
      <c r="I248">
        <f>VLOOKUP($A248,'Raw RTF'!$A$8:$Q$1000,'Raw RTF'!I$5,FALSE)</f>
        <v>0</v>
      </c>
      <c r="J248">
        <f>VLOOKUP($A248,'Raw RTF'!$A$8:$Q$1000,'Raw RTF'!J$5,FALSE)</f>
        <v>0</v>
      </c>
      <c r="K248">
        <f>VLOOKUP($A248,'Raw RTF'!$A$8:$Q$1000,'Raw RTF'!K$5,FALSE)</f>
        <v>0</v>
      </c>
      <c r="L248">
        <f>VLOOKUP($A248,'Raw RTF'!$A$8:$Q$1000,'Raw RTF'!L$5,FALSE)</f>
        <v>0</v>
      </c>
      <c r="M248">
        <f>VLOOKUP($A248,'Raw RTF'!$A$8:$Q$1000,'Raw RTF'!M$5,FALSE)</f>
        <v>0</v>
      </c>
      <c r="N248">
        <f>VLOOKUP($A248,'Raw RTF'!$A$8:$Q$1000,'Raw RTF'!N$5,FALSE)</f>
        <v>0</v>
      </c>
      <c r="O248">
        <f>VLOOKUP($A248,'Raw RTF'!$A$8:$Q$1000,'Raw RTF'!O$5,FALSE)</f>
        <v>0</v>
      </c>
      <c r="P248">
        <f>VLOOKUP($A248,'Raw RTF'!$A$8:$Q$1000,'Raw RTF'!P$5,FALSE)</f>
        <v>0</v>
      </c>
      <c r="Q248">
        <f>VLOOKUP($A248,'Raw RTF'!$A$8:$Q$1000,'Raw RTF'!Q$5,FALSE)</f>
        <v>0</v>
      </c>
    </row>
    <row r="249" spans="1:17">
      <c r="A249" t="str">
        <f t="shared" si="5"/>
        <v>Single Family Weatherization - Insulate Attic - R19 to R38 - Heating Zone 2 (Heat Pump)ATTIC R19 - R38 (cooling savings)</v>
      </c>
      <c r="B249" s="53" t="s">
        <v>173</v>
      </c>
      <c r="C249" s="54" t="s">
        <v>213</v>
      </c>
      <c r="D249">
        <f>VLOOKUP($A249,'Raw RTF'!$A$8:$Q$1000,'Raw RTF'!D$5,FALSE)</f>
        <v>9.3938303793518613E-3</v>
      </c>
      <c r="E249">
        <f>VLOOKUP($A249,'Raw RTF'!$A$8:$Q$1000,'Raw RTF'!E$5,FALSE)</f>
        <v>45</v>
      </c>
      <c r="F249">
        <f>VLOOKUP($A249,'Raw RTF'!$A$8:$Q$1000,'Raw RTF'!F$5,FALSE)</f>
        <v>0</v>
      </c>
      <c r="G249">
        <f>VLOOKUP($A249,'Raw RTF'!$A$8:$Q$1000,'Raw RTF'!G$5,FALSE)</f>
        <v>0</v>
      </c>
      <c r="H249" t="str">
        <f>VLOOKUP($A249,'Raw RTF'!$A$8:$Q$1000,'Raw RTF'!H$5,FALSE)</f>
        <v>ResCACPNW</v>
      </c>
      <c r="I249">
        <f>VLOOKUP($A249,'Raw RTF'!$A$8:$Q$1000,'Raw RTF'!I$5,FALSE)</f>
        <v>0</v>
      </c>
      <c r="J249">
        <f>VLOOKUP($A249,'Raw RTF'!$A$8:$Q$1000,'Raw RTF'!J$5,FALSE)</f>
        <v>0</v>
      </c>
      <c r="K249">
        <f>VLOOKUP($A249,'Raw RTF'!$A$8:$Q$1000,'Raw RTF'!K$5,FALSE)</f>
        <v>0</v>
      </c>
      <c r="L249">
        <f>VLOOKUP($A249,'Raw RTF'!$A$8:$Q$1000,'Raw RTF'!L$5,FALSE)</f>
        <v>0</v>
      </c>
      <c r="M249">
        <f>VLOOKUP($A249,'Raw RTF'!$A$8:$Q$1000,'Raw RTF'!M$5,FALSE)</f>
        <v>0</v>
      </c>
      <c r="N249">
        <f>VLOOKUP($A249,'Raw RTF'!$A$8:$Q$1000,'Raw RTF'!N$5,FALSE)</f>
        <v>0</v>
      </c>
      <c r="O249">
        <f>VLOOKUP($A249,'Raw RTF'!$A$8:$Q$1000,'Raw RTF'!O$5,FALSE)</f>
        <v>0</v>
      </c>
      <c r="P249">
        <f>VLOOKUP($A249,'Raw RTF'!$A$8:$Q$1000,'Raw RTF'!P$5,FALSE)</f>
        <v>0</v>
      </c>
      <c r="Q249">
        <f>VLOOKUP($A249,'Raw RTF'!$A$8:$Q$1000,'Raw RTF'!Q$5,FALSE)</f>
        <v>0</v>
      </c>
    </row>
    <row r="250" spans="1:17">
      <c r="A250" t="str">
        <f t="shared" si="5"/>
        <v>Single Family Weatherization - Insulate Attic - R19 to R49 - Heating Zone 2 (Heat Pump)ATTIC R19 - R49 (cooling savings)</v>
      </c>
      <c r="B250" s="53" t="s">
        <v>174</v>
      </c>
      <c r="C250" s="54" t="s">
        <v>214</v>
      </c>
      <c r="D250">
        <f>VLOOKUP($A250,'Raw RTF'!$A$8:$Q$1000,'Raw RTF'!D$5,FALSE)</f>
        <v>1.1290184182704983E-2</v>
      </c>
      <c r="E250">
        <f>VLOOKUP($A250,'Raw RTF'!$A$8:$Q$1000,'Raw RTF'!E$5,FALSE)</f>
        <v>45</v>
      </c>
      <c r="F250">
        <f>VLOOKUP($A250,'Raw RTF'!$A$8:$Q$1000,'Raw RTF'!F$5,FALSE)</f>
        <v>0</v>
      </c>
      <c r="G250">
        <f>VLOOKUP($A250,'Raw RTF'!$A$8:$Q$1000,'Raw RTF'!G$5,FALSE)</f>
        <v>0</v>
      </c>
      <c r="H250" t="str">
        <f>VLOOKUP($A250,'Raw RTF'!$A$8:$Q$1000,'Raw RTF'!H$5,FALSE)</f>
        <v>ResCACPNW</v>
      </c>
      <c r="I250">
        <f>VLOOKUP($A250,'Raw RTF'!$A$8:$Q$1000,'Raw RTF'!I$5,FALSE)</f>
        <v>0</v>
      </c>
      <c r="J250">
        <f>VLOOKUP($A250,'Raw RTF'!$A$8:$Q$1000,'Raw RTF'!J$5,FALSE)</f>
        <v>0</v>
      </c>
      <c r="K250">
        <f>VLOOKUP($A250,'Raw RTF'!$A$8:$Q$1000,'Raw RTF'!K$5,FALSE)</f>
        <v>0</v>
      </c>
      <c r="L250">
        <f>VLOOKUP($A250,'Raw RTF'!$A$8:$Q$1000,'Raw RTF'!L$5,FALSE)</f>
        <v>0</v>
      </c>
      <c r="M250">
        <f>VLOOKUP($A250,'Raw RTF'!$A$8:$Q$1000,'Raw RTF'!M$5,FALSE)</f>
        <v>0</v>
      </c>
      <c r="N250">
        <f>VLOOKUP($A250,'Raw RTF'!$A$8:$Q$1000,'Raw RTF'!N$5,FALSE)</f>
        <v>0</v>
      </c>
      <c r="O250">
        <f>VLOOKUP($A250,'Raw RTF'!$A$8:$Q$1000,'Raw RTF'!O$5,FALSE)</f>
        <v>0</v>
      </c>
      <c r="P250">
        <f>VLOOKUP($A250,'Raw RTF'!$A$8:$Q$1000,'Raw RTF'!P$5,FALSE)</f>
        <v>0</v>
      </c>
      <c r="Q250">
        <f>VLOOKUP($A250,'Raw RTF'!$A$8:$Q$1000,'Raw RTF'!Q$5,FALSE)</f>
        <v>0</v>
      </c>
    </row>
    <row r="251" spans="1:17">
      <c r="A251" t="str">
        <f t="shared" si="5"/>
        <v>Single Family Weatherization - Insulate Wall - R0 to R11 - Heating Zone 2 (Heat Pump)WALL R0 - R11 (cooling savings)</v>
      </c>
      <c r="B251" s="53" t="s">
        <v>177</v>
      </c>
      <c r="C251" s="54" t="s">
        <v>217</v>
      </c>
      <c r="D251">
        <f>VLOOKUP($A251,'Raw RTF'!$A$8:$Q$1000,'Raw RTF'!D$5,FALSE)</f>
        <v>2.1895627357705123E-2</v>
      </c>
      <c r="E251">
        <f>VLOOKUP($A251,'Raw RTF'!$A$8:$Q$1000,'Raw RTF'!E$5,FALSE)</f>
        <v>45</v>
      </c>
      <c r="F251">
        <f>VLOOKUP($A251,'Raw RTF'!$A$8:$Q$1000,'Raw RTF'!F$5,FALSE)</f>
        <v>0</v>
      </c>
      <c r="G251">
        <f>VLOOKUP($A251,'Raw RTF'!$A$8:$Q$1000,'Raw RTF'!G$5,FALSE)</f>
        <v>0</v>
      </c>
      <c r="H251" t="str">
        <f>VLOOKUP($A251,'Raw RTF'!$A$8:$Q$1000,'Raw RTF'!H$5,FALSE)</f>
        <v>ResCACPNW</v>
      </c>
      <c r="I251">
        <f>VLOOKUP($A251,'Raw RTF'!$A$8:$Q$1000,'Raw RTF'!I$5,FALSE)</f>
        <v>0</v>
      </c>
      <c r="J251">
        <f>VLOOKUP($A251,'Raw RTF'!$A$8:$Q$1000,'Raw RTF'!J$5,FALSE)</f>
        <v>0</v>
      </c>
      <c r="K251">
        <f>VLOOKUP($A251,'Raw RTF'!$A$8:$Q$1000,'Raw RTF'!K$5,FALSE)</f>
        <v>0</v>
      </c>
      <c r="L251">
        <f>VLOOKUP($A251,'Raw RTF'!$A$8:$Q$1000,'Raw RTF'!L$5,FALSE)</f>
        <v>0</v>
      </c>
      <c r="M251">
        <f>VLOOKUP($A251,'Raw RTF'!$A$8:$Q$1000,'Raw RTF'!M$5,FALSE)</f>
        <v>0</v>
      </c>
      <c r="N251">
        <f>VLOOKUP($A251,'Raw RTF'!$A$8:$Q$1000,'Raw RTF'!N$5,FALSE)</f>
        <v>0</v>
      </c>
      <c r="O251">
        <f>VLOOKUP($A251,'Raw RTF'!$A$8:$Q$1000,'Raw RTF'!O$5,FALSE)</f>
        <v>0</v>
      </c>
      <c r="P251">
        <f>VLOOKUP($A251,'Raw RTF'!$A$8:$Q$1000,'Raw RTF'!P$5,FALSE)</f>
        <v>0</v>
      </c>
      <c r="Q251">
        <f>VLOOKUP($A251,'Raw RTF'!$A$8:$Q$1000,'Raw RTF'!Q$5,FALSE)</f>
        <v>0</v>
      </c>
    </row>
    <row r="252" spans="1:17">
      <c r="A252" t="str">
        <f t="shared" si="5"/>
        <v>Single Family Weatherization - Insulate Floor - R0 to R19 - Heating Zone 2 (Heat Pump)FLOOR R0 - R19 (cooling savings)</v>
      </c>
      <c r="B252" s="53" t="s">
        <v>178</v>
      </c>
      <c r="C252" s="54" t="s">
        <v>218</v>
      </c>
      <c r="D252">
        <f>VLOOKUP($A252,'Raw RTF'!$A$8:$Q$1000,'Raw RTF'!D$5,FALSE)</f>
        <v>-2.3257152444759982E-2</v>
      </c>
      <c r="E252">
        <f>VLOOKUP($A252,'Raw RTF'!$A$8:$Q$1000,'Raw RTF'!E$5,FALSE)</f>
        <v>45</v>
      </c>
      <c r="F252">
        <f>VLOOKUP($A252,'Raw RTF'!$A$8:$Q$1000,'Raw RTF'!F$5,FALSE)</f>
        <v>0</v>
      </c>
      <c r="G252">
        <f>VLOOKUP($A252,'Raw RTF'!$A$8:$Q$1000,'Raw RTF'!G$5,FALSE)</f>
        <v>0</v>
      </c>
      <c r="H252" t="str">
        <f>VLOOKUP($A252,'Raw RTF'!$A$8:$Q$1000,'Raw RTF'!H$5,FALSE)</f>
        <v>ResCACPNW</v>
      </c>
      <c r="I252">
        <f>VLOOKUP($A252,'Raw RTF'!$A$8:$Q$1000,'Raw RTF'!I$5,FALSE)</f>
        <v>0</v>
      </c>
      <c r="J252">
        <f>VLOOKUP($A252,'Raw RTF'!$A$8:$Q$1000,'Raw RTF'!J$5,FALSE)</f>
        <v>0</v>
      </c>
      <c r="K252">
        <f>VLOOKUP($A252,'Raw RTF'!$A$8:$Q$1000,'Raw RTF'!K$5,FALSE)</f>
        <v>0</v>
      </c>
      <c r="L252">
        <f>VLOOKUP($A252,'Raw RTF'!$A$8:$Q$1000,'Raw RTF'!L$5,FALSE)</f>
        <v>0</v>
      </c>
      <c r="M252">
        <f>VLOOKUP($A252,'Raw RTF'!$A$8:$Q$1000,'Raw RTF'!M$5,FALSE)</f>
        <v>0</v>
      </c>
      <c r="N252">
        <f>VLOOKUP($A252,'Raw RTF'!$A$8:$Q$1000,'Raw RTF'!N$5,FALSE)</f>
        <v>0</v>
      </c>
      <c r="O252">
        <f>VLOOKUP($A252,'Raw RTF'!$A$8:$Q$1000,'Raw RTF'!O$5,FALSE)</f>
        <v>0</v>
      </c>
      <c r="P252">
        <f>VLOOKUP($A252,'Raw RTF'!$A$8:$Q$1000,'Raw RTF'!P$5,FALSE)</f>
        <v>0</v>
      </c>
      <c r="Q252">
        <f>VLOOKUP($A252,'Raw RTF'!$A$8:$Q$1000,'Raw RTF'!Q$5,FALSE)</f>
        <v>0</v>
      </c>
    </row>
    <row r="253" spans="1:17">
      <c r="A253" t="str">
        <f t="shared" si="5"/>
        <v>Single Family Weatherization - Insulate Floor - R0 to R25 - Heating Zone 2 (Heat Pump)FLOOR R0 - R25 (cooling savings)</v>
      </c>
      <c r="B253" s="53" t="s">
        <v>179</v>
      </c>
      <c r="C253" s="54" t="s">
        <v>219</v>
      </c>
      <c r="D253">
        <f>VLOOKUP($A253,'Raw RTF'!$A$8:$Q$1000,'Raw RTF'!D$5,FALSE)</f>
        <v>-2.5801269745118038E-2</v>
      </c>
      <c r="E253">
        <f>VLOOKUP($A253,'Raw RTF'!$A$8:$Q$1000,'Raw RTF'!E$5,FALSE)</f>
        <v>45</v>
      </c>
      <c r="F253">
        <f>VLOOKUP($A253,'Raw RTF'!$A$8:$Q$1000,'Raw RTF'!F$5,FALSE)</f>
        <v>0</v>
      </c>
      <c r="G253">
        <f>VLOOKUP($A253,'Raw RTF'!$A$8:$Q$1000,'Raw RTF'!G$5,FALSE)</f>
        <v>0</v>
      </c>
      <c r="H253" t="str">
        <f>VLOOKUP($A253,'Raw RTF'!$A$8:$Q$1000,'Raw RTF'!H$5,FALSE)</f>
        <v>ResCACPNW</v>
      </c>
      <c r="I253">
        <f>VLOOKUP($A253,'Raw RTF'!$A$8:$Q$1000,'Raw RTF'!I$5,FALSE)</f>
        <v>0</v>
      </c>
      <c r="J253">
        <f>VLOOKUP($A253,'Raw RTF'!$A$8:$Q$1000,'Raw RTF'!J$5,FALSE)</f>
        <v>0</v>
      </c>
      <c r="K253">
        <f>VLOOKUP($A253,'Raw RTF'!$A$8:$Q$1000,'Raw RTF'!K$5,FALSE)</f>
        <v>0</v>
      </c>
      <c r="L253">
        <f>VLOOKUP($A253,'Raw RTF'!$A$8:$Q$1000,'Raw RTF'!L$5,FALSE)</f>
        <v>0</v>
      </c>
      <c r="M253">
        <f>VLOOKUP($A253,'Raw RTF'!$A$8:$Q$1000,'Raw RTF'!M$5,FALSE)</f>
        <v>0</v>
      </c>
      <c r="N253">
        <f>VLOOKUP($A253,'Raw RTF'!$A$8:$Q$1000,'Raw RTF'!N$5,FALSE)</f>
        <v>0</v>
      </c>
      <c r="O253">
        <f>VLOOKUP($A253,'Raw RTF'!$A$8:$Q$1000,'Raw RTF'!O$5,FALSE)</f>
        <v>0</v>
      </c>
      <c r="P253">
        <f>VLOOKUP($A253,'Raw RTF'!$A$8:$Q$1000,'Raw RTF'!P$5,FALSE)</f>
        <v>0</v>
      </c>
      <c r="Q253">
        <f>VLOOKUP($A253,'Raw RTF'!$A$8:$Q$1000,'Raw RTF'!Q$5,FALSE)</f>
        <v>0</v>
      </c>
    </row>
    <row r="254" spans="1:17">
      <c r="A254" t="str">
        <f t="shared" si="5"/>
        <v>Single Family Weatherization - Insulate Floor - R0 to R30 - Heating Zone 2 (Heat Pump)FLOOR R0 - R30 (cooling savings)</v>
      </c>
      <c r="B254" s="53" t="s">
        <v>180</v>
      </c>
      <c r="C254" s="54" t="s">
        <v>220</v>
      </c>
      <c r="D254">
        <f>VLOOKUP($A254,'Raw RTF'!$A$8:$Q$1000,'Raw RTF'!D$5,FALSE)</f>
        <v>-2.7459924374583951E-2</v>
      </c>
      <c r="E254">
        <f>VLOOKUP($A254,'Raw RTF'!$A$8:$Q$1000,'Raw RTF'!E$5,FALSE)</f>
        <v>45</v>
      </c>
      <c r="F254">
        <f>VLOOKUP($A254,'Raw RTF'!$A$8:$Q$1000,'Raw RTF'!F$5,FALSE)</f>
        <v>0</v>
      </c>
      <c r="G254">
        <f>VLOOKUP($A254,'Raw RTF'!$A$8:$Q$1000,'Raw RTF'!G$5,FALSE)</f>
        <v>0</v>
      </c>
      <c r="H254" t="str">
        <f>VLOOKUP($A254,'Raw RTF'!$A$8:$Q$1000,'Raw RTF'!H$5,FALSE)</f>
        <v>ResCACPNW</v>
      </c>
      <c r="I254">
        <f>VLOOKUP($A254,'Raw RTF'!$A$8:$Q$1000,'Raw RTF'!I$5,FALSE)</f>
        <v>0</v>
      </c>
      <c r="J254">
        <f>VLOOKUP($A254,'Raw RTF'!$A$8:$Q$1000,'Raw RTF'!J$5,FALSE)</f>
        <v>0</v>
      </c>
      <c r="K254">
        <f>VLOOKUP($A254,'Raw RTF'!$A$8:$Q$1000,'Raw RTF'!K$5,FALSE)</f>
        <v>0</v>
      </c>
      <c r="L254">
        <f>VLOOKUP($A254,'Raw RTF'!$A$8:$Q$1000,'Raw RTF'!L$5,FALSE)</f>
        <v>0</v>
      </c>
      <c r="M254">
        <f>VLOOKUP($A254,'Raw RTF'!$A$8:$Q$1000,'Raw RTF'!M$5,FALSE)</f>
        <v>0</v>
      </c>
      <c r="N254">
        <f>VLOOKUP($A254,'Raw RTF'!$A$8:$Q$1000,'Raw RTF'!N$5,FALSE)</f>
        <v>0</v>
      </c>
      <c r="O254">
        <f>VLOOKUP($A254,'Raw RTF'!$A$8:$Q$1000,'Raw RTF'!O$5,FALSE)</f>
        <v>0</v>
      </c>
      <c r="P254">
        <f>VLOOKUP($A254,'Raw RTF'!$A$8:$Q$1000,'Raw RTF'!P$5,FALSE)</f>
        <v>0</v>
      </c>
      <c r="Q254">
        <f>VLOOKUP($A254,'Raw RTF'!$A$8:$Q$1000,'Raw RTF'!Q$5,FALSE)</f>
        <v>0</v>
      </c>
    </row>
    <row r="255" spans="1:17" ht="25.5">
      <c r="A255" t="str">
        <f t="shared" si="5"/>
        <v>Windows - Single Pane to Class 30 - Heating Zone 2 (Heat Pump)WINDOW CL30 Prime Window Replacement of Single Pane Base (cooling savings)</v>
      </c>
      <c r="B255" s="53" t="s">
        <v>181</v>
      </c>
      <c r="C255" s="54" t="s">
        <v>221</v>
      </c>
      <c r="D255">
        <f>VLOOKUP($A255,'Raw RTF'!$A$8:$Q$1000,'Raw RTF'!D$5,FALSE)</f>
        <v>0.39984605086525038</v>
      </c>
      <c r="E255">
        <f>VLOOKUP($A255,'Raw RTF'!$A$8:$Q$1000,'Raw RTF'!E$5,FALSE)</f>
        <v>45</v>
      </c>
      <c r="F255">
        <f>VLOOKUP($A255,'Raw RTF'!$A$8:$Q$1000,'Raw RTF'!F$5,FALSE)</f>
        <v>0</v>
      </c>
      <c r="G255">
        <f>VLOOKUP($A255,'Raw RTF'!$A$8:$Q$1000,'Raw RTF'!G$5,FALSE)</f>
        <v>0</v>
      </c>
      <c r="H255" t="str">
        <f>VLOOKUP($A255,'Raw RTF'!$A$8:$Q$1000,'Raw RTF'!H$5,FALSE)</f>
        <v>ResCACPNW</v>
      </c>
      <c r="I255">
        <f>VLOOKUP($A255,'Raw RTF'!$A$8:$Q$1000,'Raw RTF'!I$5,FALSE)</f>
        <v>0</v>
      </c>
      <c r="J255">
        <f>VLOOKUP($A255,'Raw RTF'!$A$8:$Q$1000,'Raw RTF'!J$5,FALSE)</f>
        <v>0</v>
      </c>
      <c r="K255">
        <f>VLOOKUP($A255,'Raw RTF'!$A$8:$Q$1000,'Raw RTF'!K$5,FALSE)</f>
        <v>0</v>
      </c>
      <c r="L255">
        <f>VLOOKUP($A255,'Raw RTF'!$A$8:$Q$1000,'Raw RTF'!L$5,FALSE)</f>
        <v>0</v>
      </c>
      <c r="M255">
        <f>VLOOKUP($A255,'Raw RTF'!$A$8:$Q$1000,'Raw RTF'!M$5,FALSE)</f>
        <v>0</v>
      </c>
      <c r="N255">
        <f>VLOOKUP($A255,'Raw RTF'!$A$8:$Q$1000,'Raw RTF'!N$5,FALSE)</f>
        <v>0</v>
      </c>
      <c r="O255">
        <f>VLOOKUP($A255,'Raw RTF'!$A$8:$Q$1000,'Raw RTF'!O$5,FALSE)</f>
        <v>0</v>
      </c>
      <c r="P255">
        <f>VLOOKUP($A255,'Raw RTF'!$A$8:$Q$1000,'Raw RTF'!P$5,FALSE)</f>
        <v>0</v>
      </c>
      <c r="Q255">
        <f>VLOOKUP($A255,'Raw RTF'!$A$8:$Q$1000,'Raw RTF'!Q$5,FALSE)</f>
        <v>0</v>
      </c>
    </row>
    <row r="256" spans="1:17" ht="25.5">
      <c r="A256" t="str">
        <f t="shared" si="5"/>
        <v>Windows - Double Pane to Class 30 - Heating Zone 2 (Heat Pump)WINDOW CL30 Prime Window Replacement of Double Pane Base (cooling savings)</v>
      </c>
      <c r="B256" s="53" t="s">
        <v>182</v>
      </c>
      <c r="C256" s="54" t="s">
        <v>222</v>
      </c>
      <c r="D256">
        <f>VLOOKUP($A256,'Raw RTF'!$A$8:$Q$1000,'Raw RTF'!D$5,FALSE)</f>
        <v>0.49600850984697276</v>
      </c>
      <c r="E256">
        <f>VLOOKUP($A256,'Raw RTF'!$A$8:$Q$1000,'Raw RTF'!E$5,FALSE)</f>
        <v>45</v>
      </c>
      <c r="F256">
        <f>VLOOKUP($A256,'Raw RTF'!$A$8:$Q$1000,'Raw RTF'!F$5,FALSE)</f>
        <v>0</v>
      </c>
      <c r="G256">
        <f>VLOOKUP($A256,'Raw RTF'!$A$8:$Q$1000,'Raw RTF'!G$5,FALSE)</f>
        <v>0</v>
      </c>
      <c r="H256" t="str">
        <f>VLOOKUP($A256,'Raw RTF'!$A$8:$Q$1000,'Raw RTF'!H$5,FALSE)</f>
        <v>ResCACPNW</v>
      </c>
      <c r="I256">
        <f>VLOOKUP($A256,'Raw RTF'!$A$8:$Q$1000,'Raw RTF'!I$5,FALSE)</f>
        <v>0</v>
      </c>
      <c r="J256">
        <f>VLOOKUP($A256,'Raw RTF'!$A$8:$Q$1000,'Raw RTF'!J$5,FALSE)</f>
        <v>0</v>
      </c>
      <c r="K256">
        <f>VLOOKUP($A256,'Raw RTF'!$A$8:$Q$1000,'Raw RTF'!K$5,FALSE)</f>
        <v>0</v>
      </c>
      <c r="L256">
        <f>VLOOKUP($A256,'Raw RTF'!$A$8:$Q$1000,'Raw RTF'!L$5,FALSE)</f>
        <v>0</v>
      </c>
      <c r="M256">
        <f>VLOOKUP($A256,'Raw RTF'!$A$8:$Q$1000,'Raw RTF'!M$5,FALSE)</f>
        <v>0</v>
      </c>
      <c r="N256">
        <f>VLOOKUP($A256,'Raw RTF'!$A$8:$Q$1000,'Raw RTF'!N$5,FALSE)</f>
        <v>0</v>
      </c>
      <c r="O256">
        <f>VLOOKUP($A256,'Raw RTF'!$A$8:$Q$1000,'Raw RTF'!O$5,FALSE)</f>
        <v>0</v>
      </c>
      <c r="P256">
        <f>VLOOKUP($A256,'Raw RTF'!$A$8:$Q$1000,'Raw RTF'!P$5,FALSE)</f>
        <v>0</v>
      </c>
      <c r="Q256">
        <f>VLOOKUP($A256,'Raw RTF'!$A$8:$Q$1000,'Raw RTF'!Q$5,FALSE)</f>
        <v>0</v>
      </c>
    </row>
    <row r="257" spans="1:17" ht="25.5">
      <c r="A257" t="str">
        <f t="shared" si="5"/>
        <v>Windows - Single Pane to Class 22 - Heating Zone 2 (Heat Pump)WINDOW CL22 Prime Window Replacement of Single Pane Base (cooling savings)</v>
      </c>
      <c r="B257" s="53" t="s">
        <v>184</v>
      </c>
      <c r="C257" s="54" t="s">
        <v>224</v>
      </c>
      <c r="D257">
        <f>VLOOKUP($A257,'Raw RTF'!$A$8:$Q$1000,'Raw RTF'!D$5,FALSE)</f>
        <v>0.43083473115200893</v>
      </c>
      <c r="E257">
        <f>VLOOKUP($A257,'Raw RTF'!$A$8:$Q$1000,'Raw RTF'!E$5,FALSE)</f>
        <v>45</v>
      </c>
      <c r="F257">
        <f>VLOOKUP($A257,'Raw RTF'!$A$8:$Q$1000,'Raw RTF'!F$5,FALSE)</f>
        <v>0</v>
      </c>
      <c r="G257">
        <f>VLOOKUP($A257,'Raw RTF'!$A$8:$Q$1000,'Raw RTF'!G$5,FALSE)</f>
        <v>0</v>
      </c>
      <c r="H257" t="str">
        <f>VLOOKUP($A257,'Raw RTF'!$A$8:$Q$1000,'Raw RTF'!H$5,FALSE)</f>
        <v>ResCACPNW</v>
      </c>
      <c r="I257">
        <f>VLOOKUP($A257,'Raw RTF'!$A$8:$Q$1000,'Raw RTF'!I$5,FALSE)</f>
        <v>0</v>
      </c>
      <c r="J257">
        <f>VLOOKUP($A257,'Raw RTF'!$A$8:$Q$1000,'Raw RTF'!J$5,FALSE)</f>
        <v>0</v>
      </c>
      <c r="K257">
        <f>VLOOKUP($A257,'Raw RTF'!$A$8:$Q$1000,'Raw RTF'!K$5,FALSE)</f>
        <v>0</v>
      </c>
      <c r="L257">
        <f>VLOOKUP($A257,'Raw RTF'!$A$8:$Q$1000,'Raw RTF'!L$5,FALSE)</f>
        <v>0</v>
      </c>
      <c r="M257">
        <f>VLOOKUP($A257,'Raw RTF'!$A$8:$Q$1000,'Raw RTF'!M$5,FALSE)</f>
        <v>0</v>
      </c>
      <c r="N257">
        <f>VLOOKUP($A257,'Raw RTF'!$A$8:$Q$1000,'Raw RTF'!N$5,FALSE)</f>
        <v>0</v>
      </c>
      <c r="O257">
        <f>VLOOKUP($A257,'Raw RTF'!$A$8:$Q$1000,'Raw RTF'!O$5,FALSE)</f>
        <v>0</v>
      </c>
      <c r="P257">
        <f>VLOOKUP($A257,'Raw RTF'!$A$8:$Q$1000,'Raw RTF'!P$5,FALSE)</f>
        <v>0</v>
      </c>
      <c r="Q257">
        <f>VLOOKUP($A257,'Raw RTF'!$A$8:$Q$1000,'Raw RTF'!Q$5,FALSE)</f>
        <v>0</v>
      </c>
    </row>
    <row r="258" spans="1:17" ht="25.5">
      <c r="A258" t="str">
        <f t="shared" si="5"/>
        <v>Windows - Double Pane to Class 22 - Heating Zone 2 (Heat Pump)WINDOW CL22 Prime Window Replacement of Double Pane Base (cooling savings)</v>
      </c>
      <c r="B258" s="53" t="s">
        <v>185</v>
      </c>
      <c r="C258" s="54" t="s">
        <v>225</v>
      </c>
      <c r="D258">
        <f>VLOOKUP($A258,'Raw RTF'!$A$8:$Q$1000,'Raw RTF'!D$5,FALSE)</f>
        <v>0.52699719013373125</v>
      </c>
      <c r="E258">
        <f>VLOOKUP($A258,'Raw RTF'!$A$8:$Q$1000,'Raw RTF'!E$5,FALSE)</f>
        <v>45</v>
      </c>
      <c r="F258">
        <f>VLOOKUP($A258,'Raw RTF'!$A$8:$Q$1000,'Raw RTF'!F$5,FALSE)</f>
        <v>0</v>
      </c>
      <c r="G258">
        <f>VLOOKUP($A258,'Raw RTF'!$A$8:$Q$1000,'Raw RTF'!G$5,FALSE)</f>
        <v>0</v>
      </c>
      <c r="H258" t="str">
        <f>VLOOKUP($A258,'Raw RTF'!$A$8:$Q$1000,'Raw RTF'!H$5,FALSE)</f>
        <v>ResCACPNW</v>
      </c>
      <c r="I258">
        <f>VLOOKUP($A258,'Raw RTF'!$A$8:$Q$1000,'Raw RTF'!I$5,FALSE)</f>
        <v>0</v>
      </c>
      <c r="J258">
        <f>VLOOKUP($A258,'Raw RTF'!$A$8:$Q$1000,'Raw RTF'!J$5,FALSE)</f>
        <v>0</v>
      </c>
      <c r="K258">
        <f>VLOOKUP($A258,'Raw RTF'!$A$8:$Q$1000,'Raw RTF'!K$5,FALSE)</f>
        <v>0</v>
      </c>
      <c r="L258">
        <f>VLOOKUP($A258,'Raw RTF'!$A$8:$Q$1000,'Raw RTF'!L$5,FALSE)</f>
        <v>0</v>
      </c>
      <c r="M258">
        <f>VLOOKUP($A258,'Raw RTF'!$A$8:$Q$1000,'Raw RTF'!M$5,FALSE)</f>
        <v>0</v>
      </c>
      <c r="N258">
        <f>VLOOKUP($A258,'Raw RTF'!$A$8:$Q$1000,'Raw RTF'!N$5,FALSE)</f>
        <v>0</v>
      </c>
      <c r="O258">
        <f>VLOOKUP($A258,'Raw RTF'!$A$8:$Q$1000,'Raw RTF'!O$5,FALSE)</f>
        <v>0</v>
      </c>
      <c r="P258">
        <f>VLOOKUP($A258,'Raw RTF'!$A$8:$Q$1000,'Raw RTF'!P$5,FALSE)</f>
        <v>0</v>
      </c>
      <c r="Q258">
        <f>VLOOKUP($A258,'Raw RTF'!$A$8:$Q$1000,'Raw RTF'!Q$5,FALSE)</f>
        <v>0</v>
      </c>
    </row>
    <row r="259" spans="1:17">
      <c r="A259" t="str">
        <f t="shared" si="5"/>
        <v>Infiltration Reduction - CFM50 reduction - Heating Zone 2 (Heat Pump)CFM50 Infiltration Reduction (cooling savings)</v>
      </c>
      <c r="B259" s="53" t="s">
        <v>187</v>
      </c>
      <c r="C259" s="307" t="s">
        <v>890</v>
      </c>
      <c r="D259">
        <f>VLOOKUP($A259,'Raw RTF'!$A$8:$Q$1000,'Raw RTF'!D$5,FALSE)</f>
        <v>2.9596780509987836E-3</v>
      </c>
      <c r="E259">
        <f>VLOOKUP($A259,'Raw RTF'!$A$8:$Q$1000,'Raw RTF'!E$5,FALSE)</f>
        <v>15</v>
      </c>
      <c r="F259">
        <f>VLOOKUP($A259,'Raw RTF'!$A$8:$Q$1000,'Raw RTF'!F$5,FALSE)</f>
        <v>0</v>
      </c>
      <c r="G259">
        <f>VLOOKUP($A259,'Raw RTF'!$A$8:$Q$1000,'Raw RTF'!G$5,FALSE)</f>
        <v>0</v>
      </c>
      <c r="H259" t="str">
        <f>VLOOKUP($A259,'Raw RTF'!$A$8:$Q$1000,'Raw RTF'!H$5,FALSE)</f>
        <v>ResCACPNW</v>
      </c>
      <c r="I259">
        <f>VLOOKUP($A259,'Raw RTF'!$A$8:$Q$1000,'Raw RTF'!I$5,FALSE)</f>
        <v>0</v>
      </c>
      <c r="J259">
        <f>VLOOKUP($A259,'Raw RTF'!$A$8:$Q$1000,'Raw RTF'!J$5,FALSE)</f>
        <v>0</v>
      </c>
      <c r="K259">
        <f>VLOOKUP($A259,'Raw RTF'!$A$8:$Q$1000,'Raw RTF'!K$5,FALSE)</f>
        <v>0</v>
      </c>
      <c r="L259">
        <f>VLOOKUP($A259,'Raw RTF'!$A$8:$Q$1000,'Raw RTF'!L$5,FALSE)</f>
        <v>0</v>
      </c>
      <c r="M259">
        <f>VLOOKUP($A259,'Raw RTF'!$A$8:$Q$1000,'Raw RTF'!M$5,FALSE)</f>
        <v>0</v>
      </c>
      <c r="N259">
        <f>VLOOKUP($A259,'Raw RTF'!$A$8:$Q$1000,'Raw RTF'!N$5,FALSE)</f>
        <v>0</v>
      </c>
      <c r="O259">
        <f>VLOOKUP($A259,'Raw RTF'!$A$8:$Q$1000,'Raw RTF'!O$5,FALSE)</f>
        <v>0</v>
      </c>
      <c r="P259">
        <f>VLOOKUP($A259,'Raw RTF'!$A$8:$Q$1000,'Raw RTF'!P$5,FALSE)</f>
        <v>0</v>
      </c>
      <c r="Q259">
        <f>VLOOKUP($A259,'Raw RTF'!$A$8:$Q$1000,'Raw RTF'!Q$5,FALSE)</f>
        <v>0</v>
      </c>
    </row>
    <row r="260" spans="1:17">
      <c r="A260" t="str">
        <f t="shared" si="5"/>
        <v>Single Family Weatherization - Insulate Attic - R0 to R38 - Heating Zone 3 (Heat Pump)ATTIC R0 - R38 (cooling savings)</v>
      </c>
      <c r="B260" s="53" t="s">
        <v>188</v>
      </c>
      <c r="C260" s="54" t="s">
        <v>208</v>
      </c>
      <c r="D260">
        <f>VLOOKUP($A260,'Raw RTF'!$A$8:$Q$1000,'Raw RTF'!D$5,FALSE)</f>
        <v>2.0333345500742849E-2</v>
      </c>
      <c r="E260">
        <f>VLOOKUP($A260,'Raw RTF'!$A$8:$Q$1000,'Raw RTF'!E$5,FALSE)</f>
        <v>45</v>
      </c>
      <c r="F260">
        <f>VLOOKUP($A260,'Raw RTF'!$A$8:$Q$1000,'Raw RTF'!F$5,FALSE)</f>
        <v>0</v>
      </c>
      <c r="G260">
        <f>VLOOKUP($A260,'Raw RTF'!$A$8:$Q$1000,'Raw RTF'!G$5,FALSE)</f>
        <v>0</v>
      </c>
      <c r="H260" t="str">
        <f>VLOOKUP($A260,'Raw RTF'!$A$8:$Q$1000,'Raw RTF'!H$5,FALSE)</f>
        <v>ResCACPNW</v>
      </c>
      <c r="I260">
        <f>VLOOKUP($A260,'Raw RTF'!$A$8:$Q$1000,'Raw RTF'!I$5,FALSE)</f>
        <v>0</v>
      </c>
      <c r="J260">
        <f>VLOOKUP($A260,'Raw RTF'!$A$8:$Q$1000,'Raw RTF'!J$5,FALSE)</f>
        <v>0</v>
      </c>
      <c r="K260">
        <f>VLOOKUP($A260,'Raw RTF'!$A$8:$Q$1000,'Raw RTF'!K$5,FALSE)</f>
        <v>0</v>
      </c>
      <c r="L260">
        <f>VLOOKUP($A260,'Raw RTF'!$A$8:$Q$1000,'Raw RTF'!L$5,FALSE)</f>
        <v>0</v>
      </c>
      <c r="M260">
        <f>VLOOKUP($A260,'Raw RTF'!$A$8:$Q$1000,'Raw RTF'!M$5,FALSE)</f>
        <v>0</v>
      </c>
      <c r="N260">
        <f>VLOOKUP($A260,'Raw RTF'!$A$8:$Q$1000,'Raw RTF'!N$5,FALSE)</f>
        <v>0</v>
      </c>
      <c r="O260">
        <f>VLOOKUP($A260,'Raw RTF'!$A$8:$Q$1000,'Raw RTF'!O$5,FALSE)</f>
        <v>0</v>
      </c>
      <c r="P260">
        <f>VLOOKUP($A260,'Raw RTF'!$A$8:$Q$1000,'Raw RTF'!P$5,FALSE)</f>
        <v>0</v>
      </c>
      <c r="Q260">
        <f>VLOOKUP($A260,'Raw RTF'!$A$8:$Q$1000,'Raw RTF'!Q$5,FALSE)</f>
        <v>0</v>
      </c>
    </row>
    <row r="261" spans="1:17">
      <c r="A261" t="str">
        <f t="shared" si="5"/>
        <v>Single Family Weatherization - Insulate Attic - R0 to R49 - Heating Zone 3 (Heat Pump)ATTIC R0 - R49 (cooling savings)</v>
      </c>
      <c r="B261" s="53" t="s">
        <v>190</v>
      </c>
      <c r="C261" s="54" t="s">
        <v>210</v>
      </c>
      <c r="D261">
        <f>VLOOKUP($A261,'Raw RTF'!$A$8:$Q$1000,'Raw RTF'!D$5,FALSE)</f>
        <v>2.0512176259856976E-2</v>
      </c>
      <c r="E261">
        <f>VLOOKUP($A261,'Raw RTF'!$A$8:$Q$1000,'Raw RTF'!E$5,FALSE)</f>
        <v>45</v>
      </c>
      <c r="F261">
        <f>VLOOKUP($A261,'Raw RTF'!$A$8:$Q$1000,'Raw RTF'!F$5,FALSE)</f>
        <v>0</v>
      </c>
      <c r="G261">
        <f>VLOOKUP($A261,'Raw RTF'!$A$8:$Q$1000,'Raw RTF'!G$5,FALSE)</f>
        <v>0</v>
      </c>
      <c r="H261" t="str">
        <f>VLOOKUP($A261,'Raw RTF'!$A$8:$Q$1000,'Raw RTF'!H$5,FALSE)</f>
        <v>ResCACPNW</v>
      </c>
      <c r="I261">
        <f>VLOOKUP($A261,'Raw RTF'!$A$8:$Q$1000,'Raw RTF'!I$5,FALSE)</f>
        <v>0</v>
      </c>
      <c r="J261">
        <f>VLOOKUP($A261,'Raw RTF'!$A$8:$Q$1000,'Raw RTF'!J$5,FALSE)</f>
        <v>0</v>
      </c>
      <c r="K261">
        <f>VLOOKUP($A261,'Raw RTF'!$A$8:$Q$1000,'Raw RTF'!K$5,FALSE)</f>
        <v>0</v>
      </c>
      <c r="L261">
        <f>VLOOKUP($A261,'Raw RTF'!$A$8:$Q$1000,'Raw RTF'!L$5,FALSE)</f>
        <v>0</v>
      </c>
      <c r="M261">
        <f>VLOOKUP($A261,'Raw RTF'!$A$8:$Q$1000,'Raw RTF'!M$5,FALSE)</f>
        <v>0</v>
      </c>
      <c r="N261">
        <f>VLOOKUP($A261,'Raw RTF'!$A$8:$Q$1000,'Raw RTF'!N$5,FALSE)</f>
        <v>0</v>
      </c>
      <c r="O261">
        <f>VLOOKUP($A261,'Raw RTF'!$A$8:$Q$1000,'Raw RTF'!O$5,FALSE)</f>
        <v>0</v>
      </c>
      <c r="P261">
        <f>VLOOKUP($A261,'Raw RTF'!$A$8:$Q$1000,'Raw RTF'!P$5,FALSE)</f>
        <v>0</v>
      </c>
      <c r="Q261">
        <f>VLOOKUP($A261,'Raw RTF'!$A$8:$Q$1000,'Raw RTF'!Q$5,FALSE)</f>
        <v>0</v>
      </c>
    </row>
    <row r="262" spans="1:17">
      <c r="A262" t="str">
        <f t="shared" si="5"/>
        <v>Single Family Weatherization - Insulate Attic - R11 to R38 - Heating Zone 3 (Heat Pump)ATTIC R11 - R38 (cooling savings)</v>
      </c>
      <c r="B262" s="53" t="s">
        <v>191</v>
      </c>
      <c r="C262" s="54" t="s">
        <v>211</v>
      </c>
      <c r="D262">
        <f>VLOOKUP($A262,'Raw RTF'!$A$8:$Q$1000,'Raw RTF'!D$5,FALSE)</f>
        <v>2.3213738425580457E-3</v>
      </c>
      <c r="E262">
        <f>VLOOKUP($A262,'Raw RTF'!$A$8:$Q$1000,'Raw RTF'!E$5,FALSE)</f>
        <v>45</v>
      </c>
      <c r="F262">
        <f>VLOOKUP($A262,'Raw RTF'!$A$8:$Q$1000,'Raw RTF'!F$5,FALSE)</f>
        <v>0</v>
      </c>
      <c r="G262">
        <f>VLOOKUP($A262,'Raw RTF'!$A$8:$Q$1000,'Raw RTF'!G$5,FALSE)</f>
        <v>0</v>
      </c>
      <c r="H262" t="str">
        <f>VLOOKUP($A262,'Raw RTF'!$A$8:$Q$1000,'Raw RTF'!H$5,FALSE)</f>
        <v>ResCACPNW</v>
      </c>
      <c r="I262">
        <f>VLOOKUP($A262,'Raw RTF'!$A$8:$Q$1000,'Raw RTF'!I$5,FALSE)</f>
        <v>0</v>
      </c>
      <c r="J262">
        <f>VLOOKUP($A262,'Raw RTF'!$A$8:$Q$1000,'Raw RTF'!J$5,FALSE)</f>
        <v>0</v>
      </c>
      <c r="K262">
        <f>VLOOKUP($A262,'Raw RTF'!$A$8:$Q$1000,'Raw RTF'!K$5,FALSE)</f>
        <v>0</v>
      </c>
      <c r="L262">
        <f>VLOOKUP($A262,'Raw RTF'!$A$8:$Q$1000,'Raw RTF'!L$5,FALSE)</f>
        <v>0</v>
      </c>
      <c r="M262">
        <f>VLOOKUP($A262,'Raw RTF'!$A$8:$Q$1000,'Raw RTF'!M$5,FALSE)</f>
        <v>0</v>
      </c>
      <c r="N262">
        <f>VLOOKUP($A262,'Raw RTF'!$A$8:$Q$1000,'Raw RTF'!N$5,FALSE)</f>
        <v>0</v>
      </c>
      <c r="O262">
        <f>VLOOKUP($A262,'Raw RTF'!$A$8:$Q$1000,'Raw RTF'!O$5,FALSE)</f>
        <v>0</v>
      </c>
      <c r="P262">
        <f>VLOOKUP($A262,'Raw RTF'!$A$8:$Q$1000,'Raw RTF'!P$5,FALSE)</f>
        <v>0</v>
      </c>
      <c r="Q262">
        <f>VLOOKUP($A262,'Raw RTF'!$A$8:$Q$1000,'Raw RTF'!Q$5,FALSE)</f>
        <v>0</v>
      </c>
    </row>
    <row r="263" spans="1:17">
      <c r="A263" t="str">
        <f t="shared" si="5"/>
        <v>Single Family Weatherization - Insulate Attic - R11 to R49 - Heating Zone 3 (Heat Pump)ATTIC R11 - R49 (cooling savings)</v>
      </c>
      <c r="B263" s="53" t="s">
        <v>192</v>
      </c>
      <c r="C263" s="54" t="s">
        <v>212</v>
      </c>
      <c r="D263">
        <f>VLOOKUP($A263,'Raw RTF'!$A$8:$Q$1000,'Raw RTF'!D$5,FALSE)</f>
        <v>2.5002046016721715E-3</v>
      </c>
      <c r="E263">
        <f>VLOOKUP($A263,'Raw RTF'!$A$8:$Q$1000,'Raw RTF'!E$5,FALSE)</f>
        <v>45</v>
      </c>
      <c r="F263">
        <f>VLOOKUP($A263,'Raw RTF'!$A$8:$Q$1000,'Raw RTF'!F$5,FALSE)</f>
        <v>0</v>
      </c>
      <c r="G263">
        <f>VLOOKUP($A263,'Raw RTF'!$A$8:$Q$1000,'Raw RTF'!G$5,FALSE)</f>
        <v>0</v>
      </c>
      <c r="H263" t="str">
        <f>VLOOKUP($A263,'Raw RTF'!$A$8:$Q$1000,'Raw RTF'!H$5,FALSE)</f>
        <v>ResCACPNW</v>
      </c>
      <c r="I263">
        <f>VLOOKUP($A263,'Raw RTF'!$A$8:$Q$1000,'Raw RTF'!I$5,FALSE)</f>
        <v>0</v>
      </c>
      <c r="J263">
        <f>VLOOKUP($A263,'Raw RTF'!$A$8:$Q$1000,'Raw RTF'!J$5,FALSE)</f>
        <v>0</v>
      </c>
      <c r="K263">
        <f>VLOOKUP($A263,'Raw RTF'!$A$8:$Q$1000,'Raw RTF'!K$5,FALSE)</f>
        <v>0</v>
      </c>
      <c r="L263">
        <f>VLOOKUP($A263,'Raw RTF'!$A$8:$Q$1000,'Raw RTF'!L$5,FALSE)</f>
        <v>0</v>
      </c>
      <c r="M263">
        <f>VLOOKUP($A263,'Raw RTF'!$A$8:$Q$1000,'Raw RTF'!M$5,FALSE)</f>
        <v>0</v>
      </c>
      <c r="N263">
        <f>VLOOKUP($A263,'Raw RTF'!$A$8:$Q$1000,'Raw RTF'!N$5,FALSE)</f>
        <v>0</v>
      </c>
      <c r="O263">
        <f>VLOOKUP($A263,'Raw RTF'!$A$8:$Q$1000,'Raw RTF'!O$5,FALSE)</f>
        <v>0</v>
      </c>
      <c r="P263">
        <f>VLOOKUP($A263,'Raw RTF'!$A$8:$Q$1000,'Raw RTF'!P$5,FALSE)</f>
        <v>0</v>
      </c>
      <c r="Q263">
        <f>VLOOKUP($A263,'Raw RTF'!$A$8:$Q$1000,'Raw RTF'!Q$5,FALSE)</f>
        <v>0</v>
      </c>
    </row>
    <row r="264" spans="1:17">
      <c r="A264" t="str">
        <f t="shared" si="5"/>
        <v>Single Family Weatherization - Insulate Attic - R19 to R38 - Heating Zone 3 (Heat Pump)ATTIC R19 - R38 (cooling savings)</v>
      </c>
      <c r="B264" s="53" t="s">
        <v>193</v>
      </c>
      <c r="C264" s="54" t="s">
        <v>213</v>
      </c>
      <c r="D264">
        <f>VLOOKUP($A264,'Raw RTF'!$A$8:$Q$1000,'Raw RTF'!D$5,FALSE)</f>
        <v>9.1488302064099295E-4</v>
      </c>
      <c r="E264">
        <f>VLOOKUP($A264,'Raw RTF'!$A$8:$Q$1000,'Raw RTF'!E$5,FALSE)</f>
        <v>45</v>
      </c>
      <c r="F264">
        <f>VLOOKUP($A264,'Raw RTF'!$A$8:$Q$1000,'Raw RTF'!F$5,FALSE)</f>
        <v>0</v>
      </c>
      <c r="G264">
        <f>VLOOKUP($A264,'Raw RTF'!$A$8:$Q$1000,'Raw RTF'!G$5,FALSE)</f>
        <v>0</v>
      </c>
      <c r="H264" t="str">
        <f>VLOOKUP($A264,'Raw RTF'!$A$8:$Q$1000,'Raw RTF'!H$5,FALSE)</f>
        <v>ResCACPNW</v>
      </c>
      <c r="I264">
        <f>VLOOKUP($A264,'Raw RTF'!$A$8:$Q$1000,'Raw RTF'!I$5,FALSE)</f>
        <v>0</v>
      </c>
      <c r="J264">
        <f>VLOOKUP($A264,'Raw RTF'!$A$8:$Q$1000,'Raw RTF'!J$5,FALSE)</f>
        <v>0</v>
      </c>
      <c r="K264">
        <f>VLOOKUP($A264,'Raw RTF'!$A$8:$Q$1000,'Raw RTF'!K$5,FALSE)</f>
        <v>0</v>
      </c>
      <c r="L264">
        <f>VLOOKUP($A264,'Raw RTF'!$A$8:$Q$1000,'Raw RTF'!L$5,FALSE)</f>
        <v>0</v>
      </c>
      <c r="M264">
        <f>VLOOKUP($A264,'Raw RTF'!$A$8:$Q$1000,'Raw RTF'!M$5,FALSE)</f>
        <v>0</v>
      </c>
      <c r="N264">
        <f>VLOOKUP($A264,'Raw RTF'!$A$8:$Q$1000,'Raw RTF'!N$5,FALSE)</f>
        <v>0</v>
      </c>
      <c r="O264">
        <f>VLOOKUP($A264,'Raw RTF'!$A$8:$Q$1000,'Raw RTF'!O$5,FALSE)</f>
        <v>0</v>
      </c>
      <c r="P264">
        <f>VLOOKUP($A264,'Raw RTF'!$A$8:$Q$1000,'Raw RTF'!P$5,FALSE)</f>
        <v>0</v>
      </c>
      <c r="Q264">
        <f>VLOOKUP($A264,'Raw RTF'!$A$8:$Q$1000,'Raw RTF'!Q$5,FALSE)</f>
        <v>0</v>
      </c>
    </row>
    <row r="265" spans="1:17">
      <c r="A265" t="str">
        <f t="shared" si="5"/>
        <v>Single Family Weatherization - Insulate Attic - R19 to R49 - Heating Zone 3 (Heat Pump)ATTIC R19 - R49 (cooling savings)</v>
      </c>
      <c r="B265" s="53" t="s">
        <v>194</v>
      </c>
      <c r="C265" s="54" t="s">
        <v>214</v>
      </c>
      <c r="D265">
        <f>VLOOKUP($A265,'Raw RTF'!$A$8:$Q$1000,'Raw RTF'!D$5,FALSE)</f>
        <v>1.0937137797551186E-3</v>
      </c>
      <c r="E265">
        <f>VLOOKUP($A265,'Raw RTF'!$A$8:$Q$1000,'Raw RTF'!E$5,FALSE)</f>
        <v>45</v>
      </c>
      <c r="F265">
        <f>VLOOKUP($A265,'Raw RTF'!$A$8:$Q$1000,'Raw RTF'!F$5,FALSE)</f>
        <v>0</v>
      </c>
      <c r="G265">
        <f>VLOOKUP($A265,'Raw RTF'!$A$8:$Q$1000,'Raw RTF'!G$5,FALSE)</f>
        <v>0</v>
      </c>
      <c r="H265" t="str">
        <f>VLOOKUP($A265,'Raw RTF'!$A$8:$Q$1000,'Raw RTF'!H$5,FALSE)</f>
        <v>ResCACPNW</v>
      </c>
      <c r="I265">
        <f>VLOOKUP($A265,'Raw RTF'!$A$8:$Q$1000,'Raw RTF'!I$5,FALSE)</f>
        <v>0</v>
      </c>
      <c r="J265">
        <f>VLOOKUP($A265,'Raw RTF'!$A$8:$Q$1000,'Raw RTF'!J$5,FALSE)</f>
        <v>0</v>
      </c>
      <c r="K265">
        <f>VLOOKUP($A265,'Raw RTF'!$A$8:$Q$1000,'Raw RTF'!K$5,FALSE)</f>
        <v>0</v>
      </c>
      <c r="L265">
        <f>VLOOKUP($A265,'Raw RTF'!$A$8:$Q$1000,'Raw RTF'!L$5,FALSE)</f>
        <v>0</v>
      </c>
      <c r="M265">
        <f>VLOOKUP($A265,'Raw RTF'!$A$8:$Q$1000,'Raw RTF'!M$5,FALSE)</f>
        <v>0</v>
      </c>
      <c r="N265">
        <f>VLOOKUP($A265,'Raw RTF'!$A$8:$Q$1000,'Raw RTF'!N$5,FALSE)</f>
        <v>0</v>
      </c>
      <c r="O265">
        <f>VLOOKUP($A265,'Raw RTF'!$A$8:$Q$1000,'Raw RTF'!O$5,FALSE)</f>
        <v>0</v>
      </c>
      <c r="P265">
        <f>VLOOKUP($A265,'Raw RTF'!$A$8:$Q$1000,'Raw RTF'!P$5,FALSE)</f>
        <v>0</v>
      </c>
      <c r="Q265">
        <f>VLOOKUP($A265,'Raw RTF'!$A$8:$Q$1000,'Raw RTF'!Q$5,FALSE)</f>
        <v>0</v>
      </c>
    </row>
    <row r="266" spans="1:17">
      <c r="A266" t="str">
        <f t="shared" si="5"/>
        <v>Single Family Weatherization - Insulate Wall - R0 to R11 - Heating Zone 3 (Heat Pump)WALL R0 - R11 (cooling savings)</v>
      </c>
      <c r="B266" s="53" t="s">
        <v>197</v>
      </c>
      <c r="C266" s="54" t="s">
        <v>217</v>
      </c>
      <c r="D266">
        <f>VLOOKUP($A266,'Raw RTF'!$A$8:$Q$1000,'Raw RTF'!D$5,FALSE)</f>
        <v>7.9156350162291195E-4</v>
      </c>
      <c r="E266">
        <f>VLOOKUP($A266,'Raw RTF'!$A$8:$Q$1000,'Raw RTF'!E$5,FALSE)</f>
        <v>45</v>
      </c>
      <c r="F266">
        <f>VLOOKUP($A266,'Raw RTF'!$A$8:$Q$1000,'Raw RTF'!F$5,FALSE)</f>
        <v>0</v>
      </c>
      <c r="G266">
        <f>VLOOKUP($A266,'Raw RTF'!$A$8:$Q$1000,'Raw RTF'!G$5,FALSE)</f>
        <v>0</v>
      </c>
      <c r="H266" t="str">
        <f>VLOOKUP($A266,'Raw RTF'!$A$8:$Q$1000,'Raw RTF'!H$5,FALSE)</f>
        <v>ResCACPNW</v>
      </c>
      <c r="I266">
        <f>VLOOKUP($A266,'Raw RTF'!$A$8:$Q$1000,'Raw RTF'!I$5,FALSE)</f>
        <v>0</v>
      </c>
      <c r="J266">
        <f>VLOOKUP($A266,'Raw RTF'!$A$8:$Q$1000,'Raw RTF'!J$5,FALSE)</f>
        <v>0</v>
      </c>
      <c r="K266">
        <f>VLOOKUP($A266,'Raw RTF'!$A$8:$Q$1000,'Raw RTF'!K$5,FALSE)</f>
        <v>0</v>
      </c>
      <c r="L266">
        <f>VLOOKUP($A266,'Raw RTF'!$A$8:$Q$1000,'Raw RTF'!L$5,FALSE)</f>
        <v>0</v>
      </c>
      <c r="M266">
        <f>VLOOKUP($A266,'Raw RTF'!$A$8:$Q$1000,'Raw RTF'!M$5,FALSE)</f>
        <v>0</v>
      </c>
      <c r="N266">
        <f>VLOOKUP($A266,'Raw RTF'!$A$8:$Q$1000,'Raw RTF'!N$5,FALSE)</f>
        <v>0</v>
      </c>
      <c r="O266">
        <f>VLOOKUP($A266,'Raw RTF'!$A$8:$Q$1000,'Raw RTF'!O$5,FALSE)</f>
        <v>0</v>
      </c>
      <c r="P266">
        <f>VLOOKUP($A266,'Raw RTF'!$A$8:$Q$1000,'Raw RTF'!P$5,FALSE)</f>
        <v>0</v>
      </c>
      <c r="Q266">
        <f>VLOOKUP($A266,'Raw RTF'!$A$8:$Q$1000,'Raw RTF'!Q$5,FALSE)</f>
        <v>0</v>
      </c>
    </row>
    <row r="267" spans="1:17">
      <c r="A267" t="str">
        <f t="shared" si="5"/>
        <v>Single Family Weatherization - Insulate Floor - R0 to R19 - Heating Zone 3 (Heat Pump)FLOOR R0 - R19 (cooling savings)</v>
      </c>
      <c r="B267" s="53" t="s">
        <v>198</v>
      </c>
      <c r="C267" s="54" t="s">
        <v>218</v>
      </c>
      <c r="D267">
        <f>VLOOKUP($A267,'Raw RTF'!$A$8:$Q$1000,'Raw RTF'!D$5,FALSE)</f>
        <v>-3.0825718130351376E-3</v>
      </c>
      <c r="E267">
        <f>VLOOKUP($A267,'Raw RTF'!$A$8:$Q$1000,'Raw RTF'!E$5,FALSE)</f>
        <v>45</v>
      </c>
      <c r="F267">
        <f>VLOOKUP($A267,'Raw RTF'!$A$8:$Q$1000,'Raw RTF'!F$5,FALSE)</f>
        <v>0</v>
      </c>
      <c r="G267">
        <f>VLOOKUP($A267,'Raw RTF'!$A$8:$Q$1000,'Raw RTF'!G$5,FALSE)</f>
        <v>0</v>
      </c>
      <c r="H267" t="str">
        <f>VLOOKUP($A267,'Raw RTF'!$A$8:$Q$1000,'Raw RTF'!H$5,FALSE)</f>
        <v>ResCACPNW</v>
      </c>
      <c r="I267">
        <f>VLOOKUP($A267,'Raw RTF'!$A$8:$Q$1000,'Raw RTF'!I$5,FALSE)</f>
        <v>0</v>
      </c>
      <c r="J267">
        <f>VLOOKUP($A267,'Raw RTF'!$A$8:$Q$1000,'Raw RTF'!J$5,FALSE)</f>
        <v>0</v>
      </c>
      <c r="K267">
        <f>VLOOKUP($A267,'Raw RTF'!$A$8:$Q$1000,'Raw RTF'!K$5,FALSE)</f>
        <v>0</v>
      </c>
      <c r="L267">
        <f>VLOOKUP($A267,'Raw RTF'!$A$8:$Q$1000,'Raw RTF'!L$5,FALSE)</f>
        <v>0</v>
      </c>
      <c r="M267">
        <f>VLOOKUP($A267,'Raw RTF'!$A$8:$Q$1000,'Raw RTF'!M$5,FALSE)</f>
        <v>0</v>
      </c>
      <c r="N267">
        <f>VLOOKUP($A267,'Raw RTF'!$A$8:$Q$1000,'Raw RTF'!N$5,FALSE)</f>
        <v>0</v>
      </c>
      <c r="O267">
        <f>VLOOKUP($A267,'Raw RTF'!$A$8:$Q$1000,'Raw RTF'!O$5,FALSE)</f>
        <v>0</v>
      </c>
      <c r="P267">
        <f>VLOOKUP($A267,'Raw RTF'!$A$8:$Q$1000,'Raw RTF'!P$5,FALSE)</f>
        <v>0</v>
      </c>
      <c r="Q267">
        <f>VLOOKUP($A267,'Raw RTF'!$A$8:$Q$1000,'Raw RTF'!Q$5,FALSE)</f>
        <v>0</v>
      </c>
    </row>
    <row r="268" spans="1:17">
      <c r="A268" t="str">
        <f t="shared" si="5"/>
        <v>Single Family Weatherization - Insulate Floor - R0 to R25 - Heating Zone 3 (Heat Pump)FLOOR R0 - R25 (cooling savings)</v>
      </c>
      <c r="B268" s="53" t="s">
        <v>199</v>
      </c>
      <c r="C268" s="54" t="s">
        <v>219</v>
      </c>
      <c r="D268">
        <f>VLOOKUP($A268,'Raw RTF'!$A$8:$Q$1000,'Raw RTF'!D$5,FALSE)</f>
        <v>-3.5069030686145997E-3</v>
      </c>
      <c r="E268">
        <f>VLOOKUP($A268,'Raw RTF'!$A$8:$Q$1000,'Raw RTF'!E$5,FALSE)</f>
        <v>45</v>
      </c>
      <c r="F268">
        <f>VLOOKUP($A268,'Raw RTF'!$A$8:$Q$1000,'Raw RTF'!F$5,FALSE)</f>
        <v>0</v>
      </c>
      <c r="G268">
        <f>VLOOKUP($A268,'Raw RTF'!$A$8:$Q$1000,'Raw RTF'!G$5,FALSE)</f>
        <v>0</v>
      </c>
      <c r="H268" t="str">
        <f>VLOOKUP($A268,'Raw RTF'!$A$8:$Q$1000,'Raw RTF'!H$5,FALSE)</f>
        <v>ResCACPNW</v>
      </c>
      <c r="I268">
        <f>VLOOKUP($A268,'Raw RTF'!$A$8:$Q$1000,'Raw RTF'!I$5,FALSE)</f>
        <v>0</v>
      </c>
      <c r="J268">
        <f>VLOOKUP($A268,'Raw RTF'!$A$8:$Q$1000,'Raw RTF'!J$5,FALSE)</f>
        <v>0</v>
      </c>
      <c r="K268">
        <f>VLOOKUP($A268,'Raw RTF'!$A$8:$Q$1000,'Raw RTF'!K$5,FALSE)</f>
        <v>0</v>
      </c>
      <c r="L268">
        <f>VLOOKUP($A268,'Raw RTF'!$A$8:$Q$1000,'Raw RTF'!L$5,FALSE)</f>
        <v>0</v>
      </c>
      <c r="M268">
        <f>VLOOKUP($A268,'Raw RTF'!$A$8:$Q$1000,'Raw RTF'!M$5,FALSE)</f>
        <v>0</v>
      </c>
      <c r="N268">
        <f>VLOOKUP($A268,'Raw RTF'!$A$8:$Q$1000,'Raw RTF'!N$5,FALSE)</f>
        <v>0</v>
      </c>
      <c r="O268">
        <f>VLOOKUP($A268,'Raw RTF'!$A$8:$Q$1000,'Raw RTF'!O$5,FALSE)</f>
        <v>0</v>
      </c>
      <c r="P268">
        <f>VLOOKUP($A268,'Raw RTF'!$A$8:$Q$1000,'Raw RTF'!P$5,FALSE)</f>
        <v>0</v>
      </c>
      <c r="Q268">
        <f>VLOOKUP($A268,'Raw RTF'!$A$8:$Q$1000,'Raw RTF'!Q$5,FALSE)</f>
        <v>0</v>
      </c>
    </row>
    <row r="269" spans="1:17">
      <c r="A269" t="str">
        <f t="shared" si="5"/>
        <v>Single Family Weatherization - Insulate Floor - R0 to R30 - Heating Zone 3 (Heat Pump)FLOOR R0 - R30 (cooling savings)</v>
      </c>
      <c r="B269" s="53" t="s">
        <v>200</v>
      </c>
      <c r="C269" s="54" t="s">
        <v>220</v>
      </c>
      <c r="D269">
        <f>VLOOKUP($A269,'Raw RTF'!$A$8:$Q$1000,'Raw RTF'!D$5,FALSE)</f>
        <v>-3.7917676129540822E-3</v>
      </c>
      <c r="E269">
        <f>VLOOKUP($A269,'Raw RTF'!$A$8:$Q$1000,'Raw RTF'!E$5,FALSE)</f>
        <v>45</v>
      </c>
      <c r="F269">
        <f>VLOOKUP($A269,'Raw RTF'!$A$8:$Q$1000,'Raw RTF'!F$5,FALSE)</f>
        <v>0</v>
      </c>
      <c r="G269">
        <f>VLOOKUP($A269,'Raw RTF'!$A$8:$Q$1000,'Raw RTF'!G$5,FALSE)</f>
        <v>0</v>
      </c>
      <c r="H269" t="str">
        <f>VLOOKUP($A269,'Raw RTF'!$A$8:$Q$1000,'Raw RTF'!H$5,FALSE)</f>
        <v>ResCACPNW</v>
      </c>
      <c r="I269">
        <f>VLOOKUP($A269,'Raw RTF'!$A$8:$Q$1000,'Raw RTF'!I$5,FALSE)</f>
        <v>0</v>
      </c>
      <c r="J269">
        <f>VLOOKUP($A269,'Raw RTF'!$A$8:$Q$1000,'Raw RTF'!J$5,FALSE)</f>
        <v>0</v>
      </c>
      <c r="K269">
        <f>VLOOKUP($A269,'Raw RTF'!$A$8:$Q$1000,'Raw RTF'!K$5,FALSE)</f>
        <v>0</v>
      </c>
      <c r="L269">
        <f>VLOOKUP($A269,'Raw RTF'!$A$8:$Q$1000,'Raw RTF'!L$5,FALSE)</f>
        <v>0</v>
      </c>
      <c r="M269">
        <f>VLOOKUP($A269,'Raw RTF'!$A$8:$Q$1000,'Raw RTF'!M$5,FALSE)</f>
        <v>0</v>
      </c>
      <c r="N269">
        <f>VLOOKUP($A269,'Raw RTF'!$A$8:$Q$1000,'Raw RTF'!N$5,FALSE)</f>
        <v>0</v>
      </c>
      <c r="O269">
        <f>VLOOKUP($A269,'Raw RTF'!$A$8:$Q$1000,'Raw RTF'!O$5,FALSE)</f>
        <v>0</v>
      </c>
      <c r="P269">
        <f>VLOOKUP($A269,'Raw RTF'!$A$8:$Q$1000,'Raw RTF'!P$5,FALSE)</f>
        <v>0</v>
      </c>
      <c r="Q269">
        <f>VLOOKUP($A269,'Raw RTF'!$A$8:$Q$1000,'Raw RTF'!Q$5,FALSE)</f>
        <v>0</v>
      </c>
    </row>
    <row r="270" spans="1:17" ht="25.5">
      <c r="A270" t="str">
        <f t="shared" si="5"/>
        <v>Windows - Single Pane to Class 30 - Heating Zone 3 (Heat Pump)WINDOW CL30 Prime Window Replacement of Single Pane Base (cooling savings)</v>
      </c>
      <c r="B270" s="53" t="s">
        <v>201</v>
      </c>
      <c r="C270" s="54" t="s">
        <v>221</v>
      </c>
      <c r="D270">
        <f>VLOOKUP($A270,'Raw RTF'!$A$8:$Q$1000,'Raw RTF'!D$5,FALSE)</f>
        <v>3.9664205611992749E-2</v>
      </c>
      <c r="E270">
        <f>VLOOKUP($A270,'Raw RTF'!$A$8:$Q$1000,'Raw RTF'!E$5,FALSE)</f>
        <v>45</v>
      </c>
      <c r="F270">
        <f>VLOOKUP($A270,'Raw RTF'!$A$8:$Q$1000,'Raw RTF'!F$5,FALSE)</f>
        <v>0</v>
      </c>
      <c r="G270">
        <f>VLOOKUP($A270,'Raw RTF'!$A$8:$Q$1000,'Raw RTF'!G$5,FALSE)</f>
        <v>0</v>
      </c>
      <c r="H270" t="str">
        <f>VLOOKUP($A270,'Raw RTF'!$A$8:$Q$1000,'Raw RTF'!H$5,FALSE)</f>
        <v>ResCACPNW</v>
      </c>
      <c r="I270">
        <f>VLOOKUP($A270,'Raw RTF'!$A$8:$Q$1000,'Raw RTF'!I$5,FALSE)</f>
        <v>0</v>
      </c>
      <c r="J270">
        <f>VLOOKUP($A270,'Raw RTF'!$A$8:$Q$1000,'Raw RTF'!J$5,FALSE)</f>
        <v>0</v>
      </c>
      <c r="K270">
        <f>VLOOKUP($A270,'Raw RTF'!$A$8:$Q$1000,'Raw RTF'!K$5,FALSE)</f>
        <v>0</v>
      </c>
      <c r="L270">
        <f>VLOOKUP($A270,'Raw RTF'!$A$8:$Q$1000,'Raw RTF'!L$5,FALSE)</f>
        <v>0</v>
      </c>
      <c r="M270">
        <f>VLOOKUP($A270,'Raw RTF'!$A$8:$Q$1000,'Raw RTF'!M$5,FALSE)</f>
        <v>0</v>
      </c>
      <c r="N270">
        <f>VLOOKUP($A270,'Raw RTF'!$A$8:$Q$1000,'Raw RTF'!N$5,FALSE)</f>
        <v>0</v>
      </c>
      <c r="O270">
        <f>VLOOKUP($A270,'Raw RTF'!$A$8:$Q$1000,'Raw RTF'!O$5,FALSE)</f>
        <v>0</v>
      </c>
      <c r="P270">
        <f>VLOOKUP($A270,'Raw RTF'!$A$8:$Q$1000,'Raw RTF'!P$5,FALSE)</f>
        <v>0</v>
      </c>
      <c r="Q270">
        <f>VLOOKUP($A270,'Raw RTF'!$A$8:$Q$1000,'Raw RTF'!Q$5,FALSE)</f>
        <v>0</v>
      </c>
    </row>
    <row r="271" spans="1:17" ht="25.5">
      <c r="A271" t="str">
        <f t="shared" si="5"/>
        <v>Windows - Double Pane to Class 30 - Heating Zone 3 (Heat Pump)WINDOW CL30 Prime Window Replacement of Double Pane Base (cooling savings)</v>
      </c>
      <c r="B271" s="53" t="s">
        <v>202</v>
      </c>
      <c r="C271" s="54" t="s">
        <v>222</v>
      </c>
      <c r="D271">
        <f>VLOOKUP($A271,'Raw RTF'!$A$8:$Q$1000,'Raw RTF'!D$5,FALSE)</f>
        <v>5.8618351539157898E-2</v>
      </c>
      <c r="E271">
        <f>VLOOKUP($A271,'Raw RTF'!$A$8:$Q$1000,'Raw RTF'!E$5,FALSE)</f>
        <v>45</v>
      </c>
      <c r="F271">
        <f>VLOOKUP($A271,'Raw RTF'!$A$8:$Q$1000,'Raw RTF'!F$5,FALSE)</f>
        <v>0</v>
      </c>
      <c r="G271">
        <f>VLOOKUP($A271,'Raw RTF'!$A$8:$Q$1000,'Raw RTF'!G$5,FALSE)</f>
        <v>0</v>
      </c>
      <c r="H271" t="str">
        <f>VLOOKUP($A271,'Raw RTF'!$A$8:$Q$1000,'Raw RTF'!H$5,FALSE)</f>
        <v>ResCACPNW</v>
      </c>
      <c r="I271">
        <f>VLOOKUP($A271,'Raw RTF'!$A$8:$Q$1000,'Raw RTF'!I$5,FALSE)</f>
        <v>0</v>
      </c>
      <c r="J271">
        <f>VLOOKUP($A271,'Raw RTF'!$A$8:$Q$1000,'Raw RTF'!J$5,FALSE)</f>
        <v>0</v>
      </c>
      <c r="K271">
        <f>VLOOKUP($A271,'Raw RTF'!$A$8:$Q$1000,'Raw RTF'!K$5,FALSE)</f>
        <v>0</v>
      </c>
      <c r="L271">
        <f>VLOOKUP($A271,'Raw RTF'!$A$8:$Q$1000,'Raw RTF'!L$5,FALSE)</f>
        <v>0</v>
      </c>
      <c r="M271">
        <f>VLOOKUP($A271,'Raw RTF'!$A$8:$Q$1000,'Raw RTF'!M$5,FALSE)</f>
        <v>0</v>
      </c>
      <c r="N271">
        <f>VLOOKUP($A271,'Raw RTF'!$A$8:$Q$1000,'Raw RTF'!N$5,FALSE)</f>
        <v>0</v>
      </c>
      <c r="O271">
        <f>VLOOKUP($A271,'Raw RTF'!$A$8:$Q$1000,'Raw RTF'!O$5,FALSE)</f>
        <v>0</v>
      </c>
      <c r="P271">
        <f>VLOOKUP($A271,'Raw RTF'!$A$8:$Q$1000,'Raw RTF'!P$5,FALSE)</f>
        <v>0</v>
      </c>
      <c r="Q271">
        <f>VLOOKUP($A271,'Raw RTF'!$A$8:$Q$1000,'Raw RTF'!Q$5,FALSE)</f>
        <v>0</v>
      </c>
    </row>
    <row r="272" spans="1:17" ht="25.5">
      <c r="A272" t="str">
        <f t="shared" si="5"/>
        <v>Windows - Single Pane to Class 22 - Heating Zone 3 (Heat Pump)WINDOW CL22 Prime Window Replacement of Single Pane Base (cooling savings)</v>
      </c>
      <c r="B272" s="53" t="s">
        <v>204</v>
      </c>
      <c r="C272" s="54" t="s">
        <v>224</v>
      </c>
      <c r="D272">
        <f>VLOOKUP($A272,'Raw RTF'!$A$8:$Q$1000,'Raw RTF'!D$5,FALSE)</f>
        <v>4.2142189049858149E-2</v>
      </c>
      <c r="E272">
        <f>VLOOKUP($A272,'Raw RTF'!$A$8:$Q$1000,'Raw RTF'!E$5,FALSE)</f>
        <v>45</v>
      </c>
      <c r="F272">
        <f>VLOOKUP($A272,'Raw RTF'!$A$8:$Q$1000,'Raw RTF'!F$5,FALSE)</f>
        <v>0</v>
      </c>
      <c r="G272">
        <f>VLOOKUP($A272,'Raw RTF'!$A$8:$Q$1000,'Raw RTF'!G$5,FALSE)</f>
        <v>0</v>
      </c>
      <c r="H272" t="str">
        <f>VLOOKUP($A272,'Raw RTF'!$A$8:$Q$1000,'Raw RTF'!H$5,FALSE)</f>
        <v>ResCACPNW</v>
      </c>
      <c r="I272">
        <f>VLOOKUP($A272,'Raw RTF'!$A$8:$Q$1000,'Raw RTF'!I$5,FALSE)</f>
        <v>0</v>
      </c>
      <c r="J272">
        <f>VLOOKUP($A272,'Raw RTF'!$A$8:$Q$1000,'Raw RTF'!J$5,FALSE)</f>
        <v>0</v>
      </c>
      <c r="K272">
        <f>VLOOKUP($A272,'Raw RTF'!$A$8:$Q$1000,'Raw RTF'!K$5,FALSE)</f>
        <v>0</v>
      </c>
      <c r="L272">
        <f>VLOOKUP($A272,'Raw RTF'!$A$8:$Q$1000,'Raw RTF'!L$5,FALSE)</f>
        <v>0</v>
      </c>
      <c r="M272">
        <f>VLOOKUP($A272,'Raw RTF'!$A$8:$Q$1000,'Raw RTF'!M$5,FALSE)</f>
        <v>0</v>
      </c>
      <c r="N272">
        <f>VLOOKUP($A272,'Raw RTF'!$A$8:$Q$1000,'Raw RTF'!N$5,FALSE)</f>
        <v>0</v>
      </c>
      <c r="O272">
        <f>VLOOKUP($A272,'Raw RTF'!$A$8:$Q$1000,'Raw RTF'!O$5,FALSE)</f>
        <v>0</v>
      </c>
      <c r="P272">
        <f>VLOOKUP($A272,'Raw RTF'!$A$8:$Q$1000,'Raw RTF'!P$5,FALSE)</f>
        <v>0</v>
      </c>
      <c r="Q272">
        <f>VLOOKUP($A272,'Raw RTF'!$A$8:$Q$1000,'Raw RTF'!Q$5,FALSE)</f>
        <v>0</v>
      </c>
    </row>
    <row r="273" spans="1:17" ht="25.5">
      <c r="A273" t="str">
        <f t="shared" si="5"/>
        <v>Windows - Double Pane to Class 22 - Heating Zone 3 (Heat Pump)WINDOW CL22 Prime Window Replacement of Double Pane Base (cooling savings)</v>
      </c>
      <c r="B273" s="53" t="s">
        <v>205</v>
      </c>
      <c r="C273" s="54" t="s">
        <v>225</v>
      </c>
      <c r="D273">
        <f>VLOOKUP($A273,'Raw RTF'!$A$8:$Q$1000,'Raw RTF'!D$5,FALSE)</f>
        <v>6.1096334977023312E-2</v>
      </c>
      <c r="E273">
        <f>VLOOKUP($A273,'Raw RTF'!$A$8:$Q$1000,'Raw RTF'!E$5,FALSE)</f>
        <v>45</v>
      </c>
      <c r="F273">
        <f>VLOOKUP($A273,'Raw RTF'!$A$8:$Q$1000,'Raw RTF'!F$5,FALSE)</f>
        <v>0</v>
      </c>
      <c r="G273">
        <f>VLOOKUP($A273,'Raw RTF'!$A$8:$Q$1000,'Raw RTF'!G$5,FALSE)</f>
        <v>0</v>
      </c>
      <c r="H273" t="str">
        <f>VLOOKUP($A273,'Raw RTF'!$A$8:$Q$1000,'Raw RTF'!H$5,FALSE)</f>
        <v>ResCACPNW</v>
      </c>
      <c r="I273">
        <f>VLOOKUP($A273,'Raw RTF'!$A$8:$Q$1000,'Raw RTF'!I$5,FALSE)</f>
        <v>0</v>
      </c>
      <c r="J273">
        <f>VLOOKUP($A273,'Raw RTF'!$A$8:$Q$1000,'Raw RTF'!J$5,FALSE)</f>
        <v>0</v>
      </c>
      <c r="K273">
        <f>VLOOKUP($A273,'Raw RTF'!$A$8:$Q$1000,'Raw RTF'!K$5,FALSE)</f>
        <v>0</v>
      </c>
      <c r="L273">
        <f>VLOOKUP($A273,'Raw RTF'!$A$8:$Q$1000,'Raw RTF'!L$5,FALSE)</f>
        <v>0</v>
      </c>
      <c r="M273">
        <f>VLOOKUP($A273,'Raw RTF'!$A$8:$Q$1000,'Raw RTF'!M$5,FALSE)</f>
        <v>0</v>
      </c>
      <c r="N273">
        <f>VLOOKUP($A273,'Raw RTF'!$A$8:$Q$1000,'Raw RTF'!N$5,FALSE)</f>
        <v>0</v>
      </c>
      <c r="O273">
        <f>VLOOKUP($A273,'Raw RTF'!$A$8:$Q$1000,'Raw RTF'!O$5,FALSE)</f>
        <v>0</v>
      </c>
      <c r="P273">
        <f>VLOOKUP($A273,'Raw RTF'!$A$8:$Q$1000,'Raw RTF'!P$5,FALSE)</f>
        <v>0</v>
      </c>
      <c r="Q273">
        <f>VLOOKUP($A273,'Raw RTF'!$A$8:$Q$1000,'Raw RTF'!Q$5,FALSE)</f>
        <v>0</v>
      </c>
    </row>
    <row r="274" spans="1:17">
      <c r="A274" t="str">
        <f t="shared" si="5"/>
        <v>Infiltration Reduction - CFM50 reduction - Heating Zone 3 (Heat Pump)CFM50 Infiltration Reduction (cooling savings)</v>
      </c>
      <c r="B274" s="53" t="s">
        <v>207</v>
      </c>
      <c r="C274" s="307" t="s">
        <v>890</v>
      </c>
      <c r="D274">
        <f>VLOOKUP($A274,'Raw RTF'!$A$8:$Q$1000,'Raw RTF'!D$5,FALSE)</f>
        <v>-5.7923867718749514E-4</v>
      </c>
      <c r="E274">
        <f>VLOOKUP($A274,'Raw RTF'!$A$8:$Q$1000,'Raw RTF'!E$5,FALSE)</f>
        <v>15</v>
      </c>
      <c r="F274">
        <f>VLOOKUP($A274,'Raw RTF'!$A$8:$Q$1000,'Raw RTF'!F$5,FALSE)</f>
        <v>0</v>
      </c>
      <c r="G274">
        <f>VLOOKUP($A274,'Raw RTF'!$A$8:$Q$1000,'Raw RTF'!G$5,FALSE)</f>
        <v>0</v>
      </c>
      <c r="H274" t="str">
        <f>VLOOKUP($A274,'Raw RTF'!$A$8:$Q$1000,'Raw RTF'!H$5,FALSE)</f>
        <v>ResCACPNW</v>
      </c>
      <c r="I274">
        <f>VLOOKUP($A274,'Raw RTF'!$A$8:$Q$1000,'Raw RTF'!I$5,FALSE)</f>
        <v>0</v>
      </c>
      <c r="J274">
        <f>VLOOKUP($A274,'Raw RTF'!$A$8:$Q$1000,'Raw RTF'!J$5,FALSE)</f>
        <v>0</v>
      </c>
      <c r="K274">
        <f>VLOOKUP($A274,'Raw RTF'!$A$8:$Q$1000,'Raw RTF'!K$5,FALSE)</f>
        <v>0</v>
      </c>
      <c r="L274">
        <f>VLOOKUP($A274,'Raw RTF'!$A$8:$Q$1000,'Raw RTF'!L$5,FALSE)</f>
        <v>0</v>
      </c>
      <c r="M274">
        <f>VLOOKUP($A274,'Raw RTF'!$A$8:$Q$1000,'Raw RTF'!M$5,FALSE)</f>
        <v>0</v>
      </c>
      <c r="N274">
        <f>VLOOKUP($A274,'Raw RTF'!$A$8:$Q$1000,'Raw RTF'!N$5,FALSE)</f>
        <v>0</v>
      </c>
      <c r="O274">
        <f>VLOOKUP($A274,'Raw RTF'!$A$8:$Q$1000,'Raw RTF'!O$5,FALSE)</f>
        <v>0</v>
      </c>
      <c r="P274">
        <f>VLOOKUP($A274,'Raw RTF'!$A$8:$Q$1000,'Raw RTF'!P$5,FALSE)</f>
        <v>0</v>
      </c>
      <c r="Q274">
        <f>VLOOKUP($A274,'Raw RTF'!$A$8:$Q$1000,'Raw RTF'!Q$5,FALSE)</f>
        <v>0</v>
      </c>
    </row>
    <row r="326" spans="2:2">
      <c r="B326" s="53"/>
    </row>
  </sheetData>
  <autoFilter ref="A4:DB325"/>
  <mergeCells count="2">
    <mergeCell ref="J3:O3"/>
    <mergeCell ref="P3:Q3"/>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1:DB385"/>
  <sheetViews>
    <sheetView tabSelected="1" topLeftCell="C350" workbookViewId="0">
      <selection activeCell="F391" sqref="F391"/>
    </sheetView>
  </sheetViews>
  <sheetFormatPr defaultRowHeight="12.75"/>
  <cols>
    <col min="1" max="1" width="138.42578125" customWidth="1"/>
    <col min="2" max="2" width="86.140625" customWidth="1"/>
    <col min="3" max="3" width="94.28515625" bestFit="1" customWidth="1"/>
  </cols>
  <sheetData>
    <row r="1" spans="1:106" s="7" customFormat="1">
      <c r="B1" s="1" t="s">
        <v>0</v>
      </c>
      <c r="C1" s="2" t="s">
        <v>1624</v>
      </c>
      <c r="D1" s="2"/>
      <c r="E1" s="2"/>
      <c r="F1" s="2"/>
      <c r="G1" s="2"/>
      <c r="H1" s="2"/>
      <c r="I1" s="2"/>
      <c r="J1" s="3"/>
      <c r="K1" s="3"/>
      <c r="L1" s="3"/>
      <c r="M1" s="3"/>
      <c r="N1" s="3"/>
      <c r="O1" s="4"/>
      <c r="P1" s="4"/>
      <c r="Q1" s="4"/>
      <c r="R1" s="4"/>
      <c r="S1" s="4"/>
      <c r="T1" s="2"/>
      <c r="U1" s="2"/>
      <c r="V1" s="2"/>
      <c r="W1" s="4"/>
      <c r="X1" s="2"/>
      <c r="Y1" s="2"/>
      <c r="Z1" s="2"/>
      <c r="AA1" s="2"/>
      <c r="AB1" s="2"/>
      <c r="AC1" s="2"/>
      <c r="AD1" s="2"/>
      <c r="AE1" s="2"/>
      <c r="AF1" s="2"/>
      <c r="AG1" s="2"/>
      <c r="AH1" s="2"/>
      <c r="AI1" s="2"/>
      <c r="AJ1" s="2"/>
      <c r="AK1" s="2"/>
      <c r="AL1" s="2"/>
      <c r="AM1" s="2"/>
      <c r="AN1" s="2"/>
      <c r="AO1" s="2"/>
      <c r="AP1" s="2"/>
      <c r="AQ1" s="5"/>
      <c r="AR1" s="2"/>
      <c r="AS1" s="2"/>
      <c r="AT1" s="2"/>
      <c r="AU1" s="2"/>
      <c r="AV1" s="2"/>
      <c r="AW1" s="5"/>
      <c r="AX1" s="2"/>
      <c r="AY1" s="2"/>
      <c r="AZ1" s="2"/>
      <c r="BA1" s="2"/>
      <c r="BB1" s="2"/>
      <c r="BC1" s="2"/>
      <c r="BD1" s="2"/>
      <c r="BE1" s="2"/>
      <c r="BF1" s="2"/>
      <c r="BG1" s="2"/>
      <c r="BH1" s="2"/>
      <c r="BI1" s="2"/>
      <c r="BJ1" s="2"/>
      <c r="BK1" s="2"/>
      <c r="BL1" s="2"/>
      <c r="BM1" s="2"/>
      <c r="BN1" s="6"/>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5"/>
      <c r="CR1" s="2"/>
      <c r="CS1" s="2"/>
      <c r="CT1" s="2"/>
      <c r="CU1" s="2"/>
      <c r="CV1" s="2"/>
      <c r="CW1" s="2"/>
      <c r="CX1" s="2"/>
      <c r="CY1" s="2"/>
      <c r="CZ1" s="2"/>
      <c r="DA1" s="2"/>
      <c r="DB1" s="2"/>
    </row>
    <row r="2" spans="1:106" s="7" customFormat="1">
      <c r="B2" s="8" t="s">
        <v>1325</v>
      </c>
      <c r="C2" s="2"/>
      <c r="D2" s="2"/>
      <c r="E2" s="2"/>
      <c r="F2" s="2"/>
      <c r="G2" s="2"/>
      <c r="H2" s="2"/>
      <c r="I2" s="2"/>
      <c r="J2" s="3"/>
      <c r="K2" s="3"/>
      <c r="L2" s="3"/>
      <c r="M2" s="3"/>
      <c r="N2" s="3"/>
      <c r="O2" s="4"/>
      <c r="P2" s="4"/>
      <c r="Q2" s="4"/>
      <c r="R2" s="4"/>
      <c r="S2" s="4"/>
      <c r="T2" s="2"/>
      <c r="U2" s="2"/>
      <c r="V2" s="2"/>
      <c r="W2" s="4"/>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5"/>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s="7" customFormat="1">
      <c r="B3" s="8" t="s">
        <v>1</v>
      </c>
      <c r="D3" s="8">
        <v>2012</v>
      </c>
      <c r="K3" s="9"/>
      <c r="L3" s="10"/>
      <c r="CP3" s="10"/>
      <c r="CQ3" s="10"/>
    </row>
    <row r="4" spans="1:106" s="7" customFormat="1">
      <c r="B4" s="7" t="s">
        <v>1625</v>
      </c>
    </row>
    <row r="5" spans="1:106" s="7" customFormat="1">
      <c r="A5" s="7">
        <v>1</v>
      </c>
      <c r="B5" s="11">
        <v>2</v>
      </c>
      <c r="C5" s="11">
        <v>3</v>
      </c>
      <c r="D5" s="11">
        <v>4</v>
      </c>
      <c r="E5" s="11">
        <v>5</v>
      </c>
      <c r="F5" s="7">
        <v>6</v>
      </c>
      <c r="G5" s="11">
        <v>7</v>
      </c>
      <c r="H5" s="11">
        <v>8</v>
      </c>
      <c r="I5" s="11">
        <v>9</v>
      </c>
      <c r="J5" s="11">
        <v>10</v>
      </c>
      <c r="K5" s="7">
        <v>11</v>
      </c>
      <c r="L5" s="11">
        <v>12</v>
      </c>
      <c r="M5" s="11">
        <v>13</v>
      </c>
      <c r="N5" s="11">
        <v>14</v>
      </c>
      <c r="O5" s="11">
        <v>15</v>
      </c>
      <c r="P5" s="7">
        <v>16</v>
      </c>
      <c r="Q5" s="11">
        <v>17</v>
      </c>
      <c r="R5" s="11"/>
      <c r="S5" s="11"/>
      <c r="T5" s="11"/>
      <c r="V5" s="11"/>
      <c r="W5" s="11"/>
      <c r="X5" s="11"/>
      <c r="Y5" s="11"/>
      <c r="AA5" s="11"/>
      <c r="AB5" s="11"/>
      <c r="AC5" s="11"/>
      <c r="AD5" s="11"/>
      <c r="AF5" s="11"/>
      <c r="AG5" s="11"/>
      <c r="AH5" s="11"/>
      <c r="AI5" s="11"/>
      <c r="AK5" s="11"/>
      <c r="AL5" s="11"/>
      <c r="AM5" s="11"/>
      <c r="AN5" s="11"/>
      <c r="AP5" s="11"/>
      <c r="AQ5" s="11"/>
      <c r="AR5" s="11"/>
      <c r="AS5" s="11"/>
      <c r="AU5" s="11"/>
      <c r="AV5" s="11"/>
      <c r="AW5" s="11"/>
      <c r="AX5" s="11"/>
      <c r="AZ5" s="11"/>
      <c r="BA5" s="11"/>
      <c r="BB5" s="11"/>
      <c r="BC5" s="11"/>
      <c r="BE5" s="11"/>
      <c r="BF5" s="11"/>
      <c r="BG5" s="11"/>
      <c r="BH5" s="11"/>
      <c r="BJ5" s="11"/>
      <c r="BK5" s="11"/>
      <c r="BL5" s="11"/>
      <c r="BM5" s="11"/>
      <c r="BO5" s="11"/>
      <c r="BP5" s="11"/>
      <c r="BQ5" s="11"/>
      <c r="BR5" s="11"/>
      <c r="BT5" s="11"/>
      <c r="BU5" s="11"/>
      <c r="BV5" s="11"/>
      <c r="BW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row>
    <row r="6" spans="1:106" s="7" customFormat="1">
      <c r="B6" s="12" t="s">
        <v>2</v>
      </c>
      <c r="C6" s="13"/>
      <c r="D6" s="13"/>
      <c r="E6" s="13"/>
      <c r="F6" s="13"/>
      <c r="G6" s="13"/>
      <c r="H6" s="14"/>
      <c r="I6" s="15"/>
      <c r="J6" s="411" t="s">
        <v>3</v>
      </c>
      <c r="K6" s="412"/>
      <c r="L6" s="412"/>
      <c r="M6" s="412"/>
      <c r="N6" s="412"/>
      <c r="O6" s="413"/>
      <c r="P6" s="414" t="s">
        <v>4</v>
      </c>
      <c r="Q6" s="415"/>
      <c r="R6" s="16"/>
      <c r="S6" s="17"/>
      <c r="T6" s="17"/>
      <c r="U6" s="17"/>
      <c r="V6" s="17"/>
      <c r="W6" s="17"/>
      <c r="X6" s="17"/>
      <c r="Y6" s="18"/>
      <c r="Z6" s="19"/>
      <c r="AA6" s="17"/>
      <c r="AB6" s="17"/>
      <c r="AC6" s="17"/>
      <c r="AD6" s="17"/>
      <c r="AE6" s="17"/>
      <c r="AF6" s="20"/>
      <c r="AG6" s="20"/>
      <c r="AH6" s="20"/>
      <c r="AI6" s="20"/>
      <c r="AJ6" s="20"/>
      <c r="AK6" s="20"/>
      <c r="AL6" s="20"/>
      <c r="AM6" s="20"/>
      <c r="AN6" s="20"/>
      <c r="AO6" s="20"/>
      <c r="AP6" s="20"/>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s="7" customFormat="1" ht="38.25">
      <c r="B7" s="21" t="s">
        <v>5</v>
      </c>
      <c r="C7" s="21" t="s">
        <v>6</v>
      </c>
      <c r="D7" s="21" t="s">
        <v>7</v>
      </c>
      <c r="E7" s="21" t="s">
        <v>8</v>
      </c>
      <c r="F7" s="21" t="s">
        <v>9</v>
      </c>
      <c r="G7" s="21" t="s">
        <v>10</v>
      </c>
      <c r="H7" s="22" t="s">
        <v>11</v>
      </c>
      <c r="I7" s="23" t="s">
        <v>12</v>
      </c>
      <c r="J7" s="23" t="s">
        <v>13</v>
      </c>
      <c r="K7" s="23" t="s">
        <v>14</v>
      </c>
      <c r="L7" s="23" t="s">
        <v>15</v>
      </c>
      <c r="M7" s="23" t="s">
        <v>16</v>
      </c>
      <c r="N7" s="23" t="s">
        <v>17</v>
      </c>
      <c r="O7" s="23" t="s">
        <v>18</v>
      </c>
      <c r="P7" s="24" t="s">
        <v>19</v>
      </c>
      <c r="Q7" s="23" t="s">
        <v>11</v>
      </c>
      <c r="R7" s="25"/>
      <c r="S7" s="25"/>
      <c r="T7" s="25"/>
      <c r="U7" s="25"/>
      <c r="V7" s="25"/>
      <c r="W7" s="25"/>
      <c r="X7" s="25"/>
      <c r="Y7" s="25"/>
      <c r="Z7" s="25"/>
      <c r="AA7" s="25"/>
      <c r="AB7" s="25"/>
      <c r="AC7" s="25"/>
      <c r="AD7" s="25"/>
      <c r="AE7" s="25"/>
      <c r="AF7" s="20"/>
      <c r="AG7" s="20"/>
      <c r="AH7" s="20"/>
      <c r="AI7" s="20"/>
      <c r="AJ7" s="20"/>
      <c r="AK7" s="20"/>
      <c r="AL7" s="20"/>
      <c r="AM7" s="20"/>
      <c r="AN7" s="20"/>
      <c r="AO7" s="20"/>
      <c r="AP7" s="20"/>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c r="A8" t="str">
        <f>CONCATENATE(B8,C8)</f>
        <v>Single Family Weatherization - Insulate Attic - R0 to R38 - Heating Zone 1 (Electric FAF)ATTIC R0 - R38</v>
      </c>
      <c r="B8" s="305" t="s">
        <v>67</v>
      </c>
      <c r="C8" s="305" t="s">
        <v>68</v>
      </c>
      <c r="D8" s="306">
        <v>2.5285206405856697</v>
      </c>
      <c r="E8" s="302">
        <v>45</v>
      </c>
      <c r="F8" s="304">
        <v>0.98066043810604342</v>
      </c>
      <c r="G8" s="302"/>
      <c r="H8" s="301" t="s">
        <v>69</v>
      </c>
      <c r="I8" s="304">
        <v>9.5166570691198223E-3</v>
      </c>
      <c r="J8" s="300"/>
      <c r="K8" s="300"/>
      <c r="L8" s="300"/>
      <c r="M8" s="300"/>
      <c r="N8" s="300"/>
      <c r="O8" s="300"/>
      <c r="P8" s="300"/>
      <c r="Q8" s="303"/>
    </row>
    <row r="9" spans="1:106">
      <c r="A9" t="str">
        <f t="shared" ref="A9:A72" si="0">CONCATENATE(B9,C9)</f>
        <v>Single Family Weatherization - Insulate Attic - R0 to R49 - Heating Zone 1 (Electric FAF)ATTIC R0 - R49</v>
      </c>
      <c r="B9" s="305" t="s">
        <v>70</v>
      </c>
      <c r="C9" s="305" t="s">
        <v>71</v>
      </c>
      <c r="D9" s="306">
        <v>2.5650788363255406</v>
      </c>
      <c r="E9" s="302">
        <v>45</v>
      </c>
      <c r="F9" s="304">
        <v>1.1198946019755947</v>
      </c>
      <c r="G9" s="302"/>
      <c r="H9" s="301" t="s">
        <v>69</v>
      </c>
      <c r="I9" s="304">
        <v>9.8537616304070277E-3</v>
      </c>
      <c r="J9" s="300"/>
      <c r="K9" s="300"/>
      <c r="L9" s="300"/>
      <c r="M9" s="300"/>
      <c r="N9" s="300"/>
      <c r="O9" s="300"/>
      <c r="P9" s="300"/>
      <c r="Q9" s="303"/>
    </row>
    <row r="10" spans="1:106">
      <c r="A10" t="str">
        <f t="shared" si="0"/>
        <v>Single Family Weatherization - Insulate Attic - R11 to R38 - Heating Zone 1 (Electric FAF)ATTIC R11 - R38</v>
      </c>
      <c r="B10" s="305" t="s">
        <v>72</v>
      </c>
      <c r="C10" s="305" t="s">
        <v>73</v>
      </c>
      <c r="D10" s="306">
        <v>0.64242347024217905</v>
      </c>
      <c r="E10" s="302">
        <v>45</v>
      </c>
      <c r="F10" s="304">
        <v>0.84142627423649186</v>
      </c>
      <c r="G10" s="302"/>
      <c r="H10" s="301" t="s">
        <v>69</v>
      </c>
      <c r="I10" s="304">
        <v>5.3355005970264031E-3</v>
      </c>
      <c r="J10" s="300"/>
      <c r="K10" s="300"/>
      <c r="L10" s="300"/>
      <c r="M10" s="300"/>
      <c r="N10" s="300"/>
      <c r="O10" s="300"/>
      <c r="P10" s="300"/>
      <c r="Q10" s="303"/>
    </row>
    <row r="11" spans="1:106">
      <c r="A11" t="str">
        <f t="shared" si="0"/>
        <v>Single Family Weatherization - Insulate Attic - R11 to R49 - Heating Zone 1 (Electric FAF)ATTIC R11 - R49</v>
      </c>
      <c r="B11" s="305" t="s">
        <v>74</v>
      </c>
      <c r="C11" s="305" t="s">
        <v>75</v>
      </c>
      <c r="D11" s="306">
        <v>0.69732627189634411</v>
      </c>
      <c r="E11" s="302">
        <v>45</v>
      </c>
      <c r="F11" s="304">
        <v>0.98066043810604342</v>
      </c>
      <c r="G11" s="302"/>
      <c r="H11" s="301" t="s">
        <v>69</v>
      </c>
      <c r="I11" s="304">
        <v>5.8467152527629275E-3</v>
      </c>
      <c r="J11" s="300"/>
      <c r="K11" s="300"/>
      <c r="L11" s="300"/>
      <c r="M11" s="300"/>
      <c r="N11" s="300"/>
      <c r="O11" s="300"/>
      <c r="P11" s="300"/>
      <c r="Q11" s="300"/>
    </row>
    <row r="12" spans="1:106">
      <c r="A12" t="str">
        <f t="shared" si="0"/>
        <v>Single Family Weatherization - Insulate Attic - R19 to R38 - Heating Zone 1 (Electric FAF)ATTIC R19 - R38</v>
      </c>
      <c r="B12" s="305" t="s">
        <v>76</v>
      </c>
      <c r="C12" s="305" t="s">
        <v>77</v>
      </c>
      <c r="D12" s="306">
        <v>0.26304847903549472</v>
      </c>
      <c r="E12" s="302">
        <v>45</v>
      </c>
      <c r="F12" s="304">
        <v>0.7401650641495453</v>
      </c>
      <c r="G12" s="302"/>
      <c r="H12" s="301" t="s">
        <v>69</v>
      </c>
      <c r="I12" s="304">
        <v>2.3587111519831937E-3</v>
      </c>
      <c r="J12" s="300"/>
      <c r="K12" s="300"/>
      <c r="L12" s="300"/>
      <c r="M12" s="300"/>
      <c r="N12" s="300"/>
      <c r="O12" s="300"/>
      <c r="P12" s="300"/>
      <c r="Q12" s="300"/>
    </row>
    <row r="13" spans="1:106">
      <c r="A13" t="str">
        <f t="shared" si="0"/>
        <v>Single Family Weatherization - Insulate Attic - R19 to R49 - Heating Zone 1 (Electric FAF)ATTIC R19 - R49</v>
      </c>
      <c r="B13" s="305" t="s">
        <v>78</v>
      </c>
      <c r="C13" s="305" t="s">
        <v>79</v>
      </c>
      <c r="D13" s="306">
        <v>0.31719447043774529</v>
      </c>
      <c r="E13" s="302">
        <v>45</v>
      </c>
      <c r="F13" s="304">
        <v>0.87939922801909687</v>
      </c>
      <c r="G13" s="302"/>
      <c r="H13" s="301" t="s">
        <v>69</v>
      </c>
      <c r="I13" s="304">
        <v>2.870151768252509E-3</v>
      </c>
      <c r="J13" s="300"/>
      <c r="K13" s="300"/>
      <c r="L13" s="300"/>
      <c r="M13" s="300"/>
      <c r="N13" s="300"/>
      <c r="O13" s="300"/>
      <c r="P13" s="300"/>
      <c r="Q13" s="300"/>
    </row>
    <row r="14" spans="1:106">
      <c r="A14" t="str">
        <f t="shared" si="0"/>
        <v>Single Family Weatherization - Insulate Attic - R30 to R38 - Heating Zone 1 (Electric FAF)ATTIC R30 - R38</v>
      </c>
      <c r="B14" s="305" t="s">
        <v>1185</v>
      </c>
      <c r="C14" s="305" t="s">
        <v>1186</v>
      </c>
      <c r="D14" s="306">
        <v>8.8573536675400563E-2</v>
      </c>
      <c r="E14" s="302">
        <v>45</v>
      </c>
      <c r="F14" s="304">
        <v>0.60093090027999396</v>
      </c>
      <c r="G14" s="302"/>
      <c r="H14" s="301" t="s">
        <v>69</v>
      </c>
      <c r="I14" s="304">
        <v>8.251291407926658E-4</v>
      </c>
      <c r="J14" s="300"/>
      <c r="K14" s="300"/>
      <c r="L14" s="300"/>
      <c r="M14" s="300"/>
      <c r="N14" s="300"/>
      <c r="O14" s="300"/>
      <c r="P14" s="300"/>
      <c r="Q14" s="300"/>
    </row>
    <row r="15" spans="1:106">
      <c r="A15" t="str">
        <f t="shared" si="0"/>
        <v>Single Family Weatherization - Insulate Attic - R30 to R49 - Heating Zone 1 (Electric FAF)ATTIC R30 - R49</v>
      </c>
      <c r="B15" s="305" t="s">
        <v>80</v>
      </c>
      <c r="C15" s="305" t="s">
        <v>81</v>
      </c>
      <c r="D15" s="306">
        <v>0.15829283807802744</v>
      </c>
      <c r="E15" s="302">
        <v>45</v>
      </c>
      <c r="F15" s="304">
        <v>0.7401650641495453</v>
      </c>
      <c r="G15" s="302"/>
      <c r="H15" s="301" t="s">
        <v>69</v>
      </c>
      <c r="I15" s="304">
        <v>1.4889057152033601E-3</v>
      </c>
      <c r="J15" s="300"/>
      <c r="K15" s="300"/>
      <c r="L15" s="300"/>
      <c r="M15" s="300"/>
      <c r="N15" s="300"/>
      <c r="O15" s="300"/>
      <c r="P15" s="300"/>
      <c r="Q15" s="300"/>
    </row>
    <row r="16" spans="1:106">
      <c r="A16" t="str">
        <f t="shared" si="0"/>
        <v>Single Family Weatherization - Insulate Attic - R38 to R49 - Heating Zone 1 (Electric FAF)ATTIC R38 - R49</v>
      </c>
      <c r="B16" s="305" t="s">
        <v>82</v>
      </c>
      <c r="C16" s="305" t="s">
        <v>83</v>
      </c>
      <c r="D16" s="306">
        <v>6.9867009192556562E-2</v>
      </c>
      <c r="E16" s="302">
        <v>45</v>
      </c>
      <c r="F16" s="304">
        <v>0.63890385406259886</v>
      </c>
      <c r="G16" s="302"/>
      <c r="H16" s="301" t="s">
        <v>69</v>
      </c>
      <c r="I16" s="304">
        <v>6.6130167446229438E-4</v>
      </c>
      <c r="J16" s="300"/>
      <c r="K16" s="300"/>
      <c r="L16" s="300"/>
      <c r="M16" s="300"/>
      <c r="N16" s="300"/>
      <c r="O16" s="300"/>
      <c r="P16" s="300"/>
      <c r="Q16" s="300"/>
    </row>
    <row r="17" spans="1:17">
      <c r="A17" t="str">
        <f t="shared" si="0"/>
        <v>Single Family Weatherization - Insulate Wall - R0 to R11 - Heating Zone 1 (Electric FAF)WALL R0 - R11</v>
      </c>
      <c r="B17" s="305" t="s">
        <v>84</v>
      </c>
      <c r="C17" s="305" t="s">
        <v>85</v>
      </c>
      <c r="D17" s="306">
        <v>2.6104143645680713</v>
      </c>
      <c r="E17" s="302">
        <v>45</v>
      </c>
      <c r="F17" s="304">
        <v>1.3863525086966677</v>
      </c>
      <c r="G17" s="302"/>
      <c r="H17" s="301" t="s">
        <v>69</v>
      </c>
      <c r="I17" s="304">
        <v>1.5658791377909435E-2</v>
      </c>
      <c r="J17" s="27"/>
      <c r="K17" s="27"/>
      <c r="L17" s="27"/>
      <c r="M17" s="27"/>
      <c r="N17" s="27"/>
      <c r="O17" s="27"/>
      <c r="P17" s="27"/>
      <c r="Q17" s="27"/>
    </row>
    <row r="18" spans="1:17">
      <c r="A18" t="str">
        <f t="shared" si="0"/>
        <v>Single Family Weatherization - Insulate Floor - R0 to R19 - Heating Zone 1 (Electric FAF)FLOOR R0 - R19</v>
      </c>
      <c r="B18" s="305" t="s">
        <v>86</v>
      </c>
      <c r="C18" s="305" t="s">
        <v>87</v>
      </c>
      <c r="D18" s="306">
        <v>1.0874872595328746</v>
      </c>
      <c r="E18" s="302">
        <v>45</v>
      </c>
      <c r="F18" s="304">
        <v>1.2290592529494864</v>
      </c>
      <c r="G18" s="302"/>
      <c r="H18" s="301" t="s">
        <v>69</v>
      </c>
      <c r="I18" s="304">
        <v>4.6215591741871464E-3</v>
      </c>
      <c r="J18" s="27"/>
      <c r="K18" s="27"/>
      <c r="L18" s="27"/>
      <c r="M18" s="27"/>
      <c r="N18" s="27"/>
      <c r="O18" s="27"/>
      <c r="P18" s="27"/>
      <c r="Q18" s="27"/>
    </row>
    <row r="19" spans="1:17">
      <c r="A19" t="str">
        <f t="shared" si="0"/>
        <v>Single Family Weatherization - Insulate Floor - R0 to R25 - Heating Zone 1 (Electric FAF)FLOOR R0 - R25</v>
      </c>
      <c r="B19" s="305" t="s">
        <v>88</v>
      </c>
      <c r="C19" s="305" t="s">
        <v>89</v>
      </c>
      <c r="D19" s="306">
        <v>1.1686078879622559</v>
      </c>
      <c r="E19" s="302">
        <v>45</v>
      </c>
      <c r="F19" s="304">
        <v>1.2761252113477823</v>
      </c>
      <c r="G19" s="302"/>
      <c r="H19" s="301" t="s">
        <v>69</v>
      </c>
      <c r="I19" s="304">
        <v>5.4203461279518526E-3</v>
      </c>
      <c r="J19" s="27"/>
      <c r="K19" s="27"/>
      <c r="L19" s="27"/>
      <c r="M19" s="27"/>
      <c r="N19" s="27"/>
      <c r="O19" s="27"/>
      <c r="P19" s="27"/>
      <c r="Q19" s="27"/>
    </row>
    <row r="20" spans="1:17">
      <c r="A20" t="str">
        <f t="shared" si="0"/>
        <v>Single Family Weatherization - Insulate Floor - R0 to R30 - Heating Zone 1 (Electric FAF)FLOOR R0 - R30</v>
      </c>
      <c r="B20" s="305" t="s">
        <v>90</v>
      </c>
      <c r="C20" s="305" t="s">
        <v>91</v>
      </c>
      <c r="D20" s="306">
        <v>1.2194557746377501</v>
      </c>
      <c r="E20" s="302">
        <v>45</v>
      </c>
      <c r="F20" s="304">
        <v>1.3153468433463626</v>
      </c>
      <c r="G20" s="302"/>
      <c r="H20" s="301" t="s">
        <v>69</v>
      </c>
      <c r="I20" s="304">
        <v>5.9460042760808331E-3</v>
      </c>
      <c r="J20" s="27"/>
      <c r="K20" s="27"/>
      <c r="L20" s="27"/>
      <c r="M20" s="27"/>
      <c r="N20" s="27"/>
      <c r="O20" s="27"/>
      <c r="P20" s="27"/>
      <c r="Q20" s="27"/>
    </row>
    <row r="21" spans="1:17">
      <c r="A21" t="str">
        <f t="shared" si="0"/>
        <v>Single Family Weatherization - Insulate Floor - R19 to R30 - Heating Zone 1 (Electric FAF)FLOOR R19 - R30</v>
      </c>
      <c r="B21" s="305" t="s">
        <v>1187</v>
      </c>
      <c r="C21" s="305" t="s">
        <v>1188</v>
      </c>
      <c r="D21" s="306">
        <v>0.17515896565160383</v>
      </c>
      <c r="E21" s="302">
        <v>45</v>
      </c>
      <c r="F21" s="304">
        <v>1.1663046417517582</v>
      </c>
      <c r="G21" s="302"/>
      <c r="H21" s="301" t="s">
        <v>69</v>
      </c>
      <c r="I21" s="304">
        <v>1.3312786618619313E-3</v>
      </c>
      <c r="J21" s="27"/>
      <c r="K21" s="27"/>
      <c r="L21" s="27"/>
      <c r="M21" s="27"/>
      <c r="N21" s="27"/>
      <c r="O21" s="27"/>
      <c r="P21" s="27"/>
      <c r="Q21" s="27"/>
    </row>
    <row r="22" spans="1:17">
      <c r="A22" t="str">
        <f t="shared" si="0"/>
        <v>Windows - Single Pane to Class 30 - Heating Zone 1 (Electric FAF)WINDOW CL30 Prime Window Replacement of Single Pane Base</v>
      </c>
      <c r="B22" s="305" t="s">
        <v>92</v>
      </c>
      <c r="C22" s="305" t="s">
        <v>93</v>
      </c>
      <c r="D22" s="306">
        <v>16.679742661459432</v>
      </c>
      <c r="E22" s="302">
        <v>45</v>
      </c>
      <c r="F22" s="304">
        <v>18.513985646792214</v>
      </c>
      <c r="G22" s="302"/>
      <c r="H22" s="301" t="s">
        <v>69</v>
      </c>
      <c r="I22" s="304">
        <v>0.15994265539248415</v>
      </c>
      <c r="J22" s="27"/>
      <c r="K22" s="27"/>
      <c r="L22" s="27"/>
      <c r="M22" s="27"/>
      <c r="N22" s="27"/>
      <c r="O22" s="27"/>
      <c r="P22" s="27"/>
      <c r="Q22" s="27"/>
    </row>
    <row r="23" spans="1:17">
      <c r="A23" t="str">
        <f t="shared" si="0"/>
        <v>Windows - Double Pane to Class 30 - Heating Zone 1 (Electric FAF)WINDOW CL30 Prime Window Replacement of Double Pane Base</v>
      </c>
      <c r="B23" s="305" t="s">
        <v>94</v>
      </c>
      <c r="C23" s="305" t="s">
        <v>95</v>
      </c>
      <c r="D23" s="306">
        <v>5.9621340336589252</v>
      </c>
      <c r="E23" s="302">
        <v>45</v>
      </c>
      <c r="F23" s="304">
        <v>18.513985646792214</v>
      </c>
      <c r="G23" s="302"/>
      <c r="H23" s="301" t="s">
        <v>69</v>
      </c>
      <c r="I23" s="304">
        <v>5.3359473010040882E-2</v>
      </c>
      <c r="J23" s="27"/>
      <c r="K23" s="27"/>
      <c r="L23" s="27"/>
      <c r="M23" s="27"/>
      <c r="N23" s="27"/>
      <c r="O23" s="27"/>
      <c r="P23" s="27"/>
      <c r="Q23" s="27"/>
    </row>
    <row r="24" spans="1:17">
      <c r="A24" t="str">
        <f t="shared" si="0"/>
        <v>Windows - Class 35 to Class 30 - Heating Zone 1 (Electric FAF)WINDOW CL35 to CL30 Upgrade</v>
      </c>
      <c r="B24" s="305" t="s">
        <v>96</v>
      </c>
      <c r="C24" s="305" t="s">
        <v>97</v>
      </c>
      <c r="D24" s="306">
        <v>0.81435702107622143</v>
      </c>
      <c r="E24" s="302">
        <v>45</v>
      </c>
      <c r="F24" s="304">
        <v>1.1251515151515155</v>
      </c>
      <c r="G24" s="302"/>
      <c r="H24" s="301" t="s">
        <v>69</v>
      </c>
      <c r="I24" s="304">
        <v>8.7508064468759285E-3</v>
      </c>
      <c r="J24" s="27"/>
      <c r="K24" s="27"/>
      <c r="L24" s="27"/>
      <c r="M24" s="27"/>
      <c r="N24" s="27"/>
      <c r="O24" s="27"/>
      <c r="P24" s="27"/>
      <c r="Q24" s="27"/>
    </row>
    <row r="25" spans="1:17">
      <c r="A25" t="str">
        <f t="shared" si="0"/>
        <v>Windows - Single Pane to Class 22 - Heating Zone 1 (Electric FAF)WINDOW CL22 Prime Window Replacement of Single Pane Base</v>
      </c>
      <c r="B25" s="305" t="s">
        <v>98</v>
      </c>
      <c r="C25" s="305" t="s">
        <v>99</v>
      </c>
      <c r="D25" s="306">
        <v>18.199886222428766</v>
      </c>
      <c r="E25" s="302">
        <v>45</v>
      </c>
      <c r="F25" s="304">
        <v>21.803985646792214</v>
      </c>
      <c r="G25" s="302"/>
      <c r="H25" s="301" t="s">
        <v>69</v>
      </c>
      <c r="I25" s="304">
        <v>0.17827837017369766</v>
      </c>
      <c r="J25" s="27"/>
      <c r="K25" s="27"/>
      <c r="L25" s="27"/>
      <c r="M25" s="27"/>
      <c r="N25" s="27"/>
      <c r="O25" s="27"/>
      <c r="P25" s="27"/>
      <c r="Q25" s="27"/>
    </row>
    <row r="26" spans="1:17">
      <c r="A26" t="str">
        <f t="shared" si="0"/>
        <v>Windows - Double Pane to Class 22 - Heating Zone 1 (Electric FAF)WINDOW CL22 Prime Window Replacement of Double Pane Base</v>
      </c>
      <c r="B26" s="305" t="s">
        <v>100</v>
      </c>
      <c r="C26" s="305" t="s">
        <v>101</v>
      </c>
      <c r="D26" s="306">
        <v>6.9881841989570175</v>
      </c>
      <c r="E26" s="302">
        <v>45</v>
      </c>
      <c r="F26" s="304">
        <v>21.803985646792214</v>
      </c>
      <c r="G26" s="302"/>
      <c r="H26" s="301" t="s">
        <v>69</v>
      </c>
      <c r="I26" s="304">
        <v>6.4676997735384406E-2</v>
      </c>
      <c r="J26" s="27"/>
      <c r="K26" s="27"/>
      <c r="L26" s="27"/>
      <c r="M26" s="27"/>
      <c r="N26" s="27"/>
      <c r="O26" s="27"/>
      <c r="P26" s="27"/>
      <c r="Q26" s="27"/>
    </row>
    <row r="27" spans="1:17">
      <c r="A27" t="str">
        <f t="shared" si="0"/>
        <v>Windows - Class 35 to Class 22 - Heating Zone 1 (Electric FAF)WINDOW CL35 to CL22 Upgrade</v>
      </c>
      <c r="B27" s="305" t="s">
        <v>102</v>
      </c>
      <c r="C27" s="305" t="s">
        <v>103</v>
      </c>
      <c r="D27" s="306">
        <v>2.2054309901571552</v>
      </c>
      <c r="E27" s="302">
        <v>45</v>
      </c>
      <c r="F27" s="304">
        <v>4.415151515151515</v>
      </c>
      <c r="G27" s="302"/>
      <c r="H27" s="301" t="s">
        <v>69</v>
      </c>
      <c r="I27" s="304">
        <v>2.3708456943312934E-2</v>
      </c>
      <c r="J27" s="27"/>
      <c r="K27" s="27"/>
      <c r="L27" s="27"/>
      <c r="M27" s="27"/>
      <c r="N27" s="27"/>
      <c r="O27" s="27"/>
      <c r="P27" s="27"/>
      <c r="Q27" s="27"/>
    </row>
    <row r="28" spans="1:17">
      <c r="A28" t="str">
        <f t="shared" si="0"/>
        <v>Infiltration Reduction - CFM50 reduction - Heating Zone 1 (Electric FAF)CFM50 Infiltration Reduction</v>
      </c>
      <c r="B28" s="305" t="s">
        <v>104</v>
      </c>
      <c r="C28" s="305" t="s">
        <v>1362</v>
      </c>
      <c r="D28" s="306">
        <v>0.57747934939152656</v>
      </c>
      <c r="E28" s="302">
        <v>15</v>
      </c>
      <c r="F28" s="304">
        <v>0.6607178075171779</v>
      </c>
      <c r="G28" s="302"/>
      <c r="H28" s="301" t="s">
        <v>69</v>
      </c>
      <c r="I28" s="304">
        <v>5.6820361477410864E-3</v>
      </c>
      <c r="J28" s="27"/>
      <c r="K28" s="27"/>
      <c r="L28" s="27"/>
      <c r="M28" s="27"/>
      <c r="N28" s="27"/>
      <c r="O28" s="27"/>
      <c r="P28" s="27"/>
      <c r="Q28" s="27"/>
    </row>
    <row r="29" spans="1:17">
      <c r="A29" t="str">
        <f t="shared" si="0"/>
        <v>Single Family Weatherization - Insulate Attic - R0 to R38 - Heating Zone 2 (Electric FAF)ATTIC R0 - R38</v>
      </c>
      <c r="B29" s="305" t="s">
        <v>105</v>
      </c>
      <c r="C29" s="305" t="s">
        <v>68</v>
      </c>
      <c r="D29" s="306">
        <v>3.5819951449288707</v>
      </c>
      <c r="E29" s="302">
        <v>45</v>
      </c>
      <c r="F29" s="304">
        <v>0.98066043810604342</v>
      </c>
      <c r="G29" s="302"/>
      <c r="H29" s="301" t="s">
        <v>106</v>
      </c>
      <c r="I29" s="304">
        <v>1.1869279307586819E-2</v>
      </c>
      <c r="J29" s="27"/>
      <c r="K29" s="27"/>
      <c r="L29" s="27"/>
      <c r="M29" s="27"/>
      <c r="N29" s="27"/>
      <c r="O29" s="27"/>
      <c r="P29" s="27"/>
      <c r="Q29" s="27"/>
    </row>
    <row r="30" spans="1:17">
      <c r="A30" t="str">
        <f t="shared" si="0"/>
        <v>Single Family Weatherization - Insulate Attic - R0 to R49 - Heating Zone 2 (Electric FAF)ATTIC R0 - R49</v>
      </c>
      <c r="B30" s="305" t="s">
        <v>107</v>
      </c>
      <c r="C30" s="305" t="s">
        <v>71</v>
      </c>
      <c r="D30" s="306">
        <v>3.6355035969087943</v>
      </c>
      <c r="E30" s="302">
        <v>45</v>
      </c>
      <c r="F30" s="304">
        <v>1.1198946019755947</v>
      </c>
      <c r="G30" s="302"/>
      <c r="H30" s="301" t="s">
        <v>106</v>
      </c>
      <c r="I30" s="304">
        <v>1.2171005270419975E-2</v>
      </c>
      <c r="J30" s="27"/>
      <c r="K30" s="27"/>
      <c r="L30" s="27"/>
      <c r="M30" s="27"/>
      <c r="N30" s="27"/>
      <c r="O30" s="27"/>
      <c r="P30" s="27"/>
      <c r="Q30" s="27"/>
    </row>
    <row r="31" spans="1:17">
      <c r="A31" t="str">
        <f t="shared" si="0"/>
        <v>Single Family Weatherization - Insulate Attic - R11 to R38 - Heating Zone 2 (Electric FAF)ATTIC R11 - R38</v>
      </c>
      <c r="B31" s="305" t="s">
        <v>108</v>
      </c>
      <c r="C31" s="305" t="s">
        <v>73</v>
      </c>
      <c r="D31" s="306">
        <v>0.69391305995871599</v>
      </c>
      <c r="E31" s="302">
        <v>45</v>
      </c>
      <c r="F31" s="304">
        <v>0.84142627423649186</v>
      </c>
      <c r="G31" s="302"/>
      <c r="H31" s="301" t="s">
        <v>106</v>
      </c>
      <c r="I31" s="304">
        <v>3.5472564867396151E-3</v>
      </c>
      <c r="J31" s="27"/>
      <c r="K31" s="27"/>
      <c r="L31" s="27"/>
      <c r="M31" s="27"/>
      <c r="N31" s="27"/>
      <c r="O31" s="27"/>
      <c r="P31" s="27"/>
      <c r="Q31" s="27"/>
    </row>
    <row r="32" spans="1:17">
      <c r="A32" t="str">
        <f t="shared" si="0"/>
        <v>Single Family Weatherization - Insulate Attic - R11 to R49 - Heating Zone 2 (Electric FAF)ATTIC R11 - R49</v>
      </c>
      <c r="B32" s="305" t="s">
        <v>109</v>
      </c>
      <c r="C32" s="305" t="s">
        <v>75</v>
      </c>
      <c r="D32" s="306">
        <v>0.75347215564750991</v>
      </c>
      <c r="E32" s="302">
        <v>45</v>
      </c>
      <c r="F32" s="304">
        <v>0.98066043810604342</v>
      </c>
      <c r="G32" s="302"/>
      <c r="H32" s="301" t="s">
        <v>106</v>
      </c>
      <c r="I32" s="304">
        <v>3.8976528875212541E-3</v>
      </c>
      <c r="J32" s="27"/>
      <c r="K32" s="27"/>
      <c r="L32" s="27"/>
      <c r="M32" s="27"/>
      <c r="N32" s="27"/>
      <c r="O32" s="27"/>
      <c r="P32" s="27"/>
      <c r="Q32" s="27"/>
    </row>
    <row r="33" spans="1:17">
      <c r="A33" t="str">
        <f t="shared" si="0"/>
        <v>Single Family Weatherization - Insulate Attic - R19 to R38 - Heating Zone 2 (Electric FAF)ATTIC R19 - R38</v>
      </c>
      <c r="B33" s="305" t="s">
        <v>110</v>
      </c>
      <c r="C33" s="305" t="s">
        <v>77</v>
      </c>
      <c r="D33" s="306">
        <v>0.28981534779948248</v>
      </c>
      <c r="E33" s="302">
        <v>45</v>
      </c>
      <c r="F33" s="304">
        <v>0.7401650641495453</v>
      </c>
      <c r="G33" s="302"/>
      <c r="H33" s="301" t="s">
        <v>106</v>
      </c>
      <c r="I33" s="304">
        <v>1.5722869548760988E-3</v>
      </c>
      <c r="J33" s="27"/>
      <c r="K33" s="27"/>
      <c r="L33" s="27"/>
      <c r="M33" s="27"/>
      <c r="N33" s="27"/>
      <c r="O33" s="27"/>
      <c r="P33" s="27"/>
      <c r="Q33" s="27"/>
    </row>
    <row r="34" spans="1:17">
      <c r="A34" t="str">
        <f t="shared" si="0"/>
        <v>Single Family Weatherization - Insulate Attic - R19 to R49 - Heating Zone 2 (Electric FAF)ATTIC R19 - R49</v>
      </c>
      <c r="B34" s="305" t="s">
        <v>111</v>
      </c>
      <c r="C34" s="305" t="s">
        <v>79</v>
      </c>
      <c r="D34" s="306">
        <v>0.34958911846010282</v>
      </c>
      <c r="E34" s="302">
        <v>45</v>
      </c>
      <c r="F34" s="304">
        <v>0.87939922801909687</v>
      </c>
      <c r="G34" s="302"/>
      <c r="H34" s="301" t="s">
        <v>106</v>
      </c>
      <c r="I34" s="304">
        <v>1.9176639868479309E-3</v>
      </c>
      <c r="J34" s="27"/>
      <c r="K34" s="27"/>
      <c r="L34" s="27"/>
      <c r="M34" s="27"/>
      <c r="N34" s="27"/>
      <c r="O34" s="27"/>
      <c r="P34" s="27"/>
      <c r="Q34" s="27"/>
    </row>
    <row r="35" spans="1:17">
      <c r="A35" t="str">
        <f t="shared" si="0"/>
        <v>Single Family Weatherization - Insulate Attic - R30 to R38 - Heating Zone 2 (Electric FAF)ATTIC R30 - R38</v>
      </c>
      <c r="B35" s="305" t="s">
        <v>1251</v>
      </c>
      <c r="C35" s="305" t="s">
        <v>1186</v>
      </c>
      <c r="D35" s="306">
        <v>9.4371315936884817E-2</v>
      </c>
      <c r="E35" s="302">
        <v>45</v>
      </c>
      <c r="F35" s="304">
        <v>0.60093090027999396</v>
      </c>
      <c r="G35" s="302"/>
      <c r="H35" s="301" t="s">
        <v>106</v>
      </c>
      <c r="I35" s="304">
        <v>5.4402627365384175E-4</v>
      </c>
      <c r="J35" s="27"/>
      <c r="K35" s="27"/>
      <c r="L35" s="27"/>
      <c r="M35" s="27"/>
      <c r="N35" s="27"/>
      <c r="O35" s="27"/>
      <c r="P35" s="27"/>
      <c r="Q35" s="27"/>
    </row>
    <row r="36" spans="1:17">
      <c r="A36" t="str">
        <f t="shared" si="0"/>
        <v>Single Family Weatherization - Insulate Attic - R30 to R49 - Heating Zone 2 (Electric FAF)ATTIC R30 - R49</v>
      </c>
      <c r="B36" s="305" t="s">
        <v>112</v>
      </c>
      <c r="C36" s="305" t="s">
        <v>81</v>
      </c>
      <c r="D36" s="306">
        <v>0.16871158662685187</v>
      </c>
      <c r="E36" s="302">
        <v>45</v>
      </c>
      <c r="F36" s="304">
        <v>0.7401650641495453</v>
      </c>
      <c r="G36" s="302"/>
      <c r="H36" s="301" t="s">
        <v>106</v>
      </c>
      <c r="I36" s="304">
        <v>9.836755999126515E-4</v>
      </c>
      <c r="J36" s="27"/>
      <c r="K36" s="27"/>
      <c r="L36" s="27"/>
      <c r="M36" s="27"/>
      <c r="N36" s="27"/>
      <c r="O36" s="27"/>
      <c r="P36" s="27"/>
      <c r="Q36" s="27"/>
    </row>
    <row r="37" spans="1:17">
      <c r="A37" t="str">
        <f t="shared" si="0"/>
        <v>Single Family Weatherization - Insulate Attic - R38 to R49 - Heating Zone 2 (Electric FAF)ATTIC R38 - R49</v>
      </c>
      <c r="B37" s="305" t="s">
        <v>113</v>
      </c>
      <c r="C37" s="305" t="s">
        <v>83</v>
      </c>
      <c r="D37" s="306">
        <v>7.4512533188956301E-2</v>
      </c>
      <c r="E37" s="302">
        <v>45</v>
      </c>
      <c r="F37" s="304">
        <v>0.63890385406259886</v>
      </c>
      <c r="G37" s="302"/>
      <c r="H37" s="301" t="s">
        <v>106</v>
      </c>
      <c r="I37" s="304">
        <v>4.3792078117479727E-4</v>
      </c>
      <c r="J37" s="27"/>
      <c r="K37" s="27"/>
      <c r="L37" s="27"/>
      <c r="M37" s="27"/>
      <c r="N37" s="27"/>
      <c r="O37" s="27"/>
      <c r="P37" s="27"/>
      <c r="Q37" s="27"/>
    </row>
    <row r="38" spans="1:17">
      <c r="A38" t="str">
        <f t="shared" si="0"/>
        <v>Single Family Weatherization - Insulate Wall - R0 to R11 - Heating Zone 2 (Electric FAF)WALL R0 - R11</v>
      </c>
      <c r="B38" s="305" t="s">
        <v>114</v>
      </c>
      <c r="C38" s="305" t="s">
        <v>85</v>
      </c>
      <c r="D38" s="306">
        <v>2.9012561839393505</v>
      </c>
      <c r="E38" s="302">
        <v>45</v>
      </c>
      <c r="F38" s="304">
        <v>1.3863525086966677</v>
      </c>
      <c r="G38" s="302"/>
      <c r="H38" s="301" t="s">
        <v>106</v>
      </c>
      <c r="I38" s="304">
        <v>1.0471754266012641E-2</v>
      </c>
      <c r="J38" s="27"/>
      <c r="K38" s="27"/>
      <c r="L38" s="27"/>
      <c r="M38" s="27"/>
      <c r="N38" s="27"/>
      <c r="O38" s="27"/>
      <c r="P38" s="27"/>
      <c r="Q38" s="27"/>
    </row>
    <row r="39" spans="1:17">
      <c r="A39" t="str">
        <f t="shared" si="0"/>
        <v>Single Family Weatherization - Insulate Floor - R0 to R19 - Heating Zone 2 (Electric FAF)FLOOR R0 - R19</v>
      </c>
      <c r="B39" s="305" t="s">
        <v>115</v>
      </c>
      <c r="C39" s="305" t="s">
        <v>87</v>
      </c>
      <c r="D39" s="306">
        <v>1.2768965812057833</v>
      </c>
      <c r="E39" s="302">
        <v>45</v>
      </c>
      <c r="F39" s="304">
        <v>1.2290592529494864</v>
      </c>
      <c r="G39" s="302"/>
      <c r="H39" s="301" t="s">
        <v>106</v>
      </c>
      <c r="I39" s="304">
        <v>1.9077785998243616E-3</v>
      </c>
      <c r="J39" s="27"/>
      <c r="K39" s="27"/>
      <c r="L39" s="27"/>
      <c r="M39" s="27"/>
      <c r="N39" s="27"/>
      <c r="O39" s="27"/>
      <c r="P39" s="27"/>
      <c r="Q39" s="27"/>
    </row>
    <row r="40" spans="1:17">
      <c r="A40" t="str">
        <f t="shared" si="0"/>
        <v>Single Family Weatherization - Insulate Floor - R0 to R25 - Heating Zone 2 (Electric FAF)FLOOR R0 - R25</v>
      </c>
      <c r="B40" s="305" t="s">
        <v>116</v>
      </c>
      <c r="C40" s="305" t="s">
        <v>89</v>
      </c>
      <c r="D40" s="306">
        <v>1.3753175644476465</v>
      </c>
      <c r="E40" s="302">
        <v>45</v>
      </c>
      <c r="F40" s="304">
        <v>1.2761252113477823</v>
      </c>
      <c r="G40" s="302"/>
      <c r="H40" s="301" t="s">
        <v>106</v>
      </c>
      <c r="I40" s="304">
        <v>2.4708678091713231E-3</v>
      </c>
      <c r="J40" s="27"/>
      <c r="K40" s="27"/>
      <c r="L40" s="27"/>
      <c r="M40" s="27"/>
      <c r="N40" s="27"/>
      <c r="O40" s="27"/>
      <c r="P40" s="27"/>
      <c r="Q40" s="27"/>
    </row>
    <row r="41" spans="1:17">
      <c r="A41" t="str">
        <f t="shared" si="0"/>
        <v>Single Family Weatherization - Insulate Floor - R0 to R30 - Heating Zone 2 (Electric FAF)FLOOR R0 - R30</v>
      </c>
      <c r="B41" s="305" t="s">
        <v>117</v>
      </c>
      <c r="C41" s="305" t="s">
        <v>91</v>
      </c>
      <c r="D41" s="306">
        <v>1.4371811169762547</v>
      </c>
      <c r="E41" s="302">
        <v>45</v>
      </c>
      <c r="F41" s="304">
        <v>1.3153468433463626</v>
      </c>
      <c r="G41" s="302"/>
      <c r="H41" s="301" t="s">
        <v>106</v>
      </c>
      <c r="I41" s="304">
        <v>2.8442511427717574E-3</v>
      </c>
      <c r="J41" s="27"/>
      <c r="K41" s="27"/>
      <c r="L41" s="27"/>
      <c r="M41" s="27"/>
      <c r="N41" s="27"/>
      <c r="O41" s="27"/>
      <c r="P41" s="27"/>
      <c r="Q41" s="27"/>
    </row>
    <row r="42" spans="1:17">
      <c r="A42" t="str">
        <f t="shared" si="0"/>
        <v>Single Family Weatherization - Insulate Floor - R19 to R30 - Heating Zone 2 (Electric FAF)FLOOR R19 - R30</v>
      </c>
      <c r="B42" s="305" t="s">
        <v>1252</v>
      </c>
      <c r="C42" s="305" t="s">
        <v>1188</v>
      </c>
      <c r="D42" s="306">
        <v>0.163613544884984</v>
      </c>
      <c r="E42" s="302">
        <v>45</v>
      </c>
      <c r="F42" s="304">
        <v>1.1663046417517582</v>
      </c>
      <c r="G42" s="302"/>
      <c r="H42" s="301" t="s">
        <v>106</v>
      </c>
      <c r="I42" s="304">
        <v>9.2742260533475174E-4</v>
      </c>
      <c r="J42" s="27"/>
      <c r="K42" s="27"/>
      <c r="L42" s="27"/>
      <c r="M42" s="27"/>
      <c r="N42" s="27"/>
      <c r="O42" s="27"/>
      <c r="P42" s="27"/>
      <c r="Q42" s="27"/>
    </row>
    <row r="43" spans="1:17">
      <c r="A43" t="str">
        <f t="shared" si="0"/>
        <v>Windows - Single Pane to Class 30 - Heating Zone 2 (Electric FAF)WINDOW CL30 Prime Window Replacement of Single Pane Base</v>
      </c>
      <c r="B43" s="305" t="s">
        <v>118</v>
      </c>
      <c r="C43" s="305" t="s">
        <v>93</v>
      </c>
      <c r="D43" s="306">
        <v>19.219127839046983</v>
      </c>
      <c r="E43" s="302">
        <v>45</v>
      </c>
      <c r="F43" s="304">
        <v>18.513985646792214</v>
      </c>
      <c r="G43" s="302"/>
      <c r="H43" s="301" t="s">
        <v>106</v>
      </c>
      <c r="I43" s="304">
        <v>0.11689484374578268</v>
      </c>
      <c r="J43" s="27"/>
      <c r="K43" s="27"/>
      <c r="L43" s="27"/>
      <c r="M43" s="27"/>
      <c r="N43" s="27"/>
      <c r="O43" s="27"/>
      <c r="P43" s="27"/>
      <c r="Q43" s="27"/>
    </row>
    <row r="44" spans="1:17">
      <c r="A44" t="str">
        <f t="shared" si="0"/>
        <v>Windows - Double Pane to Class 30 - Heating Zone 2 (Electric FAF)WINDOW CL30 Prime Window Replacement of Double Pane Base</v>
      </c>
      <c r="B44" s="305" t="s">
        <v>119</v>
      </c>
      <c r="C44" s="305" t="s">
        <v>95</v>
      </c>
      <c r="D44" s="306">
        <v>7.4045146614811026</v>
      </c>
      <c r="E44" s="302">
        <v>45</v>
      </c>
      <c r="F44" s="304">
        <v>18.513985646792214</v>
      </c>
      <c r="G44" s="302"/>
      <c r="H44" s="301" t="s">
        <v>106</v>
      </c>
      <c r="I44" s="304">
        <v>4.1241053225904545E-2</v>
      </c>
      <c r="J44" s="27"/>
      <c r="K44" s="27"/>
      <c r="L44" s="27"/>
      <c r="M44" s="27"/>
      <c r="N44" s="27"/>
      <c r="O44" s="27"/>
      <c r="P44" s="27"/>
      <c r="Q44" s="27"/>
    </row>
    <row r="45" spans="1:17">
      <c r="A45" t="str">
        <f t="shared" si="0"/>
        <v>Windows - Class 35 to Class 30 - Heating Zone 2 (Electric FAF)WINDOW CL35 to CL30 Upgrade</v>
      </c>
      <c r="B45" s="305" t="s">
        <v>120</v>
      </c>
      <c r="C45" s="305" t="s">
        <v>97</v>
      </c>
      <c r="D45" s="306">
        <v>0.95123777230149198</v>
      </c>
      <c r="E45" s="302">
        <v>45</v>
      </c>
      <c r="F45" s="304">
        <v>1.1251515151515155</v>
      </c>
      <c r="G45" s="302"/>
      <c r="H45" s="301" t="s">
        <v>106</v>
      </c>
      <c r="I45" s="304">
        <v>6.5669073618746729E-3</v>
      </c>
      <c r="J45" s="27"/>
      <c r="K45" s="27"/>
      <c r="L45" s="27"/>
      <c r="M45" s="27"/>
      <c r="N45" s="27"/>
      <c r="O45" s="27"/>
      <c r="P45" s="27"/>
      <c r="Q45" s="27"/>
    </row>
    <row r="46" spans="1:17">
      <c r="A46" t="str">
        <f t="shared" si="0"/>
        <v>Windows - Single Pane to Class 22 - Heating Zone 2 (Electric FAF)WINDOW CL22 Prime Window Replacement of Single Pane Base</v>
      </c>
      <c r="B46" s="305" t="s">
        <v>121</v>
      </c>
      <c r="C46" s="305" t="s">
        <v>99</v>
      </c>
      <c r="D46" s="306">
        <v>20.983384754476354</v>
      </c>
      <c r="E46" s="302">
        <v>45</v>
      </c>
      <c r="F46" s="304">
        <v>21.803985646792214</v>
      </c>
      <c r="G46" s="302"/>
      <c r="H46" s="301" t="s">
        <v>106</v>
      </c>
      <c r="I46" s="304">
        <v>0.13020649838199982</v>
      </c>
      <c r="J46" s="27"/>
      <c r="K46" s="27"/>
      <c r="L46" s="27"/>
      <c r="M46" s="27"/>
      <c r="N46" s="27"/>
      <c r="O46" s="27"/>
      <c r="P46" s="27"/>
      <c r="Q46" s="27"/>
    </row>
    <row r="47" spans="1:17">
      <c r="A47" t="str">
        <f t="shared" si="0"/>
        <v>Windows - Double Pane to Class 22 - Heating Zone 2 (Electric FAF)WINDOW CL22 Prime Window Replacement of Double Pane Base</v>
      </c>
      <c r="B47" s="305" t="s">
        <v>122</v>
      </c>
      <c r="C47" s="305" t="s">
        <v>101</v>
      </c>
      <c r="D47" s="306">
        <v>8.6526143993425269</v>
      </c>
      <c r="E47" s="302">
        <v>45</v>
      </c>
      <c r="F47" s="304">
        <v>21.803985646792214</v>
      </c>
      <c r="G47" s="302"/>
      <c r="H47" s="301" t="s">
        <v>106</v>
      </c>
      <c r="I47" s="304">
        <v>4.9815287075665821E-2</v>
      </c>
      <c r="J47" s="27"/>
      <c r="K47" s="27"/>
      <c r="L47" s="27"/>
      <c r="M47" s="27"/>
      <c r="N47" s="27"/>
      <c r="O47" s="27"/>
      <c r="P47" s="27"/>
      <c r="Q47" s="27"/>
    </row>
    <row r="48" spans="1:17">
      <c r="A48" t="str">
        <f t="shared" si="0"/>
        <v>Windows - Class 35 to Class 22 - Heating Zone 2 (Electric FAF)WINDOW CL35 to CL22 Upgrade</v>
      </c>
      <c r="B48" s="305" t="s">
        <v>123</v>
      </c>
      <c r="C48" s="305" t="s">
        <v>103</v>
      </c>
      <c r="D48" s="306">
        <v>2.5234000632745963</v>
      </c>
      <c r="E48" s="302">
        <v>45</v>
      </c>
      <c r="F48" s="304">
        <v>4.415151515151515</v>
      </c>
      <c r="G48" s="302"/>
      <c r="H48" s="301" t="s">
        <v>106</v>
      </c>
      <c r="I48" s="304">
        <v>1.7327196401174364E-2</v>
      </c>
      <c r="J48" s="27"/>
      <c r="K48" s="27"/>
      <c r="L48" s="27"/>
      <c r="M48" s="27"/>
      <c r="N48" s="27"/>
      <c r="O48" s="27"/>
      <c r="P48" s="27"/>
      <c r="Q48" s="27"/>
    </row>
    <row r="49" spans="1:17">
      <c r="A49" t="str">
        <f t="shared" si="0"/>
        <v>Infiltration Reduction - CFM50 reduction - Heating Zone 2 (Electric FAF)CFM50 Infiltration Reduction</v>
      </c>
      <c r="B49" s="305" t="s">
        <v>124</v>
      </c>
      <c r="C49" s="305" t="s">
        <v>1362</v>
      </c>
      <c r="D49" s="306">
        <v>0.68344887972469026</v>
      </c>
      <c r="E49" s="302">
        <v>15</v>
      </c>
      <c r="F49" s="304">
        <v>0.6607178075171779</v>
      </c>
      <c r="G49" s="302"/>
      <c r="H49" s="301" t="s">
        <v>106</v>
      </c>
      <c r="I49" s="304">
        <v>4.1804979571923974E-3</v>
      </c>
      <c r="J49" s="27"/>
      <c r="K49" s="27"/>
      <c r="L49" s="27"/>
      <c r="M49" s="27"/>
      <c r="N49" s="27"/>
      <c r="O49" s="27"/>
      <c r="P49" s="27"/>
      <c r="Q49" s="27"/>
    </row>
    <row r="50" spans="1:17">
      <c r="A50" t="str">
        <f t="shared" si="0"/>
        <v>Single Family Weatherization - Insulate Attic - R0 to R38 - Heating Zone 3 (Electric FAF)ATTIC R0 - R38</v>
      </c>
      <c r="B50" s="305" t="s">
        <v>125</v>
      </c>
      <c r="C50" s="305" t="s">
        <v>68</v>
      </c>
      <c r="D50" s="306">
        <v>4.4336301683502883</v>
      </c>
      <c r="E50" s="302">
        <v>45</v>
      </c>
      <c r="F50" s="304">
        <v>0.98066043810604342</v>
      </c>
      <c r="G50" s="302"/>
      <c r="H50" s="301" t="s">
        <v>126</v>
      </c>
      <c r="I50" s="304">
        <v>1.7030944366359151E-2</v>
      </c>
      <c r="J50" s="27"/>
      <c r="K50" s="27"/>
      <c r="L50" s="27"/>
      <c r="M50" s="27"/>
      <c r="N50" s="27"/>
      <c r="O50" s="27"/>
      <c r="P50" s="27"/>
      <c r="Q50" s="27"/>
    </row>
    <row r="51" spans="1:17">
      <c r="A51" t="str">
        <f t="shared" si="0"/>
        <v>Single Family Weatherization - Insulate Attic - R0 to R49 - Heating Zone 3 (Electric FAF)ATTIC R0 - R49</v>
      </c>
      <c r="B51" s="305" t="s">
        <v>127</v>
      </c>
      <c r="C51" s="305" t="s">
        <v>71</v>
      </c>
      <c r="D51" s="306">
        <v>4.5005024283401713</v>
      </c>
      <c r="E51" s="302">
        <v>45</v>
      </c>
      <c r="F51" s="304">
        <v>1.1198946019755947</v>
      </c>
      <c r="G51" s="302"/>
      <c r="H51" s="301" t="s">
        <v>126</v>
      </c>
      <c r="I51" s="304">
        <v>1.7325520776461774E-2</v>
      </c>
      <c r="J51" s="27"/>
      <c r="K51" s="27"/>
      <c r="L51" s="27"/>
      <c r="M51" s="27"/>
      <c r="N51" s="27"/>
      <c r="O51" s="27"/>
      <c r="P51" s="27"/>
      <c r="Q51" s="27"/>
    </row>
    <row r="52" spans="1:17">
      <c r="A52" t="str">
        <f t="shared" si="0"/>
        <v>Single Family Weatherization - Insulate Attic - R11 to R38 - Heating Zone 3 (Electric FAF)ATTIC R11 - R38</v>
      </c>
      <c r="B52" s="305" t="s">
        <v>128</v>
      </c>
      <c r="C52" s="305" t="s">
        <v>73</v>
      </c>
      <c r="D52" s="306">
        <v>0.70663482250910359</v>
      </c>
      <c r="E52" s="302">
        <v>45</v>
      </c>
      <c r="F52" s="304">
        <v>0.84142627423649186</v>
      </c>
      <c r="G52" s="302"/>
      <c r="H52" s="301" t="s">
        <v>126</v>
      </c>
      <c r="I52" s="304">
        <v>2.9279419543566166E-3</v>
      </c>
      <c r="J52" s="27"/>
      <c r="K52" s="27"/>
      <c r="L52" s="27"/>
      <c r="M52" s="27"/>
      <c r="N52" s="27"/>
      <c r="O52" s="27"/>
      <c r="P52" s="27"/>
      <c r="Q52" s="27"/>
    </row>
    <row r="53" spans="1:17">
      <c r="A53" t="str">
        <f t="shared" si="0"/>
        <v>Single Family Weatherization - Insulate Attic - R11 to R49 - Heating Zone 3 (Electric FAF)ATTIC R11 - R49</v>
      </c>
      <c r="B53" s="305" t="s">
        <v>129</v>
      </c>
      <c r="C53" s="305" t="s">
        <v>75</v>
      </c>
      <c r="D53" s="306">
        <v>0.76737257369729062</v>
      </c>
      <c r="E53" s="302">
        <v>45</v>
      </c>
      <c r="F53" s="304">
        <v>0.98066043810604342</v>
      </c>
      <c r="G53" s="302"/>
      <c r="H53" s="301" t="s">
        <v>126</v>
      </c>
      <c r="I53" s="304">
        <v>3.2265859209283107E-3</v>
      </c>
      <c r="J53" s="27"/>
      <c r="K53" s="27"/>
      <c r="L53" s="27"/>
      <c r="M53" s="27"/>
      <c r="N53" s="27"/>
      <c r="O53" s="27"/>
      <c r="P53" s="27"/>
      <c r="Q53" s="27"/>
    </row>
    <row r="54" spans="1:17">
      <c r="A54" t="str">
        <f t="shared" si="0"/>
        <v>Single Family Weatherization - Insulate Attic - R19 to R38 - Heating Zone 3 (Electric FAF)ATTIC R19 - R38</v>
      </c>
      <c r="B54" s="305" t="s">
        <v>130</v>
      </c>
      <c r="C54" s="305" t="s">
        <v>77</v>
      </c>
      <c r="D54" s="306">
        <v>0.30296026043276186</v>
      </c>
      <c r="E54" s="302">
        <v>45</v>
      </c>
      <c r="F54" s="304">
        <v>0.7401650641495453</v>
      </c>
      <c r="G54" s="302"/>
      <c r="H54" s="301" t="s">
        <v>126</v>
      </c>
      <c r="I54" s="304">
        <v>1.293775416132974E-3</v>
      </c>
      <c r="J54" s="27"/>
      <c r="K54" s="27"/>
      <c r="L54" s="27"/>
      <c r="M54" s="27"/>
      <c r="N54" s="27"/>
      <c r="O54" s="27"/>
      <c r="P54" s="27"/>
      <c r="Q54" s="27"/>
    </row>
    <row r="55" spans="1:17">
      <c r="A55" t="str">
        <f t="shared" si="0"/>
        <v>Single Family Weatherization - Insulate Attic - R19 to R49 - Heating Zone 3 (Electric FAF)ATTIC R19 - R49</v>
      </c>
      <c r="B55" s="305" t="s">
        <v>131</v>
      </c>
      <c r="C55" s="305" t="s">
        <v>79</v>
      </c>
      <c r="D55" s="306">
        <v>0.36546476287323615</v>
      </c>
      <c r="E55" s="302">
        <v>45</v>
      </c>
      <c r="F55" s="304">
        <v>0.87939922801909687</v>
      </c>
      <c r="G55" s="302"/>
      <c r="H55" s="301" t="s">
        <v>126</v>
      </c>
      <c r="I55" s="304">
        <v>1.5827247880383873E-3</v>
      </c>
      <c r="J55" s="27"/>
      <c r="K55" s="27"/>
      <c r="L55" s="27"/>
      <c r="M55" s="27"/>
      <c r="N55" s="27"/>
      <c r="O55" s="27"/>
      <c r="P55" s="27"/>
      <c r="Q55" s="27"/>
    </row>
    <row r="56" spans="1:17">
      <c r="A56" t="str">
        <f t="shared" si="0"/>
        <v>Single Family Weatherization - Insulate Attic - R30 to R38 - Heating Zone 3 (Electric FAF)ATTIC R30 - R38</v>
      </c>
      <c r="B56" s="305" t="s">
        <v>1254</v>
      </c>
      <c r="C56" s="305" t="s">
        <v>1186</v>
      </c>
      <c r="D56" s="306">
        <v>9.1561609512146619E-2</v>
      </c>
      <c r="E56" s="302">
        <v>45</v>
      </c>
      <c r="F56" s="304">
        <v>0.60093090027999396</v>
      </c>
      <c r="G56" s="302"/>
      <c r="H56" s="301" t="s">
        <v>126</v>
      </c>
      <c r="I56" s="304">
        <v>4.1774389385857151E-4</v>
      </c>
      <c r="J56" s="27"/>
      <c r="K56" s="27"/>
      <c r="L56" s="27"/>
      <c r="M56" s="27"/>
      <c r="N56" s="27"/>
      <c r="O56" s="27"/>
      <c r="P56" s="27"/>
      <c r="Q56" s="27"/>
    </row>
    <row r="57" spans="1:17">
      <c r="A57" t="str">
        <f t="shared" si="0"/>
        <v>Single Family Weatherization - Insulate Attic - R30 to R49 - Heating Zone 3 (Electric FAF)ATTIC R30 - R49</v>
      </c>
      <c r="B57" s="305" t="s">
        <v>132</v>
      </c>
      <c r="C57" s="305" t="s">
        <v>81</v>
      </c>
      <c r="D57" s="306">
        <v>0.1637123529079082</v>
      </c>
      <c r="E57" s="302">
        <v>45</v>
      </c>
      <c r="F57" s="304">
        <v>0.7401650641495453</v>
      </c>
      <c r="G57" s="302"/>
      <c r="H57" s="301" t="s">
        <v>126</v>
      </c>
      <c r="I57" s="304">
        <v>7.5631854970746907E-4</v>
      </c>
      <c r="J57" s="27"/>
      <c r="K57" s="27"/>
      <c r="L57" s="27"/>
      <c r="M57" s="27"/>
      <c r="N57" s="27"/>
      <c r="O57" s="27"/>
      <c r="P57" s="27"/>
      <c r="Q57" s="27"/>
    </row>
    <row r="58" spans="1:17">
      <c r="A58" t="str">
        <f t="shared" si="0"/>
        <v>Single Family Weatherization - Insulate Attic - R38 to R49 - Heating Zone 3 (Electric FAF)ATTIC R38 - R49</v>
      </c>
      <c r="B58" s="305" t="s">
        <v>133</v>
      </c>
      <c r="C58" s="305" t="s">
        <v>83</v>
      </c>
      <c r="D58" s="306">
        <v>7.263961362672032E-2</v>
      </c>
      <c r="E58" s="302">
        <v>45</v>
      </c>
      <c r="F58" s="304">
        <v>0.63890385406259886</v>
      </c>
      <c r="G58" s="302"/>
      <c r="H58" s="301" t="s">
        <v>126</v>
      </c>
      <c r="I58" s="304">
        <v>3.3733474887438021E-4</v>
      </c>
      <c r="J58" s="27"/>
      <c r="K58" s="27"/>
      <c r="L58" s="27"/>
      <c r="M58" s="27"/>
      <c r="N58" s="27"/>
      <c r="O58" s="27"/>
      <c r="P58" s="27"/>
      <c r="Q58" s="27"/>
    </row>
    <row r="59" spans="1:17">
      <c r="A59" t="str">
        <f t="shared" si="0"/>
        <v>Single Family Weatherization - Insulate Wall - R0 to R11 - Heating Zone 3 (Electric FAF)WALL R0 - R11</v>
      </c>
      <c r="B59" s="305" t="s">
        <v>134</v>
      </c>
      <c r="C59" s="305" t="s">
        <v>85</v>
      </c>
      <c r="D59" s="306">
        <v>3.1661456758149531</v>
      </c>
      <c r="E59" s="302">
        <v>45</v>
      </c>
      <c r="F59" s="304">
        <v>1.3863525086966677</v>
      </c>
      <c r="G59" s="302"/>
      <c r="H59" s="301" t="s">
        <v>126</v>
      </c>
      <c r="I59" s="304">
        <v>9.0273634467150678E-3</v>
      </c>
      <c r="J59" s="27"/>
      <c r="K59" s="27"/>
      <c r="L59" s="27"/>
      <c r="M59" s="27"/>
      <c r="N59" s="27"/>
      <c r="O59" s="27"/>
      <c r="P59" s="27"/>
      <c r="Q59" s="27"/>
    </row>
    <row r="60" spans="1:17">
      <c r="A60" t="str">
        <f t="shared" si="0"/>
        <v>Single Family Weatherization - Insulate Floor - R0 to R19 - Heating Zone 3 (Electric FAF)FLOOR R0 - R19</v>
      </c>
      <c r="B60" s="305" t="s">
        <v>135</v>
      </c>
      <c r="C60" s="305" t="s">
        <v>87</v>
      </c>
      <c r="D60" s="306">
        <v>1.6891743042119263</v>
      </c>
      <c r="E60" s="302">
        <v>45</v>
      </c>
      <c r="F60" s="304">
        <v>1.2290592529494864</v>
      </c>
      <c r="G60" s="302"/>
      <c r="H60" s="301" t="s">
        <v>126</v>
      </c>
      <c r="I60" s="304">
        <v>2.5022801259706917E-3</v>
      </c>
      <c r="J60" s="27"/>
      <c r="K60" s="27"/>
      <c r="L60" s="27"/>
      <c r="M60" s="27"/>
      <c r="N60" s="27"/>
      <c r="O60" s="27"/>
      <c r="P60" s="27"/>
      <c r="Q60" s="27"/>
    </row>
    <row r="61" spans="1:17">
      <c r="A61" t="str">
        <f t="shared" si="0"/>
        <v>Single Family Weatherization - Insulate Floor - R0 to R25 - Heating Zone 3 (Electric FAF)FLOOR R0 - R25</v>
      </c>
      <c r="B61" s="305" t="s">
        <v>136</v>
      </c>
      <c r="C61" s="305" t="s">
        <v>89</v>
      </c>
      <c r="D61" s="306">
        <v>1.8202152617175136</v>
      </c>
      <c r="E61" s="302">
        <v>45</v>
      </c>
      <c r="F61" s="304">
        <v>1.2761252113477823</v>
      </c>
      <c r="G61" s="302"/>
      <c r="H61" s="301" t="s">
        <v>126</v>
      </c>
      <c r="I61" s="304">
        <v>3.1032825887708426E-3</v>
      </c>
      <c r="J61" s="27"/>
      <c r="K61" s="27"/>
      <c r="L61" s="27"/>
      <c r="M61" s="27"/>
      <c r="N61" s="27"/>
      <c r="O61" s="27"/>
      <c r="P61" s="27"/>
      <c r="Q61" s="27"/>
    </row>
    <row r="62" spans="1:17">
      <c r="A62" t="str">
        <f t="shared" si="0"/>
        <v>Single Family Weatherization - Insulate Floor - R0 to R30 - Heating Zone 3 (Electric FAF)FLOOR R0 - R30</v>
      </c>
      <c r="B62" s="305" t="s">
        <v>137</v>
      </c>
      <c r="C62" s="305" t="s">
        <v>91</v>
      </c>
      <c r="D62" s="306">
        <v>1.9026265903994455</v>
      </c>
      <c r="E62" s="302">
        <v>45</v>
      </c>
      <c r="F62" s="304">
        <v>1.3153468433463626</v>
      </c>
      <c r="G62" s="302"/>
      <c r="H62" s="301" t="s">
        <v>126</v>
      </c>
      <c r="I62" s="304">
        <v>3.5060279297061212E-3</v>
      </c>
      <c r="J62" s="27"/>
      <c r="K62" s="27"/>
      <c r="L62" s="27"/>
      <c r="M62" s="27"/>
      <c r="N62" s="27"/>
      <c r="O62" s="27"/>
      <c r="P62" s="27"/>
      <c r="Q62" s="27"/>
    </row>
    <row r="63" spans="1:17">
      <c r="A63" t="str">
        <f t="shared" si="0"/>
        <v>Single Family Weatherization - Insulate Floor - R19 to R30 - Heating Zone 3 (Electric FAF)FLOOR R19 - R30</v>
      </c>
      <c r="B63" s="305" t="s">
        <v>1255</v>
      </c>
      <c r="C63" s="305" t="s">
        <v>1188</v>
      </c>
      <c r="D63" s="306">
        <v>0.17235138120109739</v>
      </c>
      <c r="E63" s="302">
        <v>45</v>
      </c>
      <c r="F63" s="304">
        <v>1.1663046417517582</v>
      </c>
      <c r="G63" s="302"/>
      <c r="H63" s="301" t="s">
        <v>126</v>
      </c>
      <c r="I63" s="304">
        <v>7.8191856050434773E-4</v>
      </c>
      <c r="J63" s="27"/>
      <c r="K63" s="27"/>
      <c r="L63" s="27"/>
      <c r="M63" s="27"/>
      <c r="N63" s="27"/>
      <c r="O63" s="27"/>
      <c r="P63" s="27"/>
      <c r="Q63" s="27"/>
    </row>
    <row r="64" spans="1:17">
      <c r="A64" t="str">
        <f t="shared" si="0"/>
        <v>Windows - Single Pane to Class 30 - Heating Zone 3 (Electric FAF)WINDOW CL30 Prime Window Replacement of Single Pane Base</v>
      </c>
      <c r="B64" s="305" t="s">
        <v>138</v>
      </c>
      <c r="C64" s="305" t="s">
        <v>93</v>
      </c>
      <c r="D64" s="306">
        <v>19.765326686541883</v>
      </c>
      <c r="E64" s="302">
        <v>45</v>
      </c>
      <c r="F64" s="304">
        <v>18.513985646792214</v>
      </c>
      <c r="G64" s="302"/>
      <c r="H64" s="301" t="s">
        <v>126</v>
      </c>
      <c r="I64" s="304">
        <v>9.8339264521265402E-2</v>
      </c>
      <c r="J64" s="27"/>
      <c r="K64" s="27"/>
      <c r="L64" s="27"/>
      <c r="M64" s="27"/>
      <c r="N64" s="27"/>
      <c r="O64" s="27"/>
      <c r="P64" s="27"/>
      <c r="Q64" s="27"/>
    </row>
    <row r="65" spans="1:17">
      <c r="A65" t="str">
        <f t="shared" si="0"/>
        <v>Windows - Double Pane to Class 30 - Heating Zone 3 (Electric FAF)WINDOW CL30 Prime Window Replacement of Double Pane Base</v>
      </c>
      <c r="B65" s="305" t="s">
        <v>139</v>
      </c>
      <c r="C65" s="305" t="s">
        <v>95</v>
      </c>
      <c r="D65" s="306">
        <v>8.7079262401477866</v>
      </c>
      <c r="E65" s="302">
        <v>45</v>
      </c>
      <c r="F65" s="304">
        <v>18.513985646792214</v>
      </c>
      <c r="G65" s="302"/>
      <c r="H65" s="301" t="s">
        <v>126</v>
      </c>
      <c r="I65" s="304">
        <v>3.9597909125162409E-2</v>
      </c>
      <c r="J65" s="27"/>
      <c r="K65" s="27"/>
      <c r="L65" s="27"/>
      <c r="M65" s="27"/>
      <c r="N65" s="27"/>
      <c r="O65" s="27"/>
      <c r="P65" s="27"/>
      <c r="Q65" s="27"/>
    </row>
    <row r="66" spans="1:17">
      <c r="A66" t="str">
        <f t="shared" si="0"/>
        <v>Windows - Class 35 to Class 30 - Heating Zone 3 (Electric FAF)WINDOW CL35 to CL30 Upgrade</v>
      </c>
      <c r="B66" s="305" t="s">
        <v>140</v>
      </c>
      <c r="C66" s="305" t="s">
        <v>97</v>
      </c>
      <c r="D66" s="306">
        <v>1.0288967075657804</v>
      </c>
      <c r="E66" s="302">
        <v>45</v>
      </c>
      <c r="F66" s="304">
        <v>1.1251515151515155</v>
      </c>
      <c r="G66" s="302"/>
      <c r="H66" s="301" t="s">
        <v>126</v>
      </c>
      <c r="I66" s="304">
        <v>5.8545740064613839E-3</v>
      </c>
      <c r="J66" s="27"/>
      <c r="K66" s="27"/>
      <c r="L66" s="27"/>
      <c r="M66" s="27"/>
      <c r="N66" s="27"/>
      <c r="O66" s="27"/>
      <c r="P66" s="27"/>
      <c r="Q66" s="27"/>
    </row>
    <row r="67" spans="1:17">
      <c r="A67" t="str">
        <f t="shared" si="0"/>
        <v>Windows - Single Pane to Class 22 - Heating Zone 3 (Electric FAF)WINDOW CL22 Prime Window Replacement of Single Pane Base</v>
      </c>
      <c r="B67" s="305" t="s">
        <v>141</v>
      </c>
      <c r="C67" s="305" t="s">
        <v>99</v>
      </c>
      <c r="D67" s="306">
        <v>21.581523463408601</v>
      </c>
      <c r="E67" s="302">
        <v>45</v>
      </c>
      <c r="F67" s="304">
        <v>21.803985646792214</v>
      </c>
      <c r="G67" s="302"/>
      <c r="H67" s="301" t="s">
        <v>126</v>
      </c>
      <c r="I67" s="304">
        <v>0.10994941567134746</v>
      </c>
      <c r="J67" s="27"/>
      <c r="K67" s="27"/>
      <c r="L67" s="27"/>
      <c r="M67" s="27"/>
      <c r="N67" s="27"/>
      <c r="O67" s="27"/>
      <c r="P67" s="27"/>
      <c r="Q67" s="27"/>
    </row>
    <row r="68" spans="1:17">
      <c r="A68" t="str">
        <f t="shared" si="0"/>
        <v>Windows - Double Pane to Class 22 - Heating Zone 3 (Electric FAF)WINDOW CL22 Prime Window Replacement of Double Pane Base</v>
      </c>
      <c r="B68" s="305" t="s">
        <v>142</v>
      </c>
      <c r="C68" s="305" t="s">
        <v>101</v>
      </c>
      <c r="D68" s="306">
        <v>10.144505448305972</v>
      </c>
      <c r="E68" s="302">
        <v>45</v>
      </c>
      <c r="F68" s="304">
        <v>21.803985646792214</v>
      </c>
      <c r="G68" s="302"/>
      <c r="H68" s="301" t="s">
        <v>126</v>
      </c>
      <c r="I68" s="304">
        <v>4.7810787035429674E-2</v>
      </c>
      <c r="J68" s="27"/>
      <c r="K68" s="27"/>
      <c r="L68" s="27"/>
      <c r="M68" s="27"/>
      <c r="N68" s="27"/>
      <c r="O68" s="27"/>
      <c r="P68" s="27"/>
      <c r="Q68" s="27"/>
    </row>
    <row r="69" spans="1:17">
      <c r="A69" t="str">
        <f t="shared" si="0"/>
        <v>Windows - Class 35 to Class 22 - Heating Zone 3 (Electric FAF)WINDOW CL35 to CL22 Upgrade</v>
      </c>
      <c r="B69" s="305" t="s">
        <v>143</v>
      </c>
      <c r="C69" s="305" t="s">
        <v>103</v>
      </c>
      <c r="D69" s="306">
        <v>2.6710337177790495</v>
      </c>
      <c r="E69" s="302">
        <v>45</v>
      </c>
      <c r="F69" s="304">
        <v>4.415151515151515</v>
      </c>
      <c r="G69" s="302"/>
      <c r="H69" s="301" t="s">
        <v>126</v>
      </c>
      <c r="I69" s="304">
        <v>1.5265203124982633E-2</v>
      </c>
      <c r="J69" s="27"/>
      <c r="K69" s="27"/>
      <c r="L69" s="27"/>
      <c r="M69" s="27"/>
      <c r="N69" s="27"/>
      <c r="O69" s="27"/>
      <c r="P69" s="27"/>
      <c r="Q69" s="27"/>
    </row>
    <row r="70" spans="1:17">
      <c r="A70" t="str">
        <f t="shared" si="0"/>
        <v>Infiltration Reduction - CFM50 reduction - Heating Zone 3 (Electric FAF)CFM50 Infiltration Reduction</v>
      </c>
      <c r="B70" s="305" t="s">
        <v>144</v>
      </c>
      <c r="C70" s="305" t="s">
        <v>1362</v>
      </c>
      <c r="D70" s="306">
        <v>0.65171761833478148</v>
      </c>
      <c r="E70" s="302">
        <v>15</v>
      </c>
      <c r="F70" s="304">
        <v>0.6607178075171779</v>
      </c>
      <c r="G70" s="302"/>
      <c r="H70" s="301" t="s">
        <v>126</v>
      </c>
      <c r="I70" s="304">
        <v>3.2070602772951047E-3</v>
      </c>
      <c r="J70" s="27"/>
      <c r="K70" s="27"/>
      <c r="L70" s="27"/>
      <c r="M70" s="27"/>
      <c r="N70" s="27"/>
      <c r="O70" s="27"/>
      <c r="P70" s="27"/>
      <c r="Q70" s="27"/>
    </row>
    <row r="71" spans="1:17">
      <c r="A71" t="str">
        <f t="shared" si="0"/>
        <v>Single Family Weatherization - Insulate Attic - R0 to R38 - Heating Zone 1 (Zonal or DHP)ATTIC R0 - R38</v>
      </c>
      <c r="B71" s="305" t="s">
        <v>1256</v>
      </c>
      <c r="C71" s="305" t="s">
        <v>68</v>
      </c>
      <c r="D71" s="306">
        <v>1.8937684767108551</v>
      </c>
      <c r="E71" s="302">
        <v>45</v>
      </c>
      <c r="F71" s="304">
        <v>0.98066043810604342</v>
      </c>
      <c r="G71" s="302"/>
      <c r="H71" s="301" t="s">
        <v>145</v>
      </c>
      <c r="I71" s="304">
        <v>6.619964120906585E-3</v>
      </c>
      <c r="J71" s="27"/>
      <c r="K71" s="27"/>
      <c r="L71" s="27"/>
      <c r="M71" s="27"/>
      <c r="N71" s="27"/>
      <c r="O71" s="27"/>
      <c r="P71" s="27"/>
      <c r="Q71" s="27"/>
    </row>
    <row r="72" spans="1:17">
      <c r="A72" t="str">
        <f t="shared" si="0"/>
        <v>Single Family Weatherization - Insulate Attic - R0 to R49 - Heating Zone 1 (Zonal or DHP)ATTIC R0 - R49</v>
      </c>
      <c r="B72" s="305" t="s">
        <v>1257</v>
      </c>
      <c r="C72" s="305" t="s">
        <v>71</v>
      </c>
      <c r="D72" s="306">
        <v>1.9207083028551051</v>
      </c>
      <c r="E72" s="302">
        <v>45</v>
      </c>
      <c r="F72" s="304">
        <v>1.1198946019755947</v>
      </c>
      <c r="G72" s="302"/>
      <c r="H72" s="301" t="s">
        <v>145</v>
      </c>
      <c r="I72" s="304">
        <v>6.8652441113894831E-3</v>
      </c>
      <c r="J72" s="27"/>
      <c r="K72" s="27"/>
      <c r="L72" s="27"/>
      <c r="M72" s="27"/>
      <c r="N72" s="27"/>
      <c r="O72" s="27"/>
      <c r="P72" s="27"/>
      <c r="Q72" s="27"/>
    </row>
    <row r="73" spans="1:17">
      <c r="A73" t="str">
        <f t="shared" ref="A73:A136" si="1">CONCATENATE(B73,C73)</f>
        <v>Single Family Weatherization - Insulate Attic - R11 to R38 - Heating Zone 1 (Zonal or DHP)ATTIC R11 - R38</v>
      </c>
      <c r="B73" s="305" t="s">
        <v>1258</v>
      </c>
      <c r="C73" s="305" t="s">
        <v>73</v>
      </c>
      <c r="D73" s="306">
        <v>0.35204078977759573</v>
      </c>
      <c r="E73" s="302">
        <v>45</v>
      </c>
      <c r="F73" s="304">
        <v>0.84142627423649186</v>
      </c>
      <c r="G73" s="302"/>
      <c r="H73" s="301" t="s">
        <v>145</v>
      </c>
      <c r="I73" s="304">
        <v>2.9816938626825332E-3</v>
      </c>
      <c r="J73" s="27"/>
      <c r="K73" s="27"/>
      <c r="L73" s="27"/>
      <c r="M73" s="27"/>
      <c r="N73" s="27"/>
      <c r="O73" s="27"/>
      <c r="P73" s="27"/>
      <c r="Q73" s="27"/>
    </row>
    <row r="74" spans="1:17">
      <c r="A74" t="str">
        <f t="shared" si="1"/>
        <v>Single Family Weatherization - Insulate Attic - R11 to R49 - Heating Zone 1 (Zonal or DHP)ATTIC R11 - R49</v>
      </c>
      <c r="B74" s="305" t="s">
        <v>1259</v>
      </c>
      <c r="C74" s="305" t="s">
        <v>75</v>
      </c>
      <c r="D74" s="306">
        <v>0.38200772388696119</v>
      </c>
      <c r="E74" s="302">
        <v>45</v>
      </c>
      <c r="F74" s="304">
        <v>0.98066043810604342</v>
      </c>
      <c r="G74" s="302"/>
      <c r="H74" s="301" t="s">
        <v>145</v>
      </c>
      <c r="I74" s="304">
        <v>3.2726110513045191E-3</v>
      </c>
      <c r="J74" s="27"/>
      <c r="K74" s="27"/>
      <c r="L74" s="27"/>
      <c r="M74" s="27"/>
      <c r="N74" s="27"/>
      <c r="O74" s="27"/>
      <c r="P74" s="27"/>
      <c r="Q74" s="27"/>
    </row>
    <row r="75" spans="1:17">
      <c r="A75" t="str">
        <f t="shared" si="1"/>
        <v>Single Family Weatherization - Insulate Attic - R19 to R38 - Heating Zone 1 (Zonal or DHP)ATTIC R19 - R38</v>
      </c>
      <c r="B75" s="305" t="s">
        <v>1260</v>
      </c>
      <c r="C75" s="305" t="s">
        <v>77</v>
      </c>
      <c r="D75" s="306">
        <v>0.18749346565429784</v>
      </c>
      <c r="E75" s="302">
        <v>45</v>
      </c>
      <c r="F75" s="304">
        <v>0.7401650641495453</v>
      </c>
      <c r="G75" s="302"/>
      <c r="H75" s="301" t="s">
        <v>145</v>
      </c>
      <c r="I75" s="304">
        <v>1.6164103334326339E-3</v>
      </c>
      <c r="J75" s="27"/>
      <c r="K75" s="27"/>
      <c r="L75" s="27"/>
      <c r="M75" s="27"/>
      <c r="N75" s="27"/>
      <c r="O75" s="27"/>
      <c r="P75" s="27"/>
      <c r="Q75" s="27"/>
    </row>
    <row r="76" spans="1:17">
      <c r="A76" t="str">
        <f t="shared" si="1"/>
        <v>Single Family Weatherization - Insulate Attic - R19 to R49 - Heating Zone 1 (Zonal or DHP)ATTIC R19 - R49</v>
      </c>
      <c r="B76" s="305" t="s">
        <v>1261</v>
      </c>
      <c r="C76" s="305" t="s">
        <v>79</v>
      </c>
      <c r="D76" s="306">
        <v>0.22594294679315699</v>
      </c>
      <c r="E76" s="302">
        <v>45</v>
      </c>
      <c r="F76" s="304">
        <v>0.87939922801909687</v>
      </c>
      <c r="G76" s="302"/>
      <c r="H76" s="301" t="s">
        <v>145</v>
      </c>
      <c r="I76" s="304">
        <v>1.9698902817858774E-3</v>
      </c>
      <c r="J76" s="27"/>
      <c r="K76" s="27"/>
      <c r="L76" s="27"/>
      <c r="M76" s="27"/>
      <c r="N76" s="27"/>
      <c r="O76" s="27"/>
      <c r="P76" s="27"/>
      <c r="Q76" s="27"/>
    </row>
    <row r="77" spans="1:17">
      <c r="A77" t="str">
        <f t="shared" si="1"/>
        <v>Single Family Weatherization - Insulate Attic - R30 to R38 - Heating Zone 1 (Zonal or DHP)ATTIC R30 - R38</v>
      </c>
      <c r="B77" s="305" t="s">
        <v>1262</v>
      </c>
      <c r="C77" s="305" t="s">
        <v>1186</v>
      </c>
      <c r="D77" s="306">
        <v>6.0577988031902924E-2</v>
      </c>
      <c r="E77" s="302">
        <v>45</v>
      </c>
      <c r="F77" s="304">
        <v>0.60093090027999396</v>
      </c>
      <c r="G77" s="302"/>
      <c r="H77" s="301" t="s">
        <v>145</v>
      </c>
      <c r="I77" s="304">
        <v>5.281526230742563E-4</v>
      </c>
      <c r="J77" s="27"/>
      <c r="K77" s="27"/>
      <c r="L77" s="27"/>
      <c r="M77" s="27"/>
      <c r="N77" s="27"/>
      <c r="O77" s="27"/>
      <c r="P77" s="27"/>
      <c r="Q77" s="27"/>
    </row>
    <row r="78" spans="1:17">
      <c r="A78" t="str">
        <f t="shared" si="1"/>
        <v>Single Family Weatherization - Insulate Attic - R30 to R49 - Heating Zone 1 (Zonal or DHP)ATTIC R30 - R49</v>
      </c>
      <c r="B78" s="305" t="s">
        <v>1263</v>
      </c>
      <c r="C78" s="305" t="s">
        <v>81</v>
      </c>
      <c r="D78" s="306">
        <v>0.10819496352043552</v>
      </c>
      <c r="E78" s="302">
        <v>45</v>
      </c>
      <c r="F78" s="304">
        <v>0.7401650641495453</v>
      </c>
      <c r="G78" s="302"/>
      <c r="H78" s="301" t="s">
        <v>145</v>
      </c>
      <c r="I78" s="304">
        <v>9.5564062090810261E-4</v>
      </c>
      <c r="J78" s="27"/>
      <c r="K78" s="27"/>
      <c r="L78" s="27"/>
      <c r="M78" s="27"/>
      <c r="N78" s="27"/>
      <c r="O78" s="27"/>
      <c r="P78" s="27"/>
      <c r="Q78" s="27"/>
    </row>
    <row r="79" spans="1:17">
      <c r="A79" t="str">
        <f t="shared" si="1"/>
        <v>Single Family Weatherization - Insulate Attic - R38 to R49 - Heating Zone 1 (Zonal or DHP)ATTIC R38 - R49</v>
      </c>
      <c r="B79" s="305" t="s">
        <v>1264</v>
      </c>
      <c r="C79" s="305" t="s">
        <v>83</v>
      </c>
      <c r="D79" s="306">
        <v>5.0669741246214144E-2</v>
      </c>
      <c r="E79" s="302">
        <v>45</v>
      </c>
      <c r="F79" s="304">
        <v>0.63890385406259886</v>
      </c>
      <c r="G79" s="302"/>
      <c r="H79" s="301" t="s">
        <v>145</v>
      </c>
      <c r="I79" s="304">
        <v>4.5847813937284742E-4</v>
      </c>
      <c r="J79" s="27"/>
      <c r="K79" s="27"/>
      <c r="L79" s="27"/>
      <c r="M79" s="27"/>
      <c r="N79" s="27"/>
      <c r="O79" s="27"/>
      <c r="P79" s="27"/>
      <c r="Q79" s="27"/>
    </row>
    <row r="80" spans="1:17">
      <c r="A80" t="str">
        <f t="shared" si="1"/>
        <v>Single Family Weatherization - Insulate Wall - R0 to R11 - Heating Zone 1 (Zonal or DHP)WALL R0 - R11</v>
      </c>
      <c r="B80" s="305" t="s">
        <v>1265</v>
      </c>
      <c r="C80" s="305" t="s">
        <v>85</v>
      </c>
      <c r="D80" s="306">
        <v>1.4669903321731557</v>
      </c>
      <c r="E80" s="302">
        <v>45</v>
      </c>
      <c r="F80" s="304">
        <v>1.3863525086966677</v>
      </c>
      <c r="G80" s="302"/>
      <c r="H80" s="301" t="s">
        <v>145</v>
      </c>
      <c r="I80" s="304">
        <v>7.7608766390092135E-3</v>
      </c>
      <c r="J80" s="27"/>
      <c r="K80" s="27"/>
      <c r="L80" s="27"/>
      <c r="M80" s="27"/>
      <c r="N80" s="27"/>
      <c r="O80" s="27"/>
      <c r="P80" s="27"/>
      <c r="Q80" s="27"/>
    </row>
    <row r="81" spans="1:17">
      <c r="A81" t="str">
        <f t="shared" si="1"/>
        <v>Single Family Weatherization - Insulate Floor - R0 to R19 - Heating Zone 1 (Zonal or DHP)FLOOR R0 - R19</v>
      </c>
      <c r="B81" s="305" t="s">
        <v>1266</v>
      </c>
      <c r="C81" s="305" t="s">
        <v>87</v>
      </c>
      <c r="D81" s="306">
        <v>0.89206476011298963</v>
      </c>
      <c r="E81" s="302">
        <v>45</v>
      </c>
      <c r="F81" s="304">
        <v>1.2290592529494864</v>
      </c>
      <c r="G81" s="302"/>
      <c r="H81" s="301" t="s">
        <v>145</v>
      </c>
      <c r="I81" s="304">
        <v>4.4071044641923679E-3</v>
      </c>
      <c r="J81" s="27"/>
      <c r="K81" s="27"/>
      <c r="L81" s="27"/>
      <c r="M81" s="27"/>
      <c r="N81" s="27"/>
      <c r="O81" s="27"/>
      <c r="P81" s="27"/>
      <c r="Q81" s="27"/>
    </row>
    <row r="82" spans="1:17">
      <c r="A82" t="str">
        <f t="shared" si="1"/>
        <v>Single Family Weatherization - Insulate Floor - R0 to R25 - Heating Zone 1 (Zonal or DHP)FLOOR R0 - R25</v>
      </c>
      <c r="B82" s="305" t="s">
        <v>1267</v>
      </c>
      <c r="C82" s="305" t="s">
        <v>89</v>
      </c>
      <c r="D82" s="306">
        <v>0.9552326522228336</v>
      </c>
      <c r="E82" s="302">
        <v>45</v>
      </c>
      <c r="F82" s="304">
        <v>1.2761252113477823</v>
      </c>
      <c r="G82" s="302"/>
      <c r="H82" s="301" t="s">
        <v>145</v>
      </c>
      <c r="I82" s="304">
        <v>5.0384864868279582E-3</v>
      </c>
      <c r="J82" s="27"/>
      <c r="K82" s="27"/>
      <c r="L82" s="27"/>
      <c r="M82" s="27"/>
      <c r="N82" s="27"/>
      <c r="O82" s="27"/>
      <c r="P82" s="27"/>
      <c r="Q82" s="27"/>
    </row>
    <row r="83" spans="1:17">
      <c r="A83" t="str">
        <f t="shared" si="1"/>
        <v>Single Family Weatherization - Insulate Floor - R0 to R30 - Heating Zone 1 (Zonal or DHP)FLOOR R0 - R30</v>
      </c>
      <c r="B83" s="305" t="s">
        <v>1268</v>
      </c>
      <c r="C83" s="305" t="s">
        <v>91</v>
      </c>
      <c r="D83" s="306">
        <v>0.9945608660136096</v>
      </c>
      <c r="E83" s="302">
        <v>45</v>
      </c>
      <c r="F83" s="304">
        <v>1.3153468433463626</v>
      </c>
      <c r="G83" s="302"/>
      <c r="H83" s="301" t="s">
        <v>145</v>
      </c>
      <c r="I83" s="304">
        <v>5.4543204108596227E-3</v>
      </c>
      <c r="J83" s="27"/>
      <c r="K83" s="27"/>
      <c r="L83" s="27"/>
      <c r="M83" s="27"/>
      <c r="N83" s="27"/>
      <c r="O83" s="27"/>
      <c r="P83" s="27"/>
      <c r="Q83" s="27"/>
    </row>
    <row r="84" spans="1:17">
      <c r="A84" t="str">
        <f t="shared" si="1"/>
        <v>Single Family Weatherization - Insulate Floor - R19 to R30 - Heating Zone 1 (Zonal or DHP)FLOOR R19 - R30</v>
      </c>
      <c r="B84" s="305" t="s">
        <v>1269</v>
      </c>
      <c r="C84" s="305" t="s">
        <v>1188</v>
      </c>
      <c r="D84" s="306">
        <v>0.14236421993384765</v>
      </c>
      <c r="E84" s="302">
        <v>45</v>
      </c>
      <c r="F84" s="304">
        <v>1.1663046417517582</v>
      </c>
      <c r="G84" s="302"/>
      <c r="H84" s="301" t="s">
        <v>145</v>
      </c>
      <c r="I84" s="304">
        <v>1.3379354143838202E-3</v>
      </c>
      <c r="J84" s="27"/>
      <c r="K84" s="27"/>
      <c r="L84" s="27"/>
      <c r="M84" s="27"/>
      <c r="N84" s="27"/>
      <c r="O84" s="27"/>
      <c r="P84" s="27"/>
      <c r="Q84" s="27"/>
    </row>
    <row r="85" spans="1:17">
      <c r="A85" t="str">
        <f t="shared" si="1"/>
        <v>Windows - Single Pane to Class 30 - Heating Zone 1 (Zonal or DHP)WINDOW CL30 Prime Window Replacement of Single Pane Base</v>
      </c>
      <c r="B85" s="305" t="s">
        <v>1270</v>
      </c>
      <c r="C85" s="305" t="s">
        <v>93</v>
      </c>
      <c r="D85" s="306">
        <v>8.3041304134028255</v>
      </c>
      <c r="E85" s="302">
        <v>45</v>
      </c>
      <c r="F85" s="304">
        <v>18.513985646792214</v>
      </c>
      <c r="G85" s="302"/>
      <c r="H85" s="301" t="s">
        <v>145</v>
      </c>
      <c r="I85" s="304">
        <v>7.2842646659705773E-2</v>
      </c>
      <c r="J85" s="27"/>
      <c r="K85" s="27"/>
      <c r="L85" s="27"/>
      <c r="M85" s="27"/>
      <c r="N85" s="27"/>
      <c r="O85" s="27"/>
      <c r="P85" s="27"/>
      <c r="Q85" s="27"/>
    </row>
    <row r="86" spans="1:17">
      <c r="A86" t="str">
        <f t="shared" si="1"/>
        <v>Windows - Double Pane to Class 30 - Heating Zone 1 (Zonal or DHP)WINDOW CL30 Prime Window Replacement of Double Pane Base</v>
      </c>
      <c r="B86" s="305" t="s">
        <v>1271</v>
      </c>
      <c r="C86" s="305" t="s">
        <v>95</v>
      </c>
      <c r="D86" s="306">
        <v>4.589311806843817</v>
      </c>
      <c r="E86" s="302">
        <v>45</v>
      </c>
      <c r="F86" s="304">
        <v>18.513985646792214</v>
      </c>
      <c r="G86" s="302"/>
      <c r="H86" s="301" t="s">
        <v>145</v>
      </c>
      <c r="I86" s="304">
        <v>4.0111251188899959E-2</v>
      </c>
      <c r="J86" s="27"/>
      <c r="K86" s="27"/>
      <c r="L86" s="27"/>
      <c r="M86" s="27"/>
      <c r="N86" s="27"/>
      <c r="O86" s="27"/>
      <c r="P86" s="27"/>
      <c r="Q86" s="27"/>
    </row>
    <row r="87" spans="1:17">
      <c r="A87" t="str">
        <f t="shared" si="1"/>
        <v>Windows - Class 35 to Class 30 - Heating Zone 1 (Zonal or DHP)WINDOW CL35 to CL30 Upgrade</v>
      </c>
      <c r="B87" s="305" t="s">
        <v>1272</v>
      </c>
      <c r="C87" s="305" t="s">
        <v>97</v>
      </c>
      <c r="D87" s="306">
        <v>0.53704274682952724</v>
      </c>
      <c r="E87" s="302">
        <v>45</v>
      </c>
      <c r="F87" s="304">
        <v>1.1251515151515155</v>
      </c>
      <c r="G87" s="302"/>
      <c r="H87" s="301" t="s">
        <v>145</v>
      </c>
      <c r="I87" s="304">
        <v>5.7118855716441815E-3</v>
      </c>
      <c r="J87" s="27"/>
      <c r="K87" s="27"/>
      <c r="L87" s="27"/>
      <c r="M87" s="27"/>
      <c r="N87" s="27"/>
      <c r="O87" s="27"/>
      <c r="P87" s="27"/>
      <c r="Q87" s="27"/>
    </row>
    <row r="88" spans="1:17">
      <c r="A88" t="str">
        <f t="shared" si="1"/>
        <v>Windows - Single Pane to Class 22 - Heating Zone 1 (Zonal or DHP)WINDOW CL22 Prime Window Replacement of Single Pane Base</v>
      </c>
      <c r="B88" s="305" t="s">
        <v>1273</v>
      </c>
      <c r="C88" s="305" t="s">
        <v>99</v>
      </c>
      <c r="D88" s="306">
        <v>9.0596076451727594</v>
      </c>
      <c r="E88" s="302">
        <v>45</v>
      </c>
      <c r="F88" s="304">
        <v>21.803985646792214</v>
      </c>
      <c r="G88" s="302"/>
      <c r="H88" s="301" t="s">
        <v>145</v>
      </c>
      <c r="I88" s="304">
        <v>8.1285339704297632E-2</v>
      </c>
      <c r="J88" s="27"/>
      <c r="K88" s="27"/>
      <c r="L88" s="27"/>
      <c r="M88" s="27"/>
      <c r="N88" s="27"/>
      <c r="O88" s="27"/>
      <c r="P88" s="27"/>
      <c r="Q88" s="27"/>
    </row>
    <row r="89" spans="1:17">
      <c r="A89" t="str">
        <f t="shared" si="1"/>
        <v>Windows - Double Pane to Class 22 - Heating Zone 1 (Zonal or DHP)WINDOW CL22 Prime Window Replacement of Double Pane Base</v>
      </c>
      <c r="B89" s="305" t="s">
        <v>1274</v>
      </c>
      <c r="C89" s="305" t="s">
        <v>101</v>
      </c>
      <c r="D89" s="306">
        <v>5.3764034911147363</v>
      </c>
      <c r="E89" s="302">
        <v>45</v>
      </c>
      <c r="F89" s="304">
        <v>21.803985646792214</v>
      </c>
      <c r="G89" s="302"/>
      <c r="H89" s="301" t="s">
        <v>145</v>
      </c>
      <c r="I89" s="304">
        <v>4.8954548107008569E-2</v>
      </c>
      <c r="J89" s="27"/>
      <c r="K89" s="27"/>
      <c r="L89" s="27"/>
      <c r="M89" s="27"/>
      <c r="N89" s="27"/>
      <c r="O89" s="27"/>
      <c r="P89" s="27"/>
      <c r="Q89" s="27"/>
    </row>
    <row r="90" spans="1:17">
      <c r="A90" t="str">
        <f t="shared" si="1"/>
        <v>Windows - Class 35 to Class 22 - Heating Zone 1 (Zonal or DHP)WINDOW CL35 to CL22 Upgrade</v>
      </c>
      <c r="B90" s="305" t="s">
        <v>1275</v>
      </c>
      <c r="C90" s="305" t="s">
        <v>103</v>
      </c>
      <c r="D90" s="306">
        <v>1.510995399911617</v>
      </c>
      <c r="E90" s="302">
        <v>45</v>
      </c>
      <c r="F90" s="304">
        <v>4.415151515151515</v>
      </c>
      <c r="G90" s="302"/>
      <c r="H90" s="301" t="s">
        <v>145</v>
      </c>
      <c r="I90" s="304">
        <v>1.5939206580294182E-2</v>
      </c>
      <c r="J90" s="27"/>
      <c r="K90" s="27"/>
      <c r="L90" s="27"/>
      <c r="M90" s="27"/>
      <c r="N90" s="27"/>
      <c r="O90" s="27"/>
      <c r="P90" s="27"/>
      <c r="Q90" s="27"/>
    </row>
    <row r="91" spans="1:17">
      <c r="A91" t="str">
        <f t="shared" si="1"/>
        <v>Infiltration Reduction - CFM50 reduction - Heating Zone 1 (Zonal or DHP)CFM50 Infiltration Reduction</v>
      </c>
      <c r="B91" s="305" t="s">
        <v>1276</v>
      </c>
      <c r="C91" s="305" t="s">
        <v>1362</v>
      </c>
      <c r="D91" s="306">
        <v>0.46592485048241433</v>
      </c>
      <c r="E91" s="302">
        <v>15</v>
      </c>
      <c r="F91" s="304">
        <v>0.6607178075171779</v>
      </c>
      <c r="G91" s="302"/>
      <c r="H91" s="301" t="s">
        <v>145</v>
      </c>
      <c r="I91" s="304">
        <v>4.5339444656529058E-3</v>
      </c>
      <c r="J91" s="27"/>
      <c r="K91" s="27"/>
      <c r="L91" s="27"/>
      <c r="M91" s="27"/>
      <c r="N91" s="27"/>
      <c r="O91" s="27"/>
      <c r="P91" s="27"/>
      <c r="Q91" s="27"/>
    </row>
    <row r="92" spans="1:17">
      <c r="A92" t="str">
        <f t="shared" si="1"/>
        <v>Single Family Weatherization - Insulate Attic - R0 to R38 - Heating Zone 2 (Zonal or DHP)ATTIC R0 - R38</v>
      </c>
      <c r="B92" s="305" t="s">
        <v>1277</v>
      </c>
      <c r="C92" s="305" t="s">
        <v>68</v>
      </c>
      <c r="D92" s="306">
        <v>2.6541602051687212</v>
      </c>
      <c r="E92" s="302">
        <v>45</v>
      </c>
      <c r="F92" s="304">
        <v>0.98066043810604342</v>
      </c>
      <c r="G92" s="302"/>
      <c r="H92" s="301" t="s">
        <v>146</v>
      </c>
      <c r="I92" s="304">
        <v>8.4688092147161779E-3</v>
      </c>
      <c r="J92" s="27"/>
      <c r="K92" s="27"/>
      <c r="L92" s="27"/>
      <c r="M92" s="27"/>
      <c r="N92" s="27"/>
      <c r="O92" s="27"/>
      <c r="P92" s="27"/>
      <c r="Q92" s="27"/>
    </row>
    <row r="93" spans="1:17">
      <c r="A93" t="str">
        <f t="shared" si="1"/>
        <v>Single Family Weatherization - Insulate Attic - R0 to R49 - Heating Zone 2 (Zonal or DHP)ATTIC R0 - R49</v>
      </c>
      <c r="B93" s="305" t="s">
        <v>1278</v>
      </c>
      <c r="C93" s="305" t="s">
        <v>71</v>
      </c>
      <c r="D93" s="306">
        <v>2.6929742089662847</v>
      </c>
      <c r="E93" s="302">
        <v>45</v>
      </c>
      <c r="F93" s="304">
        <v>1.1198946019755947</v>
      </c>
      <c r="G93" s="302"/>
      <c r="H93" s="301" t="s">
        <v>146</v>
      </c>
      <c r="I93" s="304">
        <v>8.6773620996890705E-3</v>
      </c>
      <c r="J93" s="27"/>
      <c r="K93" s="27"/>
      <c r="L93" s="27"/>
      <c r="M93" s="27"/>
      <c r="N93" s="27"/>
      <c r="O93" s="27"/>
      <c r="P93" s="27"/>
      <c r="Q93" s="27"/>
    </row>
    <row r="94" spans="1:17">
      <c r="A94" t="str">
        <f t="shared" si="1"/>
        <v>Single Family Weatherization - Insulate Attic - R11 to R38 - Heating Zone 2 (Zonal or DHP)ATTIC R11 - R38</v>
      </c>
      <c r="B94" s="305" t="s">
        <v>1279</v>
      </c>
      <c r="C94" s="305" t="s">
        <v>73</v>
      </c>
      <c r="D94" s="306">
        <v>0.3763093564784582</v>
      </c>
      <c r="E94" s="302">
        <v>45</v>
      </c>
      <c r="F94" s="304">
        <v>0.84142627423649186</v>
      </c>
      <c r="G94" s="302"/>
      <c r="H94" s="301" t="s">
        <v>146</v>
      </c>
      <c r="I94" s="304">
        <v>1.947475908771994E-3</v>
      </c>
      <c r="J94" s="27"/>
      <c r="K94" s="27"/>
      <c r="L94" s="27"/>
      <c r="M94" s="27"/>
      <c r="N94" s="27"/>
      <c r="O94" s="27"/>
      <c r="P94" s="27"/>
      <c r="Q94" s="27"/>
    </row>
    <row r="95" spans="1:17">
      <c r="A95" t="str">
        <f t="shared" si="1"/>
        <v>Single Family Weatherization - Insulate Attic - R11 to R49 - Heating Zone 2 (Zonal or DHP)ATTIC R11 - R49</v>
      </c>
      <c r="B95" s="305" t="s">
        <v>1280</v>
      </c>
      <c r="C95" s="305" t="s">
        <v>75</v>
      </c>
      <c r="D95" s="306">
        <v>0.40844407457204934</v>
      </c>
      <c r="E95" s="302">
        <v>45</v>
      </c>
      <c r="F95" s="304">
        <v>0.98066043810604342</v>
      </c>
      <c r="G95" s="302"/>
      <c r="H95" s="301" t="s">
        <v>146</v>
      </c>
      <c r="I95" s="304">
        <v>2.1398370944166016E-3</v>
      </c>
      <c r="J95" s="27"/>
      <c r="K95" s="27"/>
      <c r="L95" s="27"/>
      <c r="M95" s="27"/>
      <c r="N95" s="27"/>
      <c r="O95" s="27"/>
      <c r="P95" s="27"/>
      <c r="Q95" s="27"/>
    </row>
    <row r="96" spans="1:17">
      <c r="A96" t="str">
        <f t="shared" si="1"/>
        <v>Single Family Weatherization - Insulate Attic - R19 to R38 - Heating Zone 2 (Zonal or DHP)ATTIC R19 - R38</v>
      </c>
      <c r="B96" s="305" t="s">
        <v>1281</v>
      </c>
      <c r="C96" s="305" t="s">
        <v>77</v>
      </c>
      <c r="D96" s="306">
        <v>0.18584099765805315</v>
      </c>
      <c r="E96" s="302">
        <v>45</v>
      </c>
      <c r="F96" s="304">
        <v>0.7401650641495453</v>
      </c>
      <c r="G96" s="302"/>
      <c r="H96" s="301" t="s">
        <v>146</v>
      </c>
      <c r="I96" s="304">
        <v>1.0002332313341731E-3</v>
      </c>
      <c r="J96" s="27"/>
      <c r="K96" s="27"/>
      <c r="L96" s="27"/>
      <c r="M96" s="27"/>
      <c r="N96" s="27"/>
      <c r="O96" s="27"/>
      <c r="P96" s="27"/>
      <c r="Q96" s="27"/>
    </row>
    <row r="97" spans="1:17">
      <c r="A97" t="str">
        <f t="shared" si="1"/>
        <v>Single Family Weatherization - Insulate Attic - R19 to R49 - Heating Zone 2 (Zonal or DHP)ATTIC R19 - R49</v>
      </c>
      <c r="B97" s="305" t="s">
        <v>1282</v>
      </c>
      <c r="C97" s="305" t="s">
        <v>79</v>
      </c>
      <c r="D97" s="306">
        <v>0.22401076882363449</v>
      </c>
      <c r="E97" s="302">
        <v>45</v>
      </c>
      <c r="F97" s="304">
        <v>0.87939922801909687</v>
      </c>
      <c r="G97" s="302"/>
      <c r="H97" s="301" t="s">
        <v>146</v>
      </c>
      <c r="I97" s="304">
        <v>1.2197077920667238E-3</v>
      </c>
      <c r="J97" s="27"/>
      <c r="K97" s="27"/>
      <c r="L97" s="27"/>
      <c r="M97" s="27"/>
      <c r="N97" s="27"/>
      <c r="O97" s="27"/>
      <c r="P97" s="27"/>
      <c r="Q97" s="27"/>
    </row>
    <row r="98" spans="1:17">
      <c r="A98" t="str">
        <f t="shared" si="1"/>
        <v>Single Family Weatherization - Insulate Attic - R30 to R38 - Heating Zone 2 (Zonal or DHP)ATTIC R30 - R38</v>
      </c>
      <c r="B98" s="305" t="s">
        <v>1283</v>
      </c>
      <c r="C98" s="305" t="s">
        <v>1186</v>
      </c>
      <c r="D98" s="306">
        <v>6.2782725706437101E-2</v>
      </c>
      <c r="E98" s="302">
        <v>45</v>
      </c>
      <c r="F98" s="304">
        <v>0.60093090027999396</v>
      </c>
      <c r="G98" s="302"/>
      <c r="H98" s="301" t="s">
        <v>146</v>
      </c>
      <c r="I98" s="304">
        <v>3.3983690194643734E-4</v>
      </c>
      <c r="J98" s="27"/>
      <c r="K98" s="27"/>
      <c r="L98" s="27"/>
      <c r="M98" s="27"/>
      <c r="N98" s="27"/>
      <c r="O98" s="27"/>
      <c r="P98" s="27"/>
      <c r="Q98" s="27"/>
    </row>
    <row r="99" spans="1:17">
      <c r="A99" t="str">
        <f t="shared" si="1"/>
        <v>Single Family Weatherization - Insulate Attic - R30 to R49 - Heating Zone 2 (Zonal or DHP)ATTIC R30 - R49</v>
      </c>
      <c r="B99" s="305" t="s">
        <v>1284</v>
      </c>
      <c r="C99" s="305" t="s">
        <v>81</v>
      </c>
      <c r="D99" s="306">
        <v>0.11216044260528425</v>
      </c>
      <c r="E99" s="302">
        <v>45</v>
      </c>
      <c r="F99" s="304">
        <v>0.7401650641495453</v>
      </c>
      <c r="G99" s="302"/>
      <c r="H99" s="301" t="s">
        <v>146</v>
      </c>
      <c r="I99" s="304">
        <v>6.1419657307136674E-4</v>
      </c>
      <c r="J99" s="27"/>
      <c r="K99" s="27"/>
      <c r="L99" s="27"/>
      <c r="M99" s="27"/>
      <c r="N99" s="27"/>
      <c r="O99" s="27"/>
      <c r="P99" s="27"/>
      <c r="Q99" s="27"/>
    </row>
    <row r="100" spans="1:17">
      <c r="A100" t="str">
        <f t="shared" si="1"/>
        <v>Single Family Weatherization - Insulate Attic - R38 to R49 - Heating Zone 2 (Zonal or DHP)ATTIC R38 - R49</v>
      </c>
      <c r="B100" s="305" t="s">
        <v>1285</v>
      </c>
      <c r="C100" s="305" t="s">
        <v>83</v>
      </c>
      <c r="D100" s="306">
        <v>5.3200290112853495E-2</v>
      </c>
      <c r="E100" s="302">
        <v>45</v>
      </c>
      <c r="F100" s="304">
        <v>0.63890385406259886</v>
      </c>
      <c r="G100" s="302"/>
      <c r="H100" s="301" t="s">
        <v>146</v>
      </c>
      <c r="I100" s="304">
        <v>2.9836831251543299E-4</v>
      </c>
      <c r="J100" s="27"/>
      <c r="K100" s="27"/>
      <c r="L100" s="27"/>
      <c r="M100" s="27"/>
      <c r="N100" s="27"/>
      <c r="O100" s="27"/>
      <c r="P100" s="27"/>
      <c r="Q100" s="27"/>
    </row>
    <row r="101" spans="1:17">
      <c r="A101" t="str">
        <f t="shared" si="1"/>
        <v>Single Family Weatherization - Insulate Wall - R0 to R11 - Heating Zone 2 (Zonal or DHP)WALL R0 - R11</v>
      </c>
      <c r="B101" s="305" t="s">
        <v>1286</v>
      </c>
      <c r="C101" s="305" t="s">
        <v>85</v>
      </c>
      <c r="D101" s="306">
        <v>1.8936172011932983</v>
      </c>
      <c r="E101" s="302">
        <v>45</v>
      </c>
      <c r="F101" s="304">
        <v>1.3863525086966677</v>
      </c>
      <c r="G101" s="302"/>
      <c r="H101" s="301" t="s">
        <v>146</v>
      </c>
      <c r="I101" s="304">
        <v>5.9406224006312855E-3</v>
      </c>
      <c r="J101" s="27"/>
      <c r="K101" s="27"/>
      <c r="L101" s="27"/>
      <c r="M101" s="27"/>
      <c r="N101" s="27"/>
      <c r="O101" s="27"/>
      <c r="P101" s="27"/>
      <c r="Q101" s="27"/>
    </row>
    <row r="102" spans="1:17">
      <c r="A102" t="str">
        <f t="shared" si="1"/>
        <v>Single Family Weatherization - Insulate Floor - R0 to R19 - Heating Zone 2 (Zonal or DHP)FLOOR R0 - R19</v>
      </c>
      <c r="B102" s="305" t="s">
        <v>1287</v>
      </c>
      <c r="C102" s="305" t="s">
        <v>87</v>
      </c>
      <c r="D102" s="306">
        <v>1.045661276893403</v>
      </c>
      <c r="E102" s="302">
        <v>45</v>
      </c>
      <c r="F102" s="304">
        <v>1.2290592529494864</v>
      </c>
      <c r="G102" s="302"/>
      <c r="H102" s="301" t="s">
        <v>146</v>
      </c>
      <c r="I102" s="304">
        <v>2.4112782924554307E-3</v>
      </c>
      <c r="J102" s="27"/>
      <c r="K102" s="27"/>
      <c r="L102" s="27"/>
      <c r="M102" s="27"/>
      <c r="N102" s="27"/>
      <c r="O102" s="27"/>
      <c r="P102" s="27"/>
      <c r="Q102" s="27"/>
    </row>
    <row r="103" spans="1:17">
      <c r="A103" t="str">
        <f t="shared" si="1"/>
        <v>Single Family Weatherization - Insulate Floor - R0 to R25 - Heating Zone 2 (Zonal or DHP)FLOOR R0 - R25</v>
      </c>
      <c r="B103" s="305" t="s">
        <v>1288</v>
      </c>
      <c r="C103" s="305" t="s">
        <v>89</v>
      </c>
      <c r="D103" s="306">
        <v>1.1218635121521667</v>
      </c>
      <c r="E103" s="302">
        <v>45</v>
      </c>
      <c r="F103" s="304">
        <v>1.2761252113477823</v>
      </c>
      <c r="G103" s="302"/>
      <c r="H103" s="301" t="s">
        <v>146</v>
      </c>
      <c r="I103" s="304">
        <v>2.8768968012293245E-3</v>
      </c>
      <c r="J103" s="27"/>
      <c r="K103" s="27"/>
      <c r="L103" s="27"/>
      <c r="M103" s="27"/>
      <c r="N103" s="27"/>
      <c r="O103" s="27"/>
      <c r="P103" s="27"/>
      <c r="Q103" s="27"/>
    </row>
    <row r="104" spans="1:17">
      <c r="A104" t="str">
        <f t="shared" si="1"/>
        <v>Single Family Weatherization - Insulate Floor - R0 to R30 - Heating Zone 2 (Zonal or DHP)FLOOR R0 - R30</v>
      </c>
      <c r="B104" s="305" t="s">
        <v>1289</v>
      </c>
      <c r="C104" s="305" t="s">
        <v>91</v>
      </c>
      <c r="D104" s="306">
        <v>1.1694145777698457</v>
      </c>
      <c r="E104" s="302">
        <v>45</v>
      </c>
      <c r="F104" s="304">
        <v>1.3153468433463626</v>
      </c>
      <c r="G104" s="302"/>
      <c r="H104" s="301" t="s">
        <v>146</v>
      </c>
      <c r="I104" s="304">
        <v>3.1833475452963194E-3</v>
      </c>
      <c r="J104" s="27"/>
      <c r="K104" s="27"/>
      <c r="L104" s="27"/>
      <c r="M104" s="27"/>
      <c r="N104" s="27"/>
      <c r="O104" s="27"/>
      <c r="P104" s="27"/>
      <c r="Q104" s="27"/>
    </row>
    <row r="105" spans="1:17">
      <c r="A105" t="str">
        <f t="shared" si="1"/>
        <v>Single Family Weatherization - Insulate Floor - R19 to R30 - Heating Zone 2 (Zonal or DHP)FLOOR R19 - R30</v>
      </c>
      <c r="B105" s="305" t="s">
        <v>1290</v>
      </c>
      <c r="C105" s="305" t="s">
        <v>1188</v>
      </c>
      <c r="D105" s="306">
        <v>0.14895362812129218</v>
      </c>
      <c r="E105" s="302">
        <v>45</v>
      </c>
      <c r="F105" s="304">
        <v>1.1663046417517582</v>
      </c>
      <c r="G105" s="302"/>
      <c r="H105" s="301" t="s">
        <v>146</v>
      </c>
      <c r="I105" s="304">
        <v>9.0652290326006667E-4</v>
      </c>
      <c r="J105" s="27"/>
      <c r="K105" s="27"/>
      <c r="L105" s="27"/>
      <c r="M105" s="27"/>
      <c r="N105" s="27"/>
      <c r="O105" s="27"/>
      <c r="P105" s="27"/>
      <c r="Q105" s="27"/>
    </row>
    <row r="106" spans="1:17">
      <c r="A106" t="str">
        <f t="shared" si="1"/>
        <v>Windows - Single Pane to Class 30 - Heating Zone 2 (Zonal or DHP)WINDOW CL30 Prime Window Replacement of Single Pane Base</v>
      </c>
      <c r="B106" s="305" t="s">
        <v>1291</v>
      </c>
      <c r="C106" s="305" t="s">
        <v>93</v>
      </c>
      <c r="D106" s="306">
        <v>10.808109849184039</v>
      </c>
      <c r="E106" s="302">
        <v>45</v>
      </c>
      <c r="F106" s="304">
        <v>18.513985646792214</v>
      </c>
      <c r="G106" s="302"/>
      <c r="H106" s="301" t="s">
        <v>146</v>
      </c>
      <c r="I106" s="304">
        <v>5.7209163081835768E-2</v>
      </c>
      <c r="J106" s="27"/>
      <c r="K106" s="27"/>
      <c r="L106" s="27"/>
      <c r="M106" s="27"/>
      <c r="N106" s="27"/>
      <c r="O106" s="27"/>
      <c r="P106" s="27"/>
      <c r="Q106" s="27"/>
    </row>
    <row r="107" spans="1:17">
      <c r="A107" t="str">
        <f t="shared" si="1"/>
        <v>Windows - Double Pane to Class 30 - Heating Zone 2 (Zonal or DHP)WINDOW CL30 Prime Window Replacement of Double Pane Base</v>
      </c>
      <c r="B107" s="305" t="s">
        <v>1292</v>
      </c>
      <c r="C107" s="305" t="s">
        <v>95</v>
      </c>
      <c r="D107" s="306">
        <v>5.302881807217088</v>
      </c>
      <c r="E107" s="302">
        <v>45</v>
      </c>
      <c r="F107" s="304">
        <v>18.513985646792214</v>
      </c>
      <c r="G107" s="302"/>
      <c r="H107" s="301" t="s">
        <v>146</v>
      </c>
      <c r="I107" s="304">
        <v>2.9508755942055487E-2</v>
      </c>
      <c r="J107" s="27"/>
      <c r="K107" s="27"/>
      <c r="L107" s="27"/>
      <c r="M107" s="27"/>
      <c r="N107" s="27"/>
      <c r="O107" s="27"/>
      <c r="P107" s="27"/>
      <c r="Q107" s="27"/>
    </row>
    <row r="108" spans="1:17">
      <c r="A108" t="str">
        <f t="shared" si="1"/>
        <v>Windows - Class 35 to Class 30 - Heating Zone 2 (Zonal or DHP)WINDOW CL35 to CL30 Upgrade</v>
      </c>
      <c r="B108" s="305" t="s">
        <v>1293</v>
      </c>
      <c r="C108" s="305" t="s">
        <v>97</v>
      </c>
      <c r="D108" s="306">
        <v>0.6221080455921959</v>
      </c>
      <c r="E108" s="302">
        <v>45</v>
      </c>
      <c r="F108" s="304">
        <v>1.1251515151515155</v>
      </c>
      <c r="G108" s="302"/>
      <c r="H108" s="301" t="s">
        <v>146</v>
      </c>
      <c r="I108" s="304">
        <v>4.2644043633771403E-3</v>
      </c>
      <c r="J108" s="27"/>
      <c r="K108" s="27"/>
      <c r="L108" s="27"/>
      <c r="M108" s="27"/>
      <c r="N108" s="27"/>
      <c r="O108" s="27"/>
      <c r="P108" s="27"/>
      <c r="Q108" s="27"/>
    </row>
    <row r="109" spans="1:17">
      <c r="A109" t="str">
        <f t="shared" si="1"/>
        <v>Windows - Single Pane to Class 22 - Heating Zone 2 (Zonal or DHP)WINDOW CL22 Prime Window Replacement of Single Pane Base</v>
      </c>
      <c r="B109" s="305" t="s">
        <v>1294</v>
      </c>
      <c r="C109" s="305" t="s">
        <v>99</v>
      </c>
      <c r="D109" s="306">
        <v>11.799522755560073</v>
      </c>
      <c r="E109" s="302">
        <v>45</v>
      </c>
      <c r="F109" s="304">
        <v>21.803985646792214</v>
      </c>
      <c r="G109" s="302"/>
      <c r="H109" s="301" t="s">
        <v>146</v>
      </c>
      <c r="I109" s="304">
        <v>6.4115212047673245E-2</v>
      </c>
      <c r="J109" s="27"/>
      <c r="K109" s="27"/>
      <c r="L109" s="27"/>
      <c r="M109" s="27"/>
      <c r="N109" s="27"/>
      <c r="O109" s="27"/>
      <c r="P109" s="27"/>
      <c r="Q109" s="27"/>
    </row>
    <row r="110" spans="1:17">
      <c r="A110" t="str">
        <f t="shared" si="1"/>
        <v>Windows - Double Pane to Class 22 - Heating Zone 2 (Zonal or DHP)WINDOW CL22 Prime Window Replacement of Double Pane Base</v>
      </c>
      <c r="B110" s="305" t="s">
        <v>1295</v>
      </c>
      <c r="C110" s="305" t="s">
        <v>101</v>
      </c>
      <c r="D110" s="306">
        <v>6.1959679150911589</v>
      </c>
      <c r="E110" s="302">
        <v>45</v>
      </c>
      <c r="F110" s="304">
        <v>21.803985646792214</v>
      </c>
      <c r="G110" s="302"/>
      <c r="H110" s="301" t="s">
        <v>146</v>
      </c>
      <c r="I110" s="304">
        <v>3.598023033443417E-2</v>
      </c>
      <c r="J110" s="27"/>
      <c r="K110" s="27"/>
      <c r="L110" s="27"/>
      <c r="M110" s="27"/>
      <c r="N110" s="27"/>
      <c r="O110" s="27"/>
      <c r="P110" s="27"/>
      <c r="Q110" s="27"/>
    </row>
    <row r="111" spans="1:17">
      <c r="A111" t="str">
        <f t="shared" si="1"/>
        <v>Windows - Class 35 to Class 22 - Heating Zone 2 (Zonal or DHP)WINDOW CL35 to CL22 Upgrade</v>
      </c>
      <c r="B111" s="305" t="s">
        <v>1296</v>
      </c>
      <c r="C111" s="305" t="s">
        <v>103</v>
      </c>
      <c r="D111" s="306">
        <v>1.6774668504537698</v>
      </c>
      <c r="E111" s="302">
        <v>45</v>
      </c>
      <c r="F111" s="304">
        <v>4.415151515151515</v>
      </c>
      <c r="G111" s="302"/>
      <c r="H111" s="301" t="s">
        <v>146</v>
      </c>
      <c r="I111" s="304">
        <v>1.1460811153863418E-2</v>
      </c>
      <c r="J111" s="27"/>
      <c r="K111" s="27"/>
      <c r="L111" s="27"/>
      <c r="M111" s="27"/>
      <c r="N111" s="27"/>
      <c r="O111" s="27"/>
      <c r="P111" s="27"/>
      <c r="Q111" s="27"/>
    </row>
    <row r="112" spans="1:17">
      <c r="A112" t="str">
        <f t="shared" si="1"/>
        <v>Infiltration Reduction - CFM50 reduction - Heating Zone 2 (Zonal or DHP)CFM50 Infiltration Reduction</v>
      </c>
      <c r="B112" s="305" t="s">
        <v>1297</v>
      </c>
      <c r="C112" s="305" t="s">
        <v>1362</v>
      </c>
      <c r="D112" s="306">
        <v>0.5499207123116765</v>
      </c>
      <c r="E112" s="302">
        <v>15</v>
      </c>
      <c r="F112" s="304">
        <v>0.6607178075171779</v>
      </c>
      <c r="G112" s="302"/>
      <c r="H112" s="301" t="s">
        <v>146</v>
      </c>
      <c r="I112" s="304">
        <v>3.3843917832717236E-3</v>
      </c>
      <c r="J112" s="27"/>
      <c r="K112" s="27"/>
      <c r="L112" s="27"/>
      <c r="M112" s="27"/>
      <c r="N112" s="27"/>
      <c r="O112" s="27"/>
      <c r="P112" s="27"/>
      <c r="Q112" s="27"/>
    </row>
    <row r="113" spans="1:17">
      <c r="A113" t="str">
        <f t="shared" si="1"/>
        <v>Single Family Weatherization - Insulate Attic - R0 to R38 - Heating Zone 3 (Zonal or DHP)ATTIC R0 - R38</v>
      </c>
      <c r="B113" s="305" t="s">
        <v>1298</v>
      </c>
      <c r="C113" s="305" t="s">
        <v>68</v>
      </c>
      <c r="D113" s="306">
        <v>3.3170145631627981</v>
      </c>
      <c r="E113" s="302">
        <v>45</v>
      </c>
      <c r="F113" s="304">
        <v>0.98066043810604342</v>
      </c>
      <c r="G113" s="302"/>
      <c r="H113" s="301" t="s">
        <v>147</v>
      </c>
      <c r="I113" s="304">
        <v>1.2712446704693922E-2</v>
      </c>
      <c r="J113" s="27"/>
      <c r="K113" s="27"/>
      <c r="L113" s="27"/>
      <c r="M113" s="27"/>
      <c r="N113" s="27"/>
      <c r="O113" s="27"/>
      <c r="P113" s="27"/>
      <c r="Q113" s="27"/>
    </row>
    <row r="114" spans="1:17">
      <c r="A114" t="str">
        <f t="shared" si="1"/>
        <v>Single Family Weatherization - Insulate Attic - R0 to R49 - Heating Zone 3 (Zonal or DHP)ATTIC R0 - R49</v>
      </c>
      <c r="B114" s="305" t="s">
        <v>1299</v>
      </c>
      <c r="C114" s="305" t="s">
        <v>71</v>
      </c>
      <c r="D114" s="306">
        <v>3.3659969160687315</v>
      </c>
      <c r="E114" s="302">
        <v>45</v>
      </c>
      <c r="F114" s="304">
        <v>1.1198946019755947</v>
      </c>
      <c r="G114" s="302"/>
      <c r="H114" s="301" t="s">
        <v>147</v>
      </c>
      <c r="I114" s="304">
        <v>1.2912795641146443E-2</v>
      </c>
      <c r="J114" s="27"/>
      <c r="K114" s="27"/>
      <c r="L114" s="27"/>
      <c r="M114" s="27"/>
      <c r="N114" s="27"/>
      <c r="O114" s="27"/>
      <c r="P114" s="27"/>
      <c r="Q114" s="27"/>
    </row>
    <row r="115" spans="1:17">
      <c r="A115" t="str">
        <f t="shared" si="1"/>
        <v>Single Family Weatherization - Insulate Attic - R11 to R38 - Heating Zone 3 (Zonal or DHP)ATTIC R11 - R38</v>
      </c>
      <c r="B115" s="305" t="s">
        <v>1300</v>
      </c>
      <c r="C115" s="305" t="s">
        <v>73</v>
      </c>
      <c r="D115" s="306">
        <v>0.41886320795918575</v>
      </c>
      <c r="E115" s="302">
        <v>45</v>
      </c>
      <c r="F115" s="304">
        <v>0.84142627423649186</v>
      </c>
      <c r="G115" s="302"/>
      <c r="H115" s="301" t="s">
        <v>147</v>
      </c>
      <c r="I115" s="304">
        <v>1.6786856298793389E-3</v>
      </c>
      <c r="J115" s="27"/>
      <c r="K115" s="27"/>
      <c r="L115" s="27"/>
      <c r="M115" s="27"/>
      <c r="N115" s="27"/>
      <c r="O115" s="27"/>
      <c r="P115" s="27"/>
      <c r="Q115" s="27"/>
    </row>
    <row r="116" spans="1:17">
      <c r="A116" t="str">
        <f t="shared" si="1"/>
        <v>Single Family Weatherization - Insulate Attic - R11 to R49 - Heating Zone 3 (Zonal or DHP)ATTIC R11 - R49</v>
      </c>
      <c r="B116" s="305" t="s">
        <v>1301</v>
      </c>
      <c r="C116" s="305" t="s">
        <v>75</v>
      </c>
      <c r="D116" s="306">
        <v>0.45466555611933918</v>
      </c>
      <c r="E116" s="302">
        <v>45</v>
      </c>
      <c r="F116" s="304">
        <v>0.98066043810604342</v>
      </c>
      <c r="G116" s="302"/>
      <c r="H116" s="301" t="s">
        <v>147</v>
      </c>
      <c r="I116" s="304">
        <v>1.8512149650550343E-3</v>
      </c>
      <c r="J116" s="27"/>
      <c r="K116" s="27"/>
      <c r="L116" s="27"/>
      <c r="M116" s="27"/>
      <c r="N116" s="27"/>
      <c r="O116" s="27"/>
      <c r="P116" s="27"/>
      <c r="Q116" s="27"/>
    </row>
    <row r="117" spans="1:17">
      <c r="A117" t="str">
        <f t="shared" si="1"/>
        <v>Single Family Weatherization - Insulate Attic - R19 to R38 - Heating Zone 3 (Zonal or DHP)ATTIC R19 - R38</v>
      </c>
      <c r="B117" s="305" t="s">
        <v>1302</v>
      </c>
      <c r="C117" s="305" t="s">
        <v>77</v>
      </c>
      <c r="D117" s="306">
        <v>0.17953138369391677</v>
      </c>
      <c r="E117" s="302">
        <v>45</v>
      </c>
      <c r="F117" s="304">
        <v>0.7401650641495453</v>
      </c>
      <c r="G117" s="302"/>
      <c r="H117" s="301" t="s">
        <v>147</v>
      </c>
      <c r="I117" s="304">
        <v>7.8032791926850749E-4</v>
      </c>
      <c r="J117" s="27"/>
      <c r="K117" s="27"/>
      <c r="L117" s="27"/>
      <c r="M117" s="27"/>
      <c r="N117" s="27"/>
      <c r="O117" s="27"/>
      <c r="P117" s="27"/>
      <c r="Q117" s="27"/>
    </row>
    <row r="118" spans="1:17">
      <c r="A118" t="str">
        <f t="shared" si="1"/>
        <v>Single Family Weatherization - Insulate Attic - R19 to R49 - Heating Zone 3 (Zonal or DHP)ATTIC R19 - R49</v>
      </c>
      <c r="B118" s="305" t="s">
        <v>1303</v>
      </c>
      <c r="C118" s="305" t="s">
        <v>79</v>
      </c>
      <c r="D118" s="306">
        <v>0.21641672487360111</v>
      </c>
      <c r="E118" s="302">
        <v>45</v>
      </c>
      <c r="F118" s="304">
        <v>0.87939922801909687</v>
      </c>
      <c r="G118" s="302"/>
      <c r="H118" s="301" t="s">
        <v>147</v>
      </c>
      <c r="I118" s="304">
        <v>9.5563454789556227E-4</v>
      </c>
      <c r="J118" s="27"/>
      <c r="K118" s="27"/>
      <c r="L118" s="27"/>
      <c r="M118" s="27"/>
      <c r="N118" s="27"/>
      <c r="O118" s="27"/>
      <c r="P118" s="27"/>
      <c r="Q118" s="27"/>
    </row>
    <row r="119" spans="1:17">
      <c r="A119" t="str">
        <f t="shared" si="1"/>
        <v>Single Family Weatherization - Insulate Attic - R30 to R38 - Heating Zone 3 (Zonal or DHP)ATTIC R30 - R38</v>
      </c>
      <c r="B119" s="305" t="s">
        <v>1304</v>
      </c>
      <c r="C119" s="305" t="s">
        <v>1186</v>
      </c>
      <c r="D119" s="306">
        <v>6.1883210518048098E-2</v>
      </c>
      <c r="E119" s="302">
        <v>45</v>
      </c>
      <c r="F119" s="304">
        <v>0.60093090027999396</v>
      </c>
      <c r="G119" s="302"/>
      <c r="H119" s="301" t="s">
        <v>147</v>
      </c>
      <c r="I119" s="304">
        <v>2.5900523921331791E-4</v>
      </c>
      <c r="J119" s="27"/>
      <c r="K119" s="27"/>
      <c r="L119" s="27"/>
      <c r="M119" s="27"/>
      <c r="N119" s="27"/>
      <c r="O119" s="27"/>
      <c r="P119" s="27"/>
      <c r="Q119" s="27"/>
    </row>
    <row r="120" spans="1:17">
      <c r="A120" t="str">
        <f t="shared" si="1"/>
        <v>Single Family Weatherization - Insulate Attic - R30 to R49 - Heating Zone 3 (Zonal or DHP)ATTIC R30 - R49</v>
      </c>
      <c r="B120" s="305" t="s">
        <v>1305</v>
      </c>
      <c r="C120" s="305" t="s">
        <v>81</v>
      </c>
      <c r="D120" s="306">
        <v>0.11056079856326018</v>
      </c>
      <c r="E120" s="302">
        <v>45</v>
      </c>
      <c r="F120" s="304">
        <v>0.7401650641495453</v>
      </c>
      <c r="G120" s="302"/>
      <c r="H120" s="301" t="s">
        <v>147</v>
      </c>
      <c r="I120" s="304">
        <v>4.7195046333523303E-4</v>
      </c>
      <c r="J120" s="27"/>
      <c r="K120" s="27"/>
      <c r="L120" s="27"/>
      <c r="M120" s="27"/>
      <c r="N120" s="27"/>
      <c r="O120" s="27"/>
      <c r="P120" s="27"/>
      <c r="Q120" s="27"/>
    </row>
    <row r="121" spans="1:17">
      <c r="A121" t="str">
        <f t="shared" si="1"/>
        <v>Single Family Weatherization - Insulate Attic - R38 to R49 - Heating Zone 3 (Zonal or DHP)ATTIC R38 - R49</v>
      </c>
      <c r="B121" s="305" t="s">
        <v>1306</v>
      </c>
      <c r="C121" s="305" t="s">
        <v>83</v>
      </c>
      <c r="D121" s="306">
        <v>5.1800498074774111E-2</v>
      </c>
      <c r="E121" s="302">
        <v>45</v>
      </c>
      <c r="F121" s="304">
        <v>0.63890385406259886</v>
      </c>
      <c r="G121" s="302"/>
      <c r="H121" s="301" t="s">
        <v>147</v>
      </c>
      <c r="I121" s="304">
        <v>2.2898664699565384E-4</v>
      </c>
      <c r="J121" s="27"/>
      <c r="K121" s="27"/>
      <c r="L121" s="27"/>
      <c r="M121" s="27"/>
      <c r="N121" s="27"/>
      <c r="O121" s="27"/>
      <c r="P121" s="27"/>
      <c r="Q121" s="27"/>
    </row>
    <row r="122" spans="1:17">
      <c r="A122" t="str">
        <f t="shared" si="1"/>
        <v>Single Family Weatherization - Insulate Wall - R0 to R11 - Heating Zone 3 (Zonal or DHP)WALL R0 - R11</v>
      </c>
      <c r="B122" s="305" t="s">
        <v>1307</v>
      </c>
      <c r="C122" s="305" t="s">
        <v>85</v>
      </c>
      <c r="D122" s="306">
        <v>2.3744458173074072</v>
      </c>
      <c r="E122" s="302">
        <v>45</v>
      </c>
      <c r="F122" s="304">
        <v>1.3863525086966677</v>
      </c>
      <c r="G122" s="302"/>
      <c r="H122" s="301" t="s">
        <v>147</v>
      </c>
      <c r="I122" s="304">
        <v>6.6022703615083089E-3</v>
      </c>
      <c r="J122" s="27"/>
      <c r="K122" s="27"/>
      <c r="L122" s="27"/>
      <c r="M122" s="27"/>
      <c r="N122" s="27"/>
      <c r="O122" s="27"/>
      <c r="P122" s="27"/>
      <c r="Q122" s="27"/>
    </row>
    <row r="123" spans="1:17">
      <c r="A123" t="str">
        <f t="shared" si="1"/>
        <v>Single Family Weatherization - Insulate Floor - R0 to R19 - Heating Zone 3 (Zonal or DHP)FLOOR R0 - R19</v>
      </c>
      <c r="B123" s="305" t="s">
        <v>1308</v>
      </c>
      <c r="C123" s="305" t="s">
        <v>87</v>
      </c>
      <c r="D123" s="306">
        <v>1.412959235360739</v>
      </c>
      <c r="E123" s="302">
        <v>45</v>
      </c>
      <c r="F123" s="304">
        <v>1.2290592529494864</v>
      </c>
      <c r="G123" s="302"/>
      <c r="H123" s="301" t="s">
        <v>147</v>
      </c>
      <c r="I123" s="304">
        <v>2.9082038674344821E-3</v>
      </c>
      <c r="J123" s="27"/>
      <c r="K123" s="27"/>
      <c r="L123" s="27"/>
      <c r="M123" s="27"/>
      <c r="N123" s="27"/>
      <c r="O123" s="27"/>
      <c r="P123" s="27"/>
      <c r="Q123" s="27"/>
    </row>
    <row r="124" spans="1:17">
      <c r="A124" t="str">
        <f t="shared" si="1"/>
        <v>Single Family Weatherization - Insulate Floor - R0 to R25 - Heating Zone 3 (Zonal or DHP)FLOOR R0 - R25</v>
      </c>
      <c r="B124" s="305" t="s">
        <v>1309</v>
      </c>
      <c r="C124" s="305" t="s">
        <v>89</v>
      </c>
      <c r="D124" s="306">
        <v>1.5163559081880893</v>
      </c>
      <c r="E124" s="302">
        <v>45</v>
      </c>
      <c r="F124" s="304">
        <v>1.2761252113477823</v>
      </c>
      <c r="G124" s="302"/>
      <c r="H124" s="301" t="s">
        <v>147</v>
      </c>
      <c r="I124" s="304">
        <v>3.4119539282193062E-3</v>
      </c>
      <c r="J124" s="27"/>
      <c r="K124" s="27"/>
      <c r="L124" s="27"/>
      <c r="M124" s="27"/>
      <c r="N124" s="27"/>
      <c r="O124" s="27"/>
      <c r="P124" s="27"/>
      <c r="Q124" s="27"/>
    </row>
    <row r="125" spans="1:17">
      <c r="A125" t="str">
        <f t="shared" si="1"/>
        <v>Single Family Weatherization - Insulate Floor - R0 to R30 - Heating Zone 3 (Zonal or DHP)FLOOR R0 - R30</v>
      </c>
      <c r="B125" s="305" t="s">
        <v>1310</v>
      </c>
      <c r="C125" s="305" t="s">
        <v>91</v>
      </c>
      <c r="D125" s="306">
        <v>1.5808946906494854</v>
      </c>
      <c r="E125" s="302">
        <v>45</v>
      </c>
      <c r="F125" s="304">
        <v>1.3153468433463626</v>
      </c>
      <c r="G125" s="302"/>
      <c r="H125" s="301" t="s">
        <v>147</v>
      </c>
      <c r="I125" s="304">
        <v>3.7504068376697391E-3</v>
      </c>
      <c r="J125" s="27"/>
      <c r="K125" s="27"/>
      <c r="L125" s="27"/>
      <c r="M125" s="27"/>
      <c r="N125" s="27"/>
      <c r="O125" s="27"/>
      <c r="P125" s="27"/>
      <c r="Q125" s="27"/>
    </row>
    <row r="126" spans="1:17">
      <c r="A126" t="str">
        <f t="shared" si="1"/>
        <v>Single Family Weatherization - Insulate Floor - R19 to R30 - Heating Zone 3 (Zonal or DHP)FLOOR R19 - R30</v>
      </c>
      <c r="B126" s="305" t="s">
        <v>1311</v>
      </c>
      <c r="C126" s="305" t="s">
        <v>1188</v>
      </c>
      <c r="D126" s="306">
        <v>0.14462094110113363</v>
      </c>
      <c r="E126" s="302">
        <v>45</v>
      </c>
      <c r="F126" s="304">
        <v>1.1663046417517582</v>
      </c>
      <c r="G126" s="302"/>
      <c r="H126" s="301" t="s">
        <v>147</v>
      </c>
      <c r="I126" s="304">
        <v>7.2269095547773264E-4</v>
      </c>
      <c r="J126" s="27"/>
      <c r="K126" s="27"/>
      <c r="L126" s="27"/>
      <c r="M126" s="27"/>
      <c r="N126" s="27"/>
      <c r="O126" s="27"/>
      <c r="P126" s="27"/>
      <c r="Q126" s="27"/>
    </row>
    <row r="127" spans="1:17">
      <c r="A127" t="str">
        <f t="shared" si="1"/>
        <v>Windows - Single Pane to Class 30 - Heating Zone 3 (Zonal or DHP)WINDOW CL30 Prime Window Replacement of Single Pane Base</v>
      </c>
      <c r="B127" s="305" t="s">
        <v>1312</v>
      </c>
      <c r="C127" s="305" t="s">
        <v>93</v>
      </c>
      <c r="D127" s="306">
        <v>12.857573409924006</v>
      </c>
      <c r="E127" s="302">
        <v>45</v>
      </c>
      <c r="F127" s="304">
        <v>18.513985646792214</v>
      </c>
      <c r="G127" s="302"/>
      <c r="H127" s="301" t="s">
        <v>147</v>
      </c>
      <c r="I127" s="304">
        <v>5.7676293074713794E-2</v>
      </c>
      <c r="J127" s="27"/>
      <c r="K127" s="27"/>
      <c r="L127" s="27"/>
      <c r="M127" s="27"/>
      <c r="N127" s="27"/>
      <c r="O127" s="27"/>
      <c r="P127" s="27"/>
      <c r="Q127" s="27"/>
    </row>
    <row r="128" spans="1:17">
      <c r="A128" t="str">
        <f t="shared" si="1"/>
        <v>Windows - Double Pane to Class 30 - Heating Zone 3 (Zonal or DHP)WINDOW CL30 Prime Window Replacement of Double Pane Base</v>
      </c>
      <c r="B128" s="305" t="s">
        <v>1313</v>
      </c>
      <c r="C128" s="305" t="s">
        <v>95</v>
      </c>
      <c r="D128" s="306">
        <v>6.1580045203727858</v>
      </c>
      <c r="E128" s="302">
        <v>45</v>
      </c>
      <c r="F128" s="304">
        <v>18.513985646792214</v>
      </c>
      <c r="G128" s="302"/>
      <c r="H128" s="301" t="s">
        <v>147</v>
      </c>
      <c r="I128" s="304">
        <v>2.7025746524813078E-2</v>
      </c>
      <c r="J128" s="27"/>
      <c r="K128" s="27"/>
      <c r="L128" s="27"/>
      <c r="M128" s="27"/>
      <c r="N128" s="27"/>
      <c r="O128" s="27"/>
      <c r="P128" s="27"/>
      <c r="Q128" s="27"/>
    </row>
    <row r="129" spans="1:17">
      <c r="A129" t="str">
        <f t="shared" si="1"/>
        <v>Windows - Class 35 to Class 30 - Heating Zone 3 (Zonal or DHP)WINDOW CL35 to CL30 Upgrade</v>
      </c>
      <c r="B129" s="305" t="s">
        <v>1314</v>
      </c>
      <c r="C129" s="305" t="s">
        <v>97</v>
      </c>
      <c r="D129" s="306">
        <v>0.70858603488088068</v>
      </c>
      <c r="E129" s="302">
        <v>45</v>
      </c>
      <c r="F129" s="304">
        <v>1.1251515151515155</v>
      </c>
      <c r="G129" s="302"/>
      <c r="H129" s="301" t="s">
        <v>147</v>
      </c>
      <c r="I129" s="304">
        <v>3.8836322261589966E-3</v>
      </c>
      <c r="J129" s="27"/>
      <c r="K129" s="27"/>
      <c r="L129" s="27"/>
      <c r="M129" s="27"/>
      <c r="N129" s="27"/>
      <c r="O129" s="27"/>
      <c r="P129" s="27"/>
      <c r="Q129" s="27"/>
    </row>
    <row r="130" spans="1:17">
      <c r="A130" t="str">
        <f t="shared" si="1"/>
        <v>Windows - Single Pane to Class 22 - Heating Zone 3 (Zonal or DHP)WINDOW CL22 Prime Window Replacement of Single Pane Base</v>
      </c>
      <c r="B130" s="305" t="s">
        <v>1315</v>
      </c>
      <c r="C130" s="305" t="s">
        <v>99</v>
      </c>
      <c r="D130" s="306">
        <v>14.039290219864315</v>
      </c>
      <c r="E130" s="302">
        <v>45</v>
      </c>
      <c r="F130" s="304">
        <v>21.803985646792214</v>
      </c>
      <c r="G130" s="302"/>
      <c r="H130" s="301" t="s">
        <v>147</v>
      </c>
      <c r="I130" s="304">
        <v>6.4347245365940969E-2</v>
      </c>
      <c r="J130" s="27"/>
      <c r="K130" s="27"/>
      <c r="L130" s="27"/>
      <c r="M130" s="27"/>
      <c r="N130" s="27"/>
      <c r="O130" s="27"/>
      <c r="P130" s="27"/>
      <c r="Q130" s="27"/>
    </row>
    <row r="131" spans="1:17">
      <c r="A131" t="str">
        <f t="shared" si="1"/>
        <v>Windows - Double Pane to Class 22 - Heating Zone 3 (Zonal or DHP)WINDOW CL22 Prime Window Replacement of Double Pane Base</v>
      </c>
      <c r="B131" s="305" t="s">
        <v>1316</v>
      </c>
      <c r="C131" s="305" t="s">
        <v>101</v>
      </c>
      <c r="D131" s="306">
        <v>7.1741234089004928</v>
      </c>
      <c r="E131" s="302">
        <v>45</v>
      </c>
      <c r="F131" s="304">
        <v>21.803985646792214</v>
      </c>
      <c r="G131" s="302"/>
      <c r="H131" s="301" t="s">
        <v>147</v>
      </c>
      <c r="I131" s="304">
        <v>3.3026913245565011E-2</v>
      </c>
      <c r="J131" s="27"/>
      <c r="K131" s="27"/>
      <c r="L131" s="27"/>
      <c r="M131" s="27"/>
      <c r="N131" s="27"/>
      <c r="O131" s="27"/>
      <c r="P131" s="27"/>
      <c r="Q131" s="27"/>
    </row>
    <row r="132" spans="1:17">
      <c r="A132" t="str">
        <f t="shared" si="1"/>
        <v>Windows - Class 35 to Class 22 - Heating Zone 3 (Zonal or DHP)WINDOW CL35 to CL22 Upgrade</v>
      </c>
      <c r="B132" s="305" t="s">
        <v>1317</v>
      </c>
      <c r="C132" s="305" t="s">
        <v>103</v>
      </c>
      <c r="D132" s="306">
        <v>1.7869460460446558</v>
      </c>
      <c r="E132" s="302">
        <v>45</v>
      </c>
      <c r="F132" s="304">
        <v>4.415151515151515</v>
      </c>
      <c r="G132" s="302"/>
      <c r="H132" s="301" t="s">
        <v>147</v>
      </c>
      <c r="I132" s="304">
        <v>1.019758416281631E-2</v>
      </c>
      <c r="J132" s="27"/>
      <c r="K132" s="27"/>
      <c r="L132" s="27"/>
      <c r="M132" s="27"/>
      <c r="N132" s="27"/>
      <c r="O132" s="27"/>
      <c r="P132" s="27"/>
      <c r="Q132" s="27"/>
    </row>
    <row r="133" spans="1:17">
      <c r="A133" t="str">
        <f t="shared" si="1"/>
        <v>Infiltration Reduction - CFM50 reduction - Heating Zone 3 (Zonal or DHP)CFM50 Infiltration Reduction</v>
      </c>
      <c r="B133" s="305" t="s">
        <v>1318</v>
      </c>
      <c r="C133" s="305" t="s">
        <v>1362</v>
      </c>
      <c r="D133" s="306">
        <v>0.54965076267456758</v>
      </c>
      <c r="E133" s="302">
        <v>15</v>
      </c>
      <c r="F133" s="304">
        <v>0.6607178075171779</v>
      </c>
      <c r="G133" s="302"/>
      <c r="H133" s="301" t="s">
        <v>147</v>
      </c>
      <c r="I133" s="304">
        <v>2.7643415400723072E-3</v>
      </c>
      <c r="J133" s="27"/>
      <c r="K133" s="27"/>
      <c r="L133" s="27"/>
      <c r="M133" s="27"/>
      <c r="N133" s="27"/>
      <c r="O133" s="27"/>
      <c r="P133" s="27"/>
      <c r="Q133" s="27"/>
    </row>
    <row r="134" spans="1:17">
      <c r="A134" t="str">
        <f t="shared" si="1"/>
        <v>Single Family Weatherization - Insulate Attic - R0 to R38 - Heating Zone 1 (Heat Pump)ATTIC R0 - R38</v>
      </c>
      <c r="B134" s="305" t="s">
        <v>148</v>
      </c>
      <c r="C134" s="305" t="s">
        <v>68</v>
      </c>
      <c r="D134" s="306">
        <v>1.0251421396294926</v>
      </c>
      <c r="E134" s="302">
        <v>45</v>
      </c>
      <c r="F134" s="304">
        <v>0.98066043810604342</v>
      </c>
      <c r="G134" s="302"/>
      <c r="H134" s="301" t="s">
        <v>149</v>
      </c>
      <c r="I134" s="304">
        <v>4.1111644751649244E-3</v>
      </c>
      <c r="J134" s="27"/>
      <c r="K134" s="27"/>
      <c r="L134" s="27"/>
      <c r="M134" s="27"/>
      <c r="N134" s="27"/>
      <c r="O134" s="27"/>
      <c r="P134" s="27"/>
      <c r="Q134" s="27"/>
    </row>
    <row r="135" spans="1:17">
      <c r="A135" t="str">
        <f t="shared" si="1"/>
        <v>Single Family Weatherization - Insulate Attic - R0 to R49 - Heating Zone 1 (Heat Pump)ATTIC R0 - R49</v>
      </c>
      <c r="B135" s="305" t="s">
        <v>150</v>
      </c>
      <c r="C135" s="305" t="s">
        <v>71</v>
      </c>
      <c r="D135" s="306">
        <v>1.0390832465027031</v>
      </c>
      <c r="E135" s="302">
        <v>45</v>
      </c>
      <c r="F135" s="304">
        <v>1.1198946019755947</v>
      </c>
      <c r="G135" s="302"/>
      <c r="H135" s="301" t="s">
        <v>149</v>
      </c>
      <c r="I135" s="304">
        <v>4.2711101578504539E-3</v>
      </c>
      <c r="J135" s="27"/>
      <c r="K135" s="27"/>
      <c r="L135" s="27"/>
      <c r="M135" s="27"/>
      <c r="N135" s="27"/>
      <c r="O135" s="27"/>
      <c r="P135" s="27"/>
      <c r="Q135" s="27"/>
    </row>
    <row r="136" spans="1:17">
      <c r="A136" t="str">
        <f t="shared" si="1"/>
        <v>Single Family Weatherization - Insulate Attic - R11 to R38 - Heating Zone 1 (Heat Pump)ATTIC R11 - R38</v>
      </c>
      <c r="B136" s="305" t="s">
        <v>151</v>
      </c>
      <c r="C136" s="305" t="s">
        <v>73</v>
      </c>
      <c r="D136" s="306">
        <v>0.20679672924846595</v>
      </c>
      <c r="E136" s="302">
        <v>45</v>
      </c>
      <c r="F136" s="304">
        <v>0.84142627423649186</v>
      </c>
      <c r="G136" s="302"/>
      <c r="H136" s="301" t="s">
        <v>149</v>
      </c>
      <c r="I136" s="304">
        <v>1.9798063385491117E-3</v>
      </c>
      <c r="J136" s="27"/>
      <c r="K136" s="27"/>
      <c r="L136" s="27"/>
      <c r="M136" s="27"/>
      <c r="N136" s="27"/>
      <c r="O136" s="27"/>
      <c r="P136" s="27"/>
      <c r="Q136" s="27"/>
    </row>
    <row r="137" spans="1:17">
      <c r="A137" t="str">
        <f t="shared" ref="A137:A200" si="2">CONCATENATE(B137,C137)</f>
        <v>Single Family Weatherization - Insulate Attic - R11 to R49 - Heating Zone 1 (Heat Pump)ATTIC R11 - R49</v>
      </c>
      <c r="B137" s="305" t="s">
        <v>152</v>
      </c>
      <c r="C137" s="305" t="s">
        <v>75</v>
      </c>
      <c r="D137" s="306">
        <v>0.22428573317658493</v>
      </c>
      <c r="E137" s="302">
        <v>45</v>
      </c>
      <c r="F137" s="304">
        <v>0.98066043810604342</v>
      </c>
      <c r="G137" s="302"/>
      <c r="H137" s="301" t="s">
        <v>149</v>
      </c>
      <c r="I137" s="304">
        <v>2.1712351922584224E-3</v>
      </c>
      <c r="J137" s="27"/>
      <c r="K137" s="27"/>
      <c r="L137" s="27"/>
      <c r="M137" s="27"/>
      <c r="N137" s="27"/>
      <c r="O137" s="27"/>
      <c r="P137" s="27"/>
      <c r="Q137" s="27"/>
    </row>
    <row r="138" spans="1:17">
      <c r="A138" t="str">
        <f t="shared" si="2"/>
        <v>Single Family Weatherization - Insulate Attic - R19 to R38 - Heating Zone 1 (Heat Pump)ATTIC R19 - R38</v>
      </c>
      <c r="B138" s="305" t="s">
        <v>153</v>
      </c>
      <c r="C138" s="305" t="s">
        <v>77</v>
      </c>
      <c r="D138" s="306">
        <v>0.10665945624832175</v>
      </c>
      <c r="E138" s="302">
        <v>45</v>
      </c>
      <c r="F138" s="304">
        <v>0.7401650641495453</v>
      </c>
      <c r="G138" s="302"/>
      <c r="H138" s="301" t="s">
        <v>149</v>
      </c>
      <c r="I138" s="304">
        <v>1.103147126035067E-3</v>
      </c>
      <c r="J138" s="27"/>
      <c r="K138" s="27"/>
      <c r="L138" s="27"/>
      <c r="M138" s="27"/>
      <c r="N138" s="27"/>
      <c r="O138" s="27"/>
      <c r="P138" s="27"/>
      <c r="Q138" s="27"/>
    </row>
    <row r="139" spans="1:17">
      <c r="A139" t="str">
        <f t="shared" si="2"/>
        <v>Single Family Weatherization - Insulate Attic - R19 to R49 - Heating Zone 1 (Heat Pump)ATTIC R19 - R49</v>
      </c>
      <c r="B139" s="305" t="s">
        <v>154</v>
      </c>
      <c r="C139" s="305" t="s">
        <v>79</v>
      </c>
      <c r="D139" s="306">
        <v>0.12847470934687527</v>
      </c>
      <c r="E139" s="302">
        <v>45</v>
      </c>
      <c r="F139" s="304">
        <v>0.87939922801909687</v>
      </c>
      <c r="G139" s="302"/>
      <c r="H139" s="301" t="s">
        <v>149</v>
      </c>
      <c r="I139" s="304">
        <v>1.3412833648268644E-3</v>
      </c>
      <c r="J139" s="27"/>
      <c r="K139" s="27"/>
      <c r="L139" s="27"/>
      <c r="M139" s="27"/>
      <c r="N139" s="27"/>
      <c r="O139" s="27"/>
      <c r="P139" s="27"/>
      <c r="Q139" s="27"/>
    </row>
    <row r="140" spans="1:17">
      <c r="A140" t="str">
        <f t="shared" si="2"/>
        <v>Single Family Weatherization - Insulate Attic - R30 to R38 - Heating Zone 1 (Heat Pump)ATTIC R30 - R38</v>
      </c>
      <c r="B140" s="305" t="s">
        <v>1319</v>
      </c>
      <c r="C140" s="305" t="s">
        <v>1186</v>
      </c>
      <c r="D140" s="306">
        <v>5.0835609471006342E-2</v>
      </c>
      <c r="E140" s="302">
        <v>45</v>
      </c>
      <c r="F140" s="304">
        <v>0.60093090027999396</v>
      </c>
      <c r="G140" s="302"/>
      <c r="H140" s="301" t="s">
        <v>149</v>
      </c>
      <c r="I140" s="304">
        <v>6.5465321906656203E-4</v>
      </c>
      <c r="J140" s="27"/>
      <c r="K140" s="27"/>
      <c r="L140" s="27"/>
      <c r="M140" s="27"/>
      <c r="N140" s="27"/>
      <c r="O140" s="27"/>
      <c r="P140" s="27"/>
      <c r="Q140" s="27"/>
    </row>
    <row r="141" spans="1:17">
      <c r="A141" t="str">
        <f t="shared" si="2"/>
        <v>Single Family Weatherization - Insulate Attic - R30 to R49 - Heating Zone 1 (Heat Pump)ATTIC R30 - R49</v>
      </c>
      <c r="B141" s="305" t="s">
        <v>155</v>
      </c>
      <c r="C141" s="305" t="s">
        <v>81</v>
      </c>
      <c r="D141" s="306">
        <v>4.965564125338303E-2</v>
      </c>
      <c r="E141" s="302">
        <v>45</v>
      </c>
      <c r="F141" s="304">
        <v>0.7401650641495453</v>
      </c>
      <c r="G141" s="302"/>
      <c r="H141" s="301" t="s">
        <v>149</v>
      </c>
      <c r="I141" s="304">
        <v>5.3655834074592239E-4</v>
      </c>
      <c r="J141" s="27"/>
      <c r="K141" s="27"/>
      <c r="L141" s="27"/>
      <c r="M141" s="27"/>
      <c r="N141" s="27"/>
      <c r="O141" s="27"/>
      <c r="P141" s="27"/>
      <c r="Q141" s="27"/>
    </row>
    <row r="142" spans="1:17">
      <c r="A142" t="str">
        <f t="shared" si="2"/>
        <v>Single Family Weatherization - Insulate Attic - R38 to R49 - Heating Zone 1 (Heat Pump)ATTIC R38 - R49</v>
      </c>
      <c r="B142" s="305" t="s">
        <v>156</v>
      </c>
      <c r="C142" s="305" t="s">
        <v>83</v>
      </c>
      <c r="D142" s="306">
        <v>2.300836276106618E-2</v>
      </c>
      <c r="E142" s="302">
        <v>45</v>
      </c>
      <c r="F142" s="304">
        <v>0.63890385406259886</v>
      </c>
      <c r="G142" s="302"/>
      <c r="H142" s="301" t="s">
        <v>149</v>
      </c>
      <c r="I142" s="304">
        <v>2.5773143149797562E-4</v>
      </c>
      <c r="J142" s="27"/>
      <c r="K142" s="27"/>
      <c r="L142" s="27"/>
      <c r="M142" s="27"/>
      <c r="N142" s="27"/>
      <c r="O142" s="27"/>
      <c r="P142" s="27"/>
      <c r="Q142" s="27"/>
    </row>
    <row r="143" spans="1:17">
      <c r="A143" t="str">
        <f t="shared" si="2"/>
        <v>Single Family Weatherization - Insulate Wall - R0 to R11 - Heating Zone 1 (Heat Pump)WALL R0 - R11</v>
      </c>
      <c r="B143" s="305" t="s">
        <v>157</v>
      </c>
      <c r="C143" s="305" t="s">
        <v>85</v>
      </c>
      <c r="D143" s="306">
        <v>0.98340962411827126</v>
      </c>
      <c r="E143" s="302">
        <v>45</v>
      </c>
      <c r="F143" s="304">
        <v>1.3863525086966677</v>
      </c>
      <c r="G143" s="302"/>
      <c r="H143" s="301" t="s">
        <v>149</v>
      </c>
      <c r="I143" s="304">
        <v>6.4981158970168528E-3</v>
      </c>
      <c r="J143" s="27"/>
      <c r="K143" s="27"/>
      <c r="L143" s="27"/>
      <c r="M143" s="27"/>
      <c r="N143" s="27"/>
      <c r="O143" s="27"/>
      <c r="P143" s="27"/>
      <c r="Q143" s="27"/>
    </row>
    <row r="144" spans="1:17">
      <c r="A144" t="str">
        <f t="shared" si="2"/>
        <v>Single Family Weatherization - Insulate Floor - R0 to R19 - Heating Zone 1 (Heat Pump)FLOOR R0 - R19</v>
      </c>
      <c r="B144" s="305" t="s">
        <v>158</v>
      </c>
      <c r="C144" s="305" t="s">
        <v>87</v>
      </c>
      <c r="D144" s="306">
        <v>0.22239667227741911</v>
      </c>
      <c r="E144" s="302">
        <v>45</v>
      </c>
      <c r="F144" s="304">
        <v>1.2290592529494864</v>
      </c>
      <c r="G144" s="302"/>
      <c r="H144" s="301" t="s">
        <v>149</v>
      </c>
      <c r="I144" s="304">
        <v>1.8868328063160805E-4</v>
      </c>
      <c r="J144" s="27"/>
      <c r="K144" s="27"/>
      <c r="L144" s="27"/>
      <c r="M144" s="27"/>
      <c r="N144" s="27"/>
      <c r="O144" s="27"/>
      <c r="P144" s="27"/>
      <c r="Q144" s="27"/>
    </row>
    <row r="145" spans="1:17">
      <c r="A145" t="str">
        <f t="shared" si="2"/>
        <v>Single Family Weatherization - Insulate Floor - R0 to R25 - Heating Zone 1 (Heat Pump)FLOOR R0 - R25</v>
      </c>
      <c r="B145" s="305" t="s">
        <v>159</v>
      </c>
      <c r="C145" s="305" t="s">
        <v>89</v>
      </c>
      <c r="D145" s="306">
        <v>0.23924271309753536</v>
      </c>
      <c r="E145" s="302">
        <v>45</v>
      </c>
      <c r="F145" s="304">
        <v>1.2761252113477823</v>
      </c>
      <c r="G145" s="302"/>
      <c r="H145" s="301" t="s">
        <v>149</v>
      </c>
      <c r="I145" s="304">
        <v>3.6558425102834949E-4</v>
      </c>
      <c r="J145" s="27"/>
      <c r="K145" s="27"/>
      <c r="L145" s="27"/>
      <c r="M145" s="27"/>
      <c r="N145" s="27"/>
      <c r="O145" s="27"/>
      <c r="P145" s="27"/>
      <c r="Q145" s="27"/>
    </row>
    <row r="146" spans="1:17">
      <c r="A146" t="str">
        <f t="shared" si="2"/>
        <v>Single Family Weatherization - Insulate Floor - R0 to R30 - Heating Zone 1 (Heat Pump)FLOOR R0 - R30</v>
      </c>
      <c r="B146" s="305" t="s">
        <v>160</v>
      </c>
      <c r="C146" s="305" t="s">
        <v>91</v>
      </c>
      <c r="D146" s="306">
        <v>0.24981822792407882</v>
      </c>
      <c r="E146" s="302">
        <v>45</v>
      </c>
      <c r="F146" s="304">
        <v>1.3153468433463626</v>
      </c>
      <c r="G146" s="302"/>
      <c r="H146" s="301" t="s">
        <v>149</v>
      </c>
      <c r="I146" s="304">
        <v>4.8295169800857256E-4</v>
      </c>
      <c r="J146" s="27"/>
      <c r="K146" s="27"/>
      <c r="L146" s="27"/>
      <c r="M146" s="27"/>
      <c r="N146" s="27"/>
      <c r="O146" s="27"/>
      <c r="P146" s="27"/>
      <c r="Q146" s="27"/>
    </row>
    <row r="147" spans="1:17">
      <c r="A147" t="str">
        <f t="shared" si="2"/>
        <v>Single Family Weatherization - Insulate Floor - R19 to R30 - Heating Zone 1 (Heat Pump)FLOOR R19 - R30</v>
      </c>
      <c r="B147" s="305" t="s">
        <v>1320</v>
      </c>
      <c r="C147" s="305" t="s">
        <v>1188</v>
      </c>
      <c r="D147" s="306">
        <v>4.1864754015027206E-2</v>
      </c>
      <c r="E147" s="302">
        <v>45</v>
      </c>
      <c r="F147" s="304">
        <v>1.1663046417517582</v>
      </c>
      <c r="G147" s="302"/>
      <c r="H147" s="301" t="s">
        <v>149</v>
      </c>
      <c r="I147" s="304">
        <v>4.3249695610915142E-4</v>
      </c>
      <c r="J147" s="27"/>
      <c r="K147" s="27"/>
      <c r="L147" s="27"/>
      <c r="M147" s="27"/>
      <c r="N147" s="27"/>
      <c r="O147" s="27"/>
      <c r="P147" s="27"/>
      <c r="Q147" s="27"/>
    </row>
    <row r="148" spans="1:17">
      <c r="A148" t="str">
        <f t="shared" si="2"/>
        <v>Windows - Single Pane to Class 30 - Heating Zone 1 (Heat Pump)WINDOW CL30 Prime Window Replacement of Single Pane Base</v>
      </c>
      <c r="B148" s="305" t="s">
        <v>161</v>
      </c>
      <c r="C148" s="305" t="s">
        <v>93</v>
      </c>
      <c r="D148" s="306">
        <v>6.5784296745911552</v>
      </c>
      <c r="E148" s="302">
        <v>45</v>
      </c>
      <c r="F148" s="304">
        <v>18.513985646792214</v>
      </c>
      <c r="G148" s="302"/>
      <c r="H148" s="301" t="s">
        <v>149</v>
      </c>
      <c r="I148" s="304">
        <v>7.605849495906479E-2</v>
      </c>
      <c r="J148" s="27"/>
      <c r="K148" s="27"/>
      <c r="L148" s="27"/>
      <c r="M148" s="27"/>
      <c r="N148" s="27"/>
      <c r="O148" s="27"/>
      <c r="P148" s="27"/>
      <c r="Q148" s="27"/>
    </row>
    <row r="149" spans="1:17">
      <c r="A149" t="str">
        <f t="shared" si="2"/>
        <v>Windows - Double Pane to Class 30 - Heating Zone 1 (Heat Pump)WINDOW CL30 Prime Window Replacement of Double Pane Base</v>
      </c>
      <c r="B149" s="305" t="s">
        <v>162</v>
      </c>
      <c r="C149" s="305" t="s">
        <v>95</v>
      </c>
      <c r="D149" s="306">
        <v>2.8980026649275898</v>
      </c>
      <c r="E149" s="302">
        <v>45</v>
      </c>
      <c r="F149" s="304">
        <v>18.513985646792214</v>
      </c>
      <c r="G149" s="302"/>
      <c r="H149" s="301" t="s">
        <v>149</v>
      </c>
      <c r="I149" s="304">
        <v>3.2316032872136434E-2</v>
      </c>
      <c r="J149" s="27"/>
      <c r="K149" s="27"/>
      <c r="L149" s="27"/>
      <c r="M149" s="27"/>
      <c r="N149" s="27"/>
      <c r="O149" s="27"/>
      <c r="P149" s="27"/>
      <c r="Q149" s="27"/>
    </row>
    <row r="150" spans="1:17">
      <c r="A150" t="str">
        <f t="shared" si="2"/>
        <v>Windows - Class 35 to Class 30 - Heating Zone 1 (Heat Pump)WINDOW CL35 to CL30 Upgrade</v>
      </c>
      <c r="B150" s="305" t="s">
        <v>163</v>
      </c>
      <c r="C150" s="305" t="s">
        <v>97</v>
      </c>
      <c r="D150" s="306">
        <v>0.31519436407142665</v>
      </c>
      <c r="E150" s="302">
        <v>45</v>
      </c>
      <c r="F150" s="304">
        <v>1.1251515151515155</v>
      </c>
      <c r="G150" s="302"/>
      <c r="H150" s="301" t="s">
        <v>149</v>
      </c>
      <c r="I150" s="304">
        <v>4.2506892218206992E-3</v>
      </c>
      <c r="J150" s="27"/>
      <c r="K150" s="27"/>
      <c r="L150" s="27"/>
      <c r="M150" s="27"/>
      <c r="N150" s="27"/>
      <c r="O150" s="27"/>
      <c r="P150" s="27"/>
      <c r="Q150" s="27"/>
    </row>
    <row r="151" spans="1:17">
      <c r="A151" t="str">
        <f t="shared" si="2"/>
        <v>Windows - Single Pane to Class 22 - Heating Zone 1 (Heat Pump)WINDOW CL22 Prime Window Replacement of Single Pane Base</v>
      </c>
      <c r="B151" s="305" t="s">
        <v>164</v>
      </c>
      <c r="C151" s="305" t="s">
        <v>99</v>
      </c>
      <c r="D151" s="306">
        <v>7.2233616932821576</v>
      </c>
      <c r="E151" s="302">
        <v>45</v>
      </c>
      <c r="F151" s="304">
        <v>21.803985646792214</v>
      </c>
      <c r="G151" s="302"/>
      <c r="H151" s="301" t="s">
        <v>149</v>
      </c>
      <c r="I151" s="304">
        <v>8.5225161940984853E-2</v>
      </c>
      <c r="J151" s="27"/>
      <c r="K151" s="27"/>
      <c r="L151" s="27"/>
      <c r="M151" s="27"/>
      <c r="N151" s="27"/>
      <c r="O151" s="27"/>
      <c r="P151" s="27"/>
      <c r="Q151" s="27"/>
    </row>
    <row r="152" spans="1:17">
      <c r="A152" t="str">
        <f t="shared" si="2"/>
        <v>Windows - Double Pane to Class 22 - Heating Zone 1 (Heat Pump)WINDOW CL22 Prime Window Replacement of Double Pane Base</v>
      </c>
      <c r="B152" s="305" t="s">
        <v>165</v>
      </c>
      <c r="C152" s="305" t="s">
        <v>101</v>
      </c>
      <c r="D152" s="306">
        <v>3.4081433942219848</v>
      </c>
      <c r="E152" s="302">
        <v>45</v>
      </c>
      <c r="F152" s="304">
        <v>21.803985646792214</v>
      </c>
      <c r="G152" s="302"/>
      <c r="H152" s="301" t="s">
        <v>149</v>
      </c>
      <c r="I152" s="304">
        <v>3.9377146869136161E-2</v>
      </c>
      <c r="J152" s="27"/>
      <c r="K152" s="27"/>
      <c r="L152" s="27"/>
      <c r="M152" s="27"/>
      <c r="N152" s="27"/>
      <c r="O152" s="27"/>
      <c r="P152" s="27"/>
      <c r="Q152" s="27"/>
    </row>
    <row r="153" spans="1:17">
      <c r="A153" t="str">
        <f t="shared" si="2"/>
        <v>Windows - Class 35 to Class 22 - Heating Zone 1 (Heat Pump)WINDOW CL35 to CL22 Upgrade</v>
      </c>
      <c r="B153" s="305" t="s">
        <v>166</v>
      </c>
      <c r="C153" s="305" t="s">
        <v>103</v>
      </c>
      <c r="D153" s="306">
        <v>0.90253685588466415</v>
      </c>
      <c r="E153" s="302">
        <v>45</v>
      </c>
      <c r="F153" s="304">
        <v>4.415151515151515</v>
      </c>
      <c r="G153" s="302"/>
      <c r="H153" s="301" t="s">
        <v>149</v>
      </c>
      <c r="I153" s="304">
        <v>1.2906350583720083E-2</v>
      </c>
      <c r="J153" s="27"/>
      <c r="K153" s="27"/>
      <c r="L153" s="27"/>
      <c r="M153" s="27"/>
      <c r="N153" s="27"/>
      <c r="O153" s="27"/>
      <c r="P153" s="27"/>
      <c r="Q153" s="27"/>
    </row>
    <row r="154" spans="1:17">
      <c r="A154" t="str">
        <f t="shared" si="2"/>
        <v>Infiltration Reduction - CFM50 reduction - Heating Zone 1 (Heat Pump)CFM50 Infiltration Reduction</v>
      </c>
      <c r="B154" s="305" t="s">
        <v>167</v>
      </c>
      <c r="C154" s="305" t="s">
        <v>1362</v>
      </c>
      <c r="D154" s="306">
        <v>0.25087993664758929</v>
      </c>
      <c r="E154" s="302">
        <v>15</v>
      </c>
      <c r="F154" s="304">
        <v>0.6607178075171779</v>
      </c>
      <c r="G154" s="302"/>
      <c r="H154" s="301" t="s">
        <v>149</v>
      </c>
      <c r="I154" s="304">
        <v>3.0462485984745213E-3</v>
      </c>
      <c r="J154" s="27"/>
      <c r="K154" s="27"/>
      <c r="L154" s="27"/>
      <c r="M154" s="27"/>
      <c r="N154" s="27"/>
      <c r="O154" s="27"/>
      <c r="P154" s="27"/>
      <c r="Q154" s="27"/>
    </row>
    <row r="155" spans="1:17">
      <c r="A155" t="str">
        <f t="shared" si="2"/>
        <v>Single Family Weatherization - Insulate Attic - R0 to R38 - Heating Zone 2 (Heat Pump)ATTIC R0 - R38</v>
      </c>
      <c r="B155" s="305" t="s">
        <v>168</v>
      </c>
      <c r="C155" s="305" t="s">
        <v>68</v>
      </c>
      <c r="D155" s="306">
        <v>1.6613255084456764</v>
      </c>
      <c r="E155" s="302">
        <v>45</v>
      </c>
      <c r="F155" s="304">
        <v>0.98066043810604342</v>
      </c>
      <c r="G155" s="302"/>
      <c r="H155" s="301" t="s">
        <v>169</v>
      </c>
      <c r="I155" s="304">
        <v>7.7974302231037362E-3</v>
      </c>
      <c r="J155" s="27"/>
      <c r="K155" s="27"/>
      <c r="L155" s="27"/>
      <c r="M155" s="27"/>
      <c r="N155" s="27"/>
      <c r="O155" s="27"/>
      <c r="P155" s="27"/>
      <c r="Q155" s="27"/>
    </row>
    <row r="156" spans="1:17">
      <c r="A156" t="str">
        <f t="shared" si="2"/>
        <v>Single Family Weatherization - Insulate Attic - R0 to R49 - Heating Zone 2 (Heat Pump)ATTIC R0 - R49</v>
      </c>
      <c r="B156" s="305" t="s">
        <v>170</v>
      </c>
      <c r="C156" s="305" t="s">
        <v>71</v>
      </c>
      <c r="D156" s="306">
        <v>1.6831716645815709</v>
      </c>
      <c r="E156" s="302">
        <v>45</v>
      </c>
      <c r="F156" s="304">
        <v>1.1198946019755947</v>
      </c>
      <c r="G156" s="302"/>
      <c r="H156" s="301" t="s">
        <v>169</v>
      </c>
      <c r="I156" s="304">
        <v>7.9608993193243625E-3</v>
      </c>
      <c r="J156" s="27"/>
      <c r="K156" s="27"/>
      <c r="L156" s="27"/>
      <c r="M156" s="27"/>
      <c r="N156" s="27"/>
      <c r="O156" s="27"/>
      <c r="P156" s="27"/>
      <c r="Q156" s="27"/>
    </row>
    <row r="157" spans="1:17">
      <c r="A157" t="str">
        <f t="shared" si="2"/>
        <v>Single Family Weatherization - Insulate Attic - R11 to R38 - Heating Zone 2 (Heat Pump)ATTIC R11 - R38</v>
      </c>
      <c r="B157" s="305" t="s">
        <v>171</v>
      </c>
      <c r="C157" s="305" t="s">
        <v>73</v>
      </c>
      <c r="D157" s="306">
        <v>0.26416951237707259</v>
      </c>
      <c r="E157" s="302">
        <v>45</v>
      </c>
      <c r="F157" s="304">
        <v>0.84142627423649186</v>
      </c>
      <c r="G157" s="302"/>
      <c r="H157" s="301" t="s">
        <v>169</v>
      </c>
      <c r="I157" s="304">
        <v>1.6042748423969969E-3</v>
      </c>
      <c r="J157" s="27"/>
      <c r="K157" s="27"/>
      <c r="L157" s="27"/>
      <c r="M157" s="27"/>
      <c r="N157" s="27"/>
      <c r="O157" s="27"/>
      <c r="P157" s="27"/>
      <c r="Q157" s="27"/>
    </row>
    <row r="158" spans="1:17">
      <c r="A158" t="str">
        <f t="shared" si="2"/>
        <v>Single Family Weatherization - Insulate Attic - R11 to R49 - Heating Zone 2 (Heat Pump)ATTIC R11 - R49</v>
      </c>
      <c r="B158" s="305" t="s">
        <v>172</v>
      </c>
      <c r="C158" s="305" t="s">
        <v>75</v>
      </c>
      <c r="D158" s="306">
        <v>0.28631880148634919</v>
      </c>
      <c r="E158" s="302">
        <v>45</v>
      </c>
      <c r="F158" s="304">
        <v>0.98066043810604342</v>
      </c>
      <c r="G158" s="302"/>
      <c r="H158" s="301" t="s">
        <v>169</v>
      </c>
      <c r="I158" s="304">
        <v>1.7606633154828339E-3</v>
      </c>
      <c r="J158" s="27"/>
      <c r="K158" s="27"/>
      <c r="L158" s="27"/>
      <c r="M158" s="27"/>
      <c r="N158" s="27"/>
      <c r="O158" s="27"/>
      <c r="P158" s="27"/>
      <c r="Q158" s="27"/>
    </row>
    <row r="159" spans="1:17">
      <c r="A159" t="str">
        <f t="shared" si="2"/>
        <v>Single Family Weatherization - Insulate Attic - R19 to R38 - Heating Zone 2 (Heat Pump)ATTIC R19 - R38</v>
      </c>
      <c r="B159" s="305" t="s">
        <v>173</v>
      </c>
      <c r="C159" s="305" t="s">
        <v>77</v>
      </c>
      <c r="D159" s="306">
        <v>0.13066438233106567</v>
      </c>
      <c r="E159" s="302">
        <v>45</v>
      </c>
      <c r="F159" s="304">
        <v>0.7401650641495453</v>
      </c>
      <c r="G159" s="302"/>
      <c r="H159" s="301" t="s">
        <v>169</v>
      </c>
      <c r="I159" s="304">
        <v>8.2530249220378932E-4</v>
      </c>
      <c r="J159" s="27"/>
      <c r="K159" s="27"/>
      <c r="L159" s="27"/>
      <c r="M159" s="27"/>
      <c r="N159" s="27"/>
      <c r="O159" s="27"/>
      <c r="P159" s="27"/>
      <c r="Q159" s="27"/>
    </row>
    <row r="160" spans="1:17">
      <c r="A160" t="str">
        <f t="shared" si="2"/>
        <v>Single Family Weatherization - Insulate Attic - R19 to R49 - Heating Zone 2 (Heat Pump)ATTIC R19 - R49</v>
      </c>
      <c r="B160" s="305" t="s">
        <v>174</v>
      </c>
      <c r="C160" s="305" t="s">
        <v>79</v>
      </c>
      <c r="D160" s="306">
        <v>0.15728980315347826</v>
      </c>
      <c r="E160" s="302">
        <v>45</v>
      </c>
      <c r="F160" s="304">
        <v>0.87939922801909687</v>
      </c>
      <c r="G160" s="302"/>
      <c r="H160" s="301" t="s">
        <v>169</v>
      </c>
      <c r="I160" s="304">
        <v>1.0037341584987554E-3</v>
      </c>
      <c r="J160" s="27"/>
      <c r="K160" s="27"/>
      <c r="L160" s="27"/>
      <c r="M160" s="27"/>
      <c r="N160" s="27"/>
      <c r="O160" s="27"/>
      <c r="P160" s="27"/>
      <c r="Q160" s="27"/>
    </row>
    <row r="161" spans="1:17">
      <c r="A161" t="str">
        <f t="shared" si="2"/>
        <v>Single Family Weatherization - Insulate Attic - R30 to R38 - Heating Zone 2 (Heat Pump)ATTIC R30 - R38</v>
      </c>
      <c r="B161" s="305" t="s">
        <v>1321</v>
      </c>
      <c r="C161" s="305" t="s">
        <v>1186</v>
      </c>
      <c r="D161" s="306">
        <v>6.3047769213460683E-2</v>
      </c>
      <c r="E161" s="302">
        <v>45</v>
      </c>
      <c r="F161" s="304">
        <v>0.60093090027999396</v>
      </c>
      <c r="G161" s="302"/>
      <c r="H161" s="301" t="s">
        <v>169</v>
      </c>
      <c r="I161" s="304">
        <v>4.7157027803516904E-4</v>
      </c>
      <c r="J161" s="27"/>
      <c r="K161" s="27"/>
      <c r="L161" s="27"/>
      <c r="M161" s="27"/>
      <c r="N161" s="27"/>
      <c r="O161" s="27"/>
      <c r="P161" s="27"/>
      <c r="Q161" s="27"/>
    </row>
    <row r="162" spans="1:17">
      <c r="A162" t="str">
        <f t="shared" si="2"/>
        <v>Single Family Weatherization - Insulate Attic - R30 to R49 - Heating Zone 2 (Heat Pump)ATTIC R30 - R49</v>
      </c>
      <c r="B162" s="305" t="s">
        <v>175</v>
      </c>
      <c r="C162" s="305" t="s">
        <v>81</v>
      </c>
      <c r="D162" s="306">
        <v>6.1180978422905236E-2</v>
      </c>
      <c r="E162" s="302">
        <v>45</v>
      </c>
      <c r="F162" s="304">
        <v>0.7401650641495453</v>
      </c>
      <c r="G162" s="302"/>
      <c r="H162" s="301" t="s">
        <v>169</v>
      </c>
      <c r="I162" s="304">
        <v>4.0820649256479883E-4</v>
      </c>
      <c r="J162" s="27"/>
      <c r="K162" s="27"/>
      <c r="L162" s="27"/>
      <c r="M162" s="27"/>
      <c r="N162" s="27"/>
      <c r="O162" s="27"/>
      <c r="P162" s="27"/>
      <c r="Q162" s="27"/>
    </row>
    <row r="163" spans="1:17">
      <c r="A163" t="str">
        <f t="shared" si="2"/>
        <v>Single Family Weatherization - Insulate Attic - R38 to R49 - Heating Zone 2 (Heat Pump)ATTIC R38 - R49</v>
      </c>
      <c r="B163" s="305" t="s">
        <v>176</v>
      </c>
      <c r="C163" s="305" t="s">
        <v>83</v>
      </c>
      <c r="D163" s="306">
        <v>2.8262877103080005E-2</v>
      </c>
      <c r="E163" s="302">
        <v>45</v>
      </c>
      <c r="F163" s="304">
        <v>0.63890385406259886</v>
      </c>
      <c r="G163" s="302"/>
      <c r="H163" s="301" t="s">
        <v>169</v>
      </c>
      <c r="I163" s="304">
        <v>1.9079985500981451E-4</v>
      </c>
      <c r="J163" s="27"/>
      <c r="K163" s="27"/>
      <c r="L163" s="27"/>
      <c r="M163" s="27"/>
      <c r="N163" s="27"/>
      <c r="O163" s="27"/>
      <c r="P163" s="27"/>
      <c r="Q163" s="27"/>
    </row>
    <row r="164" spans="1:17">
      <c r="A164" t="str">
        <f t="shared" si="2"/>
        <v>Single Family Weatherization - Insulate Wall - R0 to R11 - Heating Zone 2 (Heat Pump)WALL R0 - R11</v>
      </c>
      <c r="B164" s="305" t="s">
        <v>177</v>
      </c>
      <c r="C164" s="305" t="s">
        <v>85</v>
      </c>
      <c r="D164" s="306">
        <v>1.3569446612182892</v>
      </c>
      <c r="E164" s="302">
        <v>45</v>
      </c>
      <c r="F164" s="304">
        <v>1.3863525086966677</v>
      </c>
      <c r="G164" s="302"/>
      <c r="H164" s="301" t="s">
        <v>169</v>
      </c>
      <c r="I164" s="304">
        <v>6.0183435613447682E-3</v>
      </c>
      <c r="J164" s="27"/>
      <c r="K164" s="27"/>
      <c r="L164" s="27"/>
      <c r="M164" s="27"/>
      <c r="N164" s="27"/>
      <c r="O164" s="27"/>
      <c r="P164" s="27"/>
      <c r="Q164" s="27"/>
    </row>
    <row r="165" spans="1:17">
      <c r="A165" t="str">
        <f t="shared" si="2"/>
        <v>Single Family Weatherization - Insulate Floor - R0 to R19 - Heating Zone 2 (Heat Pump)FLOOR R0 - R19</v>
      </c>
      <c r="B165" s="305" t="s">
        <v>178</v>
      </c>
      <c r="C165" s="305" t="s">
        <v>87</v>
      </c>
      <c r="D165" s="306">
        <v>0.26266939383487053</v>
      </c>
      <c r="E165" s="302">
        <v>45</v>
      </c>
      <c r="F165" s="304">
        <v>1.2290592529494864</v>
      </c>
      <c r="G165" s="302"/>
      <c r="H165" s="301" t="s">
        <v>169</v>
      </c>
      <c r="I165" s="304">
        <v>-6.622417261784192E-4</v>
      </c>
      <c r="J165" s="27"/>
      <c r="K165" s="27"/>
      <c r="L165" s="27"/>
      <c r="M165" s="27"/>
      <c r="N165" s="27"/>
      <c r="O165" s="27"/>
      <c r="P165" s="27"/>
      <c r="Q165" s="27"/>
    </row>
    <row r="166" spans="1:17">
      <c r="A166" t="str">
        <f t="shared" si="2"/>
        <v>Single Family Weatherization - Insulate Floor - R0 to R25 - Heating Zone 2 (Heat Pump)FLOOR R0 - R25</v>
      </c>
      <c r="B166" s="305" t="s">
        <v>179</v>
      </c>
      <c r="C166" s="305" t="s">
        <v>89</v>
      </c>
      <c r="D166" s="306">
        <v>0.28243905747720216</v>
      </c>
      <c r="E166" s="302">
        <v>45</v>
      </c>
      <c r="F166" s="304">
        <v>1.2761252113477823</v>
      </c>
      <c r="G166" s="302"/>
      <c r="H166" s="301" t="s">
        <v>169</v>
      </c>
      <c r="I166" s="304">
        <v>-5.4234802297553771E-4</v>
      </c>
      <c r="J166" s="27"/>
      <c r="K166" s="27"/>
      <c r="L166" s="27"/>
      <c r="M166" s="27"/>
      <c r="N166" s="27"/>
      <c r="O166" s="27"/>
      <c r="P166" s="27"/>
      <c r="Q166" s="27"/>
    </row>
    <row r="167" spans="1:17">
      <c r="A167" t="str">
        <f t="shared" si="2"/>
        <v>Single Family Weatherization - Insulate Floor - R0 to R30 - Heating Zone 2 (Heat Pump)FLOOR R0 - R30</v>
      </c>
      <c r="B167" s="305" t="s">
        <v>180</v>
      </c>
      <c r="C167" s="305" t="s">
        <v>91</v>
      </c>
      <c r="D167" s="306">
        <v>0.29485273171495308</v>
      </c>
      <c r="E167" s="302">
        <v>45</v>
      </c>
      <c r="F167" s="304">
        <v>1.3153468433463626</v>
      </c>
      <c r="G167" s="302"/>
      <c r="H167" s="301" t="s">
        <v>169</v>
      </c>
      <c r="I167" s="304">
        <v>-4.6083773378172117E-4</v>
      </c>
      <c r="J167" s="27"/>
      <c r="K167" s="27"/>
      <c r="L167" s="27"/>
      <c r="M167" s="27"/>
      <c r="N167" s="27"/>
      <c r="O167" s="27"/>
      <c r="P167" s="27"/>
      <c r="Q167" s="27"/>
    </row>
    <row r="168" spans="1:17">
      <c r="A168" t="str">
        <f t="shared" si="2"/>
        <v>Single Family Weatherization - Insulate Floor - R19 to R30 - Heating Zone 2 (Heat Pump)FLOOR R19 - R30</v>
      </c>
      <c r="B168" s="305" t="s">
        <v>1322</v>
      </c>
      <c r="C168" s="305" t="s">
        <v>1188</v>
      </c>
      <c r="D168" s="306">
        <v>4.3874975763176102E-2</v>
      </c>
      <c r="E168" s="302">
        <v>45</v>
      </c>
      <c r="F168" s="304">
        <v>1.1663046417517582</v>
      </c>
      <c r="G168" s="302"/>
      <c r="H168" s="301" t="s">
        <v>169</v>
      </c>
      <c r="I168" s="304">
        <v>2.6895117022065411E-4</v>
      </c>
      <c r="J168" s="27"/>
      <c r="K168" s="27"/>
      <c r="L168" s="27"/>
      <c r="M168" s="27"/>
      <c r="N168" s="27"/>
      <c r="O168" s="27"/>
      <c r="P168" s="27"/>
      <c r="Q168" s="27"/>
    </row>
    <row r="169" spans="1:17">
      <c r="A169" t="str">
        <f t="shared" si="2"/>
        <v>Windows - Single Pane to Class 30 - Heating Zone 2 (Heat Pump)WINDOW CL30 Prime Window Replacement of Single Pane Base</v>
      </c>
      <c r="B169" s="305" t="s">
        <v>181</v>
      </c>
      <c r="C169" s="305" t="s">
        <v>93</v>
      </c>
      <c r="D169" s="306">
        <v>8.147717168062977</v>
      </c>
      <c r="E169" s="302">
        <v>45</v>
      </c>
      <c r="F169" s="304">
        <v>18.513985646792214</v>
      </c>
      <c r="G169" s="302"/>
      <c r="H169" s="301" t="s">
        <v>169</v>
      </c>
      <c r="I169" s="304">
        <v>6.3519264770743558E-2</v>
      </c>
      <c r="J169" s="27"/>
      <c r="K169" s="27"/>
      <c r="L169" s="27"/>
      <c r="M169" s="27"/>
      <c r="N169" s="27"/>
      <c r="O169" s="27"/>
      <c r="P169" s="27"/>
      <c r="Q169" s="27"/>
    </row>
    <row r="170" spans="1:17">
      <c r="A170" t="str">
        <f t="shared" si="2"/>
        <v>Windows - Double Pane to Class 30 - Heating Zone 2 (Heat Pump)WINDOW CL30 Prime Window Replacement of Double Pane Base</v>
      </c>
      <c r="B170" s="305" t="s">
        <v>182</v>
      </c>
      <c r="C170" s="305" t="s">
        <v>95</v>
      </c>
      <c r="D170" s="306">
        <v>4.0691172819627237</v>
      </c>
      <c r="E170" s="302">
        <v>45</v>
      </c>
      <c r="F170" s="304">
        <v>18.513985646792214</v>
      </c>
      <c r="G170" s="302"/>
      <c r="H170" s="301" t="s">
        <v>169</v>
      </c>
      <c r="I170" s="304">
        <v>3.2195484916686792E-2</v>
      </c>
      <c r="J170" s="27"/>
      <c r="K170" s="27"/>
      <c r="L170" s="27"/>
      <c r="M170" s="27"/>
      <c r="N170" s="27"/>
      <c r="O170" s="27"/>
      <c r="P170" s="27"/>
      <c r="Q170" s="27"/>
    </row>
    <row r="171" spans="1:17">
      <c r="A171" t="str">
        <f t="shared" si="2"/>
        <v>Windows - Class 35 to Class 30 - Heating Zone 2 (Heat Pump)WINDOW CL35 to CL30 Upgrade</v>
      </c>
      <c r="B171" s="305" t="s">
        <v>183</v>
      </c>
      <c r="C171" s="305" t="s">
        <v>97</v>
      </c>
      <c r="D171" s="306">
        <v>0.40927680785043519</v>
      </c>
      <c r="E171" s="302">
        <v>45</v>
      </c>
      <c r="F171" s="304">
        <v>1.1251515151515155</v>
      </c>
      <c r="G171" s="302"/>
      <c r="H171" s="301" t="s">
        <v>169</v>
      </c>
      <c r="I171" s="304">
        <v>3.8609394783508193E-3</v>
      </c>
      <c r="J171" s="27"/>
      <c r="K171" s="27"/>
      <c r="L171" s="27"/>
      <c r="M171" s="27"/>
      <c r="N171" s="27"/>
      <c r="O171" s="27"/>
      <c r="P171" s="27"/>
      <c r="Q171" s="27"/>
    </row>
    <row r="172" spans="1:17">
      <c r="A172" t="str">
        <f t="shared" si="2"/>
        <v>Windows - Single Pane to Class 22 - Heating Zone 2 (Heat Pump)WINDOW CL22 Prime Window Replacement of Single Pane Base</v>
      </c>
      <c r="B172" s="305" t="s">
        <v>184</v>
      </c>
      <c r="C172" s="305" t="s">
        <v>99</v>
      </c>
      <c r="D172" s="306">
        <v>8.9069796981229494</v>
      </c>
      <c r="E172" s="302">
        <v>45</v>
      </c>
      <c r="F172" s="304">
        <v>21.803985646792214</v>
      </c>
      <c r="G172" s="302"/>
      <c r="H172" s="301" t="s">
        <v>169</v>
      </c>
      <c r="I172" s="304">
        <v>7.0876318437722727E-2</v>
      </c>
      <c r="J172" s="27"/>
      <c r="K172" s="27"/>
      <c r="L172" s="27"/>
      <c r="M172" s="27"/>
      <c r="N172" s="27"/>
      <c r="O172" s="27"/>
      <c r="P172" s="27"/>
      <c r="Q172" s="27"/>
    </row>
    <row r="173" spans="1:17">
      <c r="A173" t="str">
        <f t="shared" si="2"/>
        <v>Windows - Double Pane to Class 22 - Heating Zone 2 (Heat Pump)WINDOW CL22 Prime Window Replacement of Double Pane Base</v>
      </c>
      <c r="B173" s="305" t="s">
        <v>185</v>
      </c>
      <c r="C173" s="305" t="s">
        <v>101</v>
      </c>
      <c r="D173" s="306">
        <v>4.7356189091152077</v>
      </c>
      <c r="E173" s="302">
        <v>45</v>
      </c>
      <c r="F173" s="304">
        <v>21.803985646792214</v>
      </c>
      <c r="G173" s="302"/>
      <c r="H173" s="301" t="s">
        <v>169</v>
      </c>
      <c r="I173" s="304">
        <v>3.8646726486070843E-2</v>
      </c>
      <c r="J173" s="27"/>
      <c r="K173" s="27"/>
      <c r="L173" s="27"/>
      <c r="M173" s="27"/>
      <c r="N173" s="27"/>
      <c r="O173" s="27"/>
      <c r="P173" s="27"/>
      <c r="Q173" s="27"/>
    </row>
    <row r="174" spans="1:17">
      <c r="A174" t="str">
        <f t="shared" si="2"/>
        <v>Windows - Class 35 to Class 22 - Heating Zone 2 (Heat Pump)WINDOW CL35 to CL22 Upgrade</v>
      </c>
      <c r="B174" s="305" t="s">
        <v>186</v>
      </c>
      <c r="C174" s="305" t="s">
        <v>103</v>
      </c>
      <c r="D174" s="306">
        <v>1.164471326745232</v>
      </c>
      <c r="E174" s="302">
        <v>45</v>
      </c>
      <c r="F174" s="304">
        <v>4.415151515151515</v>
      </c>
      <c r="G174" s="302"/>
      <c r="H174" s="301" t="s">
        <v>169</v>
      </c>
      <c r="I174" s="304">
        <v>1.0962954048695114E-2</v>
      </c>
      <c r="J174" s="27"/>
      <c r="K174" s="27"/>
      <c r="L174" s="27"/>
      <c r="M174" s="27"/>
      <c r="N174" s="27"/>
      <c r="O174" s="27"/>
      <c r="P174" s="27"/>
      <c r="Q174" s="27"/>
    </row>
    <row r="175" spans="1:17">
      <c r="A175" t="str">
        <f t="shared" si="2"/>
        <v>Infiltration Reduction - CFM50 reduction - Heating Zone 2 (Heat Pump)CFM50 Infiltration Reduction</v>
      </c>
      <c r="B175" s="305" t="s">
        <v>187</v>
      </c>
      <c r="C175" s="305" t="s">
        <v>1362</v>
      </c>
      <c r="D175" s="306">
        <v>0.33008759304911889</v>
      </c>
      <c r="E175" s="302">
        <v>15</v>
      </c>
      <c r="F175" s="304">
        <v>0.6607178075171779</v>
      </c>
      <c r="G175" s="302"/>
      <c r="H175" s="301" t="s">
        <v>169</v>
      </c>
      <c r="I175" s="304">
        <v>2.4601211555918935E-3</v>
      </c>
      <c r="J175" s="27"/>
      <c r="K175" s="27"/>
      <c r="L175" s="27"/>
      <c r="M175" s="27"/>
      <c r="N175" s="27"/>
      <c r="O175" s="27"/>
      <c r="P175" s="27"/>
      <c r="Q175" s="27"/>
    </row>
    <row r="176" spans="1:17">
      <c r="A176" t="str">
        <f t="shared" si="2"/>
        <v>Single Family Weatherization - Insulate Attic - R0 to R38 - Heating Zone 3 (Heat Pump)ATTIC R0 - R38</v>
      </c>
      <c r="B176" s="305" t="s">
        <v>188</v>
      </c>
      <c r="C176" s="305" t="s">
        <v>68</v>
      </c>
      <c r="D176" s="306">
        <v>2.2329668139021712</v>
      </c>
      <c r="E176" s="302">
        <v>45</v>
      </c>
      <c r="F176" s="304">
        <v>0.98066043810604342</v>
      </c>
      <c r="G176" s="302"/>
      <c r="H176" s="301" t="s">
        <v>189</v>
      </c>
      <c r="I176" s="304">
        <v>1.2894637525430573E-2</v>
      </c>
      <c r="J176" s="27"/>
      <c r="K176" s="27"/>
      <c r="L176" s="27"/>
      <c r="M176" s="27"/>
      <c r="N176" s="27"/>
      <c r="O176" s="27"/>
      <c r="P176" s="27"/>
      <c r="Q176" s="27"/>
    </row>
    <row r="177" spans="1:17">
      <c r="A177" t="str">
        <f t="shared" si="2"/>
        <v>Single Family Weatherization - Insulate Attic - R0 to R49 - Heating Zone 3 (Heat Pump)ATTIC R0 - R49</v>
      </c>
      <c r="B177" s="305" t="s">
        <v>190</v>
      </c>
      <c r="C177" s="305" t="s">
        <v>71</v>
      </c>
      <c r="D177" s="306">
        <v>2.2629031868011782</v>
      </c>
      <c r="E177" s="302">
        <v>45</v>
      </c>
      <c r="F177" s="304">
        <v>1.1198946019755947</v>
      </c>
      <c r="G177" s="302"/>
      <c r="H177" s="301" t="s">
        <v>189</v>
      </c>
      <c r="I177" s="304">
        <v>1.3076435082650512E-2</v>
      </c>
      <c r="J177" s="27"/>
      <c r="K177" s="27"/>
      <c r="L177" s="27"/>
      <c r="M177" s="27"/>
      <c r="N177" s="27"/>
      <c r="O177" s="27"/>
      <c r="P177" s="27"/>
      <c r="Q177" s="27"/>
    </row>
    <row r="178" spans="1:17">
      <c r="A178" t="str">
        <f t="shared" si="2"/>
        <v>Single Family Weatherization - Insulate Attic - R11 to R38 - Heating Zone 3 (Heat Pump)ATTIC R11 - R38</v>
      </c>
      <c r="B178" s="305" t="s">
        <v>191</v>
      </c>
      <c r="C178" s="305" t="s">
        <v>73</v>
      </c>
      <c r="D178" s="306">
        <v>0.31530304217526284</v>
      </c>
      <c r="E178" s="302">
        <v>45</v>
      </c>
      <c r="F178" s="304">
        <v>0.84142627423649186</v>
      </c>
      <c r="G178" s="302"/>
      <c r="H178" s="301" t="s">
        <v>189</v>
      </c>
      <c r="I178" s="304">
        <v>1.498199173634281E-3</v>
      </c>
      <c r="J178" s="27"/>
      <c r="K178" s="27"/>
      <c r="L178" s="27"/>
      <c r="M178" s="27"/>
      <c r="N178" s="27"/>
      <c r="O178" s="27"/>
      <c r="P178" s="27"/>
      <c r="Q178" s="27"/>
    </row>
    <row r="179" spans="1:17">
      <c r="A179" t="str">
        <f t="shared" si="2"/>
        <v>Single Family Weatherization - Insulate Attic - R11 to R49 - Heating Zone 3 (Heat Pump)ATTIC R11 - R49</v>
      </c>
      <c r="B179" s="305" t="s">
        <v>192</v>
      </c>
      <c r="C179" s="305" t="s">
        <v>75</v>
      </c>
      <c r="D179" s="306">
        <v>0.34172911556623475</v>
      </c>
      <c r="E179" s="302">
        <v>45</v>
      </c>
      <c r="F179" s="304">
        <v>0.98066043810604342</v>
      </c>
      <c r="G179" s="302"/>
      <c r="H179" s="301" t="s">
        <v>189</v>
      </c>
      <c r="I179" s="304">
        <v>1.6472808464744468E-3</v>
      </c>
      <c r="J179" s="27"/>
      <c r="K179" s="27"/>
      <c r="L179" s="27"/>
      <c r="M179" s="27"/>
      <c r="N179" s="27"/>
      <c r="O179" s="27"/>
      <c r="P179" s="27"/>
      <c r="Q179" s="27"/>
    </row>
    <row r="180" spans="1:17">
      <c r="A180" t="str">
        <f t="shared" si="2"/>
        <v>Single Family Weatherization - Insulate Attic - R19 to R38 - Heating Zone 3 (Heat Pump)ATTIC R19 - R38</v>
      </c>
      <c r="B180" s="305" t="s">
        <v>193</v>
      </c>
      <c r="C180" s="305" t="s">
        <v>77</v>
      </c>
      <c r="D180" s="306">
        <v>0.14531972072607627</v>
      </c>
      <c r="E180" s="302">
        <v>45</v>
      </c>
      <c r="F180" s="304">
        <v>0.7401650641495453</v>
      </c>
      <c r="G180" s="302"/>
      <c r="H180" s="301" t="s">
        <v>189</v>
      </c>
      <c r="I180" s="304">
        <v>7.249074035082302E-4</v>
      </c>
      <c r="J180" s="27"/>
      <c r="K180" s="27"/>
      <c r="L180" s="27"/>
      <c r="M180" s="27"/>
      <c r="N180" s="27"/>
      <c r="O180" s="27"/>
      <c r="P180" s="27"/>
      <c r="Q180" s="27"/>
    </row>
    <row r="181" spans="1:17">
      <c r="A181" t="str">
        <f t="shared" si="2"/>
        <v>Single Family Weatherization - Insulate Attic - R19 to R49 - Heating Zone 3 (Heat Pump)ATTIC R19 - R49</v>
      </c>
      <c r="B181" s="305" t="s">
        <v>194</v>
      </c>
      <c r="C181" s="305" t="s">
        <v>79</v>
      </c>
      <c r="D181" s="306">
        <v>0.17494936644952264</v>
      </c>
      <c r="E181" s="302">
        <v>45</v>
      </c>
      <c r="F181" s="304">
        <v>0.87939922801909687</v>
      </c>
      <c r="G181" s="302"/>
      <c r="H181" s="301" t="s">
        <v>189</v>
      </c>
      <c r="I181" s="304">
        <v>8.8224133549560122E-4</v>
      </c>
      <c r="J181" s="27"/>
      <c r="K181" s="27"/>
      <c r="L181" s="27"/>
      <c r="M181" s="27"/>
      <c r="N181" s="27"/>
      <c r="O181" s="27"/>
      <c r="P181" s="27"/>
      <c r="Q181" s="27"/>
    </row>
    <row r="182" spans="1:17">
      <c r="A182" t="str">
        <f t="shared" si="2"/>
        <v>Single Family Weatherization - Insulate Attic - R30 to R38 - Heating Zone 3 (Heat Pump)ATTIC R30 - R38</v>
      </c>
      <c r="B182" s="305" t="s">
        <v>1323</v>
      </c>
      <c r="C182" s="305" t="s">
        <v>1186</v>
      </c>
      <c r="D182" s="306">
        <v>6.771585792111727E-2</v>
      </c>
      <c r="E182" s="302">
        <v>45</v>
      </c>
      <c r="F182" s="304">
        <v>0.60093090027999396</v>
      </c>
      <c r="G182" s="302"/>
      <c r="H182" s="301" t="s">
        <v>189</v>
      </c>
      <c r="I182" s="304">
        <v>4.1410927908212082E-4</v>
      </c>
      <c r="J182" s="27"/>
      <c r="K182" s="27"/>
      <c r="L182" s="27"/>
      <c r="M182" s="27"/>
      <c r="N182" s="27"/>
      <c r="O182" s="27"/>
      <c r="P182" s="27"/>
      <c r="Q182" s="27"/>
    </row>
    <row r="183" spans="1:17">
      <c r="A183" t="str">
        <f t="shared" si="2"/>
        <v>Single Family Weatherization - Insulate Attic - R30 to R49 - Heating Zone 3 (Heat Pump)ATTIC R30 - R49</v>
      </c>
      <c r="B183" s="305" t="s">
        <v>195</v>
      </c>
      <c r="C183" s="305" t="s">
        <v>81</v>
      </c>
      <c r="D183" s="306">
        <v>6.9662808444751437E-2</v>
      </c>
      <c r="E183" s="302">
        <v>45</v>
      </c>
      <c r="F183" s="304">
        <v>0.7401650641495453</v>
      </c>
      <c r="G183" s="302"/>
      <c r="H183" s="301" t="s">
        <v>189</v>
      </c>
      <c r="I183" s="304">
        <v>3.6872521172391502E-4</v>
      </c>
      <c r="J183" s="27"/>
      <c r="K183" s="27"/>
      <c r="L183" s="27"/>
      <c r="M183" s="27"/>
      <c r="N183" s="27"/>
      <c r="O183" s="27"/>
      <c r="P183" s="27"/>
      <c r="Q183" s="27"/>
    </row>
    <row r="184" spans="1:17">
      <c r="A184" t="str">
        <f t="shared" si="2"/>
        <v>Single Family Weatherization - Insulate Attic - R38 to R49 - Heating Zone 3 (Heat Pump)ATTIC R38 - R49</v>
      </c>
      <c r="B184" s="305" t="s">
        <v>196</v>
      </c>
      <c r="C184" s="305" t="s">
        <v>83</v>
      </c>
      <c r="D184" s="306">
        <v>3.1478622866631854E-2</v>
      </c>
      <c r="E184" s="302">
        <v>45</v>
      </c>
      <c r="F184" s="304">
        <v>0.63890385406259886</v>
      </c>
      <c r="G184" s="302"/>
      <c r="H184" s="301" t="s">
        <v>189</v>
      </c>
      <c r="I184" s="304">
        <v>1.6685080465058668E-4</v>
      </c>
      <c r="J184" s="27"/>
      <c r="K184" s="27"/>
      <c r="L184" s="27"/>
      <c r="M184" s="27"/>
      <c r="N184" s="27"/>
      <c r="O184" s="27"/>
      <c r="P184" s="27"/>
      <c r="Q184" s="27"/>
    </row>
    <row r="185" spans="1:17">
      <c r="A185" t="str">
        <f t="shared" si="2"/>
        <v>Single Family Weatherization - Insulate Wall - R0 to R11 - Heating Zone 3 (Heat Pump)WALL R0 - R11</v>
      </c>
      <c r="B185" s="305" t="s">
        <v>197</v>
      </c>
      <c r="C185" s="305" t="s">
        <v>85</v>
      </c>
      <c r="D185" s="306">
        <v>1.8791448680996186</v>
      </c>
      <c r="E185" s="302">
        <v>45</v>
      </c>
      <c r="F185" s="304">
        <v>1.3863525086966677</v>
      </c>
      <c r="G185" s="302"/>
      <c r="H185" s="301" t="s">
        <v>189</v>
      </c>
      <c r="I185" s="304">
        <v>8.232841098739405E-3</v>
      </c>
      <c r="J185" s="27"/>
      <c r="K185" s="27"/>
      <c r="L185" s="27"/>
      <c r="M185" s="27"/>
      <c r="N185" s="27"/>
      <c r="O185" s="27"/>
      <c r="P185" s="27"/>
      <c r="Q185" s="27"/>
    </row>
    <row r="186" spans="1:17">
      <c r="A186" t="str">
        <f t="shared" si="2"/>
        <v>Single Family Weatherization - Insulate Floor - R0 to R19 - Heating Zone 3 (Heat Pump)FLOOR R0 - R19</v>
      </c>
      <c r="B186" s="305" t="s">
        <v>198</v>
      </c>
      <c r="C186" s="305" t="s">
        <v>87</v>
      </c>
      <c r="D186" s="306">
        <v>0.41368755436508603</v>
      </c>
      <c r="E186" s="302">
        <v>45</v>
      </c>
      <c r="F186" s="304">
        <v>1.2290592529494864</v>
      </c>
      <c r="G186" s="302"/>
      <c r="H186" s="301" t="s">
        <v>189</v>
      </c>
      <c r="I186" s="304">
        <v>6.307897137064994E-5</v>
      </c>
      <c r="J186" s="27"/>
      <c r="K186" s="27"/>
      <c r="L186" s="27"/>
      <c r="M186" s="27"/>
      <c r="N186" s="27"/>
      <c r="O186" s="27"/>
      <c r="P186" s="27"/>
      <c r="Q186" s="27"/>
    </row>
    <row r="187" spans="1:17">
      <c r="A187" t="str">
        <f t="shared" si="2"/>
        <v>Single Family Weatherization - Insulate Floor - R0 to R25 - Heating Zone 3 (Heat Pump)FLOOR R0 - R25</v>
      </c>
      <c r="B187" s="305" t="s">
        <v>199</v>
      </c>
      <c r="C187" s="305" t="s">
        <v>89</v>
      </c>
      <c r="D187" s="306">
        <v>0.44432822821852075</v>
      </c>
      <c r="E187" s="302">
        <v>45</v>
      </c>
      <c r="F187" s="304">
        <v>1.2761252113477823</v>
      </c>
      <c r="G187" s="302"/>
      <c r="H187" s="301" t="s">
        <v>189</v>
      </c>
      <c r="I187" s="304">
        <v>1.8942571440930687E-4</v>
      </c>
      <c r="J187" s="27"/>
      <c r="K187" s="27"/>
      <c r="L187" s="27"/>
      <c r="M187" s="27"/>
      <c r="N187" s="27"/>
      <c r="O187" s="27"/>
      <c r="P187" s="27"/>
      <c r="Q187" s="27"/>
    </row>
    <row r="188" spans="1:17">
      <c r="A188" t="str">
        <f t="shared" si="2"/>
        <v>Single Family Weatherization - Insulate Floor - R0 to R30 - Heating Zone 3 (Heat Pump)FLOOR R0 - R30</v>
      </c>
      <c r="B188" s="305" t="s">
        <v>200</v>
      </c>
      <c r="C188" s="305" t="s">
        <v>91</v>
      </c>
      <c r="D188" s="306">
        <v>0.46367801409966508</v>
      </c>
      <c r="E188" s="302">
        <v>45</v>
      </c>
      <c r="F188" s="304">
        <v>1.3153468433463626</v>
      </c>
      <c r="G188" s="302"/>
      <c r="H188" s="301" t="s">
        <v>189</v>
      </c>
      <c r="I188" s="304">
        <v>2.7350668713435519E-4</v>
      </c>
      <c r="J188" s="27"/>
      <c r="K188" s="27"/>
      <c r="L188" s="27"/>
      <c r="M188" s="27"/>
      <c r="N188" s="27"/>
      <c r="O188" s="27"/>
      <c r="P188" s="27"/>
      <c r="Q188" s="27"/>
    </row>
    <row r="189" spans="1:17">
      <c r="A189" t="str">
        <f t="shared" si="2"/>
        <v>Single Family Weatherization - Insulate Floor - R19 to R30 - Heating Zone 3 (Heat Pump)FLOOR R19 - R30</v>
      </c>
      <c r="B189" s="305" t="s">
        <v>1324</v>
      </c>
      <c r="C189" s="305" t="s">
        <v>1188</v>
      </c>
      <c r="D189" s="306">
        <v>4.5929613627947473E-2</v>
      </c>
      <c r="E189" s="302">
        <v>45</v>
      </c>
      <c r="F189" s="304">
        <v>1.1663046417517582</v>
      </c>
      <c r="G189" s="302"/>
      <c r="H189" s="301" t="s">
        <v>189</v>
      </c>
      <c r="I189" s="304">
        <v>2.0499281175794174E-4</v>
      </c>
      <c r="J189" s="27"/>
      <c r="K189" s="27"/>
      <c r="L189" s="27"/>
      <c r="M189" s="27"/>
      <c r="N189" s="27"/>
      <c r="O189" s="27"/>
      <c r="P189" s="27"/>
      <c r="Q189" s="27"/>
    </row>
    <row r="190" spans="1:17">
      <c r="A190" t="str">
        <f t="shared" si="2"/>
        <v>Windows - Single Pane to Class 30 - Heating Zone 3 (Heat Pump)WINDOW CL30 Prime Window Replacement of Single Pane Base</v>
      </c>
      <c r="B190" s="305" t="s">
        <v>201</v>
      </c>
      <c r="C190" s="305" t="s">
        <v>93</v>
      </c>
      <c r="D190" s="306">
        <v>10.262730739400633</v>
      </c>
      <c r="E190" s="302">
        <v>45</v>
      </c>
      <c r="F190" s="304">
        <v>18.513985646792214</v>
      </c>
      <c r="G190" s="302"/>
      <c r="H190" s="301" t="s">
        <v>189</v>
      </c>
      <c r="I190" s="304">
        <v>6.5832936377831691E-2</v>
      </c>
      <c r="J190" s="27"/>
      <c r="K190" s="27"/>
      <c r="L190" s="27"/>
      <c r="M190" s="27"/>
      <c r="N190" s="27"/>
      <c r="O190" s="27"/>
      <c r="P190" s="27"/>
      <c r="Q190" s="27"/>
    </row>
    <row r="191" spans="1:17">
      <c r="A191" t="str">
        <f t="shared" si="2"/>
        <v>Windows - Double Pane to Class 30 - Heating Zone 3 (Heat Pump)WINDOW CL30 Prime Window Replacement of Double Pane Base</v>
      </c>
      <c r="B191" s="305" t="s">
        <v>202</v>
      </c>
      <c r="C191" s="305" t="s">
        <v>95</v>
      </c>
      <c r="D191" s="306">
        <v>5.251043816602901</v>
      </c>
      <c r="E191" s="302">
        <v>45</v>
      </c>
      <c r="F191" s="304">
        <v>18.513985646792214</v>
      </c>
      <c r="G191" s="302"/>
      <c r="H191" s="301" t="s">
        <v>189</v>
      </c>
      <c r="I191" s="304">
        <v>3.4794313481409989E-2</v>
      </c>
      <c r="J191" s="27"/>
      <c r="K191" s="27"/>
      <c r="L191" s="27"/>
      <c r="M191" s="27"/>
      <c r="N191" s="27"/>
      <c r="O191" s="27"/>
      <c r="P191" s="27"/>
      <c r="Q191" s="27"/>
    </row>
    <row r="192" spans="1:17">
      <c r="A192" t="str">
        <f t="shared" si="2"/>
        <v>Windows - Class 35 to Class 30 - Heating Zone 3 (Heat Pump)WINDOW CL35 to CL30 Upgrade</v>
      </c>
      <c r="B192" s="305" t="s">
        <v>203</v>
      </c>
      <c r="C192" s="305" t="s">
        <v>97</v>
      </c>
      <c r="D192" s="306">
        <v>0.51949594576762248</v>
      </c>
      <c r="E192" s="302">
        <v>45</v>
      </c>
      <c r="F192" s="304">
        <v>1.1251515151515155</v>
      </c>
      <c r="G192" s="302"/>
      <c r="H192" s="301" t="s">
        <v>189</v>
      </c>
      <c r="I192" s="304">
        <v>4.1236759984969139E-3</v>
      </c>
      <c r="J192" s="27"/>
      <c r="K192" s="27"/>
      <c r="L192" s="27"/>
      <c r="M192" s="27"/>
      <c r="N192" s="27"/>
      <c r="O192" s="27"/>
      <c r="P192" s="27"/>
      <c r="Q192" s="27"/>
    </row>
    <row r="193" spans="1:17">
      <c r="A193" t="str">
        <f t="shared" si="2"/>
        <v>Windows - Single Pane to Class 22 - Heating Zone 3 (Heat Pump)WINDOW CL22 Prime Window Replacement of Single Pane Base</v>
      </c>
      <c r="B193" s="305" t="s">
        <v>204</v>
      </c>
      <c r="C193" s="305" t="s">
        <v>99</v>
      </c>
      <c r="D193" s="306">
        <v>11.242461535964848</v>
      </c>
      <c r="E193" s="302">
        <v>45</v>
      </c>
      <c r="F193" s="304">
        <v>21.803985646792214</v>
      </c>
      <c r="G193" s="302"/>
      <c r="H193" s="301" t="s">
        <v>189</v>
      </c>
      <c r="I193" s="304">
        <v>7.3820547948934917E-2</v>
      </c>
      <c r="J193" s="27"/>
      <c r="K193" s="27"/>
      <c r="L193" s="27"/>
      <c r="M193" s="27"/>
      <c r="N193" s="27"/>
      <c r="O193" s="27"/>
      <c r="P193" s="27"/>
      <c r="Q193" s="27"/>
    </row>
    <row r="194" spans="1:17">
      <c r="A194" t="str">
        <f t="shared" si="2"/>
        <v>Windows - Double Pane to Class 22 - Heating Zone 3 (Heat Pump)WINDOW CL22 Prime Window Replacement of Double Pane Base</v>
      </c>
      <c r="B194" s="305" t="s">
        <v>205</v>
      </c>
      <c r="C194" s="305" t="s">
        <v>101</v>
      </c>
      <c r="D194" s="306">
        <v>6.1013202477387702</v>
      </c>
      <c r="E194" s="302">
        <v>45</v>
      </c>
      <c r="F194" s="304">
        <v>21.803985646792214</v>
      </c>
      <c r="G194" s="302"/>
      <c r="H194" s="301" t="s">
        <v>189</v>
      </c>
      <c r="I194" s="304">
        <v>4.1740261904189009E-2</v>
      </c>
      <c r="J194" s="27"/>
      <c r="K194" s="27"/>
      <c r="L194" s="27"/>
      <c r="M194" s="27"/>
      <c r="N194" s="27"/>
      <c r="O194" s="27"/>
      <c r="P194" s="27"/>
      <c r="Q194" s="27"/>
    </row>
    <row r="195" spans="1:17">
      <c r="A195" t="str">
        <f t="shared" si="2"/>
        <v>Windows - Class 35 to Class 22 - Heating Zone 3 (Heat Pump)WINDOW CL35 to CL22 Upgrade</v>
      </c>
      <c r="B195" s="305" t="s">
        <v>206</v>
      </c>
      <c r="C195" s="305" t="s">
        <v>103</v>
      </c>
      <c r="D195" s="306">
        <v>1.3971594982947879</v>
      </c>
      <c r="E195" s="302">
        <v>45</v>
      </c>
      <c r="F195" s="304">
        <v>4.415151515151515</v>
      </c>
      <c r="G195" s="302"/>
      <c r="H195" s="301" t="s">
        <v>189</v>
      </c>
      <c r="I195" s="304">
        <v>1.1299425154464662E-2</v>
      </c>
      <c r="J195" s="27"/>
      <c r="K195" s="27"/>
      <c r="L195" s="27"/>
      <c r="M195" s="27"/>
      <c r="N195" s="27"/>
      <c r="O195" s="27"/>
      <c r="P195" s="27"/>
      <c r="Q195" s="27"/>
    </row>
    <row r="196" spans="1:17">
      <c r="A196" t="str">
        <f t="shared" si="2"/>
        <v>Infiltration Reduction - CFM50 reduction - Heating Zone 3 (Heat Pump)CFM50 Infiltration Reduction</v>
      </c>
      <c r="B196" s="305" t="s">
        <v>207</v>
      </c>
      <c r="C196" s="305" t="s">
        <v>1362</v>
      </c>
      <c r="D196" s="306">
        <v>0.37218003387522014</v>
      </c>
      <c r="E196" s="302">
        <v>15</v>
      </c>
      <c r="F196" s="304">
        <v>0.6607178075171779</v>
      </c>
      <c r="G196" s="302"/>
      <c r="H196" s="301" t="s">
        <v>189</v>
      </c>
      <c r="I196" s="304">
        <v>2.3088736105038978E-3</v>
      </c>
      <c r="J196" s="27"/>
      <c r="K196" s="27"/>
      <c r="L196" s="27"/>
      <c r="M196" s="27"/>
      <c r="N196" s="27"/>
      <c r="O196" s="27"/>
      <c r="P196" s="27"/>
      <c r="Q196" s="27"/>
    </row>
    <row r="197" spans="1:17">
      <c r="A197" t="str">
        <f t="shared" si="2"/>
        <v>Single Family Weatherization - Insulate Attic - R0 to R38 - Heating Zone 1 (Electric FAF)ATTIC R0 - R38 (cooling savings)</v>
      </c>
      <c r="B197" s="307" t="s">
        <v>67</v>
      </c>
      <c r="C197" s="307" t="s">
        <v>208</v>
      </c>
      <c r="D197" s="308">
        <v>0.34583589054568942</v>
      </c>
      <c r="E197" s="309">
        <v>45</v>
      </c>
      <c r="F197" s="310"/>
      <c r="G197" s="311"/>
      <c r="H197" s="312" t="s">
        <v>209</v>
      </c>
      <c r="I197" s="304"/>
      <c r="J197" s="27"/>
      <c r="K197" s="27"/>
      <c r="L197" s="27"/>
      <c r="M197" s="27"/>
      <c r="N197" s="27"/>
      <c r="O197" s="27"/>
      <c r="P197" s="27"/>
      <c r="Q197" s="27"/>
    </row>
    <row r="198" spans="1:17">
      <c r="A198" t="str">
        <f t="shared" si="2"/>
        <v>Single Family Weatherization - Insulate Attic - R0 to R49 - Heating Zone 1 (Electric FAF)ATTIC R0 - R49 (cooling savings)</v>
      </c>
      <c r="B198" s="307" t="s">
        <v>70</v>
      </c>
      <c r="C198" s="307" t="s">
        <v>210</v>
      </c>
      <c r="D198" s="308">
        <v>0.34959656027125696</v>
      </c>
      <c r="E198" s="309">
        <v>45</v>
      </c>
      <c r="F198" s="310"/>
      <c r="G198" s="311"/>
      <c r="H198" s="312" t="s">
        <v>209</v>
      </c>
      <c r="I198" s="304"/>
      <c r="J198" s="27"/>
      <c r="K198" s="27"/>
      <c r="L198" s="27"/>
      <c r="M198" s="27"/>
      <c r="N198" s="27"/>
      <c r="O198" s="27"/>
      <c r="P198" s="27"/>
      <c r="Q198" s="27"/>
    </row>
    <row r="199" spans="1:17">
      <c r="A199" t="str">
        <f t="shared" si="2"/>
        <v>Single Family Weatherization - Insulate Attic - R11 to R38 - Heating Zone 1 (Electric FAF)ATTIC R11 - R38 (cooling savings)</v>
      </c>
      <c r="B199" s="307" t="s">
        <v>72</v>
      </c>
      <c r="C199" s="307" t="s">
        <v>211</v>
      </c>
      <c r="D199" s="308">
        <v>4.6511172887244608E-2</v>
      </c>
      <c r="E199" s="309">
        <v>45</v>
      </c>
      <c r="F199" s="310"/>
      <c r="G199" s="311"/>
      <c r="H199" s="312" t="s">
        <v>209</v>
      </c>
      <c r="I199" s="304"/>
      <c r="J199" s="27"/>
      <c r="K199" s="27"/>
      <c r="L199" s="27"/>
      <c r="M199" s="27"/>
      <c r="N199" s="27"/>
      <c r="O199" s="27"/>
      <c r="P199" s="27"/>
      <c r="Q199" s="27"/>
    </row>
    <row r="200" spans="1:17">
      <c r="A200" t="str">
        <f t="shared" si="2"/>
        <v>Single Family Weatherization - Insulate Attic - R11 to R49 - Heating Zone 1 (Electric FAF)ATTIC R11 - R49 (cooling savings)</v>
      </c>
      <c r="B200" s="307" t="s">
        <v>74</v>
      </c>
      <c r="C200" s="307" t="s">
        <v>212</v>
      </c>
      <c r="D200" s="308">
        <v>5.0271842612812208E-2</v>
      </c>
      <c r="E200" s="309">
        <v>45</v>
      </c>
      <c r="F200" s="310"/>
      <c r="G200" s="311"/>
      <c r="H200" s="312" t="s">
        <v>209</v>
      </c>
      <c r="I200" s="304"/>
      <c r="J200" s="27"/>
      <c r="K200" s="27"/>
      <c r="L200" s="27"/>
      <c r="M200" s="27"/>
      <c r="N200" s="27"/>
      <c r="O200" s="27"/>
      <c r="P200" s="27"/>
      <c r="Q200" s="27"/>
    </row>
    <row r="201" spans="1:17">
      <c r="A201" t="str">
        <f t="shared" ref="A201:A264" si="3">CONCATENATE(B201,C201)</f>
        <v>Single Family Weatherization - Insulate Attic - R19 to R38 - Heating Zone 1 (Electric FAF)ATTIC R19 - R38 (cooling savings)</v>
      </c>
      <c r="B201" s="307" t="s">
        <v>76</v>
      </c>
      <c r="C201" s="307" t="s">
        <v>213</v>
      </c>
      <c r="D201" s="308">
        <v>1.8787817276515864E-2</v>
      </c>
      <c r="E201" s="309">
        <v>45</v>
      </c>
      <c r="F201" s="310"/>
      <c r="G201" s="311"/>
      <c r="H201" s="312" t="s">
        <v>209</v>
      </c>
      <c r="I201" s="304"/>
      <c r="J201" s="27"/>
      <c r="K201" s="27"/>
      <c r="L201" s="27"/>
      <c r="M201" s="27"/>
      <c r="N201" s="27"/>
      <c r="O201" s="27"/>
      <c r="P201" s="27"/>
      <c r="Q201" s="27"/>
    </row>
    <row r="202" spans="1:17">
      <c r="A202" t="str">
        <f t="shared" si="3"/>
        <v>Single Family Weatherization - Insulate Attic - R19 to R49 - Heating Zone 1 (Electric FAF)ATTIC R19 - R49 (cooling savings)</v>
      </c>
      <c r="B202" s="307" t="s">
        <v>78</v>
      </c>
      <c r="C202" s="307" t="s">
        <v>214</v>
      </c>
      <c r="D202" s="308">
        <v>2.2548487002083464E-2</v>
      </c>
      <c r="E202" s="309">
        <v>45</v>
      </c>
      <c r="F202" s="310"/>
      <c r="G202" s="311"/>
      <c r="H202" s="312" t="s">
        <v>209</v>
      </c>
      <c r="I202" s="304"/>
      <c r="J202" s="27"/>
      <c r="K202" s="27"/>
      <c r="L202" s="27"/>
      <c r="M202" s="27"/>
      <c r="N202" s="27"/>
      <c r="O202" s="27"/>
      <c r="P202" s="27"/>
      <c r="Q202" s="27"/>
    </row>
    <row r="203" spans="1:17">
      <c r="A203" t="str">
        <f t="shared" si="3"/>
        <v>Single Family Weatherization - Insulate Attic - R30 to R38 - Heating Zone 1 (Electric FAF)ATTIC R30 - R38 (cooling savings)</v>
      </c>
      <c r="B203" s="307" t="s">
        <v>1185</v>
      </c>
      <c r="C203" s="307" t="s">
        <v>1326</v>
      </c>
      <c r="D203" s="308">
        <v>4.8325304926285333E-3</v>
      </c>
      <c r="E203" s="309">
        <v>45</v>
      </c>
      <c r="F203" s="310"/>
      <c r="G203" s="311"/>
      <c r="H203" s="312" t="s">
        <v>209</v>
      </c>
      <c r="I203" s="304"/>
      <c r="J203" s="27"/>
      <c r="K203" s="27"/>
      <c r="L203" s="27"/>
      <c r="M203" s="27"/>
      <c r="N203" s="27"/>
      <c r="O203" s="27"/>
      <c r="P203" s="27"/>
      <c r="Q203" s="27"/>
    </row>
    <row r="204" spans="1:17">
      <c r="A204" t="str">
        <f t="shared" si="3"/>
        <v>Single Family Weatherization - Insulate Attic - R30 to R49 - Heating Zone 1 (Electric FAF)ATTIC R30 - R49 (cooling savings)</v>
      </c>
      <c r="B204" s="307" t="s">
        <v>80</v>
      </c>
      <c r="C204" s="307" t="s">
        <v>215</v>
      </c>
      <c r="D204" s="308">
        <v>8.593200218196137E-3</v>
      </c>
      <c r="E204" s="309">
        <v>45</v>
      </c>
      <c r="F204" s="310"/>
      <c r="G204" s="311"/>
      <c r="H204" s="312" t="s">
        <v>209</v>
      </c>
      <c r="I204" s="304"/>
      <c r="J204" s="27"/>
      <c r="K204" s="27"/>
      <c r="L204" s="27"/>
      <c r="M204" s="27"/>
      <c r="N204" s="27"/>
      <c r="O204" s="27"/>
      <c r="P204" s="27"/>
      <c r="Q204" s="27"/>
    </row>
    <row r="205" spans="1:17">
      <c r="A205" t="str">
        <f t="shared" si="3"/>
        <v>Single Family Weatherization - Insulate Attic - R38 to R49 - Heating Zone 1 (Electric FAF)ATTIC R38 - R49 (cooling savings)</v>
      </c>
      <c r="B205" s="307" t="s">
        <v>82</v>
      </c>
      <c r="C205" s="307" t="s">
        <v>216</v>
      </c>
      <c r="D205" s="308">
        <v>3.760669725567605E-3</v>
      </c>
      <c r="E205" s="309">
        <v>45</v>
      </c>
      <c r="F205" s="310"/>
      <c r="G205" s="311"/>
      <c r="H205" s="312" t="s">
        <v>209</v>
      </c>
      <c r="I205" s="304"/>
      <c r="J205" s="27"/>
      <c r="K205" s="27"/>
      <c r="L205" s="27"/>
      <c r="M205" s="27"/>
      <c r="N205" s="27"/>
      <c r="O205" s="27"/>
      <c r="P205" s="27"/>
      <c r="Q205" s="27"/>
    </row>
    <row r="206" spans="1:17">
      <c r="A206" t="str">
        <f t="shared" si="3"/>
        <v>Single Family Weatherization - Insulate Wall - R0 to R11 - Heating Zone 1 (Electric FAF)WALL R0 - R11 (cooling savings)</v>
      </c>
      <c r="B206" s="307" t="s">
        <v>84</v>
      </c>
      <c r="C206" s="307" t="s">
        <v>217</v>
      </c>
      <c r="D206" s="308">
        <v>3.742187719900527E-2</v>
      </c>
      <c r="E206" s="309">
        <v>45</v>
      </c>
      <c r="F206" s="310"/>
      <c r="G206" s="311"/>
      <c r="H206" s="312" t="s">
        <v>209</v>
      </c>
      <c r="I206" s="304"/>
      <c r="J206" s="27"/>
      <c r="K206" s="27"/>
      <c r="L206" s="27"/>
      <c r="M206" s="27"/>
      <c r="N206" s="27"/>
      <c r="O206" s="27"/>
      <c r="P206" s="27"/>
      <c r="Q206" s="27"/>
    </row>
    <row r="207" spans="1:17">
      <c r="A207" t="str">
        <f t="shared" si="3"/>
        <v>Single Family Weatherization - Insulate Floor - R0 to R19 - Heating Zone 1 (Electric FAF)FLOOR R0 - R19 (cooling savings)</v>
      </c>
      <c r="B207" s="307" t="s">
        <v>86</v>
      </c>
      <c r="C207" s="307" t="s">
        <v>218</v>
      </c>
      <c r="D207" s="308">
        <v>-4.9359452214712524E-2</v>
      </c>
      <c r="E207" s="309">
        <v>45</v>
      </c>
      <c r="F207" s="310"/>
      <c r="G207" s="311"/>
      <c r="H207" s="312" t="s">
        <v>209</v>
      </c>
      <c r="I207" s="304"/>
      <c r="J207" s="27"/>
      <c r="K207" s="27"/>
      <c r="L207" s="27"/>
      <c r="M207" s="27"/>
      <c r="N207" s="27"/>
      <c r="O207" s="27"/>
      <c r="P207" s="27"/>
      <c r="Q207" s="27"/>
    </row>
    <row r="208" spans="1:17">
      <c r="A208" t="str">
        <f t="shared" si="3"/>
        <v>Single Family Weatherization - Insulate Floor - R0 to R25 - Heating Zone 1 (Electric FAF)FLOOR R0 - R25 (cooling savings)</v>
      </c>
      <c r="B208" s="307" t="s">
        <v>88</v>
      </c>
      <c r="C208" s="307" t="s">
        <v>219</v>
      </c>
      <c r="D208" s="308">
        <v>-5.5284229557805535E-2</v>
      </c>
      <c r="E208" s="309">
        <v>45</v>
      </c>
      <c r="F208" s="310"/>
      <c r="G208" s="311"/>
      <c r="H208" s="312" t="s">
        <v>209</v>
      </c>
      <c r="I208" s="304"/>
      <c r="J208" s="27"/>
      <c r="K208" s="27"/>
      <c r="L208" s="27"/>
      <c r="M208" s="27"/>
      <c r="N208" s="27"/>
      <c r="O208" s="27"/>
      <c r="P208" s="27"/>
      <c r="Q208" s="27"/>
    </row>
    <row r="209" spans="1:17">
      <c r="A209" t="str">
        <f t="shared" si="3"/>
        <v>Single Family Weatherization - Insulate Floor - R0 to R30 - Heating Zone 1 (Electric FAF)FLOOR R0 - R30 (cooling savings)</v>
      </c>
      <c r="B209" s="307" t="s">
        <v>90</v>
      </c>
      <c r="C209" s="307" t="s">
        <v>220</v>
      </c>
      <c r="D209" s="308">
        <v>-5.9199636878246947E-2</v>
      </c>
      <c r="E209" s="309">
        <v>45</v>
      </c>
      <c r="F209" s="310"/>
      <c r="G209" s="311"/>
      <c r="H209" s="312" t="s">
        <v>209</v>
      </c>
      <c r="I209" s="304"/>
      <c r="J209" s="27"/>
      <c r="K209" s="27"/>
      <c r="L209" s="27"/>
      <c r="M209" s="27"/>
      <c r="N209" s="27"/>
      <c r="O209" s="27"/>
      <c r="P209" s="27"/>
      <c r="Q209" s="27"/>
    </row>
    <row r="210" spans="1:17">
      <c r="A210" t="str">
        <f t="shared" si="3"/>
        <v>Single Family Weatherization - Insulate Floor - R19 to R30 - Heating Zone 1 (Electric FAF)FLOOR R19 - R30 (cooling savings)</v>
      </c>
      <c r="B210" s="307" t="s">
        <v>1187</v>
      </c>
      <c r="C210" s="307" t="s">
        <v>1327</v>
      </c>
      <c r="D210" s="308">
        <v>-9.8401846635344185E-3</v>
      </c>
      <c r="E210" s="309">
        <v>45</v>
      </c>
      <c r="F210" s="310"/>
      <c r="G210" s="311"/>
      <c r="H210" s="312" t="s">
        <v>209</v>
      </c>
      <c r="I210" s="304"/>
      <c r="J210" s="27"/>
      <c r="K210" s="27"/>
      <c r="L210" s="27"/>
      <c r="M210" s="27"/>
      <c r="N210" s="27"/>
      <c r="O210" s="27"/>
      <c r="P210" s="27"/>
      <c r="Q210" s="27"/>
    </row>
    <row r="211" spans="1:17">
      <c r="A211" t="str">
        <f t="shared" si="3"/>
        <v>Windows - Single Pane to Class 30 - Heating Zone 1 (Electric FAF)WINDOW CL30 Prime Window Replacement of Single Pane Base (cooling savings)</v>
      </c>
      <c r="B211" s="307" t="s">
        <v>92</v>
      </c>
      <c r="C211" s="307" t="s">
        <v>221</v>
      </c>
      <c r="D211" s="308">
        <v>0.80269299041557973</v>
      </c>
      <c r="E211" s="302">
        <v>45</v>
      </c>
      <c r="F211" s="310"/>
      <c r="G211" s="311"/>
      <c r="H211" s="312" t="s">
        <v>209</v>
      </c>
      <c r="I211" s="304"/>
      <c r="J211" s="27"/>
      <c r="K211" s="27"/>
      <c r="L211" s="27"/>
      <c r="M211" s="27"/>
      <c r="N211" s="27"/>
      <c r="O211" s="27"/>
      <c r="P211" s="27"/>
      <c r="Q211" s="27"/>
    </row>
    <row r="212" spans="1:17">
      <c r="A212" t="str">
        <f t="shared" si="3"/>
        <v>Windows - Double Pane to Class 30 - Heating Zone 1 (Electric FAF)WINDOW CL30 Prime Window Replacement of Double Pane Base (cooling savings)</v>
      </c>
      <c r="B212" s="307" t="s">
        <v>94</v>
      </c>
      <c r="C212" s="307" t="s">
        <v>222</v>
      </c>
      <c r="D212" s="308">
        <v>1.0430649303716493</v>
      </c>
      <c r="E212" s="302">
        <v>45</v>
      </c>
      <c r="F212" s="310"/>
      <c r="G212" s="311"/>
      <c r="H212" s="312" t="s">
        <v>209</v>
      </c>
      <c r="I212" s="304"/>
      <c r="J212" s="27"/>
      <c r="K212" s="27"/>
      <c r="L212" s="27"/>
      <c r="M212" s="27"/>
      <c r="N212" s="27"/>
      <c r="O212" s="27"/>
      <c r="P212" s="27"/>
      <c r="Q212" s="27"/>
    </row>
    <row r="213" spans="1:17">
      <c r="A213" t="str">
        <f t="shared" si="3"/>
        <v>Windows - Class 35 to Class 30 - Heating Zone 1 (Electric FAF)WINDOW CL35 to CL30 Upgrade (cooling savings)</v>
      </c>
      <c r="B213" s="307" t="s">
        <v>96</v>
      </c>
      <c r="C213" s="307" t="s">
        <v>223</v>
      </c>
      <c r="D213" s="308">
        <v>2.1466177295788216E-2</v>
      </c>
      <c r="E213" s="302">
        <v>45</v>
      </c>
      <c r="F213" s="310"/>
      <c r="G213" s="311"/>
      <c r="H213" s="312" t="s">
        <v>209</v>
      </c>
      <c r="I213" s="304"/>
      <c r="J213" s="27"/>
      <c r="K213" s="27"/>
      <c r="L213" s="27"/>
      <c r="M213" s="27"/>
      <c r="N213" s="27"/>
      <c r="O213" s="27"/>
      <c r="P213" s="27"/>
      <c r="Q213" s="27"/>
    </row>
    <row r="214" spans="1:17">
      <c r="A214" t="str">
        <f t="shared" si="3"/>
        <v>Windows - Single Pane to Class 22 - Heating Zone 1 (Electric FAF)WINDOW CL22 Prime Window Replacement of Single Pane Base (cooling savings)</v>
      </c>
      <c r="B214" s="307" t="s">
        <v>98</v>
      </c>
      <c r="C214" s="307" t="s">
        <v>224</v>
      </c>
      <c r="D214" s="308">
        <v>0.86172708516718166</v>
      </c>
      <c r="E214" s="302">
        <v>45</v>
      </c>
      <c r="F214" s="310"/>
      <c r="G214" s="311"/>
      <c r="H214" s="312" t="s">
        <v>209</v>
      </c>
      <c r="I214" s="304"/>
      <c r="J214" s="27"/>
      <c r="K214" s="27"/>
      <c r="L214" s="27"/>
      <c r="M214" s="27"/>
      <c r="N214" s="27"/>
      <c r="O214" s="27"/>
      <c r="P214" s="27"/>
      <c r="Q214" s="27"/>
    </row>
    <row r="215" spans="1:17">
      <c r="A215" t="str">
        <f t="shared" si="3"/>
        <v>Windows - Double Pane to Class 22 - Heating Zone 1 (Electric FAF)WINDOW CL22 Prime Window Replacement of Double Pane Base (cooling savings)</v>
      </c>
      <c r="B215" s="307" t="s">
        <v>100</v>
      </c>
      <c r="C215" s="307" t="s">
        <v>225</v>
      </c>
      <c r="D215" s="308">
        <v>1.1020990251232512</v>
      </c>
      <c r="E215" s="302">
        <v>45</v>
      </c>
      <c r="F215" s="310"/>
      <c r="G215" s="311"/>
      <c r="H215" s="312" t="s">
        <v>209</v>
      </c>
      <c r="I215" s="304"/>
      <c r="J215" s="27"/>
      <c r="K215" s="27"/>
      <c r="L215" s="27"/>
      <c r="M215" s="27"/>
      <c r="N215" s="27"/>
      <c r="O215" s="27"/>
      <c r="P215" s="27"/>
      <c r="Q215" s="27"/>
    </row>
    <row r="216" spans="1:17">
      <c r="A216" t="str">
        <f t="shared" si="3"/>
        <v>Windows - Class 35 to Class 22 - Heating Zone 1 (Electric FAF)WINDOW CL35 to CL22 Upgrade (cooling savings)</v>
      </c>
      <c r="B216" s="307" t="s">
        <v>102</v>
      </c>
      <c r="C216" s="307" t="s">
        <v>226</v>
      </c>
      <c r="D216" s="308">
        <v>8.0500272047390117E-2</v>
      </c>
      <c r="E216" s="302">
        <v>45</v>
      </c>
      <c r="F216" s="310"/>
      <c r="G216" s="311"/>
      <c r="H216" s="312" t="s">
        <v>209</v>
      </c>
      <c r="I216" s="304"/>
      <c r="J216" s="27"/>
      <c r="K216" s="27"/>
      <c r="L216" s="27"/>
      <c r="M216" s="27"/>
      <c r="N216" s="27"/>
      <c r="O216" s="27"/>
      <c r="P216" s="27"/>
      <c r="Q216" s="27"/>
    </row>
    <row r="217" spans="1:17">
      <c r="A217" t="str">
        <f t="shared" si="3"/>
        <v>Infiltration Reduction - CFM50 reduction - Heating Zone 1 (Electric FAF)CFM50 Infiltration Reduction (cooling savings)</v>
      </c>
      <c r="B217" s="307" t="s">
        <v>104</v>
      </c>
      <c r="C217" s="307" t="s">
        <v>890</v>
      </c>
      <c r="D217" s="308">
        <v>1.6615864727896664E-3</v>
      </c>
      <c r="E217" s="309">
        <v>15</v>
      </c>
      <c r="F217" s="310"/>
      <c r="G217" s="311"/>
      <c r="H217" s="312" t="s">
        <v>209</v>
      </c>
      <c r="I217" s="304"/>
      <c r="J217" s="27"/>
      <c r="K217" s="27"/>
      <c r="L217" s="27"/>
      <c r="M217" s="27"/>
      <c r="N217" s="27"/>
      <c r="O217" s="27"/>
      <c r="P217" s="27"/>
      <c r="Q217" s="27"/>
    </row>
    <row r="218" spans="1:17">
      <c r="A218" t="str">
        <f t="shared" si="3"/>
        <v>Single Family Weatherization - Insulate Attic - R0 to R38 - Heating Zone 2 (Electric FAF)ATTIC R0 - R38 (cooling savings)</v>
      </c>
      <c r="B218" s="307" t="s">
        <v>105</v>
      </c>
      <c r="C218" s="307" t="s">
        <v>208</v>
      </c>
      <c r="D218" s="308">
        <v>0.42285282617922487</v>
      </c>
      <c r="E218" s="309">
        <v>45</v>
      </c>
      <c r="F218" s="310"/>
      <c r="G218" s="311"/>
      <c r="H218" s="312" t="s">
        <v>209</v>
      </c>
      <c r="I218" s="304"/>
      <c r="J218" s="27"/>
      <c r="K218" s="27"/>
      <c r="L218" s="27"/>
      <c r="M218" s="27"/>
      <c r="N218" s="27"/>
      <c r="O218" s="27"/>
      <c r="P218" s="27"/>
      <c r="Q218" s="27"/>
    </row>
    <row r="219" spans="1:17">
      <c r="A219" t="str">
        <f t="shared" si="3"/>
        <v>Single Family Weatherization - Insulate Attic - R0 to R49 - Heating Zone 2 (Electric FAF)ATTIC R0 - R49 (cooling savings)</v>
      </c>
      <c r="B219" s="307" t="s">
        <v>107</v>
      </c>
      <c r="C219" s="307" t="s">
        <v>210</v>
      </c>
      <c r="D219" s="308">
        <v>0.42777689917162087</v>
      </c>
      <c r="E219" s="309">
        <v>45</v>
      </c>
      <c r="F219" s="310"/>
      <c r="G219" s="311"/>
      <c r="H219" s="312" t="s">
        <v>209</v>
      </c>
      <c r="I219" s="304"/>
      <c r="J219" s="27"/>
      <c r="K219" s="27"/>
      <c r="L219" s="27"/>
      <c r="M219" s="27"/>
      <c r="N219" s="27"/>
      <c r="O219" s="27"/>
      <c r="P219" s="27"/>
      <c r="Q219" s="27"/>
    </row>
    <row r="220" spans="1:17">
      <c r="A220" t="str">
        <f t="shared" si="3"/>
        <v>Single Family Weatherization - Insulate Attic - R11 to R38 - Heating Zone 2 (Electric FAF)ATTIC R11 - R38 (cooling savings)</v>
      </c>
      <c r="B220" s="307" t="s">
        <v>108</v>
      </c>
      <c r="C220" s="307" t="s">
        <v>211</v>
      </c>
      <c r="D220" s="308">
        <v>6.0061992074123736E-2</v>
      </c>
      <c r="E220" s="309">
        <v>45</v>
      </c>
      <c r="F220" s="310"/>
      <c r="G220" s="311"/>
      <c r="H220" s="312" t="s">
        <v>209</v>
      </c>
      <c r="I220" s="304"/>
      <c r="J220" s="27"/>
      <c r="K220" s="27"/>
      <c r="L220" s="27"/>
      <c r="M220" s="27"/>
      <c r="N220" s="27"/>
      <c r="O220" s="27"/>
      <c r="P220" s="27"/>
      <c r="Q220" s="27"/>
    </row>
    <row r="221" spans="1:17">
      <c r="A221" t="str">
        <f t="shared" si="3"/>
        <v>Single Family Weatherization - Insulate Attic - R11 to R49 - Heating Zone 2 (Electric FAF)ATTIC R11 - R49 (cooling savings)</v>
      </c>
      <c r="B221" s="307" t="s">
        <v>109</v>
      </c>
      <c r="C221" s="307" t="s">
        <v>212</v>
      </c>
      <c r="D221" s="308">
        <v>6.4986065066519771E-2</v>
      </c>
      <c r="E221" s="309">
        <v>45</v>
      </c>
      <c r="F221" s="310"/>
      <c r="G221" s="311"/>
      <c r="H221" s="312" t="s">
        <v>209</v>
      </c>
      <c r="I221" s="304"/>
      <c r="J221" s="27"/>
      <c r="K221" s="27"/>
      <c r="L221" s="27"/>
      <c r="M221" s="27"/>
      <c r="N221" s="27"/>
      <c r="O221" s="27"/>
      <c r="P221" s="27"/>
      <c r="Q221" s="27"/>
    </row>
    <row r="222" spans="1:17">
      <c r="A222" t="str">
        <f t="shared" si="3"/>
        <v>Single Family Weatherization - Insulate Attic - R19 to R38 - Heating Zone 2 (Electric FAF)ATTIC R19 - R38 (cooling savings)</v>
      </c>
      <c r="B222" s="307" t="s">
        <v>110</v>
      </c>
      <c r="C222" s="307" t="s">
        <v>213</v>
      </c>
      <c r="D222" s="308">
        <v>2.4428567153407514E-2</v>
      </c>
      <c r="E222" s="309">
        <v>45</v>
      </c>
      <c r="F222" s="310"/>
      <c r="G222" s="311"/>
      <c r="H222" s="312" t="s">
        <v>209</v>
      </c>
      <c r="I222" s="304"/>
      <c r="J222" s="27"/>
      <c r="K222" s="27"/>
      <c r="L222" s="27"/>
      <c r="M222" s="27"/>
      <c r="N222" s="27"/>
      <c r="O222" s="27"/>
      <c r="P222" s="27"/>
      <c r="Q222" s="27"/>
    </row>
    <row r="223" spans="1:17">
      <c r="A223" t="str">
        <f t="shared" si="3"/>
        <v>Single Family Weatherization - Insulate Attic - R19 to R49 - Heating Zone 2 (Electric FAF)ATTIC R19 - R49 (cooling savings)</v>
      </c>
      <c r="B223" s="307" t="s">
        <v>111</v>
      </c>
      <c r="C223" s="307" t="s">
        <v>214</v>
      </c>
      <c r="D223" s="308">
        <v>2.9352640145803539E-2</v>
      </c>
      <c r="E223" s="309">
        <v>45</v>
      </c>
      <c r="F223" s="310"/>
      <c r="G223" s="311"/>
      <c r="H223" s="312" t="s">
        <v>209</v>
      </c>
      <c r="I223" s="304"/>
      <c r="J223" s="27"/>
      <c r="K223" s="27"/>
      <c r="L223" s="27"/>
      <c r="M223" s="27"/>
      <c r="N223" s="27"/>
      <c r="O223" s="27"/>
      <c r="P223" s="27"/>
      <c r="Q223" s="27"/>
    </row>
    <row r="224" spans="1:17">
      <c r="A224" t="str">
        <f t="shared" si="3"/>
        <v>Single Family Weatherization - Insulate Attic - R30 to R38 - Heating Zone 2 (Electric FAF)ATTIC R30 - R38 (cooling savings)</v>
      </c>
      <c r="B224" s="307" t="s">
        <v>1251</v>
      </c>
      <c r="C224" s="307" t="s">
        <v>1326</v>
      </c>
      <c r="D224" s="308">
        <v>6.305276720453514E-3</v>
      </c>
      <c r="E224" s="309">
        <v>45</v>
      </c>
      <c r="F224" s="310"/>
      <c r="G224" s="311"/>
      <c r="H224" s="312" t="s">
        <v>209</v>
      </c>
      <c r="I224" s="304"/>
      <c r="J224" s="27"/>
      <c r="K224" s="27"/>
      <c r="L224" s="27"/>
      <c r="M224" s="27"/>
      <c r="N224" s="27"/>
      <c r="O224" s="27"/>
      <c r="P224" s="27"/>
      <c r="Q224" s="27"/>
    </row>
    <row r="225" spans="1:17">
      <c r="A225" t="str">
        <f t="shared" si="3"/>
        <v>Single Family Weatherization - Insulate Attic - R30 to R49 - Heating Zone 2 (Electric FAF)ATTIC R30 - R49 (cooling savings)</v>
      </c>
      <c r="B225" s="307" t="s">
        <v>112</v>
      </c>
      <c r="C225" s="307" t="s">
        <v>215</v>
      </c>
      <c r="D225" s="308">
        <v>1.1229349712849545E-2</v>
      </c>
      <c r="E225" s="309">
        <v>45</v>
      </c>
      <c r="F225" s="310"/>
      <c r="G225" s="311"/>
      <c r="H225" s="312" t="s">
        <v>209</v>
      </c>
      <c r="I225" s="304"/>
      <c r="J225" s="27"/>
      <c r="K225" s="27"/>
      <c r="L225" s="27"/>
      <c r="M225" s="27"/>
      <c r="N225" s="27"/>
      <c r="O225" s="27"/>
      <c r="P225" s="27"/>
      <c r="Q225" s="27"/>
    </row>
    <row r="226" spans="1:17">
      <c r="A226" t="str">
        <f t="shared" si="3"/>
        <v>Single Family Weatherization - Insulate Attic - R38 to R49 - Heating Zone 2 (Electric FAF)ATTIC R38 - R49 (cooling savings)</v>
      </c>
      <c r="B226" s="307" t="s">
        <v>113</v>
      </c>
      <c r="C226" s="307" t="s">
        <v>216</v>
      </c>
      <c r="D226" s="308">
        <v>4.9240729923960289E-3</v>
      </c>
      <c r="E226" s="309">
        <v>45</v>
      </c>
      <c r="F226" s="310"/>
      <c r="G226" s="311"/>
      <c r="H226" s="312" t="s">
        <v>209</v>
      </c>
      <c r="I226" s="304"/>
      <c r="J226" s="27"/>
      <c r="K226" s="27"/>
      <c r="L226" s="27"/>
      <c r="M226" s="27"/>
      <c r="N226" s="27"/>
      <c r="O226" s="27"/>
      <c r="P226" s="27"/>
      <c r="Q226" s="27"/>
    </row>
    <row r="227" spans="1:17">
      <c r="A227" t="str">
        <f t="shared" si="3"/>
        <v>Single Family Weatherization - Insulate Wall - R0 to R11 - Heating Zone 2 (Electric FAF)WALL R0 - R11 (cooling savings)</v>
      </c>
      <c r="B227" s="307" t="s">
        <v>114</v>
      </c>
      <c r="C227" s="307" t="s">
        <v>217</v>
      </c>
      <c r="D227" s="308">
        <v>5.4136924032225031E-2</v>
      </c>
      <c r="E227" s="309">
        <v>45</v>
      </c>
      <c r="F227" s="310"/>
      <c r="G227" s="311"/>
      <c r="H227" s="312" t="s">
        <v>209</v>
      </c>
      <c r="I227" s="304"/>
      <c r="J227" s="27"/>
      <c r="K227" s="27"/>
      <c r="L227" s="27"/>
      <c r="M227" s="27"/>
      <c r="N227" s="27"/>
      <c r="O227" s="27"/>
      <c r="P227" s="27"/>
      <c r="Q227" s="27"/>
    </row>
    <row r="228" spans="1:17">
      <c r="A228" t="str">
        <f t="shared" si="3"/>
        <v>Single Family Weatherization - Insulate Floor - R0 to R19 - Heating Zone 2 (Electric FAF)FLOOR R0 - R19 (cooling savings)</v>
      </c>
      <c r="B228" s="307" t="s">
        <v>115</v>
      </c>
      <c r="C228" s="307" t="s">
        <v>218</v>
      </c>
      <c r="D228" s="308">
        <v>-6.3381561014863599E-2</v>
      </c>
      <c r="E228" s="309">
        <v>45</v>
      </c>
      <c r="F228" s="310"/>
      <c r="G228" s="311"/>
      <c r="H228" s="312" t="s">
        <v>209</v>
      </c>
      <c r="I228" s="304"/>
      <c r="J228" s="27"/>
      <c r="K228" s="27"/>
      <c r="L228" s="27"/>
      <c r="M228" s="27"/>
      <c r="N228" s="27"/>
      <c r="O228" s="27"/>
      <c r="P228" s="27"/>
      <c r="Q228" s="27"/>
    </row>
    <row r="229" spans="1:17">
      <c r="A229" t="str">
        <f t="shared" si="3"/>
        <v>Single Family Weatherization - Insulate Floor - R0 to R25 - Heating Zone 2 (Electric FAF)FLOOR R0 - R25 (cooling savings)</v>
      </c>
      <c r="B229" s="307" t="s">
        <v>116</v>
      </c>
      <c r="C229" s="307" t="s">
        <v>219</v>
      </c>
      <c r="D229" s="308">
        <v>-7.0369038681746418E-2</v>
      </c>
      <c r="E229" s="309">
        <v>45</v>
      </c>
      <c r="F229" s="310"/>
      <c r="G229" s="311"/>
      <c r="H229" s="312" t="s">
        <v>209</v>
      </c>
      <c r="I229" s="304"/>
      <c r="J229" s="27"/>
      <c r="K229" s="27"/>
      <c r="L229" s="27"/>
      <c r="M229" s="27"/>
      <c r="N229" s="27"/>
      <c r="O229" s="27"/>
      <c r="P229" s="27"/>
      <c r="Q229" s="27"/>
    </row>
    <row r="230" spans="1:17">
      <c r="A230" t="str">
        <f t="shared" si="3"/>
        <v>Single Family Weatherization - Insulate Floor - R0 to R30 - Heating Zone 2 (Electric FAF)FLOOR R0 - R30 (cooling savings)</v>
      </c>
      <c r="B230" s="307" t="s">
        <v>117</v>
      </c>
      <c r="C230" s="307" t="s">
        <v>220</v>
      </c>
      <c r="D230" s="308">
        <v>-7.4926055178553219E-2</v>
      </c>
      <c r="E230" s="309">
        <v>45</v>
      </c>
      <c r="F230" s="310"/>
      <c r="G230" s="311"/>
      <c r="H230" s="312" t="s">
        <v>209</v>
      </c>
      <c r="I230" s="304"/>
      <c r="J230" s="27"/>
      <c r="K230" s="27"/>
      <c r="L230" s="27"/>
      <c r="M230" s="27"/>
      <c r="N230" s="27"/>
      <c r="O230" s="27"/>
      <c r="P230" s="27"/>
      <c r="Q230" s="27"/>
    </row>
    <row r="231" spans="1:17">
      <c r="A231" t="str">
        <f t="shared" si="3"/>
        <v>Single Family Weatherization - Insulate Floor - R19 to R30 - Heating Zone 2 (Electric FAF)FLOOR R19 - R30 (cooling savings)</v>
      </c>
      <c r="B231" s="307" t="s">
        <v>1252</v>
      </c>
      <c r="C231" s="307" t="s">
        <v>1327</v>
      </c>
      <c r="D231" s="308">
        <v>-1.1544494163689615E-2</v>
      </c>
      <c r="E231" s="309">
        <v>45</v>
      </c>
      <c r="F231" s="310"/>
      <c r="G231" s="311"/>
      <c r="H231" s="312" t="s">
        <v>209</v>
      </c>
      <c r="I231" s="304"/>
      <c r="J231" s="27"/>
      <c r="K231" s="27"/>
      <c r="L231" s="27"/>
      <c r="M231" s="27"/>
      <c r="N231" s="27"/>
      <c r="O231" s="27"/>
      <c r="P231" s="27"/>
      <c r="Q231" s="27"/>
    </row>
    <row r="232" spans="1:17">
      <c r="A232" t="str">
        <f t="shared" si="3"/>
        <v>Windows - Single Pane to Class 30 - Heating Zone 2 (Electric FAF)WINDOW CL30 Prime Window Replacement of Single Pane Base (cooling savings)</v>
      </c>
      <c r="B232" s="307" t="s">
        <v>118</v>
      </c>
      <c r="C232" s="307" t="s">
        <v>221</v>
      </c>
      <c r="D232" s="308">
        <v>1.0418083612959532</v>
      </c>
      <c r="E232" s="302">
        <v>45</v>
      </c>
      <c r="F232" s="310"/>
      <c r="G232" s="311"/>
      <c r="H232" s="312" t="s">
        <v>209</v>
      </c>
      <c r="I232" s="304"/>
      <c r="J232" s="27"/>
      <c r="K232" s="27"/>
      <c r="L232" s="27"/>
      <c r="M232" s="27"/>
      <c r="N232" s="27"/>
      <c r="O232" s="27"/>
      <c r="P232" s="27"/>
      <c r="Q232" s="27"/>
    </row>
    <row r="233" spans="1:17">
      <c r="A233" t="str">
        <f t="shared" si="3"/>
        <v>Windows - Double Pane to Class 30 - Heating Zone 2 (Electric FAF)WINDOW CL30 Prime Window Replacement of Double Pane Base (cooling savings)</v>
      </c>
      <c r="B233" s="307" t="s">
        <v>119</v>
      </c>
      <c r="C233" s="307" t="s">
        <v>222</v>
      </c>
      <c r="D233" s="308">
        <v>1.3090521212917832</v>
      </c>
      <c r="E233" s="302">
        <v>45</v>
      </c>
      <c r="F233" s="310"/>
      <c r="G233" s="311"/>
      <c r="H233" s="312" t="s">
        <v>209</v>
      </c>
      <c r="I233" s="304"/>
      <c r="J233" s="27"/>
      <c r="K233" s="27"/>
      <c r="L233" s="27"/>
      <c r="M233" s="27"/>
      <c r="N233" s="27"/>
      <c r="O233" s="27"/>
      <c r="P233" s="27"/>
      <c r="Q233" s="27"/>
    </row>
    <row r="234" spans="1:17">
      <c r="A234" t="str">
        <f t="shared" si="3"/>
        <v>Windows - Class 35 to Class 30 - Heating Zone 2 (Electric FAF)WINDOW CL35 to CL30 Upgrade (cooling savings)</v>
      </c>
      <c r="B234" s="307" t="s">
        <v>120</v>
      </c>
      <c r="C234" s="307" t="s">
        <v>223</v>
      </c>
      <c r="D234" s="308">
        <v>3.0444097700736181E-2</v>
      </c>
      <c r="E234" s="302">
        <v>45</v>
      </c>
      <c r="F234" s="310"/>
      <c r="G234" s="311"/>
      <c r="H234" s="312" t="s">
        <v>209</v>
      </c>
      <c r="I234" s="304"/>
      <c r="J234" s="27"/>
      <c r="K234" s="27"/>
      <c r="L234" s="27"/>
      <c r="M234" s="27"/>
      <c r="N234" s="27"/>
      <c r="O234" s="27"/>
      <c r="P234" s="27"/>
      <c r="Q234" s="27"/>
    </row>
    <row r="235" spans="1:17">
      <c r="A235" t="str">
        <f t="shared" si="3"/>
        <v>Windows - Single Pane to Class 22 - Heating Zone 2 (Electric FAF)WINDOW CL22 Prime Window Replacement of Single Pane Base (cooling savings)</v>
      </c>
      <c r="B235" s="307" t="s">
        <v>121</v>
      </c>
      <c r="C235" s="307" t="s">
        <v>224</v>
      </c>
      <c r="D235" s="308">
        <v>1.1216998557750015</v>
      </c>
      <c r="E235" s="302">
        <v>45</v>
      </c>
      <c r="F235" s="310"/>
      <c r="G235" s="311"/>
      <c r="H235" s="312" t="s">
        <v>209</v>
      </c>
      <c r="I235" s="304"/>
      <c r="J235" s="27"/>
      <c r="K235" s="27"/>
      <c r="L235" s="27"/>
      <c r="M235" s="27"/>
      <c r="N235" s="27"/>
      <c r="O235" s="27"/>
      <c r="P235" s="27"/>
      <c r="Q235" s="27"/>
    </row>
    <row r="236" spans="1:17">
      <c r="A236" t="str">
        <f t="shared" si="3"/>
        <v>Windows - Double Pane to Class 22 - Heating Zone 2 (Electric FAF)WINDOW CL22 Prime Window Replacement of Double Pane Base (cooling savings)</v>
      </c>
      <c r="B236" s="307" t="s">
        <v>122</v>
      </c>
      <c r="C236" s="307" t="s">
        <v>225</v>
      </c>
      <c r="D236" s="308">
        <v>1.3889436157708315</v>
      </c>
      <c r="E236" s="302">
        <v>45</v>
      </c>
      <c r="F236" s="310"/>
      <c r="G236" s="311"/>
      <c r="H236" s="312" t="s">
        <v>209</v>
      </c>
      <c r="I236" s="304"/>
      <c r="J236" s="27"/>
      <c r="K236" s="27"/>
      <c r="L236" s="27"/>
      <c r="M236" s="27"/>
      <c r="N236" s="27"/>
      <c r="O236" s="27"/>
      <c r="P236" s="27"/>
      <c r="Q236" s="27"/>
    </row>
    <row r="237" spans="1:17">
      <c r="A237" t="str">
        <f t="shared" si="3"/>
        <v>Windows - Class 35 to Class 22 - Heating Zone 2 (Electric FAF)WINDOW CL35 to CL22 Upgrade (cooling savings)</v>
      </c>
      <c r="B237" s="307" t="s">
        <v>123</v>
      </c>
      <c r="C237" s="307" t="s">
        <v>226</v>
      </c>
      <c r="D237" s="308">
        <v>0.11033559217978431</v>
      </c>
      <c r="E237" s="302">
        <v>45</v>
      </c>
      <c r="F237" s="310"/>
      <c r="G237" s="311"/>
      <c r="H237" s="312" t="s">
        <v>209</v>
      </c>
      <c r="I237" s="304"/>
      <c r="J237" s="27"/>
      <c r="K237" s="27"/>
      <c r="L237" s="27"/>
      <c r="M237" s="27"/>
      <c r="N237" s="27"/>
      <c r="O237" s="27"/>
      <c r="P237" s="27"/>
      <c r="Q237" s="27"/>
    </row>
    <row r="238" spans="1:17">
      <c r="A238" t="str">
        <f t="shared" si="3"/>
        <v>Infiltration Reduction - CFM50 reduction - Heating Zone 2 (Electric FAF)CFM50 Infiltration Reduction (cooling savings)</v>
      </c>
      <c r="B238" s="307" t="s">
        <v>124</v>
      </c>
      <c r="C238" s="307" t="s">
        <v>890</v>
      </c>
      <c r="D238" s="308">
        <v>6.0408411540371146E-3</v>
      </c>
      <c r="E238" s="309">
        <v>15</v>
      </c>
      <c r="F238" s="310"/>
      <c r="G238" s="311"/>
      <c r="H238" s="312" t="s">
        <v>209</v>
      </c>
      <c r="I238" s="304"/>
      <c r="J238" s="27"/>
      <c r="K238" s="27"/>
      <c r="L238" s="27"/>
      <c r="M238" s="27"/>
      <c r="N238" s="27"/>
      <c r="O238" s="27"/>
      <c r="P238" s="27"/>
      <c r="Q238" s="27"/>
    </row>
    <row r="239" spans="1:17">
      <c r="A239" t="str">
        <f t="shared" si="3"/>
        <v>Single Family Weatherization - Insulate Attic - R0 to R38 - Heating Zone 3 (Electric FAF)ATTIC R0 - R38 (cooling savings)</v>
      </c>
      <c r="B239" s="307" t="s">
        <v>125</v>
      </c>
      <c r="C239" s="307" t="s">
        <v>208</v>
      </c>
      <c r="D239" s="308">
        <v>0.23408641048372159</v>
      </c>
      <c r="E239" s="309">
        <v>45</v>
      </c>
      <c r="F239" s="310"/>
      <c r="G239" s="311"/>
      <c r="H239" s="312" t="s">
        <v>209</v>
      </c>
      <c r="I239" s="304"/>
      <c r="J239" s="27"/>
      <c r="K239" s="27"/>
      <c r="L239" s="27"/>
      <c r="M239" s="27"/>
      <c r="N239" s="27"/>
      <c r="O239" s="27"/>
      <c r="P239" s="27"/>
      <c r="Q239" s="27"/>
    </row>
    <row r="240" spans="1:17">
      <c r="A240" t="str">
        <f t="shared" si="3"/>
        <v>Single Family Weatherization - Insulate Attic - R0 to R49 - Heating Zone 3 (Electric FAF)ATTIC R0 - R49 (cooling savings)</v>
      </c>
      <c r="B240" s="307" t="s">
        <v>127</v>
      </c>
      <c r="C240" s="307" t="s">
        <v>210</v>
      </c>
      <c r="D240" s="308">
        <v>0.23614518878380877</v>
      </c>
      <c r="E240" s="309">
        <v>45</v>
      </c>
      <c r="F240" s="310"/>
      <c r="G240" s="311"/>
      <c r="H240" s="312" t="s">
        <v>209</v>
      </c>
      <c r="I240" s="304"/>
      <c r="J240" s="27"/>
      <c r="K240" s="27"/>
      <c r="L240" s="27"/>
      <c r="M240" s="27"/>
      <c r="N240" s="27"/>
      <c r="O240" s="27"/>
      <c r="P240" s="27"/>
      <c r="Q240" s="27"/>
    </row>
    <row r="241" spans="1:17">
      <c r="A241" t="str">
        <f t="shared" si="3"/>
        <v>Single Family Weatherization - Insulate Attic - R11 to R38 - Heating Zone 3 (Electric FAF)ATTIC R11 - R38 (cooling savings)</v>
      </c>
      <c r="B241" s="307" t="s">
        <v>128</v>
      </c>
      <c r="C241" s="307" t="s">
        <v>211</v>
      </c>
      <c r="D241" s="308">
        <v>2.6724675984842943E-2</v>
      </c>
      <c r="E241" s="309">
        <v>45</v>
      </c>
      <c r="F241" s="310"/>
      <c r="G241" s="311"/>
      <c r="H241" s="312" t="s">
        <v>209</v>
      </c>
      <c r="I241" s="304"/>
      <c r="J241" s="27"/>
      <c r="K241" s="27"/>
      <c r="L241" s="27"/>
      <c r="M241" s="27"/>
      <c r="N241" s="27"/>
      <c r="O241" s="27"/>
      <c r="P241" s="27"/>
      <c r="Q241" s="27"/>
    </row>
    <row r="242" spans="1:17">
      <c r="A242" t="str">
        <f t="shared" si="3"/>
        <v>Single Family Weatherization - Insulate Attic - R11 to R49 - Heating Zone 3 (Electric FAF)ATTIC R11 - R49 (cooling savings)</v>
      </c>
      <c r="B242" s="307" t="s">
        <v>129</v>
      </c>
      <c r="C242" s="307" t="s">
        <v>212</v>
      </c>
      <c r="D242" s="308">
        <v>2.8783454284930128E-2</v>
      </c>
      <c r="E242" s="309">
        <v>45</v>
      </c>
      <c r="F242" s="310"/>
      <c r="G242" s="311"/>
      <c r="H242" s="312" t="s">
        <v>209</v>
      </c>
      <c r="I242" s="304"/>
      <c r="J242" s="27"/>
      <c r="K242" s="27"/>
      <c r="L242" s="27"/>
      <c r="M242" s="27"/>
      <c r="N242" s="27"/>
      <c r="O242" s="27"/>
      <c r="P242" s="27"/>
      <c r="Q242" s="27"/>
    </row>
    <row r="243" spans="1:17">
      <c r="A243" t="str">
        <f t="shared" si="3"/>
        <v>Single Family Weatherization - Insulate Attic - R19 to R38 - Heating Zone 3 (Electric FAF)ATTIC R19 - R38 (cooling savings)</v>
      </c>
      <c r="B243" s="307" t="s">
        <v>130</v>
      </c>
      <c r="C243" s="307" t="s">
        <v>213</v>
      </c>
      <c r="D243" s="308">
        <v>1.053253545052537E-2</v>
      </c>
      <c r="E243" s="309">
        <v>45</v>
      </c>
      <c r="F243" s="310"/>
      <c r="G243" s="311"/>
      <c r="H243" s="312" t="s">
        <v>209</v>
      </c>
      <c r="I243" s="304"/>
      <c r="J243" s="27"/>
      <c r="K243" s="27"/>
      <c r="L243" s="27"/>
      <c r="M243" s="27"/>
      <c r="N243" s="27"/>
      <c r="O243" s="27"/>
      <c r="P243" s="27"/>
      <c r="Q243" s="27"/>
    </row>
    <row r="244" spans="1:17">
      <c r="A244" t="str">
        <f t="shared" si="3"/>
        <v>Single Family Weatherization - Insulate Attic - R19 to R49 - Heating Zone 3 (Electric FAF)ATTIC R19 - R49 (cooling savings)</v>
      </c>
      <c r="B244" s="307" t="s">
        <v>131</v>
      </c>
      <c r="C244" s="307" t="s">
        <v>214</v>
      </c>
      <c r="D244" s="308">
        <v>1.2591313750612555E-2</v>
      </c>
      <c r="E244" s="309">
        <v>45</v>
      </c>
      <c r="F244" s="310"/>
      <c r="G244" s="311"/>
      <c r="H244" s="312" t="s">
        <v>209</v>
      </c>
      <c r="I244" s="304"/>
      <c r="J244" s="27"/>
      <c r="K244" s="27"/>
      <c r="L244" s="27"/>
      <c r="M244" s="27"/>
      <c r="N244" s="27"/>
      <c r="O244" s="27"/>
      <c r="P244" s="27"/>
      <c r="Q244" s="27"/>
    </row>
    <row r="245" spans="1:17">
      <c r="A245" t="str">
        <f t="shared" si="3"/>
        <v>Single Family Weatherization - Insulate Attic - R30 to R38 - Heating Zone 3 (Electric FAF)ATTIC R30 - R38 (cooling savings)</v>
      </c>
      <c r="B245" s="307" t="s">
        <v>1254</v>
      </c>
      <c r="C245" s="307" t="s">
        <v>1326</v>
      </c>
      <c r="D245" s="308">
        <v>2.6731974426564124E-3</v>
      </c>
      <c r="E245" s="309">
        <v>45</v>
      </c>
      <c r="F245" s="310"/>
      <c r="G245" s="311"/>
      <c r="H245" s="312" t="s">
        <v>209</v>
      </c>
      <c r="I245" s="304"/>
      <c r="J245" s="27"/>
      <c r="K245" s="27"/>
      <c r="L245" s="27"/>
      <c r="M245" s="27"/>
      <c r="N245" s="27"/>
      <c r="O245" s="27"/>
      <c r="P245" s="27"/>
      <c r="Q245" s="27"/>
    </row>
    <row r="246" spans="1:17">
      <c r="A246" t="str">
        <f t="shared" si="3"/>
        <v>Single Family Weatherization - Insulate Attic - R30 to R49 - Heating Zone 3 (Electric FAF)ATTIC R30 - R49 (cooling savings)</v>
      </c>
      <c r="B246" s="307" t="s">
        <v>132</v>
      </c>
      <c r="C246" s="307" t="s">
        <v>215</v>
      </c>
      <c r="D246" s="308">
        <v>4.7319757427435995E-3</v>
      </c>
      <c r="E246" s="309">
        <v>45</v>
      </c>
      <c r="F246" s="310"/>
      <c r="G246" s="311"/>
      <c r="H246" s="312" t="s">
        <v>209</v>
      </c>
      <c r="I246" s="304"/>
      <c r="J246" s="27"/>
      <c r="K246" s="27"/>
      <c r="L246" s="27"/>
      <c r="M246" s="27"/>
      <c r="N246" s="27"/>
      <c r="O246" s="27"/>
      <c r="P246" s="27"/>
      <c r="Q246" s="27"/>
    </row>
    <row r="247" spans="1:17">
      <c r="A247" t="str">
        <f t="shared" si="3"/>
        <v>Single Family Weatherization - Insulate Attic - R38 to R49 - Heating Zone 3 (Electric FAF)ATTIC R38 - R49 (cooling savings)</v>
      </c>
      <c r="B247" s="307" t="s">
        <v>133</v>
      </c>
      <c r="C247" s="307" t="s">
        <v>216</v>
      </c>
      <c r="D247" s="308">
        <v>2.0587783000871871E-3</v>
      </c>
      <c r="E247" s="309">
        <v>45</v>
      </c>
      <c r="F247" s="310"/>
      <c r="G247" s="311"/>
      <c r="H247" s="312" t="s">
        <v>209</v>
      </c>
      <c r="I247" s="304"/>
      <c r="J247" s="27"/>
      <c r="K247" s="27"/>
      <c r="L247" s="27"/>
      <c r="M247" s="27"/>
      <c r="N247" s="27"/>
      <c r="O247" s="27"/>
      <c r="P247" s="27"/>
      <c r="Q247" s="27"/>
    </row>
    <row r="248" spans="1:17">
      <c r="A248" t="str">
        <f t="shared" si="3"/>
        <v>Single Family Weatherization - Insulate Wall - R0 to R11 - Heating Zone 3 (Electric FAF)WALL R0 - R11 (cooling savings)</v>
      </c>
      <c r="B248" s="307" t="s">
        <v>134</v>
      </c>
      <c r="C248" s="307" t="s">
        <v>217</v>
      </c>
      <c r="D248" s="308">
        <v>9.1128269451804435E-3</v>
      </c>
      <c r="E248" s="309">
        <v>45</v>
      </c>
      <c r="F248" s="310"/>
      <c r="G248" s="311"/>
      <c r="H248" s="312" t="s">
        <v>209</v>
      </c>
      <c r="I248" s="304"/>
      <c r="J248" s="27"/>
      <c r="K248" s="27"/>
      <c r="L248" s="27"/>
      <c r="M248" s="27"/>
      <c r="N248" s="27"/>
      <c r="O248" s="27"/>
      <c r="P248" s="27"/>
      <c r="Q248" s="27"/>
    </row>
    <row r="249" spans="1:17">
      <c r="A249" t="str">
        <f t="shared" si="3"/>
        <v>Single Family Weatherization - Insulate Floor - R0 to R19 - Heating Zone 3 (Electric FAF)FLOOR R0 - R19 (cooling savings)</v>
      </c>
      <c r="B249" s="307" t="s">
        <v>135</v>
      </c>
      <c r="C249" s="307" t="s">
        <v>218</v>
      </c>
      <c r="D249" s="308">
        <v>-3.5487921588964827E-2</v>
      </c>
      <c r="E249" s="309">
        <v>45</v>
      </c>
      <c r="F249" s="310"/>
      <c r="G249" s="311"/>
      <c r="H249" s="312" t="s">
        <v>209</v>
      </c>
      <c r="I249" s="304"/>
      <c r="J249" s="27"/>
      <c r="K249" s="27"/>
      <c r="L249" s="27"/>
      <c r="M249" s="27"/>
      <c r="N249" s="27"/>
      <c r="O249" s="27"/>
      <c r="P249" s="27"/>
      <c r="Q249" s="27"/>
    </row>
    <row r="250" spans="1:17">
      <c r="A250" t="str">
        <f t="shared" si="3"/>
        <v>Single Family Weatherization - Insulate Floor - R0 to R25 - Heating Zone 3 (Electric FAF)FLOOR R0 - R25 (cooling savings)</v>
      </c>
      <c r="B250" s="307" t="s">
        <v>136</v>
      </c>
      <c r="C250" s="307" t="s">
        <v>219</v>
      </c>
      <c r="D250" s="308">
        <v>-4.0373009508757371E-2</v>
      </c>
      <c r="E250" s="309">
        <v>45</v>
      </c>
      <c r="F250" s="310"/>
      <c r="G250" s="311"/>
      <c r="H250" s="312" t="s">
        <v>209</v>
      </c>
      <c r="I250" s="304"/>
      <c r="J250" s="27"/>
      <c r="K250" s="27"/>
      <c r="L250" s="27"/>
      <c r="M250" s="27"/>
      <c r="N250" s="27"/>
      <c r="O250" s="27"/>
      <c r="P250" s="27"/>
      <c r="Q250" s="27"/>
    </row>
    <row r="251" spans="1:17">
      <c r="A251" t="str">
        <f t="shared" si="3"/>
        <v>Single Family Weatherization - Insulate Floor - R0 to R30 - Heating Zone 3 (Electric FAF)FLOOR R0 - R30 (cooling savings)</v>
      </c>
      <c r="B251" s="307" t="s">
        <v>137</v>
      </c>
      <c r="C251" s="307" t="s">
        <v>220</v>
      </c>
      <c r="D251" s="308">
        <v>-4.3652495349199821E-2</v>
      </c>
      <c r="E251" s="309">
        <v>45</v>
      </c>
      <c r="F251" s="310"/>
      <c r="G251" s="311"/>
      <c r="H251" s="312" t="s">
        <v>209</v>
      </c>
      <c r="I251" s="304"/>
      <c r="J251" s="27"/>
      <c r="K251" s="27"/>
      <c r="L251" s="27"/>
      <c r="M251" s="27"/>
      <c r="N251" s="27"/>
      <c r="O251" s="27"/>
      <c r="P251" s="27"/>
      <c r="Q251" s="27"/>
    </row>
    <row r="252" spans="1:17">
      <c r="A252" t="str">
        <f t="shared" si="3"/>
        <v>Single Family Weatherization - Insulate Floor - R19 to R30 - Heating Zone 3 (Electric FAF)FLOOR R19 - R30 (cooling savings)</v>
      </c>
      <c r="B252" s="307" t="s">
        <v>1255</v>
      </c>
      <c r="C252" s="307" t="s">
        <v>1327</v>
      </c>
      <c r="D252" s="308">
        <v>-8.1645737602349857E-3</v>
      </c>
      <c r="E252" s="309">
        <v>45</v>
      </c>
      <c r="F252" s="310"/>
      <c r="G252" s="311"/>
      <c r="H252" s="312" t="s">
        <v>209</v>
      </c>
      <c r="I252" s="304"/>
      <c r="J252" s="27"/>
      <c r="K252" s="27"/>
      <c r="L252" s="27"/>
      <c r="M252" s="27"/>
      <c r="N252" s="27"/>
      <c r="O252" s="27"/>
      <c r="P252" s="27"/>
      <c r="Q252" s="27"/>
    </row>
    <row r="253" spans="1:17">
      <c r="A253" t="str">
        <f t="shared" si="3"/>
        <v>Windows - Single Pane to Class 30 - Heating Zone 3 (Electric FAF)WINDOW CL30 Prime Window Replacement of Single Pane Base (cooling savings)</v>
      </c>
      <c r="B253" s="307" t="s">
        <v>138</v>
      </c>
      <c r="C253" s="307" t="s">
        <v>221</v>
      </c>
      <c r="D253" s="308">
        <v>0.45663176854298076</v>
      </c>
      <c r="E253" s="302">
        <v>45</v>
      </c>
      <c r="F253" s="310"/>
      <c r="G253" s="311"/>
      <c r="H253" s="312" t="s">
        <v>209</v>
      </c>
      <c r="I253" s="304"/>
      <c r="J253" s="27"/>
      <c r="K253" s="27"/>
      <c r="L253" s="27"/>
      <c r="M253" s="27"/>
      <c r="N253" s="27"/>
      <c r="O253" s="27"/>
      <c r="P253" s="27"/>
      <c r="Q253" s="27"/>
    </row>
    <row r="254" spans="1:17">
      <c r="A254" t="str">
        <f t="shared" si="3"/>
        <v>Windows - Double Pane to Class 30 - Heating Zone 3 (Electric FAF)WINDOW CL30 Prime Window Replacement of Double Pane Base (cooling savings)</v>
      </c>
      <c r="B254" s="307" t="s">
        <v>139</v>
      </c>
      <c r="C254" s="307" t="s">
        <v>222</v>
      </c>
      <c r="D254" s="308">
        <v>0.67484022733854121</v>
      </c>
      <c r="E254" s="302">
        <v>45</v>
      </c>
      <c r="F254" s="310"/>
      <c r="G254" s="311"/>
      <c r="H254" s="312" t="s">
        <v>209</v>
      </c>
      <c r="I254" s="304"/>
      <c r="J254" s="27"/>
      <c r="K254" s="27"/>
      <c r="L254" s="27"/>
      <c r="M254" s="27"/>
      <c r="N254" s="27"/>
      <c r="O254" s="27"/>
      <c r="P254" s="27"/>
      <c r="Q254" s="27"/>
    </row>
    <row r="255" spans="1:17">
      <c r="A255" t="str">
        <f t="shared" si="3"/>
        <v>Windows - Class 35 to Class 30 - Heating Zone 3 (Electric FAF)WINDOW CL35 to CL30 Upgrade (cooling savings)</v>
      </c>
      <c r="B255" s="307" t="s">
        <v>140</v>
      </c>
      <c r="C255" s="307" t="s">
        <v>223</v>
      </c>
      <c r="D255" s="308">
        <v>7.4466357627055507E-3</v>
      </c>
      <c r="E255" s="302">
        <v>45</v>
      </c>
      <c r="F255" s="310"/>
      <c r="G255" s="311"/>
      <c r="H255" s="312" t="s">
        <v>209</v>
      </c>
      <c r="I255" s="304"/>
      <c r="J255" s="27"/>
      <c r="K255" s="27"/>
      <c r="L255" s="27"/>
      <c r="M255" s="27"/>
      <c r="N255" s="27"/>
      <c r="O255" s="27"/>
      <c r="P255" s="27"/>
      <c r="Q255" s="27"/>
    </row>
    <row r="256" spans="1:17">
      <c r="A256" t="str">
        <f t="shared" si="3"/>
        <v>Windows - Single Pane to Class 22 - Heating Zone 3 (Electric FAF)WINDOW CL22 Prime Window Replacement of Single Pane Base (cooling savings)</v>
      </c>
      <c r="B256" s="307" t="s">
        <v>141</v>
      </c>
      <c r="C256" s="307" t="s">
        <v>224</v>
      </c>
      <c r="D256" s="308">
        <v>0.48515940302333871</v>
      </c>
      <c r="E256" s="302">
        <v>45</v>
      </c>
      <c r="F256" s="310"/>
      <c r="G256" s="311"/>
      <c r="H256" s="312" t="s">
        <v>209</v>
      </c>
      <c r="I256" s="304"/>
      <c r="J256" s="27"/>
      <c r="K256" s="27"/>
      <c r="L256" s="27"/>
      <c r="M256" s="27"/>
      <c r="N256" s="27"/>
      <c r="O256" s="27"/>
      <c r="P256" s="27"/>
      <c r="Q256" s="27"/>
    </row>
    <row r="257" spans="1:17">
      <c r="A257" t="str">
        <f t="shared" si="3"/>
        <v>Windows - Double Pane to Class 22 - Heating Zone 3 (Electric FAF)WINDOW CL22 Prime Window Replacement of Double Pane Base (cooling savings)</v>
      </c>
      <c r="B257" s="307" t="s">
        <v>142</v>
      </c>
      <c r="C257" s="307" t="s">
        <v>225</v>
      </c>
      <c r="D257" s="308">
        <v>0.70336786181889932</v>
      </c>
      <c r="E257" s="302">
        <v>45</v>
      </c>
      <c r="F257" s="310"/>
      <c r="G257" s="311"/>
      <c r="H257" s="312" t="s">
        <v>209</v>
      </c>
      <c r="I257" s="304"/>
      <c r="J257" s="27"/>
      <c r="K257" s="27"/>
      <c r="L257" s="27"/>
      <c r="M257" s="27"/>
      <c r="N257" s="27"/>
      <c r="O257" s="27"/>
      <c r="P257" s="27"/>
      <c r="Q257" s="27"/>
    </row>
    <row r="258" spans="1:17">
      <c r="A258" t="str">
        <f t="shared" si="3"/>
        <v>Windows - Class 35 to Class 22 - Heating Zone 3 (Electric FAF)WINDOW CL35 to CL22 Upgrade (cooling savings)</v>
      </c>
      <c r="B258" s="307" t="s">
        <v>143</v>
      </c>
      <c r="C258" s="307" t="s">
        <v>226</v>
      </c>
      <c r="D258" s="308">
        <v>3.5974270243063627E-2</v>
      </c>
      <c r="E258" s="302">
        <v>45</v>
      </c>
      <c r="F258" s="310"/>
      <c r="G258" s="311"/>
      <c r="H258" s="312" t="s">
        <v>209</v>
      </c>
      <c r="I258" s="304"/>
      <c r="J258" s="27"/>
      <c r="K258" s="27"/>
      <c r="L258" s="27"/>
      <c r="M258" s="27"/>
      <c r="N258" s="27"/>
      <c r="O258" s="27"/>
      <c r="P258" s="27"/>
      <c r="Q258" s="27"/>
    </row>
    <row r="259" spans="1:17">
      <c r="A259" t="str">
        <f t="shared" si="3"/>
        <v>Infiltration Reduction - CFM50 reduction - Heating Zone 3 (Electric FAF)CFM50 Infiltration Reduction (cooling savings)</v>
      </c>
      <c r="B259" s="307" t="s">
        <v>144</v>
      </c>
      <c r="C259" s="307" t="s">
        <v>890</v>
      </c>
      <c r="D259" s="308">
        <v>-6.6684502435276193E-3</v>
      </c>
      <c r="E259" s="309">
        <v>15</v>
      </c>
      <c r="F259" s="310"/>
      <c r="G259" s="311"/>
      <c r="H259" s="312" t="s">
        <v>209</v>
      </c>
      <c r="I259" s="304"/>
      <c r="J259" s="27"/>
      <c r="K259" s="27"/>
      <c r="L259" s="27"/>
      <c r="M259" s="27"/>
      <c r="N259" s="27"/>
      <c r="O259" s="27"/>
      <c r="P259" s="27"/>
      <c r="Q259" s="27"/>
    </row>
    <row r="260" spans="1:17">
      <c r="A260" t="str">
        <f t="shared" si="3"/>
        <v>Single Family Weatherization - Insulate Attic - R0 to R38 - Heating Zone 1 (Zonal or DHP)ATTIC R0 - R38 (cooling savings)</v>
      </c>
      <c r="B260" s="307" t="s">
        <v>1256</v>
      </c>
      <c r="C260" s="307" t="s">
        <v>208</v>
      </c>
      <c r="D260" s="308">
        <v>0.22174864777961026</v>
      </c>
      <c r="E260" s="309">
        <v>45</v>
      </c>
      <c r="F260" s="310"/>
      <c r="G260" s="311"/>
      <c r="H260" s="312" t="s">
        <v>209</v>
      </c>
      <c r="I260" s="304"/>
      <c r="J260" s="27"/>
      <c r="K260" s="27"/>
      <c r="L260" s="27"/>
      <c r="M260" s="27"/>
      <c r="N260" s="27"/>
      <c r="O260" s="27"/>
      <c r="P260" s="27"/>
      <c r="Q260" s="27"/>
    </row>
    <row r="261" spans="1:17">
      <c r="A261" t="str">
        <f t="shared" si="3"/>
        <v>Single Family Weatherization - Insulate Attic - R0 to R49 - Heating Zone 1 (Zonal or DHP)ATTIC R0 - R49 (cooling savings)</v>
      </c>
      <c r="B261" s="307" t="s">
        <v>1257</v>
      </c>
      <c r="C261" s="307" t="s">
        <v>210</v>
      </c>
      <c r="D261" s="308">
        <v>0.22438477224292669</v>
      </c>
      <c r="E261" s="309">
        <v>45</v>
      </c>
      <c r="F261" s="310"/>
      <c r="G261" s="311"/>
      <c r="H261" s="312" t="s">
        <v>209</v>
      </c>
      <c r="I261" s="304"/>
      <c r="J261" s="27"/>
      <c r="K261" s="27"/>
      <c r="L261" s="27"/>
      <c r="M261" s="27"/>
      <c r="N261" s="27"/>
      <c r="O261" s="27"/>
      <c r="P261" s="27"/>
      <c r="Q261" s="27"/>
    </row>
    <row r="262" spans="1:17">
      <c r="A262" t="str">
        <f t="shared" si="3"/>
        <v>Single Family Weatherization - Insulate Attic - R11 to R38 - Heating Zone 1 (Zonal or DHP)ATTIC R11 - R38 (cooling savings)</v>
      </c>
      <c r="B262" s="307" t="s">
        <v>1258</v>
      </c>
      <c r="C262" s="307" t="s">
        <v>211</v>
      </c>
      <c r="D262" s="308">
        <v>3.2019694422283855E-2</v>
      </c>
      <c r="E262" s="309">
        <v>45</v>
      </c>
      <c r="F262" s="310"/>
      <c r="G262" s="311"/>
      <c r="H262" s="312" t="s">
        <v>209</v>
      </c>
      <c r="I262" s="304"/>
      <c r="J262" s="27"/>
      <c r="K262" s="27"/>
      <c r="L262" s="27"/>
      <c r="M262" s="27"/>
      <c r="N262" s="27"/>
      <c r="O262" s="27"/>
      <c r="P262" s="27"/>
      <c r="Q262" s="27"/>
    </row>
    <row r="263" spans="1:17">
      <c r="A263" t="str">
        <f t="shared" si="3"/>
        <v>Single Family Weatherization - Insulate Attic - R11 to R49 - Heating Zone 1 (Zonal or DHP)ATTIC R11 - R49 (cooling savings)</v>
      </c>
      <c r="B263" s="307" t="s">
        <v>1259</v>
      </c>
      <c r="C263" s="307" t="s">
        <v>212</v>
      </c>
      <c r="D263" s="308">
        <v>3.465581888560032E-2</v>
      </c>
      <c r="E263" s="309">
        <v>45</v>
      </c>
      <c r="F263" s="310"/>
      <c r="G263" s="311"/>
      <c r="H263" s="312" t="s">
        <v>209</v>
      </c>
      <c r="I263" s="304"/>
      <c r="J263" s="27"/>
      <c r="K263" s="27"/>
      <c r="L263" s="27"/>
      <c r="M263" s="27"/>
      <c r="N263" s="27"/>
      <c r="O263" s="27"/>
      <c r="P263" s="27"/>
      <c r="Q263" s="27"/>
    </row>
    <row r="264" spans="1:17">
      <c r="A264" t="str">
        <f t="shared" si="3"/>
        <v>Single Family Weatherization - Insulate Attic - R19 to R38 - Heating Zone 1 (Zonal or DHP)ATTIC R19 - R38 (cooling savings)</v>
      </c>
      <c r="B264" s="307" t="s">
        <v>1260</v>
      </c>
      <c r="C264" s="307" t="s">
        <v>213</v>
      </c>
      <c r="D264" s="308">
        <v>1.3055911063932262E-2</v>
      </c>
      <c r="E264" s="309">
        <v>45</v>
      </c>
      <c r="F264" s="310"/>
      <c r="G264" s="311"/>
      <c r="H264" s="312" t="s">
        <v>209</v>
      </c>
      <c r="I264" s="304"/>
      <c r="J264" s="27"/>
      <c r="K264" s="27"/>
      <c r="L264" s="27"/>
      <c r="M264" s="27"/>
      <c r="N264" s="27"/>
      <c r="O264" s="27"/>
      <c r="P264" s="27"/>
      <c r="Q264" s="27"/>
    </row>
    <row r="265" spans="1:17">
      <c r="A265" t="str">
        <f t="shared" ref="A265:A328" si="4">CONCATENATE(B265,C265)</f>
        <v>Single Family Weatherization - Insulate Attic - R19 to R49 - Heating Zone 1 (Zonal or DHP)ATTIC R19 - R49 (cooling savings)</v>
      </c>
      <c r="B265" s="307" t="s">
        <v>1261</v>
      </c>
      <c r="C265" s="307" t="s">
        <v>214</v>
      </c>
      <c r="D265" s="308">
        <v>1.5692035527248731E-2</v>
      </c>
      <c r="E265" s="309">
        <v>45</v>
      </c>
      <c r="F265" s="310"/>
      <c r="G265" s="311"/>
      <c r="H265" s="312" t="s">
        <v>209</v>
      </c>
      <c r="I265" s="304"/>
      <c r="J265" s="27"/>
      <c r="K265" s="27"/>
      <c r="L265" s="27"/>
      <c r="M265" s="27"/>
      <c r="N265" s="27"/>
      <c r="O265" s="27"/>
      <c r="P265" s="27"/>
      <c r="Q265" s="27"/>
    </row>
    <row r="266" spans="1:17">
      <c r="A266" t="str">
        <f t="shared" si="4"/>
        <v>Single Family Weatherization - Insulate Attic - R30 to R38 - Heating Zone 1 (Zonal or DHP)ATTIC R30 - R38 (cooling savings)</v>
      </c>
      <c r="B266" s="307" t="s">
        <v>1262</v>
      </c>
      <c r="C266" s="307" t="s">
        <v>1326</v>
      </c>
      <c r="D266" s="308">
        <v>3.374912238510872E-3</v>
      </c>
      <c r="E266" s="309">
        <v>45</v>
      </c>
      <c r="F266" s="310"/>
      <c r="G266" s="311"/>
      <c r="H266" s="312" t="s">
        <v>209</v>
      </c>
      <c r="I266" s="304"/>
      <c r="J266" s="27"/>
      <c r="K266" s="27"/>
      <c r="L266" s="27"/>
      <c r="M266" s="27"/>
      <c r="N266" s="27"/>
      <c r="O266" s="27"/>
      <c r="P266" s="27"/>
      <c r="Q266" s="27"/>
    </row>
    <row r="267" spans="1:17">
      <c r="A267" t="str">
        <f t="shared" si="4"/>
        <v>Single Family Weatherization - Insulate Attic - R30 to R49 - Heating Zone 1 (Zonal or DHP)ATTIC R30 - R49 (cooling savings)</v>
      </c>
      <c r="B267" s="307" t="s">
        <v>1263</v>
      </c>
      <c r="C267" s="307" t="s">
        <v>215</v>
      </c>
      <c r="D267" s="308">
        <v>6.0110367018273454E-3</v>
      </c>
      <c r="E267" s="309">
        <v>45</v>
      </c>
      <c r="F267" s="310"/>
      <c r="G267" s="311"/>
      <c r="H267" s="312" t="s">
        <v>209</v>
      </c>
      <c r="I267" s="304"/>
      <c r="J267" s="27"/>
      <c r="K267" s="27"/>
      <c r="L267" s="27"/>
      <c r="M267" s="27"/>
      <c r="N267" s="27"/>
      <c r="O267" s="27"/>
      <c r="P267" s="27"/>
      <c r="Q267" s="27"/>
    </row>
    <row r="268" spans="1:17">
      <c r="A268" t="str">
        <f t="shared" si="4"/>
        <v>Single Family Weatherization - Insulate Attic - R38 to R49 - Heating Zone 1 (Zonal or DHP)ATTIC R38 - R49 (cooling savings)</v>
      </c>
      <c r="B268" s="307" t="s">
        <v>1264</v>
      </c>
      <c r="C268" s="307" t="s">
        <v>216</v>
      </c>
      <c r="D268" s="308">
        <v>2.636124463316473E-3</v>
      </c>
      <c r="E268" s="309">
        <v>45</v>
      </c>
      <c r="F268" s="310"/>
      <c r="G268" s="311"/>
      <c r="H268" s="312" t="s">
        <v>209</v>
      </c>
      <c r="I268" s="304"/>
      <c r="J268" s="27"/>
      <c r="K268" s="27"/>
      <c r="L268" s="27"/>
      <c r="M268" s="27"/>
      <c r="N268" s="27"/>
      <c r="O268" s="27"/>
      <c r="P268" s="27"/>
      <c r="Q268" s="27"/>
    </row>
    <row r="269" spans="1:17">
      <c r="A269" t="str">
        <f t="shared" si="4"/>
        <v>Single Family Weatherization - Insulate Wall - R0 to R11 - Heating Zone 1 (Zonal or DHP)WALL R0 - R11 (cooling savings)</v>
      </c>
      <c r="B269" s="307" t="s">
        <v>1265</v>
      </c>
      <c r="C269" s="307" t="s">
        <v>217</v>
      </c>
      <c r="D269" s="308">
        <v>3.1620007720073277E-2</v>
      </c>
      <c r="E269" s="309">
        <v>45</v>
      </c>
      <c r="F269" s="310"/>
      <c r="G269" s="311"/>
      <c r="H269" s="312" t="s">
        <v>209</v>
      </c>
      <c r="I269" s="304"/>
      <c r="J269" s="27"/>
      <c r="K269" s="27"/>
      <c r="L269" s="27"/>
      <c r="M269" s="27"/>
      <c r="N269" s="27"/>
      <c r="O269" s="27"/>
      <c r="P269" s="27"/>
      <c r="Q269" s="27"/>
    </row>
    <row r="270" spans="1:17">
      <c r="A270" t="str">
        <f t="shared" si="4"/>
        <v>Single Family Weatherization - Insulate Floor - R0 to R19 - Heating Zone 1 (Zonal or DHP)FLOOR R0 - R19 (cooling savings)</v>
      </c>
      <c r="B270" s="307" t="s">
        <v>1266</v>
      </c>
      <c r="C270" s="307" t="s">
        <v>218</v>
      </c>
      <c r="D270" s="308">
        <v>-3.0448286998100392E-2</v>
      </c>
      <c r="E270" s="309">
        <v>45</v>
      </c>
      <c r="F270" s="310"/>
      <c r="G270" s="311"/>
      <c r="H270" s="312" t="s">
        <v>209</v>
      </c>
      <c r="I270" s="304"/>
      <c r="J270" s="27"/>
      <c r="K270" s="27"/>
      <c r="L270" s="27"/>
      <c r="M270" s="27"/>
      <c r="N270" s="27"/>
      <c r="O270" s="27"/>
      <c r="P270" s="27"/>
      <c r="Q270" s="27"/>
    </row>
    <row r="271" spans="1:17">
      <c r="A271" t="str">
        <f t="shared" si="4"/>
        <v>Single Family Weatherization - Insulate Floor - R0 to R25 - Heating Zone 1 (Zonal or DHP)FLOOR R0 - R25 (cooling savings)</v>
      </c>
      <c r="B271" s="307" t="s">
        <v>1267</v>
      </c>
      <c r="C271" s="307" t="s">
        <v>219</v>
      </c>
      <c r="D271" s="308">
        <v>-3.38252580340027E-2</v>
      </c>
      <c r="E271" s="309">
        <v>45</v>
      </c>
      <c r="F271" s="310"/>
      <c r="G271" s="311"/>
      <c r="H271" s="312" t="s">
        <v>209</v>
      </c>
      <c r="I271" s="304"/>
      <c r="J271" s="27"/>
      <c r="K271" s="27"/>
      <c r="L271" s="27"/>
      <c r="M271" s="27"/>
      <c r="N271" s="27"/>
      <c r="O271" s="27"/>
      <c r="P271" s="27"/>
      <c r="Q271" s="27"/>
    </row>
    <row r="272" spans="1:17">
      <c r="A272" t="str">
        <f t="shared" si="4"/>
        <v>Single Family Weatherization - Insulate Floor - R0 to R30 - Heating Zone 1 (Zonal or DHP)FLOOR R0 - R30 (cooling savings)</v>
      </c>
      <c r="B272" s="307" t="s">
        <v>1268</v>
      </c>
      <c r="C272" s="307" t="s">
        <v>220</v>
      </c>
      <c r="D272" s="308">
        <v>-3.6034750900204929E-2</v>
      </c>
      <c r="E272" s="309">
        <v>45</v>
      </c>
      <c r="F272" s="310"/>
      <c r="G272" s="311"/>
      <c r="H272" s="312" t="s">
        <v>209</v>
      </c>
      <c r="I272" s="304"/>
      <c r="J272" s="27"/>
      <c r="K272" s="27"/>
      <c r="L272" s="27"/>
      <c r="M272" s="27"/>
      <c r="N272" s="27"/>
      <c r="O272" s="27"/>
      <c r="P272" s="27"/>
      <c r="Q272" s="27"/>
    </row>
    <row r="273" spans="1:17">
      <c r="A273" t="str">
        <f t="shared" si="4"/>
        <v>Single Family Weatherization - Insulate Floor - R19 to R30 - Heating Zone 1 (Zonal or DHP)FLOOR R19 - R30 (cooling savings)</v>
      </c>
      <c r="B273" s="307" t="s">
        <v>1269</v>
      </c>
      <c r="C273" s="307" t="s">
        <v>1327</v>
      </c>
      <c r="D273" s="308">
        <v>-5.5864639021045402E-3</v>
      </c>
      <c r="E273" s="309">
        <v>45</v>
      </c>
      <c r="F273" s="310"/>
      <c r="G273" s="311"/>
      <c r="H273" s="312" t="s">
        <v>209</v>
      </c>
      <c r="I273" s="304"/>
      <c r="J273" s="27"/>
      <c r="K273" s="27"/>
      <c r="L273" s="27"/>
      <c r="M273" s="27"/>
      <c r="N273" s="27"/>
      <c r="O273" s="27"/>
      <c r="P273" s="27"/>
      <c r="Q273" s="27"/>
    </row>
    <row r="274" spans="1:17">
      <c r="A274" t="str">
        <f t="shared" si="4"/>
        <v>Windows - Single Pane to Class 30 - Heating Zone 1 (Zonal or DHP)WINDOW CL30 Prime Window Replacement of Single Pane Base (cooling savings)</v>
      </c>
      <c r="B274" s="307" t="s">
        <v>1270</v>
      </c>
      <c r="C274" s="307" t="s">
        <v>221</v>
      </c>
      <c r="D274" s="308">
        <v>0.55459640160630186</v>
      </c>
      <c r="E274" s="302">
        <v>45</v>
      </c>
      <c r="F274" s="310"/>
      <c r="G274" s="311"/>
      <c r="H274" s="312" t="s">
        <v>209</v>
      </c>
      <c r="I274" s="304"/>
      <c r="J274" s="27"/>
      <c r="K274" s="27"/>
      <c r="L274" s="27"/>
      <c r="M274" s="27"/>
      <c r="N274" s="27"/>
      <c r="O274" s="27"/>
      <c r="P274" s="27"/>
      <c r="Q274" s="27"/>
    </row>
    <row r="275" spans="1:17">
      <c r="A275" t="str">
        <f t="shared" si="4"/>
        <v>Windows - Double Pane to Class 30 - Heating Zone 1 (Zonal or DHP)WINDOW CL30 Prime Window Replacement of Double Pane Base (cooling savings)</v>
      </c>
      <c r="B275" s="307" t="s">
        <v>1271</v>
      </c>
      <c r="C275" s="307" t="s">
        <v>222</v>
      </c>
      <c r="D275" s="308">
        <v>0.6825115914819051</v>
      </c>
      <c r="E275" s="302">
        <v>45</v>
      </c>
      <c r="F275" s="310"/>
      <c r="G275" s="311"/>
      <c r="H275" s="312" t="s">
        <v>209</v>
      </c>
      <c r="I275" s="304"/>
      <c r="J275" s="27"/>
      <c r="K275" s="27"/>
      <c r="L275" s="27"/>
      <c r="M275" s="27"/>
      <c r="N275" s="27"/>
      <c r="O275" s="27"/>
      <c r="P275" s="27"/>
      <c r="Q275" s="27"/>
    </row>
    <row r="276" spans="1:17">
      <c r="A276" t="str">
        <f t="shared" si="4"/>
        <v>Windows - Class 35 to Class 30 - Heating Zone 1 (Zonal or DHP)WINDOW CL35 to CL30 Upgrade (cooling savings)</v>
      </c>
      <c r="B276" s="307" t="s">
        <v>1272</v>
      </c>
      <c r="C276" s="307" t="s">
        <v>223</v>
      </c>
      <c r="D276" s="308">
        <v>1.706530012422891E-2</v>
      </c>
      <c r="E276" s="302">
        <v>45</v>
      </c>
      <c r="F276" s="310"/>
      <c r="G276" s="311"/>
      <c r="H276" s="312" t="s">
        <v>209</v>
      </c>
      <c r="I276" s="304"/>
      <c r="J276" s="27"/>
      <c r="K276" s="27"/>
      <c r="L276" s="27"/>
      <c r="M276" s="27"/>
      <c r="N276" s="27"/>
      <c r="O276" s="27"/>
      <c r="P276" s="27"/>
      <c r="Q276" s="27"/>
    </row>
    <row r="277" spans="1:17">
      <c r="A277" t="str">
        <f t="shared" si="4"/>
        <v>Windows - Single Pane to Class 22 - Heating Zone 1 (Zonal or DHP)WINDOW CL22 Prime Window Replacement of Single Pane Base (cooling savings)</v>
      </c>
      <c r="B277" s="307" t="s">
        <v>1273</v>
      </c>
      <c r="C277" s="307" t="s">
        <v>224</v>
      </c>
      <c r="D277" s="308">
        <v>0.59772533509372772</v>
      </c>
      <c r="E277" s="302">
        <v>45</v>
      </c>
      <c r="F277" s="310"/>
      <c r="G277" s="311"/>
      <c r="H277" s="312" t="s">
        <v>209</v>
      </c>
      <c r="I277" s="304"/>
      <c r="J277" s="27"/>
      <c r="K277" s="27"/>
      <c r="L277" s="27"/>
      <c r="M277" s="27"/>
      <c r="N277" s="27"/>
      <c r="O277" s="27"/>
      <c r="P277" s="27"/>
      <c r="Q277" s="27"/>
    </row>
    <row r="278" spans="1:17">
      <c r="A278" t="str">
        <f t="shared" si="4"/>
        <v>Windows - Double Pane to Class 22 - Heating Zone 1 (Zonal or DHP)WINDOW CL22 Prime Window Replacement of Double Pane Base (cooling savings)</v>
      </c>
      <c r="B278" s="307" t="s">
        <v>1274</v>
      </c>
      <c r="C278" s="307" t="s">
        <v>225</v>
      </c>
      <c r="D278" s="308">
        <v>0.72564052496933096</v>
      </c>
      <c r="E278" s="302">
        <v>45</v>
      </c>
      <c r="F278" s="310"/>
      <c r="G278" s="311"/>
      <c r="H278" s="312" t="s">
        <v>209</v>
      </c>
      <c r="I278" s="304"/>
      <c r="J278" s="27"/>
      <c r="K278" s="27"/>
      <c r="L278" s="27"/>
      <c r="M278" s="27"/>
      <c r="N278" s="27"/>
      <c r="O278" s="27"/>
      <c r="P278" s="27"/>
      <c r="Q278" s="27"/>
    </row>
    <row r="279" spans="1:17">
      <c r="A279" t="str">
        <f t="shared" si="4"/>
        <v>Windows - Class 35 to Class 22 - Heating Zone 1 (Zonal or DHP)WINDOW CL35 to CL22 Upgrade (cooling savings)</v>
      </c>
      <c r="B279" s="307" t="s">
        <v>1275</v>
      </c>
      <c r="C279" s="307" t="s">
        <v>226</v>
      </c>
      <c r="D279" s="308">
        <v>6.0194233611654713E-2</v>
      </c>
      <c r="E279" s="302">
        <v>45</v>
      </c>
      <c r="F279" s="310"/>
      <c r="G279" s="311"/>
      <c r="H279" s="312" t="s">
        <v>209</v>
      </c>
      <c r="I279" s="304"/>
      <c r="J279" s="27"/>
      <c r="K279" s="27"/>
      <c r="L279" s="27"/>
      <c r="M279" s="27"/>
      <c r="N279" s="27"/>
      <c r="O279" s="27"/>
      <c r="P279" s="27"/>
      <c r="Q279" s="27"/>
    </row>
    <row r="280" spans="1:17">
      <c r="A280" t="str">
        <f t="shared" si="4"/>
        <v>Infiltration Reduction - CFM50 reduction - Heating Zone 1 (Zonal or DHP)CFM50 Infiltration Reduction (cooling savings)</v>
      </c>
      <c r="B280" s="307" t="s">
        <v>1276</v>
      </c>
      <c r="C280" s="307" t="s">
        <v>890</v>
      </c>
      <c r="D280" s="308">
        <v>4.7307494565802105E-3</v>
      </c>
      <c r="E280" s="309">
        <v>15</v>
      </c>
      <c r="F280" s="310"/>
      <c r="G280" s="311"/>
      <c r="H280" s="312" t="s">
        <v>209</v>
      </c>
      <c r="I280" s="304"/>
      <c r="J280" s="27"/>
      <c r="K280" s="27"/>
      <c r="L280" s="27"/>
      <c r="M280" s="27"/>
      <c r="N280" s="27"/>
      <c r="O280" s="27"/>
      <c r="P280" s="27"/>
      <c r="Q280" s="27"/>
    </row>
    <row r="281" spans="1:17">
      <c r="A281" t="str">
        <f t="shared" si="4"/>
        <v>Single Family Weatherization - Insulate Attic - R0 to R38 - Heating Zone 2 (Zonal or DHP)ATTIC R0 - R38 (cooling savings)</v>
      </c>
      <c r="B281" s="307" t="s">
        <v>1277</v>
      </c>
      <c r="C281" s="307" t="s">
        <v>208</v>
      </c>
      <c r="D281" s="308">
        <v>0.37345340793991144</v>
      </c>
      <c r="E281" s="309">
        <v>45</v>
      </c>
      <c r="F281" s="310"/>
      <c r="G281" s="311"/>
      <c r="H281" s="312" t="s">
        <v>209</v>
      </c>
      <c r="I281" s="304"/>
      <c r="J281" s="27"/>
      <c r="K281" s="27"/>
      <c r="L281" s="27"/>
      <c r="M281" s="27"/>
      <c r="N281" s="27"/>
      <c r="O281" s="27"/>
      <c r="P281" s="27"/>
      <c r="Q281" s="27"/>
    </row>
    <row r="282" spans="1:17">
      <c r="A282" t="str">
        <f t="shared" si="4"/>
        <v>Single Family Weatherization - Insulate Attic - R0 to R49 - Heating Zone 2 (Zonal or DHP)ATTIC R0 - R49 (cooling savings)</v>
      </c>
      <c r="B282" s="307" t="s">
        <v>1278</v>
      </c>
      <c r="C282" s="307" t="s">
        <v>210</v>
      </c>
      <c r="D282" s="308">
        <v>0.37782530151552074</v>
      </c>
      <c r="E282" s="309">
        <v>45</v>
      </c>
      <c r="F282" s="310"/>
      <c r="G282" s="311"/>
      <c r="H282" s="312" t="s">
        <v>209</v>
      </c>
      <c r="I282" s="304"/>
      <c r="J282" s="27"/>
      <c r="K282" s="27"/>
      <c r="L282" s="27"/>
      <c r="M282" s="27"/>
      <c r="N282" s="27"/>
      <c r="O282" s="27"/>
      <c r="P282" s="27"/>
      <c r="Q282" s="27"/>
    </row>
    <row r="283" spans="1:17">
      <c r="A283" t="str">
        <f t="shared" si="4"/>
        <v>Single Family Weatherization - Insulate Attic - R11 to R38 - Heating Zone 2 (Zonal or DHP)ATTIC R11 - R38 (cooling savings)</v>
      </c>
      <c r="B283" s="307" t="s">
        <v>1279</v>
      </c>
      <c r="C283" s="307" t="s">
        <v>211</v>
      </c>
      <c r="D283" s="308">
        <v>5.3270259056276102E-2</v>
      </c>
      <c r="E283" s="309">
        <v>45</v>
      </c>
      <c r="F283" s="310"/>
      <c r="G283" s="311"/>
      <c r="H283" s="312" t="s">
        <v>209</v>
      </c>
      <c r="I283" s="304"/>
      <c r="J283" s="27"/>
      <c r="K283" s="27"/>
      <c r="L283" s="27"/>
      <c r="M283" s="27"/>
      <c r="N283" s="27"/>
      <c r="O283" s="27"/>
      <c r="P283" s="27"/>
      <c r="Q283" s="27"/>
    </row>
    <row r="284" spans="1:17">
      <c r="A284" t="str">
        <f t="shared" si="4"/>
        <v>Single Family Weatherization - Insulate Attic - R11 to R49 - Heating Zone 2 (Zonal or DHP)ATTIC R11 - R49 (cooling savings)</v>
      </c>
      <c r="B284" s="307" t="s">
        <v>1280</v>
      </c>
      <c r="C284" s="307" t="s">
        <v>212</v>
      </c>
      <c r="D284" s="308">
        <v>5.7642152631885407E-2</v>
      </c>
      <c r="E284" s="309">
        <v>45</v>
      </c>
      <c r="F284" s="310"/>
      <c r="G284" s="311"/>
      <c r="H284" s="312" t="s">
        <v>209</v>
      </c>
      <c r="I284" s="304"/>
      <c r="J284" s="27"/>
      <c r="K284" s="27"/>
      <c r="L284" s="27"/>
      <c r="M284" s="27"/>
      <c r="N284" s="27"/>
      <c r="O284" s="27"/>
      <c r="P284" s="27"/>
      <c r="Q284" s="27"/>
    </row>
    <row r="285" spans="1:17">
      <c r="A285" t="str">
        <f t="shared" si="4"/>
        <v>Single Family Weatherization - Insulate Attic - R19 to R38 - Heating Zone 2 (Zonal or DHP)ATTIC R19 - R38 (cooling savings)</v>
      </c>
      <c r="B285" s="307" t="s">
        <v>1281</v>
      </c>
      <c r="C285" s="307" t="s">
        <v>213</v>
      </c>
      <c r="D285" s="308">
        <v>2.1678722560598451E-2</v>
      </c>
      <c r="E285" s="309">
        <v>45</v>
      </c>
      <c r="F285" s="310"/>
      <c r="G285" s="311"/>
      <c r="H285" s="312" t="s">
        <v>209</v>
      </c>
      <c r="I285" s="304"/>
      <c r="J285" s="27"/>
      <c r="K285" s="27"/>
      <c r="L285" s="27"/>
      <c r="M285" s="27"/>
      <c r="N285" s="27"/>
      <c r="O285" s="27"/>
      <c r="P285" s="27"/>
      <c r="Q285" s="27"/>
    </row>
    <row r="286" spans="1:17">
      <c r="A286" t="str">
        <f t="shared" si="4"/>
        <v>Single Family Weatherization - Insulate Attic - R19 to R49 - Heating Zone 2 (Zonal or DHP)ATTIC R19 - R49 (cooling savings)</v>
      </c>
      <c r="B286" s="307" t="s">
        <v>1282</v>
      </c>
      <c r="C286" s="307" t="s">
        <v>214</v>
      </c>
      <c r="D286" s="308">
        <v>2.6050616136207759E-2</v>
      </c>
      <c r="E286" s="309">
        <v>45</v>
      </c>
      <c r="F286" s="310"/>
      <c r="G286" s="311"/>
      <c r="H286" s="312" t="s">
        <v>209</v>
      </c>
      <c r="I286" s="304"/>
      <c r="J286" s="27"/>
      <c r="K286" s="27"/>
      <c r="L286" s="27"/>
      <c r="M286" s="27"/>
      <c r="N286" s="27"/>
      <c r="O286" s="27"/>
      <c r="P286" s="27"/>
      <c r="Q286" s="27"/>
    </row>
    <row r="287" spans="1:17">
      <c r="A287" t="str">
        <f t="shared" si="4"/>
        <v>Single Family Weatherization - Insulate Attic - R30 to R38 - Heating Zone 2 (Zonal or DHP)ATTIC R30 - R38 (cooling savings)</v>
      </c>
      <c r="B287" s="307" t="s">
        <v>1283</v>
      </c>
      <c r="C287" s="307" t="s">
        <v>1326</v>
      </c>
      <c r="D287" s="308">
        <v>5.5972920250419965E-3</v>
      </c>
      <c r="E287" s="309">
        <v>45</v>
      </c>
      <c r="F287" s="310"/>
      <c r="G287" s="311"/>
      <c r="H287" s="312" t="s">
        <v>209</v>
      </c>
      <c r="I287" s="304"/>
      <c r="J287" s="27"/>
      <c r="K287" s="27"/>
      <c r="L287" s="27"/>
      <c r="M287" s="27"/>
      <c r="N287" s="27"/>
      <c r="O287" s="27"/>
      <c r="P287" s="27"/>
      <c r="Q287" s="27"/>
    </row>
    <row r="288" spans="1:17">
      <c r="A288" t="str">
        <f t="shared" si="4"/>
        <v>Single Family Weatherization - Insulate Attic - R30 to R49 - Heating Zone 2 (Zonal or DHP)ATTIC R30 - R49 (cooling savings)</v>
      </c>
      <c r="B288" s="307" t="s">
        <v>1284</v>
      </c>
      <c r="C288" s="307" t="s">
        <v>215</v>
      </c>
      <c r="D288" s="308">
        <v>9.9691856006513101E-3</v>
      </c>
      <c r="E288" s="309">
        <v>45</v>
      </c>
      <c r="F288" s="310"/>
      <c r="G288" s="311"/>
      <c r="H288" s="312" t="s">
        <v>209</v>
      </c>
      <c r="I288" s="304"/>
      <c r="J288" s="27"/>
      <c r="K288" s="27"/>
      <c r="L288" s="27"/>
      <c r="M288" s="27"/>
      <c r="N288" s="27"/>
      <c r="O288" s="27"/>
      <c r="P288" s="27"/>
      <c r="Q288" s="27"/>
    </row>
    <row r="289" spans="1:17">
      <c r="A289" t="str">
        <f t="shared" si="4"/>
        <v>Single Family Weatherization - Insulate Attic - R38 to R49 - Heating Zone 2 (Zonal or DHP)ATTIC R38 - R49 (cooling savings)</v>
      </c>
      <c r="B289" s="307" t="s">
        <v>1285</v>
      </c>
      <c r="C289" s="307" t="s">
        <v>216</v>
      </c>
      <c r="D289" s="308">
        <v>4.3718935756093128E-3</v>
      </c>
      <c r="E289" s="309">
        <v>45</v>
      </c>
      <c r="F289" s="310"/>
      <c r="G289" s="311"/>
      <c r="H289" s="312" t="s">
        <v>209</v>
      </c>
      <c r="I289" s="304"/>
      <c r="J289" s="27"/>
      <c r="K289" s="27"/>
      <c r="L289" s="27"/>
      <c r="M289" s="27"/>
      <c r="N289" s="27"/>
      <c r="O289" s="27"/>
      <c r="P289" s="27"/>
      <c r="Q289" s="27"/>
    </row>
    <row r="290" spans="1:17">
      <c r="A290" t="str">
        <f t="shared" si="4"/>
        <v>Single Family Weatherization - Insulate Wall - R0 to R11 - Heating Zone 2 (Zonal or DHP)WALL R0 - R11 (cooling savings)</v>
      </c>
      <c r="B290" s="307" t="s">
        <v>1286</v>
      </c>
      <c r="C290" s="307" t="s">
        <v>217</v>
      </c>
      <c r="D290" s="308">
        <v>4.8770650700128849E-2</v>
      </c>
      <c r="E290" s="309">
        <v>45</v>
      </c>
      <c r="F290" s="310"/>
      <c r="G290" s="311"/>
      <c r="H290" s="312" t="s">
        <v>209</v>
      </c>
      <c r="I290" s="304"/>
      <c r="J290" s="27"/>
      <c r="K290" s="27"/>
      <c r="L290" s="27"/>
      <c r="M290" s="27"/>
      <c r="N290" s="27"/>
      <c r="O290" s="27"/>
      <c r="P290" s="27"/>
      <c r="Q290" s="27"/>
    </row>
    <row r="291" spans="1:17">
      <c r="A291" t="str">
        <f t="shared" si="4"/>
        <v>Single Family Weatherization - Insulate Floor - R0 to R19 - Heating Zone 2 (Zonal or DHP)FLOOR R0 - R19 (cooling savings)</v>
      </c>
      <c r="B291" s="307" t="s">
        <v>1287</v>
      </c>
      <c r="C291" s="307" t="s">
        <v>218</v>
      </c>
      <c r="D291" s="308">
        <v>-5.5540430481118133E-2</v>
      </c>
      <c r="E291" s="309">
        <v>45</v>
      </c>
      <c r="F291" s="310"/>
      <c r="G291" s="311"/>
      <c r="H291" s="312" t="s">
        <v>209</v>
      </c>
      <c r="I291" s="304"/>
      <c r="J291" s="27"/>
      <c r="K291" s="27"/>
      <c r="L291" s="27"/>
      <c r="M291" s="27"/>
      <c r="N291" s="27"/>
      <c r="O291" s="27"/>
      <c r="P291" s="27"/>
      <c r="Q291" s="27"/>
    </row>
    <row r="292" spans="1:17">
      <c r="A292" t="str">
        <f t="shared" si="4"/>
        <v>Single Family Weatherization - Insulate Floor - R0 to R25 - Heating Zone 2 (Zonal or DHP)FLOOR R0 - R25 (cooling savings)</v>
      </c>
      <c r="B292" s="307" t="s">
        <v>1288</v>
      </c>
      <c r="C292" s="307" t="s">
        <v>219</v>
      </c>
      <c r="D292" s="308">
        <v>-6.1644971859573856E-2</v>
      </c>
      <c r="E292" s="309">
        <v>45</v>
      </c>
      <c r="F292" s="310"/>
      <c r="G292" s="311"/>
      <c r="H292" s="312" t="s">
        <v>209</v>
      </c>
      <c r="I292" s="304"/>
      <c r="J292" s="27"/>
      <c r="K292" s="27"/>
      <c r="L292" s="27"/>
      <c r="M292" s="27"/>
      <c r="N292" s="27"/>
      <c r="O292" s="27"/>
      <c r="P292" s="27"/>
      <c r="Q292" s="27"/>
    </row>
    <row r="293" spans="1:17">
      <c r="A293" t="str">
        <f t="shared" si="4"/>
        <v>Single Family Weatherization - Insulate Floor - R0 to R30 - Heating Zone 2 (Zonal or DHP)FLOOR R0 - R30 (cooling savings)</v>
      </c>
      <c r="B293" s="307" t="s">
        <v>1289</v>
      </c>
      <c r="C293" s="307" t="s">
        <v>220</v>
      </c>
      <c r="D293" s="308">
        <v>-6.5625181635223254E-2</v>
      </c>
      <c r="E293" s="309">
        <v>45</v>
      </c>
      <c r="F293" s="310"/>
      <c r="G293" s="311"/>
      <c r="H293" s="312" t="s">
        <v>209</v>
      </c>
      <c r="I293" s="304"/>
      <c r="J293" s="27"/>
      <c r="K293" s="27"/>
      <c r="L293" s="27"/>
      <c r="M293" s="27"/>
      <c r="N293" s="27"/>
      <c r="O293" s="27"/>
      <c r="P293" s="27"/>
      <c r="Q293" s="27"/>
    </row>
    <row r="294" spans="1:17">
      <c r="A294" t="str">
        <f t="shared" si="4"/>
        <v>Single Family Weatherization - Insulate Floor - R19 to R30 - Heating Zone 2 (Zonal or DHP)FLOOR R19 - R30 (cooling savings)</v>
      </c>
      <c r="B294" s="307" t="s">
        <v>1290</v>
      </c>
      <c r="C294" s="307" t="s">
        <v>1327</v>
      </c>
      <c r="D294" s="308">
        <v>-1.0084751154105112E-2</v>
      </c>
      <c r="E294" s="309">
        <v>45</v>
      </c>
      <c r="F294" s="310"/>
      <c r="G294" s="311"/>
      <c r="H294" s="312" t="s">
        <v>209</v>
      </c>
      <c r="I294" s="304"/>
      <c r="J294" s="27"/>
      <c r="K294" s="27"/>
      <c r="L294" s="27"/>
      <c r="M294" s="27"/>
      <c r="N294" s="27"/>
      <c r="O294" s="27"/>
      <c r="P294" s="27"/>
      <c r="Q294" s="27"/>
    </row>
    <row r="295" spans="1:17">
      <c r="A295" t="str">
        <f t="shared" si="4"/>
        <v>Windows - Single Pane to Class 30 - Heating Zone 2 (Zonal or DHP)WINDOW CL30 Prime Window Replacement of Single Pane Base (cooling savings)</v>
      </c>
      <c r="B295" s="307" t="s">
        <v>1291</v>
      </c>
      <c r="C295" s="307" t="s">
        <v>221</v>
      </c>
      <c r="D295" s="308">
        <v>0.92403257127633043</v>
      </c>
      <c r="E295" s="302">
        <v>45</v>
      </c>
      <c r="F295" s="310"/>
      <c r="G295" s="311"/>
      <c r="H295" s="312" t="s">
        <v>209</v>
      </c>
      <c r="I295" s="304"/>
      <c r="J295" s="27"/>
      <c r="K295" s="27"/>
      <c r="L295" s="27"/>
      <c r="M295" s="27"/>
      <c r="N295" s="27"/>
      <c r="O295" s="27"/>
      <c r="P295" s="27"/>
      <c r="Q295" s="27"/>
    </row>
    <row r="296" spans="1:17">
      <c r="A296" t="str">
        <f t="shared" si="4"/>
        <v>Windows - Double Pane to Class 30 - Heating Zone 2 (Zonal or DHP)WINDOW CL30 Prime Window Replacement of Double Pane Base (cooling savings)</v>
      </c>
      <c r="B296" s="307" t="s">
        <v>1292</v>
      </c>
      <c r="C296" s="307" t="s">
        <v>222</v>
      </c>
      <c r="D296" s="308">
        <v>1.1566208090688392</v>
      </c>
      <c r="E296" s="302">
        <v>45</v>
      </c>
      <c r="F296" s="310"/>
      <c r="G296" s="311"/>
      <c r="H296" s="312" t="s">
        <v>209</v>
      </c>
      <c r="I296" s="304"/>
      <c r="J296" s="27"/>
      <c r="K296" s="27"/>
      <c r="L296" s="27"/>
      <c r="M296" s="27"/>
      <c r="N296" s="27"/>
      <c r="O296" s="27"/>
      <c r="P296" s="27"/>
      <c r="Q296" s="27"/>
    </row>
    <row r="297" spans="1:17">
      <c r="A297" t="str">
        <f t="shared" si="4"/>
        <v>Windows - Class 35 to Class 30 - Heating Zone 2 (Zonal or DHP)WINDOW CL35 to CL30 Upgrade (cooling savings)</v>
      </c>
      <c r="B297" s="307" t="s">
        <v>1293</v>
      </c>
      <c r="C297" s="307" t="s">
        <v>223</v>
      </c>
      <c r="D297" s="308">
        <v>2.7264977389849898E-2</v>
      </c>
      <c r="E297" s="302">
        <v>45</v>
      </c>
      <c r="F297" s="310"/>
      <c r="G297" s="311"/>
      <c r="H297" s="312" t="s">
        <v>209</v>
      </c>
      <c r="I297" s="304"/>
      <c r="J297" s="27"/>
      <c r="K297" s="27"/>
      <c r="L297" s="27"/>
      <c r="M297" s="27"/>
      <c r="N297" s="27"/>
      <c r="O297" s="27"/>
      <c r="P297" s="27"/>
      <c r="Q297" s="27"/>
    </row>
    <row r="298" spans="1:17">
      <c r="A298" t="str">
        <f t="shared" si="4"/>
        <v>Windows - Single Pane to Class 22 - Heating Zone 2 (Zonal or DHP)WINDOW CL22 Prime Window Replacement of Single Pane Base (cooling savings)</v>
      </c>
      <c r="B298" s="307" t="s">
        <v>1294</v>
      </c>
      <c r="C298" s="307" t="s">
        <v>224</v>
      </c>
      <c r="D298" s="308">
        <v>0.99512834900376601</v>
      </c>
      <c r="E298" s="302">
        <v>45</v>
      </c>
      <c r="F298" s="310"/>
      <c r="G298" s="311"/>
      <c r="H298" s="312" t="s">
        <v>209</v>
      </c>
      <c r="I298" s="304"/>
      <c r="J298" s="27"/>
      <c r="K298" s="27"/>
      <c r="L298" s="27"/>
      <c r="M298" s="27"/>
      <c r="N298" s="27"/>
      <c r="O298" s="27"/>
      <c r="P298" s="27"/>
      <c r="Q298" s="27"/>
    </row>
    <row r="299" spans="1:17">
      <c r="A299" t="str">
        <f t="shared" si="4"/>
        <v>Windows - Double Pane to Class 22 - Heating Zone 2 (Zonal or DHP)WINDOW CL22 Prime Window Replacement of Double Pane Base (cooling savings)</v>
      </c>
      <c r="B299" s="307" t="s">
        <v>1295</v>
      </c>
      <c r="C299" s="307" t="s">
        <v>225</v>
      </c>
      <c r="D299" s="308">
        <v>1.2277165867962745</v>
      </c>
      <c r="E299" s="302">
        <v>45</v>
      </c>
      <c r="F299" s="310"/>
      <c r="G299" s="311"/>
      <c r="H299" s="312" t="s">
        <v>209</v>
      </c>
      <c r="I299" s="304"/>
      <c r="J299" s="27"/>
      <c r="K299" s="27"/>
      <c r="L299" s="27"/>
      <c r="M299" s="27"/>
      <c r="N299" s="27"/>
      <c r="O299" s="27"/>
      <c r="P299" s="27"/>
      <c r="Q299" s="27"/>
    </row>
    <row r="300" spans="1:17">
      <c r="A300" t="str">
        <f t="shared" si="4"/>
        <v>Windows - Class 35 to Class 22 - Heating Zone 2 (Zonal or DHP)WINDOW CL35 to CL22 Upgrade (cooling savings)</v>
      </c>
      <c r="B300" s="307" t="s">
        <v>1296</v>
      </c>
      <c r="C300" s="307" t="s">
        <v>226</v>
      </c>
      <c r="D300" s="308">
        <v>9.8360755117285162E-2</v>
      </c>
      <c r="E300" s="302">
        <v>45</v>
      </c>
      <c r="F300" s="310"/>
      <c r="G300" s="311"/>
      <c r="H300" s="312" t="s">
        <v>209</v>
      </c>
      <c r="I300" s="304"/>
      <c r="J300" s="27"/>
      <c r="K300" s="27"/>
      <c r="L300" s="27"/>
      <c r="M300" s="27"/>
      <c r="N300" s="27"/>
      <c r="O300" s="27"/>
      <c r="P300" s="27"/>
      <c r="Q300" s="27"/>
    </row>
    <row r="301" spans="1:17">
      <c r="A301" t="str">
        <f t="shared" si="4"/>
        <v>Infiltration Reduction - CFM50 reduction - Heating Zone 2 (Zonal or DHP)CFM50 Infiltration Reduction (cooling savings)</v>
      </c>
      <c r="B301" s="307" t="s">
        <v>1297</v>
      </c>
      <c r="C301" s="307" t="s">
        <v>890</v>
      </c>
      <c r="D301" s="308">
        <v>5.7970142387175124E-3</v>
      </c>
      <c r="E301" s="309">
        <v>15</v>
      </c>
      <c r="F301" s="310"/>
      <c r="G301" s="311"/>
      <c r="H301" s="312" t="s">
        <v>209</v>
      </c>
      <c r="I301" s="304"/>
      <c r="J301" s="27"/>
      <c r="K301" s="27"/>
      <c r="L301" s="27"/>
      <c r="M301" s="27"/>
      <c r="N301" s="27"/>
      <c r="O301" s="27"/>
      <c r="P301" s="27"/>
      <c r="Q301" s="27"/>
    </row>
    <row r="302" spans="1:17">
      <c r="A302" t="str">
        <f t="shared" si="4"/>
        <v>Single Family Weatherization - Insulate Attic - R0 to R38 - Heating Zone 3 (Zonal or DHP)ATTIC R0 - R38 (cooling savings)</v>
      </c>
      <c r="B302" s="307" t="s">
        <v>1298</v>
      </c>
      <c r="C302" s="307" t="s">
        <v>208</v>
      </c>
      <c r="D302" s="308">
        <v>3.7369867701037021E-2</v>
      </c>
      <c r="E302" s="309">
        <v>45</v>
      </c>
      <c r="F302" s="310"/>
      <c r="G302" s="311"/>
      <c r="H302" s="312" t="s">
        <v>209</v>
      </c>
      <c r="I302" s="304"/>
      <c r="J302" s="27"/>
      <c r="K302" s="27"/>
      <c r="L302" s="27"/>
      <c r="M302" s="27"/>
      <c r="N302" s="27"/>
      <c r="O302" s="27"/>
      <c r="P302" s="27"/>
      <c r="Q302" s="27"/>
    </row>
    <row r="303" spans="1:17">
      <c r="A303" t="str">
        <f t="shared" si="4"/>
        <v>Single Family Weatherization - Insulate Attic - R0 to R49 - Heating Zone 3 (Zonal or DHP)ATTIC R0 - R49 (cooling savings)</v>
      </c>
      <c r="B303" s="307" t="s">
        <v>1299</v>
      </c>
      <c r="C303" s="307" t="s">
        <v>210</v>
      </c>
      <c r="D303" s="308">
        <v>3.7698533822838116E-2</v>
      </c>
      <c r="E303" s="309">
        <v>45</v>
      </c>
      <c r="F303" s="310"/>
      <c r="G303" s="311"/>
      <c r="H303" s="312" t="s">
        <v>209</v>
      </c>
      <c r="I303" s="304"/>
      <c r="J303" s="27"/>
      <c r="K303" s="27"/>
      <c r="L303" s="27"/>
      <c r="M303" s="27"/>
      <c r="N303" s="27"/>
      <c r="O303" s="27"/>
      <c r="P303" s="27"/>
      <c r="Q303" s="27"/>
    </row>
    <row r="304" spans="1:17">
      <c r="A304" t="str">
        <f t="shared" si="4"/>
        <v>Single Family Weatherization - Insulate Attic - R11 to R38 - Heating Zone 3 (Zonal or DHP)ATTIC R11 - R38 (cooling savings)</v>
      </c>
      <c r="B304" s="307" t="s">
        <v>1300</v>
      </c>
      <c r="C304" s="307" t="s">
        <v>211</v>
      </c>
      <c r="D304" s="308">
        <v>4.2663630231371836E-3</v>
      </c>
      <c r="E304" s="309">
        <v>45</v>
      </c>
      <c r="F304" s="310"/>
      <c r="G304" s="311"/>
      <c r="H304" s="312" t="s">
        <v>209</v>
      </c>
      <c r="I304" s="304"/>
      <c r="J304" s="27"/>
      <c r="K304" s="27"/>
      <c r="L304" s="27"/>
      <c r="M304" s="27"/>
      <c r="N304" s="27"/>
      <c r="O304" s="27"/>
      <c r="P304" s="27"/>
      <c r="Q304" s="27"/>
    </row>
    <row r="305" spans="1:17">
      <c r="A305" t="str">
        <f t="shared" si="4"/>
        <v>Single Family Weatherization - Insulate Attic - R11 to R49 - Heating Zone 3 (Zonal or DHP)ATTIC R11 - R49 (cooling savings)</v>
      </c>
      <c r="B305" s="307" t="s">
        <v>1301</v>
      </c>
      <c r="C305" s="307" t="s">
        <v>212</v>
      </c>
      <c r="D305" s="308">
        <v>4.5950291449382789E-3</v>
      </c>
      <c r="E305" s="309">
        <v>45</v>
      </c>
      <c r="F305" s="310"/>
      <c r="G305" s="311"/>
      <c r="H305" s="312" t="s">
        <v>209</v>
      </c>
      <c r="I305" s="304"/>
      <c r="J305" s="27"/>
      <c r="K305" s="27"/>
      <c r="L305" s="27"/>
      <c r="M305" s="27"/>
      <c r="N305" s="27"/>
      <c r="O305" s="27"/>
      <c r="P305" s="27"/>
      <c r="Q305" s="27"/>
    </row>
    <row r="306" spans="1:17">
      <c r="A306" t="str">
        <f t="shared" si="4"/>
        <v>Single Family Weatherization - Insulate Attic - R19 to R38 - Heating Zone 3 (Zonal or DHP)ATTIC R19 - R38 (cooling savings)</v>
      </c>
      <c r="B306" s="307" t="s">
        <v>1302</v>
      </c>
      <c r="C306" s="307" t="s">
        <v>213</v>
      </c>
      <c r="D306" s="308">
        <v>1.6814280484256749E-3</v>
      </c>
      <c r="E306" s="309">
        <v>45</v>
      </c>
      <c r="F306" s="310"/>
      <c r="G306" s="311"/>
      <c r="H306" s="312" t="s">
        <v>209</v>
      </c>
      <c r="I306" s="304"/>
      <c r="J306" s="27"/>
      <c r="K306" s="27"/>
      <c r="L306" s="27"/>
      <c r="M306" s="27"/>
      <c r="N306" s="27"/>
      <c r="O306" s="27"/>
      <c r="P306" s="27"/>
      <c r="Q306" s="27"/>
    </row>
    <row r="307" spans="1:17">
      <c r="A307" t="str">
        <f t="shared" si="4"/>
        <v>Single Family Weatherization - Insulate Attic - R19 to R49 - Heating Zone 3 (Zonal or DHP)ATTIC R19 - R49 (cooling savings)</v>
      </c>
      <c r="B307" s="307" t="s">
        <v>1303</v>
      </c>
      <c r="C307" s="307" t="s">
        <v>214</v>
      </c>
      <c r="D307" s="308">
        <v>2.0100941702267702E-3</v>
      </c>
      <c r="E307" s="309">
        <v>45</v>
      </c>
      <c r="F307" s="310"/>
      <c r="G307" s="311"/>
      <c r="H307" s="312" t="s">
        <v>209</v>
      </c>
      <c r="I307" s="304"/>
      <c r="J307" s="27"/>
      <c r="K307" s="27"/>
      <c r="L307" s="27"/>
      <c r="M307" s="27"/>
      <c r="N307" s="27"/>
      <c r="O307" s="27"/>
      <c r="P307" s="27"/>
      <c r="Q307" s="27"/>
    </row>
    <row r="308" spans="1:17">
      <c r="A308" t="str">
        <f t="shared" si="4"/>
        <v>Single Family Weatherization - Insulate Attic - R30 to R38 - Heating Zone 3 (Zonal or DHP)ATTIC R30 - R38 (cooling savings)</v>
      </c>
      <c r="B308" s="307" t="s">
        <v>1304</v>
      </c>
      <c r="C308" s="307" t="s">
        <v>1326</v>
      </c>
      <c r="D308" s="308">
        <v>4.2675281561364918E-4</v>
      </c>
      <c r="E308" s="309">
        <v>45</v>
      </c>
      <c r="F308" s="310"/>
      <c r="G308" s="311"/>
      <c r="H308" s="312" t="s">
        <v>209</v>
      </c>
      <c r="I308" s="304"/>
      <c r="J308" s="27"/>
      <c r="K308" s="27"/>
      <c r="L308" s="27"/>
      <c r="M308" s="27"/>
      <c r="N308" s="27"/>
      <c r="O308" s="27"/>
      <c r="P308" s="27"/>
      <c r="Q308" s="27"/>
    </row>
    <row r="309" spans="1:17">
      <c r="A309" t="str">
        <f t="shared" si="4"/>
        <v>Single Family Weatherization - Insulate Attic - R30 to R49 - Heating Zone 3 (Zonal or DHP)ATTIC R30 - R49 (cooling savings)</v>
      </c>
      <c r="B309" s="307" t="s">
        <v>1305</v>
      </c>
      <c r="C309" s="307" t="s">
        <v>215</v>
      </c>
      <c r="D309" s="308">
        <v>7.5541893741474467E-4</v>
      </c>
      <c r="E309" s="309">
        <v>45</v>
      </c>
      <c r="F309" s="310"/>
      <c r="G309" s="311"/>
      <c r="H309" s="312" t="s">
        <v>209</v>
      </c>
      <c r="I309" s="304"/>
      <c r="J309" s="27"/>
      <c r="K309" s="27"/>
      <c r="L309" s="27"/>
      <c r="M309" s="27"/>
      <c r="N309" s="27"/>
      <c r="O309" s="27"/>
      <c r="P309" s="27"/>
      <c r="Q309" s="27"/>
    </row>
    <row r="310" spans="1:17">
      <c r="A310" t="str">
        <f t="shared" si="4"/>
        <v>Single Family Weatherization - Insulate Attic - R38 to R49 - Heating Zone 3 (Zonal or DHP)ATTIC R38 - R49 (cooling savings)</v>
      </c>
      <c r="B310" s="307" t="s">
        <v>1306</v>
      </c>
      <c r="C310" s="307" t="s">
        <v>216</v>
      </c>
      <c r="D310" s="308">
        <v>3.286661218010955E-4</v>
      </c>
      <c r="E310" s="309">
        <v>45</v>
      </c>
      <c r="F310" s="310"/>
      <c r="G310" s="311"/>
      <c r="H310" s="312" t="s">
        <v>209</v>
      </c>
      <c r="I310" s="304"/>
      <c r="J310" s="27"/>
      <c r="K310" s="27"/>
      <c r="L310" s="27"/>
      <c r="M310" s="27"/>
      <c r="N310" s="27"/>
      <c r="O310" s="27"/>
      <c r="P310" s="27"/>
      <c r="Q310" s="27"/>
    </row>
    <row r="311" spans="1:17">
      <c r="A311" t="str">
        <f t="shared" si="4"/>
        <v>Single Family Weatherization - Insulate Wall - R0 to R11 - Heating Zone 3 (Zonal or DHP)WALL R0 - R11 (cooling savings)</v>
      </c>
      <c r="B311" s="307" t="s">
        <v>1307</v>
      </c>
      <c r="C311" s="307" t="s">
        <v>217</v>
      </c>
      <c r="D311" s="308">
        <v>1.4547838835245847E-3</v>
      </c>
      <c r="E311" s="309">
        <v>45</v>
      </c>
      <c r="F311" s="310"/>
      <c r="G311" s="311"/>
      <c r="H311" s="312" t="s">
        <v>209</v>
      </c>
      <c r="I311" s="304"/>
      <c r="J311" s="27"/>
      <c r="K311" s="27"/>
      <c r="L311" s="27"/>
      <c r="M311" s="27"/>
      <c r="N311" s="27"/>
      <c r="O311" s="27"/>
      <c r="P311" s="27"/>
      <c r="Q311" s="27"/>
    </row>
    <row r="312" spans="1:17">
      <c r="A312" t="str">
        <f t="shared" si="4"/>
        <v>Single Family Weatherization - Insulate Floor - R0 to R19 - Heating Zone 3 (Zonal or DHP)FLOOR R0 - R19 (cooling savings)</v>
      </c>
      <c r="B312" s="307" t="s">
        <v>1308</v>
      </c>
      <c r="C312" s="307" t="s">
        <v>218</v>
      </c>
      <c r="D312" s="308">
        <v>-5.6653392737491433E-3</v>
      </c>
      <c r="E312" s="309">
        <v>45</v>
      </c>
      <c r="F312" s="310"/>
      <c r="G312" s="311"/>
      <c r="H312" s="312" t="s">
        <v>209</v>
      </c>
      <c r="I312" s="304"/>
      <c r="J312" s="27"/>
      <c r="K312" s="27"/>
      <c r="L312" s="27"/>
      <c r="M312" s="27"/>
      <c r="N312" s="27"/>
      <c r="O312" s="27"/>
      <c r="P312" s="27"/>
      <c r="Q312" s="27"/>
    </row>
    <row r="313" spans="1:17">
      <c r="A313" t="str">
        <f t="shared" si="4"/>
        <v>Single Family Weatherization - Insulate Floor - R0 to R25 - Heating Zone 3 (Zonal or DHP)FLOOR R0 - R25 (cooling savings)</v>
      </c>
      <c r="B313" s="307" t="s">
        <v>1309</v>
      </c>
      <c r="C313" s="307" t="s">
        <v>219</v>
      </c>
      <c r="D313" s="308">
        <v>-6.4452012439222325E-3</v>
      </c>
      <c r="E313" s="309">
        <v>45</v>
      </c>
      <c r="F313" s="310"/>
      <c r="G313" s="311"/>
      <c r="H313" s="312" t="s">
        <v>209</v>
      </c>
      <c r="I313" s="304"/>
      <c r="J313" s="27"/>
      <c r="K313" s="27"/>
      <c r="L313" s="27"/>
      <c r="M313" s="27"/>
      <c r="N313" s="27"/>
      <c r="O313" s="27"/>
      <c r="P313" s="27"/>
      <c r="Q313" s="27"/>
    </row>
    <row r="314" spans="1:17">
      <c r="A314" t="str">
        <f t="shared" si="4"/>
        <v>Single Family Weatherization - Insulate Floor - R0 to R30 - Heating Zone 3 (Zonal or DHP)FLOOR R0 - R30 (cooling savings)</v>
      </c>
      <c r="B314" s="307" t="s">
        <v>1310</v>
      </c>
      <c r="C314" s="307" t="s">
        <v>220</v>
      </c>
      <c r="D314" s="308">
        <v>-6.9687427503749575E-3</v>
      </c>
      <c r="E314" s="309">
        <v>45</v>
      </c>
      <c r="F314" s="310"/>
      <c r="G314" s="311"/>
      <c r="H314" s="312" t="s">
        <v>209</v>
      </c>
      <c r="I314" s="304"/>
      <c r="J314" s="27"/>
      <c r="K314" s="27"/>
      <c r="L314" s="27"/>
      <c r="M314" s="27"/>
      <c r="N314" s="27"/>
      <c r="O314" s="27"/>
      <c r="P314" s="27"/>
      <c r="Q314" s="27"/>
    </row>
    <row r="315" spans="1:17">
      <c r="A315" t="str">
        <f t="shared" si="4"/>
        <v>Single Family Weatherization - Insulate Floor - R19 to R30 - Heating Zone 3 (Zonal or DHP)FLOOR R19 - R30 (cooling savings)</v>
      </c>
      <c r="B315" s="307" t="s">
        <v>1311</v>
      </c>
      <c r="C315" s="307" t="s">
        <v>1327</v>
      </c>
      <c r="D315" s="308">
        <v>-1.3034034766258127E-3</v>
      </c>
      <c r="E315" s="309">
        <v>45</v>
      </c>
      <c r="F315" s="310"/>
      <c r="G315" s="311"/>
      <c r="H315" s="312" t="s">
        <v>209</v>
      </c>
      <c r="I315" s="304"/>
      <c r="J315" s="27"/>
      <c r="K315" s="27"/>
      <c r="L315" s="27"/>
      <c r="M315" s="27"/>
      <c r="N315" s="27"/>
      <c r="O315" s="27"/>
      <c r="P315" s="27"/>
      <c r="Q315" s="27"/>
    </row>
    <row r="316" spans="1:17">
      <c r="A316" t="str">
        <f t="shared" si="4"/>
        <v>Windows - Single Pane to Class 30 - Heating Zone 3 (Zonal or DHP)WINDOW CL30 Prime Window Replacement of Single Pane Base (cooling savings)</v>
      </c>
      <c r="B316" s="307" t="s">
        <v>1312</v>
      </c>
      <c r="C316" s="307" t="s">
        <v>221</v>
      </c>
      <c r="D316" s="308">
        <v>7.2897306354861649E-2</v>
      </c>
      <c r="E316" s="302">
        <v>45</v>
      </c>
      <c r="F316" s="310"/>
      <c r="G316" s="311"/>
      <c r="H316" s="312" t="s">
        <v>209</v>
      </c>
      <c r="I316" s="304"/>
      <c r="J316" s="27"/>
      <c r="K316" s="27"/>
      <c r="L316" s="27"/>
      <c r="M316" s="27"/>
      <c r="N316" s="27"/>
      <c r="O316" s="27"/>
      <c r="P316" s="27"/>
      <c r="Q316" s="27"/>
    </row>
    <row r="317" spans="1:17">
      <c r="A317" t="str">
        <f t="shared" si="4"/>
        <v>Windows - Double Pane to Class 30 - Heating Zone 3 (Zonal or DHP)WINDOW CL30 Prime Window Replacement of Double Pane Base (cooling savings)</v>
      </c>
      <c r="B317" s="307" t="s">
        <v>1313</v>
      </c>
      <c r="C317" s="307" t="s">
        <v>222</v>
      </c>
      <c r="D317" s="308">
        <v>0.10773239660886998</v>
      </c>
      <c r="E317" s="302">
        <v>45</v>
      </c>
      <c r="F317" s="310"/>
      <c r="G317" s="311"/>
      <c r="H317" s="312" t="s">
        <v>209</v>
      </c>
      <c r="I317" s="304"/>
      <c r="J317" s="27"/>
      <c r="K317" s="27"/>
      <c r="L317" s="27"/>
      <c r="M317" s="27"/>
      <c r="N317" s="27"/>
      <c r="O317" s="27"/>
      <c r="P317" s="27"/>
      <c r="Q317" s="27"/>
    </row>
    <row r="318" spans="1:17">
      <c r="A318" t="str">
        <f t="shared" si="4"/>
        <v>Windows - Class 35 to Class 30 - Heating Zone 3 (Zonal or DHP)WINDOW CL35 to CL30 Upgrade (cooling savings)</v>
      </c>
      <c r="B318" s="307" t="s">
        <v>1314</v>
      </c>
      <c r="C318" s="307" t="s">
        <v>223</v>
      </c>
      <c r="D318" s="308">
        <v>1.1887908943328813E-3</v>
      </c>
      <c r="E318" s="302">
        <v>45</v>
      </c>
      <c r="F318" s="310"/>
      <c r="G318" s="311"/>
      <c r="H318" s="312" t="s">
        <v>209</v>
      </c>
      <c r="I318" s="304"/>
      <c r="J318" s="27"/>
      <c r="K318" s="27"/>
      <c r="L318" s="27"/>
      <c r="M318" s="27"/>
      <c r="N318" s="27"/>
      <c r="O318" s="27"/>
      <c r="P318" s="27"/>
      <c r="Q318" s="27"/>
    </row>
    <row r="319" spans="1:17">
      <c r="A319" t="str">
        <f t="shared" si="4"/>
        <v>Windows - Single Pane to Class 22 - Heating Zone 3 (Zonal or DHP)WINDOW CL22 Prime Window Replacement of Single Pane Base (cooling savings)</v>
      </c>
      <c r="B319" s="307" t="s">
        <v>1315</v>
      </c>
      <c r="C319" s="307" t="s">
        <v>224</v>
      </c>
      <c r="D319" s="308">
        <v>7.7451496083994403E-2</v>
      </c>
      <c r="E319" s="302">
        <v>45</v>
      </c>
      <c r="F319" s="310"/>
      <c r="G319" s="311"/>
      <c r="H319" s="312" t="s">
        <v>209</v>
      </c>
      <c r="I319" s="304"/>
      <c r="J319" s="27"/>
      <c r="K319" s="27"/>
      <c r="L319" s="27"/>
      <c r="M319" s="27"/>
      <c r="N319" s="27"/>
      <c r="O319" s="27"/>
      <c r="P319" s="27"/>
      <c r="Q319" s="27"/>
    </row>
    <row r="320" spans="1:17">
      <c r="A320" t="str">
        <f t="shared" si="4"/>
        <v>Windows - Double Pane to Class 22 - Heating Zone 3 (Zonal or DHP)WINDOW CL22 Prime Window Replacement of Double Pane Base (cooling savings)</v>
      </c>
      <c r="B320" s="307" t="s">
        <v>1316</v>
      </c>
      <c r="C320" s="307" t="s">
        <v>225</v>
      </c>
      <c r="D320" s="308">
        <v>0.11228658633800276</v>
      </c>
      <c r="E320" s="302">
        <v>45</v>
      </c>
      <c r="F320" s="310"/>
      <c r="G320" s="311"/>
      <c r="H320" s="312" t="s">
        <v>209</v>
      </c>
      <c r="I320" s="304"/>
      <c r="J320" s="27"/>
      <c r="K320" s="27"/>
      <c r="L320" s="27"/>
      <c r="M320" s="27"/>
      <c r="N320" s="27"/>
      <c r="O320" s="27"/>
      <c r="P320" s="27"/>
      <c r="Q320" s="27"/>
    </row>
    <row r="321" spans="1:17">
      <c r="A321" t="str">
        <f t="shared" si="4"/>
        <v>Windows - Class 35 to Class 22 - Heating Zone 3 (Zonal or DHP)WINDOW CL35 to CL22 Upgrade (cooling savings)</v>
      </c>
      <c r="B321" s="307" t="s">
        <v>1317</v>
      </c>
      <c r="C321" s="307" t="s">
        <v>226</v>
      </c>
      <c r="D321" s="308">
        <v>5.7429806234656558E-3</v>
      </c>
      <c r="E321" s="302">
        <v>45</v>
      </c>
      <c r="F321" s="310"/>
      <c r="G321" s="311"/>
      <c r="H321" s="312" t="s">
        <v>209</v>
      </c>
      <c r="I321" s="304"/>
      <c r="J321" s="27"/>
      <c r="K321" s="27"/>
      <c r="L321" s="27"/>
      <c r="M321" s="27"/>
      <c r="N321" s="27"/>
      <c r="O321" s="27"/>
      <c r="P321" s="27"/>
      <c r="Q321" s="27"/>
    </row>
    <row r="322" spans="1:17">
      <c r="A322" t="str">
        <f t="shared" si="4"/>
        <v>Infiltration Reduction - CFM50 reduction - Heating Zone 3 (Zonal or DHP)CFM50 Infiltration Reduction (cooling savings)</v>
      </c>
      <c r="B322" s="307" t="s">
        <v>1318</v>
      </c>
      <c r="C322" s="307" t="s">
        <v>890</v>
      </c>
      <c r="D322" s="308">
        <v>-1.0645603170924124E-3</v>
      </c>
      <c r="E322" s="309">
        <v>15</v>
      </c>
      <c r="F322" s="310"/>
      <c r="G322" s="311"/>
      <c r="H322" s="312" t="s">
        <v>209</v>
      </c>
      <c r="I322" s="304"/>
      <c r="J322" s="27"/>
      <c r="K322" s="27"/>
      <c r="L322" s="27"/>
      <c r="M322" s="27"/>
      <c r="N322" s="27"/>
      <c r="O322" s="27"/>
      <c r="P322" s="27"/>
      <c r="Q322" s="27"/>
    </row>
    <row r="323" spans="1:17">
      <c r="A323" t="str">
        <f t="shared" si="4"/>
        <v>Single Family Weatherization - Insulate Attic - R0 to R38 - Heating Zone 1 (Heat Pump)ATTIC R0 - R38 (cooling savings)</v>
      </c>
      <c r="B323" s="307" t="s">
        <v>148</v>
      </c>
      <c r="C323" s="307" t="s">
        <v>208</v>
      </c>
      <c r="D323" s="308">
        <v>0.11127176961072216</v>
      </c>
      <c r="E323" s="309">
        <v>45</v>
      </c>
      <c r="F323" s="310"/>
      <c r="G323" s="311"/>
      <c r="H323" s="312" t="s">
        <v>209</v>
      </c>
      <c r="I323" s="304"/>
      <c r="J323" s="27"/>
      <c r="K323" s="27"/>
      <c r="L323" s="27"/>
      <c r="M323" s="27"/>
      <c r="N323" s="27"/>
      <c r="O323" s="27"/>
      <c r="P323" s="27"/>
      <c r="Q323" s="27"/>
    </row>
    <row r="324" spans="1:17">
      <c r="A324" t="str">
        <f t="shared" si="4"/>
        <v>Single Family Weatherization - Insulate Attic - R0 to R49 - Heating Zone 1 (Heat Pump)ATTIC R0 - R49 (cooling savings)</v>
      </c>
      <c r="B324" s="307" t="s">
        <v>150</v>
      </c>
      <c r="C324" s="307" t="s">
        <v>210</v>
      </c>
      <c r="D324" s="308">
        <v>0.11260527715978166</v>
      </c>
      <c r="E324" s="309">
        <v>45</v>
      </c>
      <c r="F324" s="310"/>
      <c r="G324" s="311"/>
      <c r="H324" s="312" t="s">
        <v>209</v>
      </c>
      <c r="I324" s="304"/>
      <c r="J324" s="27"/>
      <c r="K324" s="27"/>
      <c r="L324" s="27"/>
      <c r="M324" s="27"/>
      <c r="N324" s="27"/>
      <c r="O324" s="27"/>
      <c r="P324" s="27"/>
      <c r="Q324" s="27"/>
    </row>
    <row r="325" spans="1:17">
      <c r="A325" t="str">
        <f t="shared" si="4"/>
        <v>Single Family Weatherization - Insulate Attic - R11 to R38 - Heating Zone 1 (Heat Pump)ATTIC R11 - R38 (cooling savings)</v>
      </c>
      <c r="B325" s="307" t="s">
        <v>151</v>
      </c>
      <c r="C325" s="307" t="s">
        <v>211</v>
      </c>
      <c r="D325" s="308">
        <v>1.6171544078991615E-2</v>
      </c>
      <c r="E325" s="309">
        <v>45</v>
      </c>
      <c r="F325" s="310"/>
      <c r="G325" s="311"/>
      <c r="H325" s="312" t="s">
        <v>209</v>
      </c>
      <c r="I325" s="304"/>
      <c r="J325" s="27"/>
      <c r="K325" s="27"/>
      <c r="L325" s="27"/>
      <c r="M325" s="27"/>
      <c r="N325" s="27"/>
      <c r="O325" s="27"/>
      <c r="P325" s="27"/>
      <c r="Q325" s="27"/>
    </row>
    <row r="326" spans="1:17">
      <c r="A326" t="str">
        <f t="shared" si="4"/>
        <v>Single Family Weatherization - Insulate Attic - R11 to R49 - Heating Zone 1 (Heat Pump)ATTIC R11 - R49 (cooling savings)</v>
      </c>
      <c r="B326" s="307" t="s">
        <v>152</v>
      </c>
      <c r="C326" s="307" t="s">
        <v>212</v>
      </c>
      <c r="D326" s="308">
        <v>1.7505051628051122E-2</v>
      </c>
      <c r="E326" s="309">
        <v>45</v>
      </c>
      <c r="F326" s="310"/>
      <c r="G326" s="311"/>
      <c r="H326" s="312" t="s">
        <v>209</v>
      </c>
      <c r="I326" s="304"/>
      <c r="J326" s="27"/>
      <c r="K326" s="27"/>
      <c r="L326" s="27"/>
      <c r="M326" s="27"/>
      <c r="N326" s="27"/>
      <c r="O326" s="27"/>
      <c r="P326" s="27"/>
      <c r="Q326" s="27"/>
    </row>
    <row r="327" spans="1:17">
      <c r="A327" t="str">
        <f t="shared" si="4"/>
        <v>Single Family Weatherization - Insulate Attic - R19 to R38 - Heating Zone 1 (Heat Pump)ATTIC R19 - R38 (cooling savings)</v>
      </c>
      <c r="B327" s="307" t="s">
        <v>153</v>
      </c>
      <c r="C327" s="307" t="s">
        <v>213</v>
      </c>
      <c r="D327" s="308">
        <v>6.5998675175979269E-3</v>
      </c>
      <c r="E327" s="309">
        <v>45</v>
      </c>
      <c r="F327" s="310"/>
      <c r="G327" s="311"/>
      <c r="H327" s="312" t="s">
        <v>209</v>
      </c>
      <c r="I327" s="304"/>
      <c r="J327" s="27"/>
      <c r="K327" s="27"/>
      <c r="L327" s="27"/>
      <c r="M327" s="27"/>
      <c r="N327" s="27"/>
      <c r="O327" s="27"/>
      <c r="P327" s="27"/>
      <c r="Q327" s="27"/>
    </row>
    <row r="328" spans="1:17">
      <c r="A328" t="str">
        <f t="shared" si="4"/>
        <v>Single Family Weatherization - Insulate Attic - R19 to R49 - Heating Zone 1 (Heat Pump)ATTIC R19 - R49 (cooling savings)</v>
      </c>
      <c r="B328" s="307" t="s">
        <v>154</v>
      </c>
      <c r="C328" s="307" t="s">
        <v>214</v>
      </c>
      <c r="D328" s="308">
        <v>7.9333750666574377E-3</v>
      </c>
      <c r="E328" s="309">
        <v>45</v>
      </c>
      <c r="F328" s="310"/>
      <c r="G328" s="311"/>
      <c r="H328" s="312" t="s">
        <v>209</v>
      </c>
      <c r="I328" s="304"/>
      <c r="J328" s="27"/>
      <c r="K328" s="27"/>
      <c r="L328" s="27"/>
      <c r="M328" s="27"/>
      <c r="N328" s="27"/>
      <c r="O328" s="27"/>
      <c r="P328" s="27"/>
      <c r="Q328" s="27"/>
    </row>
    <row r="329" spans="1:17">
      <c r="A329" t="str">
        <f t="shared" ref="A329:A384" si="5">CONCATENATE(B329,C329)</f>
        <v>Single Family Weatherization - Insulate Attic - R30 to R38 - Heating Zone 1 (Heat Pump)ATTIC R30 - R38 (cooling savings)</v>
      </c>
      <c r="B329" s="307" t="s">
        <v>1319</v>
      </c>
      <c r="C329" s="307" t="s">
        <v>1326</v>
      </c>
      <c r="D329" s="308">
        <v>1.706921831153584E-3</v>
      </c>
      <c r="E329" s="309">
        <v>45</v>
      </c>
      <c r="F329" s="310"/>
      <c r="G329" s="311"/>
      <c r="H329" s="312" t="s">
        <v>209</v>
      </c>
      <c r="I329" s="304"/>
      <c r="J329" s="27"/>
      <c r="K329" s="27"/>
      <c r="L329" s="27"/>
      <c r="M329" s="27"/>
      <c r="N329" s="27"/>
      <c r="O329" s="27"/>
      <c r="P329" s="27"/>
      <c r="Q329" s="27"/>
    </row>
    <row r="330" spans="1:17">
      <c r="A330" t="str">
        <f t="shared" si="5"/>
        <v>Single Family Weatherization - Insulate Attic - R30 to R49 - Heating Zone 1 (Heat Pump)ATTIC R30 - R49 (cooling savings)</v>
      </c>
      <c r="B330" s="307" t="s">
        <v>155</v>
      </c>
      <c r="C330" s="307" t="s">
        <v>215</v>
      </c>
      <c r="D330" s="308">
        <v>3.0404293802130957E-3</v>
      </c>
      <c r="E330" s="309">
        <v>45</v>
      </c>
      <c r="F330" s="310"/>
      <c r="G330" s="311"/>
      <c r="H330" s="312" t="s">
        <v>209</v>
      </c>
      <c r="I330" s="304"/>
      <c r="J330" s="27"/>
      <c r="K330" s="27"/>
      <c r="L330" s="27"/>
      <c r="M330" s="27"/>
      <c r="N330" s="27"/>
      <c r="O330" s="27"/>
      <c r="P330" s="27"/>
      <c r="Q330" s="27"/>
    </row>
    <row r="331" spans="1:17">
      <c r="A331" t="str">
        <f t="shared" si="5"/>
        <v>Single Family Weatherization - Insulate Attic - R38 to R49 - Heating Zone 1 (Heat Pump)ATTIC R38 - R49 (cooling savings)</v>
      </c>
      <c r="B331" s="307" t="s">
        <v>156</v>
      </c>
      <c r="C331" s="307" t="s">
        <v>216</v>
      </c>
      <c r="D331" s="308">
        <v>1.3335075490595117E-3</v>
      </c>
      <c r="E331" s="309">
        <v>45</v>
      </c>
      <c r="F331" s="310"/>
      <c r="G331" s="311"/>
      <c r="H331" s="312" t="s">
        <v>209</v>
      </c>
      <c r="I331" s="304"/>
      <c r="J331" s="27"/>
      <c r="K331" s="27"/>
      <c r="L331" s="27"/>
      <c r="M331" s="27"/>
      <c r="N331" s="27"/>
      <c r="O331" s="27"/>
      <c r="P331" s="27"/>
      <c r="Q331" s="27"/>
    </row>
    <row r="332" spans="1:17">
      <c r="A332" t="str">
        <f t="shared" si="5"/>
        <v>Single Family Weatherization - Insulate Wall - R0 to R11 - Heating Zone 1 (Heat Pump)WALL R0 - R11 (cooling savings)</v>
      </c>
      <c r="B332" s="307" t="s">
        <v>157</v>
      </c>
      <c r="C332" s="307" t="s">
        <v>217</v>
      </c>
      <c r="D332" s="308">
        <v>1.6388687920343571E-2</v>
      </c>
      <c r="E332" s="309">
        <v>45</v>
      </c>
      <c r="F332" s="310"/>
      <c r="G332" s="311"/>
      <c r="H332" s="312" t="s">
        <v>209</v>
      </c>
      <c r="I332" s="304"/>
      <c r="J332" s="27"/>
      <c r="K332" s="27"/>
      <c r="L332" s="27"/>
      <c r="M332" s="27"/>
      <c r="N332" s="27"/>
      <c r="O332" s="27"/>
      <c r="P332" s="27"/>
      <c r="Q332" s="27"/>
    </row>
    <row r="333" spans="1:17">
      <c r="A333" t="str">
        <f t="shared" si="5"/>
        <v>Single Family Weatherization - Insulate Floor - R0 to R19 - Heating Zone 1 (Heat Pump)FLOOR R0 - R19 (cooling savings)</v>
      </c>
      <c r="B333" s="307" t="s">
        <v>158</v>
      </c>
      <c r="C333" s="307" t="s">
        <v>218</v>
      </c>
      <c r="D333" s="308">
        <v>-1.4938880213715266E-2</v>
      </c>
      <c r="E333" s="309">
        <v>45</v>
      </c>
      <c r="F333" s="310"/>
      <c r="G333" s="311"/>
      <c r="H333" s="312" t="s">
        <v>209</v>
      </c>
      <c r="I333" s="304"/>
      <c r="J333" s="27"/>
      <c r="K333" s="27"/>
      <c r="L333" s="27"/>
      <c r="M333" s="27"/>
      <c r="N333" s="27"/>
      <c r="O333" s="27"/>
      <c r="P333" s="27"/>
      <c r="Q333" s="27"/>
    </row>
    <row r="334" spans="1:17">
      <c r="A334" t="str">
        <f t="shared" si="5"/>
        <v>Single Family Weatherization - Insulate Floor - R0 to R25 - Heating Zone 1 (Heat Pump)FLOOR R0 - R25 (cooling savings)</v>
      </c>
      <c r="B334" s="307" t="s">
        <v>159</v>
      </c>
      <c r="C334" s="307" t="s">
        <v>219</v>
      </c>
      <c r="D334" s="308">
        <v>-1.6592265806422452E-2</v>
      </c>
      <c r="E334" s="309">
        <v>45</v>
      </c>
      <c r="F334" s="310"/>
      <c r="G334" s="311"/>
      <c r="H334" s="312" t="s">
        <v>209</v>
      </c>
      <c r="I334" s="304"/>
      <c r="J334" s="27"/>
      <c r="K334" s="27"/>
      <c r="L334" s="27"/>
      <c r="M334" s="27"/>
      <c r="N334" s="27"/>
      <c r="O334" s="27"/>
      <c r="P334" s="27"/>
      <c r="Q334" s="27"/>
    </row>
    <row r="335" spans="1:17">
      <c r="A335" t="str">
        <f t="shared" si="5"/>
        <v>Single Family Weatherization - Insulate Floor - R0 to R30 - Heating Zone 1 (Heat Pump)FLOOR R0 - R30 (cooling savings)</v>
      </c>
      <c r="B335" s="307" t="s">
        <v>160</v>
      </c>
      <c r="C335" s="307" t="s">
        <v>220</v>
      </c>
      <c r="D335" s="308">
        <v>-1.7674407051073371E-2</v>
      </c>
      <c r="E335" s="309">
        <v>45</v>
      </c>
      <c r="F335" s="310"/>
      <c r="G335" s="311"/>
      <c r="H335" s="312" t="s">
        <v>209</v>
      </c>
      <c r="I335" s="304"/>
      <c r="J335" s="27"/>
      <c r="K335" s="27"/>
      <c r="L335" s="27"/>
      <c r="M335" s="27"/>
      <c r="N335" s="27"/>
      <c r="O335" s="27"/>
      <c r="P335" s="27"/>
      <c r="Q335" s="27"/>
    </row>
    <row r="336" spans="1:17">
      <c r="A336" t="str">
        <f t="shared" si="5"/>
        <v>Single Family Weatherization - Insulate Floor - R19 to R30 - Heating Zone 1 (Heat Pump)FLOOR R19 - R30 (cooling savings)</v>
      </c>
      <c r="B336" s="307" t="s">
        <v>1320</v>
      </c>
      <c r="C336" s="307" t="s">
        <v>1327</v>
      </c>
      <c r="D336" s="308">
        <v>-2.7355268373581059E-3</v>
      </c>
      <c r="E336" s="309">
        <v>45</v>
      </c>
      <c r="F336" s="310"/>
      <c r="G336" s="311"/>
      <c r="H336" s="312" t="s">
        <v>209</v>
      </c>
      <c r="I336" s="304"/>
      <c r="J336" s="27"/>
      <c r="K336" s="27"/>
      <c r="L336" s="27"/>
      <c r="M336" s="27"/>
      <c r="N336" s="27"/>
      <c r="O336" s="27"/>
      <c r="P336" s="27"/>
      <c r="Q336" s="27"/>
    </row>
    <row r="337" spans="1:17">
      <c r="A337" t="str">
        <f t="shared" si="5"/>
        <v>Windows - Single Pane to Class 30 - Heating Zone 1 (Heat Pump)WINDOW CL30 Prime Window Replacement of Single Pane Base (cooling savings)</v>
      </c>
      <c r="B337" s="307" t="s">
        <v>161</v>
      </c>
      <c r="C337" s="307" t="s">
        <v>221</v>
      </c>
      <c r="D337" s="308">
        <v>0.28004804014236023</v>
      </c>
      <c r="E337" s="302">
        <v>45</v>
      </c>
      <c r="F337" s="310"/>
      <c r="G337" s="311"/>
      <c r="H337" s="312" t="s">
        <v>209</v>
      </c>
      <c r="I337" s="304"/>
      <c r="J337" s="27"/>
      <c r="K337" s="27"/>
      <c r="L337" s="27"/>
      <c r="M337" s="27"/>
      <c r="N337" s="27"/>
      <c r="O337" s="27"/>
      <c r="P337" s="27"/>
      <c r="Q337" s="27"/>
    </row>
    <row r="338" spans="1:17">
      <c r="A338" t="str">
        <f t="shared" si="5"/>
        <v>Windows - Double Pane to Class 30 - Heating Zone 1 (Heat Pump)WINDOW CL30 Prime Window Replacement of Double Pane Base (cooling savings)</v>
      </c>
      <c r="B338" s="307" t="s">
        <v>162</v>
      </c>
      <c r="C338" s="307" t="s">
        <v>222</v>
      </c>
      <c r="D338" s="308">
        <v>0.34231320722843483</v>
      </c>
      <c r="E338" s="302">
        <v>45</v>
      </c>
      <c r="F338" s="310"/>
      <c r="G338" s="311"/>
      <c r="H338" s="312" t="s">
        <v>209</v>
      </c>
      <c r="I338" s="304"/>
      <c r="J338" s="27"/>
      <c r="K338" s="27"/>
      <c r="L338" s="27"/>
      <c r="M338" s="27"/>
      <c r="N338" s="27"/>
      <c r="O338" s="27"/>
      <c r="P338" s="27"/>
      <c r="Q338" s="27"/>
    </row>
    <row r="339" spans="1:17">
      <c r="A339" t="str">
        <f t="shared" si="5"/>
        <v>Windows - Class 35 to Class 30 - Heating Zone 1 (Heat Pump)WINDOW CL35 to CL30 Upgrade (cooling savings)</v>
      </c>
      <c r="B339" s="307" t="s">
        <v>163</v>
      </c>
      <c r="C339" s="307" t="s">
        <v>223</v>
      </c>
      <c r="D339" s="308">
        <v>8.7555423041200571E-3</v>
      </c>
      <c r="E339" s="302">
        <v>45</v>
      </c>
      <c r="F339" s="310"/>
      <c r="G339" s="311"/>
      <c r="H339" s="312" t="s">
        <v>209</v>
      </c>
      <c r="I339" s="304"/>
      <c r="J339" s="27"/>
      <c r="K339" s="27"/>
      <c r="L339" s="27"/>
      <c r="M339" s="27"/>
      <c r="N339" s="27"/>
      <c r="O339" s="27"/>
      <c r="P339" s="27"/>
      <c r="Q339" s="27"/>
    </row>
    <row r="340" spans="1:17">
      <c r="A340" t="str">
        <f t="shared" si="5"/>
        <v>Windows - Single Pane to Class 22 - Heating Zone 1 (Heat Pump)WINDOW CL22 Prime Window Replacement of Single Pane Base (cooling savings)</v>
      </c>
      <c r="B340" s="307" t="s">
        <v>164</v>
      </c>
      <c r="C340" s="307" t="s">
        <v>224</v>
      </c>
      <c r="D340" s="308">
        <v>0.30193784174143135</v>
      </c>
      <c r="E340" s="302">
        <v>45</v>
      </c>
      <c r="F340" s="310"/>
      <c r="G340" s="311"/>
      <c r="H340" s="312" t="s">
        <v>209</v>
      </c>
      <c r="I340" s="304"/>
      <c r="J340" s="27"/>
      <c r="K340" s="27"/>
      <c r="L340" s="27"/>
      <c r="M340" s="27"/>
      <c r="N340" s="27"/>
      <c r="O340" s="27"/>
      <c r="P340" s="27"/>
      <c r="Q340" s="27"/>
    </row>
    <row r="341" spans="1:17">
      <c r="A341" t="str">
        <f t="shared" si="5"/>
        <v>Windows - Double Pane to Class 22 - Heating Zone 1 (Heat Pump)WINDOW CL22 Prime Window Replacement of Double Pane Base (cooling savings)</v>
      </c>
      <c r="B341" s="307" t="s">
        <v>165</v>
      </c>
      <c r="C341" s="307" t="s">
        <v>225</v>
      </c>
      <c r="D341" s="308">
        <v>0.364203008827506</v>
      </c>
      <c r="E341" s="302">
        <v>45</v>
      </c>
      <c r="F341" s="310"/>
      <c r="G341" s="311"/>
      <c r="H341" s="312" t="s">
        <v>209</v>
      </c>
      <c r="I341" s="304"/>
      <c r="J341" s="27"/>
      <c r="K341" s="27"/>
      <c r="L341" s="27"/>
      <c r="M341" s="27"/>
      <c r="N341" s="27"/>
      <c r="O341" s="27"/>
      <c r="P341" s="27"/>
      <c r="Q341" s="27"/>
    </row>
    <row r="342" spans="1:17">
      <c r="A342" t="str">
        <f t="shared" si="5"/>
        <v>Windows - Class 35 to Class 22 - Heating Zone 1 (Heat Pump)WINDOW CL35 to CL22 Upgrade (cooling savings)</v>
      </c>
      <c r="B342" s="307" t="s">
        <v>166</v>
      </c>
      <c r="C342" s="307" t="s">
        <v>226</v>
      </c>
      <c r="D342" s="308">
        <v>3.0645343903191201E-2</v>
      </c>
      <c r="E342" s="302">
        <v>45</v>
      </c>
      <c r="F342" s="310"/>
      <c r="G342" s="311"/>
      <c r="H342" s="312" t="s">
        <v>209</v>
      </c>
      <c r="I342" s="304"/>
      <c r="J342" s="27"/>
      <c r="K342" s="27"/>
      <c r="L342" s="27"/>
      <c r="M342" s="27"/>
      <c r="N342" s="27"/>
      <c r="O342" s="27"/>
      <c r="P342" s="27"/>
      <c r="Q342" s="27"/>
    </row>
    <row r="343" spans="1:17">
      <c r="A343" t="str">
        <f t="shared" si="5"/>
        <v>Infiltration Reduction - CFM50 reduction - Heating Zone 1 (Heat Pump)CFM50 Infiltration Reduction (cooling savings)</v>
      </c>
      <c r="B343" s="307" t="s">
        <v>167</v>
      </c>
      <c r="C343" s="307" t="s">
        <v>890</v>
      </c>
      <c r="D343" s="308">
        <v>2.6259340480084435E-3</v>
      </c>
      <c r="E343" s="309">
        <v>15</v>
      </c>
      <c r="F343" s="310"/>
      <c r="G343" s="311"/>
      <c r="H343" s="312" t="s">
        <v>209</v>
      </c>
      <c r="I343" s="304"/>
      <c r="J343" s="27"/>
      <c r="K343" s="27"/>
      <c r="L343" s="27"/>
      <c r="M343" s="27"/>
      <c r="N343" s="27"/>
      <c r="O343" s="27"/>
      <c r="P343" s="27"/>
      <c r="Q343" s="27"/>
    </row>
    <row r="344" spans="1:17">
      <c r="A344" t="str">
        <f t="shared" si="5"/>
        <v>Single Family Weatherization - Insulate Attic - R0 to R38 - Heating Zone 2 (Heat Pump)ATTIC R0 - R38 (cooling savings)</v>
      </c>
      <c r="B344" s="307" t="s">
        <v>168</v>
      </c>
      <c r="C344" s="307" t="s">
        <v>208</v>
      </c>
      <c r="D344" s="308">
        <v>0.16014327630127786</v>
      </c>
      <c r="E344" s="309">
        <v>45</v>
      </c>
      <c r="F344" s="310"/>
      <c r="G344" s="311"/>
      <c r="H344" s="312" t="s">
        <v>209</v>
      </c>
      <c r="I344" s="304"/>
      <c r="J344" s="27"/>
      <c r="K344" s="27"/>
      <c r="L344" s="27"/>
      <c r="M344" s="27"/>
      <c r="N344" s="27"/>
      <c r="O344" s="27"/>
      <c r="P344" s="27"/>
      <c r="Q344" s="27"/>
    </row>
    <row r="345" spans="1:17">
      <c r="A345" t="str">
        <f t="shared" si="5"/>
        <v>Single Family Weatherization - Insulate Attic - R0 to R49 - Heating Zone 2 (Heat Pump)ATTIC R0 - R49 (cooling savings)</v>
      </c>
      <c r="B345" s="307" t="s">
        <v>170</v>
      </c>
      <c r="C345" s="307" t="s">
        <v>210</v>
      </c>
      <c r="D345" s="308">
        <v>0.16203963010463099</v>
      </c>
      <c r="E345" s="309">
        <v>45</v>
      </c>
      <c r="F345" s="310"/>
      <c r="G345" s="311"/>
      <c r="H345" s="312" t="s">
        <v>209</v>
      </c>
      <c r="I345" s="304"/>
      <c r="J345" s="27"/>
      <c r="K345" s="27"/>
      <c r="L345" s="27"/>
      <c r="M345" s="27"/>
      <c r="N345" s="27"/>
      <c r="O345" s="27"/>
      <c r="P345" s="27"/>
      <c r="Q345" s="27"/>
    </row>
    <row r="346" spans="1:17">
      <c r="A346" t="str">
        <f t="shared" si="5"/>
        <v>Single Family Weatherization - Insulate Attic - R11 to R38 - Heating Zone 2 (Heat Pump)ATTIC R11 - R38 (cooling savings)</v>
      </c>
      <c r="B346" s="307" t="s">
        <v>171</v>
      </c>
      <c r="C346" s="307" t="s">
        <v>211</v>
      </c>
      <c r="D346" s="308">
        <v>2.3053674154165489E-2</v>
      </c>
      <c r="E346" s="309">
        <v>45</v>
      </c>
      <c r="F346" s="310"/>
      <c r="G346" s="311"/>
      <c r="H346" s="312" t="s">
        <v>209</v>
      </c>
      <c r="I346" s="304"/>
      <c r="J346" s="27"/>
      <c r="K346" s="27"/>
      <c r="L346" s="27"/>
      <c r="M346" s="27"/>
      <c r="N346" s="27"/>
      <c r="O346" s="27"/>
      <c r="P346" s="27"/>
      <c r="Q346" s="27"/>
    </row>
    <row r="347" spans="1:17">
      <c r="A347" t="str">
        <f t="shared" si="5"/>
        <v>Single Family Weatherization - Insulate Attic - R11 to R49 - Heating Zone 2 (Heat Pump)ATTIC R11 - R49 (cooling savings)</v>
      </c>
      <c r="B347" s="307" t="s">
        <v>172</v>
      </c>
      <c r="C347" s="307" t="s">
        <v>212</v>
      </c>
      <c r="D347" s="308">
        <v>2.4950027957518613E-2</v>
      </c>
      <c r="E347" s="309">
        <v>45</v>
      </c>
      <c r="F347" s="310"/>
      <c r="G347" s="311"/>
      <c r="H347" s="312" t="s">
        <v>209</v>
      </c>
      <c r="I347" s="304"/>
      <c r="J347" s="27"/>
      <c r="K347" s="27"/>
      <c r="L347" s="27"/>
      <c r="M347" s="27"/>
      <c r="N347" s="27"/>
      <c r="O347" s="27"/>
      <c r="P347" s="27"/>
      <c r="Q347" s="27"/>
    </row>
    <row r="348" spans="1:17">
      <c r="A348" t="str">
        <f t="shared" si="5"/>
        <v>Single Family Weatherization - Insulate Attic - R19 to R38 - Heating Zone 2 (Heat Pump)ATTIC R19 - R38 (cooling savings)</v>
      </c>
      <c r="B348" s="307" t="s">
        <v>173</v>
      </c>
      <c r="C348" s="307" t="s">
        <v>213</v>
      </c>
      <c r="D348" s="308">
        <v>9.3938303793518613E-3</v>
      </c>
      <c r="E348" s="309">
        <v>45</v>
      </c>
      <c r="F348" s="310"/>
      <c r="G348" s="311"/>
      <c r="H348" s="312" t="s">
        <v>209</v>
      </c>
      <c r="I348" s="304"/>
      <c r="J348" s="27"/>
      <c r="K348" s="27"/>
      <c r="L348" s="27"/>
      <c r="M348" s="27"/>
      <c r="N348" s="27"/>
      <c r="O348" s="27"/>
      <c r="P348" s="27"/>
      <c r="Q348" s="27"/>
    </row>
    <row r="349" spans="1:17">
      <c r="A349" t="str">
        <f t="shared" si="5"/>
        <v>Single Family Weatherization - Insulate Attic - R19 to R49 - Heating Zone 2 (Heat Pump)ATTIC R19 - R49 (cooling savings)</v>
      </c>
      <c r="B349" s="307" t="s">
        <v>174</v>
      </c>
      <c r="C349" s="307" t="s">
        <v>214</v>
      </c>
      <c r="D349" s="308">
        <v>1.1290184182704983E-2</v>
      </c>
      <c r="E349" s="309">
        <v>45</v>
      </c>
      <c r="F349" s="310"/>
      <c r="G349" s="311"/>
      <c r="H349" s="312" t="s">
        <v>209</v>
      </c>
      <c r="I349" s="304"/>
      <c r="J349" s="27"/>
      <c r="K349" s="27"/>
      <c r="L349" s="27"/>
      <c r="M349" s="27"/>
      <c r="N349" s="27"/>
      <c r="O349" s="27"/>
      <c r="P349" s="27"/>
      <c r="Q349" s="27"/>
    </row>
    <row r="350" spans="1:17">
      <c r="A350" t="str">
        <f t="shared" si="5"/>
        <v>Single Family Weatherization - Insulate Attic - R30 to R38 - Heating Zone 2 (Heat Pump)ATTIC R30 - R38 (cooling savings)</v>
      </c>
      <c r="B350" s="307" t="s">
        <v>1321</v>
      </c>
      <c r="C350" s="307" t="s">
        <v>1326</v>
      </c>
      <c r="D350" s="308">
        <v>2.4271545167477938E-3</v>
      </c>
      <c r="E350" s="309">
        <v>45</v>
      </c>
      <c r="F350" s="310"/>
      <c r="G350" s="311"/>
      <c r="H350" s="312" t="s">
        <v>209</v>
      </c>
      <c r="I350" s="304"/>
      <c r="J350" s="27"/>
      <c r="K350" s="27"/>
      <c r="L350" s="27"/>
      <c r="M350" s="27"/>
      <c r="N350" s="27"/>
      <c r="O350" s="27"/>
      <c r="P350" s="27"/>
      <c r="Q350" s="27"/>
    </row>
    <row r="351" spans="1:17">
      <c r="A351" t="str">
        <f t="shared" si="5"/>
        <v>Single Family Weatherization - Insulate Attic - R30 to R49 - Heating Zone 2 (Heat Pump)ATTIC R30 - R49 (cooling savings)</v>
      </c>
      <c r="B351" s="307" t="s">
        <v>175</v>
      </c>
      <c r="C351" s="307" t="s">
        <v>215</v>
      </c>
      <c r="D351" s="308">
        <v>4.3235083201009182E-3</v>
      </c>
      <c r="E351" s="309">
        <v>45</v>
      </c>
      <c r="F351" s="310"/>
      <c r="G351" s="311"/>
      <c r="H351" s="312" t="s">
        <v>209</v>
      </c>
      <c r="I351" s="304"/>
      <c r="J351" s="27"/>
      <c r="K351" s="27"/>
      <c r="L351" s="27"/>
      <c r="M351" s="27"/>
      <c r="N351" s="27"/>
      <c r="O351" s="27"/>
      <c r="P351" s="27"/>
      <c r="Q351" s="27"/>
    </row>
    <row r="352" spans="1:17">
      <c r="A352" t="str">
        <f t="shared" si="5"/>
        <v>Single Family Weatherization - Insulate Attic - R38 to R49 - Heating Zone 2 (Heat Pump)ATTIC R38 - R49 (cooling savings)</v>
      </c>
      <c r="B352" s="307" t="s">
        <v>176</v>
      </c>
      <c r="C352" s="307" t="s">
        <v>216</v>
      </c>
      <c r="D352" s="308">
        <v>1.8963538033531242E-3</v>
      </c>
      <c r="E352" s="309">
        <v>45</v>
      </c>
      <c r="F352" s="310"/>
      <c r="G352" s="311"/>
      <c r="H352" s="312" t="s">
        <v>209</v>
      </c>
      <c r="I352" s="304"/>
      <c r="J352" s="27"/>
      <c r="K352" s="27"/>
      <c r="L352" s="27"/>
      <c r="M352" s="27"/>
      <c r="N352" s="27"/>
      <c r="O352" s="27"/>
      <c r="P352" s="27"/>
      <c r="Q352" s="27"/>
    </row>
    <row r="353" spans="1:17">
      <c r="A353" t="str">
        <f t="shared" si="5"/>
        <v>Single Family Weatherization - Insulate Wall - R0 to R11 - Heating Zone 2 (Heat Pump)WALL R0 - R11 (cooling savings)</v>
      </c>
      <c r="B353" s="307" t="s">
        <v>177</v>
      </c>
      <c r="C353" s="307" t="s">
        <v>217</v>
      </c>
      <c r="D353" s="308">
        <v>2.1895627357705123E-2</v>
      </c>
      <c r="E353" s="309">
        <v>45</v>
      </c>
      <c r="F353" s="310"/>
      <c r="G353" s="311"/>
      <c r="H353" s="312" t="s">
        <v>209</v>
      </c>
      <c r="I353" s="304"/>
      <c r="J353" s="27"/>
      <c r="K353" s="27"/>
      <c r="L353" s="27"/>
      <c r="M353" s="27"/>
      <c r="N353" s="27"/>
      <c r="O353" s="27"/>
      <c r="P353" s="27"/>
      <c r="Q353" s="27"/>
    </row>
    <row r="354" spans="1:17">
      <c r="A354" t="str">
        <f t="shared" si="5"/>
        <v>Single Family Weatherization - Insulate Floor - R0 to R19 - Heating Zone 2 (Heat Pump)FLOOR R0 - R19 (cooling savings)</v>
      </c>
      <c r="B354" s="307" t="s">
        <v>178</v>
      </c>
      <c r="C354" s="307" t="s">
        <v>218</v>
      </c>
      <c r="D354" s="308">
        <v>-2.3257152444759982E-2</v>
      </c>
      <c r="E354" s="309">
        <v>45</v>
      </c>
      <c r="F354" s="310"/>
      <c r="G354" s="311"/>
      <c r="H354" s="312" t="s">
        <v>209</v>
      </c>
      <c r="I354" s="304"/>
      <c r="J354" s="27"/>
      <c r="K354" s="27"/>
      <c r="L354" s="27"/>
      <c r="M354" s="27"/>
      <c r="N354" s="27"/>
      <c r="O354" s="27"/>
      <c r="P354" s="27"/>
      <c r="Q354" s="27"/>
    </row>
    <row r="355" spans="1:17">
      <c r="A355" t="str">
        <f t="shared" si="5"/>
        <v>Single Family Weatherization - Insulate Floor - R0 to R25 - Heating Zone 2 (Heat Pump)FLOOR R0 - R25 (cooling savings)</v>
      </c>
      <c r="B355" s="307" t="s">
        <v>179</v>
      </c>
      <c r="C355" s="307" t="s">
        <v>219</v>
      </c>
      <c r="D355" s="308">
        <v>-2.5801269745118038E-2</v>
      </c>
      <c r="E355" s="309">
        <v>45</v>
      </c>
      <c r="F355" s="310"/>
      <c r="G355" s="311"/>
      <c r="H355" s="312" t="s">
        <v>209</v>
      </c>
      <c r="I355" s="304"/>
      <c r="J355" s="27"/>
      <c r="K355" s="27"/>
      <c r="L355" s="27"/>
      <c r="M355" s="27"/>
      <c r="N355" s="27"/>
      <c r="O355" s="27"/>
      <c r="P355" s="27"/>
      <c r="Q355" s="27"/>
    </row>
    <row r="356" spans="1:17">
      <c r="A356" t="str">
        <f t="shared" si="5"/>
        <v>Single Family Weatherization - Insulate Floor - R0 to R30 - Heating Zone 2 (Heat Pump)FLOOR R0 - R30 (cooling savings)</v>
      </c>
      <c r="B356" s="307" t="s">
        <v>180</v>
      </c>
      <c r="C356" s="307" t="s">
        <v>220</v>
      </c>
      <c r="D356" s="308">
        <v>-2.7459924374583951E-2</v>
      </c>
      <c r="E356" s="309">
        <v>45</v>
      </c>
      <c r="F356" s="310"/>
      <c r="G356" s="311"/>
      <c r="H356" s="312" t="s">
        <v>209</v>
      </c>
      <c r="I356" s="304"/>
      <c r="J356" s="27"/>
      <c r="K356" s="27"/>
      <c r="L356" s="27"/>
      <c r="M356" s="27"/>
      <c r="N356" s="27"/>
      <c r="O356" s="27"/>
      <c r="P356" s="27"/>
      <c r="Q356" s="27"/>
    </row>
    <row r="357" spans="1:17">
      <c r="A357" t="str">
        <f t="shared" si="5"/>
        <v>Single Family Weatherization - Insulate Floor - R19 to R30 - Heating Zone 2 (Heat Pump)FLOOR R19 - R30 (cooling savings)</v>
      </c>
      <c r="B357" s="307" t="s">
        <v>1322</v>
      </c>
      <c r="C357" s="307" t="s">
        <v>1327</v>
      </c>
      <c r="D357" s="308">
        <v>-4.2027719298239679E-3</v>
      </c>
      <c r="E357" s="309">
        <v>45</v>
      </c>
      <c r="F357" s="310"/>
      <c r="G357" s="311"/>
      <c r="H357" s="312" t="s">
        <v>209</v>
      </c>
      <c r="I357" s="304"/>
      <c r="J357" s="27"/>
      <c r="K357" s="27"/>
      <c r="L357" s="27"/>
      <c r="M357" s="27"/>
      <c r="N357" s="27"/>
      <c r="O357" s="27"/>
      <c r="P357" s="27"/>
      <c r="Q357" s="27"/>
    </row>
    <row r="358" spans="1:17">
      <c r="A358" t="str">
        <f t="shared" si="5"/>
        <v>Windows - Single Pane to Class 30 - Heating Zone 2 (Heat Pump)WINDOW CL30 Prime Window Replacement of Single Pane Base (cooling savings)</v>
      </c>
      <c r="B358" s="307" t="s">
        <v>181</v>
      </c>
      <c r="C358" s="307" t="s">
        <v>221</v>
      </c>
      <c r="D358" s="308">
        <v>0.39984605086525038</v>
      </c>
      <c r="E358" s="302">
        <v>45</v>
      </c>
      <c r="F358" s="310"/>
      <c r="G358" s="311"/>
      <c r="H358" s="312" t="s">
        <v>209</v>
      </c>
      <c r="I358" s="304"/>
      <c r="J358" s="27"/>
      <c r="K358" s="27"/>
      <c r="L358" s="27"/>
      <c r="M358" s="27"/>
      <c r="N358" s="27"/>
      <c r="O358" s="27"/>
      <c r="P358" s="27"/>
      <c r="Q358" s="27"/>
    </row>
    <row r="359" spans="1:17">
      <c r="A359" t="str">
        <f t="shared" si="5"/>
        <v>Windows - Double Pane to Class 30 - Heating Zone 2 (Heat Pump)WINDOW CL30 Prime Window Replacement of Double Pane Base (cooling savings)</v>
      </c>
      <c r="B359" s="307" t="s">
        <v>182</v>
      </c>
      <c r="C359" s="307" t="s">
        <v>222</v>
      </c>
      <c r="D359" s="308">
        <v>0.49600850984697276</v>
      </c>
      <c r="E359" s="302">
        <v>45</v>
      </c>
      <c r="F359" s="310"/>
      <c r="G359" s="311"/>
      <c r="H359" s="312" t="s">
        <v>209</v>
      </c>
      <c r="I359" s="304"/>
      <c r="J359" s="27"/>
      <c r="K359" s="27"/>
      <c r="L359" s="27"/>
      <c r="M359" s="27"/>
      <c r="N359" s="27"/>
      <c r="O359" s="27"/>
      <c r="P359" s="27"/>
      <c r="Q359" s="27"/>
    </row>
    <row r="360" spans="1:17">
      <c r="A360" t="str">
        <f t="shared" si="5"/>
        <v>Windows - Class 35 to Class 30 - Heating Zone 2 (Heat Pump)WINDOW CL35 to CL30 Upgrade (cooling savings)</v>
      </c>
      <c r="B360" s="307" t="s">
        <v>183</v>
      </c>
      <c r="C360" s="307" t="s">
        <v>223</v>
      </c>
      <c r="D360" s="308">
        <v>1.2063854626607935E-2</v>
      </c>
      <c r="E360" s="302">
        <v>45</v>
      </c>
      <c r="F360" s="310"/>
      <c r="G360" s="311"/>
      <c r="H360" s="312" t="s">
        <v>209</v>
      </c>
      <c r="I360" s="304"/>
      <c r="J360" s="27"/>
      <c r="K360" s="27"/>
      <c r="L360" s="27"/>
      <c r="M360" s="27"/>
      <c r="N360" s="27"/>
      <c r="O360" s="27"/>
      <c r="P360" s="27"/>
      <c r="Q360" s="27"/>
    </row>
    <row r="361" spans="1:17">
      <c r="A361" t="str">
        <f t="shared" si="5"/>
        <v>Windows - Single Pane to Class 22 - Heating Zone 2 (Heat Pump)WINDOW CL22 Prime Window Replacement of Single Pane Base (cooling savings)</v>
      </c>
      <c r="B361" s="307" t="s">
        <v>184</v>
      </c>
      <c r="C361" s="307" t="s">
        <v>224</v>
      </c>
      <c r="D361" s="308">
        <v>0.43083473115200893</v>
      </c>
      <c r="E361" s="302">
        <v>45</v>
      </c>
      <c r="F361" s="310"/>
      <c r="G361" s="311"/>
      <c r="H361" s="312" t="s">
        <v>209</v>
      </c>
      <c r="I361" s="304"/>
      <c r="J361" s="27"/>
      <c r="K361" s="27"/>
      <c r="L361" s="27"/>
      <c r="M361" s="27"/>
      <c r="N361" s="27"/>
      <c r="O361" s="27"/>
      <c r="P361" s="27"/>
      <c r="Q361" s="27"/>
    </row>
    <row r="362" spans="1:17">
      <c r="A362" t="str">
        <f t="shared" si="5"/>
        <v>Windows - Double Pane to Class 22 - Heating Zone 2 (Heat Pump)WINDOW CL22 Prime Window Replacement of Double Pane Base (cooling savings)</v>
      </c>
      <c r="B362" s="307" t="s">
        <v>185</v>
      </c>
      <c r="C362" s="307" t="s">
        <v>225</v>
      </c>
      <c r="D362" s="308">
        <v>0.52699719013373125</v>
      </c>
      <c r="E362" s="302">
        <v>45</v>
      </c>
      <c r="F362" s="310"/>
      <c r="G362" s="311"/>
      <c r="H362" s="312" t="s">
        <v>209</v>
      </c>
      <c r="I362" s="304"/>
      <c r="J362" s="27"/>
      <c r="K362" s="27"/>
      <c r="L362" s="27"/>
      <c r="M362" s="27"/>
      <c r="N362" s="27"/>
      <c r="O362" s="27"/>
      <c r="P362" s="27"/>
      <c r="Q362" s="27"/>
    </row>
    <row r="363" spans="1:17">
      <c r="A363" t="str">
        <f t="shared" si="5"/>
        <v>Windows - Class 35 to Class 22 - Heating Zone 2 (Heat Pump)WINDOW CL35 to CL22 Upgrade (cooling savings)</v>
      </c>
      <c r="B363" s="307" t="s">
        <v>186</v>
      </c>
      <c r="C363" s="307" t="s">
        <v>226</v>
      </c>
      <c r="D363" s="308">
        <v>4.3052534913366414E-2</v>
      </c>
      <c r="E363" s="302">
        <v>45</v>
      </c>
      <c r="F363" s="310"/>
      <c r="G363" s="311"/>
      <c r="H363" s="312" t="s">
        <v>209</v>
      </c>
      <c r="I363" s="304"/>
      <c r="J363" s="27"/>
      <c r="K363" s="27"/>
      <c r="L363" s="27"/>
      <c r="M363" s="27"/>
      <c r="N363" s="27"/>
      <c r="O363" s="27"/>
      <c r="P363" s="27"/>
      <c r="Q363" s="27"/>
    </row>
    <row r="364" spans="1:17">
      <c r="A364" t="str">
        <f t="shared" si="5"/>
        <v>Infiltration Reduction - CFM50 reduction - Heating Zone 2 (Heat Pump)CFM50 Infiltration Reduction (cooling savings)</v>
      </c>
      <c r="B364" s="307" t="s">
        <v>187</v>
      </c>
      <c r="C364" s="307" t="s">
        <v>890</v>
      </c>
      <c r="D364" s="308">
        <v>2.9596780509987836E-3</v>
      </c>
      <c r="E364" s="309">
        <v>15</v>
      </c>
      <c r="F364" s="310"/>
      <c r="G364" s="311"/>
      <c r="H364" s="312" t="s">
        <v>209</v>
      </c>
      <c r="I364" s="304"/>
      <c r="J364" s="27"/>
      <c r="K364" s="27"/>
      <c r="L364" s="27"/>
      <c r="M364" s="27"/>
      <c r="N364" s="27"/>
      <c r="O364" s="27"/>
      <c r="P364" s="27"/>
      <c r="Q364" s="27"/>
    </row>
    <row r="365" spans="1:17">
      <c r="A365" t="str">
        <f t="shared" si="5"/>
        <v>Single Family Weatherization - Insulate Attic - R0 to R38 - Heating Zone 3 (Heat Pump)ATTIC R0 - R38 (cooling savings)</v>
      </c>
      <c r="B365" s="307" t="s">
        <v>188</v>
      </c>
      <c r="C365" s="307" t="s">
        <v>208</v>
      </c>
      <c r="D365" s="308">
        <v>2.0333345500742849E-2</v>
      </c>
      <c r="E365" s="309">
        <v>45</v>
      </c>
      <c r="F365" s="310"/>
      <c r="G365" s="311"/>
      <c r="H365" s="312" t="s">
        <v>209</v>
      </c>
      <c r="I365" s="304"/>
      <c r="J365" s="27"/>
      <c r="K365" s="27"/>
      <c r="L365" s="27"/>
      <c r="M365" s="27"/>
      <c r="N365" s="27"/>
      <c r="O365" s="27"/>
      <c r="P365" s="27"/>
      <c r="Q365" s="27"/>
    </row>
    <row r="366" spans="1:17">
      <c r="A366" t="str">
        <f t="shared" si="5"/>
        <v>Single Family Weatherization - Insulate Attic - R0 to R49 - Heating Zone 3 (Heat Pump)ATTIC R0 - R49 (cooling savings)</v>
      </c>
      <c r="B366" s="307" t="s">
        <v>190</v>
      </c>
      <c r="C366" s="307" t="s">
        <v>210</v>
      </c>
      <c r="D366" s="308">
        <v>2.0512176259856976E-2</v>
      </c>
      <c r="E366" s="309">
        <v>45</v>
      </c>
      <c r="F366" s="310"/>
      <c r="G366" s="311"/>
      <c r="H366" s="312" t="s">
        <v>209</v>
      </c>
      <c r="I366" s="304"/>
      <c r="J366" s="27"/>
      <c r="K366" s="27"/>
      <c r="L366" s="27"/>
      <c r="M366" s="27"/>
      <c r="N366" s="27"/>
      <c r="O366" s="27"/>
      <c r="P366" s="27"/>
      <c r="Q366" s="27"/>
    </row>
    <row r="367" spans="1:17">
      <c r="A367" t="str">
        <f t="shared" si="5"/>
        <v>Single Family Weatherization - Insulate Attic - R11 to R38 - Heating Zone 3 (Heat Pump)ATTIC R11 - R38 (cooling savings)</v>
      </c>
      <c r="B367" s="307" t="s">
        <v>191</v>
      </c>
      <c r="C367" s="307" t="s">
        <v>211</v>
      </c>
      <c r="D367" s="308">
        <v>2.3213738425580457E-3</v>
      </c>
      <c r="E367" s="309">
        <v>45</v>
      </c>
      <c r="F367" s="310"/>
      <c r="G367" s="311"/>
      <c r="H367" s="312" t="s">
        <v>209</v>
      </c>
      <c r="I367" s="304"/>
      <c r="J367" s="27"/>
      <c r="K367" s="27"/>
      <c r="L367" s="27"/>
      <c r="M367" s="27"/>
      <c r="N367" s="27"/>
      <c r="O367" s="27"/>
      <c r="P367" s="27"/>
      <c r="Q367" s="27"/>
    </row>
    <row r="368" spans="1:17">
      <c r="A368" t="str">
        <f t="shared" si="5"/>
        <v>Single Family Weatherization - Insulate Attic - R11 to R49 - Heating Zone 3 (Heat Pump)ATTIC R11 - R49 (cooling savings)</v>
      </c>
      <c r="B368" s="307" t="s">
        <v>192</v>
      </c>
      <c r="C368" s="307" t="s">
        <v>212</v>
      </c>
      <c r="D368" s="308">
        <v>2.5002046016721715E-3</v>
      </c>
      <c r="E368" s="309">
        <v>45</v>
      </c>
      <c r="F368" s="310"/>
      <c r="G368" s="311"/>
      <c r="H368" s="312" t="s">
        <v>209</v>
      </c>
      <c r="I368" s="304"/>
      <c r="J368" s="27"/>
      <c r="K368" s="27"/>
      <c r="L368" s="27"/>
      <c r="M368" s="27"/>
      <c r="N368" s="27"/>
      <c r="O368" s="27"/>
      <c r="P368" s="27"/>
      <c r="Q368" s="27"/>
    </row>
    <row r="369" spans="1:17">
      <c r="A369" t="str">
        <f t="shared" si="5"/>
        <v>Single Family Weatherization - Insulate Attic - R19 to R38 - Heating Zone 3 (Heat Pump)ATTIC R19 - R38 (cooling savings)</v>
      </c>
      <c r="B369" s="307" t="s">
        <v>193</v>
      </c>
      <c r="C369" s="307" t="s">
        <v>213</v>
      </c>
      <c r="D369" s="308">
        <v>9.1488302064099295E-4</v>
      </c>
      <c r="E369" s="309">
        <v>45</v>
      </c>
      <c r="F369" s="310"/>
      <c r="G369" s="311"/>
      <c r="H369" s="312" t="s">
        <v>209</v>
      </c>
      <c r="I369" s="304"/>
      <c r="J369" s="27"/>
      <c r="K369" s="27"/>
      <c r="L369" s="27"/>
      <c r="M369" s="27"/>
      <c r="N369" s="27"/>
      <c r="O369" s="27"/>
      <c r="P369" s="27"/>
      <c r="Q369" s="27"/>
    </row>
    <row r="370" spans="1:17">
      <c r="A370" t="str">
        <f t="shared" si="5"/>
        <v>Single Family Weatherization - Insulate Attic - R19 to R49 - Heating Zone 3 (Heat Pump)ATTIC R19 - R49 (cooling savings)</v>
      </c>
      <c r="B370" s="307" t="s">
        <v>194</v>
      </c>
      <c r="C370" s="307" t="s">
        <v>214</v>
      </c>
      <c r="D370" s="308">
        <v>1.0937137797551186E-3</v>
      </c>
      <c r="E370" s="309">
        <v>45</v>
      </c>
      <c r="F370" s="310"/>
      <c r="G370" s="311"/>
      <c r="H370" s="312" t="s">
        <v>209</v>
      </c>
      <c r="I370" s="304"/>
      <c r="J370" s="27"/>
      <c r="K370" s="27"/>
      <c r="L370" s="27"/>
      <c r="M370" s="27"/>
      <c r="N370" s="27"/>
      <c r="O370" s="27"/>
      <c r="P370" s="27"/>
      <c r="Q370" s="27"/>
    </row>
    <row r="371" spans="1:17">
      <c r="A371" t="str">
        <f t="shared" si="5"/>
        <v>Single Family Weatherization - Insulate Attic - R30 to R38 - Heating Zone 3 (Heat Pump)ATTIC R30 - R38 (cooling savings)</v>
      </c>
      <c r="B371" s="307" t="s">
        <v>1323</v>
      </c>
      <c r="C371" s="307" t="s">
        <v>1326</v>
      </c>
      <c r="D371" s="308">
        <v>2.322007803909442E-4</v>
      </c>
      <c r="E371" s="309">
        <v>45</v>
      </c>
      <c r="F371" s="310"/>
      <c r="G371" s="311"/>
      <c r="H371" s="312" t="s">
        <v>209</v>
      </c>
      <c r="I371" s="304"/>
      <c r="J371" s="27"/>
      <c r="K371" s="27"/>
      <c r="L371" s="27"/>
      <c r="M371" s="27"/>
      <c r="N371" s="27"/>
      <c r="O371" s="27"/>
      <c r="P371" s="27"/>
      <c r="Q371" s="27"/>
    </row>
    <row r="372" spans="1:17">
      <c r="A372" t="str">
        <f t="shared" si="5"/>
        <v>Single Family Weatherization - Insulate Attic - R30 to R49 - Heating Zone 3 (Heat Pump)ATTIC R30 - R49 (cooling savings)</v>
      </c>
      <c r="B372" s="307" t="s">
        <v>195</v>
      </c>
      <c r="C372" s="307" t="s">
        <v>215</v>
      </c>
      <c r="D372" s="308">
        <v>4.1103153950507014E-4</v>
      </c>
      <c r="E372" s="309">
        <v>45</v>
      </c>
      <c r="F372" s="310"/>
      <c r="G372" s="311"/>
      <c r="H372" s="312" t="s">
        <v>209</v>
      </c>
      <c r="I372" s="304"/>
      <c r="J372" s="27"/>
      <c r="K372" s="27"/>
      <c r="L372" s="27"/>
      <c r="M372" s="27"/>
      <c r="N372" s="27"/>
      <c r="O372" s="27"/>
      <c r="P372" s="27"/>
      <c r="Q372" s="27"/>
    </row>
    <row r="373" spans="1:17">
      <c r="A373" t="str">
        <f t="shared" si="5"/>
        <v>Single Family Weatherization - Insulate Attic - R38 to R49 - Heating Zone 3 (Heat Pump)ATTIC R38 - R49 (cooling savings)</v>
      </c>
      <c r="B373" s="307" t="s">
        <v>196</v>
      </c>
      <c r="C373" s="307" t="s">
        <v>216</v>
      </c>
      <c r="D373" s="308">
        <v>1.7883075911412594E-4</v>
      </c>
      <c r="E373" s="309">
        <v>45</v>
      </c>
      <c r="F373" s="310"/>
      <c r="G373" s="311"/>
      <c r="H373" s="312" t="s">
        <v>209</v>
      </c>
      <c r="I373" s="304"/>
      <c r="J373" s="27"/>
      <c r="K373" s="27"/>
      <c r="L373" s="27"/>
      <c r="M373" s="27"/>
      <c r="N373" s="27"/>
      <c r="O373" s="27"/>
      <c r="P373" s="27"/>
      <c r="Q373" s="27"/>
    </row>
    <row r="374" spans="1:17">
      <c r="A374" t="str">
        <f t="shared" si="5"/>
        <v>Single Family Weatherization - Insulate Wall - R0 to R11 - Heating Zone 3 (Heat Pump)WALL R0 - R11 (cooling savings)</v>
      </c>
      <c r="B374" s="307" t="s">
        <v>197</v>
      </c>
      <c r="C374" s="307" t="s">
        <v>217</v>
      </c>
      <c r="D374" s="308">
        <v>7.9156350162291195E-4</v>
      </c>
      <c r="E374" s="309">
        <v>45</v>
      </c>
      <c r="F374" s="310"/>
      <c r="G374" s="311"/>
      <c r="H374" s="312" t="s">
        <v>209</v>
      </c>
      <c r="I374" s="304"/>
      <c r="J374" s="27"/>
      <c r="K374" s="27"/>
      <c r="L374" s="27"/>
      <c r="M374" s="27"/>
      <c r="N374" s="27"/>
      <c r="O374" s="27"/>
      <c r="P374" s="27"/>
      <c r="Q374" s="27"/>
    </row>
    <row r="375" spans="1:17">
      <c r="A375" t="str">
        <f t="shared" si="5"/>
        <v>Single Family Weatherization - Insulate Floor - R0 to R19 - Heating Zone 3 (Heat Pump)FLOOR R0 - R19 (cooling savings)</v>
      </c>
      <c r="B375" s="307" t="s">
        <v>198</v>
      </c>
      <c r="C375" s="307" t="s">
        <v>218</v>
      </c>
      <c r="D375" s="308">
        <v>-3.0825718130351376E-3</v>
      </c>
      <c r="E375" s="309">
        <v>45</v>
      </c>
      <c r="F375" s="310"/>
      <c r="G375" s="311"/>
      <c r="H375" s="312" t="s">
        <v>209</v>
      </c>
      <c r="I375" s="304"/>
      <c r="J375" s="27"/>
      <c r="K375" s="27"/>
      <c r="L375" s="27"/>
      <c r="M375" s="27"/>
      <c r="N375" s="27"/>
      <c r="O375" s="27"/>
      <c r="P375" s="27"/>
      <c r="Q375" s="27"/>
    </row>
    <row r="376" spans="1:17">
      <c r="A376" t="str">
        <f t="shared" si="5"/>
        <v>Single Family Weatherization - Insulate Floor - R0 to R25 - Heating Zone 3 (Heat Pump)FLOOR R0 - R25 (cooling savings)</v>
      </c>
      <c r="B376" s="307" t="s">
        <v>199</v>
      </c>
      <c r="C376" s="307" t="s">
        <v>219</v>
      </c>
      <c r="D376" s="308">
        <v>-3.5069030686145997E-3</v>
      </c>
      <c r="E376" s="309">
        <v>45</v>
      </c>
      <c r="F376" s="310"/>
      <c r="G376" s="311"/>
      <c r="H376" s="312" t="s">
        <v>209</v>
      </c>
      <c r="I376" s="304"/>
      <c r="J376" s="27"/>
      <c r="K376" s="27"/>
      <c r="L376" s="27"/>
      <c r="M376" s="27"/>
      <c r="N376" s="27"/>
      <c r="O376" s="27"/>
      <c r="P376" s="27"/>
      <c r="Q376" s="27"/>
    </row>
    <row r="377" spans="1:17">
      <c r="A377" t="str">
        <f t="shared" si="5"/>
        <v>Single Family Weatherization - Insulate Floor - R0 to R30 - Heating Zone 3 (Heat Pump)FLOOR R0 - R30 (cooling savings)</v>
      </c>
      <c r="B377" s="307" t="s">
        <v>200</v>
      </c>
      <c r="C377" s="307" t="s">
        <v>220</v>
      </c>
      <c r="D377" s="308">
        <v>-3.7917676129540822E-3</v>
      </c>
      <c r="E377" s="309">
        <v>45</v>
      </c>
      <c r="F377" s="310"/>
      <c r="G377" s="311"/>
      <c r="H377" s="312" t="s">
        <v>209</v>
      </c>
      <c r="I377" s="304"/>
      <c r="J377" s="27"/>
      <c r="K377" s="27"/>
      <c r="L377" s="27"/>
      <c r="M377" s="27"/>
      <c r="N377" s="27"/>
      <c r="O377" s="27"/>
      <c r="P377" s="27"/>
      <c r="Q377" s="27"/>
    </row>
    <row r="378" spans="1:17">
      <c r="A378" t="str">
        <f t="shared" si="5"/>
        <v>Single Family Weatherization - Insulate Floor - R19 to R30 - Heating Zone 3 (Heat Pump)FLOOR R19 - R30 (cooling savings)</v>
      </c>
      <c r="B378" s="307" t="s">
        <v>1324</v>
      </c>
      <c r="C378" s="307" t="s">
        <v>1327</v>
      </c>
      <c r="D378" s="308">
        <v>-7.0919579991894394E-4</v>
      </c>
      <c r="E378" s="309">
        <v>45</v>
      </c>
      <c r="F378" s="310"/>
      <c r="G378" s="311"/>
      <c r="H378" s="312" t="s">
        <v>209</v>
      </c>
      <c r="I378" s="304"/>
      <c r="J378" s="27"/>
      <c r="K378" s="27"/>
      <c r="L378" s="27"/>
      <c r="M378" s="27"/>
      <c r="N378" s="27"/>
      <c r="O378" s="27"/>
      <c r="P378" s="27"/>
      <c r="Q378" s="27"/>
    </row>
    <row r="379" spans="1:17">
      <c r="A379" t="str">
        <f t="shared" si="5"/>
        <v>Windows - Single Pane to Class 30 - Heating Zone 3 (Heat Pump)WINDOW CL30 Prime Window Replacement of Single Pane Base (cooling savings)</v>
      </c>
      <c r="B379" s="307" t="s">
        <v>201</v>
      </c>
      <c r="C379" s="307" t="s">
        <v>221</v>
      </c>
      <c r="D379" s="308">
        <v>3.9664205611992749E-2</v>
      </c>
      <c r="E379" s="302">
        <v>45</v>
      </c>
      <c r="F379" s="310"/>
      <c r="G379" s="311"/>
      <c r="H379" s="312" t="s">
        <v>209</v>
      </c>
      <c r="I379" s="304"/>
      <c r="J379" s="27"/>
      <c r="K379" s="27"/>
      <c r="L379" s="27"/>
      <c r="M379" s="27"/>
      <c r="N379" s="27"/>
      <c r="O379" s="27"/>
      <c r="P379" s="27"/>
      <c r="Q379" s="27"/>
    </row>
    <row r="380" spans="1:17">
      <c r="A380" t="str">
        <f t="shared" si="5"/>
        <v>Windows - Double Pane to Class 30 - Heating Zone 3 (Heat Pump)WINDOW CL30 Prime Window Replacement of Double Pane Base (cooling savings)</v>
      </c>
      <c r="B380" s="307" t="s">
        <v>202</v>
      </c>
      <c r="C380" s="307" t="s">
        <v>222</v>
      </c>
      <c r="D380" s="308">
        <v>5.8618351539157898E-2</v>
      </c>
      <c r="E380" s="302">
        <v>45</v>
      </c>
      <c r="F380" s="310"/>
      <c r="G380" s="311"/>
      <c r="H380" s="312" t="s">
        <v>209</v>
      </c>
      <c r="I380" s="304"/>
      <c r="J380" s="27"/>
      <c r="K380" s="27"/>
      <c r="L380" s="27"/>
      <c r="M380" s="27"/>
      <c r="N380" s="27"/>
      <c r="O380" s="27"/>
      <c r="P380" s="27"/>
      <c r="Q380" s="27"/>
    </row>
    <row r="381" spans="1:17">
      <c r="A381" t="str">
        <f t="shared" si="5"/>
        <v>Windows - Class 35 to Class 30 - Heating Zone 3 (Heat Pump)WINDOW CL35 to CL30 Upgrade (cooling savings)</v>
      </c>
      <c r="B381" s="307" t="s">
        <v>203</v>
      </c>
      <c r="C381" s="307" t="s">
        <v>223</v>
      </c>
      <c r="D381" s="308">
        <v>6.4683386561565964E-4</v>
      </c>
      <c r="E381" s="302">
        <v>45</v>
      </c>
      <c r="F381" s="310"/>
      <c r="G381" s="311"/>
      <c r="H381" s="312" t="s">
        <v>209</v>
      </c>
      <c r="I381" s="304"/>
      <c r="J381" s="27"/>
      <c r="K381" s="27"/>
      <c r="L381" s="27"/>
      <c r="M381" s="27"/>
      <c r="N381" s="27"/>
      <c r="O381" s="27"/>
      <c r="P381" s="27"/>
      <c r="Q381" s="27"/>
    </row>
    <row r="382" spans="1:17">
      <c r="A382" t="str">
        <f t="shared" si="5"/>
        <v>Windows - Single Pane to Class 22 - Heating Zone 3 (Heat Pump)WINDOW CL22 Prime Window Replacement of Single Pane Base (cooling savings)</v>
      </c>
      <c r="B382" s="307" t="s">
        <v>204</v>
      </c>
      <c r="C382" s="307" t="s">
        <v>224</v>
      </c>
      <c r="D382" s="308">
        <v>4.2142189049858149E-2</v>
      </c>
      <c r="E382" s="302">
        <v>45</v>
      </c>
      <c r="F382" s="310"/>
      <c r="G382" s="311"/>
      <c r="H382" s="312" t="s">
        <v>209</v>
      </c>
      <c r="I382" s="304"/>
      <c r="J382" s="27"/>
      <c r="K382" s="27"/>
      <c r="L382" s="27"/>
      <c r="M382" s="27"/>
      <c r="N382" s="27"/>
      <c r="O382" s="27"/>
      <c r="P382" s="27"/>
      <c r="Q382" s="27"/>
    </row>
    <row r="383" spans="1:17">
      <c r="A383" t="str">
        <f t="shared" si="5"/>
        <v>Windows - Double Pane to Class 22 - Heating Zone 3 (Heat Pump)WINDOW CL22 Prime Window Replacement of Double Pane Base (cooling savings)</v>
      </c>
      <c r="B383" s="307" t="s">
        <v>205</v>
      </c>
      <c r="C383" s="307" t="s">
        <v>225</v>
      </c>
      <c r="D383" s="308">
        <v>6.1096334977023312E-2</v>
      </c>
      <c r="E383" s="302">
        <v>45</v>
      </c>
      <c r="F383" s="310"/>
      <c r="G383" s="311"/>
      <c r="H383" s="312" t="s">
        <v>209</v>
      </c>
      <c r="I383" s="304"/>
      <c r="J383" s="27"/>
      <c r="K383" s="27"/>
      <c r="L383" s="27"/>
      <c r="M383" s="27"/>
      <c r="N383" s="27"/>
      <c r="O383" s="27"/>
      <c r="P383" s="27"/>
      <c r="Q383" s="27"/>
    </row>
    <row r="384" spans="1:17">
      <c r="A384" t="str">
        <f t="shared" si="5"/>
        <v>Windows - Class 35 to Class 22 - Heating Zone 3 (Heat Pump)WINDOW CL35 to CL22 Upgrade (cooling savings)</v>
      </c>
      <c r="B384" s="307" t="s">
        <v>206</v>
      </c>
      <c r="C384" s="307" t="s">
        <v>226</v>
      </c>
      <c r="D384" s="308">
        <v>3.1248173034810678E-3</v>
      </c>
      <c r="E384" s="302">
        <v>45</v>
      </c>
      <c r="F384" s="310"/>
      <c r="G384" s="311"/>
      <c r="H384" s="312" t="s">
        <v>209</v>
      </c>
      <c r="I384" s="304"/>
      <c r="J384" s="27"/>
      <c r="K384" s="27"/>
      <c r="L384" s="27"/>
      <c r="M384" s="27"/>
      <c r="N384" s="27"/>
      <c r="O384" s="27"/>
      <c r="P384" s="27"/>
      <c r="Q384" s="27"/>
    </row>
    <row r="385" spans="1:17">
      <c r="A385" t="str">
        <f>CONCATENATE(B385,C385)</f>
        <v>Infiltration Reduction - CFM50 reduction - Heating Zone 3 (Heat Pump)CFM50 Infiltration Reduction (cooling savings)</v>
      </c>
      <c r="B385" s="307" t="s">
        <v>207</v>
      </c>
      <c r="C385" s="307" t="s">
        <v>890</v>
      </c>
      <c r="D385" s="308">
        <v>-5.7923867718749514E-4</v>
      </c>
      <c r="E385" s="309">
        <v>15</v>
      </c>
      <c r="F385" s="310"/>
      <c r="G385" s="311"/>
      <c r="H385" s="312" t="s">
        <v>209</v>
      </c>
      <c r="I385" s="304"/>
      <c r="J385" s="300"/>
      <c r="K385" s="300"/>
      <c r="L385" s="300"/>
      <c r="M385" s="300"/>
      <c r="N385" s="300"/>
      <c r="O385" s="300"/>
      <c r="P385" s="300"/>
      <c r="Q385" s="300"/>
    </row>
  </sheetData>
  <autoFilter ref="A7:DB463"/>
  <mergeCells count="2">
    <mergeCell ref="J6:O6"/>
    <mergeCell ref="P6:Q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7PSourceSummary</vt:lpstr>
      <vt:lpstr>forRPM</vt:lpstr>
      <vt:lpstr>SC-Retro</vt:lpstr>
      <vt:lpstr>M_Input_Out</vt:lpstr>
      <vt:lpstr>M_Input</vt:lpstr>
      <vt:lpstr>Segmented</vt:lpstr>
      <vt:lpstr>Weighting</vt:lpstr>
      <vt:lpstr>Composite</vt:lpstr>
      <vt:lpstr>Raw RTF</vt:lpstr>
      <vt:lpstr>CharacteristicScenariosRH</vt:lpstr>
      <vt:lpstr>Attic</vt:lpstr>
      <vt:lpstr>Window</vt:lpstr>
      <vt:lpstr>FlCrawl</vt:lpstr>
      <vt:lpstr>SFblowerdoor</vt:lpstr>
      <vt:lpstr>RBSA Weights</vt:lpstr>
      <vt:lpstr>Achievements</vt:lpstr>
      <vt:lpstr>savings analysis</vt:lpstr>
      <vt:lpstr>cost analysis</vt:lpstr>
      <vt:lpstr>To Do 7P</vt:lpstr>
      <vt:lpstr>MeasureOutput</vt:lpstr>
      <vt:lpstr>SFblowerdoor</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2014-08-14T17:54:07Z</dcterms:created>
  <dcterms:modified xsi:type="dcterms:W3CDTF">2015-03-25T16:20:05Z</dcterms:modified>
</cp:coreProperties>
</file>